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31a8eb04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款式尺码出货表" sheetId="1" r:id="R23bc89926daf462c"/>
    <x:sheet xmlns:r="http://schemas.openxmlformats.org/officeDocument/2006/relationships" name="SKU明细" sheetId="2" r:id="Rdf6b64d109d3486b"/>
    <x:sheet xmlns:r="http://schemas.openxmlformats.org/officeDocument/2006/relationships" name="统计与数据口径说明" sheetId="3" r:id="R6ca16e93065446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0.0000"/>
    <x:numFmt numFmtId="202" formatCode="0.00%"/>
    <x:numFmt numFmtId="203" formatCode="0.00"/>
    <x:numFmt numFmtId="204" formatCode="0"/>
    <x:numFmt numFmtId="205" formatCode="0.0"/>
    <x:numFmt numFmtId="206" formatCode="#,##0;-#,##0;0"/>
  </x:numFmts>
  <x:fonts count="12">
    <x:font>
      <x:sz val="11"/>
      <x:name val="Carlito"/>
    </x:font>
    <x:font>
      <x:sz val="10"/>
      <x:color rgb="FF193047"/>
      <x:name val="Arial"/>
    </x:font>
    <x:font>
      <x:b/>
      <x:sz val="15"/>
      <x:color rgb="FF193047"/>
      <x:name val="Arial"/>
    </x:font>
    <x:font>
      <x:b/>
      <x:sz val="15"/>
      <x:color rgb="FF236ABD"/>
      <x:name val="Arial"/>
    </x:font>
    <x:font>
      <x:b/>
      <x:sz val="10"/>
      <x:color rgb="FFFFFFFF"/>
      <x:name val="Arial"/>
    </x:font>
    <x:font>
      <x:b/>
      <x:sz val="10"/>
      <x:color rgb="FF236ABD"/>
      <x:name val="Arial"/>
    </x:font>
    <x:font>
      <x:b/>
      <x:sz val="14"/>
      <x:color rgb="FF236ABD"/>
      <x:name val="Arial"/>
    </x:font>
    <x:font>
      <x:sz val="11"/>
      <x:color rgb="FF193047"/>
      <x:name val="Arial"/>
    </x:font>
    <x:font>
      <x:b/>
      <x:sz val="16"/>
      <x:color rgb="FF193047"/>
      <x:name val="Arial"/>
    </x:font>
    <x:font>
      <x:b/>
      <x:sz val="11"/>
      <x:color rgb="FFFFFFFF"/>
      <x:name val="Arial"/>
    </x:font>
    <x:font>
      <x:b/>
      <x:sz val="12"/>
      <x:color rgb="FF236ABD"/>
      <x:name val="Arial"/>
    </x:font>
    <x:font>
      <x:b/>
      <x:sz val="11"/>
      <x:color rgb="FF233F5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33F5C"/>
      </x:patternFill>
    </x:fill>
    <x:fill>
      <x:patternFill patternType="solid">
        <x:fgColor rgb="FFFFFFFF"/>
      </x:patternFill>
    </x:fill>
    <x:fill>
      <x:patternFill patternType="solid">
        <x:fgColor rgb="FFEDF3F9"/>
      </x:patternFill>
    </x:fill>
    <x:fill>
      <x:patternFill patternType="solid">
        <x:fgColor rgb="FFF4F7FA"/>
      </x:patternFill>
    </x:fill>
    <x:fill>
      <x:patternFill patternType="solid">
        <x:fgColor rgb="FFDFE8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center" vertical="center"/>
    </x:xf>
    <x:xf numFmtId="206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6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horizontal="center" vertical="center" wrapText="1"/>
    </x:xf>
    <x:xf numFmtId="200" fontId="10" fillId="0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10" fillId="5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color rgb="FF995B16"/>
      </x:font>
      <x:fill>
        <x:patternFill patternType="solid">
          <x:bgColor rgb="FFFFF1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08242551f461e" /><Relationship Type="http://schemas.openxmlformats.org/officeDocument/2006/relationships/theme" Target="/xl/theme/theme1.xml" Id="Re41589efe29944e4" /><Relationship Type="http://schemas.openxmlformats.org/officeDocument/2006/relationships/sharedStrings" Target="/xl/sharedStrings.xml" Id="R37a3a51d35344422" /><Relationship Type="http://schemas.openxmlformats.org/officeDocument/2006/relationships/worksheet" Target="/xl/worksheets/sheet1.xml" Id="R23bc89926daf462c" /><Relationship Type="http://schemas.openxmlformats.org/officeDocument/2006/relationships/worksheet" Target="/xl/worksheets/sheet2.xml" Id="Rdf6b64d109d3486b" /><Relationship Type="http://schemas.openxmlformats.org/officeDocument/2006/relationships/worksheet" Target="/xl/worksheets/sheet3.xml" Id="R6ca16e930654468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56c2f3ce743c40ab" /><Relationship Type="http://schemas.openxmlformats.org/officeDocument/2006/relationships/image" Target="/xl/media/image2.jpg" Id="Ra9f667cfec3641a0" /><Relationship Type="http://schemas.openxmlformats.org/officeDocument/2006/relationships/image" Target="/xl/media/image3.jpg" Id="Rc4dde43211ac4fd4" /><Relationship Type="http://schemas.openxmlformats.org/officeDocument/2006/relationships/image" Target="/xl/media/image4.jpg" Id="Rf1e299f47c0a48df" /><Relationship Type="http://schemas.openxmlformats.org/officeDocument/2006/relationships/image" Target="/xl/media/image5.jpg" Id="R9eeab7c3e66046c3" /><Relationship Type="http://schemas.openxmlformats.org/officeDocument/2006/relationships/image" Target="/xl/media/image6.jpg" Id="R8c567f3364774137" /><Relationship Type="http://schemas.openxmlformats.org/officeDocument/2006/relationships/image" Target="/xl/media/image7.jpg" Id="R5f4616bb22a546b9" /><Relationship Type="http://schemas.openxmlformats.org/officeDocument/2006/relationships/image" Target="/xl/media/image8.jpg" Id="R8530a18934e74594" /><Relationship Type="http://schemas.openxmlformats.org/officeDocument/2006/relationships/image" Target="/xl/media/image9.jpg" Id="R2623892048d04edf" /><Relationship Type="http://schemas.openxmlformats.org/officeDocument/2006/relationships/image" Target="/xl/media/image10.jpg" Id="R167553c572844f73" /><Relationship Type="http://schemas.openxmlformats.org/officeDocument/2006/relationships/image" Target="/xl/media/image11.jpg" Id="R7b82f4dfb18f43b2" /><Relationship Type="http://schemas.openxmlformats.org/officeDocument/2006/relationships/image" Target="/xl/media/image12.jpg" Id="Ra2408a7ac2b04209" /><Relationship Type="http://schemas.openxmlformats.org/officeDocument/2006/relationships/image" Target="/xl/media/image13.jpg" Id="R53e8c93aa92249d4" /><Relationship Type="http://schemas.openxmlformats.org/officeDocument/2006/relationships/image" Target="/xl/media/image14.jpg" Id="R96e6bc8321f740c7" /><Relationship Type="http://schemas.openxmlformats.org/officeDocument/2006/relationships/image" Target="/xl/media/image15.jpg" Id="R19da28b654b241b2" /><Relationship Type="http://schemas.openxmlformats.org/officeDocument/2006/relationships/image" Target="/xl/media/image16.jpg" Id="R914eeb40db2e4a9a" /><Relationship Type="http://schemas.openxmlformats.org/officeDocument/2006/relationships/image" Target="/xl/media/image17.jpg" Id="R66a4655d25b84852" /><Relationship Type="http://schemas.openxmlformats.org/officeDocument/2006/relationships/image" Target="/xl/media/image18.jpg" Id="Rb677a2cdc15a44b4" /><Relationship Type="http://schemas.openxmlformats.org/officeDocument/2006/relationships/image" Target="/xl/media/image19.jpg" Id="Re13c5ff7c23b46fb" /><Relationship Type="http://schemas.openxmlformats.org/officeDocument/2006/relationships/image" Target="/xl/media/image20.jpg" Id="Rcddc19d5f4704c2b" /><Relationship Type="http://schemas.openxmlformats.org/officeDocument/2006/relationships/image" Target="/xl/media/image21.jpg" Id="R3ec0b180c6f84515" /><Relationship Type="http://schemas.openxmlformats.org/officeDocument/2006/relationships/image" Target="/xl/media/image22.jpg" Id="R2a4b0ff326c44246" /><Relationship Type="http://schemas.openxmlformats.org/officeDocument/2006/relationships/image" Target="/xl/media/image23.jpg" Id="R854679d62f3541cd" /><Relationship Type="http://schemas.openxmlformats.org/officeDocument/2006/relationships/image" Target="/xl/media/image24.jpg" Id="R5fdfa2e5fe954b60" /><Relationship Type="http://schemas.openxmlformats.org/officeDocument/2006/relationships/image" Target="/xl/media/image25.jpg" Id="R30aad0eab23a4248" /><Relationship Type="http://schemas.openxmlformats.org/officeDocument/2006/relationships/image" Target="/xl/media/image26.jpg" Id="Rbf7487be70a6420a" /><Relationship Type="http://schemas.openxmlformats.org/officeDocument/2006/relationships/image" Target="/xl/media/image27.jpg" Id="Rad2ad9b8ad934361" /><Relationship Type="http://schemas.openxmlformats.org/officeDocument/2006/relationships/image" Target="/xl/media/image28.jpg" Id="R2f9ee5135d5347d4" /><Relationship Type="http://schemas.openxmlformats.org/officeDocument/2006/relationships/image" Target="/xl/media/image29.jpg" Id="R377d4777619748d9" /><Relationship Type="http://schemas.openxmlformats.org/officeDocument/2006/relationships/image" Target="/xl/media/image30.jpg" Id="Rbda287f3d4584f72" /><Relationship Type="http://schemas.openxmlformats.org/officeDocument/2006/relationships/image" Target="/xl/media/image31.jpg" Id="R10a602f426884699" /><Relationship Type="http://schemas.openxmlformats.org/officeDocument/2006/relationships/image" Target="/xl/media/image32.jpg" Id="R119886b250c541ab" /><Relationship Type="http://schemas.openxmlformats.org/officeDocument/2006/relationships/image" Target="/xl/media/image33.jpg" Id="Ra6f6c672538242c1" /><Relationship Type="http://schemas.openxmlformats.org/officeDocument/2006/relationships/image" Target="/xl/media/image34.jpg" Id="Rf1f29b95975e4367" /><Relationship Type="http://schemas.openxmlformats.org/officeDocument/2006/relationships/image" Target="/xl/media/image35.jpg" Id="R4bdbbf0994dc4422" /><Relationship Type="http://schemas.openxmlformats.org/officeDocument/2006/relationships/image" Target="/xl/media/image36.jpg" Id="Rc40943731f01477c" /><Relationship Type="http://schemas.openxmlformats.org/officeDocument/2006/relationships/image" Target="/xl/media/image37.jpg" Id="Rcc4642a8d4324092" /><Relationship Type="http://schemas.openxmlformats.org/officeDocument/2006/relationships/image" Target="/xl/media/image38.jpg" Id="R8f32e2bd786a45ff" /><Relationship Type="http://schemas.openxmlformats.org/officeDocument/2006/relationships/image" Target="/xl/media/image39.jpg" Id="Rb43ddc08c7ed4fea" /><Relationship Type="http://schemas.openxmlformats.org/officeDocument/2006/relationships/image" Target="/xl/media/image40.jpg" Id="R3025e1ce59aa40b0" /><Relationship Type="http://schemas.openxmlformats.org/officeDocument/2006/relationships/image" Target="/xl/media/image41.jpg" Id="Re8b37861a72f44fa" /><Relationship Type="http://schemas.openxmlformats.org/officeDocument/2006/relationships/image" Target="/xl/media/image42.jpg" Id="R8bf271414b914daa" /><Relationship Type="http://schemas.openxmlformats.org/officeDocument/2006/relationships/image" Target="/xl/media/image43.jpg" Id="R2a0c4ce004354da0" /><Relationship Type="http://schemas.openxmlformats.org/officeDocument/2006/relationships/image" Target="/xl/media/image44.jpg" Id="R1e68cd4965634ed9" /><Relationship Type="http://schemas.openxmlformats.org/officeDocument/2006/relationships/image" Target="/xl/media/image45.jpg" Id="R69006373eafe4c5c" /><Relationship Type="http://schemas.openxmlformats.org/officeDocument/2006/relationships/image" Target="/xl/media/image46.jpg" Id="R043c94dba9dd4f93" /><Relationship Type="http://schemas.openxmlformats.org/officeDocument/2006/relationships/image" Target="/xl/media/image47.jpg" Id="R5ff38ae68ad5429c" /><Relationship Type="http://schemas.openxmlformats.org/officeDocument/2006/relationships/image" Target="/xl/media/image48.jpg" Id="R7b6c23e9dd5243a2" /><Relationship Type="http://schemas.openxmlformats.org/officeDocument/2006/relationships/image" Target="/xl/media/image49.jpg" Id="R9098e0676f8b448d" /><Relationship Type="http://schemas.openxmlformats.org/officeDocument/2006/relationships/image" Target="/xl/media/image50.jpg" Id="Rcf99b50577ef4532" /><Relationship Type="http://schemas.openxmlformats.org/officeDocument/2006/relationships/image" Target="/xl/media/image51.jpg" Id="Rdcc4cf8049254c89" /><Relationship Type="http://schemas.openxmlformats.org/officeDocument/2006/relationships/image" Target="/xl/media/image52.jpg" Id="Rc05629fee875445c" /><Relationship Type="http://schemas.openxmlformats.org/officeDocument/2006/relationships/image" Target="/xl/media/image53.jpg" Id="R8f0c2c3cf12b4852" /><Relationship Type="http://schemas.openxmlformats.org/officeDocument/2006/relationships/image" Target="/xl/media/image54.jpg" Id="Raef194bc579e4b06" /><Relationship Type="http://schemas.openxmlformats.org/officeDocument/2006/relationships/image" Target="/xl/media/image55.jpg" Id="R28df1868f6ba427b" /><Relationship Type="http://schemas.openxmlformats.org/officeDocument/2006/relationships/image" Target="/xl/media/image56.jpg" Id="Rdaa5afde719a4857" /><Relationship Type="http://schemas.openxmlformats.org/officeDocument/2006/relationships/image" Target="/xl/media/image57.jpg" Id="R3bfa6e2ab240496b" /><Relationship Type="http://schemas.openxmlformats.org/officeDocument/2006/relationships/image" Target="/xl/media/image58.jpg" Id="Rd4c90a38974a48ec" /><Relationship Type="http://schemas.openxmlformats.org/officeDocument/2006/relationships/image" Target="/xl/media/image59.jpg" Id="R33b74bad92cc4653" /><Relationship Type="http://schemas.openxmlformats.org/officeDocument/2006/relationships/image" Target="/xl/media/image60.jpg" Id="Rf71029e4f1cf4c74" /><Relationship Type="http://schemas.openxmlformats.org/officeDocument/2006/relationships/image" Target="/xl/media/image61.jpg" Id="R000db3c8b55146b8" /><Relationship Type="http://schemas.openxmlformats.org/officeDocument/2006/relationships/image" Target="/xl/media/image62.jpg" Id="Re5ae0790b7a44a24" /><Relationship Type="http://schemas.openxmlformats.org/officeDocument/2006/relationships/image" Target="/xl/media/image63.jpg" Id="Re4f060479f644ff3" /><Relationship Type="http://schemas.openxmlformats.org/officeDocument/2006/relationships/image" Target="/xl/media/image64.jpg" Id="Re27f8a96997e4c65" /><Relationship Type="http://schemas.openxmlformats.org/officeDocument/2006/relationships/image" Target="/xl/media/image65.jpg" Id="Rbee575042ba24b02" /><Relationship Type="http://schemas.openxmlformats.org/officeDocument/2006/relationships/image" Target="/xl/media/image66.jpg" Id="R1e34f0dfd89845b9" /><Relationship Type="http://schemas.openxmlformats.org/officeDocument/2006/relationships/image" Target="/xl/media/image67.jpg" Id="R4c71b56df5274cfb" /><Relationship Type="http://schemas.openxmlformats.org/officeDocument/2006/relationships/image" Target="/xl/media/image68.jpg" Id="R4cbab68cc40b4b06" /><Relationship Type="http://schemas.openxmlformats.org/officeDocument/2006/relationships/image" Target="/xl/media/image69.jpg" Id="R5b8db56b45f64150" /><Relationship Type="http://schemas.openxmlformats.org/officeDocument/2006/relationships/image" Target="/xl/media/image70.jpg" Id="Rc249c9adaa4248c0" /><Relationship Type="http://schemas.openxmlformats.org/officeDocument/2006/relationships/image" Target="/xl/media/image71.jpg" Id="R22a80bb7d0124996" /><Relationship Type="http://schemas.openxmlformats.org/officeDocument/2006/relationships/image" Target="/xl/media/image72.jpg" Id="R09a7a8e1ba274f64" /><Relationship Type="http://schemas.openxmlformats.org/officeDocument/2006/relationships/image" Target="/xl/media/image73.jpg" Id="R5b74ccfb99eb4c95" /><Relationship Type="http://schemas.openxmlformats.org/officeDocument/2006/relationships/image" Target="/xl/media/image74.jpg" Id="R2a9fb4be21144e49" /><Relationship Type="http://schemas.openxmlformats.org/officeDocument/2006/relationships/image" Target="/xl/media/image75.jpg" Id="R9f0d3c6f82634c3e" /><Relationship Type="http://schemas.openxmlformats.org/officeDocument/2006/relationships/image" Target="/xl/media/image76.jpg" Id="R29d0862babe741cc" /><Relationship Type="http://schemas.openxmlformats.org/officeDocument/2006/relationships/image" Target="/xl/media/image77.jpg" Id="R993d99dbaa494802" /><Relationship Type="http://schemas.openxmlformats.org/officeDocument/2006/relationships/image" Target="/xl/media/image78.jpg" Id="R8976bed96a274058" /><Relationship Type="http://schemas.openxmlformats.org/officeDocument/2006/relationships/image" Target="/xl/media/image79.jpg" Id="R3672723831c04675" /><Relationship Type="http://schemas.openxmlformats.org/officeDocument/2006/relationships/image" Target="/xl/media/image80.jpg" Id="R159581633d8346d2" /><Relationship Type="http://schemas.openxmlformats.org/officeDocument/2006/relationships/image" Target="/xl/media/image81.jpg" Id="R1d8ea5a6ae8b49ab" /><Relationship Type="http://schemas.openxmlformats.org/officeDocument/2006/relationships/image" Target="/xl/media/image82.jpg" Id="Rdbae56c13bb04a76" /><Relationship Type="http://schemas.openxmlformats.org/officeDocument/2006/relationships/image" Target="/xl/media/image83.jpg" Id="R5bbf0211ecd84907" /><Relationship Type="http://schemas.openxmlformats.org/officeDocument/2006/relationships/image" Target="/xl/media/image84.jpg" Id="R8d7ebe1172474181" /><Relationship Type="http://schemas.openxmlformats.org/officeDocument/2006/relationships/image" Target="/xl/media/image85.jpg" Id="Rec897ea547484e5a" /><Relationship Type="http://schemas.openxmlformats.org/officeDocument/2006/relationships/image" Target="/xl/media/image86.jpg" Id="Rada9954c4b744a00" /><Relationship Type="http://schemas.openxmlformats.org/officeDocument/2006/relationships/image" Target="/xl/media/image87.jpg" Id="R3bc5e5bf7d0c4c58" /><Relationship Type="http://schemas.openxmlformats.org/officeDocument/2006/relationships/image" Target="/xl/media/image88.jpg" Id="Ra19a314517c74bc9" /><Relationship Type="http://schemas.openxmlformats.org/officeDocument/2006/relationships/image" Target="/xl/media/image89.jpg" Id="R9a05a4912ec344e6" /><Relationship Type="http://schemas.openxmlformats.org/officeDocument/2006/relationships/image" Target="/xl/media/image90.jpg" Id="R49fdc663d4b44900" /><Relationship Type="http://schemas.openxmlformats.org/officeDocument/2006/relationships/image" Target="/xl/media/image91.jpg" Id="R37f04d619ffc450d" /><Relationship Type="http://schemas.openxmlformats.org/officeDocument/2006/relationships/image" Target="/xl/media/image92.jpg" Id="R6db243f55eae4e45" /><Relationship Type="http://schemas.openxmlformats.org/officeDocument/2006/relationships/image" Target="/xl/media/image93.jpg" Id="R2b0960a5ca894eac" /><Relationship Type="http://schemas.openxmlformats.org/officeDocument/2006/relationships/image" Target="/xl/media/image94.jpg" Id="Rcd5ba49c18a14bd5" /><Relationship Type="http://schemas.openxmlformats.org/officeDocument/2006/relationships/image" Target="/xl/media/image95.jpg" Id="R3bd598aa85ca4577" /><Relationship Type="http://schemas.openxmlformats.org/officeDocument/2006/relationships/image" Target="/xl/media/image96.jpg" Id="R1dbd78d3f9f94c68" /><Relationship Type="http://schemas.openxmlformats.org/officeDocument/2006/relationships/image" Target="/xl/media/image97.jpg" Id="Rd26580a4793e4c1d" /><Relationship Type="http://schemas.openxmlformats.org/officeDocument/2006/relationships/image" Target="/xl/media/image98.jpg" Id="R58d50033a2974339" /><Relationship Type="http://schemas.openxmlformats.org/officeDocument/2006/relationships/image" Target="/xl/media/image99.jpg" Id="R96f927c2c4eb4fcd" /><Relationship Type="http://schemas.openxmlformats.org/officeDocument/2006/relationships/image" Target="/xl/media/image100.jpg" Id="R9226f25ecea846d2" /><Relationship Type="http://schemas.openxmlformats.org/officeDocument/2006/relationships/image" Target="/xl/media/image101.jpg" Id="R88ce1c064e6a4e56" /><Relationship Type="http://schemas.openxmlformats.org/officeDocument/2006/relationships/image" Target="/xl/media/image102.jpg" Id="R01e4b06d02ae4dfa" /><Relationship Type="http://schemas.openxmlformats.org/officeDocument/2006/relationships/image" Target="/xl/media/image103.jpg" Id="R70b320d4777e4540" /><Relationship Type="http://schemas.openxmlformats.org/officeDocument/2006/relationships/image" Target="/xl/media/image104.jpg" Id="Rd5374d988cbd4549" /><Relationship Type="http://schemas.openxmlformats.org/officeDocument/2006/relationships/image" Target="/xl/media/image105.jpg" Id="Rf6b089d8cea94544" /><Relationship Type="http://schemas.openxmlformats.org/officeDocument/2006/relationships/image" Target="/xl/media/image106.jpg" Id="Rdd0b7a0e34fa4aa7" /><Relationship Type="http://schemas.openxmlformats.org/officeDocument/2006/relationships/image" Target="/xl/media/image107.jpg" Id="R5bc87fbd76a44e4a" /><Relationship Type="http://schemas.openxmlformats.org/officeDocument/2006/relationships/image" Target="/xl/media/image108.jpg" Id="R3c66bc811bfb4323" /><Relationship Type="http://schemas.openxmlformats.org/officeDocument/2006/relationships/image" Target="/xl/media/image109.jpg" Id="R7fac50d5659a438d" /><Relationship Type="http://schemas.openxmlformats.org/officeDocument/2006/relationships/image" Target="/xl/media/image110.jpg" Id="R870eb17ed7fc4850" /><Relationship Type="http://schemas.openxmlformats.org/officeDocument/2006/relationships/image" Target="/xl/media/image111.jpg" Id="R5bcc9b1450b9417c" /><Relationship Type="http://schemas.openxmlformats.org/officeDocument/2006/relationships/image" Target="/xl/media/image112.jpg" Id="Rba192746f64444db" /><Relationship Type="http://schemas.openxmlformats.org/officeDocument/2006/relationships/image" Target="/xl/media/image113.jpg" Id="R4072d4fd565f4b86" /><Relationship Type="http://schemas.openxmlformats.org/officeDocument/2006/relationships/image" Target="/xl/media/image114.jpg" Id="Rc95405ddcef4404f" /><Relationship Type="http://schemas.openxmlformats.org/officeDocument/2006/relationships/image" Target="/xl/media/image115.jpg" Id="R997bddeebfc6491d" /><Relationship Type="http://schemas.openxmlformats.org/officeDocument/2006/relationships/image" Target="/xl/media/image116.jpg" Id="R6b707cdabf1b474e" /><Relationship Type="http://schemas.openxmlformats.org/officeDocument/2006/relationships/image" Target="/xl/media/image117.jpg" Id="R2ae71ccff1c843ba" /><Relationship Type="http://schemas.openxmlformats.org/officeDocument/2006/relationships/image" Target="/xl/media/image118.jpg" Id="R4329c5d4ddd74f97" /><Relationship Type="http://schemas.openxmlformats.org/officeDocument/2006/relationships/image" Target="/xl/media/image119.jpg" Id="R2a273497dfbb499c" /><Relationship Type="http://schemas.openxmlformats.org/officeDocument/2006/relationships/image" Target="/xl/media/image120.jpg" Id="R1de013eba4214f80" /><Relationship Type="http://schemas.openxmlformats.org/officeDocument/2006/relationships/image" Target="/xl/media/image121.jpg" Id="R42a2f8f4f83b43ab" /><Relationship Type="http://schemas.openxmlformats.org/officeDocument/2006/relationships/image" Target="/xl/media/image122.jpg" Id="R7e7fade5261e4097" /><Relationship Type="http://schemas.openxmlformats.org/officeDocument/2006/relationships/image" Target="/xl/media/image123.jpg" Id="R250dafb0b5cd4900" /><Relationship Type="http://schemas.openxmlformats.org/officeDocument/2006/relationships/image" Target="/xl/media/image124.jpg" Id="Re90e99f00a4e4e4c" /><Relationship Type="http://schemas.openxmlformats.org/officeDocument/2006/relationships/image" Target="/xl/media/image125.jpg" Id="R0ebc61c5762a44a4" /><Relationship Type="http://schemas.openxmlformats.org/officeDocument/2006/relationships/image" Target="/xl/media/image126.jpg" Id="R5c55b278c58f4d27" /><Relationship Type="http://schemas.openxmlformats.org/officeDocument/2006/relationships/image" Target="/xl/media/image127.jpg" Id="R4bfdcc4d1c384b48" /><Relationship Type="http://schemas.openxmlformats.org/officeDocument/2006/relationships/image" Target="/xl/media/image128.jpg" Id="Rb6a1ef6870544d75" /><Relationship Type="http://schemas.openxmlformats.org/officeDocument/2006/relationships/image" Target="/xl/media/image129.jpg" Id="Re9f7f5d76ee64608" /><Relationship Type="http://schemas.openxmlformats.org/officeDocument/2006/relationships/image" Target="/xl/media/image130.jpg" Id="Rd94213acf9894ac7" /><Relationship Type="http://schemas.openxmlformats.org/officeDocument/2006/relationships/image" Target="/xl/media/image131.jpg" Id="R69c11e28cec64f0d" /><Relationship Type="http://schemas.openxmlformats.org/officeDocument/2006/relationships/image" Target="/xl/media/image132.jpg" Id="R355c2e98f2514c67" /><Relationship Type="http://schemas.openxmlformats.org/officeDocument/2006/relationships/image" Target="/xl/media/image133.jpg" Id="R81868269f75f45a8" /><Relationship Type="http://schemas.openxmlformats.org/officeDocument/2006/relationships/image" Target="/xl/media/image134.jpg" Id="Rd99d7ff3b37e43f8" /><Relationship Type="http://schemas.openxmlformats.org/officeDocument/2006/relationships/image" Target="/xl/media/image135.jpg" Id="Rc81942320bd84a53" /><Relationship Type="http://schemas.openxmlformats.org/officeDocument/2006/relationships/image" Target="/xl/media/image136.jpg" Id="Rcf45077282d144a5" /><Relationship Type="http://schemas.openxmlformats.org/officeDocument/2006/relationships/image" Target="/xl/media/image137.jpg" Id="R8fb78b8cf11346cf" /><Relationship Type="http://schemas.openxmlformats.org/officeDocument/2006/relationships/image" Target="/xl/media/image138.jpg" Id="R6a123364ac154378" /><Relationship Type="http://schemas.openxmlformats.org/officeDocument/2006/relationships/image" Target="/xl/media/image139.jpg" Id="Rc0c4bfe4ddf844dc" /><Relationship Type="http://schemas.openxmlformats.org/officeDocument/2006/relationships/image" Target="/xl/media/image140.jpg" Id="Re6225f33d2614b3f" /><Relationship Type="http://schemas.openxmlformats.org/officeDocument/2006/relationships/image" Target="/xl/media/image141.jpg" Id="Ra9b919e07a7f4c98" /><Relationship Type="http://schemas.openxmlformats.org/officeDocument/2006/relationships/image" Target="/xl/media/image142.jpg" Id="R3dd085cd5f62401f" /><Relationship Type="http://schemas.openxmlformats.org/officeDocument/2006/relationships/image" Target="/xl/media/image143.jpg" Id="R1330ad2b41604cae" /><Relationship Type="http://schemas.openxmlformats.org/officeDocument/2006/relationships/image" Target="/xl/media/image144.jpg" Id="R30db772471204304" /><Relationship Type="http://schemas.openxmlformats.org/officeDocument/2006/relationships/image" Target="/xl/media/image145.jpg" Id="R19bcf8d1bcc94b06" /><Relationship Type="http://schemas.openxmlformats.org/officeDocument/2006/relationships/image" Target="/xl/media/image146.jpg" Id="Rb0de689d90f54c0e" /><Relationship Type="http://schemas.openxmlformats.org/officeDocument/2006/relationships/image" Target="/xl/media/image147.jpg" Id="R9e7a0ccd3e8441eb" /><Relationship Type="http://schemas.openxmlformats.org/officeDocument/2006/relationships/image" Target="/xl/media/image148.jpg" Id="R3335770aa5be4523" /><Relationship Type="http://schemas.openxmlformats.org/officeDocument/2006/relationships/image" Target="/xl/media/image149.jpg" Id="R10fdc9edc56c421a" /><Relationship Type="http://schemas.openxmlformats.org/officeDocument/2006/relationships/image" Target="/xl/media/image150.jpg" Id="R1c08ceb68a2e443a" /><Relationship Type="http://schemas.openxmlformats.org/officeDocument/2006/relationships/image" Target="/xl/media/image151.jpg" Id="R98e3e76cf0b64c32" /><Relationship Type="http://schemas.openxmlformats.org/officeDocument/2006/relationships/image" Target="/xl/media/image152.jpg" Id="Re7871aa48e1546b7" /><Relationship Type="http://schemas.openxmlformats.org/officeDocument/2006/relationships/image" Target="/xl/media/image153.jpg" Id="R019be43e5c004f7e" /><Relationship Type="http://schemas.openxmlformats.org/officeDocument/2006/relationships/image" Target="/xl/media/image154.jpg" Id="Ra98f4f5458c54351" /><Relationship Type="http://schemas.openxmlformats.org/officeDocument/2006/relationships/image" Target="/xl/media/image155.jpg" Id="R67d108343aab4286" /><Relationship Type="http://schemas.openxmlformats.org/officeDocument/2006/relationships/image" Target="/xl/media/image156.jpg" Id="R351c977d409f4f9a" /><Relationship Type="http://schemas.openxmlformats.org/officeDocument/2006/relationships/image" Target="/xl/media/image157.jpg" Id="R9458e06c3d264ba1" /><Relationship Type="http://schemas.openxmlformats.org/officeDocument/2006/relationships/image" Target="/xl/media/image158.jpg" Id="R07e8ff329d084a32" /><Relationship Type="http://schemas.openxmlformats.org/officeDocument/2006/relationships/image" Target="/xl/media/image159.jpg" Id="Re4f13b371ad84e73" /><Relationship Type="http://schemas.openxmlformats.org/officeDocument/2006/relationships/image" Target="/xl/media/image160.jpg" Id="R269764bc27ba4661" /><Relationship Type="http://schemas.openxmlformats.org/officeDocument/2006/relationships/image" Target="/xl/media/image161.jpg" Id="R0aa1eae7b4b64f53" /><Relationship Type="http://schemas.openxmlformats.org/officeDocument/2006/relationships/image" Target="/xl/media/image162.jpg" Id="Rc0d8ef4fc2a84d19" /><Relationship Type="http://schemas.openxmlformats.org/officeDocument/2006/relationships/image" Target="/xl/media/image163.jpg" Id="Re5edad2e24d74b6c" /><Relationship Type="http://schemas.openxmlformats.org/officeDocument/2006/relationships/image" Target="/xl/media/image164.jpg" Id="R45fe3325cd2441cd" /><Relationship Type="http://schemas.openxmlformats.org/officeDocument/2006/relationships/image" Target="/xl/media/image165.jpg" Id="R0772f2a488e249d5" /><Relationship Type="http://schemas.openxmlformats.org/officeDocument/2006/relationships/image" Target="/xl/media/image166.jpg" Id="Ra4cf748612804a40" /><Relationship Type="http://schemas.openxmlformats.org/officeDocument/2006/relationships/image" Target="/xl/media/image167.jpg" Id="R101bd60271404e1a" /><Relationship Type="http://schemas.openxmlformats.org/officeDocument/2006/relationships/image" Target="/xl/media/image168.jpg" Id="R6e66860b91b24593" /><Relationship Type="http://schemas.openxmlformats.org/officeDocument/2006/relationships/image" Target="/xl/media/image169.jpg" Id="Ra973ba57395542b9" /><Relationship Type="http://schemas.openxmlformats.org/officeDocument/2006/relationships/image" Target="/xl/media/image170.jpg" Id="R6e73d55effea4f6a" /><Relationship Type="http://schemas.openxmlformats.org/officeDocument/2006/relationships/image" Target="/xl/media/image171.jpg" Id="R84571a9fe6164458" /><Relationship Type="http://schemas.openxmlformats.org/officeDocument/2006/relationships/image" Target="/xl/media/image172.jpg" Id="R2d4cc745b9434fb1" /><Relationship Type="http://schemas.openxmlformats.org/officeDocument/2006/relationships/image" Target="/xl/media/image173.jpg" Id="R3d255654c8c94fa1" /><Relationship Type="http://schemas.openxmlformats.org/officeDocument/2006/relationships/image" Target="/xl/media/image174.jpg" Id="R2f46d86751d84327" /><Relationship Type="http://schemas.openxmlformats.org/officeDocument/2006/relationships/image" Target="/xl/media/image175.jpg" Id="R16ecd00cfd4f411f" /><Relationship Type="http://schemas.openxmlformats.org/officeDocument/2006/relationships/image" Target="/xl/media/image176.jpg" Id="R6bd6b442b8814b6c" /><Relationship Type="http://schemas.openxmlformats.org/officeDocument/2006/relationships/image" Target="/xl/media/image177.jpg" Id="Rda6b74f65a7d4838" /><Relationship Type="http://schemas.openxmlformats.org/officeDocument/2006/relationships/image" Target="/xl/media/image178.jpg" Id="Rc47c169e124a47a0" /><Relationship Type="http://schemas.openxmlformats.org/officeDocument/2006/relationships/image" Target="/xl/media/image179.jpg" Id="R41d21b2786b94962" /><Relationship Type="http://schemas.openxmlformats.org/officeDocument/2006/relationships/image" Target="/xl/media/image180.jpg" Id="R4bc70d28f3c44b9a" /><Relationship Type="http://schemas.openxmlformats.org/officeDocument/2006/relationships/image" Target="/xl/media/image181.jpg" Id="R28502741efd94759" /><Relationship Type="http://schemas.openxmlformats.org/officeDocument/2006/relationships/image" Target="/xl/media/image182.jpg" Id="Re92829173d504e86" /><Relationship Type="http://schemas.openxmlformats.org/officeDocument/2006/relationships/image" Target="/xl/media/image183.jpg" Id="R31c6be20a6634459" /></Relationships>
</file>

<file path=xl/drawings/drawing1.xml><?xml version="1.0" encoding="utf-8"?>
<xdr:wsDr xmlns:xdr="http://schemas.openxmlformats.org/drawingml/2006/spreadsheetDrawing">
  <xdr:oneCellAnchor>
    <xdr:from>
      <xdr:col>5</xdr:col>
      <xdr:colOff>142875</xdr:colOff>
      <xdr:row>8</xdr:row>
      <xdr:rowOff>28575</xdr:rowOff>
    </xdr:from>
    <xdr:ext cx="400050" cy="400050"/>
    <xdr:pic>
      <xdr:nvPicPr>
        <xdr:cNvPr id="1" name="bf46cd63-f364-42f2-9c5b-348552b2a9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c2f3ce743c40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</xdr:row>
      <xdr:rowOff>28575</xdr:rowOff>
    </xdr:from>
    <xdr:ext cx="400050" cy="400050"/>
    <xdr:pic>
      <xdr:nvPicPr>
        <xdr:cNvPr id="2" name="f032d1ab-7508-474e-ae9b-884c6b792e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f667cfec3641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</xdr:row>
      <xdr:rowOff>28575</xdr:rowOff>
    </xdr:from>
    <xdr:ext cx="400050" cy="400050"/>
    <xdr:pic>
      <xdr:nvPicPr>
        <xdr:cNvPr id="3" name="19ea2033-8f14-46ac-9a7e-5258ff4c98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dde43211ac4f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</xdr:row>
      <xdr:rowOff>28575</xdr:rowOff>
    </xdr:from>
    <xdr:ext cx="400050" cy="400050"/>
    <xdr:pic>
      <xdr:nvPicPr>
        <xdr:cNvPr id="4" name="509a05ed-3fce-4337-90bc-e122cbb918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e299f47c0a48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</xdr:row>
      <xdr:rowOff>28575</xdr:rowOff>
    </xdr:from>
    <xdr:ext cx="400050" cy="400050"/>
    <xdr:pic>
      <xdr:nvPicPr>
        <xdr:cNvPr id="5" name="157b32c3-022c-4f70-8997-c3efb21e32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eab7c3e66046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</xdr:row>
      <xdr:rowOff>28575</xdr:rowOff>
    </xdr:from>
    <xdr:ext cx="400050" cy="400050"/>
    <xdr:pic>
      <xdr:nvPicPr>
        <xdr:cNvPr id="6" name="11b5b70a-ab38-4572-9442-acfafcd544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567f33647741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</xdr:row>
      <xdr:rowOff>28575</xdr:rowOff>
    </xdr:from>
    <xdr:ext cx="400050" cy="400050"/>
    <xdr:pic>
      <xdr:nvPicPr>
        <xdr:cNvPr id="7" name="3971318f-67a2-46a7-bc35-2021b4ac99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4616bb22a546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</xdr:row>
      <xdr:rowOff>28575</xdr:rowOff>
    </xdr:from>
    <xdr:ext cx="400050" cy="400050"/>
    <xdr:pic>
      <xdr:nvPicPr>
        <xdr:cNvPr id="8" name="e5fe45b4-6011-4ffe-8c33-5e98e1480b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30a18934e745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</xdr:row>
      <xdr:rowOff>28575</xdr:rowOff>
    </xdr:from>
    <xdr:ext cx="400050" cy="400050"/>
    <xdr:pic>
      <xdr:nvPicPr>
        <xdr:cNvPr id="9" name="4ec8e366-22be-46d8-8565-6be4d6ca21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23892048d04e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</xdr:row>
      <xdr:rowOff>28575</xdr:rowOff>
    </xdr:from>
    <xdr:ext cx="400050" cy="400050"/>
    <xdr:pic>
      <xdr:nvPicPr>
        <xdr:cNvPr id="10" name="d7553d3d-97cc-4503-a10f-33c959926a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7553c572844f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</xdr:row>
      <xdr:rowOff>28575</xdr:rowOff>
    </xdr:from>
    <xdr:ext cx="400050" cy="400050"/>
    <xdr:pic>
      <xdr:nvPicPr>
        <xdr:cNvPr id="11" name="b0700049-7f91-4df7-9226-ce187bb73a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82f4dfb18f43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19</xdr:row>
      <xdr:rowOff>28575</xdr:rowOff>
    </xdr:from>
    <xdr:ext cx="400050" cy="400050"/>
    <xdr:pic>
      <xdr:nvPicPr>
        <xdr:cNvPr id="12" name="227ddf8f-c5de-4f26-89fc-2005605bc6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408a7ac2b042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20</xdr:row>
      <xdr:rowOff>28575</xdr:rowOff>
    </xdr:from>
    <xdr:ext cx="400050" cy="400050"/>
    <xdr:pic>
      <xdr:nvPicPr>
        <xdr:cNvPr id="13" name="2da76c70-a45b-4c4e-bbaf-d90b9c1d19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e8c93aa92249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21</xdr:row>
      <xdr:rowOff>28575</xdr:rowOff>
    </xdr:from>
    <xdr:ext cx="400050" cy="400050"/>
    <xdr:pic>
      <xdr:nvPicPr>
        <xdr:cNvPr id="14" name="2973cd8d-bd16-4511-8790-53450d3f89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e6bc8321f740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22</xdr:row>
      <xdr:rowOff>28575</xdr:rowOff>
    </xdr:from>
    <xdr:ext cx="400050" cy="400050"/>
    <xdr:pic>
      <xdr:nvPicPr>
        <xdr:cNvPr id="15" name="fefbf9d9-a4d0-4f43-a4a5-6286abb855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da28b654b241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23</xdr:row>
      <xdr:rowOff>28575</xdr:rowOff>
    </xdr:from>
    <xdr:ext cx="400050" cy="400050"/>
    <xdr:pic>
      <xdr:nvPicPr>
        <xdr:cNvPr id="16" name="ce477f24-8cc1-4adf-b124-3924ffd64d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4eeb40db2e4a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24</xdr:row>
      <xdr:rowOff>28575</xdr:rowOff>
    </xdr:from>
    <xdr:ext cx="400050" cy="400050"/>
    <xdr:pic>
      <xdr:nvPicPr>
        <xdr:cNvPr id="17" name="bba56402-8acb-46e0-9d6a-a7fd0c19f5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a4655d25b848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25</xdr:row>
      <xdr:rowOff>28575</xdr:rowOff>
    </xdr:from>
    <xdr:ext cx="400050" cy="400050"/>
    <xdr:pic>
      <xdr:nvPicPr>
        <xdr:cNvPr id="18" name="328c4a68-9da8-4fe3-9864-306df847d6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77a2cdc15a44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26</xdr:row>
      <xdr:rowOff>28575</xdr:rowOff>
    </xdr:from>
    <xdr:ext cx="400050" cy="400050"/>
    <xdr:pic>
      <xdr:nvPicPr>
        <xdr:cNvPr id="19" name="52a26e21-f456-4191-999a-5564e5609f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3c5ff7c23b46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27</xdr:row>
      <xdr:rowOff>28575</xdr:rowOff>
    </xdr:from>
    <xdr:ext cx="400050" cy="400050"/>
    <xdr:pic>
      <xdr:nvPicPr>
        <xdr:cNvPr id="20" name="e2f9db2c-d98a-434d-88d0-f5518140c0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dc19d5f4704c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28</xdr:row>
      <xdr:rowOff>28575</xdr:rowOff>
    </xdr:from>
    <xdr:ext cx="400050" cy="400050"/>
    <xdr:pic>
      <xdr:nvPicPr>
        <xdr:cNvPr id="21" name="b5549f80-382c-40a4-a5e5-c5a0c09248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c0b180c6f845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29</xdr:row>
      <xdr:rowOff>28575</xdr:rowOff>
    </xdr:from>
    <xdr:ext cx="400050" cy="400050"/>
    <xdr:pic>
      <xdr:nvPicPr>
        <xdr:cNvPr id="22" name="f2bda22c-5042-4337-a8f2-65365c2e26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4b0ff326c442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30</xdr:row>
      <xdr:rowOff>28575</xdr:rowOff>
    </xdr:from>
    <xdr:ext cx="400050" cy="400050"/>
    <xdr:pic>
      <xdr:nvPicPr>
        <xdr:cNvPr id="23" name="dcfb6853-71c6-452c-b636-d5f71fb917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4679d62f3541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31</xdr:row>
      <xdr:rowOff>28575</xdr:rowOff>
    </xdr:from>
    <xdr:ext cx="400050" cy="400050"/>
    <xdr:pic>
      <xdr:nvPicPr>
        <xdr:cNvPr id="24" name="c3cb716d-0726-4cf2-b0ab-aa76c7dd0b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dfa2e5fe954b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32</xdr:row>
      <xdr:rowOff>28575</xdr:rowOff>
    </xdr:from>
    <xdr:ext cx="400050" cy="400050"/>
    <xdr:pic>
      <xdr:nvPicPr>
        <xdr:cNvPr id="25" name="76055e43-db8c-4414-8fb6-d5e42996ea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aad0eab23a42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33</xdr:row>
      <xdr:rowOff>28575</xdr:rowOff>
    </xdr:from>
    <xdr:ext cx="400050" cy="400050"/>
    <xdr:pic>
      <xdr:nvPicPr>
        <xdr:cNvPr id="26" name="a6bf90b7-68ab-4b6f-8cc5-215f56fd11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7487be70a642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34</xdr:row>
      <xdr:rowOff>28575</xdr:rowOff>
    </xdr:from>
    <xdr:ext cx="400050" cy="400050"/>
    <xdr:pic>
      <xdr:nvPicPr>
        <xdr:cNvPr id="27" name="56f61c4b-6d8a-49bf-a3e4-b20ed6acc3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2ad9b8ad9343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35</xdr:row>
      <xdr:rowOff>28575</xdr:rowOff>
    </xdr:from>
    <xdr:ext cx="400050" cy="400050"/>
    <xdr:pic>
      <xdr:nvPicPr>
        <xdr:cNvPr id="28" name="4489b942-7b00-4fc9-8883-3370489b9e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9ee5135d5347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36</xdr:row>
      <xdr:rowOff>28575</xdr:rowOff>
    </xdr:from>
    <xdr:ext cx="400050" cy="400050"/>
    <xdr:pic>
      <xdr:nvPicPr>
        <xdr:cNvPr id="29" name="12c38664-d5d8-4af5-9cc2-18ae87c574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7d4777619748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37</xdr:row>
      <xdr:rowOff>28575</xdr:rowOff>
    </xdr:from>
    <xdr:ext cx="400050" cy="400050"/>
    <xdr:pic>
      <xdr:nvPicPr>
        <xdr:cNvPr id="30" name="32f11cee-368b-4993-9894-4a6119f2c2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a287f3d4584f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38</xdr:row>
      <xdr:rowOff>28575</xdr:rowOff>
    </xdr:from>
    <xdr:ext cx="400050" cy="400050"/>
    <xdr:pic>
      <xdr:nvPicPr>
        <xdr:cNvPr id="31" name="26e1f35a-e55a-4165-a15a-346e89e76a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a602f4268846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39</xdr:row>
      <xdr:rowOff>28575</xdr:rowOff>
    </xdr:from>
    <xdr:ext cx="400050" cy="400050"/>
    <xdr:pic>
      <xdr:nvPicPr>
        <xdr:cNvPr id="32" name="aec742f9-bd1f-42b0-90b8-a55eddde2e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9886b250c541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40</xdr:row>
      <xdr:rowOff>28575</xdr:rowOff>
    </xdr:from>
    <xdr:ext cx="400050" cy="400050"/>
    <xdr:pic>
      <xdr:nvPicPr>
        <xdr:cNvPr id="33" name="94bbc3d0-d2d2-4eb9-9459-090e1e2496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f6c672538242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41</xdr:row>
      <xdr:rowOff>28575</xdr:rowOff>
    </xdr:from>
    <xdr:ext cx="400050" cy="400050"/>
    <xdr:pic>
      <xdr:nvPicPr>
        <xdr:cNvPr id="34" name="5ae1ec51-1eb5-4c70-b4b1-2148881a47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f29b95975e43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42</xdr:row>
      <xdr:rowOff>28575</xdr:rowOff>
    </xdr:from>
    <xdr:ext cx="400050" cy="400050"/>
    <xdr:pic>
      <xdr:nvPicPr>
        <xdr:cNvPr id="35" name="dbca9a6c-51d5-4080-955f-20b5bd79d5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dbbf0994dc44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43</xdr:row>
      <xdr:rowOff>28575</xdr:rowOff>
    </xdr:from>
    <xdr:ext cx="400050" cy="400050"/>
    <xdr:pic>
      <xdr:nvPicPr>
        <xdr:cNvPr id="36" name="2d9938f2-fcf7-4e66-abe7-99d7d7f557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0943731f0147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44</xdr:row>
      <xdr:rowOff>28575</xdr:rowOff>
    </xdr:from>
    <xdr:ext cx="400050" cy="400050"/>
    <xdr:pic>
      <xdr:nvPicPr>
        <xdr:cNvPr id="37" name="4e86d424-3406-467f-8938-80e5d27fa7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4642a8d43240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45</xdr:row>
      <xdr:rowOff>28575</xdr:rowOff>
    </xdr:from>
    <xdr:ext cx="400050" cy="400050"/>
    <xdr:pic>
      <xdr:nvPicPr>
        <xdr:cNvPr id="38" name="7be5ed0a-7375-4b64-94f4-b9297468e7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32e2bd786a45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46</xdr:row>
      <xdr:rowOff>28575</xdr:rowOff>
    </xdr:from>
    <xdr:ext cx="400050" cy="400050"/>
    <xdr:pic>
      <xdr:nvPicPr>
        <xdr:cNvPr id="39" name="a12593ee-4813-46ff-811c-2db68a05f7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3ddc08c7ed4f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47</xdr:row>
      <xdr:rowOff>28575</xdr:rowOff>
    </xdr:from>
    <xdr:ext cx="400050" cy="400050"/>
    <xdr:pic>
      <xdr:nvPicPr>
        <xdr:cNvPr id="40" name="8a45332c-7090-4ac0-918b-a6484ebc70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25e1ce59aa40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48</xdr:row>
      <xdr:rowOff>28575</xdr:rowOff>
    </xdr:from>
    <xdr:ext cx="400050" cy="400050"/>
    <xdr:pic>
      <xdr:nvPicPr>
        <xdr:cNvPr id="41" name="667fcc7a-d2fa-4c7e-a20a-5c226d1706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b37861a72f44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49</xdr:row>
      <xdr:rowOff>28575</xdr:rowOff>
    </xdr:from>
    <xdr:ext cx="400050" cy="400050"/>
    <xdr:pic>
      <xdr:nvPicPr>
        <xdr:cNvPr id="42" name="b392fd68-4489-48e9-98ba-dda655d33b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f271414b914d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50</xdr:row>
      <xdr:rowOff>28575</xdr:rowOff>
    </xdr:from>
    <xdr:ext cx="400050" cy="400050"/>
    <xdr:pic>
      <xdr:nvPicPr>
        <xdr:cNvPr id="43" name="f7db10da-7950-416d-837b-90c3a94e69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0c4ce004354d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51</xdr:row>
      <xdr:rowOff>28575</xdr:rowOff>
    </xdr:from>
    <xdr:ext cx="400050" cy="400050"/>
    <xdr:pic>
      <xdr:nvPicPr>
        <xdr:cNvPr id="44" name="550c35ae-9a51-40b5-bf7d-e786a4a138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68cd4965634e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52</xdr:row>
      <xdr:rowOff>28575</xdr:rowOff>
    </xdr:from>
    <xdr:ext cx="400050" cy="400050"/>
    <xdr:pic>
      <xdr:nvPicPr>
        <xdr:cNvPr id="45" name="9a3148e0-8574-4cd3-b179-f6c75aa94db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006373eafe4c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53</xdr:row>
      <xdr:rowOff>28575</xdr:rowOff>
    </xdr:from>
    <xdr:ext cx="400050" cy="400050"/>
    <xdr:pic>
      <xdr:nvPicPr>
        <xdr:cNvPr id="46" name="b5e8387a-62b0-4838-b15b-8cde8a0a99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3c94dba9dd4f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54</xdr:row>
      <xdr:rowOff>28575</xdr:rowOff>
    </xdr:from>
    <xdr:ext cx="400050" cy="400050"/>
    <xdr:pic>
      <xdr:nvPicPr>
        <xdr:cNvPr id="47" name="cb645321-6494-476a-9986-e6e153ad29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f38ae68ad542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55</xdr:row>
      <xdr:rowOff>28575</xdr:rowOff>
    </xdr:from>
    <xdr:ext cx="400050" cy="400050"/>
    <xdr:pic>
      <xdr:nvPicPr>
        <xdr:cNvPr id="48" name="ac3eb9ed-8844-4870-9070-f181277655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6c23e9dd5243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56</xdr:row>
      <xdr:rowOff>28575</xdr:rowOff>
    </xdr:from>
    <xdr:ext cx="400050" cy="400050"/>
    <xdr:pic>
      <xdr:nvPicPr>
        <xdr:cNvPr id="49" name="a29f5559-d8fa-42d8-9a58-bf3c8f6890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98e0676f8b44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57</xdr:row>
      <xdr:rowOff>28575</xdr:rowOff>
    </xdr:from>
    <xdr:ext cx="400050" cy="400050"/>
    <xdr:pic>
      <xdr:nvPicPr>
        <xdr:cNvPr id="50" name="2e0a61ad-2049-4bfa-91fd-6662f9abaf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99b50577ef45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58</xdr:row>
      <xdr:rowOff>28575</xdr:rowOff>
    </xdr:from>
    <xdr:ext cx="400050" cy="400050"/>
    <xdr:pic>
      <xdr:nvPicPr>
        <xdr:cNvPr id="51" name="d6844e13-d60f-403a-b21e-d38c760f17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c4cf8049254c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59</xdr:row>
      <xdr:rowOff>28575</xdr:rowOff>
    </xdr:from>
    <xdr:ext cx="400050" cy="400050"/>
    <xdr:pic>
      <xdr:nvPicPr>
        <xdr:cNvPr id="52" name="eb93a3d9-5dac-4431-a712-b68466d25f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5629fee87544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60</xdr:row>
      <xdr:rowOff>28575</xdr:rowOff>
    </xdr:from>
    <xdr:ext cx="400050" cy="400050"/>
    <xdr:pic>
      <xdr:nvPicPr>
        <xdr:cNvPr id="53" name="0cbbc518-1856-44bc-98e3-f65a30af80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0c2c3cf12b48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61</xdr:row>
      <xdr:rowOff>28575</xdr:rowOff>
    </xdr:from>
    <xdr:ext cx="400050" cy="400050"/>
    <xdr:pic>
      <xdr:nvPicPr>
        <xdr:cNvPr id="54" name="1728734d-7602-4c30-b9af-14e6d588be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f194bc579e4b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62</xdr:row>
      <xdr:rowOff>28575</xdr:rowOff>
    </xdr:from>
    <xdr:ext cx="400050" cy="400050"/>
    <xdr:pic>
      <xdr:nvPicPr>
        <xdr:cNvPr id="55" name="a1d9adaf-c7c7-4716-a5f9-dcc2dd367a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df1868f6ba42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63</xdr:row>
      <xdr:rowOff>28575</xdr:rowOff>
    </xdr:from>
    <xdr:ext cx="400050" cy="400050"/>
    <xdr:pic>
      <xdr:nvPicPr>
        <xdr:cNvPr id="56" name="f64fc8f8-7c2d-4b0f-8590-443779b50b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a5afde719a48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64</xdr:row>
      <xdr:rowOff>28575</xdr:rowOff>
    </xdr:from>
    <xdr:ext cx="400050" cy="400050"/>
    <xdr:pic>
      <xdr:nvPicPr>
        <xdr:cNvPr id="57" name="9ca234bc-e155-478b-9a69-0215f8538c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fa6e2ab24049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65</xdr:row>
      <xdr:rowOff>28575</xdr:rowOff>
    </xdr:from>
    <xdr:ext cx="400050" cy="400050"/>
    <xdr:pic>
      <xdr:nvPicPr>
        <xdr:cNvPr id="58" name="91767184-99a0-4e10-8c1d-232512aecd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c90a38974a48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66</xdr:row>
      <xdr:rowOff>28575</xdr:rowOff>
    </xdr:from>
    <xdr:ext cx="400050" cy="400050"/>
    <xdr:pic>
      <xdr:nvPicPr>
        <xdr:cNvPr id="59" name="9b53df11-cf39-4a97-900a-ab7e1e70e0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b74bad92cc46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67</xdr:row>
      <xdr:rowOff>28575</xdr:rowOff>
    </xdr:from>
    <xdr:ext cx="400050" cy="400050"/>
    <xdr:pic>
      <xdr:nvPicPr>
        <xdr:cNvPr id="60" name="859e7345-69ab-4c38-bda8-2ab5646987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1029e4f1cf4c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68</xdr:row>
      <xdr:rowOff>28575</xdr:rowOff>
    </xdr:from>
    <xdr:ext cx="400050" cy="400050"/>
    <xdr:pic>
      <xdr:nvPicPr>
        <xdr:cNvPr id="61" name="e83b373c-b23f-443b-93a6-d18acd451c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0db3c8b55146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69</xdr:row>
      <xdr:rowOff>28575</xdr:rowOff>
    </xdr:from>
    <xdr:ext cx="400050" cy="400050"/>
    <xdr:pic>
      <xdr:nvPicPr>
        <xdr:cNvPr id="62" name="062dc064-c821-40f6-a915-48045da8de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ae0790b7a44a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70</xdr:row>
      <xdr:rowOff>28575</xdr:rowOff>
    </xdr:from>
    <xdr:ext cx="400050" cy="400050"/>
    <xdr:pic>
      <xdr:nvPicPr>
        <xdr:cNvPr id="63" name="22da4a5c-a9e7-431a-8d5d-f3c293f8e0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f060479f644f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71</xdr:row>
      <xdr:rowOff>28575</xdr:rowOff>
    </xdr:from>
    <xdr:ext cx="400050" cy="400050"/>
    <xdr:pic>
      <xdr:nvPicPr>
        <xdr:cNvPr id="64" name="e9a1aac9-0359-4e1d-a550-f4fd5c243c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7f8a96997e4c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72</xdr:row>
      <xdr:rowOff>28575</xdr:rowOff>
    </xdr:from>
    <xdr:ext cx="400050" cy="400050"/>
    <xdr:pic>
      <xdr:nvPicPr>
        <xdr:cNvPr id="65" name="2f32d746-8f88-4e53-b6ba-5db854e498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e575042ba24b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73</xdr:row>
      <xdr:rowOff>28575</xdr:rowOff>
    </xdr:from>
    <xdr:ext cx="400050" cy="400050"/>
    <xdr:pic>
      <xdr:nvPicPr>
        <xdr:cNvPr id="66" name="65e7fcc0-5917-4568-a140-537c3c548e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34f0dfd89845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74</xdr:row>
      <xdr:rowOff>28575</xdr:rowOff>
    </xdr:from>
    <xdr:ext cx="400050" cy="400050"/>
    <xdr:pic>
      <xdr:nvPicPr>
        <xdr:cNvPr id="67" name="9af4aafc-222f-4d68-bc4a-5fca5cdc52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71b56df5274c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75</xdr:row>
      <xdr:rowOff>28575</xdr:rowOff>
    </xdr:from>
    <xdr:ext cx="400050" cy="400050"/>
    <xdr:pic>
      <xdr:nvPicPr>
        <xdr:cNvPr id="68" name="17ec21ae-14b5-495e-8e43-95ef401815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bab68cc40b4b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76</xdr:row>
      <xdr:rowOff>28575</xdr:rowOff>
    </xdr:from>
    <xdr:ext cx="400050" cy="400050"/>
    <xdr:pic>
      <xdr:nvPicPr>
        <xdr:cNvPr id="69" name="02ee896b-5cc2-4a1e-905c-8ddb59ecc1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8db56b45f641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77</xdr:row>
      <xdr:rowOff>28575</xdr:rowOff>
    </xdr:from>
    <xdr:ext cx="400050" cy="400050"/>
    <xdr:pic>
      <xdr:nvPicPr>
        <xdr:cNvPr id="70" name="b92f618b-4cbc-4acc-968f-5f3ad9ce0d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49c9adaa4248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78</xdr:row>
      <xdr:rowOff>28575</xdr:rowOff>
    </xdr:from>
    <xdr:ext cx="400050" cy="400050"/>
    <xdr:pic>
      <xdr:nvPicPr>
        <xdr:cNvPr id="71" name="ea1b5b0a-b4b2-4ed0-9561-e5f1528fc9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a80bb7d01249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79</xdr:row>
      <xdr:rowOff>28575</xdr:rowOff>
    </xdr:from>
    <xdr:ext cx="400050" cy="400050"/>
    <xdr:pic>
      <xdr:nvPicPr>
        <xdr:cNvPr id="72" name="f95e3833-1bcb-4f8b-9a08-98bd64c216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a7a8e1ba274f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80</xdr:row>
      <xdr:rowOff>28575</xdr:rowOff>
    </xdr:from>
    <xdr:ext cx="400050" cy="400050"/>
    <xdr:pic>
      <xdr:nvPicPr>
        <xdr:cNvPr id="73" name="2f58aae5-d957-4aac-a9a4-e82f16aac9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74ccfb99eb4c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81</xdr:row>
      <xdr:rowOff>28575</xdr:rowOff>
    </xdr:from>
    <xdr:ext cx="400050" cy="400050"/>
    <xdr:pic>
      <xdr:nvPicPr>
        <xdr:cNvPr id="74" name="9ce7e7e7-2e53-4ec6-b6af-bcc83891f5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9fb4be21144e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82</xdr:row>
      <xdr:rowOff>28575</xdr:rowOff>
    </xdr:from>
    <xdr:ext cx="400050" cy="400050"/>
    <xdr:pic>
      <xdr:nvPicPr>
        <xdr:cNvPr id="75" name="7baeecd3-b623-4ab1-9f2d-c321c316b4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0d3c6f82634c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83</xdr:row>
      <xdr:rowOff>28575</xdr:rowOff>
    </xdr:from>
    <xdr:ext cx="400050" cy="400050"/>
    <xdr:pic>
      <xdr:nvPicPr>
        <xdr:cNvPr id="76" name="cd1091d2-6b6c-4fd1-b4b4-16daf55eef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d0862babe741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84</xdr:row>
      <xdr:rowOff>28575</xdr:rowOff>
    </xdr:from>
    <xdr:ext cx="400050" cy="400050"/>
    <xdr:pic>
      <xdr:nvPicPr>
        <xdr:cNvPr id="77" name="be36d435-0506-4d04-8cc6-5c6077db3a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3d99dbaa4948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85</xdr:row>
      <xdr:rowOff>28575</xdr:rowOff>
    </xdr:from>
    <xdr:ext cx="400050" cy="400050"/>
    <xdr:pic>
      <xdr:nvPicPr>
        <xdr:cNvPr id="78" name="10a49a66-85b2-40ef-893b-ef55ab7236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76bed96a2740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86</xdr:row>
      <xdr:rowOff>28575</xdr:rowOff>
    </xdr:from>
    <xdr:ext cx="400050" cy="400050"/>
    <xdr:pic>
      <xdr:nvPicPr>
        <xdr:cNvPr id="79" name="55938d5f-c7c3-4d50-a287-070530d8fd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72723831c046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87</xdr:row>
      <xdr:rowOff>28575</xdr:rowOff>
    </xdr:from>
    <xdr:ext cx="400050" cy="400050"/>
    <xdr:pic>
      <xdr:nvPicPr>
        <xdr:cNvPr id="80" name="45c497ad-9cf4-4168-a3e2-f059ab9c3a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9581633d8346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88</xdr:row>
      <xdr:rowOff>28575</xdr:rowOff>
    </xdr:from>
    <xdr:ext cx="400050" cy="400050"/>
    <xdr:pic>
      <xdr:nvPicPr>
        <xdr:cNvPr id="81" name="c1328dca-28d9-4067-aa1d-36887c143d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8ea5a6ae8b49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89</xdr:row>
      <xdr:rowOff>28575</xdr:rowOff>
    </xdr:from>
    <xdr:ext cx="400050" cy="400050"/>
    <xdr:pic>
      <xdr:nvPicPr>
        <xdr:cNvPr id="82" name="c7085210-f03b-4995-b2ee-bd96c4be3d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ae56c13bb04a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90</xdr:row>
      <xdr:rowOff>28575</xdr:rowOff>
    </xdr:from>
    <xdr:ext cx="400050" cy="400050"/>
    <xdr:pic>
      <xdr:nvPicPr>
        <xdr:cNvPr id="83" name="1c9f2b03-bee7-4e95-8aed-7ae603e5fa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bf0211ecd849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91</xdr:row>
      <xdr:rowOff>28575</xdr:rowOff>
    </xdr:from>
    <xdr:ext cx="400050" cy="400050"/>
    <xdr:pic>
      <xdr:nvPicPr>
        <xdr:cNvPr id="84" name="8d3e8053-b429-42ee-b47f-66be967ed3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7ebe11724741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92</xdr:row>
      <xdr:rowOff>28575</xdr:rowOff>
    </xdr:from>
    <xdr:ext cx="400050" cy="400050"/>
    <xdr:pic>
      <xdr:nvPicPr>
        <xdr:cNvPr id="85" name="67c6d223-c795-4e64-9099-110a43388d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897ea547484e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93</xdr:row>
      <xdr:rowOff>28575</xdr:rowOff>
    </xdr:from>
    <xdr:ext cx="400050" cy="400050"/>
    <xdr:pic>
      <xdr:nvPicPr>
        <xdr:cNvPr id="86" name="efde6a6a-89d3-465b-af64-d3cfffd4a9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a9954c4b744a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94</xdr:row>
      <xdr:rowOff>28575</xdr:rowOff>
    </xdr:from>
    <xdr:ext cx="400050" cy="400050"/>
    <xdr:pic>
      <xdr:nvPicPr>
        <xdr:cNvPr id="87" name="9cb136dc-3c11-4c06-932a-131923ec69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c5e5bf7d0c4c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95</xdr:row>
      <xdr:rowOff>28575</xdr:rowOff>
    </xdr:from>
    <xdr:ext cx="400050" cy="400050"/>
    <xdr:pic>
      <xdr:nvPicPr>
        <xdr:cNvPr id="88" name="3e52d6ae-47df-41a8-a48a-113630564f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9a314517c74b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96</xdr:row>
      <xdr:rowOff>28575</xdr:rowOff>
    </xdr:from>
    <xdr:ext cx="400050" cy="400050"/>
    <xdr:pic>
      <xdr:nvPicPr>
        <xdr:cNvPr id="89" name="96564da6-53f7-4fc2-b864-d50c1ea4e9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05a4912ec344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97</xdr:row>
      <xdr:rowOff>28575</xdr:rowOff>
    </xdr:from>
    <xdr:ext cx="400050" cy="400050"/>
    <xdr:pic>
      <xdr:nvPicPr>
        <xdr:cNvPr id="90" name="74c0b5f8-5c42-4310-8238-e303fa5217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fdc663d4b449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98</xdr:row>
      <xdr:rowOff>28575</xdr:rowOff>
    </xdr:from>
    <xdr:ext cx="400050" cy="400050"/>
    <xdr:pic>
      <xdr:nvPicPr>
        <xdr:cNvPr id="91" name="ae48f082-4b74-4f37-a6ce-baef0e56cd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f04d619ffc45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99</xdr:row>
      <xdr:rowOff>28575</xdr:rowOff>
    </xdr:from>
    <xdr:ext cx="400050" cy="400050"/>
    <xdr:pic>
      <xdr:nvPicPr>
        <xdr:cNvPr id="92" name="e05def69-cf72-4095-bdb5-8ea6c51c45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b243f55eae4e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100</xdr:row>
      <xdr:rowOff>28575</xdr:rowOff>
    </xdr:from>
    <xdr:ext cx="400050" cy="400050"/>
    <xdr:pic>
      <xdr:nvPicPr>
        <xdr:cNvPr id="93" name="36edc2b7-174c-4738-a1d3-3c9c07bb04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0960a5ca894e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101</xdr:row>
      <xdr:rowOff>28575</xdr:rowOff>
    </xdr:from>
    <xdr:ext cx="400050" cy="400050"/>
    <xdr:pic>
      <xdr:nvPicPr>
        <xdr:cNvPr id="94" name="b246de71-60fb-45af-882a-ef3f5b635f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5ba49c18a14b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102</xdr:row>
      <xdr:rowOff>28575</xdr:rowOff>
    </xdr:from>
    <xdr:ext cx="400050" cy="400050"/>
    <xdr:pic>
      <xdr:nvPicPr>
        <xdr:cNvPr id="95" name="d162c4a7-d3c2-4f4b-9914-0d538fc8ce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d598aa85ca45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103</xdr:row>
      <xdr:rowOff>28575</xdr:rowOff>
    </xdr:from>
    <xdr:ext cx="400050" cy="400050"/>
    <xdr:pic>
      <xdr:nvPicPr>
        <xdr:cNvPr id="96" name="90cf7195-7790-4a0b-8fbe-adee7e742e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bd78d3f9f94c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104</xdr:row>
      <xdr:rowOff>28575</xdr:rowOff>
    </xdr:from>
    <xdr:ext cx="400050" cy="400050"/>
    <xdr:pic>
      <xdr:nvPicPr>
        <xdr:cNvPr id="97" name="6f55f951-4081-4019-8746-f4b3a228ca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6580a4793e4c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105</xdr:row>
      <xdr:rowOff>28575</xdr:rowOff>
    </xdr:from>
    <xdr:ext cx="400050" cy="400050"/>
    <xdr:pic>
      <xdr:nvPicPr>
        <xdr:cNvPr id="98" name="992715d0-2ea3-4fd6-b24c-e5ff892b04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d50033a29743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106</xdr:row>
      <xdr:rowOff>28575</xdr:rowOff>
    </xdr:from>
    <xdr:ext cx="400050" cy="400050"/>
    <xdr:pic>
      <xdr:nvPicPr>
        <xdr:cNvPr id="99" name="fae282df-6733-4d87-9816-d26342fac1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f927c2c4eb4f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107</xdr:row>
      <xdr:rowOff>28575</xdr:rowOff>
    </xdr:from>
    <xdr:ext cx="400050" cy="400050"/>
    <xdr:pic>
      <xdr:nvPicPr>
        <xdr:cNvPr id="100" name="071673b5-e79a-45c2-a39d-314293bc8b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26f25ecea846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108</xdr:row>
      <xdr:rowOff>28575</xdr:rowOff>
    </xdr:from>
    <xdr:ext cx="400050" cy="400050"/>
    <xdr:pic>
      <xdr:nvPicPr>
        <xdr:cNvPr id="101" name="039f9007-5cbd-4c35-a365-2f812b8a39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ce1c064e6a4e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109</xdr:row>
      <xdr:rowOff>28575</xdr:rowOff>
    </xdr:from>
    <xdr:ext cx="400050" cy="400050"/>
    <xdr:pic>
      <xdr:nvPicPr>
        <xdr:cNvPr id="102" name="6b16bda7-f2cc-4f1b-b265-559ede8f16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e4b06d02ae4d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110</xdr:row>
      <xdr:rowOff>28575</xdr:rowOff>
    </xdr:from>
    <xdr:ext cx="400050" cy="400050"/>
    <xdr:pic>
      <xdr:nvPicPr>
        <xdr:cNvPr id="103" name="9871e99c-5c3f-43dc-acd3-977e39010d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b320d4777e45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111</xdr:row>
      <xdr:rowOff>28575</xdr:rowOff>
    </xdr:from>
    <xdr:ext cx="400050" cy="400050"/>
    <xdr:pic>
      <xdr:nvPicPr>
        <xdr:cNvPr id="104" name="dfca8778-d359-498d-9b7b-31291fad89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374d988cbd45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112</xdr:row>
      <xdr:rowOff>28575</xdr:rowOff>
    </xdr:from>
    <xdr:ext cx="400050" cy="400050"/>
    <xdr:pic>
      <xdr:nvPicPr>
        <xdr:cNvPr id="105" name="8d157d8d-8356-4eb4-b04d-9a3f85e74c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b089d8cea945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113</xdr:row>
      <xdr:rowOff>28575</xdr:rowOff>
    </xdr:from>
    <xdr:ext cx="400050" cy="400050"/>
    <xdr:pic>
      <xdr:nvPicPr>
        <xdr:cNvPr id="106" name="9698441a-f1a5-44fe-8c02-f35c01a756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0b7a0e34fa4a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114</xdr:row>
      <xdr:rowOff>28575</xdr:rowOff>
    </xdr:from>
    <xdr:ext cx="400050" cy="400050"/>
    <xdr:pic>
      <xdr:nvPicPr>
        <xdr:cNvPr id="107" name="a92cd5ee-8ede-4ab2-a010-88c0b556de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c87fbd76a44e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115</xdr:row>
      <xdr:rowOff>28575</xdr:rowOff>
    </xdr:from>
    <xdr:ext cx="400050" cy="400050"/>
    <xdr:pic>
      <xdr:nvPicPr>
        <xdr:cNvPr id="108" name="13321bc4-a947-4a2b-be84-3ef03208d5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66bc811bfb43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116</xdr:row>
      <xdr:rowOff>28575</xdr:rowOff>
    </xdr:from>
    <xdr:ext cx="400050" cy="400050"/>
    <xdr:pic>
      <xdr:nvPicPr>
        <xdr:cNvPr id="109" name="4e7cf771-6475-4eae-8cab-f26c35660e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ac50d5659a43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117</xdr:row>
      <xdr:rowOff>28575</xdr:rowOff>
    </xdr:from>
    <xdr:ext cx="400050" cy="400050"/>
    <xdr:pic>
      <xdr:nvPicPr>
        <xdr:cNvPr id="110" name="52eb3b42-2d1d-48ba-878a-37b96890c4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0eb17ed7fc48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118</xdr:row>
      <xdr:rowOff>28575</xdr:rowOff>
    </xdr:from>
    <xdr:ext cx="400050" cy="400050"/>
    <xdr:pic>
      <xdr:nvPicPr>
        <xdr:cNvPr id="111" name="5f79c38b-0e99-47b3-aaa4-46e36e3fe8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cc9b1450b941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119</xdr:row>
      <xdr:rowOff>28575</xdr:rowOff>
    </xdr:from>
    <xdr:ext cx="400050" cy="400050"/>
    <xdr:pic>
      <xdr:nvPicPr>
        <xdr:cNvPr id="112" name="43c31ecb-8c6e-4e1e-a4f7-2e603b627f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192746f64444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120</xdr:row>
      <xdr:rowOff>28575</xdr:rowOff>
    </xdr:from>
    <xdr:ext cx="400050" cy="400050"/>
    <xdr:pic>
      <xdr:nvPicPr>
        <xdr:cNvPr id="113" name="aaf5c97a-0f2b-445c-87ed-b156a26c4c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72d4fd565f4b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121</xdr:row>
      <xdr:rowOff>28575</xdr:rowOff>
    </xdr:from>
    <xdr:ext cx="400050" cy="400050"/>
    <xdr:pic>
      <xdr:nvPicPr>
        <xdr:cNvPr id="114" name="a3fd2f38-fa01-488e-b9a7-1d7c6e6099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5405ddcef440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122</xdr:row>
      <xdr:rowOff>28575</xdr:rowOff>
    </xdr:from>
    <xdr:ext cx="400050" cy="400050"/>
    <xdr:pic>
      <xdr:nvPicPr>
        <xdr:cNvPr id="115" name="0e6ac254-ed43-434b-8f02-edc90b5295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7bddeebfc649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123</xdr:row>
      <xdr:rowOff>28575</xdr:rowOff>
    </xdr:from>
    <xdr:ext cx="400050" cy="400050"/>
    <xdr:pic>
      <xdr:nvPicPr>
        <xdr:cNvPr id="116" name="0456ce49-861f-4c65-872f-f704931cc6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707cdabf1b47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124</xdr:row>
      <xdr:rowOff>28575</xdr:rowOff>
    </xdr:from>
    <xdr:ext cx="400050" cy="400050"/>
    <xdr:pic>
      <xdr:nvPicPr>
        <xdr:cNvPr id="117" name="379032d7-f433-43e2-b0fa-b614a269c7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e71ccff1c843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125</xdr:row>
      <xdr:rowOff>28575</xdr:rowOff>
    </xdr:from>
    <xdr:ext cx="400050" cy="400050"/>
    <xdr:pic>
      <xdr:nvPicPr>
        <xdr:cNvPr id="118" name="8d30d88b-998f-44fc-a20e-6b2f2cc90e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29c5d4ddd74f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126</xdr:row>
      <xdr:rowOff>28575</xdr:rowOff>
    </xdr:from>
    <xdr:ext cx="400050" cy="400050"/>
    <xdr:pic>
      <xdr:nvPicPr>
        <xdr:cNvPr id="119" name="2016cab5-4895-46f4-b7a1-400634b529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273497dfbb49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127</xdr:row>
      <xdr:rowOff>28575</xdr:rowOff>
    </xdr:from>
    <xdr:ext cx="400050" cy="400050"/>
    <xdr:pic>
      <xdr:nvPicPr>
        <xdr:cNvPr id="120" name="d62d153b-8e28-483d-9a69-5378e7e84d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e013eba4214f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128</xdr:row>
      <xdr:rowOff>28575</xdr:rowOff>
    </xdr:from>
    <xdr:ext cx="400050" cy="400050"/>
    <xdr:pic>
      <xdr:nvPicPr>
        <xdr:cNvPr id="121" name="b5a57577-521d-4c4a-afbe-cc131a5a8a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a2f8f4f83b43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129</xdr:row>
      <xdr:rowOff>28575</xdr:rowOff>
    </xdr:from>
    <xdr:ext cx="400050" cy="400050"/>
    <xdr:pic>
      <xdr:nvPicPr>
        <xdr:cNvPr id="122" name="b11317fa-d172-4596-b00f-832f451090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7fade5261e40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130</xdr:row>
      <xdr:rowOff>28575</xdr:rowOff>
    </xdr:from>
    <xdr:ext cx="400050" cy="400050"/>
    <xdr:pic>
      <xdr:nvPicPr>
        <xdr:cNvPr id="123" name="52af2f9c-b84a-4931-bc40-bbc6b6fe4d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0dafb0b5cd49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131</xdr:row>
      <xdr:rowOff>28575</xdr:rowOff>
    </xdr:from>
    <xdr:ext cx="400050" cy="400050"/>
    <xdr:pic>
      <xdr:nvPicPr>
        <xdr:cNvPr id="124" name="d086f0e0-3f48-4d13-9682-2a918a3249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0e99f00a4e4e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132</xdr:row>
      <xdr:rowOff>28575</xdr:rowOff>
    </xdr:from>
    <xdr:ext cx="400050" cy="400050"/>
    <xdr:pic>
      <xdr:nvPicPr>
        <xdr:cNvPr id="125" name="e695d7c9-7aeb-465e-a1ec-8263dfa2ff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bc61c5762a44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133</xdr:row>
      <xdr:rowOff>28575</xdr:rowOff>
    </xdr:from>
    <xdr:ext cx="400050" cy="400050"/>
    <xdr:pic>
      <xdr:nvPicPr>
        <xdr:cNvPr id="126" name="16315b2b-a9e3-4e72-9d7c-11cc2f57aa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55b278c58f4d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134</xdr:row>
      <xdr:rowOff>28575</xdr:rowOff>
    </xdr:from>
    <xdr:ext cx="400050" cy="400050"/>
    <xdr:pic>
      <xdr:nvPicPr>
        <xdr:cNvPr id="127" name="85f82553-5da8-4cee-8af3-6101f9a212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fdcc4d1c384b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135</xdr:row>
      <xdr:rowOff>28575</xdr:rowOff>
    </xdr:from>
    <xdr:ext cx="400050" cy="400050"/>
    <xdr:pic>
      <xdr:nvPicPr>
        <xdr:cNvPr id="128" name="e1dd55c5-a2ed-42c5-aa61-bbf7eec21d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a1ef6870544d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136</xdr:row>
      <xdr:rowOff>28575</xdr:rowOff>
    </xdr:from>
    <xdr:ext cx="400050" cy="400050"/>
    <xdr:pic>
      <xdr:nvPicPr>
        <xdr:cNvPr id="129" name="cb18d35e-42ad-4f1d-ad9b-7bed7e48dd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f7f5d76ee646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137</xdr:row>
      <xdr:rowOff>28575</xdr:rowOff>
    </xdr:from>
    <xdr:ext cx="400050" cy="400050"/>
    <xdr:pic>
      <xdr:nvPicPr>
        <xdr:cNvPr id="130" name="4f90401d-187c-4573-ab90-49b042704b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4213acf9894a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138</xdr:row>
      <xdr:rowOff>28575</xdr:rowOff>
    </xdr:from>
    <xdr:ext cx="400050" cy="400050"/>
    <xdr:pic>
      <xdr:nvPicPr>
        <xdr:cNvPr id="131" name="1a6d86c5-86cc-4c35-bde8-a3626a0e93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c11e28cec64f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139</xdr:row>
      <xdr:rowOff>28575</xdr:rowOff>
    </xdr:from>
    <xdr:ext cx="400050" cy="400050"/>
    <xdr:pic>
      <xdr:nvPicPr>
        <xdr:cNvPr id="132" name="1a9de899-b125-4410-9400-002796662e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5c2e98f2514c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140</xdr:row>
      <xdr:rowOff>28575</xdr:rowOff>
    </xdr:from>
    <xdr:ext cx="400050" cy="400050"/>
    <xdr:pic>
      <xdr:nvPicPr>
        <xdr:cNvPr id="133" name="730ea074-fb22-48e2-8a61-79583ea029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1868269f75f45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141</xdr:row>
      <xdr:rowOff>28575</xdr:rowOff>
    </xdr:from>
    <xdr:ext cx="400050" cy="400050"/>
    <xdr:pic>
      <xdr:nvPicPr>
        <xdr:cNvPr id="134" name="1225d89b-2a3e-422f-a49e-e63ef8dd3b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9d7ff3b37e43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142</xdr:row>
      <xdr:rowOff>28575</xdr:rowOff>
    </xdr:from>
    <xdr:ext cx="400050" cy="400050"/>
    <xdr:pic>
      <xdr:nvPicPr>
        <xdr:cNvPr id="135" name="f156a0a3-ef2b-4a15-a43c-b4a61e78e0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1942320bd84a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143</xdr:row>
      <xdr:rowOff>28575</xdr:rowOff>
    </xdr:from>
    <xdr:ext cx="400050" cy="400050"/>
    <xdr:pic>
      <xdr:nvPicPr>
        <xdr:cNvPr id="136" name="0b8607d6-bf54-473b-957d-7e13576d53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45077282d144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144</xdr:row>
      <xdr:rowOff>28575</xdr:rowOff>
    </xdr:from>
    <xdr:ext cx="400050" cy="400050"/>
    <xdr:pic>
      <xdr:nvPicPr>
        <xdr:cNvPr id="137" name="27c35fce-e9d0-4f5a-960e-00fee5c4fd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b78b8cf11346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145</xdr:row>
      <xdr:rowOff>28575</xdr:rowOff>
    </xdr:from>
    <xdr:ext cx="400050" cy="400050"/>
    <xdr:pic>
      <xdr:nvPicPr>
        <xdr:cNvPr id="138" name="c3b963ff-de27-4eab-a321-a0431f4553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123364ac1543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146</xdr:row>
      <xdr:rowOff>28575</xdr:rowOff>
    </xdr:from>
    <xdr:ext cx="400050" cy="400050"/>
    <xdr:pic>
      <xdr:nvPicPr>
        <xdr:cNvPr id="139" name="bd5bde8f-32f3-491c-bfd2-97bfc26b4f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4bfe4ddf844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147</xdr:row>
      <xdr:rowOff>28575</xdr:rowOff>
    </xdr:from>
    <xdr:ext cx="400050" cy="400050"/>
    <xdr:pic>
      <xdr:nvPicPr>
        <xdr:cNvPr id="140" name="2af19bfb-110a-40ff-aff2-49365335ab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225f33d2614b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148</xdr:row>
      <xdr:rowOff>28575</xdr:rowOff>
    </xdr:from>
    <xdr:ext cx="400050" cy="400050"/>
    <xdr:pic>
      <xdr:nvPicPr>
        <xdr:cNvPr id="141" name="f68d4d32-3911-4a3d-87e5-7c97e981f0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b919e07a7f4c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149</xdr:row>
      <xdr:rowOff>28575</xdr:rowOff>
    </xdr:from>
    <xdr:ext cx="400050" cy="400050"/>
    <xdr:pic>
      <xdr:nvPicPr>
        <xdr:cNvPr id="142" name="b8599e57-470f-4169-83f1-1784bf5f63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d085cd5f6240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150</xdr:row>
      <xdr:rowOff>28575</xdr:rowOff>
    </xdr:from>
    <xdr:ext cx="400050" cy="400050"/>
    <xdr:pic>
      <xdr:nvPicPr>
        <xdr:cNvPr id="143" name="4729f87c-c2c8-4c78-b48f-548ba151bf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30ad2b41604c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151</xdr:row>
      <xdr:rowOff>28575</xdr:rowOff>
    </xdr:from>
    <xdr:ext cx="400050" cy="400050"/>
    <xdr:pic>
      <xdr:nvPicPr>
        <xdr:cNvPr id="144" name="56ea072e-d890-4cf1-a200-e4b3a9acec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db7724712043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152</xdr:row>
      <xdr:rowOff>28575</xdr:rowOff>
    </xdr:from>
    <xdr:ext cx="400050" cy="400050"/>
    <xdr:pic>
      <xdr:nvPicPr>
        <xdr:cNvPr id="145" name="a87e44c4-1eae-4a2e-ad51-f68d12abb3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bcf8d1bcc94b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153</xdr:row>
      <xdr:rowOff>28575</xdr:rowOff>
    </xdr:from>
    <xdr:ext cx="400050" cy="400050"/>
    <xdr:pic>
      <xdr:nvPicPr>
        <xdr:cNvPr id="146" name="aedb0195-8975-43d2-8df9-aa168b3bd6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de689d90f54c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154</xdr:row>
      <xdr:rowOff>28575</xdr:rowOff>
    </xdr:from>
    <xdr:ext cx="400050" cy="400050"/>
    <xdr:pic>
      <xdr:nvPicPr>
        <xdr:cNvPr id="147" name="9b6d3806-a1ef-426b-a846-f5289541c4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7a0ccd3e8441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155</xdr:row>
      <xdr:rowOff>28575</xdr:rowOff>
    </xdr:from>
    <xdr:ext cx="400050" cy="400050"/>
    <xdr:pic>
      <xdr:nvPicPr>
        <xdr:cNvPr id="148" name="af6997c4-a7f2-4641-8cfb-e38499bc0c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35770aa5be45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156</xdr:row>
      <xdr:rowOff>28575</xdr:rowOff>
    </xdr:from>
    <xdr:ext cx="400050" cy="400050"/>
    <xdr:pic>
      <xdr:nvPicPr>
        <xdr:cNvPr id="149" name="23c63238-71ea-4974-9776-c5f51ee5be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fdc9edc56c42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157</xdr:row>
      <xdr:rowOff>28575</xdr:rowOff>
    </xdr:from>
    <xdr:ext cx="400050" cy="400050"/>
    <xdr:pic>
      <xdr:nvPicPr>
        <xdr:cNvPr id="150" name="ea5d8346-03e3-4284-836d-e1daece544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08ceb68a2e44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158</xdr:row>
      <xdr:rowOff>28575</xdr:rowOff>
    </xdr:from>
    <xdr:ext cx="400050" cy="400050"/>
    <xdr:pic>
      <xdr:nvPicPr>
        <xdr:cNvPr id="151" name="b44e6b4b-a410-4cfb-9f29-81bec1e032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e3e76cf0b64c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159</xdr:row>
      <xdr:rowOff>28575</xdr:rowOff>
    </xdr:from>
    <xdr:ext cx="400050" cy="400050"/>
    <xdr:pic>
      <xdr:nvPicPr>
        <xdr:cNvPr id="152" name="f92e1f1c-b35e-41a9-8f28-9926365721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871aa48e1546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160</xdr:row>
      <xdr:rowOff>28575</xdr:rowOff>
    </xdr:from>
    <xdr:ext cx="400050" cy="400050"/>
    <xdr:pic>
      <xdr:nvPicPr>
        <xdr:cNvPr id="153" name="7ff8d0a1-42f5-4019-80de-d6eaf2f612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9be43e5c004f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161</xdr:row>
      <xdr:rowOff>28575</xdr:rowOff>
    </xdr:from>
    <xdr:ext cx="400050" cy="400050"/>
    <xdr:pic>
      <xdr:nvPicPr>
        <xdr:cNvPr id="154" name="1c691d2a-9498-4c22-b7f4-30d2a5fc62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8f4f5458c543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162</xdr:row>
      <xdr:rowOff>28575</xdr:rowOff>
    </xdr:from>
    <xdr:ext cx="400050" cy="400050"/>
    <xdr:pic>
      <xdr:nvPicPr>
        <xdr:cNvPr id="155" name="32a798f5-2e69-4889-8a48-2b79f4a666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d108343aab42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163</xdr:row>
      <xdr:rowOff>28575</xdr:rowOff>
    </xdr:from>
    <xdr:ext cx="400050" cy="400050"/>
    <xdr:pic>
      <xdr:nvPicPr>
        <xdr:cNvPr id="156" name="9d351ecc-0669-4226-a81f-329ab02949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1c977d409f4f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164</xdr:row>
      <xdr:rowOff>28575</xdr:rowOff>
    </xdr:from>
    <xdr:ext cx="400050" cy="400050"/>
    <xdr:pic>
      <xdr:nvPicPr>
        <xdr:cNvPr id="157" name="5607430d-a9c5-40ae-9071-752da49316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58e06c3d264b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165</xdr:row>
      <xdr:rowOff>28575</xdr:rowOff>
    </xdr:from>
    <xdr:ext cx="400050" cy="400050"/>
    <xdr:pic>
      <xdr:nvPicPr>
        <xdr:cNvPr id="158" name="cae2a66a-bc22-4483-b16b-1e68fb786b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e8ff329d084a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166</xdr:row>
      <xdr:rowOff>28575</xdr:rowOff>
    </xdr:from>
    <xdr:ext cx="400050" cy="400050"/>
    <xdr:pic>
      <xdr:nvPicPr>
        <xdr:cNvPr id="159" name="44b96bc5-fa4a-4907-8a8d-17b7dbc4c3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f13b371ad84e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167</xdr:row>
      <xdr:rowOff>28575</xdr:rowOff>
    </xdr:from>
    <xdr:ext cx="400050" cy="400050"/>
    <xdr:pic>
      <xdr:nvPicPr>
        <xdr:cNvPr id="160" name="ce26e75b-521a-4c1f-b4ad-352d022a04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9764bc27ba46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168</xdr:row>
      <xdr:rowOff>28575</xdr:rowOff>
    </xdr:from>
    <xdr:ext cx="400050" cy="400050"/>
    <xdr:pic>
      <xdr:nvPicPr>
        <xdr:cNvPr id="161" name="acacda71-ad4d-4bed-8171-3bfe863727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a1eae7b4b64f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169</xdr:row>
      <xdr:rowOff>28575</xdr:rowOff>
    </xdr:from>
    <xdr:ext cx="400050" cy="400050"/>
    <xdr:pic>
      <xdr:nvPicPr>
        <xdr:cNvPr id="162" name="e01ea071-fc58-4c98-9c4b-f7b84206b7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d8ef4fc2a84d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170</xdr:row>
      <xdr:rowOff>28575</xdr:rowOff>
    </xdr:from>
    <xdr:ext cx="400050" cy="400050"/>
    <xdr:pic>
      <xdr:nvPicPr>
        <xdr:cNvPr id="163" name="1bd56441-0ef9-4d52-8fa1-03f3fbca60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edad2e24d74b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171</xdr:row>
      <xdr:rowOff>28575</xdr:rowOff>
    </xdr:from>
    <xdr:ext cx="400050" cy="400050"/>
    <xdr:pic>
      <xdr:nvPicPr>
        <xdr:cNvPr id="164" name="5bb54dab-671c-4ec5-bfab-1de177cc25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fe3325cd2441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172</xdr:row>
      <xdr:rowOff>28575</xdr:rowOff>
    </xdr:from>
    <xdr:ext cx="400050" cy="400050"/>
    <xdr:pic>
      <xdr:nvPicPr>
        <xdr:cNvPr id="165" name="7e15d8ae-22ad-4c95-84d5-a6c79c28ed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72f2a488e249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173</xdr:row>
      <xdr:rowOff>28575</xdr:rowOff>
    </xdr:from>
    <xdr:ext cx="400050" cy="400050"/>
    <xdr:pic>
      <xdr:nvPicPr>
        <xdr:cNvPr id="166" name="1b660f53-2656-46d4-8acf-dddda9969b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cf748612804a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174</xdr:row>
      <xdr:rowOff>28575</xdr:rowOff>
    </xdr:from>
    <xdr:ext cx="400050" cy="400050"/>
    <xdr:pic>
      <xdr:nvPicPr>
        <xdr:cNvPr id="167" name="f062c368-d310-48f5-a951-3a03120cab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1bd60271404e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175</xdr:row>
      <xdr:rowOff>28575</xdr:rowOff>
    </xdr:from>
    <xdr:ext cx="400050" cy="400050"/>
    <xdr:pic>
      <xdr:nvPicPr>
        <xdr:cNvPr id="168" name="6945a817-7a22-4efb-b909-1b69075d56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66860b91b245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176</xdr:row>
      <xdr:rowOff>28575</xdr:rowOff>
    </xdr:from>
    <xdr:ext cx="400050" cy="400050"/>
    <xdr:pic>
      <xdr:nvPicPr>
        <xdr:cNvPr id="169" name="b6b0c1fa-f2b3-44ba-8d3c-72b2a77968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73ba57395542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177</xdr:row>
      <xdr:rowOff>28575</xdr:rowOff>
    </xdr:from>
    <xdr:ext cx="400050" cy="400050"/>
    <xdr:pic>
      <xdr:nvPicPr>
        <xdr:cNvPr id="170" name="92c74a6b-121e-4f2d-b81c-d570608b27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73d55effea4f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178</xdr:row>
      <xdr:rowOff>28575</xdr:rowOff>
    </xdr:from>
    <xdr:ext cx="400050" cy="400050"/>
    <xdr:pic>
      <xdr:nvPicPr>
        <xdr:cNvPr id="171" name="40e8abd5-800f-4409-8153-a5ce675517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571a9fe61644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179</xdr:row>
      <xdr:rowOff>28575</xdr:rowOff>
    </xdr:from>
    <xdr:ext cx="400050" cy="400050"/>
    <xdr:pic>
      <xdr:nvPicPr>
        <xdr:cNvPr id="172" name="7e0ef6f8-e492-4fc0-8349-53d6034d6b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4cc745b9434f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180</xdr:row>
      <xdr:rowOff>28575</xdr:rowOff>
    </xdr:from>
    <xdr:ext cx="400050" cy="400050"/>
    <xdr:pic>
      <xdr:nvPicPr>
        <xdr:cNvPr id="173" name="d7a80520-efd7-448b-ac6d-84a420a502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255654c8c94f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181</xdr:row>
      <xdr:rowOff>28575</xdr:rowOff>
    </xdr:from>
    <xdr:ext cx="400050" cy="400050"/>
    <xdr:pic>
      <xdr:nvPicPr>
        <xdr:cNvPr id="174" name="b4f0da9d-8056-4fe3-a680-795614367d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46d86751d843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182</xdr:row>
      <xdr:rowOff>28575</xdr:rowOff>
    </xdr:from>
    <xdr:ext cx="400050" cy="400050"/>
    <xdr:pic>
      <xdr:nvPicPr>
        <xdr:cNvPr id="175" name="81cfecfa-a011-4120-ae27-7588c8734f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ecd00cfd4f41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183</xdr:row>
      <xdr:rowOff>28575</xdr:rowOff>
    </xdr:from>
    <xdr:ext cx="400050" cy="400050"/>
    <xdr:pic>
      <xdr:nvPicPr>
        <xdr:cNvPr id="176" name="2b92e6d8-9b66-4fca-933c-783aa20894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d6b442b8814b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184</xdr:row>
      <xdr:rowOff>28575</xdr:rowOff>
    </xdr:from>
    <xdr:ext cx="400050" cy="400050"/>
    <xdr:pic>
      <xdr:nvPicPr>
        <xdr:cNvPr id="177" name="642a01ea-aed4-47c7-bb73-0696200a52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6b74f65a7d48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185</xdr:row>
      <xdr:rowOff>28575</xdr:rowOff>
    </xdr:from>
    <xdr:ext cx="400050" cy="400050"/>
    <xdr:pic>
      <xdr:nvPicPr>
        <xdr:cNvPr id="178" name="e708f63c-140b-4f4d-9660-c4cf5e5c7d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7c169e124a47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186</xdr:row>
      <xdr:rowOff>28575</xdr:rowOff>
    </xdr:from>
    <xdr:ext cx="400050" cy="400050"/>
    <xdr:pic>
      <xdr:nvPicPr>
        <xdr:cNvPr id="179" name="633a06da-e104-4134-9f3d-3e395c81a1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d21b2786b949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187</xdr:row>
      <xdr:rowOff>28575</xdr:rowOff>
    </xdr:from>
    <xdr:ext cx="400050" cy="400050"/>
    <xdr:pic>
      <xdr:nvPicPr>
        <xdr:cNvPr id="180" name="7d4b0490-e2e1-4786-9401-5fdb8c1f43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c70d28f3c44b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188</xdr:row>
      <xdr:rowOff>28575</xdr:rowOff>
    </xdr:from>
    <xdr:ext cx="400050" cy="400050"/>
    <xdr:pic>
      <xdr:nvPicPr>
        <xdr:cNvPr id="181" name="6492afd4-b7f1-4e6d-89b9-6cfbe89d94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502741efd947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189</xdr:row>
      <xdr:rowOff>28575</xdr:rowOff>
    </xdr:from>
    <xdr:ext cx="400050" cy="400050"/>
    <xdr:pic>
      <xdr:nvPicPr>
        <xdr:cNvPr id="182" name="5bf77513-7063-4fec-ac88-017861c95b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2829173d504e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142875</xdr:colOff>
      <xdr:row>190</xdr:row>
      <xdr:rowOff>28575</xdr:rowOff>
    </xdr:from>
    <xdr:ext cx="400050" cy="400050"/>
    <xdr:pic>
      <xdr:nvPicPr>
        <xdr:cNvPr id="183" name="24cd5c61-1dac-4a67-a14a-5066b013e6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c6be20a66344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2" name="ShipmentMatrix" displayName="ShipmentMatrix" ref="A8:AF191" headerRowCount="1" totalsRowCount="0" totalsRowShown="0">
  <x:autoFilter ref="A8:AF191"/>
  <x:tableColumns count="32">
    <x:tableColumn id="1" name="SPU"/>
    <x:tableColumn id="2" name="运营"/>
    <x:tableColumn id="3" name="颜色"/>
    <x:tableColumn id="4" name="颜色编码"/>
    <x:tableColumn id="5" name="SKU（不含尺码）"/>
    <x:tableColumn id="6" name="图片"/>
    <x:tableColumn id="7" name="5码"/>
    <x:tableColumn id="8" name="6码"/>
    <x:tableColumn id="9" name="6.5码"/>
    <x:tableColumn id="10" name="7码"/>
    <x:tableColumn id="11" name="7.5码"/>
    <x:tableColumn id="12" name="8码"/>
    <x:tableColumn id="13" name="8.5码"/>
    <x:tableColumn id="14" name="9码"/>
    <x:tableColumn id="15" name="9.5码"/>
    <x:tableColumn id="16" name="10码"/>
    <x:tableColumn id="17" name="10.5码"/>
    <x:tableColumn id="18" name="11码"/>
    <x:tableColumn id="19" name="款色合计 / 双"/>
    <x:tableColumn id="20" name="SPU已知合计 / 双"/>
    <x:tableColumn id="21" name="数量状态"/>
    <x:tableColumn id="22" name="Listing销售状态"/>
    <x:tableColumn id="23" name="本行基础日销"/>
    <x:tableColumn id="24" name="2026-10系数"/>
    <x:tableColumn id="25" name="2026-10预测/12天"/>
    <x:tableColumn id="26" name="2026-11系数"/>
    <x:tableColumn id="27" name="2026-11预测/30天"/>
    <x:tableColumn id="28" name="2026-12系数"/>
    <x:tableColumn id="29" name="2026-12预测/31天"/>
    <x:tableColumn id="30" name="2027-01系数"/>
    <x:tableColumn id="31" name="2027-01预测/17天"/>
    <x:tableColumn id="32" name="本期预测总需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ShipmentPlan" displayName="ShipmentPlan" ref="A10:CI1309" headerRowCount="1" totalsRowCount="0" totalsRowShown="0">
  <x:autoFilter ref="A10:CI1309"/>
  <x:tableColumns count="87">
    <x:tableColumn id="1" name="SKU"/>
    <x:tableColumn id="2" name="店铺"/>
    <x:tableColumn id="3" name="运营"/>
    <x:tableColumn id="4" name="本批建议发货/双"/>
    <x:tableColumn id="5" name="实际需补/双"/>
    <x:tableColumn id="6" name="国内可用/双"/>
    <x:tableColumn id="7" name="未满足/双"/>
    <x:tableColumn id="8" name="安排"/>
    <x:tableColumn id="9" name="有效7天销量"/>
    <x:tableColumn id="10" name="有效14天销量"/>
    <x:tableColumn id="11" name="有效30天销量"/>
    <x:tableColumn id="12" name="未来90天日均需求"/>
    <x:tableColumn id="13" name="FBA可用库存"/>
    <x:tableColumn id="14" name="FBA入库中"/>
    <x:tableColumn id="15" name="FBA实际在途"/>
    <x:tableColumn id="16" name="海外覆盖/天"/>
    <x:tableColumn id="17" name="匹配说明"/>
    <x:tableColumn id="18" name="国内数据状态"/>
    <x:tableColumn id="19" name="Listing销售状态"/>
    <x:tableColumn id="20" name="SPU"/>
    <x:tableColumn id="21" name="颜色"/>
    <x:tableColumn id="22" name="尺寸"/>
    <x:tableColumn id="23" name="7有效日：日期范围"/>
    <x:tableColumn id="24" name="7有效日：实际日期"/>
    <x:tableColumn id="25" name="7有效日：排除日期及原因"/>
    <x:tableColumn id="26" name="7有效日：原始区间销量"/>
    <x:tableColumn id="27" name="7有效日：剔除销量"/>
    <x:tableColumn id="28" name="7有效日：有效天数"/>
    <x:tableColumn id="29" name="14有效日：日期范围"/>
    <x:tableColumn id="30" name="14有效日：实际日期"/>
    <x:tableColumn id="31" name="14有效日：排除日期及原因"/>
    <x:tableColumn id="32" name="14有效日：原始区间销量"/>
    <x:tableColumn id="33" name="14有效日：剔除销量"/>
    <x:tableColumn id="34" name="14有效日：有效天数"/>
    <x:tableColumn id="35" name="30有效日：日期范围"/>
    <x:tableColumn id="36" name="30有效日：实际日期"/>
    <x:tableColumn id="37" name="30有效日：排除日期及原因"/>
    <x:tableColumn id="38" name="30有效日：原始区间销量"/>
    <x:tableColumn id="39" name="30有效日：剔除销量"/>
    <x:tableColumn id="40" name="30有效日：有效天数"/>
    <x:tableColumn id="41" name="店铺 / SPU / 款色材质分组"/>
    <x:tableColumn id="42" name="7有效日平均季节系数"/>
    <x:tableColumn id="43" name="14有效日平均季节系数"/>
    <x:tableColumn id="44" name="30有效日平均季节系数"/>
    <x:tableColumn id="45" name="SKU季节还原日销"/>
    <x:tableColumn id="46" name="90自然日原始销量"/>
    <x:tableColumn id="47" name="90自然日剔除销量"/>
    <x:tableColumn id="48" name="90自然日有效天数"/>
    <x:tableColumn id="49" name="90天有效日均"/>
    <x:tableColumn id="50" name="180自然日原始销量"/>
    <x:tableColumn id="51" name="180自然日剔除销量"/>
    <x:tableColumn id="52" name="180自然日有效天数"/>
    <x:tableColumn id="53" name="180天有效日均"/>
    <x:tableColumn id="54" name="本SKU预测输入完整"/>
    <x:tableColumn id="55" name="款色基准日销"/>
    <x:tableColumn id="56" name="款色90天日均合计"/>
    <x:tableColumn id="57" name="款色180天日均合计"/>
    <x:tableColumn id="58" name="尺码分配占比"/>
    <x:tableColumn id="59" name="未来季节加权天数"/>
    <x:tableColumn id="60" name="款色未来90天需求"/>
    <x:tableColumn id="61" name="SKU未来90天需求"/>
    <x:tableColumn id="62" name="待核及低销提醒"/>
    <x:tableColumn id="63" name="90/180自然日范围"/>
    <x:tableColumn id="64" name="90/180排除日"/>
    <x:tableColumn id="65" name="预测月份天数与系数"/>
    <x:tableColumn id="66" name="2026-10季节系数"/>
    <x:tableColumn id="67" name="2026-11季节系数"/>
    <x:tableColumn id="68" name="2026-12季节系数"/>
    <x:tableColumn id="69" name="2027-01季节系数"/>
    <x:tableColumn id="70" name="2026-10预测天数"/>
    <x:tableColumn id="71" name="2026-11预测天数"/>
    <x:tableColumn id="72" name="2026-12预测天数"/>
    <x:tableColumn id="73" name="2027-01预测天数"/>
    <x:tableColumn id="74" name="本SKU基础日销"/>
    <x:tableColumn id="75" name="2026-10月度系数"/>
    <x:tableColumn id="76" name="2026-10覆盖天数"/>
    <x:tableColumn id="77" name="2026-10预测/双"/>
    <x:tableColumn id="78" name="2026-11月度系数"/>
    <x:tableColumn id="79" name="2026-11覆盖天数"/>
    <x:tableColumn id="80" name="2026-11预测/双"/>
    <x:tableColumn id="81" name="2026-12月度系数"/>
    <x:tableColumn id="82" name="2026-12覆盖天数"/>
    <x:tableColumn id="83" name="2026-12预测/双"/>
    <x:tableColumn id="84" name="2027-01月度系数"/>
    <x:tableColumn id="85" name="2027-01覆盖天数"/>
    <x:tableColumn id="86" name="2027-01预测/双"/>
    <x:tableColumn id="87" name="本期预测总需求/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fea86494a4f4957" /><Relationship Type="http://schemas.openxmlformats.org/officeDocument/2006/relationships/table" Target="/xl/tables/table1.xml" Id="R0aa7c01983a74a6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e8eff6b149942a9" /></Relationships>
</file>

<file path=xl/worksheets/sheet1.xml><?xml version="1.0" encoding="utf-8"?>
<x:worksheet xmlns:x="http://schemas.openxmlformats.org/spreadsheetml/2006/main">
  <x:sheetPr>
    <x:tabColor rgb="FF233F5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8" hidden="0" customWidth="1"/>
    <x:col min="4" max="4" width="15" hidden="0" customWidth="1"/>
    <x:col min="5" max="5" width="29" hidden="0" customWidth="1"/>
    <x:col min="6" max="6" width="12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8" hidden="0" customWidth="1"/>
    <x:col min="20" max="20" width="18" hidden="0" customWidth="1"/>
    <x:col min="21" max="21" width="17" hidden="0" customWidth="1"/>
    <x:col min="22" max="22" width="28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</x:cols>
  <x:sheetData>
    <x:row r="1" ht="12" customHeight="1">
      <x:c r="A1" s="16"/>
      <x:c r="B1" s="16"/>
      <x:c r="C1" s="16"/>
      <x:c r="D1" s="16"/>
      <x:c r="E1" s="16"/>
      <x:c r="F1" s="16"/>
      <x:c r="G1" s="16"/>
      <x:c r="H1" s="16"/>
      <x:c r="I1" s="16"/>
      <x:c r="J1" s="16"/>
      <x:c r="K1" s="16"/>
      <x:c r="L1" s="16"/>
      <x:c r="M1" s="16"/>
      <x:c r="N1" s="16"/>
      <x:c r="O1" s="16"/>
      <x:c r="P1" s="16"/>
      <x:c r="Q1" s="16"/>
      <x:c r="R1" s="16"/>
      <x:c r="S1" s="16"/>
      <x:c r="T1" s="16"/>
      <x:c r="U1" s="16"/>
      <x:c r="V1" s="16"/>
    </x:row>
    <x:row r="2" ht="26" customHeight="1">
      <x:c r="A2" s="32" t="str">
        <x:v>本批出货计划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  <x:c r="O2" s="16"/>
      <x:c r="P2" s="16"/>
      <x:c r="Q2" s="16"/>
      <x:c r="R2" s="16"/>
      <x:c r="S2" s="16"/>
      <x:c r="T2" s="16"/>
      <x:c r="U2" s="16"/>
      <x:c r="V2" s="16"/>
    </x:row>
    <x:row r="3" ht="28" customHeight="1">
      <x:c r="A3" s="16" t="str">
        <x:v>全量建议 / 双</x:v>
      </x:c>
      <x:c r="B3" s="16"/>
      <x:c r="C3" s="33" t="n">
        <x:f>SUM('SKU明细'!D11:D1309)</x:f>
        <x:v>5707</x:v>
      </x:c>
      <x:c r="D3" s="16"/>
      <x:c r="E3" s="16" t="str">
        <x:v>筛选后已知量 / 双</x:v>
      </x:c>
      <x:c r="F3" s="16"/>
      <x:c r="G3" s="33" t="n">
        <x:f>SUBTOTAL(109,S9:S191)</x:f>
        <x:v>5707</x:v>
      </x:c>
      <x:c r="H3" s="16"/>
      <x:c r="I3" s="16" t="str">
        <x:v>数量待核 / SKU</x:v>
      </x:c>
      <x:c r="J3" s="16"/>
      <x:c r="K3" s="33" t="n">
        <x:f>ROWS('SKU明细'!D11:D1309)-COUNT('SKU明细'!D11:D1309)</x:f>
        <x:v>137</x:v>
      </x:c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</x:row>
    <x:row r="4" ht="18" customHeight="1">
      <x:c r="A4" s="34" t="str">
        <x:v>有效销量截至 2026-10-17；剔除10/6、10/7及有记录的停售日；预测 2026-10-20 至 2027-01-17。数量：双。</x:v>
      </x:c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  <x:c r="O4" s="16"/>
      <x:c r="P4" s="16"/>
      <x:c r="Q4" s="16"/>
      <x:c r="R4" s="16"/>
      <x:c r="S4" s="16"/>
      <x:c r="T4" s="16"/>
      <x:c r="U4" s="16"/>
      <x:c r="V4" s="16"/>
    </x:row>
    <x:row r="5" ht="18" customHeight="1">
      <x:c r="A5" s="34" t="str">
        <x:v>用表头筛选SPU、运营、颜色及状态；筛选区域逐行保留款式资料。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  <x:c r="M5" s="16"/>
      <x:c r="N5" s="16"/>
      <x:c r="O5" s="16"/>
      <x:c r="P5" s="16"/>
      <x:c r="Q5" s="16"/>
      <x:c r="R5" s="16"/>
      <x:c r="S5" s="16"/>
      <x:c r="T5" s="16"/>
      <x:c r="U5" s="16"/>
      <x:c r="V5" s="16"/>
    </x:row>
    <x:row r="6" ht="18" customHeight="1">
      <x:c r="A6" s="34" t="str">
        <x:v>—：无对应SKU；0：本批不发；待核：数量未知；“另有待核”合计仅含已知量。</x:v>
      </x:c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  <x:c r="N6" s="16"/>
      <x:c r="O6" s="16"/>
      <x:c r="P6" s="16"/>
      <x:c r="Q6" s="16"/>
      <x:c r="R6" s="16"/>
      <x:c r="S6" s="16"/>
      <x:c r="T6" s="16"/>
      <x:c r="U6" s="16"/>
      <x:c r="V6" s="16"/>
    </x:row>
    <x:row r="7" ht="18" customHeight="1">
      <x:c r="A7" s="34" t="str">
        <x:v>右侧按月预测：本行基础日销×月度系数×覆盖天数；SPU合计逐行重复，不应重复累加。</x:v>
      </x:c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  <x:c r="M7" s="16"/>
      <x:c r="N7" s="16"/>
      <x:c r="O7" s="16"/>
      <x:c r="P7" s="16"/>
      <x:c r="Q7" s="16"/>
      <x:c r="R7" s="16"/>
      <x:c r="S7" s="16"/>
      <x:c r="T7" s="16"/>
      <x:c r="U7" s="16"/>
      <x:c r="V7" s="16"/>
    </x:row>
    <x:row r="8" ht="44" customHeight="1">
      <x:c r="A8" s="10" t="str">
        <x:v>SPU</x:v>
      </x:c>
      <x:c r="B8" s="10" t="str">
        <x:v>运营</x:v>
      </x:c>
      <x:c r="C8" s="10" t="str">
        <x:v>颜色</x:v>
      </x:c>
      <x:c r="D8" s="10" t="str">
        <x:v>颜色编码</x:v>
      </x:c>
      <x:c r="E8" s="10" t="str">
        <x:v>SKU（不含尺码）</x:v>
      </x:c>
      <x:c r="F8" s="10" t="str">
        <x:v>图片</x:v>
      </x:c>
      <x:c r="G8" s="10" t="str">
        <x:v>5码</x:v>
      </x:c>
      <x:c r="H8" s="10" t="str">
        <x:v>6码</x:v>
      </x:c>
      <x:c r="I8" s="10" t="str">
        <x:v>6.5码</x:v>
      </x:c>
      <x:c r="J8" s="10" t="str">
        <x:v>7码</x:v>
      </x:c>
      <x:c r="K8" s="10" t="str">
        <x:v>7.5码</x:v>
      </x:c>
      <x:c r="L8" s="10" t="str">
        <x:v>8码</x:v>
      </x:c>
      <x:c r="M8" s="10" t="str">
        <x:v>8.5码</x:v>
      </x:c>
      <x:c r="N8" s="10" t="str">
        <x:v>9码</x:v>
      </x:c>
      <x:c r="O8" s="10" t="str">
        <x:v>9.5码</x:v>
      </x:c>
      <x:c r="P8" s="10" t="str">
        <x:v>10码</x:v>
      </x:c>
      <x:c r="Q8" s="10" t="str">
        <x:v>10.5码</x:v>
      </x:c>
      <x:c r="R8" s="10" t="str">
        <x:v>11码</x:v>
      </x:c>
      <x:c r="S8" s="10" t="str">
        <x:v>款色合计 / 双</x:v>
      </x:c>
      <x:c r="T8" s="10" t="str">
        <x:v>SPU已知合计 / 双</x:v>
      </x:c>
      <x:c r="U8" s="10" t="str">
        <x:v>数量状态</x:v>
      </x:c>
      <x:c r="V8" s="10" t="str">
        <x:v>Listing销售状态</x:v>
      </x:c>
      <x:c r="W8" s="10" t="str">
        <x:v>本行基础日销</x:v>
      </x:c>
      <x:c r="X8" s="10" t="str">
        <x:v>2026-10系数</x:v>
      </x:c>
      <x:c r="Y8" s="10" t="str">
        <x:v>2026-10预测/12天</x:v>
      </x:c>
      <x:c r="Z8" s="10" t="str">
        <x:v>2026-11系数</x:v>
      </x:c>
      <x:c r="AA8" s="10" t="str">
        <x:v>2026-11预测/30天</x:v>
      </x:c>
      <x:c r="AB8" s="10" t="str">
        <x:v>2026-12系数</x:v>
      </x:c>
      <x:c r="AC8" s="10" t="str">
        <x:v>2026-12预测/31天</x:v>
      </x:c>
      <x:c r="AD8" s="10" t="str">
        <x:v>2027-01系数</x:v>
      </x:c>
      <x:c r="AE8" s="10" t="str">
        <x:v>2027-01预测/17天</x:v>
      </x:c>
      <x:c r="AF8" s="10" t="str">
        <x:v>本期预测总需求</x:v>
      </x:c>
    </x:row>
    <x:row r="9" ht="40" customHeight="1">
      <x:c r="A9" s="35" t="str">
        <x:v>S02</x:v>
      </x:c>
      <x:c r="B9" s="35" t="str">
        <x:v>陈晨</x:v>
      </x:c>
      <x:c r="C9" s="35" t="str">
        <x:v>裸色</x:v>
      </x:c>
      <x:c r="D9" s="35" t="str">
        <x:v>BG</x:v>
      </x:c>
      <x:c r="E9" s="35" t="str">
        <x:v>S02-BG</x:v>
      </x:c>
      <x:c r="F9" s="35"/>
      <x:c r="G9" s="36" t="str">
        <x:f>"—"</x:f>
        <x:v>—</x:v>
      </x:c>
      <x:c r="H9" s="36" t="n">
        <x:f>IF(COUNT(INDEX('SKU明细'!$D$11:$D$1309,MATCH("S02-BG-37",'SKU明细'!$A$11:$A$1309,0)))=0,"待核",IF(COUNT(INDEX('SKU明细'!$D$11:$D$1309,MATCH("S02-BG-37",'SKU明细'!$A$11:$A$1309,0)))&lt;1,SUM(INDEX('SKU明细'!$D$11:$D$1309,MATCH("S02-BG-37",'SKU明细'!$A$11:$A$1309,0)))&amp;" + 待核",SUM(INDEX('SKU明细'!$D$11:$D$1309,MATCH("S02-BG-37",'SKU明细'!$A$11:$A$1309,0)))))</x:f>
        <x:v>44</x:v>
      </x:c>
      <x:c r="I9" s="36" t="str">
        <x:f>"—"</x:f>
        <x:v>—</x:v>
      </x:c>
      <x:c r="J9" s="36" t="n">
        <x:f>IF(COUNT(INDEX('SKU明细'!$D$11:$D$1309,MATCH("S02-BG-38",'SKU明细'!$A$11:$A$1309,0)))=0,"待核",IF(COUNT(INDEX('SKU明细'!$D$11:$D$1309,MATCH("S02-BG-38",'SKU明细'!$A$11:$A$1309,0)))&lt;1,SUM(INDEX('SKU明细'!$D$11:$D$1309,MATCH("S02-BG-38",'SKU明细'!$A$11:$A$1309,0)))&amp;" + 待核",SUM(INDEX('SKU明细'!$D$11:$D$1309,MATCH("S02-BG-38",'SKU明细'!$A$11:$A$1309,0)))))</x:f>
        <x:v>73</x:v>
      </x:c>
      <x:c r="K9" s="36" t="str">
        <x:f>"—"</x:f>
        <x:v>—</x:v>
      </x:c>
      <x:c r="L9" s="36" t="n">
        <x:f>IF(COUNT(INDEX('SKU明细'!$D$11:$D$1309,MATCH("S02-BG-39",'SKU明细'!$A$11:$A$1309,0)))=0,"待核",IF(COUNT(INDEX('SKU明细'!$D$11:$D$1309,MATCH("S02-BG-39",'SKU明细'!$A$11:$A$1309,0)))&lt;1,SUM(INDEX('SKU明细'!$D$11:$D$1309,MATCH("S02-BG-39",'SKU明细'!$A$11:$A$1309,0)))&amp;" + 待核",SUM(INDEX('SKU明细'!$D$11:$D$1309,MATCH("S02-BG-39",'SKU明细'!$A$11:$A$1309,0)))))</x:f>
        <x:v>198</x:v>
      </x:c>
      <x:c r="M9" s="36" t="str">
        <x:f>"—"</x:f>
        <x:v>—</x:v>
      </x:c>
      <x:c r="N9" s="36" t="n">
        <x:f>IF(COUNT(INDEX('SKU明细'!$D$11:$D$1309,MATCH("S02-BG-40",'SKU明细'!$A$11:$A$1309,0)))=0,"待核",IF(COUNT(INDEX('SKU明细'!$D$11:$D$1309,MATCH("S02-BG-40",'SKU明细'!$A$11:$A$1309,0)))&lt;1,SUM(INDEX('SKU明细'!$D$11:$D$1309,MATCH("S02-BG-40",'SKU明细'!$A$11:$A$1309,0)))&amp;" + 待核",SUM(INDEX('SKU明细'!$D$11:$D$1309,MATCH("S02-BG-40",'SKU明细'!$A$11:$A$1309,0)))))</x:f>
        <x:v>111</x:v>
      </x:c>
      <x:c r="O9" s="36" t="str">
        <x:f>"—"</x:f>
        <x:v>—</x:v>
      </x:c>
      <x:c r="P9" s="36" t="n">
        <x:f>IF(COUNT(INDEX('SKU明细'!$D$11:$D$1309,MATCH("S02-BG-41",'SKU明细'!$A$11:$A$1309,0)))=0,"待核",IF(COUNT(INDEX('SKU明细'!$D$11:$D$1309,MATCH("S02-BG-41",'SKU明细'!$A$11:$A$1309,0)))&lt;1,SUM(INDEX('SKU明细'!$D$11:$D$1309,MATCH("S02-BG-41",'SKU明细'!$A$11:$A$1309,0)))&amp;" + 待核",SUM(INDEX('SKU明细'!$D$11:$D$1309,MATCH("S02-BG-41",'SKU明细'!$A$11:$A$1309,0)))))</x:f>
        <x:v>97</x:v>
      </x:c>
      <x:c r="Q9" s="36" t="str">
        <x:f>"—"</x:f>
        <x:v>—</x:v>
      </x:c>
      <x:c r="R9" s="36" t="n">
        <x:f>IF(COUNT(INDEX('SKU明细'!$D$11:$D$1309,MATCH("S02-BG-42",'SKU明细'!$A$11:$A$1309,0)))=0,"待核",IF(COUNT(INDEX('SKU明细'!$D$11:$D$1309,MATCH("S02-BG-42",'SKU明细'!$A$11:$A$1309,0)))&lt;1,SUM(INDEX('SKU明细'!$D$11:$D$1309,MATCH("S02-BG-42",'SKU明细'!$A$11:$A$1309,0)))&amp;" + 待核",SUM(INDEX('SKU明细'!$D$11:$D$1309,MATCH("S02-BG-42",'SKU明细'!$A$11:$A$1309,0)))))</x:f>
        <x:v>0</x:v>
      </x:c>
      <x:c r="S9" s="36" t="n">
        <x:f>IF(COUNT(INDEX('SKU明细'!$D$11:$D$1309,MATCH("S02-BG-37",'SKU明细'!$A$11:$A$1309,0)),INDEX('SKU明细'!$D$11:$D$1309,MATCH("S02-BG-38",'SKU明细'!$A$11:$A$1309,0)),INDEX('SKU明细'!$D$11:$D$1309,MATCH("S02-BG-39",'SKU明细'!$A$11:$A$1309,0)),INDEX('SKU明细'!$D$11:$D$1309,MATCH("S02-BG-40",'SKU明细'!$A$11:$A$1309,0)),INDEX('SKU明细'!$D$11:$D$1309,MATCH("S02-BG-41",'SKU明细'!$A$11:$A$1309,0)),INDEX('SKU明细'!$D$11:$D$1309,MATCH("S02-BG-42",'SKU明细'!$A$11:$A$1309,0)))=0,"待核",SUM(INDEX('SKU明细'!$D$11:$D$1309,MATCH("S02-BG-37",'SKU明细'!$A$11:$A$1309,0)),INDEX('SKU明细'!$D$11:$D$1309,MATCH("S02-BG-38",'SKU明细'!$A$11:$A$1309,0)),INDEX('SKU明细'!$D$11:$D$1309,MATCH("S02-BG-39",'SKU明细'!$A$11:$A$1309,0)),INDEX('SKU明细'!$D$11:$D$1309,MATCH("S02-BG-40",'SKU明细'!$A$11:$A$1309,0)),INDEX('SKU明细'!$D$11:$D$1309,MATCH("S02-BG-41",'SKU明细'!$A$11:$A$1309,0)),INDEX('SKU明细'!$D$11:$D$1309,MATCH("S02-BG-42",'SKU明细'!$A$11:$A$1309,0))))</x:f>
        <x:v>523</x:v>
      </x:c>
      <x:c r="T9" s="36" t="n">
        <x:f>IF(COUNTIFS($A$9:$A$191,A9,$U$9:$U$191,"&lt;&gt;待核")=0,"待核",SUMIF($A$9:$A$191,A9,$S$9:$S$191))</x:f>
        <x:v>2598</x:v>
      </x:c>
      <x:c r="U9" s="35" t="str">
        <x:f>IF(COUNT(INDEX('SKU明细'!$D$11:$D$1309,MATCH("S02-BG-37",'SKU明细'!$A$11:$A$1309,0)),INDEX('SKU明细'!$D$11:$D$1309,MATCH("S02-BG-38",'SKU明细'!$A$11:$A$1309,0)),INDEX('SKU明细'!$D$11:$D$1309,MATCH("S02-BG-39",'SKU明细'!$A$11:$A$1309,0)),INDEX('SKU明细'!$D$11:$D$1309,MATCH("S02-BG-40",'SKU明细'!$A$11:$A$1309,0)),INDEX('SKU明细'!$D$11:$D$1309,MATCH("S02-BG-41",'SKU明细'!$A$11:$A$1309,0)),INDEX('SKU明细'!$D$11:$D$1309,MATCH("S02-BG-42",'SKU明细'!$A$11:$A$1309,0)))=0,"待核",IF(COUNT(INDEX('SKU明细'!$D$11:$D$1309,MATCH("S02-BG-37",'SKU明细'!$A$11:$A$1309,0)),INDEX('SKU明细'!$D$11:$D$1309,MATCH("S02-BG-38",'SKU明细'!$A$11:$A$1309,0)),INDEX('SKU明细'!$D$11:$D$1309,MATCH("S02-BG-39",'SKU明细'!$A$11:$A$1309,0)),INDEX('SKU明细'!$D$11:$D$1309,MATCH("S02-BG-40",'SKU明细'!$A$11:$A$1309,0)),INDEX('SKU明细'!$D$11:$D$1309,MATCH("S02-BG-41",'SKU明细'!$A$11:$A$1309,0)),INDEX('SKU明细'!$D$11:$D$1309,MATCH("S02-BG-42",'SKU明细'!$A$11:$A$1309,0)))&lt;6,"另有待核","已核"))</x:f>
        <x:v>已核</x:v>
      </x:c>
      <x:c r="V9" s="35" t="str">
        <x:v>在售</x:v>
      </x:c>
      <x:c r="W9" s="11" t="n">
        <x:f>IF(COUNT(INDEX('SKU明细'!$BV$11:$BV$1309,MATCH("S02-BG-37",'SKU明细'!$A$11:$A$1309,0)),INDEX('SKU明细'!$BV$11:$BV$1309,MATCH("S02-BG-38",'SKU明细'!$A$11:$A$1309,0)),INDEX('SKU明细'!$BV$11:$BV$1309,MATCH("S02-BG-39",'SKU明细'!$A$11:$A$1309,0)),INDEX('SKU明细'!$BV$11:$BV$1309,MATCH("S02-BG-40",'SKU明细'!$A$11:$A$1309,0)),INDEX('SKU明细'!$BV$11:$BV$1309,MATCH("S02-BG-41",'SKU明细'!$A$11:$A$1309,0)),INDEX('SKU明细'!$BV$11:$BV$1309,MATCH("S02-BG-42",'SKU明细'!$A$11:$A$1309,0)))=6,SUM(INDEX('SKU明细'!$BV$11:$BV$1309,MATCH("S02-BG-37",'SKU明细'!$A$11:$A$1309,0)),INDEX('SKU明细'!$BV$11:$BV$1309,MATCH("S02-BG-38",'SKU明细'!$A$11:$A$1309,0)),INDEX('SKU明细'!$BV$11:$BV$1309,MATCH("S02-BG-39",'SKU明细'!$A$11:$A$1309,0)),INDEX('SKU明细'!$BV$11:$BV$1309,MATCH("S02-BG-40",'SKU明细'!$A$11:$A$1309,0)),INDEX('SKU明细'!$BV$11:$BV$1309,MATCH("S02-BG-41",'SKU明细'!$A$11:$A$1309,0)),INDEX('SKU明细'!$BV$11:$BV$1309,MATCH("S02-BG-42",'SKU明细'!$A$11:$A$1309,0))),"待核")</x:f>
        <x:v>11.69333804683764</x:v>
      </x:c>
      <x:c r="X9" s="11" t="n">
        <x:f>INDEX('SKU明细'!$BW$11:$BW$1309,MATCH("S02-BG-37",'SKU明细'!$A$11:$A$1309,0))</x:f>
        <x:v>0.9634503791704667</x:v>
      </x:c>
      <x:c r="Y9" s="13" t="n">
        <x:f>IF(COUNT(INDEX('SKU明细'!$BY$11:$BY$1309,MATCH("S02-BG-37",'SKU明细'!$A$11:$A$1309,0)),INDEX('SKU明细'!$BY$11:$BY$1309,MATCH("S02-BG-38",'SKU明细'!$A$11:$A$1309,0)),INDEX('SKU明细'!$BY$11:$BY$1309,MATCH("S02-BG-39",'SKU明细'!$A$11:$A$1309,0)),INDEX('SKU明细'!$BY$11:$BY$1309,MATCH("S02-BG-40",'SKU明细'!$A$11:$A$1309,0)),INDEX('SKU明细'!$BY$11:$BY$1309,MATCH("S02-BG-41",'SKU明细'!$A$11:$A$1309,0)),INDEX('SKU明细'!$BY$11:$BY$1309,MATCH("S02-BG-42",'SKU明细'!$A$11:$A$1309,0)))=6,SUM(INDEX('SKU明细'!$BY$11:$BY$1309,MATCH("S02-BG-37",'SKU明细'!$A$11:$A$1309,0)),INDEX('SKU明细'!$BY$11:$BY$1309,MATCH("S02-BG-38",'SKU明细'!$A$11:$A$1309,0)),INDEX('SKU明细'!$BY$11:$BY$1309,MATCH("S02-BG-39",'SKU明细'!$A$11:$A$1309,0)),INDEX('SKU明细'!$BY$11:$BY$1309,MATCH("S02-BG-40",'SKU明细'!$A$11:$A$1309,0)),INDEX('SKU明细'!$BY$11:$BY$1309,MATCH("S02-BG-41",'SKU明细'!$A$11:$A$1309,0)),INDEX('SKU明细'!$BY$11:$BY$1309,MATCH("S02-BG-42",'SKU明细'!$A$11:$A$1309,0))),"待核")</x:f>
        <x:v>135.19141169993</x:v>
      </x:c>
      <x:c r="Z9" s="11" t="n">
        <x:f>INDEX('SKU明细'!$BZ$11:$BZ$1309,MATCH("S02-BG-37",'SKU明细'!$A$11:$A$1309,0))</x:f>
        <x:v>0.8585031562320637</x:v>
      </x:c>
      <x:c r="AA9" s="13" t="n">
        <x:f>IF(COUNT(INDEX('SKU明细'!$CB$11:$CB$1309,MATCH("S02-BG-37",'SKU明细'!$A$11:$A$1309,0)),INDEX('SKU明细'!$CB$11:$CB$1309,MATCH("S02-BG-38",'SKU明细'!$A$11:$A$1309,0)),INDEX('SKU明细'!$CB$11:$CB$1309,MATCH("S02-BG-39",'SKU明细'!$A$11:$A$1309,0)),INDEX('SKU明细'!$CB$11:$CB$1309,MATCH("S02-BG-40",'SKU明细'!$A$11:$A$1309,0)),INDEX('SKU明细'!$CB$11:$CB$1309,MATCH("S02-BG-41",'SKU明细'!$A$11:$A$1309,0)),INDEX('SKU明细'!$CB$11:$CB$1309,MATCH("S02-BG-42",'SKU明细'!$A$11:$A$1309,0)))=6,SUM(INDEX('SKU明细'!$CB$11:$CB$1309,MATCH("S02-BG-37",'SKU明细'!$A$11:$A$1309,0)),INDEX('SKU明细'!$CB$11:$CB$1309,MATCH("S02-BG-38",'SKU明细'!$A$11:$A$1309,0)),INDEX('SKU明细'!$CB$11:$CB$1309,MATCH("S02-BG-39",'SKU明细'!$A$11:$A$1309,0)),INDEX('SKU明细'!$CB$11:$CB$1309,MATCH("S02-BG-40",'SKU明细'!$A$11:$A$1309,0)),INDEX('SKU明细'!$CB$11:$CB$1309,MATCH("S02-BG-41",'SKU明细'!$A$11:$A$1309,0)),INDEX('SKU明细'!$CB$11:$CB$1309,MATCH("S02-BG-42",'SKU明细'!$A$11:$A$1309,0))),"待核")</x:f>
        <x:v>301.16302860295764</x:v>
      </x:c>
      <x:c r="AB9" s="11" t="n">
        <x:f>INDEX('SKU明细'!$CC$11:$CC$1309,MATCH("S02-BG-37",'SKU明细'!$A$11:$A$1309,0))</x:f>
        <x:v>0.7896606554092485</x:v>
      </x:c>
      <x:c r="AC9" s="13" t="n">
        <x:f>IF(COUNT(INDEX('SKU明细'!$CE$11:$CE$1309,MATCH("S02-BG-37",'SKU明细'!$A$11:$A$1309,0)),INDEX('SKU明细'!$CE$11:$CE$1309,MATCH("S02-BG-38",'SKU明细'!$A$11:$A$1309,0)),INDEX('SKU明细'!$CE$11:$CE$1309,MATCH("S02-BG-39",'SKU明细'!$A$11:$A$1309,0)),INDEX('SKU明细'!$CE$11:$CE$1309,MATCH("S02-BG-40",'SKU明细'!$A$11:$A$1309,0)),INDEX('SKU明细'!$CE$11:$CE$1309,MATCH("S02-BG-41",'SKU明细'!$A$11:$A$1309,0)),INDEX('SKU明细'!$CE$11:$CE$1309,MATCH("S02-BG-42",'SKU明细'!$A$11:$A$1309,0)))=6,SUM(INDEX('SKU明细'!$CE$11:$CE$1309,MATCH("S02-BG-37",'SKU明细'!$A$11:$A$1309,0)),INDEX('SKU明细'!$CE$11:$CE$1309,MATCH("S02-BG-38",'SKU明细'!$A$11:$A$1309,0)),INDEX('SKU明细'!$CE$11:$CE$1309,MATCH("S02-BG-39",'SKU明细'!$A$11:$A$1309,0)),INDEX('SKU明细'!$CE$11:$CE$1309,MATCH("S02-BG-40",'SKU明细'!$A$11:$A$1309,0)),INDEX('SKU明细'!$CE$11:$CE$1309,MATCH("S02-BG-41",'SKU明细'!$A$11:$A$1309,0)),INDEX('SKU明细'!$CE$11:$CE$1309,MATCH("S02-BG-42",'SKU明细'!$A$11:$A$1309,0))),"待核")</x:f>
        <x:v>286.24683856561904</x:v>
      </x:c>
      <x:c r="AD9" s="11" t="n">
        <x:f>INDEX('SKU明细'!$CF$11:$CF$1309,MATCH("S02-BG-37",'SKU明细'!$A$11:$A$1309,0))</x:f>
        <x:v>1.0030167116538329</x:v>
      </x:c>
      <x:c r="AE9" s="13" t="n">
        <x:f>IF(COUNT(INDEX('SKU明细'!$CH$11:$CH$1309,MATCH("S02-BG-37",'SKU明细'!$A$11:$A$1309,0)),INDEX('SKU明细'!$CH$11:$CH$1309,MATCH("S02-BG-38",'SKU明细'!$A$11:$A$1309,0)),INDEX('SKU明细'!$CH$11:$CH$1309,MATCH("S02-BG-39",'SKU明细'!$A$11:$A$1309,0)),INDEX('SKU明细'!$CH$11:$CH$1309,MATCH("S02-BG-40",'SKU明细'!$A$11:$A$1309,0)),INDEX('SKU明细'!$CH$11:$CH$1309,MATCH("S02-BG-41",'SKU明细'!$A$11:$A$1309,0)),INDEX('SKU明细'!$CH$11:$CH$1309,MATCH("S02-BG-42",'SKU明细'!$A$11:$A$1309,0)))=6,SUM(INDEX('SKU明细'!$CH$11:$CH$1309,MATCH("S02-BG-37",'SKU明细'!$A$11:$A$1309,0)),INDEX('SKU明细'!$CH$11:$CH$1309,MATCH("S02-BG-38",'SKU明细'!$A$11:$A$1309,0)),INDEX('SKU明细'!$CH$11:$CH$1309,MATCH("S02-BG-39",'SKU明细'!$A$11:$A$1309,0)),INDEX('SKU明细'!$CH$11:$CH$1309,MATCH("S02-BG-40",'SKU明细'!$A$11:$A$1309,0)),INDEX('SKU明细'!$CH$11:$CH$1309,MATCH("S02-BG-41",'SKU明细'!$A$11:$A$1309,0)),INDEX('SKU明细'!$CH$11:$CH$1309,MATCH("S02-BG-42",'SKU明细'!$A$11:$A$1309,0))),"待核")</x:f>
        <x:v>199.3864290919276</x:v>
      </x:c>
      <x:c r="AF9" s="13" t="n">
        <x:f>IF(COUNT(INDEX('SKU明细'!$CI$11:$CI$1309,MATCH("S02-BG-37",'SKU明细'!$A$11:$A$1309,0)),INDEX('SKU明细'!$CI$11:$CI$1309,MATCH("S02-BG-38",'SKU明细'!$A$11:$A$1309,0)),INDEX('SKU明细'!$CI$11:$CI$1309,MATCH("S02-BG-39",'SKU明细'!$A$11:$A$1309,0)),INDEX('SKU明细'!$CI$11:$CI$1309,MATCH("S02-BG-40",'SKU明细'!$A$11:$A$1309,0)),INDEX('SKU明细'!$CI$11:$CI$1309,MATCH("S02-BG-41",'SKU明细'!$A$11:$A$1309,0)),INDEX('SKU明细'!$CI$11:$CI$1309,MATCH("S02-BG-42",'SKU明细'!$A$11:$A$1309,0)))=6,SUM(INDEX('SKU明细'!$CI$11:$CI$1309,MATCH("S02-BG-37",'SKU明细'!$A$11:$A$1309,0)),INDEX('SKU明细'!$CI$11:$CI$1309,MATCH("S02-BG-38",'SKU明细'!$A$11:$A$1309,0)),INDEX('SKU明细'!$CI$11:$CI$1309,MATCH("S02-BG-39",'SKU明细'!$A$11:$A$1309,0)),INDEX('SKU明细'!$CI$11:$CI$1309,MATCH("S02-BG-40",'SKU明细'!$A$11:$A$1309,0)),INDEX('SKU明细'!$CI$11:$CI$1309,MATCH("S02-BG-41",'SKU明细'!$A$11:$A$1309,0)),INDEX('SKU明细'!$CI$11:$CI$1309,MATCH("S02-BG-42",'SKU明细'!$A$11:$A$1309,0))),"待核")</x:f>
        <x:v>921.9877079604344</x:v>
      </x:c>
    </x:row>
    <x:row r="10" ht="40" customHeight="1">
      <x:c r="A10" s="35" t="str">
        <x:v>S02</x:v>
      </x:c>
      <x:c r="B10" s="35" t="str">
        <x:v>陈晨</x:v>
      </x:c>
      <x:c r="C10" s="35" t="str">
        <x:v>裸色</x:v>
      </x:c>
      <x:c r="D10" s="35" t="str">
        <x:v>BG1</x:v>
      </x:c>
      <x:c r="E10" s="35" t="str">
        <x:v>S02-BG1</x:v>
      </x:c>
      <x:c r="F10" s="35"/>
      <x:c r="G10" s="36" t="str">
        <x:f>"—"</x:f>
        <x:v>—</x:v>
      </x:c>
      <x:c r="H10" s="36" t="str">
        <x:f>"—"</x:f>
        <x:v>—</x:v>
      </x:c>
      <x:c r="I10" s="36" t="str">
        <x:f>"—"</x:f>
        <x:v>—</x:v>
      </x:c>
      <x:c r="J10" s="36" t="str">
        <x:f>"—"</x:f>
        <x:v>—</x:v>
      </x:c>
      <x:c r="K10" s="36" t="n">
        <x:f>IF(COUNT(INDEX('SKU明细'!$D$11:$D$1309,MATCH("S02-BG1-38",'SKU明细'!$A$11:$A$1309,0)))=0,"待核",IF(COUNT(INDEX('SKU明细'!$D$11:$D$1309,MATCH("S02-BG1-38",'SKU明细'!$A$11:$A$1309,0)))&lt;1,SUM(INDEX('SKU明细'!$D$11:$D$1309,MATCH("S02-BG1-38",'SKU明细'!$A$11:$A$1309,0)))&amp;" + 待核",SUM(INDEX('SKU明细'!$D$11:$D$1309,MATCH("S02-BG1-38",'SKU明细'!$A$11:$A$1309,0)))))</x:f>
        <x:v>0</x:v>
      </x:c>
      <x:c r="L10" s="36" t="str">
        <x:f>"—"</x:f>
        <x:v>—</x:v>
      </x:c>
      <x:c r="M10" s="36" t="str">
        <x:f>"—"</x:f>
        <x:v>—</x:v>
      </x:c>
      <x:c r="N10" s="36" t="str">
        <x:f>"—"</x:f>
        <x:v>—</x:v>
      </x:c>
      <x:c r="O10" s="36" t="str">
        <x:f>"—"</x:f>
        <x:v>—</x:v>
      </x:c>
      <x:c r="P10" s="36" t="str">
        <x:f>"—"</x:f>
        <x:v>—</x:v>
      </x:c>
      <x:c r="Q10" s="36" t="str">
        <x:f>"—"</x:f>
        <x:v>—</x:v>
      </x:c>
      <x:c r="R10" s="36" t="str">
        <x:f>"—"</x:f>
        <x:v>—</x:v>
      </x:c>
      <x:c r="S10" s="36" t="n">
        <x:f>IF(COUNT(INDEX('SKU明细'!$D$11:$D$1309,MATCH("S02-BG1-38",'SKU明细'!$A$11:$A$1309,0)))=0,"待核",SUM(INDEX('SKU明细'!$D$11:$D$1309,MATCH("S02-BG1-38",'SKU明细'!$A$11:$A$1309,0))))</x:f>
        <x:v>0</x:v>
      </x:c>
      <x:c r="T10" s="36" t="n">
        <x:f>IF(COUNTIFS($A$9:$A$191,A10,$U$9:$U$191,"&lt;&gt;待核")=0,"待核",SUMIF($A$9:$A$191,A10,$S$9:$S$191))</x:f>
        <x:v>2598</x:v>
      </x:c>
      <x:c r="U10" s="35" t="str">
        <x:f>IF(COUNT(INDEX('SKU明细'!$D$11:$D$1309,MATCH("S02-BG1-38",'SKU明细'!$A$11:$A$1309,0)))=0,"待核",IF(COUNT(INDEX('SKU明细'!$D$11:$D$1309,MATCH("S02-BG1-38",'SKU明细'!$A$11:$A$1309,0)))&lt;1,"另有待核","已核"))</x:f>
        <x:v>已核</x:v>
      </x:c>
      <x:c r="V10" s="35" t="str">
        <x:v>在售</x:v>
      </x:c>
      <x:c r="W10" s="11" t="n">
        <x:f>IF(COUNT(INDEX('SKU明细'!$BV$11:$BV$1309,MATCH("S02-BG1-38",'SKU明细'!$A$11:$A$1309,0)))=1,SUM(INDEX('SKU明细'!$BV$11:$BV$1309,MATCH("S02-BG1-38",'SKU明细'!$A$11:$A$1309,0))),"待核")</x:f>
        <x:v>1.5157054994311248</x:v>
      </x:c>
      <x:c r="X10" s="11" t="n">
        <x:f>INDEX('SKU明细'!$BW$11:$BW$1309,MATCH("S02-BG1-38",'SKU明细'!$A$11:$A$1309,0))</x:f>
        <x:v>0.9634503791704667</x:v>
      </x:c>
      <x:c r="Y10" s="13" t="n">
        <x:f>IF(COUNT(INDEX('SKU明细'!$BY$11:$BY$1309,MATCH("S02-BG1-38",'SKU明细'!$A$11:$A$1309,0)))=1,SUM(INDEX('SKU明细'!$BY$11:$BY$1309,MATCH("S02-BG1-38",'SKU明细'!$A$11:$A$1309,0))),"待核")</x:f>
        <x:v>17.523684457652145</x:v>
      </x:c>
      <x:c r="Z10" s="11" t="n">
        <x:f>INDEX('SKU明细'!$BZ$11:$BZ$1309,MATCH("S02-BG1-38",'SKU明细'!$A$11:$A$1309,0))</x:f>
        <x:v>0.8585031562320637</x:v>
      </x:c>
      <x:c r="AA10" s="13" t="n">
        <x:f>IF(COUNT(INDEX('SKU明细'!$CB$11:$CB$1309,MATCH("S02-BG1-38",'SKU明细'!$A$11:$A$1309,0)))=1,SUM(INDEX('SKU明细'!$CB$11:$CB$1309,MATCH("S02-BG1-38",'SKU明细'!$A$11:$A$1309,0))),"待核")</x:f>
        <x:v>39.03713865539751</x:v>
      </x:c>
      <x:c r="AB10" s="11" t="n">
        <x:f>INDEX('SKU明细'!$CC$11:$CC$1309,MATCH("S02-BG1-38",'SKU明细'!$A$11:$A$1309,0))</x:f>
        <x:v>0.7896606554092485</x:v>
      </x:c>
      <x:c r="AC10" s="13" t="n">
        <x:f>IF(COUNT(INDEX('SKU明细'!$CE$11:$CE$1309,MATCH("S02-BG1-38",'SKU明细'!$A$11:$A$1309,0)))=1,SUM(INDEX('SKU明细'!$CE$11:$CE$1309,MATCH("S02-BG1-38",'SKU明细'!$A$11:$A$1309,0))),"待核")</x:f>
        <x:v>37.10368294073371</x:v>
      </x:c>
      <x:c r="AD10" s="11" t="n">
        <x:f>INDEX('SKU明细'!$CF$11:$CF$1309,MATCH("S02-BG1-38",'SKU明细'!$A$11:$A$1309,0))</x:f>
        <x:v>1.0030167116538329</x:v>
      </x:c>
      <x:c r="AE10" s="13" t="n">
        <x:f>IF(COUNT(INDEX('SKU明细'!$CH$11:$CH$1309,MATCH("S02-BG1-38",'SKU明细'!$A$11:$A$1309,0)))=1,SUM(INDEX('SKU明细'!$CH$11:$CH$1309,MATCH("S02-BG1-38",'SKU明细'!$A$11:$A$1309,0))),"待核")</x:f>
        <x:v>25.844725079875634</x:v>
      </x:c>
      <x:c r="AF10" s="13" t="n">
        <x:f>IF(COUNT(INDEX('SKU明细'!$CI$11:$CI$1309,MATCH("S02-BG1-38",'SKU明细'!$A$11:$A$1309,0)))=1,SUM(INDEX('SKU明细'!$CI$11:$CI$1309,MATCH("S02-BG1-38",'SKU明细'!$A$11:$A$1309,0))),"待核")</x:f>
        <x:v>119.509231133659</x:v>
      </x:c>
    </x:row>
    <x:row r="11" ht="40" customHeight="1">
      <x:c r="A11" s="35" t="str">
        <x:v>S02</x:v>
      </x:c>
      <x:c r="B11" s="35" t="str">
        <x:v>陈晨</x:v>
      </x:c>
      <x:c r="C11" s="35" t="str">
        <x:v>黑色</x:v>
      </x:c>
      <x:c r="D11" s="35" t="str">
        <x:v>BK</x:v>
      </x:c>
      <x:c r="E11" s="35" t="str">
        <x:v>S02-BK</x:v>
      </x:c>
      <x:c r="F11" s="35"/>
      <x:c r="G11" s="36" t="str">
        <x:f>"—"</x:f>
        <x:v>—</x:v>
      </x:c>
      <x:c r="H11" s="36" t="n">
        <x:f>IF(COUNT(INDEX('SKU明细'!$D$11:$D$1309,MATCH("S02-BK-37",'SKU明细'!$A$11:$A$1309,0)))=0,"待核",IF(COUNT(INDEX('SKU明细'!$D$11:$D$1309,MATCH("S02-BK-37",'SKU明细'!$A$11:$A$1309,0)))&lt;1,SUM(INDEX('SKU明细'!$D$11:$D$1309,MATCH("S02-BK-37",'SKU明细'!$A$11:$A$1309,0)))&amp;" + 待核",SUM(INDEX('SKU明细'!$D$11:$D$1309,MATCH("S02-BK-37",'SKU明细'!$A$11:$A$1309,0)))))</x:f>
        <x:v>0</x:v>
      </x:c>
      <x:c r="I11" s="36" t="str">
        <x:f>"—"</x:f>
        <x:v>—</x:v>
      </x:c>
      <x:c r="J11" s="36" t="n">
        <x:f>IF(COUNT(INDEX('SKU明细'!$D$11:$D$1309,MATCH("S02-BK-38",'SKU明细'!$A$11:$A$1309,0)))=0,"待核",IF(COUNT(INDEX('SKU明细'!$D$11:$D$1309,MATCH("S02-BK-38",'SKU明细'!$A$11:$A$1309,0)))&lt;1,SUM(INDEX('SKU明细'!$D$11:$D$1309,MATCH("S02-BK-38",'SKU明细'!$A$11:$A$1309,0)))&amp;" + 待核",SUM(INDEX('SKU明细'!$D$11:$D$1309,MATCH("S02-BK-38",'SKU明细'!$A$11:$A$1309,0)))))</x:f>
        <x:v>205</x:v>
      </x:c>
      <x:c r="K11" s="36" t="str">
        <x:f>"—"</x:f>
        <x:v>—</x:v>
      </x:c>
      <x:c r="L11" s="36" t="n">
        <x:f>IF(COUNT(INDEX('SKU明细'!$D$11:$D$1309,MATCH("S02-BK-39",'SKU明细'!$A$11:$A$1309,0)))=0,"待核",IF(COUNT(INDEX('SKU明细'!$D$11:$D$1309,MATCH("S02-BK-39",'SKU明细'!$A$11:$A$1309,0)))&lt;1,SUM(INDEX('SKU明细'!$D$11:$D$1309,MATCH("S02-BK-39",'SKU明细'!$A$11:$A$1309,0)))&amp;" + 待核",SUM(INDEX('SKU明细'!$D$11:$D$1309,MATCH("S02-BK-39",'SKU明细'!$A$11:$A$1309,0)))))</x:f>
        <x:v>537</x:v>
      </x:c>
      <x:c r="M11" s="36" t="str">
        <x:f>"—"</x:f>
        <x:v>—</x:v>
      </x:c>
      <x:c r="N11" s="36" t="n">
        <x:f>IF(COUNT(INDEX('SKU明细'!$D$11:$D$1309,MATCH("S02-BK-40",'SKU明细'!$A$11:$A$1309,0)))=0,"待核",IF(COUNT(INDEX('SKU明细'!$D$11:$D$1309,MATCH("S02-BK-40",'SKU明细'!$A$11:$A$1309,0)))&lt;1,SUM(INDEX('SKU明细'!$D$11:$D$1309,MATCH("S02-BK-40",'SKU明细'!$A$11:$A$1309,0)))&amp;" + 待核",SUM(INDEX('SKU明细'!$D$11:$D$1309,MATCH("S02-BK-40",'SKU明细'!$A$11:$A$1309,0)))))</x:f>
        <x:v>438</x:v>
      </x:c>
      <x:c r="O11" s="36" t="str">
        <x:f>"—"</x:f>
        <x:v>—</x:v>
      </x:c>
      <x:c r="P11" s="36" t="n">
        <x:f>IF(COUNT(INDEX('SKU明细'!$D$11:$D$1309,MATCH("S02-BK-41",'SKU明细'!$A$11:$A$1309,0)))=0,"待核",IF(COUNT(INDEX('SKU明细'!$D$11:$D$1309,MATCH("S02-BK-41",'SKU明细'!$A$11:$A$1309,0)))&lt;1,SUM(INDEX('SKU明细'!$D$11:$D$1309,MATCH("S02-BK-41",'SKU明细'!$A$11:$A$1309,0)))&amp;" + 待核",SUM(INDEX('SKU明细'!$D$11:$D$1309,MATCH("S02-BK-41",'SKU明细'!$A$11:$A$1309,0)))))</x:f>
        <x:v>185</x:v>
      </x:c>
      <x:c r="Q11" s="36" t="str">
        <x:f>"—"</x:f>
        <x:v>—</x:v>
      </x:c>
      <x:c r="R11" s="36" t="n">
        <x:f>IF(COUNT(INDEX('SKU明细'!$D$11:$D$1309,MATCH("S02-BK-42",'SKU明细'!$A$11:$A$1309,0)))=0,"待核",IF(COUNT(INDEX('SKU明细'!$D$11:$D$1309,MATCH("S02-BK-42",'SKU明细'!$A$11:$A$1309,0)))&lt;1,SUM(INDEX('SKU明细'!$D$11:$D$1309,MATCH("S02-BK-42",'SKU明细'!$A$11:$A$1309,0)))&amp;" + 待核",SUM(INDEX('SKU明细'!$D$11:$D$1309,MATCH("S02-BK-42",'SKU明细'!$A$11:$A$1309,0)))))</x:f>
        <x:v>102</x:v>
      </x:c>
      <x:c r="S11" s="36" t="n">
        <x:f>IF(COUNT(INDEX('SKU明细'!$D$11:$D$1309,MATCH("S02-BK-37",'SKU明细'!$A$11:$A$1309,0)),INDEX('SKU明细'!$D$11:$D$1309,MATCH("S02-BK-38",'SKU明细'!$A$11:$A$1309,0)),INDEX('SKU明细'!$D$11:$D$1309,MATCH("S02-BK-39",'SKU明细'!$A$11:$A$1309,0)),INDEX('SKU明细'!$D$11:$D$1309,MATCH("S02-BK-40",'SKU明细'!$A$11:$A$1309,0)),INDEX('SKU明细'!$D$11:$D$1309,MATCH("S02-BK-41",'SKU明细'!$A$11:$A$1309,0)),INDEX('SKU明细'!$D$11:$D$1309,MATCH("S02-BK-42",'SKU明细'!$A$11:$A$1309,0)))=0,"待核",SUM(INDEX('SKU明细'!$D$11:$D$1309,MATCH("S02-BK-37",'SKU明细'!$A$11:$A$1309,0)),INDEX('SKU明细'!$D$11:$D$1309,MATCH("S02-BK-38",'SKU明细'!$A$11:$A$1309,0)),INDEX('SKU明细'!$D$11:$D$1309,MATCH("S02-BK-39",'SKU明细'!$A$11:$A$1309,0)),INDEX('SKU明细'!$D$11:$D$1309,MATCH("S02-BK-40",'SKU明细'!$A$11:$A$1309,0)),INDEX('SKU明细'!$D$11:$D$1309,MATCH("S02-BK-41",'SKU明细'!$A$11:$A$1309,0)),INDEX('SKU明细'!$D$11:$D$1309,MATCH("S02-BK-42",'SKU明细'!$A$11:$A$1309,0))))</x:f>
        <x:v>1467</x:v>
      </x:c>
      <x:c r="T11" s="36" t="n">
        <x:f>IF(COUNTIFS($A$9:$A$191,A11,$U$9:$U$191,"&lt;&gt;待核")=0,"待核",SUMIF($A$9:$A$191,A11,$S$9:$S$191))</x:f>
        <x:v>2598</x:v>
      </x:c>
      <x:c r="U11" s="35" t="str">
        <x:f>IF(COUNT(INDEX('SKU明细'!$D$11:$D$1309,MATCH("S02-BK-37",'SKU明细'!$A$11:$A$1309,0)),INDEX('SKU明细'!$D$11:$D$1309,MATCH("S02-BK-38",'SKU明细'!$A$11:$A$1309,0)),INDEX('SKU明细'!$D$11:$D$1309,MATCH("S02-BK-39",'SKU明细'!$A$11:$A$1309,0)),INDEX('SKU明细'!$D$11:$D$1309,MATCH("S02-BK-40",'SKU明细'!$A$11:$A$1309,0)),INDEX('SKU明细'!$D$11:$D$1309,MATCH("S02-BK-41",'SKU明细'!$A$11:$A$1309,0)),INDEX('SKU明细'!$D$11:$D$1309,MATCH("S02-BK-42",'SKU明细'!$A$11:$A$1309,0)))=0,"待核",IF(COUNT(INDEX('SKU明细'!$D$11:$D$1309,MATCH("S02-BK-37",'SKU明细'!$A$11:$A$1309,0)),INDEX('SKU明细'!$D$11:$D$1309,MATCH("S02-BK-38",'SKU明细'!$A$11:$A$1309,0)),INDEX('SKU明细'!$D$11:$D$1309,MATCH("S02-BK-39",'SKU明细'!$A$11:$A$1309,0)),INDEX('SKU明细'!$D$11:$D$1309,MATCH("S02-BK-40",'SKU明细'!$A$11:$A$1309,0)),INDEX('SKU明细'!$D$11:$D$1309,MATCH("S02-BK-41",'SKU明细'!$A$11:$A$1309,0)),INDEX('SKU明细'!$D$11:$D$1309,MATCH("S02-BK-42",'SKU明细'!$A$11:$A$1309,0)))&lt;6,"另有待核","已核"))</x:f>
        <x:v>已核</x:v>
      </x:c>
      <x:c r="V11" s="35" t="str">
        <x:v>在售</x:v>
      </x:c>
      <x:c r="W11" s="11" t="n">
        <x:f>IF(COUNT(INDEX('SKU明细'!$BV$11:$BV$1309,MATCH("S02-BK-37",'SKU明细'!$A$11:$A$1309,0)),INDEX('SKU明细'!$BV$11:$BV$1309,MATCH("S02-BK-38",'SKU明细'!$A$11:$A$1309,0)),INDEX('SKU明细'!$BV$11:$BV$1309,MATCH("S02-BK-39",'SKU明细'!$A$11:$A$1309,0)),INDEX('SKU明细'!$BV$11:$BV$1309,MATCH("S02-BK-40",'SKU明细'!$A$11:$A$1309,0)),INDEX('SKU明细'!$BV$11:$BV$1309,MATCH("S02-BK-41",'SKU明细'!$A$11:$A$1309,0)),INDEX('SKU明细'!$BV$11:$BV$1309,MATCH("S02-BK-42",'SKU明细'!$A$11:$A$1309,0)))=6,SUM(INDEX('SKU明细'!$BV$11:$BV$1309,MATCH("S02-BK-37",'SKU明细'!$A$11:$A$1309,0)),INDEX('SKU明细'!$BV$11:$BV$1309,MATCH("S02-BK-38",'SKU明细'!$A$11:$A$1309,0)),INDEX('SKU明细'!$BV$11:$BV$1309,MATCH("S02-BK-39",'SKU明细'!$A$11:$A$1309,0)),INDEX('SKU明细'!$BV$11:$BV$1309,MATCH("S02-BK-40",'SKU明细'!$A$11:$A$1309,0)),INDEX('SKU明细'!$BV$11:$BV$1309,MATCH("S02-BK-41",'SKU明细'!$A$11:$A$1309,0)),INDEX('SKU明细'!$BV$11:$BV$1309,MATCH("S02-BK-42",'SKU明细'!$A$11:$A$1309,0))),"待核")</x:f>
        <x:v>24.832695374544848</x:v>
      </x:c>
      <x:c r="X11" s="11" t="n">
        <x:f>INDEX('SKU明细'!$BW$11:$BW$1309,MATCH("S02-BK-37",'SKU明细'!$A$11:$A$1309,0))</x:f>
        <x:v>0.9634503791704667</x:v>
      </x:c>
      <x:c r="Y11" s="13" t="n">
        <x:f>IF(COUNT(INDEX('SKU明细'!$BY$11:$BY$1309,MATCH("S02-BK-37",'SKU明细'!$A$11:$A$1309,0)),INDEX('SKU明细'!$BY$11:$BY$1309,MATCH("S02-BK-38",'SKU明细'!$A$11:$A$1309,0)),INDEX('SKU明细'!$BY$11:$BY$1309,MATCH("S02-BK-39",'SKU明细'!$A$11:$A$1309,0)),INDEX('SKU明细'!$BY$11:$BY$1309,MATCH("S02-BK-40",'SKU明细'!$A$11:$A$1309,0)),INDEX('SKU明细'!$BY$11:$BY$1309,MATCH("S02-BK-41",'SKU明细'!$A$11:$A$1309,0)),INDEX('SKU明细'!$BY$11:$BY$1309,MATCH("S02-BK-42",'SKU明细'!$A$11:$A$1309,0)))=6,SUM(INDEX('SKU明细'!$BY$11:$BY$1309,MATCH("S02-BK-37",'SKU明细'!$A$11:$A$1309,0)),INDEX('SKU明细'!$BY$11:$BY$1309,MATCH("S02-BK-38",'SKU明细'!$A$11:$A$1309,0)),INDEX('SKU明细'!$BY$11:$BY$1309,MATCH("S02-BK-39",'SKU明细'!$A$11:$A$1309,0)),INDEX('SKU明细'!$BY$11:$BY$1309,MATCH("S02-BK-40",'SKU明细'!$A$11:$A$1309,0)),INDEX('SKU明细'!$BY$11:$BY$1309,MATCH("S02-BK-41",'SKU明细'!$A$11:$A$1309,0)),INDEX('SKU明细'!$BY$11:$BY$1309,MATCH("S02-BK-42",'SKU明细'!$A$11:$A$1309,0))),"待核")</x:f>
        <x:v>287.10083729315915</x:v>
      </x:c>
      <x:c r="Z11" s="11" t="n">
        <x:f>INDEX('SKU明细'!$BZ$11:$BZ$1309,MATCH("S02-BK-37",'SKU明细'!$A$11:$A$1309,0))</x:f>
        <x:v>0.8585031562320637</x:v>
      </x:c>
      <x:c r="AA11" s="13" t="n">
        <x:f>IF(COUNT(INDEX('SKU明细'!$CB$11:$CB$1309,MATCH("S02-BK-37",'SKU明细'!$A$11:$A$1309,0)),INDEX('SKU明细'!$CB$11:$CB$1309,MATCH("S02-BK-38",'SKU明细'!$A$11:$A$1309,0)),INDEX('SKU明细'!$CB$11:$CB$1309,MATCH("S02-BK-39",'SKU明细'!$A$11:$A$1309,0)),INDEX('SKU明细'!$CB$11:$CB$1309,MATCH("S02-BK-40",'SKU明细'!$A$11:$A$1309,0)),INDEX('SKU明细'!$CB$11:$CB$1309,MATCH("S02-BK-41",'SKU明细'!$A$11:$A$1309,0)),INDEX('SKU明细'!$CB$11:$CB$1309,MATCH("S02-BK-42",'SKU明细'!$A$11:$A$1309,0)))=6,SUM(INDEX('SKU明细'!$CB$11:$CB$1309,MATCH("S02-BK-37",'SKU明细'!$A$11:$A$1309,0)),INDEX('SKU明细'!$CB$11:$CB$1309,MATCH("S02-BK-38",'SKU明细'!$A$11:$A$1309,0)),INDEX('SKU明细'!$CB$11:$CB$1309,MATCH("S02-BK-39",'SKU明细'!$A$11:$A$1309,0)),INDEX('SKU明细'!$CB$11:$CB$1309,MATCH("S02-BK-40",'SKU明细'!$A$11:$A$1309,0)),INDEX('SKU明细'!$CB$11:$CB$1309,MATCH("S02-BK-41",'SKU明细'!$A$11:$A$1309,0)),INDEX('SKU明细'!$CB$11:$CB$1309,MATCH("S02-BK-42",'SKU明细'!$A$11:$A$1309,0))),"待核")</x:f>
        <x:v>639.5684207038837</x:v>
      </x:c>
      <x:c r="AB11" s="11" t="n">
        <x:f>INDEX('SKU明细'!$CC$11:$CC$1309,MATCH("S02-BK-37",'SKU明细'!$A$11:$A$1309,0))</x:f>
        <x:v>0.7896606554092485</x:v>
      </x:c>
      <x:c r="AC11" s="13" t="n">
        <x:f>IF(COUNT(INDEX('SKU明细'!$CE$11:$CE$1309,MATCH("S02-BK-37",'SKU明细'!$A$11:$A$1309,0)),INDEX('SKU明细'!$CE$11:$CE$1309,MATCH("S02-BK-38",'SKU明细'!$A$11:$A$1309,0)),INDEX('SKU明细'!$CE$11:$CE$1309,MATCH("S02-BK-39",'SKU明细'!$A$11:$A$1309,0)),INDEX('SKU明细'!$CE$11:$CE$1309,MATCH("S02-BK-40",'SKU明细'!$A$11:$A$1309,0)),INDEX('SKU明细'!$CE$11:$CE$1309,MATCH("S02-BK-41",'SKU明细'!$A$11:$A$1309,0)),INDEX('SKU明细'!$CE$11:$CE$1309,MATCH("S02-BK-42",'SKU明细'!$A$11:$A$1309,0)))=6,SUM(INDEX('SKU明细'!$CE$11:$CE$1309,MATCH("S02-BK-37",'SKU明细'!$A$11:$A$1309,0)),INDEX('SKU明细'!$CE$11:$CE$1309,MATCH("S02-BK-38",'SKU明细'!$A$11:$A$1309,0)),INDEX('SKU明细'!$CE$11:$CE$1309,MATCH("S02-BK-39",'SKU明细'!$A$11:$A$1309,0)),INDEX('SKU明细'!$CE$11:$CE$1309,MATCH("S02-BK-40",'SKU明细'!$A$11:$A$1309,0)),INDEX('SKU明细'!$CE$11:$CE$1309,MATCH("S02-BK-41",'SKU明细'!$A$11:$A$1309,0)),INDEX('SKU明细'!$CE$11:$CE$1309,MATCH("S02-BK-42",'SKU明细'!$A$11:$A$1309,0))),"待核")</x:f>
        <x:v>607.8914776562802</x:v>
      </x:c>
      <x:c r="AD11" s="11" t="n">
        <x:f>INDEX('SKU明细'!$CF$11:$CF$1309,MATCH("S02-BK-37",'SKU明细'!$A$11:$A$1309,0))</x:f>
        <x:v>1.0030167116538329</x:v>
      </x:c>
      <x:c r="AE11" s="13" t="n">
        <x:f>IF(COUNT(INDEX('SKU明细'!$CH$11:$CH$1309,MATCH("S02-BK-37",'SKU明细'!$A$11:$A$1309,0)),INDEX('SKU明细'!$CH$11:$CH$1309,MATCH("S02-BK-38",'SKU明细'!$A$11:$A$1309,0)),INDEX('SKU明细'!$CH$11:$CH$1309,MATCH("S02-BK-39",'SKU明细'!$A$11:$A$1309,0)),INDEX('SKU明细'!$CH$11:$CH$1309,MATCH("S02-BK-40",'SKU明细'!$A$11:$A$1309,0)),INDEX('SKU明细'!$CH$11:$CH$1309,MATCH("S02-BK-41",'SKU明细'!$A$11:$A$1309,0)),INDEX('SKU明细'!$CH$11:$CH$1309,MATCH("S02-BK-42",'SKU明细'!$A$11:$A$1309,0)))=6,SUM(INDEX('SKU明细'!$CH$11:$CH$1309,MATCH("S02-BK-37",'SKU明细'!$A$11:$A$1309,0)),INDEX('SKU明细'!$CH$11:$CH$1309,MATCH("S02-BK-38",'SKU明细'!$A$11:$A$1309,0)),INDEX('SKU明细'!$CH$11:$CH$1309,MATCH("S02-BK-39",'SKU明细'!$A$11:$A$1309,0)),INDEX('SKU明细'!$CH$11:$CH$1309,MATCH("S02-BK-40",'SKU明细'!$A$11:$A$1309,0)),INDEX('SKU明细'!$CH$11:$CH$1309,MATCH("S02-BK-41",'SKU明细'!$A$11:$A$1309,0)),INDEX('SKU明细'!$CH$11:$CH$1309,MATCH("S02-BK-42",'SKU明细'!$A$11:$A$1309,0))),"待核")</x:f>
        <x:v>423.42934375331447</x:v>
      </x:c>
      <x:c r="AF11" s="13" t="n">
        <x:f>IF(COUNT(INDEX('SKU明细'!$CI$11:$CI$1309,MATCH("S02-BK-37",'SKU明细'!$A$11:$A$1309,0)),INDEX('SKU明细'!$CI$11:$CI$1309,MATCH("S02-BK-38",'SKU明细'!$A$11:$A$1309,0)),INDEX('SKU明细'!$CI$11:$CI$1309,MATCH("S02-BK-39",'SKU明细'!$A$11:$A$1309,0)),INDEX('SKU明细'!$CI$11:$CI$1309,MATCH("S02-BK-40",'SKU明细'!$A$11:$A$1309,0)),INDEX('SKU明细'!$CI$11:$CI$1309,MATCH("S02-BK-41",'SKU明细'!$A$11:$A$1309,0)),INDEX('SKU明细'!$CI$11:$CI$1309,MATCH("S02-BK-42",'SKU明细'!$A$11:$A$1309,0)))=6,SUM(INDEX('SKU明细'!$CI$11:$CI$1309,MATCH("S02-BK-37",'SKU明细'!$A$11:$A$1309,0)),INDEX('SKU明细'!$CI$11:$CI$1309,MATCH("S02-BK-38",'SKU明细'!$A$11:$A$1309,0)),INDEX('SKU明细'!$CI$11:$CI$1309,MATCH("S02-BK-39",'SKU明细'!$A$11:$A$1309,0)),INDEX('SKU明细'!$CI$11:$CI$1309,MATCH("S02-BK-40",'SKU明细'!$A$11:$A$1309,0)),INDEX('SKU明细'!$CI$11:$CI$1309,MATCH("S02-BK-41",'SKU明细'!$A$11:$A$1309,0)),INDEX('SKU明细'!$CI$11:$CI$1309,MATCH("S02-BK-42",'SKU明细'!$A$11:$A$1309,0))),"待核")</x:f>
        <x:v>1957.9900794066377</x:v>
      </x:c>
    </x:row>
    <x:row r="12" ht="40" customHeight="1">
      <x:c r="A12" s="35" t="str">
        <x:v>S02</x:v>
      </x:c>
      <x:c r="B12" s="35" t="str">
        <x:v>陈晨</x:v>
      </x:c>
      <x:c r="C12" s="35" t="str">
        <x:v>黑色PU</x:v>
      </x:c>
      <x:c r="D12" s="35" t="str">
        <x:v>BKP</x:v>
      </x:c>
      <x:c r="E12" s="35" t="str">
        <x:v>S02-BKP</x:v>
      </x:c>
      <x:c r="F12" s="35"/>
      <x:c r="G12" s="36" t="str">
        <x:f>"—"</x:f>
        <x:v>—</x:v>
      </x:c>
      <x:c r="H12" s="36" t="n">
        <x:f>IF(COUNT(INDEX('SKU明细'!$D$11:$D$1309,MATCH("S02-BKP-37",'SKU明细'!$A$11:$A$1309,0)))=0,"待核",IF(COUNT(INDEX('SKU明细'!$D$11:$D$1309,MATCH("S02-BKP-37",'SKU明细'!$A$11:$A$1309,0)))&lt;1,SUM(INDEX('SKU明细'!$D$11:$D$1309,MATCH("S02-BKP-37",'SKU明细'!$A$11:$A$1309,0)))&amp;" + 待核",SUM(INDEX('SKU明细'!$D$11:$D$1309,MATCH("S02-BKP-37",'SKU明细'!$A$11:$A$1309,0)))))</x:f>
        <x:v>0</x:v>
      </x:c>
      <x:c r="I12" s="36" t="str">
        <x:f>"—"</x:f>
        <x:v>—</x:v>
      </x:c>
      <x:c r="J12" s="36" t="n">
        <x:f>IF(COUNT(INDEX('SKU明细'!$D$11:$D$1309,MATCH("S02-BKP-38",'SKU明细'!$A$11:$A$1309,0)))=0,"待核",IF(COUNT(INDEX('SKU明细'!$D$11:$D$1309,MATCH("S02-BKP-38",'SKU明细'!$A$11:$A$1309,0)))&lt;1,SUM(INDEX('SKU明细'!$D$11:$D$1309,MATCH("S02-BKP-38",'SKU明细'!$A$11:$A$1309,0)))&amp;" + 待核",SUM(INDEX('SKU明细'!$D$11:$D$1309,MATCH("S02-BKP-38",'SKU明细'!$A$11:$A$1309,0)))))</x:f>
        <x:v>29</x:v>
      </x:c>
      <x:c r="K12" s="36" t="str">
        <x:f>"—"</x:f>
        <x:v>—</x:v>
      </x:c>
      <x:c r="L12" s="36" t="n">
        <x:f>IF(COUNT(INDEX('SKU明细'!$D$11:$D$1309,MATCH("S02-BKP-39",'SKU明细'!$A$11:$A$1309,0)))=0,"待核",IF(COUNT(INDEX('SKU明细'!$D$11:$D$1309,MATCH("S02-BKP-39",'SKU明细'!$A$11:$A$1309,0)))&lt;1,SUM(INDEX('SKU明细'!$D$11:$D$1309,MATCH("S02-BKP-39",'SKU明细'!$A$11:$A$1309,0)))&amp;" + 待核",SUM(INDEX('SKU明细'!$D$11:$D$1309,MATCH("S02-BKP-39",'SKU明细'!$A$11:$A$1309,0)))))</x:f>
        <x:v>10</x:v>
      </x:c>
      <x:c r="M12" s="36" t="str">
        <x:f>"—"</x:f>
        <x:v>—</x:v>
      </x:c>
      <x:c r="N12" s="36" t="n">
        <x:f>IF(COUNT(INDEX('SKU明细'!$D$11:$D$1309,MATCH("S02-BKP-40",'SKU明细'!$A$11:$A$1309,0)))=0,"待核",IF(COUNT(INDEX('SKU明细'!$D$11:$D$1309,MATCH("S02-BKP-40",'SKU明细'!$A$11:$A$1309,0)))&lt;1,SUM(INDEX('SKU明细'!$D$11:$D$1309,MATCH("S02-BKP-40",'SKU明细'!$A$11:$A$1309,0)))&amp;" + 待核",SUM(INDEX('SKU明细'!$D$11:$D$1309,MATCH("S02-BKP-40",'SKU明细'!$A$11:$A$1309,0)))))</x:f>
        <x:v>131</x:v>
      </x:c>
      <x:c r="O12" s="36" t="str">
        <x:f>"—"</x:f>
        <x:v>—</x:v>
      </x:c>
      <x:c r="P12" s="36" t="n">
        <x:f>IF(COUNT(INDEX('SKU明细'!$D$11:$D$1309,MATCH("S02-BKP-41",'SKU明细'!$A$11:$A$1309,0)))=0,"待核",IF(COUNT(INDEX('SKU明细'!$D$11:$D$1309,MATCH("S02-BKP-41",'SKU明细'!$A$11:$A$1309,0)))&lt;1,SUM(INDEX('SKU明细'!$D$11:$D$1309,MATCH("S02-BKP-41",'SKU明细'!$A$11:$A$1309,0)))&amp;" + 待核",SUM(INDEX('SKU明细'!$D$11:$D$1309,MATCH("S02-BKP-41",'SKU明细'!$A$11:$A$1309,0)))))</x:f>
        <x:v>0</x:v>
      </x:c>
      <x:c r="Q12" s="36" t="str">
        <x:f>"—"</x:f>
        <x:v>—</x:v>
      </x:c>
      <x:c r="R12" s="36" t="n">
        <x:f>IF(COUNT(INDEX('SKU明细'!$D$11:$D$1309,MATCH("S02-BKP-42",'SKU明细'!$A$11:$A$1309,0)))=0,"待核",IF(COUNT(INDEX('SKU明细'!$D$11:$D$1309,MATCH("S02-BKP-42",'SKU明细'!$A$11:$A$1309,0)))&lt;1,SUM(INDEX('SKU明细'!$D$11:$D$1309,MATCH("S02-BKP-42",'SKU明细'!$A$11:$A$1309,0)))&amp;" + 待核",SUM(INDEX('SKU明细'!$D$11:$D$1309,MATCH("S02-BKP-42",'SKU明细'!$A$11:$A$1309,0)))))</x:f>
        <x:v>0</x:v>
      </x:c>
      <x:c r="S12" s="36" t="n">
        <x:f>IF(COUNT(INDEX('SKU明细'!$D$11:$D$1309,MATCH("S02-BKP-37",'SKU明细'!$A$11:$A$1309,0)),INDEX('SKU明细'!$D$11:$D$1309,MATCH("S02-BKP-38",'SKU明细'!$A$11:$A$1309,0)),INDEX('SKU明细'!$D$11:$D$1309,MATCH("S02-BKP-39",'SKU明细'!$A$11:$A$1309,0)),INDEX('SKU明细'!$D$11:$D$1309,MATCH("S02-BKP-40",'SKU明细'!$A$11:$A$1309,0)),INDEX('SKU明细'!$D$11:$D$1309,MATCH("S02-BKP-41",'SKU明细'!$A$11:$A$1309,0)),INDEX('SKU明细'!$D$11:$D$1309,MATCH("S02-BKP-42",'SKU明细'!$A$11:$A$1309,0)))=0,"待核",SUM(INDEX('SKU明细'!$D$11:$D$1309,MATCH("S02-BKP-37",'SKU明细'!$A$11:$A$1309,0)),INDEX('SKU明细'!$D$11:$D$1309,MATCH("S02-BKP-38",'SKU明细'!$A$11:$A$1309,0)),INDEX('SKU明细'!$D$11:$D$1309,MATCH("S02-BKP-39",'SKU明细'!$A$11:$A$1309,0)),INDEX('SKU明细'!$D$11:$D$1309,MATCH("S02-BKP-40",'SKU明细'!$A$11:$A$1309,0)),INDEX('SKU明细'!$D$11:$D$1309,MATCH("S02-BKP-41",'SKU明细'!$A$11:$A$1309,0)),INDEX('SKU明细'!$D$11:$D$1309,MATCH("S02-BKP-42",'SKU明细'!$A$11:$A$1309,0))))</x:f>
        <x:v>170</x:v>
      </x:c>
      <x:c r="T12" s="36" t="n">
        <x:f>IF(COUNTIFS($A$9:$A$191,A12,$U$9:$U$191,"&lt;&gt;待核")=0,"待核",SUMIF($A$9:$A$191,A12,$S$9:$S$191))</x:f>
        <x:v>2598</x:v>
      </x:c>
      <x:c r="U12" s="35" t="str">
        <x:f>IF(COUNT(INDEX('SKU明细'!$D$11:$D$1309,MATCH("S02-BKP-37",'SKU明细'!$A$11:$A$1309,0)),INDEX('SKU明细'!$D$11:$D$1309,MATCH("S02-BKP-38",'SKU明细'!$A$11:$A$1309,0)),INDEX('SKU明细'!$D$11:$D$1309,MATCH("S02-BKP-39",'SKU明细'!$A$11:$A$1309,0)),INDEX('SKU明细'!$D$11:$D$1309,MATCH("S02-BKP-40",'SKU明细'!$A$11:$A$1309,0)),INDEX('SKU明细'!$D$11:$D$1309,MATCH("S02-BKP-41",'SKU明细'!$A$11:$A$1309,0)),INDEX('SKU明细'!$D$11:$D$1309,MATCH("S02-BKP-42",'SKU明细'!$A$11:$A$1309,0)))=0,"待核",IF(COUNT(INDEX('SKU明细'!$D$11:$D$1309,MATCH("S02-BKP-37",'SKU明细'!$A$11:$A$1309,0)),INDEX('SKU明细'!$D$11:$D$1309,MATCH("S02-BKP-38",'SKU明细'!$A$11:$A$1309,0)),INDEX('SKU明细'!$D$11:$D$1309,MATCH("S02-BKP-39",'SKU明细'!$A$11:$A$1309,0)),INDEX('SKU明细'!$D$11:$D$1309,MATCH("S02-BKP-40",'SKU明细'!$A$11:$A$1309,0)),INDEX('SKU明细'!$D$11:$D$1309,MATCH("S02-BKP-41",'SKU明细'!$A$11:$A$1309,0)),INDEX('SKU明细'!$D$11:$D$1309,MATCH("S02-BKP-42",'SKU明细'!$A$11:$A$1309,0)))&lt;6,"另有待核","已核"))</x:f>
        <x:v>已核</x:v>
      </x:c>
      <x:c r="V12" s="35" t="str">
        <x:v>在售</x:v>
      </x:c>
      <x:c r="W12" s="11" t="n">
        <x:f>IF(COUNT(INDEX('SKU明细'!$BV$11:$BV$1309,MATCH("S02-BKP-37",'SKU明细'!$A$11:$A$1309,0)),INDEX('SKU明细'!$BV$11:$BV$1309,MATCH("S02-BKP-38",'SKU明细'!$A$11:$A$1309,0)),INDEX('SKU明细'!$BV$11:$BV$1309,MATCH("S02-BKP-39",'SKU明细'!$A$11:$A$1309,0)),INDEX('SKU明细'!$BV$11:$BV$1309,MATCH("S02-BKP-40",'SKU明细'!$A$11:$A$1309,0)),INDEX('SKU明细'!$BV$11:$BV$1309,MATCH("S02-BKP-41",'SKU明细'!$A$11:$A$1309,0)),INDEX('SKU明细'!$BV$11:$BV$1309,MATCH("S02-BKP-42",'SKU明细'!$A$11:$A$1309,0)))=6,SUM(INDEX('SKU明细'!$BV$11:$BV$1309,MATCH("S02-BKP-37",'SKU明细'!$A$11:$A$1309,0)),INDEX('SKU明细'!$BV$11:$BV$1309,MATCH("S02-BKP-38",'SKU明细'!$A$11:$A$1309,0)),INDEX('SKU明细'!$BV$11:$BV$1309,MATCH("S02-BKP-39",'SKU明细'!$A$11:$A$1309,0)),INDEX('SKU明细'!$BV$11:$BV$1309,MATCH("S02-BKP-40",'SKU明细'!$A$11:$A$1309,0)),INDEX('SKU明细'!$BV$11:$BV$1309,MATCH("S02-BKP-41",'SKU明细'!$A$11:$A$1309,0)),INDEX('SKU明细'!$BV$11:$BV$1309,MATCH("S02-BKP-42",'SKU明细'!$A$11:$A$1309,0))),"待核")</x:f>
        <x:v>6.467825611843374</x:v>
      </x:c>
      <x:c r="X12" s="11" t="n">
        <x:f>INDEX('SKU明细'!$BW$11:$BW$1309,MATCH("S02-BKP-37",'SKU明细'!$A$11:$A$1309,0))</x:f>
        <x:v>0.9634503791704667</x:v>
      </x:c>
      <x:c r="Y12" s="13" t="n">
        <x:f>IF(COUNT(INDEX('SKU明细'!$BY$11:$BY$1309,MATCH("S02-BKP-37",'SKU明细'!$A$11:$A$1309,0)),INDEX('SKU明细'!$BY$11:$BY$1309,MATCH("S02-BKP-38",'SKU明细'!$A$11:$A$1309,0)),INDEX('SKU明细'!$BY$11:$BY$1309,MATCH("S02-BKP-39",'SKU明细'!$A$11:$A$1309,0)),INDEX('SKU明细'!$BY$11:$BY$1309,MATCH("S02-BKP-40",'SKU明细'!$A$11:$A$1309,0)),INDEX('SKU明细'!$BY$11:$BY$1309,MATCH("S02-BKP-41",'SKU明细'!$A$11:$A$1309,0)),INDEX('SKU明细'!$BY$11:$BY$1309,MATCH("S02-BKP-42",'SKU明细'!$A$11:$A$1309,0)))=6,SUM(INDEX('SKU明细'!$BY$11:$BY$1309,MATCH("S02-BKP-37",'SKU明细'!$A$11:$A$1309,0)),INDEX('SKU明细'!$BY$11:$BY$1309,MATCH("S02-BKP-38",'SKU明细'!$A$11:$A$1309,0)),INDEX('SKU明细'!$BY$11:$BY$1309,MATCH("S02-BKP-39",'SKU明细'!$A$11:$A$1309,0)),INDEX('SKU明细'!$BY$11:$BY$1309,MATCH("S02-BKP-40",'SKU明细'!$A$11:$A$1309,0)),INDEX('SKU明细'!$BY$11:$BY$1309,MATCH("S02-BKP-41",'SKU明细'!$A$11:$A$1309,0)),INDEX('SKU明细'!$BY$11:$BY$1309,MATCH("S02-BKP-42",'SKU明细'!$A$11:$A$1309,0))),"待核")</x:f>
        <x:v>74.77714845766744</x:v>
      </x:c>
      <x:c r="Z12" s="11" t="n">
        <x:f>INDEX('SKU明细'!$BZ$11:$BZ$1309,MATCH("S02-BKP-37",'SKU明细'!$A$11:$A$1309,0))</x:f>
        <x:v>0.8585031562320637</x:v>
      </x:c>
      <x:c r="AA12" s="13" t="n">
        <x:f>IF(COUNT(INDEX('SKU明细'!$CB$11:$CB$1309,MATCH("S02-BKP-37",'SKU明细'!$A$11:$A$1309,0)),INDEX('SKU明细'!$CB$11:$CB$1309,MATCH("S02-BKP-38",'SKU明细'!$A$11:$A$1309,0)),INDEX('SKU明细'!$CB$11:$CB$1309,MATCH("S02-BKP-39",'SKU明细'!$A$11:$A$1309,0)),INDEX('SKU明细'!$CB$11:$CB$1309,MATCH("S02-BKP-40",'SKU明细'!$A$11:$A$1309,0)),INDEX('SKU明细'!$CB$11:$CB$1309,MATCH("S02-BKP-41",'SKU明细'!$A$11:$A$1309,0)),INDEX('SKU明细'!$CB$11:$CB$1309,MATCH("S02-BKP-42",'SKU明细'!$A$11:$A$1309,0)))=6,SUM(INDEX('SKU明细'!$CB$11:$CB$1309,MATCH("S02-BKP-37",'SKU明细'!$A$11:$A$1309,0)),INDEX('SKU明细'!$CB$11:$CB$1309,MATCH("S02-BKP-38",'SKU明细'!$A$11:$A$1309,0)),INDEX('SKU明细'!$CB$11:$CB$1309,MATCH("S02-BKP-39",'SKU明细'!$A$11:$A$1309,0)),INDEX('SKU明细'!$CB$11:$CB$1309,MATCH("S02-BKP-40",'SKU明细'!$A$11:$A$1309,0)),INDEX('SKU明细'!$CB$11:$CB$1309,MATCH("S02-BKP-41",'SKU明细'!$A$11:$A$1309,0)),INDEX('SKU明细'!$CB$11:$CB$1309,MATCH("S02-BKP-42",'SKU明细'!$A$11:$A$1309,0))),"待核")</x:f>
        <x:v>166.57946105178343</x:v>
      </x:c>
      <x:c r="AB12" s="11" t="n">
        <x:f>INDEX('SKU明细'!$CC$11:$CC$1309,MATCH("S02-BKP-37",'SKU明细'!$A$11:$A$1309,0))</x:f>
        <x:v>0.7896606554092485</x:v>
      </x:c>
      <x:c r="AC12" s="13" t="n">
        <x:f>IF(COUNT(INDEX('SKU明细'!$CE$11:$CE$1309,MATCH("S02-BKP-37",'SKU明细'!$A$11:$A$1309,0)),INDEX('SKU明细'!$CE$11:$CE$1309,MATCH("S02-BKP-38",'SKU明细'!$A$11:$A$1309,0)),INDEX('SKU明细'!$CE$11:$CE$1309,MATCH("S02-BKP-39",'SKU明细'!$A$11:$A$1309,0)),INDEX('SKU明细'!$CE$11:$CE$1309,MATCH("S02-BKP-40",'SKU明细'!$A$11:$A$1309,0)),INDEX('SKU明细'!$CE$11:$CE$1309,MATCH("S02-BKP-41",'SKU明细'!$A$11:$A$1309,0)),INDEX('SKU明细'!$CE$11:$CE$1309,MATCH("S02-BKP-42",'SKU明细'!$A$11:$A$1309,0)))=6,SUM(INDEX('SKU明细'!$CE$11:$CE$1309,MATCH("S02-BKP-37",'SKU明细'!$A$11:$A$1309,0)),INDEX('SKU明细'!$CE$11:$CE$1309,MATCH("S02-BKP-38",'SKU明细'!$A$11:$A$1309,0)),INDEX('SKU明细'!$CE$11:$CE$1309,MATCH("S02-BKP-39",'SKU明细'!$A$11:$A$1309,0)),INDEX('SKU明细'!$CE$11:$CE$1309,MATCH("S02-BKP-40",'SKU明细'!$A$11:$A$1309,0)),INDEX('SKU明细'!$CE$11:$CE$1309,MATCH("S02-BKP-41",'SKU明细'!$A$11:$A$1309,0)),INDEX('SKU明细'!$CE$11:$CE$1309,MATCH("S02-BKP-42",'SKU明细'!$A$11:$A$1309,0))),"待核")</x:f>
        <x:v>158.3290097633498</x:v>
      </x:c>
      <x:c r="AD12" s="11" t="n">
        <x:f>INDEX('SKU明细'!$CF$11:$CF$1309,MATCH("S02-BKP-37",'SKU明细'!$A$11:$A$1309,0))</x:f>
        <x:v>1.0030167116538329</x:v>
      </x:c>
      <x:c r="AE12" s="13" t="n">
        <x:f>IF(COUNT(INDEX('SKU明细'!$CH$11:$CH$1309,MATCH("S02-BKP-37",'SKU明细'!$A$11:$A$1309,0)),INDEX('SKU明细'!$CH$11:$CH$1309,MATCH("S02-BKP-38",'SKU明细'!$A$11:$A$1309,0)),INDEX('SKU明细'!$CH$11:$CH$1309,MATCH("S02-BKP-39",'SKU明细'!$A$11:$A$1309,0)),INDEX('SKU明细'!$CH$11:$CH$1309,MATCH("S02-BKP-40",'SKU明细'!$A$11:$A$1309,0)),INDEX('SKU明细'!$CH$11:$CH$1309,MATCH("S02-BKP-41",'SKU明细'!$A$11:$A$1309,0)),INDEX('SKU明细'!$CH$11:$CH$1309,MATCH("S02-BKP-42",'SKU明细'!$A$11:$A$1309,0)))=6,SUM(INDEX('SKU明细'!$CH$11:$CH$1309,MATCH("S02-BKP-37",'SKU明细'!$A$11:$A$1309,0)),INDEX('SKU明细'!$CH$11:$CH$1309,MATCH("S02-BKP-38",'SKU明细'!$A$11:$A$1309,0)),INDEX('SKU明细'!$CH$11:$CH$1309,MATCH("S02-BKP-39",'SKU明细'!$A$11:$A$1309,0)),INDEX('SKU明细'!$CH$11:$CH$1309,MATCH("S02-BKP-40",'SKU明细'!$A$11:$A$1309,0)),INDEX('SKU明细'!$CH$11:$CH$1309,MATCH("S02-BKP-41",'SKU明细'!$A$11:$A$1309,0)),INDEX('SKU明细'!$CH$11:$CH$1309,MATCH("S02-BKP-42",'SKU明细'!$A$11:$A$1309,0))),"待核")</x:f>
        <x:v>110.28473200460685</x:v>
      </x:c>
      <x:c r="AF12" s="13" t="n">
        <x:f>IF(COUNT(INDEX('SKU明细'!$CI$11:$CI$1309,MATCH("S02-BKP-37",'SKU明细'!$A$11:$A$1309,0)),INDEX('SKU明细'!$CI$11:$CI$1309,MATCH("S02-BKP-38",'SKU明细'!$A$11:$A$1309,0)),INDEX('SKU明细'!$CI$11:$CI$1309,MATCH("S02-BKP-39",'SKU明细'!$A$11:$A$1309,0)),INDEX('SKU明细'!$CI$11:$CI$1309,MATCH("S02-BKP-40",'SKU明细'!$A$11:$A$1309,0)),INDEX('SKU明细'!$CI$11:$CI$1309,MATCH("S02-BKP-41",'SKU明细'!$A$11:$A$1309,0)),INDEX('SKU明细'!$CI$11:$CI$1309,MATCH("S02-BKP-42",'SKU明细'!$A$11:$A$1309,0)))=6,SUM(INDEX('SKU明细'!$CI$11:$CI$1309,MATCH("S02-BKP-37",'SKU明细'!$A$11:$A$1309,0)),INDEX('SKU明细'!$CI$11:$CI$1309,MATCH("S02-BKP-38",'SKU明细'!$A$11:$A$1309,0)),INDEX('SKU明细'!$CI$11:$CI$1309,MATCH("S02-BKP-39",'SKU明细'!$A$11:$A$1309,0)),INDEX('SKU明细'!$CI$11:$CI$1309,MATCH("S02-BKP-40",'SKU明细'!$A$11:$A$1309,0)),INDEX('SKU明细'!$CI$11:$CI$1309,MATCH("S02-BKP-41",'SKU明细'!$A$11:$A$1309,0)),INDEX('SKU明细'!$CI$11:$CI$1309,MATCH("S02-BKP-42",'SKU明细'!$A$11:$A$1309,0))),"待核")</x:f>
        <x:v>509.97035127740753</x:v>
      </x:c>
    </x:row>
    <x:row r="13" ht="40" customHeight="1">
      <x:c r="A13" s="35" t="str">
        <x:v>S02</x:v>
      </x:c>
      <x:c r="B13" s="35" t="str">
        <x:v>陈晨</x:v>
      </x:c>
      <x:c r="C13" s="35" t="str">
        <x:v>豹纹</x:v>
      </x:c>
      <x:c r="D13" s="35" t="str">
        <x:v>LP</x:v>
      </x:c>
      <x:c r="E13" s="35" t="str">
        <x:v>S02-LP</x:v>
      </x:c>
      <x:c r="F13" s="35"/>
      <x:c r="G13" s="36" t="str">
        <x:f>"—"</x:f>
        <x:v>—</x:v>
      </x:c>
      <x:c r="H13" s="36" t="n">
        <x:f>IF(COUNT(INDEX('SKU明细'!$D$11:$D$1309,MATCH("S02-LP-37",'SKU明细'!$A$11:$A$1309,0)))=0,"待核",IF(COUNT(INDEX('SKU明细'!$D$11:$D$1309,MATCH("S02-LP-37",'SKU明细'!$A$11:$A$1309,0)))&lt;1,SUM(INDEX('SKU明细'!$D$11:$D$1309,MATCH("S02-LP-37",'SKU明细'!$A$11:$A$1309,0)))&amp;" + 待核",SUM(INDEX('SKU明细'!$D$11:$D$1309,MATCH("S02-LP-37",'SKU明细'!$A$11:$A$1309,0)))))</x:f>
        <x:v>20</x:v>
      </x:c>
      <x:c r="I13" s="36" t="str">
        <x:f>"—"</x:f>
        <x:v>—</x:v>
      </x:c>
      <x:c r="J13" s="36" t="n">
        <x:f>IF(COUNT(INDEX('SKU明细'!$D$11:$D$1309,MATCH("S02-LP-38",'SKU明细'!$A$11:$A$1309,0)))=0,"待核",IF(COUNT(INDEX('SKU明细'!$D$11:$D$1309,MATCH("S02-LP-38",'SKU明细'!$A$11:$A$1309,0)))&lt;1,SUM(INDEX('SKU明细'!$D$11:$D$1309,MATCH("S02-LP-38",'SKU明细'!$A$11:$A$1309,0)))&amp;" + 待核",SUM(INDEX('SKU明细'!$D$11:$D$1309,MATCH("S02-LP-38",'SKU明细'!$A$11:$A$1309,0)))))</x:f>
        <x:v>44</x:v>
      </x:c>
      <x:c r="K13" s="36" t="str">
        <x:f>"—"</x:f>
        <x:v>—</x:v>
      </x:c>
      <x:c r="L13" s="36" t="n">
        <x:f>IF(COUNT(INDEX('SKU明细'!$D$11:$D$1309,MATCH("S02-LP-39",'SKU明细'!$A$11:$A$1309,0)))=0,"待核",IF(COUNT(INDEX('SKU明细'!$D$11:$D$1309,MATCH("S02-LP-39",'SKU明细'!$A$11:$A$1309,0)))&lt;1,SUM(INDEX('SKU明细'!$D$11:$D$1309,MATCH("S02-LP-39",'SKU明细'!$A$11:$A$1309,0)))&amp;" + 待核",SUM(INDEX('SKU明细'!$D$11:$D$1309,MATCH("S02-LP-39",'SKU明细'!$A$11:$A$1309,0)))))</x:f>
        <x:v>91</x:v>
      </x:c>
      <x:c r="M13" s="36" t="str">
        <x:f>"—"</x:f>
        <x:v>—</x:v>
      </x:c>
      <x:c r="N13" s="36" t="n">
        <x:f>IF(COUNT(INDEX('SKU明细'!$D$11:$D$1309,MATCH("S02-LP-40",'SKU明细'!$A$11:$A$1309,0)))=0,"待核",IF(COUNT(INDEX('SKU明细'!$D$11:$D$1309,MATCH("S02-LP-40",'SKU明细'!$A$11:$A$1309,0)))&lt;1,SUM(INDEX('SKU明细'!$D$11:$D$1309,MATCH("S02-LP-40",'SKU明细'!$A$11:$A$1309,0)))&amp;" + 待核",SUM(INDEX('SKU明细'!$D$11:$D$1309,MATCH("S02-LP-40",'SKU明细'!$A$11:$A$1309,0)))))</x:f>
        <x:v>69</x:v>
      </x:c>
      <x:c r="O13" s="36" t="str">
        <x:f>"—"</x:f>
        <x:v>—</x:v>
      </x:c>
      <x:c r="P13" s="36" t="n">
        <x:f>IF(COUNT(INDEX('SKU明细'!$D$11:$D$1309,MATCH("S02-LP-41",'SKU明细'!$A$11:$A$1309,0)))=0,"待核",IF(COUNT(INDEX('SKU明细'!$D$11:$D$1309,MATCH("S02-LP-41",'SKU明细'!$A$11:$A$1309,0)))&lt;1,SUM(INDEX('SKU明细'!$D$11:$D$1309,MATCH("S02-LP-41",'SKU明细'!$A$11:$A$1309,0)))&amp;" + 待核",SUM(INDEX('SKU明细'!$D$11:$D$1309,MATCH("S02-LP-41",'SKU明细'!$A$11:$A$1309,0)))))</x:f>
        <x:v>50</x:v>
      </x:c>
      <x:c r="Q13" s="36" t="str">
        <x:f>"—"</x:f>
        <x:v>—</x:v>
      </x:c>
      <x:c r="R13" s="36" t="n">
        <x:f>IF(COUNT(INDEX('SKU明细'!$D$11:$D$1309,MATCH("S02-LP-42",'SKU明细'!$A$11:$A$1309,0)))=0,"待核",IF(COUNT(INDEX('SKU明细'!$D$11:$D$1309,MATCH("S02-LP-42",'SKU明细'!$A$11:$A$1309,0)))&lt;1,SUM(INDEX('SKU明细'!$D$11:$D$1309,MATCH("S02-LP-42",'SKU明细'!$A$11:$A$1309,0)))&amp;" + 待核",SUM(INDEX('SKU明细'!$D$11:$D$1309,MATCH("S02-LP-42",'SKU明细'!$A$11:$A$1309,0)))))</x:f>
        <x:v>49</x:v>
      </x:c>
      <x:c r="S13" s="36" t="n">
        <x:f>IF(COUNT(INDEX('SKU明细'!$D$11:$D$1309,MATCH("S02-LP-37",'SKU明细'!$A$11:$A$1309,0)),INDEX('SKU明细'!$D$11:$D$1309,MATCH("S02-LP-38",'SKU明细'!$A$11:$A$1309,0)),INDEX('SKU明细'!$D$11:$D$1309,MATCH("S02-LP-39",'SKU明细'!$A$11:$A$1309,0)),INDEX('SKU明细'!$D$11:$D$1309,MATCH("S02-LP-40",'SKU明细'!$A$11:$A$1309,0)),INDEX('SKU明细'!$D$11:$D$1309,MATCH("S02-LP-41",'SKU明细'!$A$11:$A$1309,0)),INDEX('SKU明细'!$D$11:$D$1309,MATCH("S02-LP-42",'SKU明细'!$A$11:$A$1309,0)))=0,"待核",SUM(INDEX('SKU明细'!$D$11:$D$1309,MATCH("S02-LP-37",'SKU明细'!$A$11:$A$1309,0)),INDEX('SKU明细'!$D$11:$D$1309,MATCH("S02-LP-38",'SKU明细'!$A$11:$A$1309,0)),INDEX('SKU明细'!$D$11:$D$1309,MATCH("S02-LP-39",'SKU明细'!$A$11:$A$1309,0)),INDEX('SKU明细'!$D$11:$D$1309,MATCH("S02-LP-40",'SKU明细'!$A$11:$A$1309,0)),INDEX('SKU明细'!$D$11:$D$1309,MATCH("S02-LP-41",'SKU明细'!$A$11:$A$1309,0)),INDEX('SKU明细'!$D$11:$D$1309,MATCH("S02-LP-42",'SKU明细'!$A$11:$A$1309,0))))</x:f>
        <x:v>323</x:v>
      </x:c>
      <x:c r="T13" s="36" t="n">
        <x:f>IF(COUNTIFS($A$9:$A$191,A13,$U$9:$U$191,"&lt;&gt;待核")=0,"待核",SUMIF($A$9:$A$191,A13,$S$9:$S$191))</x:f>
        <x:v>2598</x:v>
      </x:c>
      <x:c r="U13" s="35" t="str">
        <x:f>IF(COUNT(INDEX('SKU明细'!$D$11:$D$1309,MATCH("S02-LP-37",'SKU明细'!$A$11:$A$1309,0)),INDEX('SKU明细'!$D$11:$D$1309,MATCH("S02-LP-38",'SKU明细'!$A$11:$A$1309,0)),INDEX('SKU明细'!$D$11:$D$1309,MATCH("S02-LP-39",'SKU明细'!$A$11:$A$1309,0)),INDEX('SKU明细'!$D$11:$D$1309,MATCH("S02-LP-40",'SKU明细'!$A$11:$A$1309,0)),INDEX('SKU明细'!$D$11:$D$1309,MATCH("S02-LP-41",'SKU明细'!$A$11:$A$1309,0)),INDEX('SKU明细'!$D$11:$D$1309,MATCH("S02-LP-42",'SKU明细'!$A$11:$A$1309,0)))=0,"待核",IF(COUNT(INDEX('SKU明细'!$D$11:$D$1309,MATCH("S02-LP-37",'SKU明细'!$A$11:$A$1309,0)),INDEX('SKU明细'!$D$11:$D$1309,MATCH("S02-LP-38",'SKU明细'!$A$11:$A$1309,0)),INDEX('SKU明细'!$D$11:$D$1309,MATCH("S02-LP-39",'SKU明细'!$A$11:$A$1309,0)),INDEX('SKU明细'!$D$11:$D$1309,MATCH("S02-LP-40",'SKU明细'!$A$11:$A$1309,0)),INDEX('SKU明细'!$D$11:$D$1309,MATCH("S02-LP-41",'SKU明细'!$A$11:$A$1309,0)),INDEX('SKU明细'!$D$11:$D$1309,MATCH("S02-LP-42",'SKU明细'!$A$11:$A$1309,0)))&lt;6,"另有待核","已核"))</x:f>
        <x:v>已核</x:v>
      </x:c>
      <x:c r="V13" s="35" t="str">
        <x:v>在售</x:v>
      </x:c>
      <x:c r="W13" s="11" t="n">
        <x:f>IF(COUNT(INDEX('SKU明细'!$BV$11:$BV$1309,MATCH("S02-LP-37",'SKU明细'!$A$11:$A$1309,0)),INDEX('SKU明细'!$BV$11:$BV$1309,MATCH("S02-LP-38",'SKU明细'!$A$11:$A$1309,0)),INDEX('SKU明细'!$BV$11:$BV$1309,MATCH("S02-LP-39",'SKU明细'!$A$11:$A$1309,0)),INDEX('SKU明细'!$BV$11:$BV$1309,MATCH("S02-LP-40",'SKU明细'!$A$11:$A$1309,0)),INDEX('SKU明细'!$BV$11:$BV$1309,MATCH("S02-LP-41",'SKU明细'!$A$11:$A$1309,0)),INDEX('SKU明细'!$BV$11:$BV$1309,MATCH("S02-LP-42",'SKU明细'!$A$11:$A$1309,0)))=6,SUM(INDEX('SKU明细'!$BV$11:$BV$1309,MATCH("S02-LP-37",'SKU明细'!$A$11:$A$1309,0)),INDEX('SKU明细'!$BV$11:$BV$1309,MATCH("S02-LP-38",'SKU明细'!$A$11:$A$1309,0)),INDEX('SKU明细'!$BV$11:$BV$1309,MATCH("S02-LP-39",'SKU明细'!$A$11:$A$1309,0)),INDEX('SKU明细'!$BV$11:$BV$1309,MATCH("S02-LP-40",'SKU明细'!$A$11:$A$1309,0)),INDEX('SKU明细'!$BV$11:$BV$1309,MATCH("S02-LP-41",'SKU明细'!$A$11:$A$1309,0)),INDEX('SKU明细'!$BV$11:$BV$1309,MATCH("S02-LP-42",'SKU明细'!$A$11:$A$1309,0))),"待核")</x:f>
        <x:v>7.6401175176697</x:v>
      </x:c>
      <x:c r="X13" s="11" t="n">
        <x:f>INDEX('SKU明细'!$BW$11:$BW$1309,MATCH("S02-LP-37",'SKU明细'!$A$11:$A$1309,0))</x:f>
        <x:v>0.9634503791704667</x:v>
      </x:c>
      <x:c r="Y13" s="13" t="n">
        <x:f>IF(COUNT(INDEX('SKU明细'!$BY$11:$BY$1309,MATCH("S02-LP-37",'SKU明细'!$A$11:$A$1309,0)),INDEX('SKU明细'!$BY$11:$BY$1309,MATCH("S02-LP-38",'SKU明细'!$A$11:$A$1309,0)),INDEX('SKU明细'!$BY$11:$BY$1309,MATCH("S02-LP-39",'SKU明细'!$A$11:$A$1309,0)),INDEX('SKU明细'!$BY$11:$BY$1309,MATCH("S02-LP-40",'SKU明细'!$A$11:$A$1309,0)),INDEX('SKU明细'!$BY$11:$BY$1309,MATCH("S02-LP-41",'SKU明细'!$A$11:$A$1309,0)),INDEX('SKU明细'!$BY$11:$BY$1309,MATCH("S02-LP-42",'SKU明细'!$A$11:$A$1309,0)))=6,SUM(INDEX('SKU明细'!$BY$11:$BY$1309,MATCH("S02-LP-37",'SKU明细'!$A$11:$A$1309,0)),INDEX('SKU明细'!$BY$11:$BY$1309,MATCH("S02-LP-38",'SKU明细'!$A$11:$A$1309,0)),INDEX('SKU明细'!$BY$11:$BY$1309,MATCH("S02-LP-39",'SKU明细'!$A$11:$A$1309,0)),INDEX('SKU明细'!$BY$11:$BY$1309,MATCH("S02-LP-40",'SKU明细'!$A$11:$A$1309,0)),INDEX('SKU明细'!$BY$11:$BY$1309,MATCH("S02-LP-41",'SKU明细'!$A$11:$A$1309,0)),INDEX('SKU明细'!$BY$11:$BY$1309,MATCH("S02-LP-42",'SKU明细'!$A$11:$A$1309,0))),"待核")</x:f>
        <x:v>88.33048943166956</x:v>
      </x:c>
      <x:c r="Z13" s="11" t="n">
        <x:f>INDEX('SKU明细'!$BZ$11:$BZ$1309,MATCH("S02-LP-37",'SKU明细'!$A$11:$A$1309,0))</x:f>
        <x:v>0.8585031562320637</x:v>
      </x:c>
      <x:c r="AA13" s="13" t="n">
        <x:f>IF(COUNT(INDEX('SKU明细'!$CB$11:$CB$1309,MATCH("S02-LP-37",'SKU明细'!$A$11:$A$1309,0)),INDEX('SKU明细'!$CB$11:$CB$1309,MATCH("S02-LP-38",'SKU明细'!$A$11:$A$1309,0)),INDEX('SKU明细'!$CB$11:$CB$1309,MATCH("S02-LP-39",'SKU明细'!$A$11:$A$1309,0)),INDEX('SKU明细'!$CB$11:$CB$1309,MATCH("S02-LP-40",'SKU明细'!$A$11:$A$1309,0)),INDEX('SKU明细'!$CB$11:$CB$1309,MATCH("S02-LP-41",'SKU明细'!$A$11:$A$1309,0)),INDEX('SKU明细'!$CB$11:$CB$1309,MATCH("S02-LP-42",'SKU明细'!$A$11:$A$1309,0)))=6,SUM(INDEX('SKU明细'!$CB$11:$CB$1309,MATCH("S02-LP-37",'SKU明细'!$A$11:$A$1309,0)),INDEX('SKU明细'!$CB$11:$CB$1309,MATCH("S02-LP-38",'SKU明细'!$A$11:$A$1309,0)),INDEX('SKU明细'!$CB$11:$CB$1309,MATCH("S02-LP-39",'SKU明细'!$A$11:$A$1309,0)),INDEX('SKU明细'!$CB$11:$CB$1309,MATCH("S02-LP-40",'SKU明细'!$A$11:$A$1309,0)),INDEX('SKU明细'!$CB$11:$CB$1309,MATCH("S02-LP-41",'SKU明细'!$A$11:$A$1309,0)),INDEX('SKU明细'!$CB$11:$CB$1309,MATCH("S02-LP-42",'SKU明细'!$A$11:$A$1309,0))),"待核")</x:f>
        <x:v>196.7719500870995</x:v>
      </x:c>
      <x:c r="AB13" s="11" t="n">
        <x:f>INDEX('SKU明细'!$CC$11:$CC$1309,MATCH("S02-LP-37",'SKU明细'!$A$11:$A$1309,0))</x:f>
        <x:v>0.7896606554092485</x:v>
      </x:c>
      <x:c r="AC13" s="13" t="n">
        <x:f>IF(COUNT(INDEX('SKU明细'!$CE$11:$CE$1309,MATCH("S02-LP-37",'SKU明细'!$A$11:$A$1309,0)),INDEX('SKU明细'!$CE$11:$CE$1309,MATCH("S02-LP-38",'SKU明细'!$A$11:$A$1309,0)),INDEX('SKU明细'!$CE$11:$CE$1309,MATCH("S02-LP-39",'SKU明细'!$A$11:$A$1309,0)),INDEX('SKU明细'!$CE$11:$CE$1309,MATCH("S02-LP-40",'SKU明细'!$A$11:$A$1309,0)),INDEX('SKU明细'!$CE$11:$CE$1309,MATCH("S02-LP-41",'SKU明细'!$A$11:$A$1309,0)),INDEX('SKU明细'!$CE$11:$CE$1309,MATCH("S02-LP-42",'SKU明细'!$A$11:$A$1309,0)))=6,SUM(INDEX('SKU明细'!$CE$11:$CE$1309,MATCH("S02-LP-37",'SKU明细'!$A$11:$A$1309,0)),INDEX('SKU明细'!$CE$11:$CE$1309,MATCH("S02-LP-38",'SKU明细'!$A$11:$A$1309,0)),INDEX('SKU明细'!$CE$11:$CE$1309,MATCH("S02-LP-39",'SKU明细'!$A$11:$A$1309,0)),INDEX('SKU明细'!$CE$11:$CE$1309,MATCH("S02-LP-40",'SKU明细'!$A$11:$A$1309,0)),INDEX('SKU明细'!$CE$11:$CE$1309,MATCH("S02-LP-41",'SKU明细'!$A$11:$A$1309,0)),INDEX('SKU明细'!$CE$11:$CE$1309,MATCH("S02-LP-42",'SKU明细'!$A$11:$A$1309,0))),"待核")</x:f>
        <x:v>187.02610639860882</x:v>
      </x:c>
      <x:c r="AD13" s="11" t="n">
        <x:f>INDEX('SKU明细'!$CF$11:$CF$1309,MATCH("S02-LP-37",'SKU明细'!$A$11:$A$1309,0))</x:f>
        <x:v>1.0030167116538329</x:v>
      </x:c>
      <x:c r="AE13" s="13" t="n">
        <x:f>IF(COUNT(INDEX('SKU明细'!$CH$11:$CH$1309,MATCH("S02-LP-37",'SKU明细'!$A$11:$A$1309,0)),INDEX('SKU明细'!$CH$11:$CH$1309,MATCH("S02-LP-38",'SKU明细'!$A$11:$A$1309,0)),INDEX('SKU明细'!$CH$11:$CH$1309,MATCH("S02-LP-39",'SKU明细'!$A$11:$A$1309,0)),INDEX('SKU明细'!$CH$11:$CH$1309,MATCH("S02-LP-40",'SKU明细'!$A$11:$A$1309,0)),INDEX('SKU明细'!$CH$11:$CH$1309,MATCH("S02-LP-41",'SKU明细'!$A$11:$A$1309,0)),INDEX('SKU明细'!$CH$11:$CH$1309,MATCH("S02-LP-42",'SKU明细'!$A$11:$A$1309,0)))=6,SUM(INDEX('SKU明细'!$CH$11:$CH$1309,MATCH("S02-LP-37",'SKU明细'!$A$11:$A$1309,0)),INDEX('SKU明细'!$CH$11:$CH$1309,MATCH("S02-LP-38",'SKU明细'!$A$11:$A$1309,0)),INDEX('SKU明细'!$CH$11:$CH$1309,MATCH("S02-LP-39",'SKU明细'!$A$11:$A$1309,0)),INDEX('SKU明细'!$CH$11:$CH$1309,MATCH("S02-LP-40",'SKU明细'!$A$11:$A$1309,0)),INDEX('SKU明细'!$CH$11:$CH$1309,MATCH("S02-LP-41",'SKU明细'!$A$11:$A$1309,0)),INDEX('SKU明细'!$CH$11:$CH$1309,MATCH("S02-LP-42",'SKU明细'!$A$11:$A$1309,0))),"待核")</x:f>
        <x:v>130.27381433677243</x:v>
      </x:c>
      <x:c r="AF13" s="13" t="n">
        <x:f>IF(COUNT(INDEX('SKU明细'!$CI$11:$CI$1309,MATCH("S02-LP-37",'SKU明细'!$A$11:$A$1309,0)),INDEX('SKU明细'!$CI$11:$CI$1309,MATCH("S02-LP-38",'SKU明细'!$A$11:$A$1309,0)),INDEX('SKU明细'!$CI$11:$CI$1309,MATCH("S02-LP-39",'SKU明细'!$A$11:$A$1309,0)),INDEX('SKU明细'!$CI$11:$CI$1309,MATCH("S02-LP-40",'SKU明细'!$A$11:$A$1309,0)),INDEX('SKU明细'!$CI$11:$CI$1309,MATCH("S02-LP-41",'SKU明细'!$A$11:$A$1309,0)),INDEX('SKU明细'!$CI$11:$CI$1309,MATCH("S02-LP-42",'SKU明细'!$A$11:$A$1309,0)))=6,SUM(INDEX('SKU明细'!$CI$11:$CI$1309,MATCH("S02-LP-37",'SKU明细'!$A$11:$A$1309,0)),INDEX('SKU明细'!$CI$11:$CI$1309,MATCH("S02-LP-38",'SKU明细'!$A$11:$A$1309,0)),INDEX('SKU明细'!$CI$11:$CI$1309,MATCH("S02-LP-39",'SKU明细'!$A$11:$A$1309,0)),INDEX('SKU明细'!$CI$11:$CI$1309,MATCH("S02-LP-40",'SKU明细'!$A$11:$A$1309,0)),INDEX('SKU明细'!$CI$11:$CI$1309,MATCH("S02-LP-41",'SKU明细'!$A$11:$A$1309,0)),INDEX('SKU明细'!$CI$11:$CI$1309,MATCH("S02-LP-42",'SKU明细'!$A$11:$A$1309,0))),"待核")</x:f>
        <x:v>602.4023602541504</x:v>
      </x:c>
    </x:row>
    <x:row r="14" ht="40" customHeight="1">
      <x:c r="A14" s="35" t="str">
        <x:v>S02</x:v>
      </x:c>
      <x:c r="B14" s="35" t="str">
        <x:v>陈晨</x:v>
      </x:c>
      <x:c r="C14" s="35" t="str">
        <x:v>藏青色</x:v>
      </x:c>
      <x:c r="D14" s="35" t="str">
        <x:v>NY</x:v>
      </x:c>
      <x:c r="E14" s="35" t="str">
        <x:v>S02-NY</x:v>
      </x:c>
      <x:c r="F14" s="35"/>
      <x:c r="G14" s="36" t="str">
        <x:f>"—"</x:f>
        <x:v>—</x:v>
      </x:c>
      <x:c r="H14" s="36" t="str">
        <x:f>"—"</x:f>
        <x:v>—</x:v>
      </x:c>
      <x:c r="I14" s="36" t="str">
        <x:f>"—"</x:f>
        <x:v>—</x:v>
      </x:c>
      <x:c r="J14" s="36" t="str">
        <x:f>"—"</x:f>
        <x:v>—</x:v>
      </x:c>
      <x:c r="K14" s="36" t="str">
        <x:f>"—"</x:f>
        <x:v>—</x:v>
      </x:c>
      <x:c r="L14" s="36" t="str">
        <x:f>"—"</x:f>
        <x:v>—</x:v>
      </x:c>
      <x:c r="M14" s="36" t="str">
        <x:f>"—"</x:f>
        <x:v>—</x:v>
      </x:c>
      <x:c r="N14" s="36" t="n">
        <x:f>IF(COUNT(INDEX('SKU明细'!$D$11:$D$1309,MATCH("S02-NY-40",'SKU明细'!$A$11:$A$1309,0)))=0,"待核",IF(COUNT(INDEX('SKU明细'!$D$11:$D$1309,MATCH("S02-NY-40",'SKU明细'!$A$11:$A$1309,0)))&lt;1,SUM(INDEX('SKU明细'!$D$11:$D$1309,MATCH("S02-NY-40",'SKU明细'!$A$11:$A$1309,0)))&amp;" + 待核",SUM(INDEX('SKU明细'!$D$11:$D$1309,MATCH("S02-NY-40",'SKU明细'!$A$11:$A$1309,0)))))</x:f>
        <x:v>39</x:v>
      </x:c>
      <x:c r="O14" s="36" t="str">
        <x:f>"—"</x:f>
        <x:v>—</x:v>
      </x:c>
      <x:c r="P14" s="36" t="str">
        <x:f>"—"</x:f>
        <x:v>—</x:v>
      </x:c>
      <x:c r="Q14" s="36" t="str">
        <x:f>"—"</x:f>
        <x:v>—</x:v>
      </x:c>
      <x:c r="R14" s="36" t="str">
        <x:f>"—"</x:f>
        <x:v>—</x:v>
      </x:c>
      <x:c r="S14" s="36" t="n">
        <x:f>IF(COUNT(INDEX('SKU明细'!$D$11:$D$1309,MATCH("S02-NY-40",'SKU明细'!$A$11:$A$1309,0)))=0,"待核",SUM(INDEX('SKU明细'!$D$11:$D$1309,MATCH("S02-NY-40",'SKU明细'!$A$11:$A$1309,0))))</x:f>
        <x:v>39</x:v>
      </x:c>
      <x:c r="T14" s="36" t="n">
        <x:f>IF(COUNTIFS($A$9:$A$191,A14,$U$9:$U$191,"&lt;&gt;待核")=0,"待核",SUMIF($A$9:$A$191,A14,$S$9:$S$191))</x:f>
        <x:v>2598</x:v>
      </x:c>
      <x:c r="U14" s="35" t="str">
        <x:f>IF(COUNT(INDEX('SKU明细'!$D$11:$D$1309,MATCH("S02-NY-40",'SKU明细'!$A$11:$A$1309,0)))=0,"待核",IF(COUNT(INDEX('SKU明细'!$D$11:$D$1309,MATCH("S02-NY-40",'SKU明细'!$A$11:$A$1309,0)))&lt;1,"另有待核","已核"))</x:f>
        <x:v>已核</x:v>
      </x:c>
      <x:c r="V14" s="35" t="str">
        <x:v>在售</x:v>
      </x:c>
      <x:c r="W14" s="11" t="n">
        <x:f>IF(COUNT(INDEX('SKU明细'!$BV$11:$BV$1309,MATCH("S02-NY-40",'SKU明细'!$A$11:$A$1309,0)))=1,SUM(INDEX('SKU明细'!$BV$11:$BV$1309,MATCH("S02-NY-40",'SKU明细'!$A$11:$A$1309,0))),"待核")</x:f>
        <x:v>0.5038670978528104</x:v>
      </x:c>
      <x:c r="X14" s="11" t="n">
        <x:f>INDEX('SKU明细'!$BW$11:$BW$1309,MATCH("S02-NY-40",'SKU明细'!$A$11:$A$1309,0))</x:f>
        <x:v>0.9634503791704667</x:v>
      </x:c>
      <x:c r="Y14" s="13" t="n">
        <x:f>IF(COUNT(INDEX('SKU明细'!$BY$11:$BY$1309,MATCH("S02-NY-40",'SKU明细'!$A$11:$A$1309,0)))=1,SUM(INDEX('SKU明细'!$BY$11:$BY$1309,MATCH("S02-NY-40",'SKU明细'!$A$11:$A$1309,0))),"待核")</x:f>
        <x:v>5.825411357733754</x:v>
      </x:c>
      <x:c r="Z14" s="11" t="n">
        <x:f>INDEX('SKU明细'!$BZ$11:$BZ$1309,MATCH("S02-NY-40",'SKU明细'!$A$11:$A$1309,0))</x:f>
        <x:v>0.8585031562320637</x:v>
      </x:c>
      <x:c r="AA14" s="13" t="n">
        <x:f>IF(COUNT(INDEX('SKU明细'!$CB$11:$CB$1309,MATCH("S02-NY-40",'SKU明细'!$A$11:$A$1309,0)))=1,SUM(INDEX('SKU明细'!$CB$11:$CB$1309,MATCH("S02-NY-40",'SKU明细'!$A$11:$A$1309,0))),"待核")</x:f>
        <x:v>12.977144814843834</x:v>
      </x:c>
      <x:c r="AB14" s="11" t="n">
        <x:f>INDEX('SKU明细'!$CC$11:$CC$1309,MATCH("S02-NY-40",'SKU明细'!$A$11:$A$1309,0))</x:f>
        <x:v>0.7896606554092485</x:v>
      </x:c>
      <x:c r="AC14" s="13" t="n">
        <x:f>IF(COUNT(INDEX('SKU明细'!$CE$11:$CE$1309,MATCH("S02-NY-40",'SKU明细'!$A$11:$A$1309,0)))=1,SUM(INDEX('SKU明细'!$CE$11:$CE$1309,MATCH("S02-NY-40",'SKU明细'!$A$11:$A$1309,0))),"待核")</x:f>
        <x:v>12.334404704617791</x:v>
      </x:c>
      <x:c r="AD14" s="11" t="n">
        <x:f>INDEX('SKU明细'!$CF$11:$CF$1309,MATCH("S02-NY-40",'SKU明细'!$A$11:$A$1309,0))</x:f>
        <x:v>1.0030167116538329</x:v>
      </x:c>
      <x:c r="AE14" s="13" t="n">
        <x:f>IF(COUNT(INDEX('SKU明细'!$CH$11:$CH$1309,MATCH("S02-NY-40",'SKU明细'!$A$11:$A$1309,0)))=1,SUM(INDEX('SKU明细'!$CH$11:$CH$1309,MATCH("S02-NY-40",'SKU明细'!$A$11:$A$1309,0))),"待核")</x:f>
        <x:v>8.591581033181061</x:v>
      </x:c>
      <x:c r="AF14" s="13" t="n">
        <x:f>IF(COUNT(INDEX('SKU明细'!$CI$11:$CI$1309,MATCH("S02-NY-40",'SKU明细'!$A$11:$A$1309,0)))=1,SUM(INDEX('SKU明细'!$CI$11:$CI$1309,MATCH("S02-NY-40",'SKU明细'!$A$11:$A$1309,0))),"待核")</x:f>
        <x:v>39.728541910376435</x:v>
      </x:c>
    </x:row>
    <x:row r="15" ht="40" customHeight="1">
      <x:c r="A15" s="35" t="str">
        <x:v>S02</x:v>
      </x:c>
      <x:c r="B15" s="35" t="str">
        <x:v>陈晨</x:v>
      </x:c>
      <x:c r="C15" s="35" t="str">
        <x:v>玫瑰金</x:v>
      </x:c>
      <x:c r="D15" s="35" t="str">
        <x:v>RG</x:v>
      </x:c>
      <x:c r="E15" s="35" t="str">
        <x:v>S02-RG</x:v>
      </x:c>
      <x:c r="F15" s="35"/>
      <x:c r="G15" s="36" t="str">
        <x:f>"—"</x:f>
        <x:v>—</x:v>
      </x:c>
      <x:c r="H15" s="36" t="str">
        <x:f>"—"</x:f>
        <x:v>—</x:v>
      </x:c>
      <x:c r="I15" s="36" t="str">
        <x:f>"—"</x:f>
        <x:v>—</x:v>
      </x:c>
      <x:c r="J15" s="36" t="str">
        <x:f>"—"</x:f>
        <x:v>—</x:v>
      </x:c>
      <x:c r="K15" s="36" t="str">
        <x:f>"—"</x:f>
        <x:v>—</x:v>
      </x:c>
      <x:c r="L15" s="36" t="n">
        <x:f>IF(COUNT(INDEX('SKU明细'!$D$11:$D$1309,MATCH("S02-RG-39",'SKU明细'!$A$11:$A$1309,0)))=0,"待核",IF(COUNT(INDEX('SKU明细'!$D$11:$D$1309,MATCH("S02-RG-39",'SKU明细'!$A$11:$A$1309,0)))&lt;1,SUM(INDEX('SKU明细'!$D$11:$D$1309,MATCH("S02-RG-39",'SKU明细'!$A$11:$A$1309,0)))&amp;" + 待核",SUM(INDEX('SKU明细'!$D$11:$D$1309,MATCH("S02-RG-39",'SKU明细'!$A$11:$A$1309,0)))))</x:f>
        <x:v>0</x:v>
      </x:c>
      <x:c r="M15" s="36" t="str">
        <x:f>"—"</x:f>
        <x:v>—</x:v>
      </x:c>
      <x:c r="N15" s="36" t="str">
        <x:f>"—"</x:f>
        <x:v>—</x:v>
      </x:c>
      <x:c r="O15" s="36" t="str">
        <x:f>"—"</x:f>
        <x:v>—</x:v>
      </x:c>
      <x:c r="P15" s="36" t="str">
        <x:f>"—"</x:f>
        <x:v>—</x:v>
      </x:c>
      <x:c r="Q15" s="36" t="str">
        <x:f>"—"</x:f>
        <x:v>—</x:v>
      </x:c>
      <x:c r="R15" s="36" t="str">
        <x:f>"—"</x:f>
        <x:v>—</x:v>
      </x:c>
      <x:c r="S15" s="36" t="n">
        <x:f>IF(COUNT(INDEX('SKU明细'!$D$11:$D$1309,MATCH("S02-RG-39",'SKU明细'!$A$11:$A$1309,0)))=0,"待核",SUM(INDEX('SKU明细'!$D$11:$D$1309,MATCH("S02-RG-39",'SKU明细'!$A$11:$A$1309,0))))</x:f>
        <x:v>0</x:v>
      </x:c>
      <x:c r="T15" s="36" t="n">
        <x:f>IF(COUNTIFS($A$9:$A$191,A15,$U$9:$U$191,"&lt;&gt;待核")=0,"待核",SUMIF($A$9:$A$191,A15,$S$9:$S$191))</x:f>
        <x:v>2598</x:v>
      </x:c>
      <x:c r="U15" s="35" t="str">
        <x:f>IF(COUNT(INDEX('SKU明细'!$D$11:$D$1309,MATCH("S02-RG-39",'SKU明细'!$A$11:$A$1309,0)))=0,"待核",IF(COUNT(INDEX('SKU明细'!$D$11:$D$1309,MATCH("S02-RG-39",'SKU明细'!$A$11:$A$1309,0)))&lt;1,"另有待核","已核"))</x:f>
        <x:v>已核</x:v>
      </x:c>
      <x:c r="V15" s="35" t="str">
        <x:v>在售</x:v>
      </x:c>
      <x:c r="W15" s="11" t="n">
        <x:f>IF(COUNT(INDEX('SKU明细'!$BV$11:$BV$1309,MATCH("S02-RG-39",'SKU明细'!$A$11:$A$1309,0)))=1,SUM(INDEX('SKU明细'!$BV$11:$BV$1309,MATCH("S02-RG-39",'SKU明细'!$A$11:$A$1309,0))),"待核")</x:f>
        <x:v>0.01747004480743169</x:v>
      </x:c>
      <x:c r="X15" s="11" t="n">
        <x:f>INDEX('SKU明细'!$BW$11:$BW$1309,MATCH("S02-RG-39",'SKU明细'!$A$11:$A$1309,0))</x:f>
        <x:v>0.9634503791704667</x:v>
      </x:c>
      <x:c r="Y15" s="13" t="n">
        <x:f>IF(COUNT(INDEX('SKU明细'!$BY$11:$BY$1309,MATCH("S02-RG-39",'SKU明细'!$A$11:$A$1309,0)))=1,SUM(INDEX('SKU明细'!$BY$11:$BY$1309,MATCH("S02-RG-39",'SKU明细'!$A$11:$A$1309,0))),"待核")</x:f>
        <x:v>0.2019782555261413</x:v>
      </x:c>
      <x:c r="Z15" s="11" t="n">
        <x:f>INDEX('SKU明细'!$BZ$11:$BZ$1309,MATCH("S02-RG-39",'SKU明细'!$A$11:$A$1309,0))</x:f>
        <x:v>0.8585031562320637</x:v>
      </x:c>
      <x:c r="AA15" s="13" t="n">
        <x:f>IF(COUNT(INDEX('SKU明细'!$CB$11:$CB$1309,MATCH("S02-RG-39",'SKU明细'!$A$11:$A$1309,0)))=1,SUM(INDEX('SKU明细'!$CB$11:$CB$1309,MATCH("S02-RG-39",'SKU明细'!$A$11:$A$1309,0))),"待核")</x:f>
        <x:v>0.4499426582008705</x:v>
      </x:c>
      <x:c r="AB15" s="11" t="n">
        <x:f>INDEX('SKU明细'!$CC$11:$CC$1309,MATCH("S02-RG-39",'SKU明细'!$A$11:$A$1309,0))</x:f>
        <x:v>0.7896606554092485</x:v>
      </x:c>
      <x:c r="AC15" s="13" t="n">
        <x:f>IF(COUNT(INDEX('SKU明细'!$CE$11:$CE$1309,MATCH("S02-RG-39",'SKU明细'!$A$11:$A$1309,0)))=1,SUM(INDEX('SKU明细'!$CE$11:$CE$1309,MATCH("S02-RG-39",'SKU明细'!$A$11:$A$1309,0))),"待核")</x:f>
        <x:v>0.42765761801262886</x:v>
      </x:c>
      <x:c r="AD15" s="11" t="n">
        <x:f>INDEX('SKU明细'!$CF$11:$CF$1309,MATCH("S02-RG-39",'SKU明细'!$A$11:$A$1309,0))</x:f>
        <x:v>1.0030167116538329</x:v>
      </x:c>
      <x:c r="AE15" s="13" t="n">
        <x:f>IF(COUNT(INDEX('SKU明细'!$CH$11:$CH$1309,MATCH("S02-RG-39",'SKU明细'!$A$11:$A$1309,0)))=1,SUM(INDEX('SKU明细'!$CH$11:$CH$1309,MATCH("S02-RG-39",'SKU明细'!$A$11:$A$1309,0))),"待核")</x:f>
        <x:v>0.2978866972183193</x:v>
      </x:c>
      <x:c r="AF15" s="13" t="n">
        <x:f>IF(COUNT(INDEX('SKU明细'!$CI$11:$CI$1309,MATCH("S02-RG-39",'SKU明细'!$A$11:$A$1309,0)))=1,SUM(INDEX('SKU明细'!$CI$11:$CI$1309,MATCH("S02-RG-39",'SKU明细'!$A$11:$A$1309,0))),"待核")</x:f>
        <x:v>1.37746522895796</x:v>
      </x:c>
    </x:row>
    <x:row r="16" ht="40" customHeight="1">
      <x:c r="A16" s="35" t="str">
        <x:v>S02</x:v>
      </x:c>
      <x:c r="B16" s="35" t="str">
        <x:v>陈晨</x:v>
      </x:c>
      <x:c r="C16" s="35" t="str">
        <x:v>玫瑰金</x:v>
      </x:c>
      <x:c r="D16" s="35" t="str">
        <x:v>RG1</x:v>
      </x:c>
      <x:c r="E16" s="35" t="str">
        <x:v>S02-RG1</x:v>
      </x:c>
      <x:c r="F16" s="35"/>
      <x:c r="G16" s="36" t="str">
        <x:f>"—"</x:f>
        <x:v>—</x:v>
      </x:c>
      <x:c r="H16" s="36" t="str">
        <x:f>"—"</x:f>
        <x:v>—</x:v>
      </x:c>
      <x:c r="I16" s="36" t="n">
        <x:f>IF(COUNT(INDEX('SKU明细'!$D$11:$D$1309,MATCH("S02-RG1-37",'SKU明细'!$A$11:$A$1309,0)))=0,"待核",IF(COUNT(INDEX('SKU明细'!$D$11:$D$1309,MATCH("S02-RG1-37",'SKU明细'!$A$11:$A$1309,0)))&lt;1,SUM(INDEX('SKU明细'!$D$11:$D$1309,MATCH("S02-RG1-37",'SKU明细'!$A$11:$A$1309,0)))&amp;" + 待核",SUM(INDEX('SKU明细'!$D$11:$D$1309,MATCH("S02-RG1-37",'SKU明细'!$A$11:$A$1309,0)))))</x:f>
        <x:v>0</x:v>
      </x:c>
      <x:c r="J16" s="36" t="str">
        <x:f>"—"</x:f>
        <x:v>—</x:v>
      </x:c>
      <x:c r="K16" s="36" t="str">
        <x:f>"—"</x:f>
        <x:v>—</x:v>
      </x:c>
      <x:c r="L16" s="36" t="str">
        <x:f>"—"</x:f>
        <x:v>—</x:v>
      </x:c>
      <x:c r="M16" s="36" t="n">
        <x:f>IF(COUNT(INDEX('SKU明细'!$D$11:$D$1309,MATCH("S02-RG1-40",'SKU明细'!$A$11:$A$1309,0)))=0,"待核",IF(COUNT(INDEX('SKU明细'!$D$11:$D$1309,MATCH("S02-RG1-40",'SKU明细'!$A$11:$A$1309,0)))&lt;1,SUM(INDEX('SKU明细'!$D$11:$D$1309,MATCH("S02-RG1-40",'SKU明细'!$A$11:$A$1309,0)))&amp;" + 待核",SUM(INDEX('SKU明细'!$D$11:$D$1309,MATCH("S02-RG1-40",'SKU明细'!$A$11:$A$1309,0)))))</x:f>
        <x:v>0</x:v>
      </x:c>
      <x:c r="N16" s="36" t="str">
        <x:f>"—"</x:f>
        <x:v>—</x:v>
      </x:c>
      <x:c r="O16" s="36" t="str">
        <x:f>"—"</x:f>
        <x:v>—</x:v>
      </x:c>
      <x:c r="P16" s="36" t="str">
        <x:f>"—"</x:f>
        <x:v>—</x:v>
      </x:c>
      <x:c r="Q16" s="36" t="n">
        <x:f>IF(COUNT(INDEX('SKU明细'!$D$11:$D$1309,MATCH("S02-RG1-42",'SKU明细'!$A$11:$A$1309,0)))=0,"待核",IF(COUNT(INDEX('SKU明细'!$D$11:$D$1309,MATCH("S02-RG1-42",'SKU明细'!$A$11:$A$1309,0)))&lt;1,SUM(INDEX('SKU明细'!$D$11:$D$1309,MATCH("S02-RG1-42",'SKU明细'!$A$11:$A$1309,0)))&amp;" + 待核",SUM(INDEX('SKU明细'!$D$11:$D$1309,MATCH("S02-RG1-42",'SKU明细'!$A$11:$A$1309,0)))))</x:f>
        <x:v>0</x:v>
      </x:c>
      <x:c r="R16" s="36" t="str">
        <x:f>"—"</x:f>
        <x:v>—</x:v>
      </x:c>
      <x:c r="S16" s="36" t="n">
        <x:f>IF(COUNT(INDEX('SKU明细'!$D$11:$D$1309,MATCH("S02-RG1-37",'SKU明细'!$A$11:$A$1309,0)),INDEX('SKU明细'!$D$11:$D$1309,MATCH("S02-RG1-40",'SKU明细'!$A$11:$A$1309,0)),INDEX('SKU明细'!$D$11:$D$1309,MATCH("S02-RG1-42",'SKU明细'!$A$11:$A$1309,0)))=0,"待核",SUM(INDEX('SKU明细'!$D$11:$D$1309,MATCH("S02-RG1-37",'SKU明细'!$A$11:$A$1309,0)),INDEX('SKU明细'!$D$11:$D$1309,MATCH("S02-RG1-40",'SKU明细'!$A$11:$A$1309,0)),INDEX('SKU明细'!$D$11:$D$1309,MATCH("S02-RG1-42",'SKU明细'!$A$11:$A$1309,0))))</x:f>
        <x:v>0</x:v>
      </x:c>
      <x:c r="T16" s="36" t="n">
        <x:f>IF(COUNTIFS($A$9:$A$191,A16,$U$9:$U$191,"&lt;&gt;待核")=0,"待核",SUMIF($A$9:$A$191,A16,$S$9:$S$191))</x:f>
        <x:v>2598</x:v>
      </x:c>
      <x:c r="U16" s="35" t="str">
        <x:f>IF(COUNT(INDEX('SKU明细'!$D$11:$D$1309,MATCH("S02-RG1-37",'SKU明细'!$A$11:$A$1309,0)),INDEX('SKU明细'!$D$11:$D$1309,MATCH("S02-RG1-40",'SKU明细'!$A$11:$A$1309,0)),INDEX('SKU明细'!$D$11:$D$1309,MATCH("S02-RG1-42",'SKU明细'!$A$11:$A$1309,0)))=0,"待核",IF(COUNT(INDEX('SKU明细'!$D$11:$D$1309,MATCH("S02-RG1-37",'SKU明细'!$A$11:$A$1309,0)),INDEX('SKU明细'!$D$11:$D$1309,MATCH("S02-RG1-40",'SKU明细'!$A$11:$A$1309,0)),INDEX('SKU明细'!$D$11:$D$1309,MATCH("S02-RG1-42",'SKU明细'!$A$11:$A$1309,0)))&lt;3,"另有待核","已核"))</x:f>
        <x:v>已核</x:v>
      </x:c>
      <x:c r="V16" s="35" t="str">
        <x:v>在售</x:v>
      </x:c>
      <x:c r="W16" s="11" t="n">
        <x:f>IF(COUNT(INDEX('SKU明细'!$BV$11:$BV$1309,MATCH("S02-RG1-37",'SKU明细'!$A$11:$A$1309,0)),INDEX('SKU明细'!$BV$11:$BV$1309,MATCH("S02-RG1-40",'SKU明细'!$A$11:$A$1309,0)),INDEX('SKU明细'!$BV$11:$BV$1309,MATCH("S02-RG1-42",'SKU明细'!$A$11:$A$1309,0)))=3,SUM(INDEX('SKU明细'!$BV$11:$BV$1309,MATCH("S02-RG1-37",'SKU明细'!$A$11:$A$1309,0)),INDEX('SKU明细'!$BV$11:$BV$1309,MATCH("S02-RG1-40",'SKU明细'!$A$11:$A$1309,0)),INDEX('SKU明细'!$BV$11:$BV$1309,MATCH("S02-RG1-42",'SKU明细'!$A$11:$A$1309,0))),"待核")</x:f>
        <x:v>0.10107668781442623</x:v>
      </x:c>
      <x:c r="X16" s="11" t="n">
        <x:f>INDEX('SKU明细'!$BW$11:$BW$1309,MATCH("S02-RG1-37",'SKU明细'!$A$11:$A$1309,0))</x:f>
        <x:v>0.9634503791704667</x:v>
      </x:c>
      <x:c r="Y16" s="13" t="n">
        <x:f>IF(COUNT(INDEX('SKU明细'!$BY$11:$BY$1309,MATCH("S02-RG1-37",'SKU明细'!$A$11:$A$1309,0)),INDEX('SKU明细'!$BY$11:$BY$1309,MATCH("S02-RG1-40",'SKU明细'!$A$11:$A$1309,0)),INDEX('SKU明细'!$BY$11:$BY$1309,MATCH("S02-RG1-42",'SKU明细'!$A$11:$A$1309,0)))=3,SUM(INDEX('SKU明细'!$BY$11:$BY$1309,MATCH("S02-RG1-37",'SKU明细'!$A$11:$A$1309,0)),INDEX('SKU明细'!$BY$11:$BY$1309,MATCH("S02-RG1-40",'SKU明细'!$A$11:$A$1309,0)),INDEX('SKU明细'!$BY$11:$BY$1309,MATCH("S02-RG1-42",'SKU明细'!$A$11:$A$1309,0))),"待核")</x:f>
        <x:v>1.1685884784012461</x:v>
      </x:c>
      <x:c r="Z16" s="11" t="n">
        <x:f>INDEX('SKU明细'!$BZ$11:$BZ$1309,MATCH("S02-RG1-37",'SKU明细'!$A$11:$A$1309,0))</x:f>
        <x:v>0.8585031562320637</x:v>
      </x:c>
      <x:c r="AA16" s="13" t="n">
        <x:f>IF(COUNT(INDEX('SKU明细'!$CB$11:$CB$1309,MATCH("S02-RG1-37",'SKU明细'!$A$11:$A$1309,0)),INDEX('SKU明细'!$CB$11:$CB$1309,MATCH("S02-RG1-40",'SKU明细'!$A$11:$A$1309,0)),INDEX('SKU明细'!$CB$11:$CB$1309,MATCH("S02-RG1-42",'SKU明细'!$A$11:$A$1309,0)))=3,SUM(INDEX('SKU明细'!$CB$11:$CB$1309,MATCH("S02-RG1-37",'SKU明细'!$A$11:$A$1309,0)),INDEX('SKU明细'!$CB$11:$CB$1309,MATCH("S02-RG1-40",'SKU明细'!$A$11:$A$1309,0)),INDEX('SKU明细'!$CB$11:$CB$1309,MATCH("S02-RG1-42",'SKU明细'!$A$11:$A$1309,0))),"待核")</x:f>
        <x:v>2.603239665305037</x:v>
      </x:c>
      <x:c r="AB16" s="11" t="n">
        <x:f>INDEX('SKU明细'!$CC$11:$CC$1309,MATCH("S02-RG1-37",'SKU明细'!$A$11:$A$1309,0))</x:f>
        <x:v>0.7896606554092485</x:v>
      </x:c>
      <x:c r="AC16" s="13" t="n">
        <x:f>IF(COUNT(INDEX('SKU明细'!$CE$11:$CE$1309,MATCH("S02-RG1-37",'SKU明细'!$A$11:$A$1309,0)),INDEX('SKU明细'!$CE$11:$CE$1309,MATCH("S02-RG1-40",'SKU明细'!$A$11:$A$1309,0)),INDEX('SKU明细'!$CE$11:$CE$1309,MATCH("S02-RG1-42",'SKU明细'!$A$11:$A$1309,0)))=3,SUM(INDEX('SKU明细'!$CE$11:$CE$1309,MATCH("S02-RG1-37",'SKU明细'!$A$11:$A$1309,0)),INDEX('SKU明细'!$CE$11:$CE$1309,MATCH("S02-RG1-40",'SKU明细'!$A$11:$A$1309,0)),INDEX('SKU明细'!$CE$11:$CE$1309,MATCH("S02-RG1-42",'SKU明细'!$A$11:$A$1309,0))),"待核")</x:f>
        <x:v>2.47430478993021</x:v>
      </x:c>
      <x:c r="AD16" s="11" t="n">
        <x:f>INDEX('SKU明细'!$CF$11:$CF$1309,MATCH("S02-RG1-37",'SKU明细'!$A$11:$A$1309,0))</x:f>
        <x:v>1.0030167116538329</x:v>
      </x:c>
      <x:c r="AE16" s="13" t="n">
        <x:f>IF(COUNT(INDEX('SKU明细'!$CH$11:$CH$1309,MATCH("S02-RG1-37",'SKU明细'!$A$11:$A$1309,0)),INDEX('SKU明细'!$CH$11:$CH$1309,MATCH("S02-RG1-40",'SKU明细'!$A$11:$A$1309,0)),INDEX('SKU明细'!$CH$11:$CH$1309,MATCH("S02-RG1-42",'SKU明细'!$A$11:$A$1309,0)))=3,SUM(INDEX('SKU明细'!$CH$11:$CH$1309,MATCH("S02-RG1-37",'SKU明细'!$A$11:$A$1309,0)),INDEX('SKU明细'!$CH$11:$CH$1309,MATCH("S02-RG1-40",'SKU明细'!$A$11:$A$1309,0)),INDEX('SKU明细'!$CH$11:$CH$1309,MATCH("S02-RG1-42",'SKU明细'!$A$11:$A$1309,0))),"待核")</x:f>
        <x:v>1.723487319620276</x:v>
      </x:c>
      <x:c r="AF16" s="13" t="n">
        <x:f>IF(COUNT(INDEX('SKU明细'!$CI$11:$CI$1309,MATCH("S02-RG1-37",'SKU明细'!$A$11:$A$1309,0)),INDEX('SKU明细'!$CI$11:$CI$1309,MATCH("S02-RG1-40",'SKU明细'!$A$11:$A$1309,0)),INDEX('SKU明细'!$CI$11:$CI$1309,MATCH("S02-RG1-42",'SKU明细'!$A$11:$A$1309,0)))=3,SUM(INDEX('SKU明细'!$CI$11:$CI$1309,MATCH("S02-RG1-37",'SKU明细'!$A$11:$A$1309,0)),INDEX('SKU明细'!$CI$11:$CI$1309,MATCH("S02-RG1-40",'SKU明细'!$A$11:$A$1309,0)),INDEX('SKU明细'!$CI$11:$CI$1309,MATCH("S02-RG1-42",'SKU明细'!$A$11:$A$1309,0))),"待核")</x:f>
        <x:v>7.969620253256769</x:v>
      </x:c>
    </x:row>
    <x:row r="17" ht="40" customHeight="1">
      <x:c r="A17" s="35" t="str">
        <x:v>S02</x:v>
      </x:c>
      <x:c r="B17" s="35" t="str">
        <x:v>陈晨</x:v>
      </x:c>
      <x:c r="C17" s="35" t="str">
        <x:v>黑白蛇纹</x:v>
      </x:c>
      <x:c r="D17" s="35" t="str">
        <x:v>SP</x:v>
      </x:c>
      <x:c r="E17" s="35" t="str">
        <x:v>S02-SP</x:v>
      </x:c>
      <x:c r="F17" s="35"/>
      <x:c r="G17" s="36" t="str">
        <x:f>"—"</x:f>
        <x:v>—</x:v>
      </x:c>
      <x:c r="H17" s="36" t="n">
        <x:f>IF(COUNT(INDEX('SKU明细'!$D$11:$D$1309,MATCH("S02-SP-37",'SKU明细'!$A$11:$A$1309,0)))=0,"待核",IF(COUNT(INDEX('SKU明细'!$D$11:$D$1309,MATCH("S02-SP-37",'SKU明细'!$A$11:$A$1309,0)))&lt;1,SUM(INDEX('SKU明细'!$D$11:$D$1309,MATCH("S02-SP-37",'SKU明细'!$A$11:$A$1309,0)))&amp;" + 待核",SUM(INDEX('SKU明细'!$D$11:$D$1309,MATCH("S02-SP-37",'SKU明细'!$A$11:$A$1309,0)))))</x:f>
        <x:v>0</x:v>
      </x:c>
      <x:c r="I17" s="36" t="str">
        <x:f>"—"</x:f>
        <x:v>—</x:v>
      </x:c>
      <x:c r="J17" s="36" t="n">
        <x:f>IF(COUNT(INDEX('SKU明细'!$D$11:$D$1309,MATCH("S02-SP-38",'SKU明细'!$A$11:$A$1309,0)))=0,"待核",IF(COUNT(INDEX('SKU明细'!$D$11:$D$1309,MATCH("S02-SP-38",'SKU明细'!$A$11:$A$1309,0)))&lt;1,SUM(INDEX('SKU明细'!$D$11:$D$1309,MATCH("S02-SP-38",'SKU明细'!$A$11:$A$1309,0)))&amp;" + 待核",SUM(INDEX('SKU明细'!$D$11:$D$1309,MATCH("S02-SP-38",'SKU明细'!$A$11:$A$1309,0)))))</x:f>
        <x:v>7</x:v>
      </x:c>
      <x:c r="K17" s="36" t="str">
        <x:f>"—"</x:f>
        <x:v>—</x:v>
      </x:c>
      <x:c r="L17" s="36" t="n">
        <x:f>IF(COUNT(INDEX('SKU明细'!$D$11:$D$1309,MATCH("S02-SP-39",'SKU明细'!$A$11:$A$1309,0)))=0,"待核",IF(COUNT(INDEX('SKU明细'!$D$11:$D$1309,MATCH("S02-SP-39",'SKU明细'!$A$11:$A$1309,0)))&lt;1,SUM(INDEX('SKU明细'!$D$11:$D$1309,MATCH("S02-SP-39",'SKU明细'!$A$11:$A$1309,0)))&amp;" + 待核",SUM(INDEX('SKU明细'!$D$11:$D$1309,MATCH("S02-SP-39",'SKU明细'!$A$11:$A$1309,0)))))</x:f>
        <x:v>0</x:v>
      </x:c>
      <x:c r="M17" s="36" t="str">
        <x:f>"—"</x:f>
        <x:v>—</x:v>
      </x:c>
      <x:c r="N17" s="36" t="n">
        <x:f>IF(COUNT(INDEX('SKU明细'!$D$11:$D$1309,MATCH("S02-SP-40",'SKU明细'!$A$11:$A$1309,0)))=0,"待核",IF(COUNT(INDEX('SKU明细'!$D$11:$D$1309,MATCH("S02-SP-40",'SKU明细'!$A$11:$A$1309,0)))&lt;1,SUM(INDEX('SKU明细'!$D$11:$D$1309,MATCH("S02-SP-40",'SKU明细'!$A$11:$A$1309,0)))&amp;" + 待核",SUM(INDEX('SKU明细'!$D$11:$D$1309,MATCH("S02-SP-40",'SKU明细'!$A$11:$A$1309,0)))))</x:f>
        <x:v>8</x:v>
      </x:c>
      <x:c r="O17" s="36" t="str">
        <x:f>"—"</x:f>
        <x:v>—</x:v>
      </x:c>
      <x:c r="P17" s="36" t="str">
        <x:f>"—"</x:f>
        <x:v>—</x:v>
      </x:c>
      <x:c r="Q17" s="36" t="str">
        <x:f>"—"</x:f>
        <x:v>—</x:v>
      </x:c>
      <x:c r="R17" s="36" t="str">
        <x:f>"—"</x:f>
        <x:v>—</x:v>
      </x:c>
      <x:c r="S17" s="36" t="n">
        <x:f>IF(COUNT(INDEX('SKU明细'!$D$11:$D$1309,MATCH("S02-SP-37",'SKU明细'!$A$11:$A$1309,0)),INDEX('SKU明细'!$D$11:$D$1309,MATCH("S02-SP-38",'SKU明细'!$A$11:$A$1309,0)),INDEX('SKU明细'!$D$11:$D$1309,MATCH("S02-SP-39",'SKU明细'!$A$11:$A$1309,0)),INDEX('SKU明细'!$D$11:$D$1309,MATCH("S02-SP-40",'SKU明细'!$A$11:$A$1309,0)))=0,"待核",SUM(INDEX('SKU明细'!$D$11:$D$1309,MATCH("S02-SP-37",'SKU明细'!$A$11:$A$1309,0)),INDEX('SKU明细'!$D$11:$D$1309,MATCH("S02-SP-38",'SKU明细'!$A$11:$A$1309,0)),INDEX('SKU明细'!$D$11:$D$1309,MATCH("S02-SP-39",'SKU明细'!$A$11:$A$1309,0)),INDEX('SKU明细'!$D$11:$D$1309,MATCH("S02-SP-40",'SKU明细'!$A$11:$A$1309,0))))</x:f>
        <x:v>15</x:v>
      </x:c>
      <x:c r="T17" s="36" t="n">
        <x:f>IF(COUNTIFS($A$9:$A$191,A17,$U$9:$U$191,"&lt;&gt;待核")=0,"待核",SUMIF($A$9:$A$191,A17,$S$9:$S$191))</x:f>
        <x:v>2598</x:v>
      </x:c>
      <x:c r="U17" s="35" t="str">
        <x:f>IF(COUNT(INDEX('SKU明细'!$D$11:$D$1309,MATCH("S02-SP-37",'SKU明细'!$A$11:$A$1309,0)),INDEX('SKU明细'!$D$11:$D$1309,MATCH("S02-SP-38",'SKU明细'!$A$11:$A$1309,0)),INDEX('SKU明细'!$D$11:$D$1309,MATCH("S02-SP-39",'SKU明细'!$A$11:$A$1309,0)),INDEX('SKU明细'!$D$11:$D$1309,MATCH("S02-SP-40",'SKU明细'!$A$11:$A$1309,0)))=0,"待核",IF(COUNT(INDEX('SKU明细'!$D$11:$D$1309,MATCH("S02-SP-37",'SKU明细'!$A$11:$A$1309,0)),INDEX('SKU明细'!$D$11:$D$1309,MATCH("S02-SP-38",'SKU明细'!$A$11:$A$1309,0)),INDEX('SKU明细'!$D$11:$D$1309,MATCH("S02-SP-39",'SKU明细'!$A$11:$A$1309,0)),INDEX('SKU明细'!$D$11:$D$1309,MATCH("S02-SP-40",'SKU明细'!$A$11:$A$1309,0)))&lt;4,"另有待核","已核"))</x:f>
        <x:v>已核</x:v>
      </x:c>
      <x:c r="V17" s="35" t="str">
        <x:v>在售、停售</x:v>
      </x:c>
      <x:c r="W17" s="11" t="n">
        <x:f>IF(COUNT(INDEX('SKU明细'!$BV$11:$BV$1309,MATCH("S02-SP-37",'SKU明细'!$A$11:$A$1309,0)),INDEX('SKU明细'!$BV$11:$BV$1309,MATCH("S02-SP-38",'SKU明细'!$A$11:$A$1309,0)),INDEX('SKU明细'!$BV$11:$BV$1309,MATCH("S02-SP-39",'SKU明细'!$A$11:$A$1309,0)),INDEX('SKU明细'!$BV$11:$BV$1309,MATCH("S02-SP-40",'SKU明细'!$A$11:$A$1309,0)))=4,SUM(INDEX('SKU明细'!$BV$11:$BV$1309,MATCH("S02-SP-37",'SKU明细'!$A$11:$A$1309,0)),INDEX('SKU明细'!$BV$11:$BV$1309,MATCH("S02-SP-38",'SKU明细'!$A$11:$A$1309,0)),INDEX('SKU明细'!$BV$11:$BV$1309,MATCH("S02-SP-39",'SKU明细'!$A$11:$A$1309,0)),INDEX('SKU明细'!$BV$11:$BV$1309,MATCH("S02-SP-40",'SKU明细'!$A$11:$A$1309,0))),"待核")</x:f>
        <x:v>0.7927579792962206</x:v>
      </x:c>
      <x:c r="X17" s="11" t="n">
        <x:f>INDEX('SKU明细'!$BW$11:$BW$1309,MATCH("S02-SP-37",'SKU明细'!$A$11:$A$1309,0))</x:f>
        <x:v>0.9634503791704667</x:v>
      </x:c>
      <x:c r="Y17" s="13" t="n">
        <x:f>IF(COUNT(INDEX('SKU明细'!$BY$11:$BY$1309,MATCH("S02-SP-37",'SKU明细'!$A$11:$A$1309,0)),INDEX('SKU明细'!$BY$11:$BY$1309,MATCH("S02-SP-38",'SKU明细'!$A$11:$A$1309,0)),INDEX('SKU明细'!$BY$11:$BY$1309,MATCH("S02-SP-39",'SKU明细'!$A$11:$A$1309,0)),INDEX('SKU明细'!$BY$11:$BY$1309,MATCH("S02-SP-40",'SKU明细'!$A$11:$A$1309,0)))=4,SUM(INDEX('SKU明细'!$BY$11:$BY$1309,MATCH("S02-SP-37",'SKU明细'!$A$11:$A$1309,0)),INDEX('SKU明细'!$BY$11:$BY$1309,MATCH("S02-SP-38",'SKU明细'!$A$11:$A$1309,0)),INDEX('SKU明细'!$BY$11:$BY$1309,MATCH("S02-SP-39",'SKU明细'!$A$11:$A$1309,0)),INDEX('SKU明细'!$BY$11:$BY$1309,MATCH("S02-SP-40",'SKU明细'!$A$11:$A$1309,0))),"待核")</x:f>
        <x:v>9.165395708920283</x:v>
      </x:c>
      <x:c r="Z17" s="11" t="n">
        <x:f>INDEX('SKU明细'!$BZ$11:$BZ$1309,MATCH("S02-SP-37",'SKU明细'!$A$11:$A$1309,0))</x:f>
        <x:v>0.8585031562320637</x:v>
      </x:c>
      <x:c r="AA17" s="13" t="n">
        <x:f>IF(COUNT(INDEX('SKU明细'!$CB$11:$CB$1309,MATCH("S02-SP-37",'SKU明细'!$A$11:$A$1309,0)),INDEX('SKU明细'!$CB$11:$CB$1309,MATCH("S02-SP-38",'SKU明细'!$A$11:$A$1309,0)),INDEX('SKU明细'!$CB$11:$CB$1309,MATCH("S02-SP-39",'SKU明细'!$A$11:$A$1309,0)),INDEX('SKU明细'!$CB$11:$CB$1309,MATCH("S02-SP-40",'SKU明细'!$A$11:$A$1309,0)))=4,SUM(INDEX('SKU明细'!$CB$11:$CB$1309,MATCH("S02-SP-37",'SKU明细'!$A$11:$A$1309,0)),INDEX('SKU明细'!$CB$11:$CB$1309,MATCH("S02-SP-38",'SKU明细'!$A$11:$A$1309,0)),INDEX('SKU明细'!$CB$11:$CB$1309,MATCH("S02-SP-39",'SKU明细'!$A$11:$A$1309,0)),INDEX('SKU明细'!$CB$11:$CB$1309,MATCH("S02-SP-40",'SKU明细'!$A$11:$A$1309,0))),"待核")</x:f>
        <x:v>20.41755682061875</x:v>
      </x:c>
      <x:c r="AB17" s="11" t="n">
        <x:f>INDEX('SKU明细'!$CC$11:$CC$1309,MATCH("S02-SP-37",'SKU明细'!$A$11:$A$1309,0))</x:f>
        <x:v>0.7896606554092485</x:v>
      </x:c>
      <x:c r="AC17" s="13" t="n">
        <x:f>IF(COUNT(INDEX('SKU明细'!$CE$11:$CE$1309,MATCH("S02-SP-37",'SKU明细'!$A$11:$A$1309,0)),INDEX('SKU明细'!$CE$11:$CE$1309,MATCH("S02-SP-38",'SKU明细'!$A$11:$A$1309,0)),INDEX('SKU明细'!$CE$11:$CE$1309,MATCH("S02-SP-39",'SKU明细'!$A$11:$A$1309,0)),INDEX('SKU明细'!$CE$11:$CE$1309,MATCH("S02-SP-40",'SKU明细'!$A$11:$A$1309,0)))=4,SUM(INDEX('SKU明细'!$CE$11:$CE$1309,MATCH("S02-SP-37",'SKU明细'!$A$11:$A$1309,0)),INDEX('SKU明细'!$CE$11:$CE$1309,MATCH("S02-SP-38",'SKU明细'!$A$11:$A$1309,0)),INDEX('SKU明细'!$CE$11:$CE$1309,MATCH("S02-SP-39",'SKU明细'!$A$11:$A$1309,0)),INDEX('SKU明细'!$CE$11:$CE$1309,MATCH("S02-SP-40",'SKU明细'!$A$11:$A$1309,0))),"待核")</x:f>
        <x:v>19.406303350870914</x:v>
      </x:c>
      <x:c r="AD17" s="11" t="n">
        <x:f>INDEX('SKU明细'!$CF$11:$CF$1309,MATCH("S02-SP-37",'SKU明细'!$A$11:$A$1309,0))</x:f>
        <x:v>1.0030167116538329</x:v>
      </x:c>
      <x:c r="AE17" s="13" t="n">
        <x:f>IF(COUNT(INDEX('SKU明细'!$CH$11:$CH$1309,MATCH("S02-SP-37",'SKU明细'!$A$11:$A$1309,0)),INDEX('SKU明细'!$CH$11:$CH$1309,MATCH("S02-SP-38",'SKU明细'!$A$11:$A$1309,0)),INDEX('SKU明细'!$CH$11:$CH$1309,MATCH("S02-SP-39",'SKU明细'!$A$11:$A$1309,0)),INDEX('SKU明细'!$CH$11:$CH$1309,MATCH("S02-SP-40",'SKU明细'!$A$11:$A$1309,0)))=4,SUM(INDEX('SKU明细'!$CH$11:$CH$1309,MATCH("S02-SP-37",'SKU明细'!$A$11:$A$1309,0)),INDEX('SKU明细'!$CH$11:$CH$1309,MATCH("S02-SP-38",'SKU明细'!$A$11:$A$1309,0)),INDEX('SKU明细'!$CH$11:$CH$1309,MATCH("S02-SP-39",'SKU明细'!$A$11:$A$1309,0)),INDEX('SKU明细'!$CH$11:$CH$1309,MATCH("S02-SP-40",'SKU明细'!$A$11:$A$1309,0))),"待核")</x:f>
        <x:v>13.517541526027554</x:v>
      </x:c>
      <x:c r="AF17" s="13" t="n">
        <x:f>IF(COUNT(INDEX('SKU明细'!$CI$11:$CI$1309,MATCH("S02-SP-37",'SKU明细'!$A$11:$A$1309,0)),INDEX('SKU明细'!$CI$11:$CI$1309,MATCH("S02-SP-38",'SKU明细'!$A$11:$A$1309,0)),INDEX('SKU明细'!$CI$11:$CI$1309,MATCH("S02-SP-39",'SKU明细'!$A$11:$A$1309,0)),INDEX('SKU明细'!$CI$11:$CI$1309,MATCH("S02-SP-40",'SKU明细'!$A$11:$A$1309,0)))=4,SUM(INDEX('SKU明细'!$CI$11:$CI$1309,MATCH("S02-SP-37",'SKU明细'!$A$11:$A$1309,0)),INDEX('SKU明细'!$CI$11:$CI$1309,MATCH("S02-SP-38",'SKU明细'!$A$11:$A$1309,0)),INDEX('SKU明细'!$CI$11:$CI$1309,MATCH("S02-SP-39",'SKU明细'!$A$11:$A$1309,0)),INDEX('SKU明细'!$CI$11:$CI$1309,MATCH("S02-SP-40",'SKU明细'!$A$11:$A$1309,0))),"待核")</x:f>
        <x:v>62.506797406437514</x:v>
      </x:c>
    </x:row>
    <x:row r="18" ht="40" customHeight="1">
      <x:c r="A18" s="35" t="str">
        <x:v>S02</x:v>
      </x:c>
      <x:c r="B18" s="35" t="str">
        <x:v>陈晨</x:v>
      </x:c>
      <x:c r="C18" s="35" t="str">
        <x:v>驼色</x:v>
      </x:c>
      <x:c r="D18" s="35" t="str">
        <x:v>TN</x:v>
      </x:c>
      <x:c r="E18" s="35" t="str">
        <x:v>S02-TN</x:v>
      </x:c>
      <x:c r="F18" s="35"/>
      <x:c r="G18" s="36" t="str">
        <x:f>"—"</x:f>
        <x:v>—</x:v>
      </x:c>
      <x:c r="H18" s="36" t="n">
        <x:f>IF(COUNT(INDEX('SKU明细'!$D$11:$D$1309,MATCH("S02-TN-37",'SKU明细'!$A$11:$A$1309,0)))=0,"待核",IF(COUNT(INDEX('SKU明细'!$D$11:$D$1309,MATCH("S02-TN-37",'SKU明细'!$A$11:$A$1309,0)))&lt;1,SUM(INDEX('SKU明细'!$D$11:$D$1309,MATCH("S02-TN-37",'SKU明细'!$A$11:$A$1309,0)))&amp;" + 待核",SUM(INDEX('SKU明细'!$D$11:$D$1309,MATCH("S02-TN-37",'SKU明细'!$A$11:$A$1309,0)))))</x:f>
        <x:v>0</x:v>
      </x:c>
      <x:c r="I18" s="36" t="str">
        <x:f>"—"</x:f>
        <x:v>—</x:v>
      </x:c>
      <x:c r="J18" s="36" t="n">
        <x:f>IF(COUNT(INDEX('SKU明细'!$D$11:$D$1309,MATCH("S02-TN-38",'SKU明细'!$A$11:$A$1309,0)))=0,"待核",IF(COUNT(INDEX('SKU明细'!$D$11:$D$1309,MATCH("S02-TN-38",'SKU明细'!$A$11:$A$1309,0)))&lt;1,SUM(INDEX('SKU明细'!$D$11:$D$1309,MATCH("S02-TN-38",'SKU明细'!$A$11:$A$1309,0)))&amp;" + 待核",SUM(INDEX('SKU明细'!$D$11:$D$1309,MATCH("S02-TN-38",'SKU明细'!$A$11:$A$1309,0)))))</x:f>
        <x:v>0</x:v>
      </x:c>
      <x:c r="K18" s="36" t="str">
        <x:f>"—"</x:f>
        <x:v>—</x:v>
      </x:c>
      <x:c r="L18" s="36" t="n">
        <x:f>IF(COUNT(INDEX('SKU明细'!$D$11:$D$1309,MATCH("S02-TN-39",'SKU明细'!$A$11:$A$1309,0)))=0,"待核",IF(COUNT(INDEX('SKU明细'!$D$11:$D$1309,MATCH("S02-TN-39",'SKU明细'!$A$11:$A$1309,0)))&lt;1,SUM(INDEX('SKU明细'!$D$11:$D$1309,MATCH("S02-TN-39",'SKU明细'!$A$11:$A$1309,0)))&amp;" + 待核",SUM(INDEX('SKU明细'!$D$11:$D$1309,MATCH("S02-TN-39",'SKU明细'!$A$11:$A$1309,0)))))</x:f>
        <x:v>55</x:v>
      </x:c>
      <x:c r="M18" s="36" t="str">
        <x:f>"—"</x:f>
        <x:v>—</x:v>
      </x:c>
      <x:c r="N18" s="36" t="n">
        <x:f>IF(COUNT(INDEX('SKU明细'!$D$11:$D$1309,MATCH("S02-TN-40",'SKU明细'!$A$11:$A$1309,0)))=0,"待核",IF(COUNT(INDEX('SKU明细'!$D$11:$D$1309,MATCH("S02-TN-40",'SKU明细'!$A$11:$A$1309,0)))&lt;1,SUM(INDEX('SKU明细'!$D$11:$D$1309,MATCH("S02-TN-40",'SKU明细'!$A$11:$A$1309,0)))&amp;" + 待核",SUM(INDEX('SKU明细'!$D$11:$D$1309,MATCH("S02-TN-40",'SKU明细'!$A$11:$A$1309,0)))))</x:f>
        <x:v>2</x:v>
      </x:c>
      <x:c r="O18" s="36" t="str">
        <x:f>"—"</x:f>
        <x:v>—</x:v>
      </x:c>
      <x:c r="P18" s="36" t="n">
        <x:f>IF(COUNT(INDEX('SKU明细'!$D$11:$D$1309,MATCH("S02-TN-41",'SKU明细'!$A$11:$A$1309,0)))=0,"待核",IF(COUNT(INDEX('SKU明细'!$D$11:$D$1309,MATCH("S02-TN-41",'SKU明细'!$A$11:$A$1309,0)))&lt;1,SUM(INDEX('SKU明细'!$D$11:$D$1309,MATCH("S02-TN-41",'SKU明细'!$A$11:$A$1309,0)))&amp;" + 待核",SUM(INDEX('SKU明细'!$D$11:$D$1309,MATCH("S02-TN-41",'SKU明细'!$A$11:$A$1309,0)))))</x:f>
        <x:v>2</x:v>
      </x:c>
      <x:c r="Q18" s="36" t="str">
        <x:f>"—"</x:f>
        <x:v>—</x:v>
      </x:c>
      <x:c r="R18" s="36" t="n">
        <x:f>IF(COUNT(INDEX('SKU明细'!$D$11:$D$1309,MATCH("S02-TN-42",'SKU明细'!$A$11:$A$1309,0)))=0,"待核",IF(COUNT(INDEX('SKU明细'!$D$11:$D$1309,MATCH("S02-TN-42",'SKU明细'!$A$11:$A$1309,0)))&lt;1,SUM(INDEX('SKU明细'!$D$11:$D$1309,MATCH("S02-TN-42",'SKU明细'!$A$11:$A$1309,0)))&amp;" + 待核",SUM(INDEX('SKU明细'!$D$11:$D$1309,MATCH("S02-TN-42",'SKU明细'!$A$11:$A$1309,0)))))</x:f>
        <x:v>0</x:v>
      </x:c>
      <x:c r="S18" s="36" t="n">
        <x:f>IF(COUNT(INDEX('SKU明细'!$D$11:$D$1309,MATCH("S02-TN-37",'SKU明细'!$A$11:$A$1309,0)),INDEX('SKU明细'!$D$11:$D$1309,MATCH("S02-TN-38",'SKU明细'!$A$11:$A$1309,0)),INDEX('SKU明细'!$D$11:$D$1309,MATCH("S02-TN-39",'SKU明细'!$A$11:$A$1309,0)),INDEX('SKU明细'!$D$11:$D$1309,MATCH("S02-TN-40",'SKU明细'!$A$11:$A$1309,0)),INDEX('SKU明细'!$D$11:$D$1309,MATCH("S02-TN-41",'SKU明细'!$A$11:$A$1309,0)),INDEX('SKU明细'!$D$11:$D$1309,MATCH("S02-TN-42",'SKU明细'!$A$11:$A$1309,0)))=0,"待核",SUM(INDEX('SKU明细'!$D$11:$D$1309,MATCH("S02-TN-37",'SKU明细'!$A$11:$A$1309,0)),INDEX('SKU明细'!$D$11:$D$1309,MATCH("S02-TN-38",'SKU明细'!$A$11:$A$1309,0)),INDEX('SKU明细'!$D$11:$D$1309,MATCH("S02-TN-39",'SKU明细'!$A$11:$A$1309,0)),INDEX('SKU明细'!$D$11:$D$1309,MATCH("S02-TN-40",'SKU明细'!$A$11:$A$1309,0)),INDEX('SKU明细'!$D$11:$D$1309,MATCH("S02-TN-41",'SKU明细'!$A$11:$A$1309,0)),INDEX('SKU明细'!$D$11:$D$1309,MATCH("S02-TN-42",'SKU明细'!$A$11:$A$1309,0))))</x:f>
        <x:v>59</x:v>
      </x:c>
      <x:c r="T18" s="36" t="n">
        <x:f>IF(COUNTIFS($A$9:$A$191,A18,$U$9:$U$191,"&lt;&gt;待核")=0,"待核",SUMIF($A$9:$A$191,A18,$S$9:$S$191))</x:f>
        <x:v>2598</x:v>
      </x:c>
      <x:c r="U18" s="35" t="str">
        <x:f>IF(COUNT(INDEX('SKU明细'!$D$11:$D$1309,MATCH("S02-TN-37",'SKU明细'!$A$11:$A$1309,0)),INDEX('SKU明细'!$D$11:$D$1309,MATCH("S02-TN-38",'SKU明细'!$A$11:$A$1309,0)),INDEX('SKU明细'!$D$11:$D$1309,MATCH("S02-TN-39",'SKU明细'!$A$11:$A$1309,0)),INDEX('SKU明细'!$D$11:$D$1309,MATCH("S02-TN-40",'SKU明细'!$A$11:$A$1309,0)),INDEX('SKU明细'!$D$11:$D$1309,MATCH("S02-TN-41",'SKU明细'!$A$11:$A$1309,0)),INDEX('SKU明细'!$D$11:$D$1309,MATCH("S02-TN-42",'SKU明细'!$A$11:$A$1309,0)))=0,"待核",IF(COUNT(INDEX('SKU明细'!$D$11:$D$1309,MATCH("S02-TN-37",'SKU明细'!$A$11:$A$1309,0)),INDEX('SKU明细'!$D$11:$D$1309,MATCH("S02-TN-38",'SKU明细'!$A$11:$A$1309,0)),INDEX('SKU明细'!$D$11:$D$1309,MATCH("S02-TN-39",'SKU明细'!$A$11:$A$1309,0)),INDEX('SKU明细'!$D$11:$D$1309,MATCH("S02-TN-40",'SKU明细'!$A$11:$A$1309,0)),INDEX('SKU明细'!$D$11:$D$1309,MATCH("S02-TN-41",'SKU明细'!$A$11:$A$1309,0)),INDEX('SKU明细'!$D$11:$D$1309,MATCH("S02-TN-42",'SKU明细'!$A$11:$A$1309,0)))&lt;6,"另有待核","已核"))</x:f>
        <x:v>已核</x:v>
      </x:c>
      <x:c r="V18" s="35" t="str">
        <x:v>在售</x:v>
      </x:c>
      <x:c r="W18" s="11" t="n">
        <x:f>IF(COUNT(INDEX('SKU明细'!$BV$11:$BV$1309,MATCH("S02-TN-37",'SKU明细'!$A$11:$A$1309,0)),INDEX('SKU明细'!$BV$11:$BV$1309,MATCH("S02-TN-38",'SKU明细'!$A$11:$A$1309,0)),INDEX('SKU明细'!$BV$11:$BV$1309,MATCH("S02-TN-39",'SKU明细'!$A$11:$A$1309,0)),INDEX('SKU明细'!$BV$11:$BV$1309,MATCH("S02-TN-40",'SKU明细'!$A$11:$A$1309,0)),INDEX('SKU明细'!$BV$11:$BV$1309,MATCH("S02-TN-41",'SKU明细'!$A$11:$A$1309,0)),INDEX('SKU明细'!$BV$11:$BV$1309,MATCH("S02-TN-42",'SKU明细'!$A$11:$A$1309,0)))=6,SUM(INDEX('SKU明细'!$BV$11:$BV$1309,MATCH("S02-TN-37",'SKU明细'!$A$11:$A$1309,0)),INDEX('SKU明细'!$BV$11:$BV$1309,MATCH("S02-TN-38",'SKU明细'!$A$11:$A$1309,0)),INDEX('SKU明细'!$BV$11:$BV$1309,MATCH("S02-TN-39",'SKU明细'!$A$11:$A$1309,0)),INDEX('SKU明细'!$BV$11:$BV$1309,MATCH("S02-TN-40",'SKU明细'!$A$11:$A$1309,0)),INDEX('SKU明细'!$BV$11:$BV$1309,MATCH("S02-TN-41",'SKU明细'!$A$11:$A$1309,0)),INDEX('SKU明细'!$BV$11:$BV$1309,MATCH("S02-TN-42",'SKU明细'!$A$11:$A$1309,0))),"待核")</x:f>
        <x:v>2.130439856759847</x:v>
      </x:c>
      <x:c r="X18" s="11" t="n">
        <x:f>INDEX('SKU明细'!$BW$11:$BW$1309,MATCH("S02-TN-37",'SKU明细'!$A$11:$A$1309,0))</x:f>
        <x:v>0.9634503791704667</x:v>
      </x:c>
      <x:c r="Y18" s="13" t="n">
        <x:f>IF(COUNT(INDEX('SKU明细'!$BY$11:$BY$1309,MATCH("S02-TN-37",'SKU明细'!$A$11:$A$1309,0)),INDEX('SKU明细'!$BY$11:$BY$1309,MATCH("S02-TN-38",'SKU明细'!$A$11:$A$1309,0)),INDEX('SKU明细'!$BY$11:$BY$1309,MATCH("S02-TN-39",'SKU明细'!$A$11:$A$1309,0)),INDEX('SKU明细'!$BY$11:$BY$1309,MATCH("S02-TN-40",'SKU明细'!$A$11:$A$1309,0)),INDEX('SKU明细'!$BY$11:$BY$1309,MATCH("S02-TN-41",'SKU明细'!$A$11:$A$1309,0)),INDEX('SKU明细'!$BY$11:$BY$1309,MATCH("S02-TN-42",'SKU明细'!$A$11:$A$1309,0)))=6,SUM(INDEX('SKU明细'!$BY$11:$BY$1309,MATCH("S02-TN-37",'SKU明细'!$A$11:$A$1309,0)),INDEX('SKU明细'!$BY$11:$BY$1309,MATCH("S02-TN-38",'SKU明细'!$A$11:$A$1309,0)),INDEX('SKU明细'!$BY$11:$BY$1309,MATCH("S02-TN-39",'SKU明细'!$A$11:$A$1309,0)),INDEX('SKU明细'!$BY$11:$BY$1309,MATCH("S02-TN-40",'SKU明细'!$A$11:$A$1309,0)),INDEX('SKU明细'!$BY$11:$BY$1309,MATCH("S02-TN-41",'SKU明细'!$A$11:$A$1309,0)),INDEX('SKU明细'!$BY$11:$BY$1309,MATCH("S02-TN-42",'SKU明细'!$A$11:$A$1309,0))),"待核")</x:f>
        <x:v>24.630877053541795</x:v>
      </x:c>
      <x:c r="Z18" s="11" t="n">
        <x:f>INDEX('SKU明细'!$BZ$11:$BZ$1309,MATCH("S02-TN-37",'SKU明细'!$A$11:$A$1309,0))</x:f>
        <x:v>0.8585031562320637</x:v>
      </x:c>
      <x:c r="AA18" s="13" t="n">
        <x:f>IF(COUNT(INDEX('SKU明细'!$CB$11:$CB$1309,MATCH("S02-TN-37",'SKU明细'!$A$11:$A$1309,0)),INDEX('SKU明细'!$CB$11:$CB$1309,MATCH("S02-TN-38",'SKU明细'!$A$11:$A$1309,0)),INDEX('SKU明细'!$CB$11:$CB$1309,MATCH("S02-TN-39",'SKU明细'!$A$11:$A$1309,0)),INDEX('SKU明细'!$CB$11:$CB$1309,MATCH("S02-TN-40",'SKU明细'!$A$11:$A$1309,0)),INDEX('SKU明细'!$CB$11:$CB$1309,MATCH("S02-TN-41",'SKU明细'!$A$11:$A$1309,0)),INDEX('SKU明细'!$CB$11:$CB$1309,MATCH("S02-TN-42",'SKU明细'!$A$11:$A$1309,0)))=6,SUM(INDEX('SKU明细'!$CB$11:$CB$1309,MATCH("S02-TN-37",'SKU明细'!$A$11:$A$1309,0)),INDEX('SKU明细'!$CB$11:$CB$1309,MATCH("S02-TN-38",'SKU明细'!$A$11:$A$1309,0)),INDEX('SKU明细'!$CB$11:$CB$1309,MATCH("S02-TN-39",'SKU明细'!$A$11:$A$1309,0)),INDEX('SKU明细'!$CB$11:$CB$1309,MATCH("S02-TN-40",'SKU明细'!$A$11:$A$1309,0)),INDEX('SKU明细'!$CB$11:$CB$1309,MATCH("S02-TN-41",'SKU明细'!$A$11:$A$1309,0)),INDEX('SKU明细'!$CB$11:$CB$1309,MATCH("S02-TN-42",'SKU明细'!$A$11:$A$1309,0))),"待核")</x:f>
        <x:v>54.86968023572743</x:v>
      </x:c>
      <x:c r="AB18" s="11" t="n">
        <x:f>INDEX('SKU明细'!$CC$11:$CC$1309,MATCH("S02-TN-37",'SKU明细'!$A$11:$A$1309,0))</x:f>
        <x:v>0.7896606554092485</x:v>
      </x:c>
      <x:c r="AC18" s="13" t="n">
        <x:f>IF(COUNT(INDEX('SKU明细'!$CE$11:$CE$1309,MATCH("S02-TN-37",'SKU明细'!$A$11:$A$1309,0)),INDEX('SKU明细'!$CE$11:$CE$1309,MATCH("S02-TN-38",'SKU明细'!$A$11:$A$1309,0)),INDEX('SKU明细'!$CE$11:$CE$1309,MATCH("S02-TN-39",'SKU明细'!$A$11:$A$1309,0)),INDEX('SKU明细'!$CE$11:$CE$1309,MATCH("S02-TN-40",'SKU明细'!$A$11:$A$1309,0)),INDEX('SKU明细'!$CE$11:$CE$1309,MATCH("S02-TN-41",'SKU明细'!$A$11:$A$1309,0)),INDEX('SKU明细'!$CE$11:$CE$1309,MATCH("S02-TN-42",'SKU明细'!$A$11:$A$1309,0)))=6,SUM(INDEX('SKU明细'!$CE$11:$CE$1309,MATCH("S02-TN-37",'SKU明细'!$A$11:$A$1309,0)),INDEX('SKU明细'!$CE$11:$CE$1309,MATCH("S02-TN-38",'SKU明细'!$A$11:$A$1309,0)),INDEX('SKU明细'!$CE$11:$CE$1309,MATCH("S02-TN-39",'SKU明细'!$A$11:$A$1309,0)),INDEX('SKU明细'!$CE$11:$CE$1309,MATCH("S02-TN-40",'SKU明细'!$A$11:$A$1309,0)),INDEX('SKU明细'!$CE$11:$CE$1309,MATCH("S02-TN-41",'SKU明细'!$A$11:$A$1309,0)),INDEX('SKU明细'!$CE$11:$CE$1309,MATCH("S02-TN-42",'SKU明细'!$A$11:$A$1309,0))),"待核")</x:f>
        <x:v>52.152060541567955</x:v>
      </x:c>
      <x:c r="AD18" s="11" t="n">
        <x:f>INDEX('SKU明细'!$CF$11:$CF$1309,MATCH("S02-TN-37",'SKU明细'!$A$11:$A$1309,0))</x:f>
        <x:v>1.0030167116538329</x:v>
      </x:c>
      <x:c r="AE18" s="13" t="n">
        <x:f>IF(COUNT(INDEX('SKU明细'!$CH$11:$CH$1309,MATCH("S02-TN-37",'SKU明细'!$A$11:$A$1309,0)),INDEX('SKU明细'!$CH$11:$CH$1309,MATCH("S02-TN-38",'SKU明细'!$A$11:$A$1309,0)),INDEX('SKU明细'!$CH$11:$CH$1309,MATCH("S02-TN-39",'SKU明细'!$A$11:$A$1309,0)),INDEX('SKU明细'!$CH$11:$CH$1309,MATCH("S02-TN-40",'SKU明细'!$A$11:$A$1309,0)),INDEX('SKU明细'!$CH$11:$CH$1309,MATCH("S02-TN-41",'SKU明细'!$A$11:$A$1309,0)),INDEX('SKU明细'!$CH$11:$CH$1309,MATCH("S02-TN-42",'SKU明细'!$A$11:$A$1309,0)))=6,SUM(INDEX('SKU明细'!$CH$11:$CH$1309,MATCH("S02-TN-37",'SKU明细'!$A$11:$A$1309,0)),INDEX('SKU明细'!$CH$11:$CH$1309,MATCH("S02-TN-38",'SKU明细'!$A$11:$A$1309,0)),INDEX('SKU明细'!$CH$11:$CH$1309,MATCH("S02-TN-39",'SKU明细'!$A$11:$A$1309,0)),INDEX('SKU明细'!$CH$11:$CH$1309,MATCH("S02-TN-40",'SKU明细'!$A$11:$A$1309,0)),INDEX('SKU明细'!$CH$11:$CH$1309,MATCH("S02-TN-41",'SKU明细'!$A$11:$A$1309,0)),INDEX('SKU明细'!$CH$11:$CH$1309,MATCH("S02-TN-42",'SKU明细'!$A$11:$A$1309,0))),"待核")</x:f>
        <x:v>36.32673525155992</x:v>
      </x:c>
      <x:c r="AF18" s="13" t="n">
        <x:f>IF(COUNT(INDEX('SKU明细'!$CI$11:$CI$1309,MATCH("S02-TN-37",'SKU明细'!$A$11:$A$1309,0)),INDEX('SKU明细'!$CI$11:$CI$1309,MATCH("S02-TN-38",'SKU明细'!$A$11:$A$1309,0)),INDEX('SKU明细'!$CI$11:$CI$1309,MATCH("S02-TN-39",'SKU明细'!$A$11:$A$1309,0)),INDEX('SKU明细'!$CI$11:$CI$1309,MATCH("S02-TN-40",'SKU明细'!$A$11:$A$1309,0)),INDEX('SKU明细'!$CI$11:$CI$1309,MATCH("S02-TN-41",'SKU明细'!$A$11:$A$1309,0)),INDEX('SKU明细'!$CI$11:$CI$1309,MATCH("S02-TN-42",'SKU明细'!$A$11:$A$1309,0)))=6,SUM(INDEX('SKU明细'!$CI$11:$CI$1309,MATCH("S02-TN-37",'SKU明细'!$A$11:$A$1309,0)),INDEX('SKU明细'!$CI$11:$CI$1309,MATCH("S02-TN-38",'SKU明细'!$A$11:$A$1309,0)),INDEX('SKU明细'!$CI$11:$CI$1309,MATCH("S02-TN-39",'SKU明细'!$A$11:$A$1309,0)),INDEX('SKU明细'!$CI$11:$CI$1309,MATCH("S02-TN-40",'SKU明细'!$A$11:$A$1309,0)),INDEX('SKU明细'!$CI$11:$CI$1309,MATCH("S02-TN-41",'SKU明细'!$A$11:$A$1309,0)),INDEX('SKU明细'!$CI$11:$CI$1309,MATCH("S02-TN-42",'SKU明细'!$A$11:$A$1309,0))),"待核")</x:f>
        <x:v>167.97935308239713</x:v>
      </x:c>
    </x:row>
    <x:row r="19" ht="40" customHeight="1">
      <x:c r="A19" s="35" t="str">
        <x:v>S02</x:v>
      </x:c>
      <x:c r="B19" s="35" t="str">
        <x:v>陈晨</x:v>
      </x:c>
      <x:c r="C19" s="35" t="str">
        <x:v>驼色</x:v>
      </x:c>
      <x:c r="D19" s="35" t="str">
        <x:v>TN1</x:v>
      </x:c>
      <x:c r="E19" s="35" t="str">
        <x:v>S02-TN1</x:v>
      </x:c>
      <x:c r="F19" s="35"/>
      <x:c r="G19" s="36" t="str">
        <x:f>"—"</x:f>
        <x:v>—</x:v>
      </x:c>
      <x:c r="H19" s="36" t="str">
        <x:f>"—"</x:f>
        <x:v>—</x:v>
      </x:c>
      <x:c r="I19" s="36" t="n">
        <x:f>IF(COUNT(INDEX('SKU明细'!$D$11:$D$1309,MATCH("S02-TN1-37",'SKU明细'!$A$11:$A$1309,0)))=0,"待核",IF(COUNT(INDEX('SKU明细'!$D$11:$D$1309,MATCH("S02-TN1-37",'SKU明细'!$A$11:$A$1309,0)))&lt;1,SUM(INDEX('SKU明细'!$D$11:$D$1309,MATCH("S02-TN1-37",'SKU明细'!$A$11:$A$1309,0)))&amp;" + 待核",SUM(INDEX('SKU明细'!$D$11:$D$1309,MATCH("S02-TN1-37",'SKU明细'!$A$11:$A$1309,0)))))</x:f>
        <x:v>2</x:v>
      </x:c>
      <x:c r="J19" s="36" t="str">
        <x:f>"—"</x:f>
        <x:v>—</x:v>
      </x:c>
      <x:c r="K19" s="36" t="str">
        <x:f>"—"</x:f>
        <x:v>—</x:v>
      </x:c>
      <x:c r="L19" s="36" t="str">
        <x:f>"—"</x:f>
        <x:v>—</x:v>
      </x:c>
      <x:c r="M19" s="36" t="str">
        <x:f>"—"</x:f>
        <x:v>—</x:v>
      </x:c>
      <x:c r="N19" s="36" t="str">
        <x:f>"—"</x:f>
        <x:v>—</x:v>
      </x:c>
      <x:c r="O19" s="36" t="n">
        <x:f>IF(COUNT(INDEX('SKU明细'!$D$11:$D$1309,MATCH("S02-TN1-41",'SKU明细'!$A$11:$A$1309,0)))=0,"待核",IF(COUNT(INDEX('SKU明细'!$D$11:$D$1309,MATCH("S02-TN1-41",'SKU明细'!$A$11:$A$1309,0)))&lt;1,SUM(INDEX('SKU明细'!$D$11:$D$1309,MATCH("S02-TN1-41",'SKU明细'!$A$11:$A$1309,0)))&amp;" + 待核",SUM(INDEX('SKU明细'!$D$11:$D$1309,MATCH("S02-TN1-41",'SKU明细'!$A$11:$A$1309,0)))))</x:f>
        <x:v>0</x:v>
      </x:c>
      <x:c r="P19" s="36" t="str">
        <x:f>"—"</x:f>
        <x:v>—</x:v>
      </x:c>
      <x:c r="Q19" s="36" t="str">
        <x:f>"—"</x:f>
        <x:v>—</x:v>
      </x:c>
      <x:c r="R19" s="36" t="str">
        <x:f>"—"</x:f>
        <x:v>—</x:v>
      </x:c>
      <x:c r="S19" s="36" t="n">
        <x:f>IF(COUNT(INDEX('SKU明细'!$D$11:$D$1309,MATCH("S02-TN1-37",'SKU明细'!$A$11:$A$1309,0)),INDEX('SKU明细'!$D$11:$D$1309,MATCH("S02-TN1-41",'SKU明细'!$A$11:$A$1309,0)))=0,"待核",SUM(INDEX('SKU明细'!$D$11:$D$1309,MATCH("S02-TN1-37",'SKU明细'!$A$11:$A$1309,0)),INDEX('SKU明细'!$D$11:$D$1309,MATCH("S02-TN1-41",'SKU明细'!$A$11:$A$1309,0))))</x:f>
        <x:v>2</x:v>
      </x:c>
      <x:c r="T19" s="36" t="n">
        <x:f>IF(COUNTIFS($A$9:$A$191,A19,$U$9:$U$191,"&lt;&gt;待核")=0,"待核",SUMIF($A$9:$A$191,A19,$S$9:$S$191))</x:f>
        <x:v>2598</x:v>
      </x:c>
      <x:c r="U19" s="35" t="str">
        <x:f>IF(COUNT(INDEX('SKU明细'!$D$11:$D$1309,MATCH("S02-TN1-37",'SKU明细'!$A$11:$A$1309,0)),INDEX('SKU明细'!$D$11:$D$1309,MATCH("S02-TN1-41",'SKU明细'!$A$11:$A$1309,0)))=0,"待核",IF(COUNT(INDEX('SKU明细'!$D$11:$D$1309,MATCH("S02-TN1-37",'SKU明细'!$A$11:$A$1309,0)),INDEX('SKU明细'!$D$11:$D$1309,MATCH("S02-TN1-41",'SKU明细'!$A$11:$A$1309,0)))&lt;2,"另有待核","已核"))</x:f>
        <x:v>已核</x:v>
      </x:c>
      <x:c r="V19" s="35" t="str">
        <x:v>在售</x:v>
      </x:c>
      <x:c r="W19" s="11" t="n">
        <x:f>IF(COUNT(INDEX('SKU明细'!$BV$11:$BV$1309,MATCH("S02-TN1-37",'SKU明细'!$A$11:$A$1309,0)),INDEX('SKU明细'!$BV$11:$BV$1309,MATCH("S02-TN1-41",'SKU明细'!$A$11:$A$1309,0)))=2,SUM(INDEX('SKU明细'!$BV$11:$BV$1309,MATCH("S02-TN1-37",'SKU明细'!$A$11:$A$1309,0)),INDEX('SKU明细'!$BV$11:$BV$1309,MATCH("S02-TN1-41",'SKU明细'!$A$11:$A$1309,0))),"待核")</x:f>
        <x:v>0.5218737679212953</x:v>
      </x:c>
      <x:c r="X19" s="11" t="n">
        <x:f>INDEX('SKU明细'!$BW$11:$BW$1309,MATCH("S02-TN1-37",'SKU明细'!$A$11:$A$1309,0))</x:f>
        <x:v>0.9634503791704667</x:v>
      </x:c>
      <x:c r="Y19" s="13" t="n">
        <x:f>IF(COUNT(INDEX('SKU明细'!$BY$11:$BY$1309,MATCH("S02-TN1-37",'SKU明细'!$A$11:$A$1309,0)),INDEX('SKU明细'!$BY$11:$BY$1309,MATCH("S02-TN1-41",'SKU明细'!$A$11:$A$1309,0)))=2,SUM(INDEX('SKU明细'!$BY$11:$BY$1309,MATCH("S02-TN1-37",'SKU明细'!$A$11:$A$1309,0)),INDEX('SKU明细'!$BY$11:$BY$1309,MATCH("S02-TN1-41",'SKU明细'!$A$11:$A$1309,0))),"待核")</x:f>
        <x:v>6.033593754994705</x:v>
      </x:c>
      <x:c r="Z19" s="11" t="n">
        <x:f>INDEX('SKU明细'!$BZ$11:$BZ$1309,MATCH("S02-TN1-37",'SKU明细'!$A$11:$A$1309,0))</x:f>
        <x:v>0.8585031562320637</x:v>
      </x:c>
      <x:c r="AA19" s="13" t="n">
        <x:f>IF(COUNT(INDEX('SKU明细'!$CB$11:$CB$1309,MATCH("S02-TN1-37",'SKU明细'!$A$11:$A$1309,0)),INDEX('SKU明细'!$CB$11:$CB$1309,MATCH("S02-TN1-41",'SKU明细'!$A$11:$A$1309,0)))=2,SUM(INDEX('SKU明细'!$CB$11:$CB$1309,MATCH("S02-TN1-37",'SKU明细'!$A$11:$A$1309,0)),INDEX('SKU明细'!$CB$11:$CB$1309,MATCH("S02-TN1-41",'SKU明细'!$A$11:$A$1309,0))),"待核")</x:f>
        <x:v>13.440908307454544</x:v>
      </x:c>
      <x:c r="AB19" s="11" t="n">
        <x:f>INDEX('SKU明细'!$CC$11:$CC$1309,MATCH("S02-TN1-37",'SKU明细'!$A$11:$A$1309,0))</x:f>
        <x:v>0.7896606554092485</x:v>
      </x:c>
      <x:c r="AC19" s="13" t="n">
        <x:f>IF(COUNT(INDEX('SKU明细'!$CE$11:$CE$1309,MATCH("S02-TN1-37",'SKU明细'!$A$11:$A$1309,0)),INDEX('SKU明细'!$CE$11:$CE$1309,MATCH("S02-TN1-41",'SKU明细'!$A$11:$A$1309,0)))=2,SUM(INDEX('SKU明细'!$CE$11:$CE$1309,MATCH("S02-TN1-37",'SKU明细'!$A$11:$A$1309,0)),INDEX('SKU明细'!$CE$11:$CE$1309,MATCH("S02-TN1-41",'SKU明细'!$A$11:$A$1309,0))),"待核")</x:f>
        <x:v>12.775198630146345</x:v>
      </x:c>
      <x:c r="AD19" s="11" t="n">
        <x:f>INDEX('SKU明细'!$CF$11:$CF$1309,MATCH("S02-TN1-37",'SKU明细'!$A$11:$A$1309,0))</x:f>
        <x:v>1.0030167116538329</x:v>
      </x:c>
      <x:c r="AE19" s="13" t="n">
        <x:f>IF(COUNT(INDEX('SKU明细'!$CH$11:$CH$1309,MATCH("S02-TN1-37",'SKU明细'!$A$11:$A$1309,0)),INDEX('SKU明细'!$CH$11:$CH$1309,MATCH("S02-TN1-41",'SKU明细'!$A$11:$A$1309,0)))=2,SUM(INDEX('SKU明细'!$CH$11:$CH$1309,MATCH("S02-TN1-37",'SKU明细'!$A$11:$A$1309,0)),INDEX('SKU明细'!$CH$11:$CH$1309,MATCH("S02-TN1-41",'SKU明细'!$A$11:$A$1309,0))),"待核")</x:f>
        <x:v>8.898617880179822</x:v>
      </x:c>
      <x:c r="AF19" s="13" t="n">
        <x:f>IF(COUNT(INDEX('SKU明细'!$CI$11:$CI$1309,MATCH("S02-TN1-37",'SKU明细'!$A$11:$A$1309,0)),INDEX('SKU明细'!$CI$11:$CI$1309,MATCH("S02-TN1-41",'SKU明细'!$A$11:$A$1309,0)))=2,SUM(INDEX('SKU明细'!$CI$11:$CI$1309,MATCH("S02-TN1-37",'SKU明细'!$A$11:$A$1309,0)),INDEX('SKU明细'!$CI$11:$CI$1309,MATCH("S02-TN1-41",'SKU明细'!$A$11:$A$1309,0))),"待核")</x:f>
        <x:v>41.148318572775416</x:v>
      </x:c>
    </x:row>
    <x:row r="20" ht="40" customHeight="1">
      <x:c r="A20" s="35" t="str">
        <x:v>S02</x:v>
      </x:c>
      <x:c r="B20" s="35" t="str">
        <x:v>陈晨</x:v>
      </x:c>
      <x:c r="C20" s="35" t="str">
        <x:v>驼色PU</x:v>
      </x:c>
      <x:c r="D20" s="35" t="str">
        <x:v>TNP</x:v>
      </x:c>
      <x:c r="E20" s="35" t="str">
        <x:v>S02-TNP</x:v>
      </x:c>
      <x:c r="F20" s="35"/>
      <x:c r="G20" s="36" t="str">
        <x:f>"—"</x:f>
        <x:v>—</x:v>
      </x:c>
      <x:c r="H20" s="36" t="n">
        <x:f>IF(COUNT(INDEX('SKU明细'!$D$11:$D$1309,MATCH("S02-TNP-37",'SKU明细'!$A$11:$A$1309,0)))=0,"待核",IF(COUNT(INDEX('SKU明细'!$D$11:$D$1309,MATCH("S02-TNP-37",'SKU明细'!$A$11:$A$1309,0)))&lt;1,SUM(INDEX('SKU明细'!$D$11:$D$1309,MATCH("S02-TNP-37",'SKU明细'!$A$11:$A$1309,0)))&amp;" + 待核",SUM(INDEX('SKU明细'!$D$11:$D$1309,MATCH("S02-TNP-37",'SKU明细'!$A$11:$A$1309,0)))))</x:f>
        <x:v>0</x:v>
      </x:c>
      <x:c r="I20" s="36" t="str">
        <x:f>"—"</x:f>
        <x:v>—</x:v>
      </x:c>
      <x:c r="J20" s="36" t="n">
        <x:f>IF(COUNT(INDEX('SKU明细'!$D$11:$D$1309,MATCH("S02-TNP-38",'SKU明细'!$A$11:$A$1309,0)))=0,"待核",IF(COUNT(INDEX('SKU明细'!$D$11:$D$1309,MATCH("S02-TNP-38",'SKU明细'!$A$11:$A$1309,0)))&lt;1,SUM(INDEX('SKU明细'!$D$11:$D$1309,MATCH("S02-TNP-38",'SKU明细'!$A$11:$A$1309,0)))&amp;" + 待核",SUM(INDEX('SKU明细'!$D$11:$D$1309,MATCH("S02-TNP-38",'SKU明细'!$A$11:$A$1309,0)))))</x:f>
        <x:v>0</x:v>
      </x:c>
      <x:c r="K20" s="36" t="str">
        <x:f>"—"</x:f>
        <x:v>—</x:v>
      </x:c>
      <x:c r="L20" s="36" t="n">
        <x:f>IF(COUNT(INDEX('SKU明细'!$D$11:$D$1309,MATCH("S02-TNP-39",'SKU明细'!$A$11:$A$1309,0)))=0,"待核",IF(COUNT(INDEX('SKU明细'!$D$11:$D$1309,MATCH("S02-TNP-39",'SKU明细'!$A$11:$A$1309,0)))&lt;1,SUM(INDEX('SKU明细'!$D$11:$D$1309,MATCH("S02-TNP-39",'SKU明细'!$A$11:$A$1309,0)))&amp;" + 待核",SUM(INDEX('SKU明细'!$D$11:$D$1309,MATCH("S02-TNP-39",'SKU明细'!$A$11:$A$1309,0)))))</x:f>
        <x:v>0</x:v>
      </x:c>
      <x:c r="M20" s="36" t="str">
        <x:f>"—"</x:f>
        <x:v>—</x:v>
      </x:c>
      <x:c r="N20" s="36" t="n">
        <x:f>IF(COUNT(INDEX('SKU明细'!$D$11:$D$1309,MATCH("S02-TNP-40",'SKU明细'!$A$11:$A$1309,0)))=0,"待核",IF(COUNT(INDEX('SKU明细'!$D$11:$D$1309,MATCH("S02-TNP-40",'SKU明细'!$A$11:$A$1309,0)))&lt;1,SUM(INDEX('SKU明细'!$D$11:$D$1309,MATCH("S02-TNP-40",'SKU明细'!$A$11:$A$1309,0)))&amp;" + 待核",SUM(INDEX('SKU明细'!$D$11:$D$1309,MATCH("S02-TNP-40",'SKU明细'!$A$11:$A$1309,0)))))</x:f>
        <x:v>0</x:v>
      </x:c>
      <x:c r="O20" s="36" t="str">
        <x:f>"—"</x:f>
        <x:v>—</x:v>
      </x:c>
      <x:c r="P20" s="36" t="n">
        <x:f>IF(COUNT(INDEX('SKU明细'!$D$11:$D$1309,MATCH("S02-TNP-41",'SKU明细'!$A$11:$A$1309,0)))=0,"待核",IF(COUNT(INDEX('SKU明细'!$D$11:$D$1309,MATCH("S02-TNP-41",'SKU明细'!$A$11:$A$1309,0)))&lt;1,SUM(INDEX('SKU明细'!$D$11:$D$1309,MATCH("S02-TNP-41",'SKU明细'!$A$11:$A$1309,0)))&amp;" + 待核",SUM(INDEX('SKU明细'!$D$11:$D$1309,MATCH("S02-TNP-41",'SKU明细'!$A$11:$A$1309,0)))))</x:f>
        <x:v>0</x:v>
      </x:c>
      <x:c r="Q20" s="36" t="str">
        <x:f>"—"</x:f>
        <x:v>—</x:v>
      </x:c>
      <x:c r="R20" s="36" t="n">
        <x:f>IF(COUNT(INDEX('SKU明细'!$D$11:$D$1309,MATCH("S02-TNP-42",'SKU明细'!$A$11:$A$1309,0)))=0,"待核",IF(COUNT(INDEX('SKU明细'!$D$11:$D$1309,MATCH("S02-TNP-42",'SKU明细'!$A$11:$A$1309,0)))&lt;1,SUM(INDEX('SKU明细'!$D$11:$D$1309,MATCH("S02-TNP-42",'SKU明细'!$A$11:$A$1309,0)))&amp;" + 待核",SUM(INDEX('SKU明细'!$D$11:$D$1309,MATCH("S02-TNP-42",'SKU明细'!$A$11:$A$1309,0)))))</x:f>
        <x:v>0</x:v>
      </x:c>
      <x:c r="S20" s="36" t="n">
        <x:f>IF(COUNT(INDEX('SKU明细'!$D$11:$D$1309,MATCH("S02-TNP-37",'SKU明细'!$A$11:$A$1309,0)),INDEX('SKU明细'!$D$11:$D$1309,MATCH("S02-TNP-38",'SKU明细'!$A$11:$A$1309,0)),INDEX('SKU明细'!$D$11:$D$1309,MATCH("S02-TNP-39",'SKU明细'!$A$11:$A$1309,0)),INDEX('SKU明细'!$D$11:$D$1309,MATCH("S02-TNP-40",'SKU明细'!$A$11:$A$1309,0)),INDEX('SKU明细'!$D$11:$D$1309,MATCH("S02-TNP-41",'SKU明细'!$A$11:$A$1309,0)),INDEX('SKU明细'!$D$11:$D$1309,MATCH("S02-TNP-42",'SKU明细'!$A$11:$A$1309,0)))=0,"待核",SUM(INDEX('SKU明细'!$D$11:$D$1309,MATCH("S02-TNP-37",'SKU明细'!$A$11:$A$1309,0)),INDEX('SKU明细'!$D$11:$D$1309,MATCH("S02-TNP-38",'SKU明细'!$A$11:$A$1309,0)),INDEX('SKU明细'!$D$11:$D$1309,MATCH("S02-TNP-39",'SKU明细'!$A$11:$A$1309,0)),INDEX('SKU明细'!$D$11:$D$1309,MATCH("S02-TNP-40",'SKU明细'!$A$11:$A$1309,0)),INDEX('SKU明细'!$D$11:$D$1309,MATCH("S02-TNP-41",'SKU明细'!$A$11:$A$1309,0)),INDEX('SKU明细'!$D$11:$D$1309,MATCH("S02-TNP-42",'SKU明细'!$A$11:$A$1309,0))))</x:f>
        <x:v>0</x:v>
      </x:c>
      <x:c r="T20" s="36" t="n">
        <x:f>IF(COUNTIFS($A$9:$A$191,A20,$U$9:$U$191,"&lt;&gt;待核")=0,"待核",SUMIF($A$9:$A$191,A20,$S$9:$S$191))</x:f>
        <x:v>2598</x:v>
      </x:c>
      <x:c r="U20" s="35" t="str">
        <x:f>IF(COUNT(INDEX('SKU明细'!$D$11:$D$1309,MATCH("S02-TNP-37",'SKU明细'!$A$11:$A$1309,0)),INDEX('SKU明细'!$D$11:$D$1309,MATCH("S02-TNP-38",'SKU明细'!$A$11:$A$1309,0)),INDEX('SKU明细'!$D$11:$D$1309,MATCH("S02-TNP-39",'SKU明细'!$A$11:$A$1309,0)),INDEX('SKU明细'!$D$11:$D$1309,MATCH("S02-TNP-40",'SKU明细'!$A$11:$A$1309,0)),INDEX('SKU明细'!$D$11:$D$1309,MATCH("S02-TNP-41",'SKU明细'!$A$11:$A$1309,0)),INDEX('SKU明细'!$D$11:$D$1309,MATCH("S02-TNP-42",'SKU明细'!$A$11:$A$1309,0)))=0,"待核",IF(COUNT(INDEX('SKU明细'!$D$11:$D$1309,MATCH("S02-TNP-37",'SKU明细'!$A$11:$A$1309,0)),INDEX('SKU明细'!$D$11:$D$1309,MATCH("S02-TNP-38",'SKU明细'!$A$11:$A$1309,0)),INDEX('SKU明细'!$D$11:$D$1309,MATCH("S02-TNP-39",'SKU明细'!$A$11:$A$1309,0)),INDEX('SKU明细'!$D$11:$D$1309,MATCH("S02-TNP-40",'SKU明细'!$A$11:$A$1309,0)),INDEX('SKU明细'!$D$11:$D$1309,MATCH("S02-TNP-41",'SKU明细'!$A$11:$A$1309,0)),INDEX('SKU明细'!$D$11:$D$1309,MATCH("S02-TNP-42",'SKU明细'!$A$11:$A$1309,0)))&lt;6,"另有待核","已核"))</x:f>
        <x:v>已核</x:v>
      </x:c>
      <x:c r="V20" s="35" t="str">
        <x:v>在售</x:v>
      </x:c>
      <x:c r="W20" s="11" t="n">
        <x:f>IF(COUNT(INDEX('SKU明细'!$BV$11:$BV$1309,MATCH("S02-TNP-37",'SKU明细'!$A$11:$A$1309,0)),INDEX('SKU明细'!$BV$11:$BV$1309,MATCH("S02-TNP-38",'SKU明细'!$A$11:$A$1309,0)),INDEX('SKU明细'!$BV$11:$BV$1309,MATCH("S02-TNP-39",'SKU明细'!$A$11:$A$1309,0)),INDEX('SKU明细'!$BV$11:$BV$1309,MATCH("S02-TNP-40",'SKU明细'!$A$11:$A$1309,0)),INDEX('SKU明细'!$BV$11:$BV$1309,MATCH("S02-TNP-41",'SKU明细'!$A$11:$A$1309,0)),INDEX('SKU明细'!$BV$11:$BV$1309,MATCH("S02-TNP-42",'SKU明细'!$A$11:$A$1309,0)))=6,SUM(INDEX('SKU明细'!$BV$11:$BV$1309,MATCH("S02-TNP-37",'SKU明细'!$A$11:$A$1309,0)),INDEX('SKU明细'!$BV$11:$BV$1309,MATCH("S02-TNP-38",'SKU明细'!$A$11:$A$1309,0)),INDEX('SKU明细'!$BV$11:$BV$1309,MATCH("S02-TNP-39",'SKU明细'!$A$11:$A$1309,0)),INDEX('SKU明细'!$BV$11:$BV$1309,MATCH("S02-TNP-40",'SKU明细'!$A$11:$A$1309,0)),INDEX('SKU明细'!$BV$11:$BV$1309,MATCH("S02-TNP-41",'SKU明细'!$A$11:$A$1309,0)),INDEX('SKU明细'!$BV$11:$BV$1309,MATCH("S02-TNP-42",'SKU明细'!$A$11:$A$1309,0))),"待核")</x:f>
        <x:v>2.3313571882517707</x:v>
      </x:c>
      <x:c r="X20" s="11" t="n">
        <x:f>INDEX('SKU明细'!$BW$11:$BW$1309,MATCH("S02-TNP-37",'SKU明细'!$A$11:$A$1309,0))</x:f>
        <x:v>0.9634503791704667</x:v>
      </x:c>
      <x:c r="Y20" s="13" t="n">
        <x:f>IF(COUNT(INDEX('SKU明细'!$BY$11:$BY$1309,MATCH("S02-TNP-37",'SKU明细'!$A$11:$A$1309,0)),INDEX('SKU明细'!$BY$11:$BY$1309,MATCH("S02-TNP-38",'SKU明细'!$A$11:$A$1309,0)),INDEX('SKU明细'!$BY$11:$BY$1309,MATCH("S02-TNP-39",'SKU明细'!$A$11:$A$1309,0)),INDEX('SKU明细'!$BY$11:$BY$1309,MATCH("S02-TNP-40",'SKU明细'!$A$11:$A$1309,0)),INDEX('SKU明细'!$BY$11:$BY$1309,MATCH("S02-TNP-41",'SKU明细'!$A$11:$A$1309,0)),INDEX('SKU明细'!$BY$11:$BY$1309,MATCH("S02-TNP-42",'SKU明细'!$A$11:$A$1309,0)))=6,SUM(INDEX('SKU明细'!$BY$11:$BY$1309,MATCH("S02-TNP-37",'SKU明细'!$A$11:$A$1309,0)),INDEX('SKU明细'!$BY$11:$BY$1309,MATCH("S02-TNP-38",'SKU明细'!$A$11:$A$1309,0)),INDEX('SKU明细'!$BY$11:$BY$1309,MATCH("S02-TNP-39",'SKU明细'!$A$11:$A$1309,0)),INDEX('SKU明细'!$BY$11:$BY$1309,MATCH("S02-TNP-40",'SKU明细'!$A$11:$A$1309,0)),INDEX('SKU明细'!$BY$11:$BY$1309,MATCH("S02-TNP-41",'SKU明细'!$A$11:$A$1309,0)),INDEX('SKU明细'!$BY$11:$BY$1309,MATCH("S02-TNP-42",'SKU明细'!$A$11:$A$1309,0))),"待核")</x:f>
        <x:v>26.953763604035544</x:v>
      </x:c>
      <x:c r="Z20" s="11" t="n">
        <x:f>INDEX('SKU明细'!$BZ$11:$BZ$1309,MATCH("S02-TNP-37",'SKU明细'!$A$11:$A$1309,0))</x:f>
        <x:v>0.8585031562320637</x:v>
      </x:c>
      <x:c r="AA20" s="13" t="n">
        <x:f>IF(COUNT(INDEX('SKU明细'!$CB$11:$CB$1309,MATCH("S02-TNP-37",'SKU明细'!$A$11:$A$1309,0)),INDEX('SKU明细'!$CB$11:$CB$1309,MATCH("S02-TNP-38",'SKU明细'!$A$11:$A$1309,0)),INDEX('SKU明细'!$CB$11:$CB$1309,MATCH("S02-TNP-39",'SKU明细'!$A$11:$A$1309,0)),INDEX('SKU明细'!$CB$11:$CB$1309,MATCH("S02-TNP-40",'SKU明细'!$A$11:$A$1309,0)),INDEX('SKU明细'!$CB$11:$CB$1309,MATCH("S02-TNP-41",'SKU明细'!$A$11:$A$1309,0)),INDEX('SKU明细'!$CB$11:$CB$1309,MATCH("S02-TNP-42",'SKU明细'!$A$11:$A$1309,0)))=6,SUM(INDEX('SKU明细'!$CB$11:$CB$1309,MATCH("S02-TNP-37",'SKU明细'!$A$11:$A$1309,0)),INDEX('SKU明细'!$CB$11:$CB$1309,MATCH("S02-TNP-38",'SKU明细'!$A$11:$A$1309,0)),INDEX('SKU明细'!$CB$11:$CB$1309,MATCH("S02-TNP-39",'SKU明细'!$A$11:$A$1309,0)),INDEX('SKU明细'!$CB$11:$CB$1309,MATCH("S02-TNP-40",'SKU明细'!$A$11:$A$1309,0)),INDEX('SKU明细'!$CB$11:$CB$1309,MATCH("S02-TNP-41",'SKU明细'!$A$11:$A$1309,0)),INDEX('SKU明细'!$CB$11:$CB$1309,MATCH("S02-TNP-42",'SKU明细'!$A$11:$A$1309,0))),"待核")</x:f>
        <x:v>60.044325132553645</x:v>
      </x:c>
      <x:c r="AB20" s="11" t="n">
        <x:f>INDEX('SKU明细'!$CC$11:$CC$1309,MATCH("S02-TNP-37",'SKU明细'!$A$11:$A$1309,0))</x:f>
        <x:v>0.7896606554092485</x:v>
      </x:c>
      <x:c r="AC20" s="13" t="n">
        <x:f>IF(COUNT(INDEX('SKU明细'!$CE$11:$CE$1309,MATCH("S02-TNP-37",'SKU明细'!$A$11:$A$1309,0)),INDEX('SKU明细'!$CE$11:$CE$1309,MATCH("S02-TNP-38",'SKU明细'!$A$11:$A$1309,0)),INDEX('SKU明细'!$CE$11:$CE$1309,MATCH("S02-TNP-39",'SKU明细'!$A$11:$A$1309,0)),INDEX('SKU明细'!$CE$11:$CE$1309,MATCH("S02-TNP-40",'SKU明细'!$A$11:$A$1309,0)),INDEX('SKU明细'!$CE$11:$CE$1309,MATCH("S02-TNP-41",'SKU明细'!$A$11:$A$1309,0)),INDEX('SKU明细'!$CE$11:$CE$1309,MATCH("S02-TNP-42",'SKU明细'!$A$11:$A$1309,0)))=6,SUM(INDEX('SKU明细'!$CE$11:$CE$1309,MATCH("S02-TNP-37",'SKU明细'!$A$11:$A$1309,0)),INDEX('SKU明细'!$CE$11:$CE$1309,MATCH("S02-TNP-38",'SKU明细'!$A$11:$A$1309,0)),INDEX('SKU明细'!$CE$11:$CE$1309,MATCH("S02-TNP-39",'SKU明细'!$A$11:$A$1309,0)),INDEX('SKU明细'!$CE$11:$CE$1309,MATCH("S02-TNP-40",'SKU明细'!$A$11:$A$1309,0)),INDEX('SKU明细'!$CE$11:$CE$1309,MATCH("S02-TNP-41",'SKU明细'!$A$11:$A$1309,0)),INDEX('SKU明细'!$CE$11:$CE$1309,MATCH("S02-TNP-42",'SKU明细'!$A$11:$A$1309,0))),"待核")</x:f>
        <x:v>57.07041240330664</x:v>
      </x:c>
      <x:c r="AD20" s="11" t="n">
        <x:f>INDEX('SKU明细'!$CF$11:$CF$1309,MATCH("S02-TNP-37",'SKU明细'!$A$11:$A$1309,0))</x:f>
        <x:v>1.0030167116538329</x:v>
      </x:c>
      <x:c r="AE20" s="13" t="n">
        <x:f>IF(COUNT(INDEX('SKU明细'!$CH$11:$CH$1309,MATCH("S02-TNP-37",'SKU明细'!$A$11:$A$1309,0)),INDEX('SKU明细'!$CH$11:$CH$1309,MATCH("S02-TNP-38",'SKU明细'!$A$11:$A$1309,0)),INDEX('SKU明细'!$CH$11:$CH$1309,MATCH("S02-TNP-39",'SKU明细'!$A$11:$A$1309,0)),INDEX('SKU明细'!$CH$11:$CH$1309,MATCH("S02-TNP-40",'SKU明细'!$A$11:$A$1309,0)),INDEX('SKU明细'!$CH$11:$CH$1309,MATCH("S02-TNP-41",'SKU明细'!$A$11:$A$1309,0)),INDEX('SKU明细'!$CH$11:$CH$1309,MATCH("S02-TNP-42",'SKU明细'!$A$11:$A$1309,0)))=6,SUM(INDEX('SKU明细'!$CH$11:$CH$1309,MATCH("S02-TNP-37",'SKU明细'!$A$11:$A$1309,0)),INDEX('SKU明细'!$CH$11:$CH$1309,MATCH("S02-TNP-38",'SKU明细'!$A$11:$A$1309,0)),INDEX('SKU明细'!$CH$11:$CH$1309,MATCH("S02-TNP-39",'SKU明细'!$A$11:$A$1309,0)),INDEX('SKU明细'!$CH$11:$CH$1309,MATCH("S02-TNP-40",'SKU明细'!$A$11:$A$1309,0)),INDEX('SKU明细'!$CH$11:$CH$1309,MATCH("S02-TNP-41",'SKU明细'!$A$11:$A$1309,0)),INDEX('SKU明细'!$CH$11:$CH$1309,MATCH("S02-TNP-42",'SKU明细'!$A$11:$A$1309,0))),"待核")</x:f>
        <x:v>39.75263375106388</x:v>
      </x:c>
      <x:c r="AF20" s="13" t="n">
        <x:f>IF(COUNT(INDEX('SKU明细'!$CI$11:$CI$1309,MATCH("S02-TNP-37",'SKU明细'!$A$11:$A$1309,0)),INDEX('SKU明细'!$CI$11:$CI$1309,MATCH("S02-TNP-38",'SKU明细'!$A$11:$A$1309,0)),INDEX('SKU明细'!$CI$11:$CI$1309,MATCH("S02-TNP-39",'SKU明细'!$A$11:$A$1309,0)),INDEX('SKU明细'!$CI$11:$CI$1309,MATCH("S02-TNP-40",'SKU明细'!$A$11:$A$1309,0)),INDEX('SKU明细'!$CI$11:$CI$1309,MATCH("S02-TNP-41",'SKU明细'!$A$11:$A$1309,0)),INDEX('SKU明细'!$CI$11:$CI$1309,MATCH("S02-TNP-42",'SKU明细'!$A$11:$A$1309,0)))=6,SUM(INDEX('SKU明细'!$CI$11:$CI$1309,MATCH("S02-TNP-37",'SKU明细'!$A$11:$A$1309,0)),INDEX('SKU明细'!$CI$11:$CI$1309,MATCH("S02-TNP-38",'SKU明细'!$A$11:$A$1309,0)),INDEX('SKU明细'!$CI$11:$CI$1309,MATCH("S02-TNP-39",'SKU明细'!$A$11:$A$1309,0)),INDEX('SKU明细'!$CI$11:$CI$1309,MATCH("S02-TNP-40",'SKU明细'!$A$11:$A$1309,0)),INDEX('SKU明细'!$CI$11:$CI$1309,MATCH("S02-TNP-41",'SKU明细'!$A$11:$A$1309,0)),INDEX('SKU明细'!$CI$11:$CI$1309,MATCH("S02-TNP-42",'SKU明细'!$A$11:$A$1309,0))),"待核")</x:f>
        <x:v>183.82113489095968</x:v>
      </x:c>
    </x:row>
    <x:row r="21" ht="40" customHeight="1">
      <x:c r="A21" s="35" t="str">
        <x:v>S02</x:v>
      </x:c>
      <x:c r="B21" s="35" t="str">
        <x:v>陈晨</x:v>
      </x:c>
      <x:c r="C21" s="35" t="str">
        <x:v>驼色PU</x:v>
      </x:c>
      <x:c r="D21" s="35" t="str">
        <x:v>TNP1</x:v>
      </x:c>
      <x:c r="E21" s="35" t="str">
        <x:v>S02-TNP1</x:v>
      </x:c>
      <x:c r="F21" s="35"/>
      <x:c r="G21" s="36" t="str">
        <x:f>"—"</x:f>
        <x:v>—</x:v>
      </x:c>
      <x:c r="H21" s="36" t="str">
        <x:f>"—"</x:f>
        <x:v>—</x:v>
      </x:c>
      <x:c r="I21" s="36" t="n">
        <x:f>IF(COUNT(INDEX('SKU明细'!$D$11:$D$1309,MATCH("S02-TNP1-37",'SKU明细'!$A$11:$A$1309,0)))=0,"待核",IF(COUNT(INDEX('SKU明细'!$D$11:$D$1309,MATCH("S02-TNP1-37",'SKU明细'!$A$11:$A$1309,0)))&lt;1,SUM(INDEX('SKU明细'!$D$11:$D$1309,MATCH("S02-TNP1-37",'SKU明细'!$A$11:$A$1309,0)))&amp;" + 待核",SUM(INDEX('SKU明细'!$D$11:$D$1309,MATCH("S02-TNP1-37",'SKU明细'!$A$11:$A$1309,0)))))</x:f>
        <x:v>0</x:v>
      </x:c>
      <x:c r="J21" s="36" t="str">
        <x:f>"—"</x:f>
        <x:v>—</x:v>
      </x:c>
      <x:c r="K21" s="36" t="str">
        <x:f>"—"</x:f>
        <x:v>—</x:v>
      </x:c>
      <x:c r="L21" s="36" t="str">
        <x:f>"—"</x:f>
        <x:v>—</x:v>
      </x:c>
      <x:c r="M21" s="36" t="str">
        <x:f>"—"</x:f>
        <x:v>—</x:v>
      </x:c>
      <x:c r="N21" s="36" t="str">
        <x:f>"—"</x:f>
        <x:v>—</x:v>
      </x:c>
      <x:c r="O21" s="36" t="n">
        <x:f>IF(COUNT(INDEX('SKU明细'!$D$11:$D$1309,MATCH("S02-TNP1-41",'SKU明细'!$A$11:$A$1309,0)))=0,"待核",IF(COUNT(INDEX('SKU明细'!$D$11:$D$1309,MATCH("S02-TNP1-41",'SKU明细'!$A$11:$A$1309,0)))&lt;1,SUM(INDEX('SKU明细'!$D$11:$D$1309,MATCH("S02-TNP1-41",'SKU明细'!$A$11:$A$1309,0)))&amp;" + 待核",SUM(INDEX('SKU明细'!$D$11:$D$1309,MATCH("S02-TNP1-41",'SKU明细'!$A$11:$A$1309,0)))))</x:f>
        <x:v>0</x:v>
      </x:c>
      <x:c r="P21" s="36" t="str">
        <x:f>"—"</x:f>
        <x:v>—</x:v>
      </x:c>
      <x:c r="Q21" s="36" t="str">
        <x:f>"—"</x:f>
        <x:v>—</x:v>
      </x:c>
      <x:c r="R21" s="36" t="str">
        <x:f>"—"</x:f>
        <x:v>—</x:v>
      </x:c>
      <x:c r="S21" s="36" t="n">
        <x:f>IF(COUNT(INDEX('SKU明细'!$D$11:$D$1309,MATCH("S02-TNP1-37",'SKU明细'!$A$11:$A$1309,0)),INDEX('SKU明细'!$D$11:$D$1309,MATCH("S02-TNP1-41",'SKU明细'!$A$11:$A$1309,0)))=0,"待核",SUM(INDEX('SKU明细'!$D$11:$D$1309,MATCH("S02-TNP1-37",'SKU明细'!$A$11:$A$1309,0)),INDEX('SKU明细'!$D$11:$D$1309,MATCH("S02-TNP1-41",'SKU明细'!$A$11:$A$1309,0))))</x:f>
        <x:v>0</x:v>
      </x:c>
      <x:c r="T21" s="36" t="n">
        <x:f>IF(COUNTIFS($A$9:$A$191,A21,$U$9:$U$191,"&lt;&gt;待核")=0,"待核",SUMIF($A$9:$A$191,A21,$S$9:$S$191))</x:f>
        <x:v>2598</x:v>
      </x:c>
      <x:c r="U21" s="35" t="str">
        <x:f>IF(COUNT(INDEX('SKU明细'!$D$11:$D$1309,MATCH("S02-TNP1-37",'SKU明细'!$A$11:$A$1309,0)),INDEX('SKU明细'!$D$11:$D$1309,MATCH("S02-TNP1-41",'SKU明细'!$A$11:$A$1309,0)))=0,"待核",IF(COUNT(INDEX('SKU明细'!$D$11:$D$1309,MATCH("S02-TNP1-37",'SKU明细'!$A$11:$A$1309,0)),INDEX('SKU明细'!$D$11:$D$1309,MATCH("S02-TNP1-41",'SKU明细'!$A$11:$A$1309,0)))&lt;2,"另有待核","已核"))</x:f>
        <x:v>已核</x:v>
      </x:c>
      <x:c r="V21" s="35" t="str">
        <x:v>在售</x:v>
      </x:c>
      <x:c r="W21" s="11" t="n">
        <x:f>IF(COUNT(INDEX('SKU明细'!$BV$11:$BV$1309,MATCH("S02-TNP1-37",'SKU明细'!$A$11:$A$1309,0)),INDEX('SKU明细'!$BV$11:$BV$1309,MATCH("S02-TNP1-41",'SKU明细'!$A$11:$A$1309,0)))=2,SUM(INDEX('SKU明细'!$BV$11:$BV$1309,MATCH("S02-TNP1-37",'SKU明细'!$A$11:$A$1309,0)),INDEX('SKU明细'!$BV$11:$BV$1309,MATCH("S02-TNP1-41",'SKU明细'!$A$11:$A$1309,0))),"待核")</x:f>
        <x:v>0.5800415968159143</x:v>
      </x:c>
      <x:c r="X21" s="11" t="n">
        <x:f>INDEX('SKU明细'!$BW$11:$BW$1309,MATCH("S02-TNP1-37",'SKU明细'!$A$11:$A$1309,0))</x:f>
        <x:v>0.9634503791704667</x:v>
      </x:c>
      <x:c r="Y21" s="13" t="n">
        <x:f>IF(COUNT(INDEX('SKU明细'!$BY$11:$BY$1309,MATCH("S02-TNP1-37",'SKU明细'!$A$11:$A$1309,0)),INDEX('SKU明细'!$BY$11:$BY$1309,MATCH("S02-TNP1-41",'SKU明细'!$A$11:$A$1309,0)))=2,SUM(INDEX('SKU明细'!$BY$11:$BY$1309,MATCH("S02-TNP1-37",'SKU明细'!$A$11:$A$1309,0)),INDEX('SKU明细'!$BY$11:$BY$1309,MATCH("S02-TNP1-41",'SKU明细'!$A$11:$A$1309,0))),"待核")</x:f>
        <x:v>6.706095556643227</x:v>
      </x:c>
      <x:c r="Z21" s="11" t="n">
        <x:f>INDEX('SKU明细'!$BZ$11:$BZ$1309,MATCH("S02-TNP1-37",'SKU明细'!$A$11:$A$1309,0))</x:f>
        <x:v>0.8585031562320637</x:v>
      </x:c>
      <x:c r="AA21" s="13" t="n">
        <x:f>IF(COUNT(INDEX('SKU明细'!$CB$11:$CB$1309,MATCH("S02-TNP1-37",'SKU明细'!$A$11:$A$1309,0)),INDEX('SKU明细'!$CB$11:$CB$1309,MATCH("S02-TNP1-41",'SKU明细'!$A$11:$A$1309,0)))=2,SUM(INDEX('SKU明细'!$CB$11:$CB$1309,MATCH("S02-TNP1-37",'SKU明细'!$A$11:$A$1309,0)),INDEX('SKU明细'!$CB$11:$CB$1309,MATCH("S02-TNP1-41",'SKU明细'!$A$11:$A$1309,0))),"待核")</x:f>
        <x:v>14.939026248370457</x:v>
      </x:c>
      <x:c r="AB21" s="11" t="n">
        <x:f>INDEX('SKU明细'!$CC$11:$CC$1309,MATCH("S02-TNP1-37",'SKU明细'!$A$11:$A$1309,0))</x:f>
        <x:v>0.7896606554092485</x:v>
      </x:c>
      <x:c r="AC21" s="13" t="n">
        <x:f>IF(COUNT(INDEX('SKU明细'!$CE$11:$CE$1309,MATCH("S02-TNP1-37",'SKU明细'!$A$11:$A$1309,0)),INDEX('SKU明细'!$CE$11:$CE$1309,MATCH("S02-TNP1-41",'SKU明细'!$A$11:$A$1309,0)))=2,SUM(INDEX('SKU明细'!$CE$11:$CE$1309,MATCH("S02-TNP1-37",'SKU明细'!$A$11:$A$1309,0)),INDEX('SKU明细'!$CE$11:$CE$1309,MATCH("S02-TNP1-41",'SKU明细'!$A$11:$A$1309,0))),"待核")</x:f>
        <x:v>14.199116852694738</x:v>
      </x:c>
      <x:c r="AD21" s="11" t="n">
        <x:f>INDEX('SKU明细'!$CF$11:$CF$1309,MATCH("S02-TNP1-37",'SKU明细'!$A$11:$A$1309,0))</x:f>
        <x:v>1.0030167116538329</x:v>
      </x:c>
      <x:c r="AE21" s="13" t="n">
        <x:f>IF(COUNT(INDEX('SKU明细'!$CH$11:$CH$1309,MATCH("S02-TNP1-37",'SKU明细'!$A$11:$A$1309,0)),INDEX('SKU明细'!$CH$11:$CH$1309,MATCH("S02-TNP1-41",'SKU明细'!$A$11:$A$1309,0)))=2,SUM(INDEX('SKU明细'!$CH$11:$CH$1309,MATCH("S02-TNP1-37",'SKU明细'!$A$11:$A$1309,0)),INDEX('SKU明细'!$CH$11:$CH$1309,MATCH("S02-TNP1-41",'SKU明细'!$A$11:$A$1309,0))),"待核")</x:f>
        <x:v>9.890454056032524</x:v>
      </x:c>
      <x:c r="AF21" s="13" t="n">
        <x:f>IF(COUNT(INDEX('SKU明细'!$CI$11:$CI$1309,MATCH("S02-TNP1-37",'SKU明细'!$A$11:$A$1309,0)),INDEX('SKU明细'!$CI$11:$CI$1309,MATCH("S02-TNP1-41",'SKU明细'!$A$11:$A$1309,0)))=2,SUM(INDEX('SKU明细'!$CI$11:$CI$1309,MATCH("S02-TNP1-37",'SKU明细'!$A$11:$A$1309,0)),INDEX('SKU明细'!$CI$11:$CI$1309,MATCH("S02-TNP1-41",'SKU明细'!$A$11:$A$1309,0))),"待核")</x:f>
        <x:v>45.73469271374094</x:v>
      </x:c>
    </x:row>
    <x:row r="22" ht="40" customHeight="1">
      <x:c r="A22" s="37" t="str">
        <x:v>2302153</x:v>
      </x:c>
      <x:c r="B22" s="37" t="str">
        <x:v>徐新怡</x:v>
      </x:c>
      <x:c r="C22" s="37" t="str">
        <x:v>米白</x:v>
      </x:c>
      <x:c r="D22" s="37" t="str">
        <x:v>BG-P</x:v>
      </x:c>
      <x:c r="E22" s="37" t="str">
        <x:v>2302153-BG-P-Z</x:v>
      </x:c>
      <x:c r="F22" s="37"/>
      <x:c r="G22" s="38" t="str">
        <x:f>"—"</x:f>
        <x:v>—</x:v>
      </x:c>
      <x:c r="H22" s="38" t="n">
        <x:f>IF(COUNT(INDEX('SKU明细'!$D$11:$D$1309,MATCH("2302153-BG-P-Z-37",'SKU明细'!$A$11:$A$1309,0)))=0,"待核",IF(COUNT(INDEX('SKU明细'!$D$11:$D$1309,MATCH("2302153-BG-P-Z-37",'SKU明细'!$A$11:$A$1309,0)))&lt;1,SUM(INDEX('SKU明细'!$D$11:$D$1309,MATCH("2302153-BG-P-Z-37",'SKU明细'!$A$11:$A$1309,0)))&amp;" + 待核",SUM(INDEX('SKU明细'!$D$11:$D$1309,MATCH("2302153-BG-P-Z-37",'SKU明细'!$A$11:$A$1309,0)))))</x:f>
        <x:v>11</x:v>
      </x:c>
      <x:c r="I22" s="38" t="n">
        <x:f>IF(COUNT(INDEX('SKU明细'!$D$11:$D$1309,MATCH("2302153-BG-P-Z-37.5",'SKU明细'!$A$11:$A$1309,0)))=0,"待核",IF(COUNT(INDEX('SKU明细'!$D$11:$D$1309,MATCH("2302153-BG-P-Z-37.5",'SKU明细'!$A$11:$A$1309,0)))&lt;1,SUM(INDEX('SKU明细'!$D$11:$D$1309,MATCH("2302153-BG-P-Z-37.5",'SKU明细'!$A$11:$A$1309,0)))&amp;" + 待核",SUM(INDEX('SKU明细'!$D$11:$D$1309,MATCH("2302153-BG-P-Z-37.5",'SKU明细'!$A$11:$A$1309,0)))))</x:f>
        <x:v>20</x:v>
      </x:c>
      <x:c r="J22" s="38" t="n">
        <x:f>IF(COUNT(INDEX('SKU明细'!$D$11:$D$1309,MATCH("2302153-BG-P-Z-38",'SKU明细'!$A$11:$A$1309,0)))=0,"待核",IF(COUNT(INDEX('SKU明细'!$D$11:$D$1309,MATCH("2302153-BG-P-Z-38",'SKU明细'!$A$11:$A$1309,0)))&lt;1,SUM(INDEX('SKU明细'!$D$11:$D$1309,MATCH("2302153-BG-P-Z-38",'SKU明细'!$A$11:$A$1309,0)))&amp;" + 待核",SUM(INDEX('SKU明细'!$D$11:$D$1309,MATCH("2302153-BG-P-Z-38",'SKU明细'!$A$11:$A$1309,0)))))</x:f>
        <x:v>23</x:v>
      </x:c>
      <x:c r="K22" s="38" t="n">
        <x:f>IF(COUNT(INDEX('SKU明细'!$D$11:$D$1309,MATCH("2302153-BG-P-Z-38.5",'SKU明细'!$A$11:$A$1309,0)))=0,"待核",IF(COUNT(INDEX('SKU明细'!$D$11:$D$1309,MATCH("2302153-BG-P-Z-38.5",'SKU明细'!$A$11:$A$1309,0)))&lt;1,SUM(INDEX('SKU明细'!$D$11:$D$1309,MATCH("2302153-BG-P-Z-38.5",'SKU明细'!$A$11:$A$1309,0)))&amp;" + 待核",SUM(INDEX('SKU明细'!$D$11:$D$1309,MATCH("2302153-BG-P-Z-38.5",'SKU明细'!$A$11:$A$1309,0)))))</x:f>
        <x:v>19</x:v>
      </x:c>
      <x:c r="L22" s="38" t="n">
        <x:f>IF(COUNT(INDEX('SKU明细'!$D$11:$D$1309,MATCH("2302153-BG-P-Z-39",'SKU明细'!$A$11:$A$1309,0)))=0,"待核",IF(COUNT(INDEX('SKU明细'!$D$11:$D$1309,MATCH("2302153-BG-P-Z-39",'SKU明细'!$A$11:$A$1309,0)))&lt;1,SUM(INDEX('SKU明细'!$D$11:$D$1309,MATCH("2302153-BG-P-Z-39",'SKU明细'!$A$11:$A$1309,0)))&amp;" + 待核",SUM(INDEX('SKU明细'!$D$11:$D$1309,MATCH("2302153-BG-P-Z-39",'SKU明细'!$A$11:$A$1309,0)))))</x:f>
        <x:v>16</x:v>
      </x:c>
      <x:c r="M22" s="38" t="n">
        <x:f>IF(COUNT(INDEX('SKU明细'!$D$11:$D$1309,MATCH("2302153-BG-P-Z-39.5",'SKU明细'!$A$11:$A$1309,0)))=0,"待核",IF(COUNT(INDEX('SKU明细'!$D$11:$D$1309,MATCH("2302153-BG-P-Z-39.5",'SKU明细'!$A$11:$A$1309,0)))&lt;1,SUM(INDEX('SKU明细'!$D$11:$D$1309,MATCH("2302153-BG-P-Z-39.5",'SKU明细'!$A$11:$A$1309,0)))&amp;" + 待核",SUM(INDEX('SKU明细'!$D$11:$D$1309,MATCH("2302153-BG-P-Z-39.5",'SKU明细'!$A$11:$A$1309,0)))))</x:f>
        <x:v>24</x:v>
      </x:c>
      <x:c r="N22" s="38" t="n">
        <x:f>IF(COUNT(INDEX('SKU明细'!$D$11:$D$1309,MATCH("2302153-BG-P-Z-40",'SKU明细'!$A$11:$A$1309,0)))=0,"待核",IF(COUNT(INDEX('SKU明细'!$D$11:$D$1309,MATCH("2302153-BG-P-Z-40",'SKU明细'!$A$11:$A$1309,0)))&lt;1,SUM(INDEX('SKU明细'!$D$11:$D$1309,MATCH("2302153-BG-P-Z-40",'SKU明细'!$A$11:$A$1309,0)))&amp;" + 待核",SUM(INDEX('SKU明细'!$D$11:$D$1309,MATCH("2302153-BG-P-Z-40",'SKU明细'!$A$11:$A$1309,0)))))</x:f>
        <x:v>38</x:v>
      </x:c>
      <x:c r="O22" s="38" t="n">
        <x:f>IF(COUNT(INDEX('SKU明细'!$D$11:$D$1309,MATCH("2302153-BG-P-Z-40.5",'SKU明细'!$A$11:$A$1309,0)))=0,"待核",IF(COUNT(INDEX('SKU明细'!$D$11:$D$1309,MATCH("2302153-BG-P-Z-40.5",'SKU明细'!$A$11:$A$1309,0)))&lt;1,SUM(INDEX('SKU明细'!$D$11:$D$1309,MATCH("2302153-BG-P-Z-40.5",'SKU明细'!$A$11:$A$1309,0)))&amp;" + 待核",SUM(INDEX('SKU明细'!$D$11:$D$1309,MATCH("2302153-BG-P-Z-40.5",'SKU明细'!$A$11:$A$1309,0)))))</x:f>
        <x:v>20</x:v>
      </x:c>
      <x:c r="P22" s="38" t="n">
        <x:f>IF(COUNT(INDEX('SKU明细'!$D$11:$D$1309,MATCH("2302153-BG-P-Z-41",'SKU明细'!$A$11:$A$1309,0)))=0,"待核",IF(COUNT(INDEX('SKU明细'!$D$11:$D$1309,MATCH("2302153-BG-P-Z-41",'SKU明细'!$A$11:$A$1309,0)))&lt;1,SUM(INDEX('SKU明细'!$D$11:$D$1309,MATCH("2302153-BG-P-Z-41",'SKU明细'!$A$11:$A$1309,0)))&amp;" + 待核",SUM(INDEX('SKU明细'!$D$11:$D$1309,MATCH("2302153-BG-P-Z-41",'SKU明细'!$A$11:$A$1309,0)))))</x:f>
        <x:v>19</x:v>
      </x:c>
      <x:c r="Q22" s="38" t="str">
        <x:f>"—"</x:f>
        <x:v>—</x:v>
      </x:c>
      <x:c r="R22" s="38" t="n">
        <x:f>IF(COUNT(INDEX('SKU明细'!$D$11:$D$1309,MATCH("2302153-BG-P-Z-42",'SKU明细'!$A$11:$A$1309,0)))=0,"待核",IF(COUNT(INDEX('SKU明细'!$D$11:$D$1309,MATCH("2302153-BG-P-Z-42",'SKU明细'!$A$11:$A$1309,0)))&lt;1,SUM(INDEX('SKU明细'!$D$11:$D$1309,MATCH("2302153-BG-P-Z-42",'SKU明细'!$A$11:$A$1309,0)))&amp;" + 待核",SUM(INDEX('SKU明细'!$D$11:$D$1309,MATCH("2302153-BG-P-Z-42",'SKU明细'!$A$11:$A$1309,0)))))</x:f>
        <x:v>0</x:v>
      </x:c>
      <x:c r="S22" s="38" t="n">
        <x:f>IF(COUNT(INDEX('SKU明细'!$D$11:$D$1309,MATCH("2302153-BG-P-Z-37",'SKU明细'!$A$11:$A$1309,0)),INDEX('SKU明细'!$D$11:$D$1309,MATCH("2302153-BG-P-Z-37.5",'SKU明细'!$A$11:$A$1309,0)),INDEX('SKU明细'!$D$11:$D$1309,MATCH("2302153-BG-P-Z-38",'SKU明细'!$A$11:$A$1309,0)),INDEX('SKU明细'!$D$11:$D$1309,MATCH("2302153-BG-P-Z-38.5",'SKU明细'!$A$11:$A$1309,0)),INDEX('SKU明细'!$D$11:$D$1309,MATCH("2302153-BG-P-Z-39",'SKU明细'!$A$11:$A$1309,0)),INDEX('SKU明细'!$D$11:$D$1309,MATCH("2302153-BG-P-Z-39.5",'SKU明细'!$A$11:$A$1309,0)),INDEX('SKU明细'!$D$11:$D$1309,MATCH("2302153-BG-P-Z-40",'SKU明细'!$A$11:$A$1309,0)),INDEX('SKU明细'!$D$11:$D$1309,MATCH("2302153-BG-P-Z-40.5",'SKU明细'!$A$11:$A$1309,0)),INDEX('SKU明细'!$D$11:$D$1309,MATCH("2302153-BG-P-Z-41",'SKU明细'!$A$11:$A$1309,0)),INDEX('SKU明细'!$D$11:$D$1309,MATCH("2302153-BG-P-Z-42",'SKU明细'!$A$11:$A$1309,0)))=0,"待核",SUM(INDEX('SKU明细'!$D$11:$D$1309,MATCH("2302153-BG-P-Z-37",'SKU明细'!$A$11:$A$1309,0)),INDEX('SKU明细'!$D$11:$D$1309,MATCH("2302153-BG-P-Z-37.5",'SKU明细'!$A$11:$A$1309,0)),INDEX('SKU明细'!$D$11:$D$1309,MATCH("2302153-BG-P-Z-38",'SKU明细'!$A$11:$A$1309,0)),INDEX('SKU明细'!$D$11:$D$1309,MATCH("2302153-BG-P-Z-38.5",'SKU明细'!$A$11:$A$1309,0)),INDEX('SKU明细'!$D$11:$D$1309,MATCH("2302153-BG-P-Z-39",'SKU明细'!$A$11:$A$1309,0)),INDEX('SKU明细'!$D$11:$D$1309,MATCH("2302153-BG-P-Z-39.5",'SKU明细'!$A$11:$A$1309,0)),INDEX('SKU明细'!$D$11:$D$1309,MATCH("2302153-BG-P-Z-40",'SKU明细'!$A$11:$A$1309,0)),INDEX('SKU明细'!$D$11:$D$1309,MATCH("2302153-BG-P-Z-40.5",'SKU明细'!$A$11:$A$1309,0)),INDEX('SKU明细'!$D$11:$D$1309,MATCH("2302153-BG-P-Z-41",'SKU明细'!$A$11:$A$1309,0)),INDEX('SKU明细'!$D$11:$D$1309,MATCH("2302153-BG-P-Z-42",'SKU明细'!$A$11:$A$1309,0))))</x:f>
        <x:v>190</x:v>
      </x:c>
      <x:c r="T22" s="38" t="n">
        <x:f>IF(COUNTIFS($A$9:$A$191,A22,$U$9:$U$191,"&lt;&gt;待核")=0,"待核",SUMIF($A$9:$A$191,A22,$S$9:$S$191))</x:f>
        <x:v>945</x:v>
      </x:c>
      <x:c r="U22" s="37" t="str">
        <x:f>IF(COUNT(INDEX('SKU明细'!$D$11:$D$1309,MATCH("2302153-BG-P-Z-37",'SKU明细'!$A$11:$A$1309,0)),INDEX('SKU明细'!$D$11:$D$1309,MATCH("2302153-BG-P-Z-37.5",'SKU明细'!$A$11:$A$1309,0)),INDEX('SKU明细'!$D$11:$D$1309,MATCH("2302153-BG-P-Z-38",'SKU明细'!$A$11:$A$1309,0)),INDEX('SKU明细'!$D$11:$D$1309,MATCH("2302153-BG-P-Z-38.5",'SKU明细'!$A$11:$A$1309,0)),INDEX('SKU明细'!$D$11:$D$1309,MATCH("2302153-BG-P-Z-39",'SKU明细'!$A$11:$A$1309,0)),INDEX('SKU明细'!$D$11:$D$1309,MATCH("2302153-BG-P-Z-39.5",'SKU明细'!$A$11:$A$1309,0)),INDEX('SKU明细'!$D$11:$D$1309,MATCH("2302153-BG-P-Z-40",'SKU明细'!$A$11:$A$1309,0)),INDEX('SKU明细'!$D$11:$D$1309,MATCH("2302153-BG-P-Z-40.5",'SKU明细'!$A$11:$A$1309,0)),INDEX('SKU明细'!$D$11:$D$1309,MATCH("2302153-BG-P-Z-41",'SKU明细'!$A$11:$A$1309,0)),INDEX('SKU明细'!$D$11:$D$1309,MATCH("2302153-BG-P-Z-42",'SKU明细'!$A$11:$A$1309,0)))=0,"待核",IF(COUNT(INDEX('SKU明细'!$D$11:$D$1309,MATCH("2302153-BG-P-Z-37",'SKU明细'!$A$11:$A$1309,0)),INDEX('SKU明细'!$D$11:$D$1309,MATCH("2302153-BG-P-Z-37.5",'SKU明细'!$A$11:$A$1309,0)),INDEX('SKU明细'!$D$11:$D$1309,MATCH("2302153-BG-P-Z-38",'SKU明细'!$A$11:$A$1309,0)),INDEX('SKU明细'!$D$11:$D$1309,MATCH("2302153-BG-P-Z-38.5",'SKU明细'!$A$11:$A$1309,0)),INDEX('SKU明细'!$D$11:$D$1309,MATCH("2302153-BG-P-Z-39",'SKU明细'!$A$11:$A$1309,0)),INDEX('SKU明细'!$D$11:$D$1309,MATCH("2302153-BG-P-Z-39.5",'SKU明细'!$A$11:$A$1309,0)),INDEX('SKU明细'!$D$11:$D$1309,MATCH("2302153-BG-P-Z-40",'SKU明细'!$A$11:$A$1309,0)),INDEX('SKU明细'!$D$11:$D$1309,MATCH("2302153-BG-P-Z-40.5",'SKU明细'!$A$11:$A$1309,0)),INDEX('SKU明细'!$D$11:$D$1309,MATCH("2302153-BG-P-Z-41",'SKU明细'!$A$11:$A$1309,0)),INDEX('SKU明细'!$D$11:$D$1309,MATCH("2302153-BG-P-Z-42",'SKU明细'!$A$11:$A$1309,0)))&lt;10,"另有待核","已核"))</x:f>
        <x:v>已核</x:v>
      </x:c>
      <x:c r="V22" s="37" t="str">
        <x:v>在售、停售</x:v>
      </x:c>
      <x:c r="W22" s="11" t="n">
        <x:f>IF(COUNT(INDEX('SKU明细'!$BV$11:$BV$1309,MATCH("2302153-BG-P-Z-37",'SKU明细'!$A$11:$A$1309,0)),INDEX('SKU明细'!$BV$11:$BV$1309,MATCH("2302153-BG-P-Z-37.5",'SKU明细'!$A$11:$A$1309,0)),INDEX('SKU明细'!$BV$11:$BV$1309,MATCH("2302153-BG-P-Z-38",'SKU明细'!$A$11:$A$1309,0)),INDEX('SKU明细'!$BV$11:$BV$1309,MATCH("2302153-BG-P-Z-38.5",'SKU明细'!$A$11:$A$1309,0)),INDEX('SKU明细'!$BV$11:$BV$1309,MATCH("2302153-BG-P-Z-39",'SKU明细'!$A$11:$A$1309,0)),INDEX('SKU明细'!$BV$11:$BV$1309,MATCH("2302153-BG-P-Z-39.5",'SKU明细'!$A$11:$A$1309,0)),INDEX('SKU明细'!$BV$11:$BV$1309,MATCH("2302153-BG-P-Z-40",'SKU明细'!$A$11:$A$1309,0)),INDEX('SKU明细'!$BV$11:$BV$1309,MATCH("2302153-BG-P-Z-40.5",'SKU明细'!$A$11:$A$1309,0)),INDEX('SKU明细'!$BV$11:$BV$1309,MATCH("2302153-BG-P-Z-41",'SKU明细'!$A$11:$A$1309,0)),INDEX('SKU明细'!$BV$11:$BV$1309,MATCH("2302153-BG-P-Z-42",'SKU明细'!$A$11:$A$1309,0)))=10,SUM(INDEX('SKU明细'!$BV$11:$BV$1309,MATCH("2302153-BG-P-Z-37",'SKU明细'!$A$11:$A$1309,0)),INDEX('SKU明细'!$BV$11:$BV$1309,MATCH("2302153-BG-P-Z-37.5",'SKU明细'!$A$11:$A$1309,0)),INDEX('SKU明细'!$BV$11:$BV$1309,MATCH("2302153-BG-P-Z-38",'SKU明细'!$A$11:$A$1309,0)),INDEX('SKU明细'!$BV$11:$BV$1309,MATCH("2302153-BG-P-Z-38.5",'SKU明细'!$A$11:$A$1309,0)),INDEX('SKU明细'!$BV$11:$BV$1309,MATCH("2302153-BG-P-Z-39",'SKU明细'!$A$11:$A$1309,0)),INDEX('SKU明细'!$BV$11:$BV$1309,MATCH("2302153-BG-P-Z-39.5",'SKU明细'!$A$11:$A$1309,0)),INDEX('SKU明细'!$BV$11:$BV$1309,MATCH("2302153-BG-P-Z-40",'SKU明细'!$A$11:$A$1309,0)),INDEX('SKU明细'!$BV$11:$BV$1309,MATCH("2302153-BG-P-Z-40.5",'SKU明细'!$A$11:$A$1309,0)),INDEX('SKU明细'!$BV$11:$BV$1309,MATCH("2302153-BG-P-Z-41",'SKU明细'!$A$11:$A$1309,0)),INDEX('SKU明细'!$BV$11:$BV$1309,MATCH("2302153-BG-P-Z-42",'SKU明细'!$A$11:$A$1309,0))),"待核")</x:f>
        <x:v>2.0955365955321814</x:v>
      </x:c>
      <x:c r="X22" s="11" t="n">
        <x:f>INDEX('SKU明细'!$BW$11:$BW$1309,MATCH("2302153-BG-P-Z-37",'SKU明细'!$A$11:$A$1309,0))</x:f>
        <x:v>1.7391279184229513</x:v>
      </x:c>
      <x:c r="Y22" s="13" t="n">
        <x:f>IF(COUNT(INDEX('SKU明细'!$BY$11:$BY$1309,MATCH("2302153-BG-P-Z-37",'SKU明细'!$A$11:$A$1309,0)),INDEX('SKU明细'!$BY$11:$BY$1309,MATCH("2302153-BG-P-Z-37.5",'SKU明细'!$A$11:$A$1309,0)),INDEX('SKU明细'!$BY$11:$BY$1309,MATCH("2302153-BG-P-Z-38",'SKU明细'!$A$11:$A$1309,0)),INDEX('SKU明细'!$BY$11:$BY$1309,MATCH("2302153-BG-P-Z-38.5",'SKU明细'!$A$11:$A$1309,0)),INDEX('SKU明细'!$BY$11:$BY$1309,MATCH("2302153-BG-P-Z-39",'SKU明细'!$A$11:$A$1309,0)),INDEX('SKU明细'!$BY$11:$BY$1309,MATCH("2302153-BG-P-Z-39.5",'SKU明细'!$A$11:$A$1309,0)),INDEX('SKU明细'!$BY$11:$BY$1309,MATCH("2302153-BG-P-Z-40",'SKU明细'!$A$11:$A$1309,0)),INDEX('SKU明细'!$BY$11:$BY$1309,MATCH("2302153-BG-P-Z-40.5",'SKU明细'!$A$11:$A$1309,0)),INDEX('SKU明细'!$BY$11:$BY$1309,MATCH("2302153-BG-P-Z-41",'SKU明细'!$A$11:$A$1309,0)),INDEX('SKU明细'!$BY$11:$BY$1309,MATCH("2302153-BG-P-Z-42",'SKU明细'!$A$11:$A$1309,0)))=10,SUM(INDEX('SKU明细'!$BY$11:$BY$1309,MATCH("2302153-BG-P-Z-37",'SKU明细'!$A$11:$A$1309,0)),INDEX('SKU明细'!$BY$11:$BY$1309,MATCH("2302153-BG-P-Z-37.5",'SKU明细'!$A$11:$A$1309,0)),INDEX('SKU明细'!$BY$11:$BY$1309,MATCH("2302153-BG-P-Z-38",'SKU明细'!$A$11:$A$1309,0)),INDEX('SKU明细'!$BY$11:$BY$1309,MATCH("2302153-BG-P-Z-38.5",'SKU明细'!$A$11:$A$1309,0)),INDEX('SKU明细'!$BY$11:$BY$1309,MATCH("2302153-BG-P-Z-39",'SKU明细'!$A$11:$A$1309,0)),INDEX('SKU明细'!$BY$11:$BY$1309,MATCH("2302153-BG-P-Z-39.5",'SKU明细'!$A$11:$A$1309,0)),INDEX('SKU明细'!$BY$11:$BY$1309,MATCH("2302153-BG-P-Z-40",'SKU明细'!$A$11:$A$1309,0)),INDEX('SKU明细'!$BY$11:$BY$1309,MATCH("2302153-BG-P-Z-40.5",'SKU明细'!$A$11:$A$1309,0)),INDEX('SKU明细'!$BY$11:$BY$1309,MATCH("2302153-BG-P-Z-41",'SKU明细'!$A$11:$A$1309,0)),INDEX('SKU明细'!$BY$11:$BY$1309,MATCH("2302153-BG-P-Z-42",'SKU明细'!$A$11:$A$1309,0))),"待核")</x:f>
        <x:v>43.73287436840401</x:v>
      </x:c>
      <x:c r="Z22" s="11" t="n">
        <x:f>INDEX('SKU明细'!$BZ$11:$BZ$1309,MATCH("2302153-BG-P-Z-37",'SKU明细'!$A$11:$A$1309,0))</x:f>
        <x:v>1.4002077845513243</x:v>
      </x:c>
      <x:c r="AA22" s="13" t="n">
        <x:f>IF(COUNT(INDEX('SKU明细'!$CB$11:$CB$1309,MATCH("2302153-BG-P-Z-37",'SKU明细'!$A$11:$A$1309,0)),INDEX('SKU明细'!$CB$11:$CB$1309,MATCH("2302153-BG-P-Z-37.5",'SKU明细'!$A$11:$A$1309,0)),INDEX('SKU明细'!$CB$11:$CB$1309,MATCH("2302153-BG-P-Z-38",'SKU明细'!$A$11:$A$1309,0)),INDEX('SKU明细'!$CB$11:$CB$1309,MATCH("2302153-BG-P-Z-38.5",'SKU明细'!$A$11:$A$1309,0)),INDEX('SKU明细'!$CB$11:$CB$1309,MATCH("2302153-BG-P-Z-39",'SKU明细'!$A$11:$A$1309,0)),INDEX('SKU明细'!$CB$11:$CB$1309,MATCH("2302153-BG-P-Z-39.5",'SKU明细'!$A$11:$A$1309,0)),INDEX('SKU明细'!$CB$11:$CB$1309,MATCH("2302153-BG-P-Z-40",'SKU明细'!$A$11:$A$1309,0)),INDEX('SKU明细'!$CB$11:$CB$1309,MATCH("2302153-BG-P-Z-40.5",'SKU明细'!$A$11:$A$1309,0)),INDEX('SKU明细'!$CB$11:$CB$1309,MATCH("2302153-BG-P-Z-41",'SKU明细'!$A$11:$A$1309,0)),INDEX('SKU明细'!$CB$11:$CB$1309,MATCH("2302153-BG-P-Z-42",'SKU明细'!$A$11:$A$1309,0)))=10,SUM(INDEX('SKU明细'!$CB$11:$CB$1309,MATCH("2302153-BG-P-Z-37",'SKU明细'!$A$11:$A$1309,0)),INDEX('SKU明细'!$CB$11:$CB$1309,MATCH("2302153-BG-P-Z-37.5",'SKU明细'!$A$11:$A$1309,0)),INDEX('SKU明细'!$CB$11:$CB$1309,MATCH("2302153-BG-P-Z-38",'SKU明细'!$A$11:$A$1309,0)),INDEX('SKU明细'!$CB$11:$CB$1309,MATCH("2302153-BG-P-Z-38.5",'SKU明细'!$A$11:$A$1309,0)),INDEX('SKU明细'!$CB$11:$CB$1309,MATCH("2302153-BG-P-Z-39",'SKU明细'!$A$11:$A$1309,0)),INDEX('SKU明细'!$CB$11:$CB$1309,MATCH("2302153-BG-P-Z-39.5",'SKU明细'!$A$11:$A$1309,0)),INDEX('SKU明细'!$CB$11:$CB$1309,MATCH("2302153-BG-P-Z-40",'SKU明细'!$A$11:$A$1309,0)),INDEX('SKU明细'!$CB$11:$CB$1309,MATCH("2302153-BG-P-Z-40.5",'SKU明细'!$A$11:$A$1309,0)),INDEX('SKU明细'!$CB$11:$CB$1309,MATCH("2302153-BG-P-Z-41",'SKU明细'!$A$11:$A$1309,0)),INDEX('SKU明细'!$CB$11:$CB$1309,MATCH("2302153-BG-P-Z-42",'SKU明细'!$A$11:$A$1309,0))),"待核")</x:f>
        <x:v>88.02559961629021</x:v>
      </x:c>
      <x:c r="AB22" s="11" t="n">
        <x:f>INDEX('SKU明细'!$CC$11:$CC$1309,MATCH("2302153-BG-P-Z-37",'SKU明细'!$A$11:$A$1309,0))</x:f>
        <x:v>1.079339935625147</x:v>
      </x:c>
      <x:c r="AC22" s="13" t="n">
        <x:f>IF(COUNT(INDEX('SKU明细'!$CE$11:$CE$1309,MATCH("2302153-BG-P-Z-37",'SKU明细'!$A$11:$A$1309,0)),INDEX('SKU明细'!$CE$11:$CE$1309,MATCH("2302153-BG-P-Z-37.5",'SKU明细'!$A$11:$A$1309,0)),INDEX('SKU明细'!$CE$11:$CE$1309,MATCH("2302153-BG-P-Z-38",'SKU明细'!$A$11:$A$1309,0)),INDEX('SKU明细'!$CE$11:$CE$1309,MATCH("2302153-BG-P-Z-38.5",'SKU明细'!$A$11:$A$1309,0)),INDEX('SKU明细'!$CE$11:$CE$1309,MATCH("2302153-BG-P-Z-39",'SKU明细'!$A$11:$A$1309,0)),INDEX('SKU明细'!$CE$11:$CE$1309,MATCH("2302153-BG-P-Z-39.5",'SKU明细'!$A$11:$A$1309,0)),INDEX('SKU明细'!$CE$11:$CE$1309,MATCH("2302153-BG-P-Z-40",'SKU明细'!$A$11:$A$1309,0)),INDEX('SKU明细'!$CE$11:$CE$1309,MATCH("2302153-BG-P-Z-40.5",'SKU明细'!$A$11:$A$1309,0)),INDEX('SKU明细'!$CE$11:$CE$1309,MATCH("2302153-BG-P-Z-41",'SKU明细'!$A$11:$A$1309,0)),INDEX('SKU明细'!$CE$11:$CE$1309,MATCH("2302153-BG-P-Z-42",'SKU明细'!$A$11:$A$1309,0)))=10,SUM(INDEX('SKU明细'!$CE$11:$CE$1309,MATCH("2302153-BG-P-Z-37",'SKU明细'!$A$11:$A$1309,0)),INDEX('SKU明细'!$CE$11:$CE$1309,MATCH("2302153-BG-P-Z-37.5",'SKU明细'!$A$11:$A$1309,0)),INDEX('SKU明细'!$CE$11:$CE$1309,MATCH("2302153-BG-P-Z-38",'SKU明细'!$A$11:$A$1309,0)),INDEX('SKU明细'!$CE$11:$CE$1309,MATCH("2302153-BG-P-Z-38.5",'SKU明细'!$A$11:$A$1309,0)),INDEX('SKU明细'!$CE$11:$CE$1309,MATCH("2302153-BG-P-Z-39",'SKU明细'!$A$11:$A$1309,0)),INDEX('SKU明细'!$CE$11:$CE$1309,MATCH("2302153-BG-P-Z-39.5",'SKU明细'!$A$11:$A$1309,0)),INDEX('SKU明细'!$CE$11:$CE$1309,MATCH("2302153-BG-P-Z-40",'SKU明细'!$A$11:$A$1309,0)),INDEX('SKU明细'!$CE$11:$CE$1309,MATCH("2302153-BG-P-Z-40.5",'SKU明细'!$A$11:$A$1309,0)),INDEX('SKU明细'!$CE$11:$CE$1309,MATCH("2302153-BG-P-Z-41",'SKU明细'!$A$11:$A$1309,0)),INDEX('SKU明细'!$CE$11:$CE$1309,MATCH("2302153-BG-P-Z-42",'SKU明细'!$A$11:$A$1309,0))),"待核")</x:f>
        <x:v>70.11568635777716</x:v>
      </x:c>
      <x:c r="AD22" s="11" t="n">
        <x:f>INDEX('SKU明细'!$CF$11:$CF$1309,MATCH("2302153-BG-P-Z-37",'SKU明细'!$A$11:$A$1309,0))</x:f>
        <x:v>0.7719368903846591</x:v>
      </x:c>
      <x:c r="AE22" s="13" t="n">
        <x:f>IF(COUNT(INDEX('SKU明细'!$CH$11:$CH$1309,MATCH("2302153-BG-P-Z-37",'SKU明细'!$A$11:$A$1309,0)),INDEX('SKU明细'!$CH$11:$CH$1309,MATCH("2302153-BG-P-Z-37.5",'SKU明细'!$A$11:$A$1309,0)),INDEX('SKU明细'!$CH$11:$CH$1309,MATCH("2302153-BG-P-Z-38",'SKU明细'!$A$11:$A$1309,0)),INDEX('SKU明细'!$CH$11:$CH$1309,MATCH("2302153-BG-P-Z-38.5",'SKU明细'!$A$11:$A$1309,0)),INDEX('SKU明细'!$CH$11:$CH$1309,MATCH("2302153-BG-P-Z-39",'SKU明细'!$A$11:$A$1309,0)),INDEX('SKU明细'!$CH$11:$CH$1309,MATCH("2302153-BG-P-Z-39.5",'SKU明细'!$A$11:$A$1309,0)),INDEX('SKU明细'!$CH$11:$CH$1309,MATCH("2302153-BG-P-Z-40",'SKU明细'!$A$11:$A$1309,0)),INDEX('SKU明细'!$CH$11:$CH$1309,MATCH("2302153-BG-P-Z-40.5",'SKU明细'!$A$11:$A$1309,0)),INDEX('SKU明细'!$CH$11:$CH$1309,MATCH("2302153-BG-P-Z-41",'SKU明细'!$A$11:$A$1309,0)),INDEX('SKU明细'!$CH$11:$CH$1309,MATCH("2302153-BG-P-Z-42",'SKU明细'!$A$11:$A$1309,0)))=10,SUM(INDEX('SKU明细'!$CH$11:$CH$1309,MATCH("2302153-BG-P-Z-37",'SKU明细'!$A$11:$A$1309,0)),INDEX('SKU明细'!$CH$11:$CH$1309,MATCH("2302153-BG-P-Z-37.5",'SKU明细'!$A$11:$A$1309,0)),INDEX('SKU明细'!$CH$11:$CH$1309,MATCH("2302153-BG-P-Z-38",'SKU明细'!$A$11:$A$1309,0)),INDEX('SKU明细'!$CH$11:$CH$1309,MATCH("2302153-BG-P-Z-38.5",'SKU明细'!$A$11:$A$1309,0)),INDEX('SKU明细'!$CH$11:$CH$1309,MATCH("2302153-BG-P-Z-39",'SKU明细'!$A$11:$A$1309,0)),INDEX('SKU明细'!$CH$11:$CH$1309,MATCH("2302153-BG-P-Z-39.5",'SKU明细'!$A$11:$A$1309,0)),INDEX('SKU明细'!$CH$11:$CH$1309,MATCH("2302153-BG-P-Z-40",'SKU明细'!$A$11:$A$1309,0)),INDEX('SKU明细'!$CH$11:$CH$1309,MATCH("2302153-BG-P-Z-40.5",'SKU明细'!$A$11:$A$1309,0)),INDEX('SKU明细'!$CH$11:$CH$1309,MATCH("2302153-BG-P-Z-41",'SKU明细'!$A$11:$A$1309,0)),INDEX('SKU明细'!$CH$11:$CH$1309,MATCH("2302153-BG-P-Z-42",'SKU明细'!$A$11:$A$1309,0))),"待核")</x:f>
        <x:v>27.49957405512024</x:v>
      </x:c>
      <x:c r="AF22" s="13" t="n">
        <x:f>IF(COUNT(INDEX('SKU明细'!$CI$11:$CI$1309,MATCH("2302153-BG-P-Z-37",'SKU明细'!$A$11:$A$1309,0)),INDEX('SKU明细'!$CI$11:$CI$1309,MATCH("2302153-BG-P-Z-37.5",'SKU明细'!$A$11:$A$1309,0)),INDEX('SKU明细'!$CI$11:$CI$1309,MATCH("2302153-BG-P-Z-38",'SKU明细'!$A$11:$A$1309,0)),INDEX('SKU明细'!$CI$11:$CI$1309,MATCH("2302153-BG-P-Z-38.5",'SKU明细'!$A$11:$A$1309,0)),INDEX('SKU明细'!$CI$11:$CI$1309,MATCH("2302153-BG-P-Z-39",'SKU明细'!$A$11:$A$1309,0)),INDEX('SKU明细'!$CI$11:$CI$1309,MATCH("2302153-BG-P-Z-39.5",'SKU明细'!$A$11:$A$1309,0)),INDEX('SKU明细'!$CI$11:$CI$1309,MATCH("2302153-BG-P-Z-40",'SKU明细'!$A$11:$A$1309,0)),INDEX('SKU明细'!$CI$11:$CI$1309,MATCH("2302153-BG-P-Z-40.5",'SKU明细'!$A$11:$A$1309,0)),INDEX('SKU明细'!$CI$11:$CI$1309,MATCH("2302153-BG-P-Z-41",'SKU明细'!$A$11:$A$1309,0)),INDEX('SKU明细'!$CI$11:$CI$1309,MATCH("2302153-BG-P-Z-42",'SKU明细'!$A$11:$A$1309,0)))=10,SUM(INDEX('SKU明细'!$CI$11:$CI$1309,MATCH("2302153-BG-P-Z-37",'SKU明细'!$A$11:$A$1309,0)),INDEX('SKU明细'!$CI$11:$CI$1309,MATCH("2302153-BG-P-Z-37.5",'SKU明细'!$A$11:$A$1309,0)),INDEX('SKU明细'!$CI$11:$CI$1309,MATCH("2302153-BG-P-Z-38",'SKU明细'!$A$11:$A$1309,0)),INDEX('SKU明细'!$CI$11:$CI$1309,MATCH("2302153-BG-P-Z-38.5",'SKU明细'!$A$11:$A$1309,0)),INDEX('SKU明细'!$CI$11:$CI$1309,MATCH("2302153-BG-P-Z-39",'SKU明细'!$A$11:$A$1309,0)),INDEX('SKU明细'!$CI$11:$CI$1309,MATCH("2302153-BG-P-Z-39.5",'SKU明细'!$A$11:$A$1309,0)),INDEX('SKU明细'!$CI$11:$CI$1309,MATCH("2302153-BG-P-Z-40",'SKU明细'!$A$11:$A$1309,0)),INDEX('SKU明细'!$CI$11:$CI$1309,MATCH("2302153-BG-P-Z-40.5",'SKU明细'!$A$11:$A$1309,0)),INDEX('SKU明细'!$CI$11:$CI$1309,MATCH("2302153-BG-P-Z-41",'SKU明细'!$A$11:$A$1309,0)),INDEX('SKU明细'!$CI$11:$CI$1309,MATCH("2302153-BG-P-Z-42",'SKU明细'!$A$11:$A$1309,0))),"待核")</x:f>
        <x:v>229.37373439759162</x:v>
      </x:c>
    </x:row>
    <x:row r="23" ht="40" customHeight="1">
      <x:c r="A23" s="37" t="str">
        <x:v>2302153</x:v>
      </x:c>
      <x:c r="B23" s="37" t="str">
        <x:v>徐新怡</x:v>
      </x:c>
      <x:c r="C23" s="37" t="str">
        <x:v>黑色</x:v>
      </x:c>
      <x:c r="D23" s="37" t="str">
        <x:v>BK-P</x:v>
      </x:c>
      <x:c r="E23" s="37" t="str">
        <x:v>2302153-BK-P-Z</x:v>
      </x:c>
      <x:c r="F23" s="37"/>
      <x:c r="G23" s="38" t="str">
        <x:f>"—"</x:f>
        <x:v>—</x:v>
      </x:c>
      <x:c r="H23" s="38" t="n">
        <x:f>IF(COUNT(INDEX('SKU明细'!$D$11:$D$1309,MATCH("2302153-BK-P-Z-6",'SKU明细'!$A$11:$A$1309,0)))=0,"待核",IF(COUNT(INDEX('SKU明细'!$D$11:$D$1309,MATCH("2302153-BK-P-Z-6",'SKU明细'!$A$11:$A$1309,0)))&lt;1,SUM(INDEX('SKU明细'!$D$11:$D$1309,MATCH("2302153-BK-P-Z-6",'SKU明细'!$A$11:$A$1309,0)))&amp;" + 待核",SUM(INDEX('SKU明细'!$D$11:$D$1309,MATCH("2302153-BK-P-Z-6",'SKU明细'!$A$11:$A$1309,0)))))</x:f>
        <x:v>0</x:v>
      </x:c>
      <x:c r="I23" s="38" t="n">
        <x:f>IF(COUNT(INDEX('SKU明细'!$D$11:$D$1309,MATCH("2302153-BK-P-Z-6.5",'SKU明细'!$A$11:$A$1309,0)))=0,"待核",IF(COUNT(INDEX('SKU明细'!$D$11:$D$1309,MATCH("2302153-BK-P-Z-6.5",'SKU明细'!$A$11:$A$1309,0)))&lt;1,SUM(INDEX('SKU明细'!$D$11:$D$1309,MATCH("2302153-BK-P-Z-6.5",'SKU明细'!$A$11:$A$1309,0)))&amp;" + 待核",SUM(INDEX('SKU明细'!$D$11:$D$1309,MATCH("2302153-BK-P-Z-6.5",'SKU明细'!$A$11:$A$1309,0)))))</x:f>
        <x:v>0</x:v>
      </x:c>
      <x:c r="J23" s="38" t="n">
        <x:f>IF(COUNT(INDEX('SKU明细'!$D$11:$D$1309,MATCH("2302153-BK-P-Z-7",'SKU明细'!$A$11:$A$1309,0)))=0,"待核",IF(COUNT(INDEX('SKU明细'!$D$11:$D$1309,MATCH("2302153-BK-P-Z-7",'SKU明细'!$A$11:$A$1309,0)))&lt;1,SUM(INDEX('SKU明细'!$D$11:$D$1309,MATCH("2302153-BK-P-Z-7",'SKU明细'!$A$11:$A$1309,0)))&amp;" + 待核",SUM(INDEX('SKU明细'!$D$11:$D$1309,MATCH("2302153-BK-P-Z-7",'SKU明细'!$A$11:$A$1309,0)))))</x:f>
        <x:v>0</x:v>
      </x:c>
      <x:c r="K23" s="38" t="n">
        <x:f>IF(COUNT(INDEX('SKU明细'!$D$11:$D$1309,MATCH("2302153-BK-P-Z-7.5",'SKU明细'!$A$11:$A$1309,0)))=0,"待核",IF(COUNT(INDEX('SKU明细'!$D$11:$D$1309,MATCH("2302153-BK-P-Z-7.5",'SKU明细'!$A$11:$A$1309,0)))&lt;1,SUM(INDEX('SKU明细'!$D$11:$D$1309,MATCH("2302153-BK-P-Z-7.5",'SKU明细'!$A$11:$A$1309,0)))&amp;" + 待核",SUM(INDEX('SKU明细'!$D$11:$D$1309,MATCH("2302153-BK-P-Z-7.5",'SKU明细'!$A$11:$A$1309,0)))))</x:f>
        <x:v>0</x:v>
      </x:c>
      <x:c r="L23" s="38" t="n">
        <x:f>IF(COUNT(INDEX('SKU明细'!$D$11:$D$1309,MATCH("2302153-BK-P-Z-8",'SKU明细'!$A$11:$A$1309,0)))=0,"待核",IF(COUNT(INDEX('SKU明细'!$D$11:$D$1309,MATCH("2302153-BK-P-Z-8",'SKU明细'!$A$11:$A$1309,0)))&lt;1,SUM(INDEX('SKU明细'!$D$11:$D$1309,MATCH("2302153-BK-P-Z-8",'SKU明细'!$A$11:$A$1309,0)))&amp;" + 待核",SUM(INDEX('SKU明细'!$D$11:$D$1309,MATCH("2302153-BK-P-Z-8",'SKU明细'!$A$11:$A$1309,0)))))</x:f>
        <x:v>0</x:v>
      </x:c>
      <x:c r="M23" s="38" t="n">
        <x:f>IF(COUNT(INDEX('SKU明细'!$D$11:$D$1309,MATCH("2302153-BK-P-Z-8.5",'SKU明细'!$A$11:$A$1309,0)))=0,"待核",IF(COUNT(INDEX('SKU明细'!$D$11:$D$1309,MATCH("2302153-BK-P-Z-8.5",'SKU明细'!$A$11:$A$1309,0)))&lt;1,SUM(INDEX('SKU明细'!$D$11:$D$1309,MATCH("2302153-BK-P-Z-8.5",'SKU明细'!$A$11:$A$1309,0)))&amp;" + 待核",SUM(INDEX('SKU明细'!$D$11:$D$1309,MATCH("2302153-BK-P-Z-8.5",'SKU明细'!$A$11:$A$1309,0)))))</x:f>
        <x:v>0</x:v>
      </x:c>
      <x:c r="N23" s="38" t="n">
        <x:f>IF(COUNT(INDEX('SKU明细'!$D$11:$D$1309,MATCH("2302153-BK-P-Z-9",'SKU明细'!$A$11:$A$1309,0)))=0,"待核",IF(COUNT(INDEX('SKU明细'!$D$11:$D$1309,MATCH("2302153-BK-P-Z-9",'SKU明细'!$A$11:$A$1309,0)))&lt;1,SUM(INDEX('SKU明细'!$D$11:$D$1309,MATCH("2302153-BK-P-Z-9",'SKU明细'!$A$11:$A$1309,0)))&amp;" + 待核",SUM(INDEX('SKU明细'!$D$11:$D$1309,MATCH("2302153-BK-P-Z-9",'SKU明细'!$A$11:$A$1309,0)))))</x:f>
        <x:v>0</x:v>
      </x:c>
      <x:c r="O23" s="38" t="n">
        <x:f>IF(COUNT(INDEX('SKU明细'!$D$11:$D$1309,MATCH("2302153-BK-P-Z-9.5",'SKU明细'!$A$11:$A$1309,0)))=0,"待核",IF(COUNT(INDEX('SKU明细'!$D$11:$D$1309,MATCH("2302153-BK-P-Z-9.5",'SKU明细'!$A$11:$A$1309,0)))&lt;1,SUM(INDEX('SKU明细'!$D$11:$D$1309,MATCH("2302153-BK-P-Z-9.5",'SKU明细'!$A$11:$A$1309,0)))&amp;" + 待核",SUM(INDEX('SKU明细'!$D$11:$D$1309,MATCH("2302153-BK-P-Z-9.5",'SKU明细'!$A$11:$A$1309,0)))))</x:f>
        <x:v>0</x:v>
      </x:c>
      <x:c r="P23" s="38" t="n">
        <x:f>IF(COUNT(INDEX('SKU明细'!$D$11:$D$1309,MATCH("2302153-BK-P-Z-10",'SKU明细'!$A$11:$A$1309,0)))=0,"待核",IF(COUNT(INDEX('SKU明细'!$D$11:$D$1309,MATCH("2302153-BK-P-Z-10",'SKU明细'!$A$11:$A$1309,0)))&lt;1,SUM(INDEX('SKU明细'!$D$11:$D$1309,MATCH("2302153-BK-P-Z-10",'SKU明细'!$A$11:$A$1309,0)))&amp;" + 待核",SUM(INDEX('SKU明细'!$D$11:$D$1309,MATCH("2302153-BK-P-Z-10",'SKU明细'!$A$11:$A$1309,0)))))</x:f>
        <x:v>0</x:v>
      </x:c>
      <x:c r="Q23" s="38" t="n">
        <x:f>IF(COUNT(INDEX('SKU明细'!$D$11:$D$1309,MATCH("2302153-BK-P-Z-10.5",'SKU明细'!$A$11:$A$1309,0)))=0,"待核",IF(COUNT(INDEX('SKU明细'!$D$11:$D$1309,MATCH("2302153-BK-P-Z-10.5",'SKU明细'!$A$11:$A$1309,0)))&lt;1,SUM(INDEX('SKU明细'!$D$11:$D$1309,MATCH("2302153-BK-P-Z-10.5",'SKU明细'!$A$11:$A$1309,0)))&amp;" + 待核",SUM(INDEX('SKU明细'!$D$11:$D$1309,MATCH("2302153-BK-P-Z-10.5",'SKU明细'!$A$11:$A$1309,0)))))</x:f>
        <x:v>0</x:v>
      </x:c>
      <x:c r="R23" s="38" t="n">
        <x:f>IF(COUNT(INDEX('SKU明细'!$D$11:$D$1309,MATCH("2302153-BK-P-Z-11",'SKU明细'!$A$11:$A$1309,0)))=0,"待核",IF(COUNT(INDEX('SKU明细'!$D$11:$D$1309,MATCH("2302153-BK-P-Z-11",'SKU明细'!$A$11:$A$1309,0)))&lt;1,SUM(INDEX('SKU明细'!$D$11:$D$1309,MATCH("2302153-BK-P-Z-11",'SKU明细'!$A$11:$A$1309,0)))&amp;" + 待核",SUM(INDEX('SKU明细'!$D$11:$D$1309,MATCH("2302153-BK-P-Z-11",'SKU明细'!$A$11:$A$1309,0)))))</x:f>
        <x:v>0</x:v>
      </x:c>
      <x:c r="S23" s="38" t="n">
        <x:f>IF(COUNT(INDEX('SKU明细'!$D$11:$D$1309,MATCH("2302153-BK-P-Z-6",'SKU明细'!$A$11:$A$1309,0)),INDEX('SKU明细'!$D$11:$D$1309,MATCH("2302153-BK-P-Z-6.5",'SKU明细'!$A$11:$A$1309,0)),INDEX('SKU明细'!$D$11:$D$1309,MATCH("2302153-BK-P-Z-7",'SKU明细'!$A$11:$A$1309,0)),INDEX('SKU明细'!$D$11:$D$1309,MATCH("2302153-BK-P-Z-7.5",'SKU明细'!$A$11:$A$1309,0)),INDEX('SKU明细'!$D$11:$D$1309,MATCH("2302153-BK-P-Z-8",'SKU明细'!$A$11:$A$1309,0)),INDEX('SKU明细'!$D$11:$D$1309,MATCH("2302153-BK-P-Z-8.5",'SKU明细'!$A$11:$A$1309,0)),INDEX('SKU明细'!$D$11:$D$1309,MATCH("2302153-BK-P-Z-9",'SKU明细'!$A$11:$A$1309,0)),INDEX('SKU明细'!$D$11:$D$1309,MATCH("2302153-BK-P-Z-9.5",'SKU明细'!$A$11:$A$1309,0)),INDEX('SKU明细'!$D$11:$D$1309,MATCH("2302153-BK-P-Z-10",'SKU明细'!$A$11:$A$1309,0)),INDEX('SKU明细'!$D$11:$D$1309,MATCH("2302153-BK-P-Z-10.5",'SKU明细'!$A$11:$A$1309,0)),INDEX('SKU明细'!$D$11:$D$1309,MATCH("2302153-BK-P-Z-11",'SKU明细'!$A$11:$A$1309,0)))=0,"待核",SUM(INDEX('SKU明细'!$D$11:$D$1309,MATCH("2302153-BK-P-Z-6",'SKU明细'!$A$11:$A$1309,0)),INDEX('SKU明细'!$D$11:$D$1309,MATCH("2302153-BK-P-Z-6.5",'SKU明细'!$A$11:$A$1309,0)),INDEX('SKU明细'!$D$11:$D$1309,MATCH("2302153-BK-P-Z-7",'SKU明细'!$A$11:$A$1309,0)),INDEX('SKU明细'!$D$11:$D$1309,MATCH("2302153-BK-P-Z-7.5",'SKU明细'!$A$11:$A$1309,0)),INDEX('SKU明细'!$D$11:$D$1309,MATCH("2302153-BK-P-Z-8",'SKU明细'!$A$11:$A$1309,0)),INDEX('SKU明细'!$D$11:$D$1309,MATCH("2302153-BK-P-Z-8.5",'SKU明细'!$A$11:$A$1309,0)),INDEX('SKU明细'!$D$11:$D$1309,MATCH("2302153-BK-P-Z-9",'SKU明细'!$A$11:$A$1309,0)),INDEX('SKU明细'!$D$11:$D$1309,MATCH("2302153-BK-P-Z-9.5",'SKU明细'!$A$11:$A$1309,0)),INDEX('SKU明细'!$D$11:$D$1309,MATCH("2302153-BK-P-Z-10",'SKU明细'!$A$11:$A$1309,0)),INDEX('SKU明细'!$D$11:$D$1309,MATCH("2302153-BK-P-Z-10.5",'SKU明细'!$A$11:$A$1309,0)),INDEX('SKU明细'!$D$11:$D$1309,MATCH("2302153-BK-P-Z-11",'SKU明细'!$A$11:$A$1309,0))))</x:f>
        <x:v>0</x:v>
      </x:c>
      <x:c r="T23" s="38" t="n">
        <x:f>IF(COUNTIFS($A$9:$A$191,A23,$U$9:$U$191,"&lt;&gt;待核")=0,"待核",SUMIF($A$9:$A$191,A23,$S$9:$S$191))</x:f>
        <x:v>945</x:v>
      </x:c>
      <x:c r="U23" s="37" t="str">
        <x:f>IF(COUNT(INDEX('SKU明细'!$D$11:$D$1309,MATCH("2302153-BK-P-Z-6",'SKU明细'!$A$11:$A$1309,0)),INDEX('SKU明细'!$D$11:$D$1309,MATCH("2302153-BK-P-Z-6.5",'SKU明细'!$A$11:$A$1309,0)),INDEX('SKU明细'!$D$11:$D$1309,MATCH("2302153-BK-P-Z-7",'SKU明细'!$A$11:$A$1309,0)),INDEX('SKU明细'!$D$11:$D$1309,MATCH("2302153-BK-P-Z-7.5",'SKU明细'!$A$11:$A$1309,0)),INDEX('SKU明细'!$D$11:$D$1309,MATCH("2302153-BK-P-Z-8",'SKU明细'!$A$11:$A$1309,0)),INDEX('SKU明细'!$D$11:$D$1309,MATCH("2302153-BK-P-Z-8.5",'SKU明细'!$A$11:$A$1309,0)),INDEX('SKU明细'!$D$11:$D$1309,MATCH("2302153-BK-P-Z-9",'SKU明细'!$A$11:$A$1309,0)),INDEX('SKU明细'!$D$11:$D$1309,MATCH("2302153-BK-P-Z-9.5",'SKU明细'!$A$11:$A$1309,0)),INDEX('SKU明细'!$D$11:$D$1309,MATCH("2302153-BK-P-Z-10",'SKU明细'!$A$11:$A$1309,0)),INDEX('SKU明细'!$D$11:$D$1309,MATCH("2302153-BK-P-Z-10.5",'SKU明细'!$A$11:$A$1309,0)),INDEX('SKU明细'!$D$11:$D$1309,MATCH("2302153-BK-P-Z-11",'SKU明细'!$A$11:$A$1309,0)))=0,"待核",IF(COUNT(INDEX('SKU明细'!$D$11:$D$1309,MATCH("2302153-BK-P-Z-6",'SKU明细'!$A$11:$A$1309,0)),INDEX('SKU明细'!$D$11:$D$1309,MATCH("2302153-BK-P-Z-6.5",'SKU明细'!$A$11:$A$1309,0)),INDEX('SKU明细'!$D$11:$D$1309,MATCH("2302153-BK-P-Z-7",'SKU明细'!$A$11:$A$1309,0)),INDEX('SKU明细'!$D$11:$D$1309,MATCH("2302153-BK-P-Z-7.5",'SKU明细'!$A$11:$A$1309,0)),INDEX('SKU明细'!$D$11:$D$1309,MATCH("2302153-BK-P-Z-8",'SKU明细'!$A$11:$A$1309,0)),INDEX('SKU明细'!$D$11:$D$1309,MATCH("2302153-BK-P-Z-8.5",'SKU明细'!$A$11:$A$1309,0)),INDEX('SKU明细'!$D$11:$D$1309,MATCH("2302153-BK-P-Z-9",'SKU明细'!$A$11:$A$1309,0)),INDEX('SKU明细'!$D$11:$D$1309,MATCH("2302153-BK-P-Z-9.5",'SKU明细'!$A$11:$A$1309,0)),INDEX('SKU明细'!$D$11:$D$1309,MATCH("2302153-BK-P-Z-10",'SKU明细'!$A$11:$A$1309,0)),INDEX('SKU明细'!$D$11:$D$1309,MATCH("2302153-BK-P-Z-10.5",'SKU明细'!$A$11:$A$1309,0)),INDEX('SKU明细'!$D$11:$D$1309,MATCH("2302153-BK-P-Z-11",'SKU明细'!$A$11:$A$1309,0)))&lt;11,"另有待核","已核"))</x:f>
        <x:v>已核</x:v>
      </x:c>
      <x:c r="V23" s="37" t="str">
        <x:v>在售</x:v>
      </x:c>
      <x:c r="W23" s="11" t="n">
        <x:f>IF(COUNT(INDEX('SKU明细'!$BV$11:$BV$1309,MATCH("2302153-BK-P-Z-6",'SKU明细'!$A$11:$A$1309,0)),INDEX('SKU明细'!$BV$11:$BV$1309,MATCH("2302153-BK-P-Z-6.5",'SKU明细'!$A$11:$A$1309,0)),INDEX('SKU明细'!$BV$11:$BV$1309,MATCH("2302153-BK-P-Z-7",'SKU明细'!$A$11:$A$1309,0)),INDEX('SKU明细'!$BV$11:$BV$1309,MATCH("2302153-BK-P-Z-7.5",'SKU明细'!$A$11:$A$1309,0)),INDEX('SKU明细'!$BV$11:$BV$1309,MATCH("2302153-BK-P-Z-8",'SKU明细'!$A$11:$A$1309,0)),INDEX('SKU明细'!$BV$11:$BV$1309,MATCH("2302153-BK-P-Z-8.5",'SKU明细'!$A$11:$A$1309,0)),INDEX('SKU明细'!$BV$11:$BV$1309,MATCH("2302153-BK-P-Z-9",'SKU明细'!$A$11:$A$1309,0)),INDEX('SKU明细'!$BV$11:$BV$1309,MATCH("2302153-BK-P-Z-9.5",'SKU明细'!$A$11:$A$1309,0)),INDEX('SKU明细'!$BV$11:$BV$1309,MATCH("2302153-BK-P-Z-10",'SKU明细'!$A$11:$A$1309,0)),INDEX('SKU明细'!$BV$11:$BV$1309,MATCH("2302153-BK-P-Z-10.5",'SKU明细'!$A$11:$A$1309,0)),INDEX('SKU明细'!$BV$11:$BV$1309,MATCH("2302153-BK-P-Z-11",'SKU明细'!$A$11:$A$1309,0)))=11,SUM(INDEX('SKU明细'!$BV$11:$BV$1309,MATCH("2302153-BK-P-Z-6",'SKU明细'!$A$11:$A$1309,0)),INDEX('SKU明细'!$BV$11:$BV$1309,MATCH("2302153-BK-P-Z-6.5",'SKU明细'!$A$11:$A$1309,0)),INDEX('SKU明细'!$BV$11:$BV$1309,MATCH("2302153-BK-P-Z-7",'SKU明细'!$A$11:$A$1309,0)),INDEX('SKU明细'!$BV$11:$BV$1309,MATCH("2302153-BK-P-Z-7.5",'SKU明细'!$A$11:$A$1309,0)),INDEX('SKU明细'!$BV$11:$BV$1309,MATCH("2302153-BK-P-Z-8",'SKU明细'!$A$11:$A$1309,0)),INDEX('SKU明细'!$BV$11:$BV$1309,MATCH("2302153-BK-P-Z-8.5",'SKU明细'!$A$11:$A$1309,0)),INDEX('SKU明细'!$BV$11:$BV$1309,MATCH("2302153-BK-P-Z-9",'SKU明细'!$A$11:$A$1309,0)),INDEX('SKU明细'!$BV$11:$BV$1309,MATCH("2302153-BK-P-Z-9.5",'SKU明细'!$A$11:$A$1309,0)),INDEX('SKU明细'!$BV$11:$BV$1309,MATCH("2302153-BK-P-Z-10",'SKU明细'!$A$11:$A$1309,0)),INDEX('SKU明细'!$BV$11:$BV$1309,MATCH("2302153-BK-P-Z-10.5",'SKU明细'!$A$11:$A$1309,0)),INDEX('SKU明细'!$BV$11:$BV$1309,MATCH("2302153-BK-P-Z-11",'SKU明细'!$A$11:$A$1309,0))),"待核")</x:f>
        <x:v>5.375258174635837</x:v>
      </x:c>
      <x:c r="X23" s="11" t="n">
        <x:f>INDEX('SKU明细'!$BW$11:$BW$1309,MATCH("2302153-BK-P-Z-6",'SKU明细'!$A$11:$A$1309,0))</x:f>
        <x:v>1.7391279184229513</x:v>
      </x:c>
      <x:c r="Y23" s="13" t="n">
        <x:f>IF(COUNT(INDEX('SKU明细'!$BY$11:$BY$1309,MATCH("2302153-BK-P-Z-6",'SKU明细'!$A$11:$A$1309,0)),INDEX('SKU明细'!$BY$11:$BY$1309,MATCH("2302153-BK-P-Z-6.5",'SKU明细'!$A$11:$A$1309,0)),INDEX('SKU明细'!$BY$11:$BY$1309,MATCH("2302153-BK-P-Z-7",'SKU明细'!$A$11:$A$1309,0)),INDEX('SKU明细'!$BY$11:$BY$1309,MATCH("2302153-BK-P-Z-7.5",'SKU明细'!$A$11:$A$1309,0)),INDEX('SKU明细'!$BY$11:$BY$1309,MATCH("2302153-BK-P-Z-8",'SKU明细'!$A$11:$A$1309,0)),INDEX('SKU明细'!$BY$11:$BY$1309,MATCH("2302153-BK-P-Z-8.5",'SKU明细'!$A$11:$A$1309,0)),INDEX('SKU明细'!$BY$11:$BY$1309,MATCH("2302153-BK-P-Z-9",'SKU明细'!$A$11:$A$1309,0)),INDEX('SKU明细'!$BY$11:$BY$1309,MATCH("2302153-BK-P-Z-9.5",'SKU明细'!$A$11:$A$1309,0)),INDEX('SKU明细'!$BY$11:$BY$1309,MATCH("2302153-BK-P-Z-10",'SKU明细'!$A$11:$A$1309,0)),INDEX('SKU明细'!$BY$11:$BY$1309,MATCH("2302153-BK-P-Z-10.5",'SKU明细'!$A$11:$A$1309,0)),INDEX('SKU明细'!$BY$11:$BY$1309,MATCH("2302153-BK-P-Z-11",'SKU明细'!$A$11:$A$1309,0)))=11,SUM(INDEX('SKU明细'!$BY$11:$BY$1309,MATCH("2302153-BK-P-Z-6",'SKU明细'!$A$11:$A$1309,0)),INDEX('SKU明细'!$BY$11:$BY$1309,MATCH("2302153-BK-P-Z-6.5",'SKU明细'!$A$11:$A$1309,0)),INDEX('SKU明细'!$BY$11:$BY$1309,MATCH("2302153-BK-P-Z-7",'SKU明细'!$A$11:$A$1309,0)),INDEX('SKU明细'!$BY$11:$BY$1309,MATCH("2302153-BK-P-Z-7.5",'SKU明细'!$A$11:$A$1309,0)),INDEX('SKU明细'!$BY$11:$BY$1309,MATCH("2302153-BK-P-Z-8",'SKU明细'!$A$11:$A$1309,0)),INDEX('SKU明细'!$BY$11:$BY$1309,MATCH("2302153-BK-P-Z-8.5",'SKU明细'!$A$11:$A$1309,0)),INDEX('SKU明细'!$BY$11:$BY$1309,MATCH("2302153-BK-P-Z-9",'SKU明细'!$A$11:$A$1309,0)),INDEX('SKU明细'!$BY$11:$BY$1309,MATCH("2302153-BK-P-Z-9.5",'SKU明细'!$A$11:$A$1309,0)),INDEX('SKU明细'!$BY$11:$BY$1309,MATCH("2302153-BK-P-Z-10",'SKU明细'!$A$11:$A$1309,0)),INDEX('SKU明细'!$BY$11:$BY$1309,MATCH("2302153-BK-P-Z-10.5",'SKU明细'!$A$11:$A$1309,0)),INDEX('SKU明细'!$BY$11:$BY$1309,MATCH("2302153-BK-P-Z-11",'SKU明细'!$A$11:$A$1309,0))),"待核")</x:f>
        <x:v>112.1791387228845</x:v>
      </x:c>
      <x:c r="Z23" s="11" t="n">
        <x:f>INDEX('SKU明细'!$BZ$11:$BZ$1309,MATCH("2302153-BK-P-Z-6",'SKU明细'!$A$11:$A$1309,0))</x:f>
        <x:v>1.4002077845513243</x:v>
      </x:c>
      <x:c r="AA23" s="13" t="n">
        <x:f>IF(COUNT(INDEX('SKU明细'!$CB$11:$CB$1309,MATCH("2302153-BK-P-Z-6",'SKU明细'!$A$11:$A$1309,0)),INDEX('SKU明细'!$CB$11:$CB$1309,MATCH("2302153-BK-P-Z-6.5",'SKU明细'!$A$11:$A$1309,0)),INDEX('SKU明细'!$CB$11:$CB$1309,MATCH("2302153-BK-P-Z-7",'SKU明细'!$A$11:$A$1309,0)),INDEX('SKU明细'!$CB$11:$CB$1309,MATCH("2302153-BK-P-Z-7.5",'SKU明细'!$A$11:$A$1309,0)),INDEX('SKU明细'!$CB$11:$CB$1309,MATCH("2302153-BK-P-Z-8",'SKU明细'!$A$11:$A$1309,0)),INDEX('SKU明细'!$CB$11:$CB$1309,MATCH("2302153-BK-P-Z-8.5",'SKU明细'!$A$11:$A$1309,0)),INDEX('SKU明细'!$CB$11:$CB$1309,MATCH("2302153-BK-P-Z-9",'SKU明细'!$A$11:$A$1309,0)),INDEX('SKU明细'!$CB$11:$CB$1309,MATCH("2302153-BK-P-Z-9.5",'SKU明细'!$A$11:$A$1309,0)),INDEX('SKU明细'!$CB$11:$CB$1309,MATCH("2302153-BK-P-Z-10",'SKU明细'!$A$11:$A$1309,0)),INDEX('SKU明细'!$CB$11:$CB$1309,MATCH("2302153-BK-P-Z-10.5",'SKU明细'!$A$11:$A$1309,0)),INDEX('SKU明细'!$CB$11:$CB$1309,MATCH("2302153-BK-P-Z-11",'SKU明细'!$A$11:$A$1309,0)))=11,SUM(INDEX('SKU明细'!$CB$11:$CB$1309,MATCH("2302153-BK-P-Z-6",'SKU明细'!$A$11:$A$1309,0)),INDEX('SKU明细'!$CB$11:$CB$1309,MATCH("2302153-BK-P-Z-6.5",'SKU明细'!$A$11:$A$1309,0)),INDEX('SKU明细'!$CB$11:$CB$1309,MATCH("2302153-BK-P-Z-7",'SKU明细'!$A$11:$A$1309,0)),INDEX('SKU明细'!$CB$11:$CB$1309,MATCH("2302153-BK-P-Z-7.5",'SKU明细'!$A$11:$A$1309,0)),INDEX('SKU明细'!$CB$11:$CB$1309,MATCH("2302153-BK-P-Z-8",'SKU明细'!$A$11:$A$1309,0)),INDEX('SKU明细'!$CB$11:$CB$1309,MATCH("2302153-BK-P-Z-8.5",'SKU明细'!$A$11:$A$1309,0)),INDEX('SKU明细'!$CB$11:$CB$1309,MATCH("2302153-BK-P-Z-9",'SKU明细'!$A$11:$A$1309,0)),INDEX('SKU明细'!$CB$11:$CB$1309,MATCH("2302153-BK-P-Z-9.5",'SKU明细'!$A$11:$A$1309,0)),INDEX('SKU明细'!$CB$11:$CB$1309,MATCH("2302153-BK-P-Z-10",'SKU明细'!$A$11:$A$1309,0)),INDEX('SKU明细'!$CB$11:$CB$1309,MATCH("2302153-BK-P-Z-10.5",'SKU明细'!$A$11:$A$1309,0)),INDEX('SKU明细'!$CB$11:$CB$1309,MATCH("2302153-BK-P-Z-11",'SKU明细'!$A$11:$A$1309,0))),"待核")</x:f>
        <x:v>225.79435020294724</x:v>
      </x:c>
      <x:c r="AB23" s="11" t="n">
        <x:f>INDEX('SKU明细'!$CC$11:$CC$1309,MATCH("2302153-BK-P-Z-6",'SKU明细'!$A$11:$A$1309,0))</x:f>
        <x:v>1.079339935625147</x:v>
      </x:c>
      <x:c r="AC23" s="13" t="n">
        <x:f>IF(COUNT(INDEX('SKU明细'!$CE$11:$CE$1309,MATCH("2302153-BK-P-Z-6",'SKU明细'!$A$11:$A$1309,0)),INDEX('SKU明细'!$CE$11:$CE$1309,MATCH("2302153-BK-P-Z-6.5",'SKU明细'!$A$11:$A$1309,0)),INDEX('SKU明细'!$CE$11:$CE$1309,MATCH("2302153-BK-P-Z-7",'SKU明细'!$A$11:$A$1309,0)),INDEX('SKU明细'!$CE$11:$CE$1309,MATCH("2302153-BK-P-Z-7.5",'SKU明细'!$A$11:$A$1309,0)),INDEX('SKU明细'!$CE$11:$CE$1309,MATCH("2302153-BK-P-Z-8",'SKU明细'!$A$11:$A$1309,0)),INDEX('SKU明细'!$CE$11:$CE$1309,MATCH("2302153-BK-P-Z-8.5",'SKU明细'!$A$11:$A$1309,0)),INDEX('SKU明细'!$CE$11:$CE$1309,MATCH("2302153-BK-P-Z-9",'SKU明细'!$A$11:$A$1309,0)),INDEX('SKU明细'!$CE$11:$CE$1309,MATCH("2302153-BK-P-Z-9.5",'SKU明细'!$A$11:$A$1309,0)),INDEX('SKU明细'!$CE$11:$CE$1309,MATCH("2302153-BK-P-Z-10",'SKU明细'!$A$11:$A$1309,0)),INDEX('SKU明细'!$CE$11:$CE$1309,MATCH("2302153-BK-P-Z-10.5",'SKU明细'!$A$11:$A$1309,0)),INDEX('SKU明细'!$CE$11:$CE$1309,MATCH("2302153-BK-P-Z-11",'SKU明细'!$A$11:$A$1309,0)))=11,SUM(INDEX('SKU明细'!$CE$11:$CE$1309,MATCH("2302153-BK-P-Z-6",'SKU明细'!$A$11:$A$1309,0)),INDEX('SKU明细'!$CE$11:$CE$1309,MATCH("2302153-BK-P-Z-6.5",'SKU明细'!$A$11:$A$1309,0)),INDEX('SKU明细'!$CE$11:$CE$1309,MATCH("2302153-BK-P-Z-7",'SKU明细'!$A$11:$A$1309,0)),INDEX('SKU明细'!$CE$11:$CE$1309,MATCH("2302153-BK-P-Z-7.5",'SKU明细'!$A$11:$A$1309,0)),INDEX('SKU明细'!$CE$11:$CE$1309,MATCH("2302153-BK-P-Z-8",'SKU明细'!$A$11:$A$1309,0)),INDEX('SKU明细'!$CE$11:$CE$1309,MATCH("2302153-BK-P-Z-8.5",'SKU明细'!$A$11:$A$1309,0)),INDEX('SKU明细'!$CE$11:$CE$1309,MATCH("2302153-BK-P-Z-9",'SKU明细'!$A$11:$A$1309,0)),INDEX('SKU明细'!$CE$11:$CE$1309,MATCH("2302153-BK-P-Z-9.5",'SKU明细'!$A$11:$A$1309,0)),INDEX('SKU明细'!$CE$11:$CE$1309,MATCH("2302153-BK-P-Z-10",'SKU明细'!$A$11:$A$1309,0)),INDEX('SKU明细'!$CE$11:$CE$1309,MATCH("2302153-BK-P-Z-10.5",'SKU明细'!$A$11:$A$1309,0)),INDEX('SKU明细'!$CE$11:$CE$1309,MATCH("2302153-BK-P-Z-11",'SKU明细'!$A$11:$A$1309,0))),"待核")</x:f>
        <x:v>179.85365517757964</x:v>
      </x:c>
      <x:c r="AD23" s="11" t="n">
        <x:f>INDEX('SKU明细'!$CF$11:$CF$1309,MATCH("2302153-BK-P-Z-6",'SKU明细'!$A$11:$A$1309,0))</x:f>
        <x:v>0.7719368903846591</x:v>
      </x:c>
      <x:c r="AE23" s="13" t="n">
        <x:f>IF(COUNT(INDEX('SKU明细'!$CH$11:$CH$1309,MATCH("2302153-BK-P-Z-6",'SKU明细'!$A$11:$A$1309,0)),INDEX('SKU明细'!$CH$11:$CH$1309,MATCH("2302153-BK-P-Z-6.5",'SKU明细'!$A$11:$A$1309,0)),INDEX('SKU明细'!$CH$11:$CH$1309,MATCH("2302153-BK-P-Z-7",'SKU明细'!$A$11:$A$1309,0)),INDEX('SKU明细'!$CH$11:$CH$1309,MATCH("2302153-BK-P-Z-7.5",'SKU明细'!$A$11:$A$1309,0)),INDEX('SKU明细'!$CH$11:$CH$1309,MATCH("2302153-BK-P-Z-8",'SKU明细'!$A$11:$A$1309,0)),INDEX('SKU明细'!$CH$11:$CH$1309,MATCH("2302153-BK-P-Z-8.5",'SKU明细'!$A$11:$A$1309,0)),INDEX('SKU明细'!$CH$11:$CH$1309,MATCH("2302153-BK-P-Z-9",'SKU明细'!$A$11:$A$1309,0)),INDEX('SKU明细'!$CH$11:$CH$1309,MATCH("2302153-BK-P-Z-9.5",'SKU明细'!$A$11:$A$1309,0)),INDEX('SKU明细'!$CH$11:$CH$1309,MATCH("2302153-BK-P-Z-10",'SKU明细'!$A$11:$A$1309,0)),INDEX('SKU明细'!$CH$11:$CH$1309,MATCH("2302153-BK-P-Z-10.5",'SKU明细'!$A$11:$A$1309,0)),INDEX('SKU明细'!$CH$11:$CH$1309,MATCH("2302153-BK-P-Z-11",'SKU明细'!$A$11:$A$1309,0)))=11,SUM(INDEX('SKU明细'!$CH$11:$CH$1309,MATCH("2302153-BK-P-Z-6",'SKU明细'!$A$11:$A$1309,0)),INDEX('SKU明细'!$CH$11:$CH$1309,MATCH("2302153-BK-P-Z-6.5",'SKU明细'!$A$11:$A$1309,0)),INDEX('SKU明细'!$CH$11:$CH$1309,MATCH("2302153-BK-P-Z-7",'SKU明细'!$A$11:$A$1309,0)),INDEX('SKU明细'!$CH$11:$CH$1309,MATCH("2302153-BK-P-Z-7.5",'SKU明细'!$A$11:$A$1309,0)),INDEX('SKU明细'!$CH$11:$CH$1309,MATCH("2302153-BK-P-Z-8",'SKU明细'!$A$11:$A$1309,0)),INDEX('SKU明细'!$CH$11:$CH$1309,MATCH("2302153-BK-P-Z-8.5",'SKU明细'!$A$11:$A$1309,0)),INDEX('SKU明细'!$CH$11:$CH$1309,MATCH("2302153-BK-P-Z-9",'SKU明细'!$A$11:$A$1309,0)),INDEX('SKU明细'!$CH$11:$CH$1309,MATCH("2302153-BK-P-Z-9.5",'SKU明细'!$A$11:$A$1309,0)),INDEX('SKU明细'!$CH$11:$CH$1309,MATCH("2302153-BK-P-Z-10",'SKU明细'!$A$11:$A$1309,0)),INDEX('SKU明细'!$CH$11:$CH$1309,MATCH("2302153-BK-P-Z-10.5",'SKU明细'!$A$11:$A$1309,0)),INDEX('SKU明细'!$CH$11:$CH$1309,MATCH("2302153-BK-P-Z-11",'SKU明细'!$A$11:$A$1309,0))),"待核")</x:f>
        <x:v>70.53912136583283</x:v>
      </x:c>
      <x:c r="AF23" s="13" t="n">
        <x:f>IF(COUNT(INDEX('SKU明细'!$CI$11:$CI$1309,MATCH("2302153-BK-P-Z-6",'SKU明细'!$A$11:$A$1309,0)),INDEX('SKU明细'!$CI$11:$CI$1309,MATCH("2302153-BK-P-Z-6.5",'SKU明细'!$A$11:$A$1309,0)),INDEX('SKU明细'!$CI$11:$CI$1309,MATCH("2302153-BK-P-Z-7",'SKU明细'!$A$11:$A$1309,0)),INDEX('SKU明细'!$CI$11:$CI$1309,MATCH("2302153-BK-P-Z-7.5",'SKU明细'!$A$11:$A$1309,0)),INDEX('SKU明细'!$CI$11:$CI$1309,MATCH("2302153-BK-P-Z-8",'SKU明细'!$A$11:$A$1309,0)),INDEX('SKU明细'!$CI$11:$CI$1309,MATCH("2302153-BK-P-Z-8.5",'SKU明细'!$A$11:$A$1309,0)),INDEX('SKU明细'!$CI$11:$CI$1309,MATCH("2302153-BK-P-Z-9",'SKU明细'!$A$11:$A$1309,0)),INDEX('SKU明细'!$CI$11:$CI$1309,MATCH("2302153-BK-P-Z-9.5",'SKU明细'!$A$11:$A$1309,0)),INDEX('SKU明细'!$CI$11:$CI$1309,MATCH("2302153-BK-P-Z-10",'SKU明细'!$A$11:$A$1309,0)),INDEX('SKU明细'!$CI$11:$CI$1309,MATCH("2302153-BK-P-Z-10.5",'SKU明细'!$A$11:$A$1309,0)),INDEX('SKU明细'!$CI$11:$CI$1309,MATCH("2302153-BK-P-Z-11",'SKU明细'!$A$11:$A$1309,0)))=11,SUM(INDEX('SKU明细'!$CI$11:$CI$1309,MATCH("2302153-BK-P-Z-6",'SKU明细'!$A$11:$A$1309,0)),INDEX('SKU明细'!$CI$11:$CI$1309,MATCH("2302153-BK-P-Z-6.5",'SKU明细'!$A$11:$A$1309,0)),INDEX('SKU明细'!$CI$11:$CI$1309,MATCH("2302153-BK-P-Z-7",'SKU明细'!$A$11:$A$1309,0)),INDEX('SKU明细'!$CI$11:$CI$1309,MATCH("2302153-BK-P-Z-7.5",'SKU明细'!$A$11:$A$1309,0)),INDEX('SKU明细'!$CI$11:$CI$1309,MATCH("2302153-BK-P-Z-8",'SKU明细'!$A$11:$A$1309,0)),INDEX('SKU明细'!$CI$11:$CI$1309,MATCH("2302153-BK-P-Z-8.5",'SKU明细'!$A$11:$A$1309,0)),INDEX('SKU明细'!$CI$11:$CI$1309,MATCH("2302153-BK-P-Z-9",'SKU明细'!$A$11:$A$1309,0)),INDEX('SKU明细'!$CI$11:$CI$1309,MATCH("2302153-BK-P-Z-9.5",'SKU明细'!$A$11:$A$1309,0)),INDEX('SKU明细'!$CI$11:$CI$1309,MATCH("2302153-BK-P-Z-10",'SKU明细'!$A$11:$A$1309,0)),INDEX('SKU明细'!$CI$11:$CI$1309,MATCH("2302153-BK-P-Z-10.5",'SKU明细'!$A$11:$A$1309,0)),INDEX('SKU明细'!$CI$11:$CI$1309,MATCH("2302153-BK-P-Z-11",'SKU明细'!$A$11:$A$1309,0))),"待核")</x:f>
        <x:v>588.3662654692441</x:v>
      </x:c>
    </x:row>
    <x:row r="24" ht="40" customHeight="1">
      <x:c r="A24" s="37" t="str">
        <x:v>2302153</x:v>
      </x:c>
      <x:c r="B24" s="37" t="str">
        <x:v>徐新怡</x:v>
      </x:c>
      <x:c r="C24" s="37" t="str">
        <x:v>黑色</x:v>
      </x:c>
      <x:c r="D24" s="37" t="str">
        <x:v>BK</x:v>
      </x:c>
      <x:c r="E24" s="37" t="str">
        <x:v>2302153-BK-S-Z</x:v>
      </x:c>
      <x:c r="F24" s="37"/>
      <x:c r="G24" s="38" t="str">
        <x:f>"—"</x:f>
        <x:v>—</x:v>
      </x:c>
      <x:c r="H24" s="38" t="n">
        <x:f>IF(COUNT(INDEX('SKU明细'!$D$11:$D$1309,MATCH("2302153-BK-S-Z-6",'SKU明细'!$A$11:$A$1309,0)))=0,"待核",IF(COUNT(INDEX('SKU明细'!$D$11:$D$1309,MATCH("2302153-BK-S-Z-6",'SKU明细'!$A$11:$A$1309,0)))&lt;1,SUM(INDEX('SKU明细'!$D$11:$D$1309,MATCH("2302153-BK-S-Z-6",'SKU明细'!$A$11:$A$1309,0)))&amp;" + 待核",SUM(INDEX('SKU明细'!$D$11:$D$1309,MATCH("2302153-BK-S-Z-6",'SKU明细'!$A$11:$A$1309,0)))))</x:f>
        <x:v>28</x:v>
      </x:c>
      <x:c r="I24" s="38" t="n">
        <x:f>IF(COUNT(INDEX('SKU明细'!$D$11:$D$1309,MATCH("2302153-BK-S-Z-6.5",'SKU明细'!$A$11:$A$1309,0)))=0,"待核",IF(COUNT(INDEX('SKU明细'!$D$11:$D$1309,MATCH("2302153-BK-S-Z-6.5",'SKU明细'!$A$11:$A$1309,0)))&lt;1,SUM(INDEX('SKU明细'!$D$11:$D$1309,MATCH("2302153-BK-S-Z-6.5",'SKU明细'!$A$11:$A$1309,0)))&amp;" + 待核",SUM(INDEX('SKU明细'!$D$11:$D$1309,MATCH("2302153-BK-S-Z-6.5",'SKU明细'!$A$11:$A$1309,0)))))</x:f>
        <x:v>5</x:v>
      </x:c>
      <x:c r="J24" s="38" t="n">
        <x:f>IF(COUNT(INDEX('SKU明细'!$D$11:$D$1309,MATCH("2302153-BK-S-Z-7",'SKU明细'!$A$11:$A$1309,0)))=0,"待核",IF(COUNT(INDEX('SKU明细'!$D$11:$D$1309,MATCH("2302153-BK-S-Z-7",'SKU明细'!$A$11:$A$1309,0)))&lt;1,SUM(INDEX('SKU明细'!$D$11:$D$1309,MATCH("2302153-BK-S-Z-7",'SKU明细'!$A$11:$A$1309,0)))&amp;" + 待核",SUM(INDEX('SKU明细'!$D$11:$D$1309,MATCH("2302153-BK-S-Z-7",'SKU明细'!$A$11:$A$1309,0)))))</x:f>
        <x:v>95</x:v>
      </x:c>
      <x:c r="K24" s="38" t="n">
        <x:f>IF(COUNT(INDEX('SKU明细'!$D$11:$D$1309,MATCH("2302153-BK-S-Z-7.5",'SKU明细'!$A$11:$A$1309,0)))=0,"待核",IF(COUNT(INDEX('SKU明细'!$D$11:$D$1309,MATCH("2302153-BK-S-Z-7.5",'SKU明细'!$A$11:$A$1309,0)))&lt;1,SUM(INDEX('SKU明细'!$D$11:$D$1309,MATCH("2302153-BK-S-Z-7.5",'SKU明细'!$A$11:$A$1309,0)))&amp;" + 待核",SUM(INDEX('SKU明细'!$D$11:$D$1309,MATCH("2302153-BK-S-Z-7.5",'SKU明细'!$A$11:$A$1309,0)))))</x:f>
        <x:v>70</x:v>
      </x:c>
      <x:c r="L24" s="38" t="n">
        <x:f>IF(COUNT(INDEX('SKU明细'!$D$11:$D$1309,MATCH("2302153-BK-S-Z-8",'SKU明细'!$A$11:$A$1309,0)))=0,"待核",IF(COUNT(INDEX('SKU明细'!$D$11:$D$1309,MATCH("2302153-BK-S-Z-8",'SKU明细'!$A$11:$A$1309,0)))&lt;1,SUM(INDEX('SKU明细'!$D$11:$D$1309,MATCH("2302153-BK-S-Z-8",'SKU明细'!$A$11:$A$1309,0)))&amp;" + 待核",SUM(INDEX('SKU明细'!$D$11:$D$1309,MATCH("2302153-BK-S-Z-8",'SKU明细'!$A$11:$A$1309,0)))))</x:f>
        <x:v>34</x:v>
      </x:c>
      <x:c r="M24" s="38" t="n">
        <x:f>IF(COUNT(INDEX('SKU明细'!$D$11:$D$1309,MATCH("2302153-BK-S-Z-8.5",'SKU明细'!$A$11:$A$1309,0)))=0,"待核",IF(COUNT(INDEX('SKU明细'!$D$11:$D$1309,MATCH("2302153-BK-S-Z-8.5",'SKU明细'!$A$11:$A$1309,0)))&lt;1,SUM(INDEX('SKU明细'!$D$11:$D$1309,MATCH("2302153-BK-S-Z-8.5",'SKU明细'!$A$11:$A$1309,0)))&amp;" + 待核",SUM(INDEX('SKU明细'!$D$11:$D$1309,MATCH("2302153-BK-S-Z-8.5",'SKU明细'!$A$11:$A$1309,0)))))</x:f>
        <x:v>68</x:v>
      </x:c>
      <x:c r="N24" s="38" t="n">
        <x:f>IF(COUNT(INDEX('SKU明细'!$D$11:$D$1309,MATCH("2302153-BK-S-Z-9",'SKU明细'!$A$11:$A$1309,0)))=0,"待核",IF(COUNT(INDEX('SKU明细'!$D$11:$D$1309,MATCH("2302153-BK-S-Z-9",'SKU明细'!$A$11:$A$1309,0)))&lt;1,SUM(INDEX('SKU明细'!$D$11:$D$1309,MATCH("2302153-BK-S-Z-9",'SKU明细'!$A$11:$A$1309,0)))&amp;" + 待核",SUM(INDEX('SKU明细'!$D$11:$D$1309,MATCH("2302153-BK-S-Z-9",'SKU明细'!$A$11:$A$1309,0)))))</x:f>
        <x:v>83</x:v>
      </x:c>
      <x:c r="O24" s="38" t="n">
        <x:f>IF(COUNT(INDEX('SKU明细'!$D$11:$D$1309,MATCH("2302153-BK-S-Z-9.5",'SKU明细'!$A$11:$A$1309,0)))=0,"待核",IF(COUNT(INDEX('SKU明细'!$D$11:$D$1309,MATCH("2302153-BK-S-Z-9.5",'SKU明细'!$A$11:$A$1309,0)))&lt;1,SUM(INDEX('SKU明细'!$D$11:$D$1309,MATCH("2302153-BK-S-Z-9.5",'SKU明细'!$A$11:$A$1309,0)))&amp;" + 待核",SUM(INDEX('SKU明细'!$D$11:$D$1309,MATCH("2302153-BK-S-Z-9.5",'SKU明细'!$A$11:$A$1309,0)))))</x:f>
        <x:v>27</x:v>
      </x:c>
      <x:c r="P24" s="38" t="n">
        <x:f>IF(COUNT(INDEX('SKU明细'!$D$11:$D$1309,MATCH("2302153-BK-S-Z-10",'SKU明细'!$A$11:$A$1309,0)))=0,"待核",IF(COUNT(INDEX('SKU明细'!$D$11:$D$1309,MATCH("2302153-BK-S-Z-10",'SKU明细'!$A$11:$A$1309,0)))&lt;1,SUM(INDEX('SKU明细'!$D$11:$D$1309,MATCH("2302153-BK-S-Z-10",'SKU明细'!$A$11:$A$1309,0)))&amp;" + 待核",SUM(INDEX('SKU明细'!$D$11:$D$1309,MATCH("2302153-BK-S-Z-10",'SKU明细'!$A$11:$A$1309,0)))))</x:f>
        <x:v>0</x:v>
      </x:c>
      <x:c r="Q24" s="38" t="n">
        <x:f>IF(COUNT(INDEX('SKU明细'!$D$11:$D$1309,MATCH("2302153-BK-S-Z-10.5",'SKU明细'!$A$11:$A$1309,0)))=0,"待核",IF(COUNT(INDEX('SKU明细'!$D$11:$D$1309,MATCH("2302153-BK-S-Z-10.5",'SKU明细'!$A$11:$A$1309,0)))&lt;1,SUM(INDEX('SKU明细'!$D$11:$D$1309,MATCH("2302153-BK-S-Z-10.5",'SKU明细'!$A$11:$A$1309,0)))&amp;" + 待核",SUM(INDEX('SKU明细'!$D$11:$D$1309,MATCH("2302153-BK-S-Z-10.5",'SKU明细'!$A$11:$A$1309,0)))))</x:f>
        <x:v>0</x:v>
      </x:c>
      <x:c r="R24" s="38" t="n">
        <x:f>IF(COUNT(INDEX('SKU明细'!$D$11:$D$1309,MATCH("2302153-BK-S-Z-11",'SKU明细'!$A$11:$A$1309,0)))=0,"待核",IF(COUNT(INDEX('SKU明细'!$D$11:$D$1309,MATCH("2302153-BK-S-Z-11",'SKU明细'!$A$11:$A$1309,0)))&lt;1,SUM(INDEX('SKU明细'!$D$11:$D$1309,MATCH("2302153-BK-S-Z-11",'SKU明细'!$A$11:$A$1309,0)))&amp;" + 待核",SUM(INDEX('SKU明细'!$D$11:$D$1309,MATCH("2302153-BK-S-Z-11",'SKU明细'!$A$11:$A$1309,0)))))</x:f>
        <x:v>9</x:v>
      </x:c>
      <x:c r="S24" s="38" t="n">
        <x:f>IF(COUNT(INDEX('SKU明细'!$D$11:$D$1309,MATCH("2302153-BK-S-Z-6",'SKU明细'!$A$11:$A$1309,0)),INDEX('SKU明细'!$D$11:$D$1309,MATCH("2302153-BK-S-Z-6.5",'SKU明细'!$A$11:$A$1309,0)),INDEX('SKU明细'!$D$11:$D$1309,MATCH("2302153-BK-S-Z-7",'SKU明细'!$A$11:$A$1309,0)),INDEX('SKU明细'!$D$11:$D$1309,MATCH("2302153-BK-S-Z-7.5",'SKU明细'!$A$11:$A$1309,0)),INDEX('SKU明细'!$D$11:$D$1309,MATCH("2302153-BK-S-Z-8",'SKU明细'!$A$11:$A$1309,0)),INDEX('SKU明细'!$D$11:$D$1309,MATCH("2302153-BK-S-Z-8.5",'SKU明细'!$A$11:$A$1309,0)),INDEX('SKU明细'!$D$11:$D$1309,MATCH("2302153-BK-S-Z-9",'SKU明细'!$A$11:$A$1309,0)),INDEX('SKU明细'!$D$11:$D$1309,MATCH("2302153-BK-S-Z-9.5",'SKU明细'!$A$11:$A$1309,0)),INDEX('SKU明细'!$D$11:$D$1309,MATCH("2302153-BK-S-Z-10",'SKU明细'!$A$11:$A$1309,0)),INDEX('SKU明细'!$D$11:$D$1309,MATCH("2302153-BK-S-Z-10.5",'SKU明细'!$A$11:$A$1309,0)),INDEX('SKU明细'!$D$11:$D$1309,MATCH("2302153-BK-S-Z-11",'SKU明细'!$A$11:$A$1309,0)))=0,"待核",SUM(INDEX('SKU明细'!$D$11:$D$1309,MATCH("2302153-BK-S-Z-6",'SKU明细'!$A$11:$A$1309,0)),INDEX('SKU明细'!$D$11:$D$1309,MATCH("2302153-BK-S-Z-6.5",'SKU明细'!$A$11:$A$1309,0)),INDEX('SKU明细'!$D$11:$D$1309,MATCH("2302153-BK-S-Z-7",'SKU明细'!$A$11:$A$1309,0)),INDEX('SKU明细'!$D$11:$D$1309,MATCH("2302153-BK-S-Z-7.5",'SKU明细'!$A$11:$A$1309,0)),INDEX('SKU明细'!$D$11:$D$1309,MATCH("2302153-BK-S-Z-8",'SKU明细'!$A$11:$A$1309,0)),INDEX('SKU明细'!$D$11:$D$1309,MATCH("2302153-BK-S-Z-8.5",'SKU明细'!$A$11:$A$1309,0)),INDEX('SKU明细'!$D$11:$D$1309,MATCH("2302153-BK-S-Z-9",'SKU明细'!$A$11:$A$1309,0)),INDEX('SKU明细'!$D$11:$D$1309,MATCH("2302153-BK-S-Z-9.5",'SKU明细'!$A$11:$A$1309,0)),INDEX('SKU明细'!$D$11:$D$1309,MATCH("2302153-BK-S-Z-10",'SKU明细'!$A$11:$A$1309,0)),INDEX('SKU明细'!$D$11:$D$1309,MATCH("2302153-BK-S-Z-10.5",'SKU明细'!$A$11:$A$1309,0)),INDEX('SKU明细'!$D$11:$D$1309,MATCH("2302153-BK-S-Z-11",'SKU明细'!$A$11:$A$1309,0))))</x:f>
        <x:v>419</x:v>
      </x:c>
      <x:c r="T24" s="38" t="n">
        <x:f>IF(COUNTIFS($A$9:$A$191,A24,$U$9:$U$191,"&lt;&gt;待核")=0,"待核",SUMIF($A$9:$A$191,A24,$S$9:$S$191))</x:f>
        <x:v>945</x:v>
      </x:c>
      <x:c r="U24" s="37" t="str">
        <x:f>IF(COUNT(INDEX('SKU明细'!$D$11:$D$1309,MATCH("2302153-BK-S-Z-6",'SKU明细'!$A$11:$A$1309,0)),INDEX('SKU明细'!$D$11:$D$1309,MATCH("2302153-BK-S-Z-6.5",'SKU明细'!$A$11:$A$1309,0)),INDEX('SKU明细'!$D$11:$D$1309,MATCH("2302153-BK-S-Z-7",'SKU明细'!$A$11:$A$1309,0)),INDEX('SKU明细'!$D$11:$D$1309,MATCH("2302153-BK-S-Z-7.5",'SKU明细'!$A$11:$A$1309,0)),INDEX('SKU明细'!$D$11:$D$1309,MATCH("2302153-BK-S-Z-8",'SKU明细'!$A$11:$A$1309,0)),INDEX('SKU明细'!$D$11:$D$1309,MATCH("2302153-BK-S-Z-8.5",'SKU明细'!$A$11:$A$1309,0)),INDEX('SKU明细'!$D$11:$D$1309,MATCH("2302153-BK-S-Z-9",'SKU明细'!$A$11:$A$1309,0)),INDEX('SKU明细'!$D$11:$D$1309,MATCH("2302153-BK-S-Z-9.5",'SKU明细'!$A$11:$A$1309,0)),INDEX('SKU明细'!$D$11:$D$1309,MATCH("2302153-BK-S-Z-10",'SKU明细'!$A$11:$A$1309,0)),INDEX('SKU明细'!$D$11:$D$1309,MATCH("2302153-BK-S-Z-10.5",'SKU明细'!$A$11:$A$1309,0)),INDEX('SKU明细'!$D$11:$D$1309,MATCH("2302153-BK-S-Z-11",'SKU明细'!$A$11:$A$1309,0)))=0,"待核",IF(COUNT(INDEX('SKU明细'!$D$11:$D$1309,MATCH("2302153-BK-S-Z-6",'SKU明细'!$A$11:$A$1309,0)),INDEX('SKU明细'!$D$11:$D$1309,MATCH("2302153-BK-S-Z-6.5",'SKU明细'!$A$11:$A$1309,0)),INDEX('SKU明细'!$D$11:$D$1309,MATCH("2302153-BK-S-Z-7",'SKU明细'!$A$11:$A$1309,0)),INDEX('SKU明细'!$D$11:$D$1309,MATCH("2302153-BK-S-Z-7.5",'SKU明细'!$A$11:$A$1309,0)),INDEX('SKU明细'!$D$11:$D$1309,MATCH("2302153-BK-S-Z-8",'SKU明细'!$A$11:$A$1309,0)),INDEX('SKU明细'!$D$11:$D$1309,MATCH("2302153-BK-S-Z-8.5",'SKU明细'!$A$11:$A$1309,0)),INDEX('SKU明细'!$D$11:$D$1309,MATCH("2302153-BK-S-Z-9",'SKU明细'!$A$11:$A$1309,0)),INDEX('SKU明细'!$D$11:$D$1309,MATCH("2302153-BK-S-Z-9.5",'SKU明细'!$A$11:$A$1309,0)),INDEX('SKU明细'!$D$11:$D$1309,MATCH("2302153-BK-S-Z-10",'SKU明细'!$A$11:$A$1309,0)),INDEX('SKU明细'!$D$11:$D$1309,MATCH("2302153-BK-S-Z-10.5",'SKU明细'!$A$11:$A$1309,0)),INDEX('SKU明细'!$D$11:$D$1309,MATCH("2302153-BK-S-Z-11",'SKU明细'!$A$11:$A$1309,0)))&lt;11,"另有待核","已核"))</x:f>
        <x:v>已核</x:v>
      </x:c>
      <x:c r="V24" s="37" t="str">
        <x:v>在售</x:v>
      </x:c>
      <x:c r="W24" s="11" t="n">
        <x:f>IF(COUNT(INDEX('SKU明细'!$BV$11:$BV$1309,MATCH("2302153-BK-S-Z-6",'SKU明细'!$A$11:$A$1309,0)),INDEX('SKU明细'!$BV$11:$BV$1309,MATCH("2302153-BK-S-Z-6.5",'SKU明细'!$A$11:$A$1309,0)),INDEX('SKU明细'!$BV$11:$BV$1309,MATCH("2302153-BK-S-Z-7",'SKU明细'!$A$11:$A$1309,0)),INDEX('SKU明细'!$BV$11:$BV$1309,MATCH("2302153-BK-S-Z-7.5",'SKU明细'!$A$11:$A$1309,0)),INDEX('SKU明细'!$BV$11:$BV$1309,MATCH("2302153-BK-S-Z-8",'SKU明细'!$A$11:$A$1309,0)),INDEX('SKU明细'!$BV$11:$BV$1309,MATCH("2302153-BK-S-Z-8.5",'SKU明细'!$A$11:$A$1309,0)),INDEX('SKU明细'!$BV$11:$BV$1309,MATCH("2302153-BK-S-Z-9",'SKU明细'!$A$11:$A$1309,0)),INDEX('SKU明细'!$BV$11:$BV$1309,MATCH("2302153-BK-S-Z-9.5",'SKU明细'!$A$11:$A$1309,0)),INDEX('SKU明细'!$BV$11:$BV$1309,MATCH("2302153-BK-S-Z-10",'SKU明细'!$A$11:$A$1309,0)),INDEX('SKU明细'!$BV$11:$BV$1309,MATCH("2302153-BK-S-Z-10.5",'SKU明细'!$A$11:$A$1309,0)),INDEX('SKU明细'!$BV$11:$BV$1309,MATCH("2302153-BK-S-Z-11",'SKU明细'!$A$11:$A$1309,0)))=11,SUM(INDEX('SKU明细'!$BV$11:$BV$1309,MATCH("2302153-BK-S-Z-6",'SKU明细'!$A$11:$A$1309,0)),INDEX('SKU明细'!$BV$11:$BV$1309,MATCH("2302153-BK-S-Z-6.5",'SKU明细'!$A$11:$A$1309,0)),INDEX('SKU明细'!$BV$11:$BV$1309,MATCH("2302153-BK-S-Z-7",'SKU明细'!$A$11:$A$1309,0)),INDEX('SKU明细'!$BV$11:$BV$1309,MATCH("2302153-BK-S-Z-7.5",'SKU明细'!$A$11:$A$1309,0)),INDEX('SKU明细'!$BV$11:$BV$1309,MATCH("2302153-BK-S-Z-8",'SKU明细'!$A$11:$A$1309,0)),INDEX('SKU明细'!$BV$11:$BV$1309,MATCH("2302153-BK-S-Z-8.5",'SKU明细'!$A$11:$A$1309,0)),INDEX('SKU明细'!$BV$11:$BV$1309,MATCH("2302153-BK-S-Z-9",'SKU明细'!$A$11:$A$1309,0)),INDEX('SKU明细'!$BV$11:$BV$1309,MATCH("2302153-BK-S-Z-9.5",'SKU明细'!$A$11:$A$1309,0)),INDEX('SKU明细'!$BV$11:$BV$1309,MATCH("2302153-BK-S-Z-10",'SKU明细'!$A$11:$A$1309,0)),INDEX('SKU明细'!$BV$11:$BV$1309,MATCH("2302153-BK-S-Z-10.5",'SKU明细'!$A$11:$A$1309,0)),INDEX('SKU明细'!$BV$11:$BV$1309,MATCH("2302153-BK-S-Z-11",'SKU明细'!$A$11:$A$1309,0))),"待核")</x:f>
        <x:v>14.203593194271557</x:v>
      </x:c>
      <x:c r="X24" s="11" t="n">
        <x:f>INDEX('SKU明细'!$BW$11:$BW$1309,MATCH("2302153-BK-S-Z-6",'SKU明细'!$A$11:$A$1309,0))</x:f>
        <x:v>1.7391279184229513</x:v>
      </x:c>
      <x:c r="Y24" s="13" t="n">
        <x:f>IF(COUNT(INDEX('SKU明细'!$BY$11:$BY$1309,MATCH("2302153-BK-S-Z-6",'SKU明细'!$A$11:$A$1309,0)),INDEX('SKU明细'!$BY$11:$BY$1309,MATCH("2302153-BK-S-Z-6.5",'SKU明细'!$A$11:$A$1309,0)),INDEX('SKU明细'!$BY$11:$BY$1309,MATCH("2302153-BK-S-Z-7",'SKU明细'!$A$11:$A$1309,0)),INDEX('SKU明细'!$BY$11:$BY$1309,MATCH("2302153-BK-S-Z-7.5",'SKU明细'!$A$11:$A$1309,0)),INDEX('SKU明细'!$BY$11:$BY$1309,MATCH("2302153-BK-S-Z-8",'SKU明细'!$A$11:$A$1309,0)),INDEX('SKU明细'!$BY$11:$BY$1309,MATCH("2302153-BK-S-Z-8.5",'SKU明细'!$A$11:$A$1309,0)),INDEX('SKU明细'!$BY$11:$BY$1309,MATCH("2302153-BK-S-Z-9",'SKU明细'!$A$11:$A$1309,0)),INDEX('SKU明细'!$BY$11:$BY$1309,MATCH("2302153-BK-S-Z-9.5",'SKU明细'!$A$11:$A$1309,0)),INDEX('SKU明细'!$BY$11:$BY$1309,MATCH("2302153-BK-S-Z-10",'SKU明细'!$A$11:$A$1309,0)),INDEX('SKU明细'!$BY$11:$BY$1309,MATCH("2302153-BK-S-Z-10.5",'SKU明细'!$A$11:$A$1309,0)),INDEX('SKU明细'!$BY$11:$BY$1309,MATCH("2302153-BK-S-Z-11",'SKU明细'!$A$11:$A$1309,0)))=11,SUM(INDEX('SKU明细'!$BY$11:$BY$1309,MATCH("2302153-BK-S-Z-6",'SKU明细'!$A$11:$A$1309,0)),INDEX('SKU明细'!$BY$11:$BY$1309,MATCH("2302153-BK-S-Z-6.5",'SKU明细'!$A$11:$A$1309,0)),INDEX('SKU明细'!$BY$11:$BY$1309,MATCH("2302153-BK-S-Z-7",'SKU明细'!$A$11:$A$1309,0)),INDEX('SKU明细'!$BY$11:$BY$1309,MATCH("2302153-BK-S-Z-7.5",'SKU明细'!$A$11:$A$1309,0)),INDEX('SKU明细'!$BY$11:$BY$1309,MATCH("2302153-BK-S-Z-8",'SKU明细'!$A$11:$A$1309,0)),INDEX('SKU明细'!$BY$11:$BY$1309,MATCH("2302153-BK-S-Z-8.5",'SKU明细'!$A$11:$A$1309,0)),INDEX('SKU明细'!$BY$11:$BY$1309,MATCH("2302153-BK-S-Z-9",'SKU明细'!$A$11:$A$1309,0)),INDEX('SKU明细'!$BY$11:$BY$1309,MATCH("2302153-BK-S-Z-9.5",'SKU明细'!$A$11:$A$1309,0)),INDEX('SKU明细'!$BY$11:$BY$1309,MATCH("2302153-BK-S-Z-10",'SKU明细'!$A$11:$A$1309,0)),INDEX('SKU明细'!$BY$11:$BY$1309,MATCH("2302153-BK-S-Z-10.5",'SKU明细'!$A$11:$A$1309,0)),INDEX('SKU明细'!$BY$11:$BY$1309,MATCH("2302153-BK-S-Z-11",'SKU明细'!$A$11:$A$1309,0))),"待核")</x:f>
        <x:v>296.4223855929587</x:v>
      </x:c>
      <x:c r="Z24" s="11" t="n">
        <x:f>INDEX('SKU明细'!$BZ$11:$BZ$1309,MATCH("2302153-BK-S-Z-6",'SKU明细'!$A$11:$A$1309,0))</x:f>
        <x:v>1.4002077845513243</x:v>
      </x:c>
      <x:c r="AA24" s="13" t="n">
        <x:f>IF(COUNT(INDEX('SKU明细'!$CB$11:$CB$1309,MATCH("2302153-BK-S-Z-6",'SKU明细'!$A$11:$A$1309,0)),INDEX('SKU明细'!$CB$11:$CB$1309,MATCH("2302153-BK-S-Z-6.5",'SKU明细'!$A$11:$A$1309,0)),INDEX('SKU明细'!$CB$11:$CB$1309,MATCH("2302153-BK-S-Z-7",'SKU明细'!$A$11:$A$1309,0)),INDEX('SKU明细'!$CB$11:$CB$1309,MATCH("2302153-BK-S-Z-7.5",'SKU明细'!$A$11:$A$1309,0)),INDEX('SKU明细'!$CB$11:$CB$1309,MATCH("2302153-BK-S-Z-8",'SKU明细'!$A$11:$A$1309,0)),INDEX('SKU明细'!$CB$11:$CB$1309,MATCH("2302153-BK-S-Z-8.5",'SKU明细'!$A$11:$A$1309,0)),INDEX('SKU明细'!$CB$11:$CB$1309,MATCH("2302153-BK-S-Z-9",'SKU明细'!$A$11:$A$1309,0)),INDEX('SKU明细'!$CB$11:$CB$1309,MATCH("2302153-BK-S-Z-9.5",'SKU明细'!$A$11:$A$1309,0)),INDEX('SKU明细'!$CB$11:$CB$1309,MATCH("2302153-BK-S-Z-10",'SKU明细'!$A$11:$A$1309,0)),INDEX('SKU明细'!$CB$11:$CB$1309,MATCH("2302153-BK-S-Z-10.5",'SKU明细'!$A$11:$A$1309,0)),INDEX('SKU明细'!$CB$11:$CB$1309,MATCH("2302153-BK-S-Z-11",'SKU明细'!$A$11:$A$1309,0)))=11,SUM(INDEX('SKU明细'!$CB$11:$CB$1309,MATCH("2302153-BK-S-Z-6",'SKU明细'!$A$11:$A$1309,0)),INDEX('SKU明细'!$CB$11:$CB$1309,MATCH("2302153-BK-S-Z-6.5",'SKU明细'!$A$11:$A$1309,0)),INDEX('SKU明细'!$CB$11:$CB$1309,MATCH("2302153-BK-S-Z-7",'SKU明细'!$A$11:$A$1309,0)),INDEX('SKU明细'!$CB$11:$CB$1309,MATCH("2302153-BK-S-Z-7.5",'SKU明细'!$A$11:$A$1309,0)),INDEX('SKU明细'!$CB$11:$CB$1309,MATCH("2302153-BK-S-Z-8",'SKU明细'!$A$11:$A$1309,0)),INDEX('SKU明细'!$CB$11:$CB$1309,MATCH("2302153-BK-S-Z-8.5",'SKU明细'!$A$11:$A$1309,0)),INDEX('SKU明细'!$CB$11:$CB$1309,MATCH("2302153-BK-S-Z-9",'SKU明细'!$A$11:$A$1309,0)),INDEX('SKU明细'!$CB$11:$CB$1309,MATCH("2302153-BK-S-Z-9.5",'SKU明细'!$A$11:$A$1309,0)),INDEX('SKU明细'!$CB$11:$CB$1309,MATCH("2302153-BK-S-Z-10",'SKU明细'!$A$11:$A$1309,0)),INDEX('SKU明细'!$CB$11:$CB$1309,MATCH("2302153-BK-S-Z-10.5",'SKU明细'!$A$11:$A$1309,0)),INDEX('SKU明细'!$CB$11:$CB$1309,MATCH("2302153-BK-S-Z-11",'SKU明细'!$A$11:$A$1309,0))),"待核")</x:f>
        <x:v>596.6394527765773</x:v>
      </x:c>
      <x:c r="AB24" s="11" t="n">
        <x:f>INDEX('SKU明细'!$CC$11:$CC$1309,MATCH("2302153-BK-S-Z-6",'SKU明细'!$A$11:$A$1309,0))</x:f>
        <x:v>1.079339935625147</x:v>
      </x:c>
      <x:c r="AC24" s="13" t="n">
        <x:f>IF(COUNT(INDEX('SKU明细'!$CE$11:$CE$1309,MATCH("2302153-BK-S-Z-6",'SKU明细'!$A$11:$A$1309,0)),INDEX('SKU明细'!$CE$11:$CE$1309,MATCH("2302153-BK-S-Z-6.5",'SKU明细'!$A$11:$A$1309,0)),INDEX('SKU明细'!$CE$11:$CE$1309,MATCH("2302153-BK-S-Z-7",'SKU明细'!$A$11:$A$1309,0)),INDEX('SKU明细'!$CE$11:$CE$1309,MATCH("2302153-BK-S-Z-7.5",'SKU明细'!$A$11:$A$1309,0)),INDEX('SKU明细'!$CE$11:$CE$1309,MATCH("2302153-BK-S-Z-8",'SKU明细'!$A$11:$A$1309,0)),INDEX('SKU明细'!$CE$11:$CE$1309,MATCH("2302153-BK-S-Z-8.5",'SKU明细'!$A$11:$A$1309,0)),INDEX('SKU明细'!$CE$11:$CE$1309,MATCH("2302153-BK-S-Z-9",'SKU明细'!$A$11:$A$1309,0)),INDEX('SKU明细'!$CE$11:$CE$1309,MATCH("2302153-BK-S-Z-9.5",'SKU明细'!$A$11:$A$1309,0)),INDEX('SKU明细'!$CE$11:$CE$1309,MATCH("2302153-BK-S-Z-10",'SKU明细'!$A$11:$A$1309,0)),INDEX('SKU明细'!$CE$11:$CE$1309,MATCH("2302153-BK-S-Z-10.5",'SKU明细'!$A$11:$A$1309,0)),INDEX('SKU明细'!$CE$11:$CE$1309,MATCH("2302153-BK-S-Z-11",'SKU明细'!$A$11:$A$1309,0)))=11,SUM(INDEX('SKU明细'!$CE$11:$CE$1309,MATCH("2302153-BK-S-Z-6",'SKU明细'!$A$11:$A$1309,0)),INDEX('SKU明细'!$CE$11:$CE$1309,MATCH("2302153-BK-S-Z-6.5",'SKU明细'!$A$11:$A$1309,0)),INDEX('SKU明细'!$CE$11:$CE$1309,MATCH("2302153-BK-S-Z-7",'SKU明细'!$A$11:$A$1309,0)),INDEX('SKU明细'!$CE$11:$CE$1309,MATCH("2302153-BK-S-Z-7.5",'SKU明细'!$A$11:$A$1309,0)),INDEX('SKU明细'!$CE$11:$CE$1309,MATCH("2302153-BK-S-Z-8",'SKU明细'!$A$11:$A$1309,0)),INDEX('SKU明细'!$CE$11:$CE$1309,MATCH("2302153-BK-S-Z-8.5",'SKU明细'!$A$11:$A$1309,0)),INDEX('SKU明细'!$CE$11:$CE$1309,MATCH("2302153-BK-S-Z-9",'SKU明细'!$A$11:$A$1309,0)),INDEX('SKU明细'!$CE$11:$CE$1309,MATCH("2302153-BK-S-Z-9.5",'SKU明细'!$A$11:$A$1309,0)),INDEX('SKU明细'!$CE$11:$CE$1309,MATCH("2302153-BK-S-Z-10",'SKU明细'!$A$11:$A$1309,0)),INDEX('SKU明细'!$CE$11:$CE$1309,MATCH("2302153-BK-S-Z-10.5",'SKU明细'!$A$11:$A$1309,0)),INDEX('SKU明细'!$CE$11:$CE$1309,MATCH("2302153-BK-S-Z-11",'SKU明细'!$A$11:$A$1309,0))),"待核")</x:f>
        <x:v>475.2456662824759</x:v>
      </x:c>
      <x:c r="AD24" s="11" t="n">
        <x:f>INDEX('SKU明细'!$CF$11:$CF$1309,MATCH("2302153-BK-S-Z-6",'SKU明细'!$A$11:$A$1309,0))</x:f>
        <x:v>0.7719368903846591</x:v>
      </x:c>
      <x:c r="AE24" s="13" t="n">
        <x:f>IF(COUNT(INDEX('SKU明细'!$CH$11:$CH$1309,MATCH("2302153-BK-S-Z-6",'SKU明细'!$A$11:$A$1309,0)),INDEX('SKU明细'!$CH$11:$CH$1309,MATCH("2302153-BK-S-Z-6.5",'SKU明细'!$A$11:$A$1309,0)),INDEX('SKU明细'!$CH$11:$CH$1309,MATCH("2302153-BK-S-Z-7",'SKU明细'!$A$11:$A$1309,0)),INDEX('SKU明细'!$CH$11:$CH$1309,MATCH("2302153-BK-S-Z-7.5",'SKU明细'!$A$11:$A$1309,0)),INDEX('SKU明细'!$CH$11:$CH$1309,MATCH("2302153-BK-S-Z-8",'SKU明细'!$A$11:$A$1309,0)),INDEX('SKU明细'!$CH$11:$CH$1309,MATCH("2302153-BK-S-Z-8.5",'SKU明细'!$A$11:$A$1309,0)),INDEX('SKU明细'!$CH$11:$CH$1309,MATCH("2302153-BK-S-Z-9",'SKU明细'!$A$11:$A$1309,0)),INDEX('SKU明细'!$CH$11:$CH$1309,MATCH("2302153-BK-S-Z-9.5",'SKU明细'!$A$11:$A$1309,0)),INDEX('SKU明细'!$CH$11:$CH$1309,MATCH("2302153-BK-S-Z-10",'SKU明细'!$A$11:$A$1309,0)),INDEX('SKU明细'!$CH$11:$CH$1309,MATCH("2302153-BK-S-Z-10.5",'SKU明细'!$A$11:$A$1309,0)),INDEX('SKU明细'!$CH$11:$CH$1309,MATCH("2302153-BK-S-Z-11",'SKU明细'!$A$11:$A$1309,0)))=11,SUM(INDEX('SKU明细'!$CH$11:$CH$1309,MATCH("2302153-BK-S-Z-6",'SKU明细'!$A$11:$A$1309,0)),INDEX('SKU明细'!$CH$11:$CH$1309,MATCH("2302153-BK-S-Z-6.5",'SKU明细'!$A$11:$A$1309,0)),INDEX('SKU明细'!$CH$11:$CH$1309,MATCH("2302153-BK-S-Z-7",'SKU明细'!$A$11:$A$1309,0)),INDEX('SKU明细'!$CH$11:$CH$1309,MATCH("2302153-BK-S-Z-7.5",'SKU明细'!$A$11:$A$1309,0)),INDEX('SKU明细'!$CH$11:$CH$1309,MATCH("2302153-BK-S-Z-8",'SKU明细'!$A$11:$A$1309,0)),INDEX('SKU明细'!$CH$11:$CH$1309,MATCH("2302153-BK-S-Z-8.5",'SKU明细'!$A$11:$A$1309,0)),INDEX('SKU明细'!$CH$11:$CH$1309,MATCH("2302153-BK-S-Z-9",'SKU明细'!$A$11:$A$1309,0)),INDEX('SKU明细'!$CH$11:$CH$1309,MATCH("2302153-BK-S-Z-9.5",'SKU明细'!$A$11:$A$1309,0)),INDEX('SKU明细'!$CH$11:$CH$1309,MATCH("2302153-BK-S-Z-10",'SKU明细'!$A$11:$A$1309,0)),INDEX('SKU明细'!$CH$11:$CH$1309,MATCH("2302153-BK-S-Z-10.5",'SKU明细'!$A$11:$A$1309,0)),INDEX('SKU明细'!$CH$11:$CH$1309,MATCH("2302153-BK-S-Z-11",'SKU明细'!$A$11:$A$1309,0))),"待核")</x:f>
        <x:v>186.39271856546972</x:v>
      </x:c>
      <x:c r="AF24" s="13" t="n">
        <x:f>IF(COUNT(INDEX('SKU明细'!$CI$11:$CI$1309,MATCH("2302153-BK-S-Z-6",'SKU明细'!$A$11:$A$1309,0)),INDEX('SKU明细'!$CI$11:$CI$1309,MATCH("2302153-BK-S-Z-6.5",'SKU明细'!$A$11:$A$1309,0)),INDEX('SKU明细'!$CI$11:$CI$1309,MATCH("2302153-BK-S-Z-7",'SKU明细'!$A$11:$A$1309,0)),INDEX('SKU明细'!$CI$11:$CI$1309,MATCH("2302153-BK-S-Z-7.5",'SKU明细'!$A$11:$A$1309,0)),INDEX('SKU明细'!$CI$11:$CI$1309,MATCH("2302153-BK-S-Z-8",'SKU明细'!$A$11:$A$1309,0)),INDEX('SKU明细'!$CI$11:$CI$1309,MATCH("2302153-BK-S-Z-8.5",'SKU明细'!$A$11:$A$1309,0)),INDEX('SKU明细'!$CI$11:$CI$1309,MATCH("2302153-BK-S-Z-9",'SKU明细'!$A$11:$A$1309,0)),INDEX('SKU明细'!$CI$11:$CI$1309,MATCH("2302153-BK-S-Z-9.5",'SKU明细'!$A$11:$A$1309,0)),INDEX('SKU明细'!$CI$11:$CI$1309,MATCH("2302153-BK-S-Z-10",'SKU明细'!$A$11:$A$1309,0)),INDEX('SKU明细'!$CI$11:$CI$1309,MATCH("2302153-BK-S-Z-10.5",'SKU明细'!$A$11:$A$1309,0)),INDEX('SKU明细'!$CI$11:$CI$1309,MATCH("2302153-BK-S-Z-11",'SKU明细'!$A$11:$A$1309,0)))=11,SUM(INDEX('SKU明细'!$CI$11:$CI$1309,MATCH("2302153-BK-S-Z-6",'SKU明细'!$A$11:$A$1309,0)),INDEX('SKU明细'!$CI$11:$CI$1309,MATCH("2302153-BK-S-Z-6.5",'SKU明细'!$A$11:$A$1309,0)),INDEX('SKU明细'!$CI$11:$CI$1309,MATCH("2302153-BK-S-Z-7",'SKU明细'!$A$11:$A$1309,0)),INDEX('SKU明细'!$CI$11:$CI$1309,MATCH("2302153-BK-S-Z-7.5",'SKU明细'!$A$11:$A$1309,0)),INDEX('SKU明细'!$CI$11:$CI$1309,MATCH("2302153-BK-S-Z-8",'SKU明细'!$A$11:$A$1309,0)),INDEX('SKU明细'!$CI$11:$CI$1309,MATCH("2302153-BK-S-Z-8.5",'SKU明细'!$A$11:$A$1309,0)),INDEX('SKU明细'!$CI$11:$CI$1309,MATCH("2302153-BK-S-Z-9",'SKU明细'!$A$11:$A$1309,0)),INDEX('SKU明细'!$CI$11:$CI$1309,MATCH("2302153-BK-S-Z-9.5",'SKU明细'!$A$11:$A$1309,0)),INDEX('SKU明细'!$CI$11:$CI$1309,MATCH("2302153-BK-S-Z-10",'SKU明细'!$A$11:$A$1309,0)),INDEX('SKU明细'!$CI$11:$CI$1309,MATCH("2302153-BK-S-Z-10.5",'SKU明细'!$A$11:$A$1309,0)),INDEX('SKU明细'!$CI$11:$CI$1309,MATCH("2302153-BK-S-Z-11",'SKU明细'!$A$11:$A$1309,0))),"待核")</x:f>
        <x:v>1554.7002232174814</x:v>
      </x:c>
    </x:row>
    <x:row r="25" ht="40" customHeight="1">
      <x:c r="A25" s="37" t="str">
        <x:v>2302153</x:v>
      </x:c>
      <x:c r="B25" s="37" t="str">
        <x:v>徐新怡</x:v>
      </x:c>
      <x:c r="C25" s="37" t="str">
        <x:v>驼色</x:v>
      </x:c>
      <x:c r="D25" s="37" t="str">
        <x:v>CC-P</x:v>
      </x:c>
      <x:c r="E25" s="37" t="str">
        <x:v>2302153-CC-P-Z</x:v>
      </x:c>
      <x:c r="F25" s="37"/>
      <x:c r="G25" s="38" t="str">
        <x:f>"—"</x:f>
        <x:v>—</x:v>
      </x:c>
      <x:c r="H25" s="38" t="n">
        <x:f>IF(COUNT(INDEX('SKU明细'!$D$11:$D$1309,MATCH("2302153-CC-P-Z-6",'SKU明细'!$A$11:$A$1309,0)))=0,"待核",IF(COUNT(INDEX('SKU明细'!$D$11:$D$1309,MATCH("2302153-CC-P-Z-6",'SKU明细'!$A$11:$A$1309,0)))&lt;1,SUM(INDEX('SKU明细'!$D$11:$D$1309,MATCH("2302153-CC-P-Z-6",'SKU明细'!$A$11:$A$1309,0)))&amp;" + 待核",SUM(INDEX('SKU明细'!$D$11:$D$1309,MATCH("2302153-CC-P-Z-6",'SKU明细'!$A$11:$A$1309,0)))))</x:f>
        <x:v>0</x:v>
      </x:c>
      <x:c r="I25" s="38" t="n">
        <x:f>IF(COUNT(INDEX('SKU明细'!$D$11:$D$1309,MATCH("2302153-CC-P-Z-6.5",'SKU明细'!$A$11:$A$1309,0)))=0,"待核",IF(COUNT(INDEX('SKU明细'!$D$11:$D$1309,MATCH("2302153-CC-P-Z-6.5",'SKU明细'!$A$11:$A$1309,0)))&lt;1,SUM(INDEX('SKU明细'!$D$11:$D$1309,MATCH("2302153-CC-P-Z-6.5",'SKU明细'!$A$11:$A$1309,0)))&amp;" + 待核",SUM(INDEX('SKU明细'!$D$11:$D$1309,MATCH("2302153-CC-P-Z-6.5",'SKU明细'!$A$11:$A$1309,0)))))</x:f>
        <x:v>0</x:v>
      </x:c>
      <x:c r="J25" s="38" t="n">
        <x:f>IF(COUNT(INDEX('SKU明细'!$D$11:$D$1309,MATCH("2302153-CC-P-Z-7",'SKU明细'!$A$11:$A$1309,0)))=0,"待核",IF(COUNT(INDEX('SKU明细'!$D$11:$D$1309,MATCH("2302153-CC-P-Z-7",'SKU明细'!$A$11:$A$1309,0)))&lt;1,SUM(INDEX('SKU明细'!$D$11:$D$1309,MATCH("2302153-CC-P-Z-7",'SKU明细'!$A$11:$A$1309,0)))&amp;" + 待核",SUM(INDEX('SKU明细'!$D$11:$D$1309,MATCH("2302153-CC-P-Z-7",'SKU明细'!$A$11:$A$1309,0)))))</x:f>
        <x:v>14</x:v>
      </x:c>
      <x:c r="K25" s="38" t="n">
        <x:f>IF(COUNT(INDEX('SKU明细'!$D$11:$D$1309,MATCH("2302153-CC-P-Z-7.5",'SKU明细'!$A$11:$A$1309,0)))=0,"待核",IF(COUNT(INDEX('SKU明细'!$D$11:$D$1309,MATCH("2302153-CC-P-Z-7.5",'SKU明细'!$A$11:$A$1309,0)))&lt;1,SUM(INDEX('SKU明细'!$D$11:$D$1309,MATCH("2302153-CC-P-Z-7.5",'SKU明细'!$A$11:$A$1309,0)))&amp;" + 待核",SUM(INDEX('SKU明细'!$D$11:$D$1309,MATCH("2302153-CC-P-Z-7.5",'SKU明细'!$A$11:$A$1309,0)))))</x:f>
        <x:v>0</x:v>
      </x:c>
      <x:c r="L25" s="38" t="n">
        <x:f>IF(COUNT(INDEX('SKU明细'!$D$11:$D$1309,MATCH("2302153-CC-P-Z-8",'SKU明细'!$A$11:$A$1309,0)))=0,"待核",IF(COUNT(INDEX('SKU明细'!$D$11:$D$1309,MATCH("2302153-CC-P-Z-8",'SKU明细'!$A$11:$A$1309,0)))&lt;1,SUM(INDEX('SKU明细'!$D$11:$D$1309,MATCH("2302153-CC-P-Z-8",'SKU明细'!$A$11:$A$1309,0)))&amp;" + 待核",SUM(INDEX('SKU明细'!$D$11:$D$1309,MATCH("2302153-CC-P-Z-8",'SKU明细'!$A$11:$A$1309,0)))))</x:f>
        <x:v>0</x:v>
      </x:c>
      <x:c r="M25" s="38" t="n">
        <x:f>IF(COUNT(INDEX('SKU明细'!$D$11:$D$1309,MATCH("2302153-CC-P-Z-8.5",'SKU明细'!$A$11:$A$1309,0)))=0,"待核",IF(COUNT(INDEX('SKU明细'!$D$11:$D$1309,MATCH("2302153-CC-P-Z-8.5",'SKU明细'!$A$11:$A$1309,0)))&lt;1,SUM(INDEX('SKU明细'!$D$11:$D$1309,MATCH("2302153-CC-P-Z-8.5",'SKU明细'!$A$11:$A$1309,0)))&amp;" + 待核",SUM(INDEX('SKU明细'!$D$11:$D$1309,MATCH("2302153-CC-P-Z-8.5",'SKU明细'!$A$11:$A$1309,0)))))</x:f>
        <x:v>0</x:v>
      </x:c>
      <x:c r="N25" s="38" t="n">
        <x:f>IF(COUNT(INDEX('SKU明细'!$D$11:$D$1309,MATCH("2302153-CC-P-Z-9",'SKU明细'!$A$11:$A$1309,0)))=0,"待核",IF(COUNT(INDEX('SKU明细'!$D$11:$D$1309,MATCH("2302153-CC-P-Z-9",'SKU明细'!$A$11:$A$1309,0)))&lt;1,SUM(INDEX('SKU明细'!$D$11:$D$1309,MATCH("2302153-CC-P-Z-9",'SKU明细'!$A$11:$A$1309,0)))&amp;" + 待核",SUM(INDEX('SKU明细'!$D$11:$D$1309,MATCH("2302153-CC-P-Z-9",'SKU明细'!$A$11:$A$1309,0)))))</x:f>
        <x:v>0</x:v>
      </x:c>
      <x:c r="O25" s="38" t="n">
        <x:f>IF(COUNT(INDEX('SKU明细'!$D$11:$D$1309,MATCH("2302153-CC-P-Z-9.5",'SKU明细'!$A$11:$A$1309,0)))=0,"待核",IF(COUNT(INDEX('SKU明细'!$D$11:$D$1309,MATCH("2302153-CC-P-Z-9.5",'SKU明细'!$A$11:$A$1309,0)))&lt;1,SUM(INDEX('SKU明细'!$D$11:$D$1309,MATCH("2302153-CC-P-Z-9.5",'SKU明细'!$A$11:$A$1309,0)))&amp;" + 待核",SUM(INDEX('SKU明细'!$D$11:$D$1309,MATCH("2302153-CC-P-Z-9.5",'SKU明细'!$A$11:$A$1309,0)))))</x:f>
        <x:v>1</x:v>
      </x:c>
      <x:c r="P25" s="38" t="n">
        <x:f>IF(COUNT(INDEX('SKU明细'!$D$11:$D$1309,MATCH("2302153-CC-P-Z-10",'SKU明细'!$A$11:$A$1309,0)))=0,"待核",IF(COUNT(INDEX('SKU明细'!$D$11:$D$1309,MATCH("2302153-CC-P-Z-10",'SKU明细'!$A$11:$A$1309,0)))&lt;1,SUM(INDEX('SKU明细'!$D$11:$D$1309,MATCH("2302153-CC-P-Z-10",'SKU明细'!$A$11:$A$1309,0)))&amp;" + 待核",SUM(INDEX('SKU明细'!$D$11:$D$1309,MATCH("2302153-CC-P-Z-10",'SKU明细'!$A$11:$A$1309,0)))))</x:f>
        <x:v>0</x:v>
      </x:c>
      <x:c r="Q25" s="38" t="str">
        <x:f>"—"</x:f>
        <x:v>—</x:v>
      </x:c>
      <x:c r="R25" s="38" t="n">
        <x:f>IF(COUNT(INDEX('SKU明细'!$D$11:$D$1309,MATCH("2302153-CC-P-Z-11",'SKU明细'!$A$11:$A$1309,0)))=0,"待核",IF(COUNT(INDEX('SKU明细'!$D$11:$D$1309,MATCH("2302153-CC-P-Z-11",'SKU明细'!$A$11:$A$1309,0)))&lt;1,SUM(INDEX('SKU明细'!$D$11:$D$1309,MATCH("2302153-CC-P-Z-11",'SKU明细'!$A$11:$A$1309,0)))&amp;" + 待核",SUM(INDEX('SKU明细'!$D$11:$D$1309,MATCH("2302153-CC-P-Z-11",'SKU明细'!$A$11:$A$1309,0)))))</x:f>
        <x:v>4</x:v>
      </x:c>
      <x:c r="S25" s="38" t="n">
        <x:f>IF(COUNT(INDEX('SKU明细'!$D$11:$D$1309,MATCH("2302153-CC-P-Z-6",'SKU明细'!$A$11:$A$1309,0)),INDEX('SKU明细'!$D$11:$D$1309,MATCH("2302153-CC-P-Z-6.5",'SKU明细'!$A$11:$A$1309,0)),INDEX('SKU明细'!$D$11:$D$1309,MATCH("2302153-CC-P-Z-7",'SKU明细'!$A$11:$A$1309,0)),INDEX('SKU明细'!$D$11:$D$1309,MATCH("2302153-CC-P-Z-7.5",'SKU明细'!$A$11:$A$1309,0)),INDEX('SKU明细'!$D$11:$D$1309,MATCH("2302153-CC-P-Z-8",'SKU明细'!$A$11:$A$1309,0)),INDEX('SKU明细'!$D$11:$D$1309,MATCH("2302153-CC-P-Z-8.5",'SKU明细'!$A$11:$A$1309,0)),INDEX('SKU明细'!$D$11:$D$1309,MATCH("2302153-CC-P-Z-9",'SKU明细'!$A$11:$A$1309,0)),INDEX('SKU明细'!$D$11:$D$1309,MATCH("2302153-CC-P-Z-9.5",'SKU明细'!$A$11:$A$1309,0)),INDEX('SKU明细'!$D$11:$D$1309,MATCH("2302153-CC-P-Z-10",'SKU明细'!$A$11:$A$1309,0)),INDEX('SKU明细'!$D$11:$D$1309,MATCH("2302153-CC-P-Z-11",'SKU明细'!$A$11:$A$1309,0)))=0,"待核",SUM(INDEX('SKU明细'!$D$11:$D$1309,MATCH("2302153-CC-P-Z-6",'SKU明细'!$A$11:$A$1309,0)),INDEX('SKU明细'!$D$11:$D$1309,MATCH("2302153-CC-P-Z-6.5",'SKU明细'!$A$11:$A$1309,0)),INDEX('SKU明细'!$D$11:$D$1309,MATCH("2302153-CC-P-Z-7",'SKU明细'!$A$11:$A$1309,0)),INDEX('SKU明细'!$D$11:$D$1309,MATCH("2302153-CC-P-Z-7.5",'SKU明细'!$A$11:$A$1309,0)),INDEX('SKU明细'!$D$11:$D$1309,MATCH("2302153-CC-P-Z-8",'SKU明细'!$A$11:$A$1309,0)),INDEX('SKU明细'!$D$11:$D$1309,MATCH("2302153-CC-P-Z-8.5",'SKU明细'!$A$11:$A$1309,0)),INDEX('SKU明细'!$D$11:$D$1309,MATCH("2302153-CC-P-Z-9",'SKU明细'!$A$11:$A$1309,0)),INDEX('SKU明细'!$D$11:$D$1309,MATCH("2302153-CC-P-Z-9.5",'SKU明细'!$A$11:$A$1309,0)),INDEX('SKU明细'!$D$11:$D$1309,MATCH("2302153-CC-P-Z-10",'SKU明细'!$A$11:$A$1309,0)),INDEX('SKU明细'!$D$11:$D$1309,MATCH("2302153-CC-P-Z-11",'SKU明细'!$A$11:$A$1309,0))))</x:f>
        <x:v>19</x:v>
      </x:c>
      <x:c r="T25" s="38" t="n">
        <x:f>IF(COUNTIFS($A$9:$A$191,A25,$U$9:$U$191,"&lt;&gt;待核")=0,"待核",SUMIF($A$9:$A$191,A25,$S$9:$S$191))</x:f>
        <x:v>945</x:v>
      </x:c>
      <x:c r="U25" s="37" t="str">
        <x:f>IF(COUNT(INDEX('SKU明细'!$D$11:$D$1309,MATCH("2302153-CC-P-Z-6",'SKU明细'!$A$11:$A$1309,0)),INDEX('SKU明细'!$D$11:$D$1309,MATCH("2302153-CC-P-Z-6.5",'SKU明细'!$A$11:$A$1309,0)),INDEX('SKU明细'!$D$11:$D$1309,MATCH("2302153-CC-P-Z-7",'SKU明细'!$A$11:$A$1309,0)),INDEX('SKU明细'!$D$11:$D$1309,MATCH("2302153-CC-P-Z-7.5",'SKU明细'!$A$11:$A$1309,0)),INDEX('SKU明细'!$D$11:$D$1309,MATCH("2302153-CC-P-Z-8",'SKU明细'!$A$11:$A$1309,0)),INDEX('SKU明细'!$D$11:$D$1309,MATCH("2302153-CC-P-Z-8.5",'SKU明细'!$A$11:$A$1309,0)),INDEX('SKU明细'!$D$11:$D$1309,MATCH("2302153-CC-P-Z-9",'SKU明细'!$A$11:$A$1309,0)),INDEX('SKU明细'!$D$11:$D$1309,MATCH("2302153-CC-P-Z-9.5",'SKU明细'!$A$11:$A$1309,0)),INDEX('SKU明细'!$D$11:$D$1309,MATCH("2302153-CC-P-Z-10",'SKU明细'!$A$11:$A$1309,0)),INDEX('SKU明细'!$D$11:$D$1309,MATCH("2302153-CC-P-Z-11",'SKU明细'!$A$11:$A$1309,0)))=0,"待核",IF(COUNT(INDEX('SKU明细'!$D$11:$D$1309,MATCH("2302153-CC-P-Z-6",'SKU明细'!$A$11:$A$1309,0)),INDEX('SKU明细'!$D$11:$D$1309,MATCH("2302153-CC-P-Z-6.5",'SKU明细'!$A$11:$A$1309,0)),INDEX('SKU明细'!$D$11:$D$1309,MATCH("2302153-CC-P-Z-7",'SKU明细'!$A$11:$A$1309,0)),INDEX('SKU明细'!$D$11:$D$1309,MATCH("2302153-CC-P-Z-7.5",'SKU明细'!$A$11:$A$1309,0)),INDEX('SKU明细'!$D$11:$D$1309,MATCH("2302153-CC-P-Z-8",'SKU明细'!$A$11:$A$1309,0)),INDEX('SKU明细'!$D$11:$D$1309,MATCH("2302153-CC-P-Z-8.5",'SKU明细'!$A$11:$A$1309,0)),INDEX('SKU明细'!$D$11:$D$1309,MATCH("2302153-CC-P-Z-9",'SKU明细'!$A$11:$A$1309,0)),INDEX('SKU明细'!$D$11:$D$1309,MATCH("2302153-CC-P-Z-9.5",'SKU明细'!$A$11:$A$1309,0)),INDEX('SKU明细'!$D$11:$D$1309,MATCH("2302153-CC-P-Z-10",'SKU明细'!$A$11:$A$1309,0)),INDEX('SKU明细'!$D$11:$D$1309,MATCH("2302153-CC-P-Z-11",'SKU明细'!$A$11:$A$1309,0)))&lt;10,"另有待核","已核"))</x:f>
        <x:v>已核</x:v>
      </x:c>
      <x:c r="V25" s="37" t="str">
        <x:v>在售</x:v>
      </x:c>
      <x:c r="W25" s="11" t="n">
        <x:f>IF(COUNT(INDEX('SKU明细'!$BV$11:$BV$1309,MATCH("2302153-CC-P-Z-6",'SKU明细'!$A$11:$A$1309,0)),INDEX('SKU明细'!$BV$11:$BV$1309,MATCH("2302153-CC-P-Z-6.5",'SKU明细'!$A$11:$A$1309,0)),INDEX('SKU明细'!$BV$11:$BV$1309,MATCH("2302153-CC-P-Z-7",'SKU明细'!$A$11:$A$1309,0)),INDEX('SKU明细'!$BV$11:$BV$1309,MATCH("2302153-CC-P-Z-7.5",'SKU明细'!$A$11:$A$1309,0)),INDEX('SKU明细'!$BV$11:$BV$1309,MATCH("2302153-CC-P-Z-8",'SKU明细'!$A$11:$A$1309,0)),INDEX('SKU明细'!$BV$11:$BV$1309,MATCH("2302153-CC-P-Z-8.5",'SKU明细'!$A$11:$A$1309,0)),INDEX('SKU明细'!$BV$11:$BV$1309,MATCH("2302153-CC-P-Z-9",'SKU明细'!$A$11:$A$1309,0)),INDEX('SKU明细'!$BV$11:$BV$1309,MATCH("2302153-CC-P-Z-9.5",'SKU明细'!$A$11:$A$1309,0)),INDEX('SKU明细'!$BV$11:$BV$1309,MATCH("2302153-CC-P-Z-10",'SKU明细'!$A$11:$A$1309,0)),INDEX('SKU明细'!$BV$11:$BV$1309,MATCH("2302153-CC-P-Z-11",'SKU明细'!$A$11:$A$1309,0)))=10,SUM(INDEX('SKU明细'!$BV$11:$BV$1309,MATCH("2302153-CC-P-Z-6",'SKU明细'!$A$11:$A$1309,0)),INDEX('SKU明细'!$BV$11:$BV$1309,MATCH("2302153-CC-P-Z-6.5",'SKU明细'!$A$11:$A$1309,0)),INDEX('SKU明细'!$BV$11:$BV$1309,MATCH("2302153-CC-P-Z-7",'SKU明细'!$A$11:$A$1309,0)),INDEX('SKU明细'!$BV$11:$BV$1309,MATCH("2302153-CC-P-Z-7.5",'SKU明细'!$A$11:$A$1309,0)),INDEX('SKU明细'!$BV$11:$BV$1309,MATCH("2302153-CC-P-Z-8",'SKU明细'!$A$11:$A$1309,0)),INDEX('SKU明细'!$BV$11:$BV$1309,MATCH("2302153-CC-P-Z-8.5",'SKU明细'!$A$11:$A$1309,0)),INDEX('SKU明细'!$BV$11:$BV$1309,MATCH("2302153-CC-P-Z-9",'SKU明细'!$A$11:$A$1309,0)),INDEX('SKU明细'!$BV$11:$BV$1309,MATCH("2302153-CC-P-Z-9.5",'SKU明细'!$A$11:$A$1309,0)),INDEX('SKU明细'!$BV$11:$BV$1309,MATCH("2302153-CC-P-Z-10",'SKU明细'!$A$11:$A$1309,0)),INDEX('SKU明细'!$BV$11:$BV$1309,MATCH("2302153-CC-P-Z-11",'SKU明细'!$A$11:$A$1309,0))),"待核")</x:f>
        <x:v>4.064868532287768</x:v>
      </x:c>
      <x:c r="X25" s="11" t="n">
        <x:f>INDEX('SKU明细'!$BW$11:$BW$1309,MATCH("2302153-CC-P-Z-6",'SKU明细'!$A$11:$A$1309,0))</x:f>
        <x:v>1.7391279184229513</x:v>
      </x:c>
      <x:c r="Y25" s="13" t="n">
        <x:f>IF(COUNT(INDEX('SKU明细'!$BY$11:$BY$1309,MATCH("2302153-CC-P-Z-6",'SKU明细'!$A$11:$A$1309,0)),INDEX('SKU明细'!$BY$11:$BY$1309,MATCH("2302153-CC-P-Z-6.5",'SKU明细'!$A$11:$A$1309,0)),INDEX('SKU明细'!$BY$11:$BY$1309,MATCH("2302153-CC-P-Z-7",'SKU明细'!$A$11:$A$1309,0)),INDEX('SKU明细'!$BY$11:$BY$1309,MATCH("2302153-CC-P-Z-7.5",'SKU明细'!$A$11:$A$1309,0)),INDEX('SKU明细'!$BY$11:$BY$1309,MATCH("2302153-CC-P-Z-8",'SKU明细'!$A$11:$A$1309,0)),INDEX('SKU明细'!$BY$11:$BY$1309,MATCH("2302153-CC-P-Z-8.5",'SKU明细'!$A$11:$A$1309,0)),INDEX('SKU明细'!$BY$11:$BY$1309,MATCH("2302153-CC-P-Z-9",'SKU明细'!$A$11:$A$1309,0)),INDEX('SKU明细'!$BY$11:$BY$1309,MATCH("2302153-CC-P-Z-9.5",'SKU明细'!$A$11:$A$1309,0)),INDEX('SKU明细'!$BY$11:$BY$1309,MATCH("2302153-CC-P-Z-10",'SKU明细'!$A$11:$A$1309,0)),INDEX('SKU明细'!$BY$11:$BY$1309,MATCH("2302153-CC-P-Z-11",'SKU明细'!$A$11:$A$1309,0)))=10,SUM(INDEX('SKU明细'!$BY$11:$BY$1309,MATCH("2302153-CC-P-Z-6",'SKU明细'!$A$11:$A$1309,0)),INDEX('SKU明细'!$BY$11:$BY$1309,MATCH("2302153-CC-P-Z-6.5",'SKU明细'!$A$11:$A$1309,0)),INDEX('SKU明细'!$BY$11:$BY$1309,MATCH("2302153-CC-P-Z-7",'SKU明细'!$A$11:$A$1309,0)),INDEX('SKU明细'!$BY$11:$BY$1309,MATCH("2302153-CC-P-Z-7.5",'SKU明细'!$A$11:$A$1309,0)),INDEX('SKU明细'!$BY$11:$BY$1309,MATCH("2302153-CC-P-Z-8",'SKU明细'!$A$11:$A$1309,0)),INDEX('SKU明细'!$BY$11:$BY$1309,MATCH("2302153-CC-P-Z-8.5",'SKU明细'!$A$11:$A$1309,0)),INDEX('SKU明细'!$BY$11:$BY$1309,MATCH("2302153-CC-P-Z-9",'SKU明细'!$A$11:$A$1309,0)),INDEX('SKU明细'!$BY$11:$BY$1309,MATCH("2302153-CC-P-Z-9.5",'SKU明细'!$A$11:$A$1309,0)),INDEX('SKU明细'!$BY$11:$BY$1309,MATCH("2302153-CC-P-Z-10",'SKU明细'!$A$11:$A$1309,0)),INDEX('SKU明细'!$BY$11:$BY$1309,MATCH("2302153-CC-P-Z-11",'SKU明细'!$A$11:$A$1309,0))),"待核")</x:f>
        <x:v>84.831916190647</x:v>
      </x:c>
      <x:c r="Z25" s="11" t="n">
        <x:f>INDEX('SKU明细'!$BZ$11:$BZ$1309,MATCH("2302153-CC-P-Z-6",'SKU明细'!$A$11:$A$1309,0))</x:f>
        <x:v>1.4002077845513243</x:v>
      </x:c>
      <x:c r="AA25" s="13" t="n">
        <x:f>IF(COUNT(INDEX('SKU明细'!$CB$11:$CB$1309,MATCH("2302153-CC-P-Z-6",'SKU明细'!$A$11:$A$1309,0)),INDEX('SKU明细'!$CB$11:$CB$1309,MATCH("2302153-CC-P-Z-6.5",'SKU明细'!$A$11:$A$1309,0)),INDEX('SKU明细'!$CB$11:$CB$1309,MATCH("2302153-CC-P-Z-7",'SKU明细'!$A$11:$A$1309,0)),INDEX('SKU明细'!$CB$11:$CB$1309,MATCH("2302153-CC-P-Z-7.5",'SKU明细'!$A$11:$A$1309,0)),INDEX('SKU明细'!$CB$11:$CB$1309,MATCH("2302153-CC-P-Z-8",'SKU明细'!$A$11:$A$1309,0)),INDEX('SKU明细'!$CB$11:$CB$1309,MATCH("2302153-CC-P-Z-8.5",'SKU明细'!$A$11:$A$1309,0)),INDEX('SKU明细'!$CB$11:$CB$1309,MATCH("2302153-CC-P-Z-9",'SKU明细'!$A$11:$A$1309,0)),INDEX('SKU明细'!$CB$11:$CB$1309,MATCH("2302153-CC-P-Z-9.5",'SKU明细'!$A$11:$A$1309,0)),INDEX('SKU明细'!$CB$11:$CB$1309,MATCH("2302153-CC-P-Z-10",'SKU明细'!$A$11:$A$1309,0)),INDEX('SKU明细'!$CB$11:$CB$1309,MATCH("2302153-CC-P-Z-11",'SKU明细'!$A$11:$A$1309,0)))=10,SUM(INDEX('SKU明细'!$CB$11:$CB$1309,MATCH("2302153-CC-P-Z-6",'SKU明细'!$A$11:$A$1309,0)),INDEX('SKU明细'!$CB$11:$CB$1309,MATCH("2302153-CC-P-Z-6.5",'SKU明细'!$A$11:$A$1309,0)),INDEX('SKU明细'!$CB$11:$CB$1309,MATCH("2302153-CC-P-Z-7",'SKU明细'!$A$11:$A$1309,0)),INDEX('SKU明细'!$CB$11:$CB$1309,MATCH("2302153-CC-P-Z-7.5",'SKU明细'!$A$11:$A$1309,0)),INDEX('SKU明细'!$CB$11:$CB$1309,MATCH("2302153-CC-P-Z-8",'SKU明细'!$A$11:$A$1309,0)),INDEX('SKU明细'!$CB$11:$CB$1309,MATCH("2302153-CC-P-Z-8.5",'SKU明细'!$A$11:$A$1309,0)),INDEX('SKU明细'!$CB$11:$CB$1309,MATCH("2302153-CC-P-Z-9",'SKU明细'!$A$11:$A$1309,0)),INDEX('SKU明细'!$CB$11:$CB$1309,MATCH("2302153-CC-P-Z-9.5",'SKU明细'!$A$11:$A$1309,0)),INDEX('SKU明细'!$CB$11:$CB$1309,MATCH("2302153-CC-P-Z-10",'SKU明细'!$A$11:$A$1309,0)),INDEX('SKU明细'!$CB$11:$CB$1309,MATCH("2302153-CC-P-Z-11",'SKU明细'!$A$11:$A$1309,0))),"待核")</x:f>
        <x:v>170.74981686261145</x:v>
      </x:c>
      <x:c r="AB25" s="11" t="n">
        <x:f>INDEX('SKU明细'!$CC$11:$CC$1309,MATCH("2302153-CC-P-Z-6",'SKU明细'!$A$11:$A$1309,0))</x:f>
        <x:v>1.079339935625147</x:v>
      </x:c>
      <x:c r="AC25" s="13" t="n">
        <x:f>IF(COUNT(INDEX('SKU明细'!$CE$11:$CE$1309,MATCH("2302153-CC-P-Z-6",'SKU明细'!$A$11:$A$1309,0)),INDEX('SKU明细'!$CE$11:$CE$1309,MATCH("2302153-CC-P-Z-6.5",'SKU明细'!$A$11:$A$1309,0)),INDEX('SKU明细'!$CE$11:$CE$1309,MATCH("2302153-CC-P-Z-7",'SKU明细'!$A$11:$A$1309,0)),INDEX('SKU明细'!$CE$11:$CE$1309,MATCH("2302153-CC-P-Z-7.5",'SKU明细'!$A$11:$A$1309,0)),INDEX('SKU明细'!$CE$11:$CE$1309,MATCH("2302153-CC-P-Z-8",'SKU明细'!$A$11:$A$1309,0)),INDEX('SKU明细'!$CE$11:$CE$1309,MATCH("2302153-CC-P-Z-8.5",'SKU明细'!$A$11:$A$1309,0)),INDEX('SKU明细'!$CE$11:$CE$1309,MATCH("2302153-CC-P-Z-9",'SKU明细'!$A$11:$A$1309,0)),INDEX('SKU明细'!$CE$11:$CE$1309,MATCH("2302153-CC-P-Z-9.5",'SKU明细'!$A$11:$A$1309,0)),INDEX('SKU明细'!$CE$11:$CE$1309,MATCH("2302153-CC-P-Z-10",'SKU明细'!$A$11:$A$1309,0)),INDEX('SKU明细'!$CE$11:$CE$1309,MATCH("2302153-CC-P-Z-11",'SKU明细'!$A$11:$A$1309,0)))=10,SUM(INDEX('SKU明细'!$CE$11:$CE$1309,MATCH("2302153-CC-P-Z-6",'SKU明细'!$A$11:$A$1309,0)),INDEX('SKU明细'!$CE$11:$CE$1309,MATCH("2302153-CC-P-Z-6.5",'SKU明细'!$A$11:$A$1309,0)),INDEX('SKU明细'!$CE$11:$CE$1309,MATCH("2302153-CC-P-Z-7",'SKU明细'!$A$11:$A$1309,0)),INDEX('SKU明细'!$CE$11:$CE$1309,MATCH("2302153-CC-P-Z-7.5",'SKU明细'!$A$11:$A$1309,0)),INDEX('SKU明细'!$CE$11:$CE$1309,MATCH("2302153-CC-P-Z-8",'SKU明细'!$A$11:$A$1309,0)),INDEX('SKU明细'!$CE$11:$CE$1309,MATCH("2302153-CC-P-Z-8.5",'SKU明细'!$A$11:$A$1309,0)),INDEX('SKU明细'!$CE$11:$CE$1309,MATCH("2302153-CC-P-Z-9",'SKU明细'!$A$11:$A$1309,0)),INDEX('SKU明细'!$CE$11:$CE$1309,MATCH("2302153-CC-P-Z-9.5",'SKU明细'!$A$11:$A$1309,0)),INDEX('SKU明细'!$CE$11:$CE$1309,MATCH("2302153-CC-P-Z-10",'SKU明细'!$A$11:$A$1309,0)),INDEX('SKU明细'!$CE$11:$CE$1309,MATCH("2302153-CC-P-Z-11",'SKU明细'!$A$11:$A$1309,0))),"待核")</x:f>
        <x:v>136.00862313888913</x:v>
      </x:c>
      <x:c r="AD25" s="11" t="n">
        <x:f>INDEX('SKU明细'!$CF$11:$CF$1309,MATCH("2302153-CC-P-Z-6",'SKU明细'!$A$11:$A$1309,0))</x:f>
        <x:v>0.7719368903846591</x:v>
      </x:c>
      <x:c r="AE25" s="13" t="n">
        <x:f>IF(COUNT(INDEX('SKU明细'!$CH$11:$CH$1309,MATCH("2302153-CC-P-Z-6",'SKU明细'!$A$11:$A$1309,0)),INDEX('SKU明细'!$CH$11:$CH$1309,MATCH("2302153-CC-P-Z-6.5",'SKU明细'!$A$11:$A$1309,0)),INDEX('SKU明细'!$CH$11:$CH$1309,MATCH("2302153-CC-P-Z-7",'SKU明细'!$A$11:$A$1309,0)),INDEX('SKU明细'!$CH$11:$CH$1309,MATCH("2302153-CC-P-Z-7.5",'SKU明细'!$A$11:$A$1309,0)),INDEX('SKU明细'!$CH$11:$CH$1309,MATCH("2302153-CC-P-Z-8",'SKU明细'!$A$11:$A$1309,0)),INDEX('SKU明细'!$CH$11:$CH$1309,MATCH("2302153-CC-P-Z-8.5",'SKU明细'!$A$11:$A$1309,0)),INDEX('SKU明细'!$CH$11:$CH$1309,MATCH("2302153-CC-P-Z-9",'SKU明细'!$A$11:$A$1309,0)),INDEX('SKU明细'!$CH$11:$CH$1309,MATCH("2302153-CC-P-Z-9.5",'SKU明细'!$A$11:$A$1309,0)),INDEX('SKU明细'!$CH$11:$CH$1309,MATCH("2302153-CC-P-Z-10",'SKU明细'!$A$11:$A$1309,0)),INDEX('SKU明细'!$CH$11:$CH$1309,MATCH("2302153-CC-P-Z-11",'SKU明细'!$A$11:$A$1309,0)))=10,SUM(INDEX('SKU明细'!$CH$11:$CH$1309,MATCH("2302153-CC-P-Z-6",'SKU明细'!$A$11:$A$1309,0)),INDEX('SKU明细'!$CH$11:$CH$1309,MATCH("2302153-CC-P-Z-6.5",'SKU明细'!$A$11:$A$1309,0)),INDEX('SKU明细'!$CH$11:$CH$1309,MATCH("2302153-CC-P-Z-7",'SKU明细'!$A$11:$A$1309,0)),INDEX('SKU明细'!$CH$11:$CH$1309,MATCH("2302153-CC-P-Z-7.5",'SKU明细'!$A$11:$A$1309,0)),INDEX('SKU明细'!$CH$11:$CH$1309,MATCH("2302153-CC-P-Z-8",'SKU明细'!$A$11:$A$1309,0)),INDEX('SKU明细'!$CH$11:$CH$1309,MATCH("2302153-CC-P-Z-8.5",'SKU明细'!$A$11:$A$1309,0)),INDEX('SKU明细'!$CH$11:$CH$1309,MATCH("2302153-CC-P-Z-9",'SKU明细'!$A$11:$A$1309,0)),INDEX('SKU明细'!$CH$11:$CH$1309,MATCH("2302153-CC-P-Z-9.5",'SKU明细'!$A$11:$A$1309,0)),INDEX('SKU明细'!$CH$11:$CH$1309,MATCH("2302153-CC-P-Z-10",'SKU明细'!$A$11:$A$1309,0)),INDEX('SKU明细'!$CH$11:$CH$1309,MATCH("2302153-CC-P-Z-11",'SKU明细'!$A$11:$A$1309,0))),"待核")</x:f>
        <x:v>53.34297356882343</x:v>
      </x:c>
      <x:c r="AF25" s="13" t="n">
        <x:f>IF(COUNT(INDEX('SKU明细'!$CI$11:$CI$1309,MATCH("2302153-CC-P-Z-6",'SKU明细'!$A$11:$A$1309,0)),INDEX('SKU明细'!$CI$11:$CI$1309,MATCH("2302153-CC-P-Z-6.5",'SKU明细'!$A$11:$A$1309,0)),INDEX('SKU明细'!$CI$11:$CI$1309,MATCH("2302153-CC-P-Z-7",'SKU明细'!$A$11:$A$1309,0)),INDEX('SKU明细'!$CI$11:$CI$1309,MATCH("2302153-CC-P-Z-7.5",'SKU明细'!$A$11:$A$1309,0)),INDEX('SKU明细'!$CI$11:$CI$1309,MATCH("2302153-CC-P-Z-8",'SKU明细'!$A$11:$A$1309,0)),INDEX('SKU明细'!$CI$11:$CI$1309,MATCH("2302153-CC-P-Z-8.5",'SKU明细'!$A$11:$A$1309,0)),INDEX('SKU明细'!$CI$11:$CI$1309,MATCH("2302153-CC-P-Z-9",'SKU明细'!$A$11:$A$1309,0)),INDEX('SKU明细'!$CI$11:$CI$1309,MATCH("2302153-CC-P-Z-9.5",'SKU明细'!$A$11:$A$1309,0)),INDEX('SKU明细'!$CI$11:$CI$1309,MATCH("2302153-CC-P-Z-10",'SKU明细'!$A$11:$A$1309,0)),INDEX('SKU明细'!$CI$11:$CI$1309,MATCH("2302153-CC-P-Z-11",'SKU明细'!$A$11:$A$1309,0)))=10,SUM(INDEX('SKU明细'!$CI$11:$CI$1309,MATCH("2302153-CC-P-Z-6",'SKU明细'!$A$11:$A$1309,0)),INDEX('SKU明细'!$CI$11:$CI$1309,MATCH("2302153-CC-P-Z-6.5",'SKU明细'!$A$11:$A$1309,0)),INDEX('SKU明细'!$CI$11:$CI$1309,MATCH("2302153-CC-P-Z-7",'SKU明细'!$A$11:$A$1309,0)),INDEX('SKU明细'!$CI$11:$CI$1309,MATCH("2302153-CC-P-Z-7.5",'SKU明细'!$A$11:$A$1309,0)),INDEX('SKU明细'!$CI$11:$CI$1309,MATCH("2302153-CC-P-Z-8",'SKU明细'!$A$11:$A$1309,0)),INDEX('SKU明细'!$CI$11:$CI$1309,MATCH("2302153-CC-P-Z-8.5",'SKU明细'!$A$11:$A$1309,0)),INDEX('SKU明细'!$CI$11:$CI$1309,MATCH("2302153-CC-P-Z-9",'SKU明细'!$A$11:$A$1309,0)),INDEX('SKU明细'!$CI$11:$CI$1309,MATCH("2302153-CC-P-Z-9.5",'SKU明细'!$A$11:$A$1309,0)),INDEX('SKU明细'!$CI$11:$CI$1309,MATCH("2302153-CC-P-Z-10",'SKU明细'!$A$11:$A$1309,0)),INDEX('SKU明细'!$CI$11:$CI$1309,MATCH("2302153-CC-P-Z-11",'SKU明细'!$A$11:$A$1309,0))),"待核")</x:f>
        <x:v>444.933329760971</x:v>
      </x:c>
    </x:row>
    <x:row r="26" ht="40" customHeight="1">
      <x:c r="A26" s="37" t="str">
        <x:v>2302153</x:v>
      </x:c>
      <x:c r="B26" s="37" t="str">
        <x:v>徐新怡</x:v>
      </x:c>
      <x:c r="C26" s="37" t="str">
        <x:v>驼色</x:v>
      </x:c>
      <x:c r="D26" s="37" t="str">
        <x:v>CC</x:v>
      </x:c>
      <x:c r="E26" s="37" t="str">
        <x:v>2302153-CC-S-Z</x:v>
      </x:c>
      <x:c r="F26" s="37"/>
      <x:c r="G26" s="38" t="str">
        <x:f>"—"</x:f>
        <x:v>—</x:v>
      </x:c>
      <x:c r="H26" s="38" t="n">
        <x:f>IF(COUNT(INDEX('SKU明细'!$D$11:$D$1309,MATCH("2302153-CC-S-Z-6",'SKU明细'!$A$11:$A$1309,0)))=0,"待核",IF(COUNT(INDEX('SKU明细'!$D$11:$D$1309,MATCH("2302153-CC-S-Z-6",'SKU明细'!$A$11:$A$1309,0)))&lt;1,SUM(INDEX('SKU明细'!$D$11:$D$1309,MATCH("2302153-CC-S-Z-6",'SKU明细'!$A$11:$A$1309,0)))&amp;" + 待核",SUM(INDEX('SKU明细'!$D$11:$D$1309,MATCH("2302153-CC-S-Z-6",'SKU明细'!$A$11:$A$1309,0)))))</x:f>
        <x:v>9</x:v>
      </x:c>
      <x:c r="I26" s="38" t="str">
        <x:f>"—"</x:f>
        <x:v>—</x:v>
      </x:c>
      <x:c r="J26" s="38" t="n">
        <x:f>IF(COUNT(INDEX('SKU明细'!$D$11:$D$1309,MATCH("2302153-CC-S-Z-7",'SKU明细'!$A$11:$A$1309,0)))=0,"待核",IF(COUNT(INDEX('SKU明细'!$D$11:$D$1309,MATCH("2302153-CC-S-Z-7",'SKU明细'!$A$11:$A$1309,0)))&lt;1,SUM(INDEX('SKU明细'!$D$11:$D$1309,MATCH("2302153-CC-S-Z-7",'SKU明细'!$A$11:$A$1309,0)))&amp;" + 待核",SUM(INDEX('SKU明细'!$D$11:$D$1309,MATCH("2302153-CC-S-Z-7",'SKU明细'!$A$11:$A$1309,0)))))</x:f>
        <x:v>13</x:v>
      </x:c>
      <x:c r="K26" s="38" t="str">
        <x:f>"—"</x:f>
        <x:v>—</x:v>
      </x:c>
      <x:c r="L26" s="38" t="n">
        <x:f>IF(COUNT(INDEX('SKU明细'!$D$11:$D$1309,MATCH("2302153-CC-S-Z-8",'SKU明细'!$A$11:$A$1309,0)))=0,"待核",IF(COUNT(INDEX('SKU明细'!$D$11:$D$1309,MATCH("2302153-CC-S-Z-8",'SKU明细'!$A$11:$A$1309,0)))&lt;1,SUM(INDEX('SKU明细'!$D$11:$D$1309,MATCH("2302153-CC-S-Z-8",'SKU明细'!$A$11:$A$1309,0)))&amp;" + 待核",SUM(INDEX('SKU明细'!$D$11:$D$1309,MATCH("2302153-CC-S-Z-8",'SKU明细'!$A$11:$A$1309,0)))))</x:f>
        <x:v>26</x:v>
      </x:c>
      <x:c r="M26" s="38" t="str">
        <x:f>"—"</x:f>
        <x:v>—</x:v>
      </x:c>
      <x:c r="N26" s="38" t="n">
        <x:f>IF(COUNT(INDEX('SKU明细'!$D$11:$D$1309,MATCH("2302153-CC-S-Z-9",'SKU明细'!$A$11:$A$1309,0)))=0,"待核",IF(COUNT(INDEX('SKU明细'!$D$11:$D$1309,MATCH("2302153-CC-S-Z-9",'SKU明细'!$A$11:$A$1309,0)))&lt;1,SUM(INDEX('SKU明细'!$D$11:$D$1309,MATCH("2302153-CC-S-Z-9",'SKU明细'!$A$11:$A$1309,0)))&amp;" + 待核",SUM(INDEX('SKU明细'!$D$11:$D$1309,MATCH("2302153-CC-S-Z-9",'SKU明细'!$A$11:$A$1309,0)))))</x:f>
        <x:v>31</x:v>
      </x:c>
      <x:c r="O26" s="38" t="str">
        <x:f>"—"</x:f>
        <x:v>—</x:v>
      </x:c>
      <x:c r="P26" s="38" t="n">
        <x:f>IF(COUNT(INDEX('SKU明细'!$D$11:$D$1309,MATCH("2302153-CC-S-Z-10",'SKU明细'!$A$11:$A$1309,0)))=0,"待核",IF(COUNT(INDEX('SKU明细'!$D$11:$D$1309,MATCH("2302153-CC-S-Z-10",'SKU明细'!$A$11:$A$1309,0)))&lt;1,SUM(INDEX('SKU明细'!$D$11:$D$1309,MATCH("2302153-CC-S-Z-10",'SKU明细'!$A$11:$A$1309,0)))&amp;" + 待核",SUM(INDEX('SKU明细'!$D$11:$D$1309,MATCH("2302153-CC-S-Z-10",'SKU明细'!$A$11:$A$1309,0)))))</x:f>
        <x:v>19</x:v>
      </x:c>
      <x:c r="Q26" s="38" t="str">
        <x:f>"—"</x:f>
        <x:v>—</x:v>
      </x:c>
      <x:c r="R26" s="38" t="n">
        <x:f>IF(COUNT(INDEX('SKU明细'!$D$11:$D$1309,MATCH("2302153-CC-S-Z-11",'SKU明细'!$A$11:$A$1309,0)))=0,"待核",IF(COUNT(INDEX('SKU明细'!$D$11:$D$1309,MATCH("2302153-CC-S-Z-11",'SKU明细'!$A$11:$A$1309,0)))&lt;1,SUM(INDEX('SKU明细'!$D$11:$D$1309,MATCH("2302153-CC-S-Z-11",'SKU明细'!$A$11:$A$1309,0)))&amp;" + 待核",SUM(INDEX('SKU明细'!$D$11:$D$1309,MATCH("2302153-CC-S-Z-11",'SKU明细'!$A$11:$A$1309,0)))))</x:f>
        <x:v>10</x:v>
      </x:c>
      <x:c r="S26" s="38" t="n">
        <x:f>IF(COUNT(INDEX('SKU明细'!$D$11:$D$1309,MATCH("2302153-CC-S-Z-6",'SKU明细'!$A$11:$A$1309,0)),INDEX('SKU明细'!$D$11:$D$1309,MATCH("2302153-CC-S-Z-7",'SKU明细'!$A$11:$A$1309,0)),INDEX('SKU明细'!$D$11:$D$1309,MATCH("2302153-CC-S-Z-8",'SKU明细'!$A$11:$A$1309,0)),INDEX('SKU明细'!$D$11:$D$1309,MATCH("2302153-CC-S-Z-9",'SKU明细'!$A$11:$A$1309,0)),INDEX('SKU明细'!$D$11:$D$1309,MATCH("2302153-CC-S-Z-10",'SKU明细'!$A$11:$A$1309,0)),INDEX('SKU明细'!$D$11:$D$1309,MATCH("2302153-CC-S-Z-11",'SKU明细'!$A$11:$A$1309,0)))=0,"待核",SUM(INDEX('SKU明细'!$D$11:$D$1309,MATCH("2302153-CC-S-Z-6",'SKU明细'!$A$11:$A$1309,0)),INDEX('SKU明细'!$D$11:$D$1309,MATCH("2302153-CC-S-Z-7",'SKU明细'!$A$11:$A$1309,0)),INDEX('SKU明细'!$D$11:$D$1309,MATCH("2302153-CC-S-Z-8",'SKU明细'!$A$11:$A$1309,0)),INDEX('SKU明细'!$D$11:$D$1309,MATCH("2302153-CC-S-Z-9",'SKU明细'!$A$11:$A$1309,0)),INDEX('SKU明细'!$D$11:$D$1309,MATCH("2302153-CC-S-Z-10",'SKU明细'!$A$11:$A$1309,0)),INDEX('SKU明细'!$D$11:$D$1309,MATCH("2302153-CC-S-Z-11",'SKU明细'!$A$11:$A$1309,0))))</x:f>
        <x:v>108</x:v>
      </x:c>
      <x:c r="T26" s="38" t="n">
        <x:f>IF(COUNTIFS($A$9:$A$191,A26,$U$9:$U$191,"&lt;&gt;待核")=0,"待核",SUMIF($A$9:$A$191,A26,$S$9:$S$191))</x:f>
        <x:v>945</x:v>
      </x:c>
      <x:c r="U26" s="37" t="str">
        <x:f>IF(COUNT(INDEX('SKU明细'!$D$11:$D$1309,MATCH("2302153-CC-S-Z-6",'SKU明细'!$A$11:$A$1309,0)),INDEX('SKU明细'!$D$11:$D$1309,MATCH("2302153-CC-S-Z-7",'SKU明细'!$A$11:$A$1309,0)),INDEX('SKU明细'!$D$11:$D$1309,MATCH("2302153-CC-S-Z-8",'SKU明细'!$A$11:$A$1309,0)),INDEX('SKU明细'!$D$11:$D$1309,MATCH("2302153-CC-S-Z-9",'SKU明细'!$A$11:$A$1309,0)),INDEX('SKU明细'!$D$11:$D$1309,MATCH("2302153-CC-S-Z-10",'SKU明细'!$A$11:$A$1309,0)),INDEX('SKU明细'!$D$11:$D$1309,MATCH("2302153-CC-S-Z-11",'SKU明细'!$A$11:$A$1309,0)))=0,"待核",IF(COUNT(INDEX('SKU明细'!$D$11:$D$1309,MATCH("2302153-CC-S-Z-6",'SKU明细'!$A$11:$A$1309,0)),INDEX('SKU明细'!$D$11:$D$1309,MATCH("2302153-CC-S-Z-7",'SKU明细'!$A$11:$A$1309,0)),INDEX('SKU明细'!$D$11:$D$1309,MATCH("2302153-CC-S-Z-8",'SKU明细'!$A$11:$A$1309,0)),INDEX('SKU明细'!$D$11:$D$1309,MATCH("2302153-CC-S-Z-9",'SKU明细'!$A$11:$A$1309,0)),INDEX('SKU明细'!$D$11:$D$1309,MATCH("2302153-CC-S-Z-10",'SKU明细'!$A$11:$A$1309,0)),INDEX('SKU明细'!$D$11:$D$1309,MATCH("2302153-CC-S-Z-11",'SKU明细'!$A$11:$A$1309,0)))&lt;6,"另有待核","已核"))</x:f>
        <x:v>已核</x:v>
      </x:c>
      <x:c r="V26" s="37" t="str">
        <x:v>在售</x:v>
      </x:c>
      <x:c r="W26" s="11" t="n">
        <x:f>IF(COUNT(INDEX('SKU明细'!$BV$11:$BV$1309,MATCH("2302153-CC-S-Z-6",'SKU明细'!$A$11:$A$1309,0)),INDEX('SKU明细'!$BV$11:$BV$1309,MATCH("2302153-CC-S-Z-7",'SKU明细'!$A$11:$A$1309,0)),INDEX('SKU明细'!$BV$11:$BV$1309,MATCH("2302153-CC-S-Z-8",'SKU明细'!$A$11:$A$1309,0)),INDEX('SKU明细'!$BV$11:$BV$1309,MATCH("2302153-CC-S-Z-9",'SKU明细'!$A$11:$A$1309,0)),INDEX('SKU明细'!$BV$11:$BV$1309,MATCH("2302153-CC-S-Z-10",'SKU明细'!$A$11:$A$1309,0)),INDEX('SKU明细'!$BV$11:$BV$1309,MATCH("2302153-CC-S-Z-11",'SKU明细'!$A$11:$A$1309,0)))=6,SUM(INDEX('SKU明细'!$BV$11:$BV$1309,MATCH("2302153-CC-S-Z-6",'SKU明细'!$A$11:$A$1309,0)),INDEX('SKU明细'!$BV$11:$BV$1309,MATCH("2302153-CC-S-Z-7",'SKU明细'!$A$11:$A$1309,0)),INDEX('SKU明细'!$BV$11:$BV$1309,MATCH("2302153-CC-S-Z-8",'SKU明细'!$A$11:$A$1309,0)),INDEX('SKU明细'!$BV$11:$BV$1309,MATCH("2302153-CC-S-Z-9",'SKU明细'!$A$11:$A$1309,0)),INDEX('SKU明细'!$BV$11:$BV$1309,MATCH("2302153-CC-S-Z-10",'SKU明细'!$A$11:$A$1309,0)),INDEX('SKU明细'!$BV$11:$BV$1309,MATCH("2302153-CC-S-Z-11",'SKU明细'!$A$11:$A$1309,0))),"待核")</x:f>
        <x:v>1.1381504473731563</x:v>
      </x:c>
      <x:c r="X26" s="11" t="n">
        <x:f>INDEX('SKU明细'!$BW$11:$BW$1309,MATCH("2302153-CC-S-Z-6",'SKU明细'!$A$11:$A$1309,0))</x:f>
        <x:v>1.7391279184229513</x:v>
      </x:c>
      <x:c r="Y26" s="13" t="n">
        <x:f>IF(COUNT(INDEX('SKU明细'!$BY$11:$BY$1309,MATCH("2302153-CC-S-Z-6",'SKU明细'!$A$11:$A$1309,0)),INDEX('SKU明细'!$BY$11:$BY$1309,MATCH("2302153-CC-S-Z-7",'SKU明细'!$A$11:$A$1309,0)),INDEX('SKU明细'!$BY$11:$BY$1309,MATCH("2302153-CC-S-Z-8",'SKU明细'!$A$11:$A$1309,0)),INDEX('SKU明细'!$BY$11:$BY$1309,MATCH("2302153-CC-S-Z-9",'SKU明细'!$A$11:$A$1309,0)),INDEX('SKU明细'!$BY$11:$BY$1309,MATCH("2302153-CC-S-Z-10",'SKU明细'!$A$11:$A$1309,0)),INDEX('SKU明细'!$BY$11:$BY$1309,MATCH("2302153-CC-S-Z-11",'SKU明细'!$A$11:$A$1309,0)))=6,SUM(INDEX('SKU明细'!$BY$11:$BY$1309,MATCH("2302153-CC-S-Z-6",'SKU明细'!$A$11:$A$1309,0)),INDEX('SKU明细'!$BY$11:$BY$1309,MATCH("2302153-CC-S-Z-7",'SKU明细'!$A$11:$A$1309,0)),INDEX('SKU明细'!$BY$11:$BY$1309,MATCH("2302153-CC-S-Z-8",'SKU明细'!$A$11:$A$1309,0)),INDEX('SKU明细'!$BY$11:$BY$1309,MATCH("2302153-CC-S-Z-9",'SKU明细'!$A$11:$A$1309,0)),INDEX('SKU明细'!$BY$11:$BY$1309,MATCH("2302153-CC-S-Z-10",'SKU明细'!$A$11:$A$1309,0)),INDEX('SKU明细'!$BY$11:$BY$1309,MATCH("2302153-CC-S-Z-11",'SKU明细'!$A$11:$A$1309,0))),"待核")</x:f>
        <x:v>23.752670620706734</x:v>
      </x:c>
      <x:c r="Z26" s="11" t="n">
        <x:f>INDEX('SKU明细'!$BZ$11:$BZ$1309,MATCH("2302153-CC-S-Z-6",'SKU明细'!$A$11:$A$1309,0))</x:f>
        <x:v>1.4002077845513243</x:v>
      </x:c>
      <x:c r="AA26" s="13" t="n">
        <x:f>IF(COUNT(INDEX('SKU明细'!$CB$11:$CB$1309,MATCH("2302153-CC-S-Z-6",'SKU明细'!$A$11:$A$1309,0)),INDEX('SKU明细'!$CB$11:$CB$1309,MATCH("2302153-CC-S-Z-7",'SKU明细'!$A$11:$A$1309,0)),INDEX('SKU明细'!$CB$11:$CB$1309,MATCH("2302153-CC-S-Z-8",'SKU明细'!$A$11:$A$1309,0)),INDEX('SKU明细'!$CB$11:$CB$1309,MATCH("2302153-CC-S-Z-9",'SKU明细'!$A$11:$A$1309,0)),INDEX('SKU明细'!$CB$11:$CB$1309,MATCH("2302153-CC-S-Z-10",'SKU明细'!$A$11:$A$1309,0)),INDEX('SKU明细'!$CB$11:$CB$1309,MATCH("2302153-CC-S-Z-11",'SKU明细'!$A$11:$A$1309,0)))=6,SUM(INDEX('SKU明细'!$CB$11:$CB$1309,MATCH("2302153-CC-S-Z-6",'SKU明细'!$A$11:$A$1309,0)),INDEX('SKU明细'!$CB$11:$CB$1309,MATCH("2302153-CC-S-Z-7",'SKU明细'!$A$11:$A$1309,0)),INDEX('SKU明细'!$CB$11:$CB$1309,MATCH("2302153-CC-S-Z-8",'SKU明细'!$A$11:$A$1309,0)),INDEX('SKU明细'!$CB$11:$CB$1309,MATCH("2302153-CC-S-Z-9",'SKU明细'!$A$11:$A$1309,0)),INDEX('SKU明细'!$CB$11:$CB$1309,MATCH("2302153-CC-S-Z-10",'SKU明细'!$A$11:$A$1309,0)),INDEX('SKU明细'!$CB$11:$CB$1309,MATCH("2302153-CC-S-Z-11",'SKU明细'!$A$11:$A$1309,0))),"待核")</x:f>
        <x:v>47.80941349207397</x:v>
      </x:c>
      <x:c r="AB26" s="11" t="n">
        <x:f>INDEX('SKU明细'!$CC$11:$CC$1309,MATCH("2302153-CC-S-Z-6",'SKU明细'!$A$11:$A$1309,0))</x:f>
        <x:v>1.079339935625147</x:v>
      </x:c>
      <x:c r="AC26" s="13" t="n">
        <x:f>IF(COUNT(INDEX('SKU明细'!$CE$11:$CE$1309,MATCH("2302153-CC-S-Z-6",'SKU明细'!$A$11:$A$1309,0)),INDEX('SKU明细'!$CE$11:$CE$1309,MATCH("2302153-CC-S-Z-7",'SKU明细'!$A$11:$A$1309,0)),INDEX('SKU明细'!$CE$11:$CE$1309,MATCH("2302153-CC-S-Z-8",'SKU明细'!$A$11:$A$1309,0)),INDEX('SKU明细'!$CE$11:$CE$1309,MATCH("2302153-CC-S-Z-9",'SKU明细'!$A$11:$A$1309,0)),INDEX('SKU明细'!$CE$11:$CE$1309,MATCH("2302153-CC-S-Z-10",'SKU明细'!$A$11:$A$1309,0)),INDEX('SKU明细'!$CE$11:$CE$1309,MATCH("2302153-CC-S-Z-11",'SKU明细'!$A$11:$A$1309,0)))=6,SUM(INDEX('SKU明细'!$CE$11:$CE$1309,MATCH("2302153-CC-S-Z-6",'SKU明细'!$A$11:$A$1309,0)),INDEX('SKU明细'!$CE$11:$CE$1309,MATCH("2302153-CC-S-Z-7",'SKU明细'!$A$11:$A$1309,0)),INDEX('SKU明细'!$CE$11:$CE$1309,MATCH("2302153-CC-S-Z-8",'SKU明细'!$A$11:$A$1309,0)),INDEX('SKU明细'!$CE$11:$CE$1309,MATCH("2302153-CC-S-Z-9",'SKU明细'!$A$11:$A$1309,0)),INDEX('SKU明细'!$CE$11:$CE$1309,MATCH("2302153-CC-S-Z-10",'SKU明细'!$A$11:$A$1309,0)),INDEX('SKU明细'!$CE$11:$CE$1309,MATCH("2302153-CC-S-Z-11",'SKU明细'!$A$11:$A$1309,0))),"待核")</x:f>
        <x:v>38.08198814858371</x:v>
      </x:c>
      <x:c r="AD26" s="11" t="n">
        <x:f>INDEX('SKU明细'!$CF$11:$CF$1309,MATCH("2302153-CC-S-Z-6",'SKU明细'!$A$11:$A$1309,0))</x:f>
        <x:v>0.7719368903846591</x:v>
      </x:c>
      <x:c r="AE26" s="13" t="n">
        <x:f>IF(COUNT(INDEX('SKU明细'!$CH$11:$CH$1309,MATCH("2302153-CC-S-Z-6",'SKU明细'!$A$11:$A$1309,0)),INDEX('SKU明细'!$CH$11:$CH$1309,MATCH("2302153-CC-S-Z-7",'SKU明细'!$A$11:$A$1309,0)),INDEX('SKU明细'!$CH$11:$CH$1309,MATCH("2302153-CC-S-Z-8",'SKU明细'!$A$11:$A$1309,0)),INDEX('SKU明细'!$CH$11:$CH$1309,MATCH("2302153-CC-S-Z-9",'SKU明细'!$A$11:$A$1309,0)),INDEX('SKU明细'!$CH$11:$CH$1309,MATCH("2302153-CC-S-Z-10",'SKU明细'!$A$11:$A$1309,0)),INDEX('SKU明细'!$CH$11:$CH$1309,MATCH("2302153-CC-S-Z-11",'SKU明细'!$A$11:$A$1309,0)))=6,SUM(INDEX('SKU明细'!$CH$11:$CH$1309,MATCH("2302153-CC-S-Z-6",'SKU明细'!$A$11:$A$1309,0)),INDEX('SKU明细'!$CH$11:$CH$1309,MATCH("2302153-CC-S-Z-7",'SKU明细'!$A$11:$A$1309,0)),INDEX('SKU明细'!$CH$11:$CH$1309,MATCH("2302153-CC-S-Z-8",'SKU明细'!$A$11:$A$1309,0)),INDEX('SKU明细'!$CH$11:$CH$1309,MATCH("2302153-CC-S-Z-9",'SKU明细'!$A$11:$A$1309,0)),INDEX('SKU明细'!$CH$11:$CH$1309,MATCH("2302153-CC-S-Z-10",'SKU明细'!$A$11:$A$1309,0)),INDEX('SKU明细'!$CH$11:$CH$1309,MATCH("2302153-CC-S-Z-11",'SKU明细'!$A$11:$A$1309,0))),"待核")</x:f>
        <x:v>14.935865391297424</x:v>
      </x:c>
      <x:c r="AF26" s="13" t="n">
        <x:f>IF(COUNT(INDEX('SKU明细'!$CI$11:$CI$1309,MATCH("2302153-CC-S-Z-6",'SKU明细'!$A$11:$A$1309,0)),INDEX('SKU明细'!$CI$11:$CI$1309,MATCH("2302153-CC-S-Z-7",'SKU明细'!$A$11:$A$1309,0)),INDEX('SKU明细'!$CI$11:$CI$1309,MATCH("2302153-CC-S-Z-8",'SKU明细'!$A$11:$A$1309,0)),INDEX('SKU明细'!$CI$11:$CI$1309,MATCH("2302153-CC-S-Z-9",'SKU明细'!$A$11:$A$1309,0)),INDEX('SKU明细'!$CI$11:$CI$1309,MATCH("2302153-CC-S-Z-10",'SKU明细'!$A$11:$A$1309,0)),INDEX('SKU明细'!$CI$11:$CI$1309,MATCH("2302153-CC-S-Z-11",'SKU明细'!$A$11:$A$1309,0)))=6,SUM(INDEX('SKU明细'!$CI$11:$CI$1309,MATCH("2302153-CC-S-Z-6",'SKU明细'!$A$11:$A$1309,0)),INDEX('SKU明细'!$CI$11:$CI$1309,MATCH("2302153-CC-S-Z-7",'SKU明细'!$A$11:$A$1309,0)),INDEX('SKU明细'!$CI$11:$CI$1309,MATCH("2302153-CC-S-Z-8",'SKU明细'!$A$11:$A$1309,0)),INDEX('SKU明细'!$CI$11:$CI$1309,MATCH("2302153-CC-S-Z-9",'SKU明细'!$A$11:$A$1309,0)),INDEX('SKU明细'!$CI$11:$CI$1309,MATCH("2302153-CC-S-Z-10",'SKU明细'!$A$11:$A$1309,0)),INDEX('SKU明细'!$CI$11:$CI$1309,MATCH("2302153-CC-S-Z-11",'SKU明细'!$A$11:$A$1309,0))),"待核")</x:f>
        <x:v>124.57993765266184</x:v>
      </x:c>
    </x:row>
    <x:row r="27" ht="40" customHeight="1">
      <x:c r="A27" s="37" t="str">
        <x:v>2302153</x:v>
      </x:c>
      <x:c r="B27" s="37" t="str">
        <x:v>徐新怡</x:v>
      </x:c>
      <x:c r="C27" s="37" t="str">
        <x:v>豹纹</x:v>
      </x:c>
      <x:c r="D27" s="37" t="str">
        <x:v>LP</x:v>
      </x:c>
      <x:c r="E27" s="37" t="str">
        <x:v>2302153-LP-S-Z</x:v>
      </x:c>
      <x:c r="F27" s="37"/>
      <x:c r="G27" s="38" t="str">
        <x:f>"—"</x:f>
        <x:v>—</x:v>
      </x:c>
      <x:c r="H27" s="38" t="n">
        <x:f>IF(COUNT(INDEX('SKU明细'!$D$11:$D$1309,MATCH("2302153-LP-S-Z-6",'SKU明细'!$A$11:$A$1309,0)))=0,"待核",IF(COUNT(INDEX('SKU明细'!$D$11:$D$1309,MATCH("2302153-LP-S-Z-6",'SKU明细'!$A$11:$A$1309,0)))&lt;1,SUM(INDEX('SKU明细'!$D$11:$D$1309,MATCH("2302153-LP-S-Z-6",'SKU明细'!$A$11:$A$1309,0)))&amp;" + 待核",SUM(INDEX('SKU明细'!$D$11:$D$1309,MATCH("2302153-LP-S-Z-6",'SKU明细'!$A$11:$A$1309,0)))))</x:f>
        <x:v>15</x:v>
      </x:c>
      <x:c r="I27" s="38" t="n">
        <x:f>IF(COUNT(INDEX('SKU明细'!$D$11:$D$1309,MATCH("2302153-LP-S-Z-6.5",'SKU明细'!$A$11:$A$1309,0)))=0,"待核",IF(COUNT(INDEX('SKU明细'!$D$11:$D$1309,MATCH("2302153-LP-S-Z-6.5",'SKU明细'!$A$11:$A$1309,0)))&lt;1,SUM(INDEX('SKU明细'!$D$11:$D$1309,MATCH("2302153-LP-S-Z-6.5",'SKU明细'!$A$11:$A$1309,0)))&amp;" + 待核",SUM(INDEX('SKU明细'!$D$11:$D$1309,MATCH("2302153-LP-S-Z-6.5",'SKU明细'!$A$11:$A$1309,0)))))</x:f>
        <x:v>13</x:v>
      </x:c>
      <x:c r="J27" s="38" t="n">
        <x:f>IF(COUNT(INDEX('SKU明细'!$D$11:$D$1309,MATCH("2302153-LP-S-Z-7",'SKU明细'!$A$11:$A$1309,0)))=0,"待核",IF(COUNT(INDEX('SKU明细'!$D$11:$D$1309,MATCH("2302153-LP-S-Z-7",'SKU明细'!$A$11:$A$1309,0)))&lt;1,SUM(INDEX('SKU明细'!$D$11:$D$1309,MATCH("2302153-LP-S-Z-7",'SKU明细'!$A$11:$A$1309,0)))&amp;" + 待核",SUM(INDEX('SKU明细'!$D$11:$D$1309,MATCH("2302153-LP-S-Z-7",'SKU明细'!$A$11:$A$1309,0)))))</x:f>
        <x:v>21</x:v>
      </x:c>
      <x:c r="K27" s="38" t="n">
        <x:f>IF(COUNT(INDEX('SKU明细'!$D$11:$D$1309,MATCH("2302153-LP-S-Z-7.5",'SKU明细'!$A$11:$A$1309,0)))=0,"待核",IF(COUNT(INDEX('SKU明细'!$D$11:$D$1309,MATCH("2302153-LP-S-Z-7.5",'SKU明细'!$A$11:$A$1309,0)))&lt;1,SUM(INDEX('SKU明细'!$D$11:$D$1309,MATCH("2302153-LP-S-Z-7.5",'SKU明细'!$A$11:$A$1309,0)))&amp;" + 待核",SUM(INDEX('SKU明细'!$D$11:$D$1309,MATCH("2302153-LP-S-Z-7.5",'SKU明细'!$A$11:$A$1309,0)))))</x:f>
        <x:v>0</x:v>
      </x:c>
      <x:c r="L27" s="38" t="n">
        <x:f>IF(COUNT(INDEX('SKU明细'!$D$11:$D$1309,MATCH("2302153-LP-S-Z-8",'SKU明细'!$A$11:$A$1309,0)))=0,"待核",IF(COUNT(INDEX('SKU明细'!$D$11:$D$1309,MATCH("2302153-LP-S-Z-8",'SKU明细'!$A$11:$A$1309,0)))&lt;1,SUM(INDEX('SKU明细'!$D$11:$D$1309,MATCH("2302153-LP-S-Z-8",'SKU明细'!$A$11:$A$1309,0)))&amp;" + 待核",SUM(INDEX('SKU明细'!$D$11:$D$1309,MATCH("2302153-LP-S-Z-8",'SKU明细'!$A$11:$A$1309,0)))))</x:f>
        <x:v>0</x:v>
      </x:c>
      <x:c r="M27" s="38" t="n">
        <x:f>IF(COUNT(INDEX('SKU明细'!$D$11:$D$1309,MATCH("2302153-LP-S-Z-8.5",'SKU明细'!$A$11:$A$1309,0)))=0,"待核",IF(COUNT(INDEX('SKU明细'!$D$11:$D$1309,MATCH("2302153-LP-S-Z-8.5",'SKU明细'!$A$11:$A$1309,0)))&lt;1,SUM(INDEX('SKU明细'!$D$11:$D$1309,MATCH("2302153-LP-S-Z-8.5",'SKU明细'!$A$11:$A$1309,0)))&amp;" + 待核",SUM(INDEX('SKU明细'!$D$11:$D$1309,MATCH("2302153-LP-S-Z-8.5",'SKU明细'!$A$11:$A$1309,0)))))</x:f>
        <x:v>0</x:v>
      </x:c>
      <x:c r="N27" s="38" t="n">
        <x:f>IF(COUNT(INDEX('SKU明细'!$D$11:$D$1309,MATCH("2302153-LP-S-Z-9",'SKU明细'!$A$11:$A$1309,0)))=0,"待核",IF(COUNT(INDEX('SKU明细'!$D$11:$D$1309,MATCH("2302153-LP-S-Z-9",'SKU明细'!$A$11:$A$1309,0)))&lt;1,SUM(INDEX('SKU明细'!$D$11:$D$1309,MATCH("2302153-LP-S-Z-9",'SKU明细'!$A$11:$A$1309,0)))&amp;" + 待核",SUM(INDEX('SKU明细'!$D$11:$D$1309,MATCH("2302153-LP-S-Z-9",'SKU明细'!$A$11:$A$1309,0)))))</x:f>
        <x:v>0</x:v>
      </x:c>
      <x:c r="O27" s="38" t="n">
        <x:f>IF(COUNT(INDEX('SKU明细'!$D$11:$D$1309,MATCH("2302153-LP-S-Z-9.5",'SKU明细'!$A$11:$A$1309,0)))=0,"待核",IF(COUNT(INDEX('SKU明细'!$D$11:$D$1309,MATCH("2302153-LP-S-Z-9.5",'SKU明细'!$A$11:$A$1309,0)))&lt;1,SUM(INDEX('SKU明细'!$D$11:$D$1309,MATCH("2302153-LP-S-Z-9.5",'SKU明细'!$A$11:$A$1309,0)))&amp;" + 待核",SUM(INDEX('SKU明细'!$D$11:$D$1309,MATCH("2302153-LP-S-Z-9.5",'SKU明细'!$A$11:$A$1309,0)))))</x:f>
        <x:v>37</x:v>
      </x:c>
      <x:c r="P27" s="38" t="n">
        <x:f>IF(COUNT(INDEX('SKU明细'!$D$11:$D$1309,MATCH("2302153-LP-S-Z-10",'SKU明细'!$A$11:$A$1309,0)))=0,"待核",IF(COUNT(INDEX('SKU明细'!$D$11:$D$1309,MATCH("2302153-LP-S-Z-10",'SKU明细'!$A$11:$A$1309,0)))&lt;1,SUM(INDEX('SKU明细'!$D$11:$D$1309,MATCH("2302153-LP-S-Z-10",'SKU明细'!$A$11:$A$1309,0)))&amp;" + 待核",SUM(INDEX('SKU明细'!$D$11:$D$1309,MATCH("2302153-LP-S-Z-10",'SKU明细'!$A$11:$A$1309,0)))))</x:f>
        <x:v>23</x:v>
      </x:c>
      <x:c r="Q27" s="38" t="n">
        <x:f>IF(COUNT(INDEX('SKU明细'!$D$11:$D$1309,MATCH("2302153-LP-S-Z-10.5",'SKU明细'!$A$11:$A$1309,0)))=0,"待核",IF(COUNT(INDEX('SKU明细'!$D$11:$D$1309,MATCH("2302153-LP-S-Z-10.5",'SKU明细'!$A$11:$A$1309,0)))&lt;1,SUM(INDEX('SKU明细'!$D$11:$D$1309,MATCH("2302153-LP-S-Z-10.5",'SKU明细'!$A$11:$A$1309,0)))&amp;" + 待核",SUM(INDEX('SKU明细'!$D$11:$D$1309,MATCH("2302153-LP-S-Z-10.5",'SKU明细'!$A$11:$A$1309,0)))))</x:f>
        <x:v>0</x:v>
      </x:c>
      <x:c r="R27" s="38" t="n">
        <x:f>IF(COUNT(INDEX('SKU明细'!$D$11:$D$1309,MATCH("2302153-LP-S-Z-11",'SKU明细'!$A$11:$A$1309,0)))=0,"待核",IF(COUNT(INDEX('SKU明细'!$D$11:$D$1309,MATCH("2302153-LP-S-Z-11",'SKU明细'!$A$11:$A$1309,0)))&lt;1,SUM(INDEX('SKU明细'!$D$11:$D$1309,MATCH("2302153-LP-S-Z-11",'SKU明细'!$A$11:$A$1309,0)))&amp;" + 待核",SUM(INDEX('SKU明细'!$D$11:$D$1309,MATCH("2302153-LP-S-Z-11",'SKU明细'!$A$11:$A$1309,0)))))</x:f>
        <x:v>0</x:v>
      </x:c>
      <x:c r="S27" s="38" t="n">
        <x:f>IF(COUNT(INDEX('SKU明细'!$D$11:$D$1309,MATCH("2302153-LP-S-Z-6",'SKU明细'!$A$11:$A$1309,0)),INDEX('SKU明细'!$D$11:$D$1309,MATCH("2302153-LP-S-Z-6.5",'SKU明细'!$A$11:$A$1309,0)),INDEX('SKU明细'!$D$11:$D$1309,MATCH("2302153-LP-S-Z-7",'SKU明细'!$A$11:$A$1309,0)),INDEX('SKU明细'!$D$11:$D$1309,MATCH("2302153-LP-S-Z-7.5",'SKU明细'!$A$11:$A$1309,0)),INDEX('SKU明细'!$D$11:$D$1309,MATCH("2302153-LP-S-Z-8",'SKU明细'!$A$11:$A$1309,0)),INDEX('SKU明细'!$D$11:$D$1309,MATCH("2302153-LP-S-Z-8.5",'SKU明细'!$A$11:$A$1309,0)),INDEX('SKU明细'!$D$11:$D$1309,MATCH("2302153-LP-S-Z-9",'SKU明细'!$A$11:$A$1309,0)),INDEX('SKU明细'!$D$11:$D$1309,MATCH("2302153-LP-S-Z-9.5",'SKU明细'!$A$11:$A$1309,0)),INDEX('SKU明细'!$D$11:$D$1309,MATCH("2302153-LP-S-Z-10",'SKU明细'!$A$11:$A$1309,0)),INDEX('SKU明细'!$D$11:$D$1309,MATCH("2302153-LP-S-Z-10.5",'SKU明细'!$A$11:$A$1309,0)),INDEX('SKU明细'!$D$11:$D$1309,MATCH("2302153-LP-S-Z-11",'SKU明细'!$A$11:$A$1309,0)))=0,"待核",SUM(INDEX('SKU明细'!$D$11:$D$1309,MATCH("2302153-LP-S-Z-6",'SKU明细'!$A$11:$A$1309,0)),INDEX('SKU明细'!$D$11:$D$1309,MATCH("2302153-LP-S-Z-6.5",'SKU明细'!$A$11:$A$1309,0)),INDEX('SKU明细'!$D$11:$D$1309,MATCH("2302153-LP-S-Z-7",'SKU明细'!$A$11:$A$1309,0)),INDEX('SKU明细'!$D$11:$D$1309,MATCH("2302153-LP-S-Z-7.5",'SKU明细'!$A$11:$A$1309,0)),INDEX('SKU明细'!$D$11:$D$1309,MATCH("2302153-LP-S-Z-8",'SKU明细'!$A$11:$A$1309,0)),INDEX('SKU明细'!$D$11:$D$1309,MATCH("2302153-LP-S-Z-8.5",'SKU明细'!$A$11:$A$1309,0)),INDEX('SKU明细'!$D$11:$D$1309,MATCH("2302153-LP-S-Z-9",'SKU明细'!$A$11:$A$1309,0)),INDEX('SKU明细'!$D$11:$D$1309,MATCH("2302153-LP-S-Z-9.5",'SKU明细'!$A$11:$A$1309,0)),INDEX('SKU明细'!$D$11:$D$1309,MATCH("2302153-LP-S-Z-10",'SKU明细'!$A$11:$A$1309,0)),INDEX('SKU明细'!$D$11:$D$1309,MATCH("2302153-LP-S-Z-10.5",'SKU明细'!$A$11:$A$1309,0)),INDEX('SKU明细'!$D$11:$D$1309,MATCH("2302153-LP-S-Z-11",'SKU明细'!$A$11:$A$1309,0))))</x:f>
        <x:v>109</x:v>
      </x:c>
      <x:c r="T27" s="38" t="n">
        <x:f>IF(COUNTIFS($A$9:$A$191,A27,$U$9:$U$191,"&lt;&gt;待核")=0,"待核",SUMIF($A$9:$A$191,A27,$S$9:$S$191))</x:f>
        <x:v>945</x:v>
      </x:c>
      <x:c r="U27" s="37" t="str">
        <x:f>IF(COUNT(INDEX('SKU明细'!$D$11:$D$1309,MATCH("2302153-LP-S-Z-6",'SKU明细'!$A$11:$A$1309,0)),INDEX('SKU明细'!$D$11:$D$1309,MATCH("2302153-LP-S-Z-6.5",'SKU明细'!$A$11:$A$1309,0)),INDEX('SKU明细'!$D$11:$D$1309,MATCH("2302153-LP-S-Z-7",'SKU明细'!$A$11:$A$1309,0)),INDEX('SKU明细'!$D$11:$D$1309,MATCH("2302153-LP-S-Z-7.5",'SKU明细'!$A$11:$A$1309,0)),INDEX('SKU明细'!$D$11:$D$1309,MATCH("2302153-LP-S-Z-8",'SKU明细'!$A$11:$A$1309,0)),INDEX('SKU明细'!$D$11:$D$1309,MATCH("2302153-LP-S-Z-8.5",'SKU明细'!$A$11:$A$1309,0)),INDEX('SKU明细'!$D$11:$D$1309,MATCH("2302153-LP-S-Z-9",'SKU明细'!$A$11:$A$1309,0)),INDEX('SKU明细'!$D$11:$D$1309,MATCH("2302153-LP-S-Z-9.5",'SKU明细'!$A$11:$A$1309,0)),INDEX('SKU明细'!$D$11:$D$1309,MATCH("2302153-LP-S-Z-10",'SKU明细'!$A$11:$A$1309,0)),INDEX('SKU明细'!$D$11:$D$1309,MATCH("2302153-LP-S-Z-10.5",'SKU明细'!$A$11:$A$1309,0)),INDEX('SKU明细'!$D$11:$D$1309,MATCH("2302153-LP-S-Z-11",'SKU明细'!$A$11:$A$1309,0)))=0,"待核",IF(COUNT(INDEX('SKU明细'!$D$11:$D$1309,MATCH("2302153-LP-S-Z-6",'SKU明细'!$A$11:$A$1309,0)),INDEX('SKU明细'!$D$11:$D$1309,MATCH("2302153-LP-S-Z-6.5",'SKU明细'!$A$11:$A$1309,0)),INDEX('SKU明细'!$D$11:$D$1309,MATCH("2302153-LP-S-Z-7",'SKU明细'!$A$11:$A$1309,0)),INDEX('SKU明细'!$D$11:$D$1309,MATCH("2302153-LP-S-Z-7.5",'SKU明细'!$A$11:$A$1309,0)),INDEX('SKU明细'!$D$11:$D$1309,MATCH("2302153-LP-S-Z-8",'SKU明细'!$A$11:$A$1309,0)),INDEX('SKU明细'!$D$11:$D$1309,MATCH("2302153-LP-S-Z-8.5",'SKU明细'!$A$11:$A$1309,0)),INDEX('SKU明细'!$D$11:$D$1309,MATCH("2302153-LP-S-Z-9",'SKU明细'!$A$11:$A$1309,0)),INDEX('SKU明细'!$D$11:$D$1309,MATCH("2302153-LP-S-Z-9.5",'SKU明细'!$A$11:$A$1309,0)),INDEX('SKU明细'!$D$11:$D$1309,MATCH("2302153-LP-S-Z-10",'SKU明细'!$A$11:$A$1309,0)),INDEX('SKU明细'!$D$11:$D$1309,MATCH("2302153-LP-S-Z-10.5",'SKU明细'!$A$11:$A$1309,0)),INDEX('SKU明细'!$D$11:$D$1309,MATCH("2302153-LP-S-Z-11",'SKU明细'!$A$11:$A$1309,0)))&lt;11,"另有待核","已核"))</x:f>
        <x:v>已核</x:v>
      </x:c>
      <x:c r="V27" s="37" t="str">
        <x:v>在售</x:v>
      </x:c>
      <x:c r="W27" s="11" t="n">
        <x:f>IF(COUNT(INDEX('SKU明细'!$BV$11:$BV$1309,MATCH("2302153-LP-S-Z-6",'SKU明细'!$A$11:$A$1309,0)),INDEX('SKU明细'!$BV$11:$BV$1309,MATCH("2302153-LP-S-Z-6.5",'SKU明细'!$A$11:$A$1309,0)),INDEX('SKU明细'!$BV$11:$BV$1309,MATCH("2302153-LP-S-Z-7",'SKU明细'!$A$11:$A$1309,0)),INDEX('SKU明细'!$BV$11:$BV$1309,MATCH("2302153-LP-S-Z-7.5",'SKU明细'!$A$11:$A$1309,0)),INDEX('SKU明细'!$BV$11:$BV$1309,MATCH("2302153-LP-S-Z-8",'SKU明细'!$A$11:$A$1309,0)),INDEX('SKU明细'!$BV$11:$BV$1309,MATCH("2302153-LP-S-Z-8.5",'SKU明细'!$A$11:$A$1309,0)),INDEX('SKU明细'!$BV$11:$BV$1309,MATCH("2302153-LP-S-Z-9",'SKU明细'!$A$11:$A$1309,0)),INDEX('SKU明细'!$BV$11:$BV$1309,MATCH("2302153-LP-S-Z-9.5",'SKU明细'!$A$11:$A$1309,0)),INDEX('SKU明细'!$BV$11:$BV$1309,MATCH("2302153-LP-S-Z-10",'SKU明细'!$A$11:$A$1309,0)),INDEX('SKU明细'!$BV$11:$BV$1309,MATCH("2302153-LP-S-Z-10.5",'SKU明细'!$A$11:$A$1309,0)),INDEX('SKU明细'!$BV$11:$BV$1309,MATCH("2302153-LP-S-Z-11",'SKU明细'!$A$11:$A$1309,0)))=11,SUM(INDEX('SKU明细'!$BV$11:$BV$1309,MATCH("2302153-LP-S-Z-6",'SKU明细'!$A$11:$A$1309,0)),INDEX('SKU明细'!$BV$11:$BV$1309,MATCH("2302153-LP-S-Z-6.5",'SKU明细'!$A$11:$A$1309,0)),INDEX('SKU明细'!$BV$11:$BV$1309,MATCH("2302153-LP-S-Z-7",'SKU明细'!$A$11:$A$1309,0)),INDEX('SKU明细'!$BV$11:$BV$1309,MATCH("2302153-LP-S-Z-7.5",'SKU明细'!$A$11:$A$1309,0)),INDEX('SKU明细'!$BV$11:$BV$1309,MATCH("2302153-LP-S-Z-8",'SKU明细'!$A$11:$A$1309,0)),INDEX('SKU明细'!$BV$11:$BV$1309,MATCH("2302153-LP-S-Z-8.5",'SKU明细'!$A$11:$A$1309,0)),INDEX('SKU明细'!$BV$11:$BV$1309,MATCH("2302153-LP-S-Z-9",'SKU明细'!$A$11:$A$1309,0)),INDEX('SKU明细'!$BV$11:$BV$1309,MATCH("2302153-LP-S-Z-9.5",'SKU明细'!$A$11:$A$1309,0)),INDEX('SKU明细'!$BV$11:$BV$1309,MATCH("2302153-LP-S-Z-10",'SKU明细'!$A$11:$A$1309,0)),INDEX('SKU明细'!$BV$11:$BV$1309,MATCH("2302153-LP-S-Z-10.5",'SKU明细'!$A$11:$A$1309,0)),INDEX('SKU明细'!$BV$11:$BV$1309,MATCH("2302153-LP-S-Z-11",'SKU明细'!$A$11:$A$1309,0))),"待核")</x:f>
        <x:v>4.164684574329156</x:v>
      </x:c>
      <x:c r="X27" s="11" t="n">
        <x:f>INDEX('SKU明细'!$BW$11:$BW$1309,MATCH("2302153-LP-S-Z-6",'SKU明细'!$A$11:$A$1309,0))</x:f>
        <x:v>1.7391279184229513</x:v>
      </x:c>
      <x:c r="Y27" s="13" t="n">
        <x:f>IF(COUNT(INDEX('SKU明细'!$BY$11:$BY$1309,MATCH("2302153-LP-S-Z-6",'SKU明细'!$A$11:$A$1309,0)),INDEX('SKU明细'!$BY$11:$BY$1309,MATCH("2302153-LP-S-Z-6.5",'SKU明细'!$A$11:$A$1309,0)),INDEX('SKU明细'!$BY$11:$BY$1309,MATCH("2302153-LP-S-Z-7",'SKU明细'!$A$11:$A$1309,0)),INDEX('SKU明细'!$BY$11:$BY$1309,MATCH("2302153-LP-S-Z-7.5",'SKU明细'!$A$11:$A$1309,0)),INDEX('SKU明细'!$BY$11:$BY$1309,MATCH("2302153-LP-S-Z-8",'SKU明细'!$A$11:$A$1309,0)),INDEX('SKU明细'!$BY$11:$BY$1309,MATCH("2302153-LP-S-Z-8.5",'SKU明细'!$A$11:$A$1309,0)),INDEX('SKU明细'!$BY$11:$BY$1309,MATCH("2302153-LP-S-Z-9",'SKU明细'!$A$11:$A$1309,0)),INDEX('SKU明细'!$BY$11:$BY$1309,MATCH("2302153-LP-S-Z-9.5",'SKU明细'!$A$11:$A$1309,0)),INDEX('SKU明细'!$BY$11:$BY$1309,MATCH("2302153-LP-S-Z-10",'SKU明细'!$A$11:$A$1309,0)),INDEX('SKU明细'!$BY$11:$BY$1309,MATCH("2302153-LP-S-Z-10.5",'SKU明细'!$A$11:$A$1309,0)),INDEX('SKU明细'!$BY$11:$BY$1309,MATCH("2302153-LP-S-Z-11",'SKU明细'!$A$11:$A$1309,0)))=11,SUM(INDEX('SKU明细'!$BY$11:$BY$1309,MATCH("2302153-LP-S-Z-6",'SKU明细'!$A$11:$A$1309,0)),INDEX('SKU明细'!$BY$11:$BY$1309,MATCH("2302153-LP-S-Z-6.5",'SKU明细'!$A$11:$A$1309,0)),INDEX('SKU明细'!$BY$11:$BY$1309,MATCH("2302153-LP-S-Z-7",'SKU明细'!$A$11:$A$1309,0)),INDEX('SKU明细'!$BY$11:$BY$1309,MATCH("2302153-LP-S-Z-7.5",'SKU明细'!$A$11:$A$1309,0)),INDEX('SKU明细'!$BY$11:$BY$1309,MATCH("2302153-LP-S-Z-8",'SKU明细'!$A$11:$A$1309,0)),INDEX('SKU明细'!$BY$11:$BY$1309,MATCH("2302153-LP-S-Z-8.5",'SKU明细'!$A$11:$A$1309,0)),INDEX('SKU明细'!$BY$11:$BY$1309,MATCH("2302153-LP-S-Z-9",'SKU明细'!$A$11:$A$1309,0)),INDEX('SKU明细'!$BY$11:$BY$1309,MATCH("2302153-LP-S-Z-9.5",'SKU明细'!$A$11:$A$1309,0)),INDEX('SKU明细'!$BY$11:$BY$1309,MATCH("2302153-LP-S-Z-10",'SKU明细'!$A$11:$A$1309,0)),INDEX('SKU明细'!$BY$11:$BY$1309,MATCH("2302153-LP-S-Z-10.5",'SKU明细'!$A$11:$A$1309,0)),INDEX('SKU明细'!$BY$11:$BY$1309,MATCH("2302153-LP-S-Z-11",'SKU明细'!$A$11:$A$1309,0))),"待核")</x:f>
        <x:v>86.91503057569489</x:v>
      </x:c>
      <x:c r="Z27" s="11" t="n">
        <x:f>INDEX('SKU明细'!$BZ$11:$BZ$1309,MATCH("2302153-LP-S-Z-6",'SKU明细'!$A$11:$A$1309,0))</x:f>
        <x:v>1.4002077845513243</x:v>
      </x:c>
      <x:c r="AA27" s="13" t="n">
        <x:f>IF(COUNT(INDEX('SKU明细'!$CB$11:$CB$1309,MATCH("2302153-LP-S-Z-6",'SKU明细'!$A$11:$A$1309,0)),INDEX('SKU明细'!$CB$11:$CB$1309,MATCH("2302153-LP-S-Z-6.5",'SKU明细'!$A$11:$A$1309,0)),INDEX('SKU明细'!$CB$11:$CB$1309,MATCH("2302153-LP-S-Z-7",'SKU明细'!$A$11:$A$1309,0)),INDEX('SKU明细'!$CB$11:$CB$1309,MATCH("2302153-LP-S-Z-7.5",'SKU明细'!$A$11:$A$1309,0)),INDEX('SKU明细'!$CB$11:$CB$1309,MATCH("2302153-LP-S-Z-8",'SKU明细'!$A$11:$A$1309,0)),INDEX('SKU明细'!$CB$11:$CB$1309,MATCH("2302153-LP-S-Z-8.5",'SKU明细'!$A$11:$A$1309,0)),INDEX('SKU明细'!$CB$11:$CB$1309,MATCH("2302153-LP-S-Z-9",'SKU明细'!$A$11:$A$1309,0)),INDEX('SKU明细'!$CB$11:$CB$1309,MATCH("2302153-LP-S-Z-9.5",'SKU明细'!$A$11:$A$1309,0)),INDEX('SKU明细'!$CB$11:$CB$1309,MATCH("2302153-LP-S-Z-10",'SKU明细'!$A$11:$A$1309,0)),INDEX('SKU明细'!$CB$11:$CB$1309,MATCH("2302153-LP-S-Z-10.5",'SKU明细'!$A$11:$A$1309,0)),INDEX('SKU明细'!$CB$11:$CB$1309,MATCH("2302153-LP-S-Z-11",'SKU明细'!$A$11:$A$1309,0)))=11,SUM(INDEX('SKU明细'!$CB$11:$CB$1309,MATCH("2302153-LP-S-Z-6",'SKU明细'!$A$11:$A$1309,0)),INDEX('SKU明细'!$CB$11:$CB$1309,MATCH("2302153-LP-S-Z-6.5",'SKU明细'!$A$11:$A$1309,0)),INDEX('SKU明细'!$CB$11:$CB$1309,MATCH("2302153-LP-S-Z-7",'SKU明细'!$A$11:$A$1309,0)),INDEX('SKU明细'!$CB$11:$CB$1309,MATCH("2302153-LP-S-Z-7.5",'SKU明细'!$A$11:$A$1309,0)),INDEX('SKU明细'!$CB$11:$CB$1309,MATCH("2302153-LP-S-Z-8",'SKU明细'!$A$11:$A$1309,0)),INDEX('SKU明细'!$CB$11:$CB$1309,MATCH("2302153-LP-S-Z-8.5",'SKU明细'!$A$11:$A$1309,0)),INDEX('SKU明细'!$CB$11:$CB$1309,MATCH("2302153-LP-S-Z-9",'SKU明细'!$A$11:$A$1309,0)),INDEX('SKU明细'!$CB$11:$CB$1309,MATCH("2302153-LP-S-Z-9.5",'SKU明细'!$A$11:$A$1309,0)),INDEX('SKU明细'!$CB$11:$CB$1309,MATCH("2302153-LP-S-Z-10",'SKU明细'!$A$11:$A$1309,0)),INDEX('SKU明细'!$CB$11:$CB$1309,MATCH("2302153-LP-S-Z-10.5",'SKU明细'!$A$11:$A$1309,0)),INDEX('SKU明细'!$CB$11:$CB$1309,MATCH("2302153-LP-S-Z-11",'SKU明细'!$A$11:$A$1309,0))),"待核")</x:f>
        <x:v>174.9427128352951</x:v>
      </x:c>
      <x:c r="AB27" s="11" t="n">
        <x:f>INDEX('SKU明细'!$CC$11:$CC$1309,MATCH("2302153-LP-S-Z-6",'SKU明细'!$A$11:$A$1309,0))</x:f>
        <x:v>1.079339935625147</x:v>
      </x:c>
      <x:c r="AC27" s="13" t="n">
        <x:f>IF(COUNT(INDEX('SKU明细'!$CE$11:$CE$1309,MATCH("2302153-LP-S-Z-6",'SKU明细'!$A$11:$A$1309,0)),INDEX('SKU明细'!$CE$11:$CE$1309,MATCH("2302153-LP-S-Z-6.5",'SKU明细'!$A$11:$A$1309,0)),INDEX('SKU明细'!$CE$11:$CE$1309,MATCH("2302153-LP-S-Z-7",'SKU明细'!$A$11:$A$1309,0)),INDEX('SKU明细'!$CE$11:$CE$1309,MATCH("2302153-LP-S-Z-7.5",'SKU明细'!$A$11:$A$1309,0)),INDEX('SKU明细'!$CE$11:$CE$1309,MATCH("2302153-LP-S-Z-8",'SKU明细'!$A$11:$A$1309,0)),INDEX('SKU明细'!$CE$11:$CE$1309,MATCH("2302153-LP-S-Z-8.5",'SKU明细'!$A$11:$A$1309,0)),INDEX('SKU明细'!$CE$11:$CE$1309,MATCH("2302153-LP-S-Z-9",'SKU明细'!$A$11:$A$1309,0)),INDEX('SKU明细'!$CE$11:$CE$1309,MATCH("2302153-LP-S-Z-9.5",'SKU明细'!$A$11:$A$1309,0)),INDEX('SKU明细'!$CE$11:$CE$1309,MATCH("2302153-LP-S-Z-10",'SKU明细'!$A$11:$A$1309,0)),INDEX('SKU明细'!$CE$11:$CE$1309,MATCH("2302153-LP-S-Z-10.5",'SKU明细'!$A$11:$A$1309,0)),INDEX('SKU明细'!$CE$11:$CE$1309,MATCH("2302153-LP-S-Z-11",'SKU明细'!$A$11:$A$1309,0)))=11,SUM(INDEX('SKU明细'!$CE$11:$CE$1309,MATCH("2302153-LP-S-Z-6",'SKU明细'!$A$11:$A$1309,0)),INDEX('SKU明细'!$CE$11:$CE$1309,MATCH("2302153-LP-S-Z-6.5",'SKU明细'!$A$11:$A$1309,0)),INDEX('SKU明细'!$CE$11:$CE$1309,MATCH("2302153-LP-S-Z-7",'SKU明细'!$A$11:$A$1309,0)),INDEX('SKU明细'!$CE$11:$CE$1309,MATCH("2302153-LP-S-Z-7.5",'SKU明细'!$A$11:$A$1309,0)),INDEX('SKU明细'!$CE$11:$CE$1309,MATCH("2302153-LP-S-Z-8",'SKU明细'!$A$11:$A$1309,0)),INDEX('SKU明细'!$CE$11:$CE$1309,MATCH("2302153-LP-S-Z-8.5",'SKU明细'!$A$11:$A$1309,0)),INDEX('SKU明细'!$CE$11:$CE$1309,MATCH("2302153-LP-S-Z-9",'SKU明细'!$A$11:$A$1309,0)),INDEX('SKU明细'!$CE$11:$CE$1309,MATCH("2302153-LP-S-Z-9.5",'SKU明细'!$A$11:$A$1309,0)),INDEX('SKU明细'!$CE$11:$CE$1309,MATCH("2302153-LP-S-Z-10",'SKU明细'!$A$11:$A$1309,0)),INDEX('SKU明细'!$CE$11:$CE$1309,MATCH("2302153-LP-S-Z-10.5",'SKU明细'!$A$11:$A$1309,0)),INDEX('SKU明细'!$CE$11:$CE$1309,MATCH("2302153-LP-S-Z-11",'SKU明细'!$A$11:$A$1309,0))),"待核")</x:f>
        <x:v>139.3484217910197</x:v>
      </x:c>
      <x:c r="AD27" s="11" t="n">
        <x:f>INDEX('SKU明细'!$CF$11:$CF$1309,MATCH("2302153-LP-S-Z-6",'SKU明细'!$A$11:$A$1309,0))</x:f>
        <x:v>0.7719368903846591</x:v>
      </x:c>
      <x:c r="AE27" s="13" t="n">
        <x:f>IF(COUNT(INDEX('SKU明细'!$CH$11:$CH$1309,MATCH("2302153-LP-S-Z-6",'SKU明细'!$A$11:$A$1309,0)),INDEX('SKU明细'!$CH$11:$CH$1309,MATCH("2302153-LP-S-Z-6.5",'SKU明细'!$A$11:$A$1309,0)),INDEX('SKU明细'!$CH$11:$CH$1309,MATCH("2302153-LP-S-Z-7",'SKU明细'!$A$11:$A$1309,0)),INDEX('SKU明细'!$CH$11:$CH$1309,MATCH("2302153-LP-S-Z-7.5",'SKU明细'!$A$11:$A$1309,0)),INDEX('SKU明细'!$CH$11:$CH$1309,MATCH("2302153-LP-S-Z-8",'SKU明细'!$A$11:$A$1309,0)),INDEX('SKU明细'!$CH$11:$CH$1309,MATCH("2302153-LP-S-Z-8.5",'SKU明细'!$A$11:$A$1309,0)),INDEX('SKU明细'!$CH$11:$CH$1309,MATCH("2302153-LP-S-Z-9",'SKU明细'!$A$11:$A$1309,0)),INDEX('SKU明细'!$CH$11:$CH$1309,MATCH("2302153-LP-S-Z-9.5",'SKU明细'!$A$11:$A$1309,0)),INDEX('SKU明细'!$CH$11:$CH$1309,MATCH("2302153-LP-S-Z-10",'SKU明细'!$A$11:$A$1309,0)),INDEX('SKU明细'!$CH$11:$CH$1309,MATCH("2302153-LP-S-Z-10.5",'SKU明细'!$A$11:$A$1309,0)),INDEX('SKU明细'!$CH$11:$CH$1309,MATCH("2302153-LP-S-Z-11",'SKU明细'!$A$11:$A$1309,0)))=11,SUM(INDEX('SKU明细'!$CH$11:$CH$1309,MATCH("2302153-LP-S-Z-6",'SKU明细'!$A$11:$A$1309,0)),INDEX('SKU明细'!$CH$11:$CH$1309,MATCH("2302153-LP-S-Z-6.5",'SKU明细'!$A$11:$A$1309,0)),INDEX('SKU明细'!$CH$11:$CH$1309,MATCH("2302153-LP-S-Z-7",'SKU明细'!$A$11:$A$1309,0)),INDEX('SKU明细'!$CH$11:$CH$1309,MATCH("2302153-LP-S-Z-7.5",'SKU明细'!$A$11:$A$1309,0)),INDEX('SKU明细'!$CH$11:$CH$1309,MATCH("2302153-LP-S-Z-8",'SKU明细'!$A$11:$A$1309,0)),INDEX('SKU明细'!$CH$11:$CH$1309,MATCH("2302153-LP-S-Z-8.5",'SKU明细'!$A$11:$A$1309,0)),INDEX('SKU明细'!$CH$11:$CH$1309,MATCH("2302153-LP-S-Z-9",'SKU明细'!$A$11:$A$1309,0)),INDEX('SKU明细'!$CH$11:$CH$1309,MATCH("2302153-LP-S-Z-9.5",'SKU明细'!$A$11:$A$1309,0)),INDEX('SKU明细'!$CH$11:$CH$1309,MATCH("2302153-LP-S-Z-10",'SKU明细'!$A$11:$A$1309,0)),INDEX('SKU明细'!$CH$11:$CH$1309,MATCH("2302153-LP-S-Z-10.5",'SKU明细'!$A$11:$A$1309,0)),INDEX('SKU明细'!$CH$11:$CH$1309,MATCH("2302153-LP-S-Z-11",'SKU明细'!$A$11:$A$1309,0))),"待核")</x:f>
        <x:v>54.65285221559031</x:v>
      </x:c>
      <x:c r="AF27" s="13" t="n">
        <x:f>IF(COUNT(INDEX('SKU明细'!$CI$11:$CI$1309,MATCH("2302153-LP-S-Z-6",'SKU明细'!$A$11:$A$1309,0)),INDEX('SKU明细'!$CI$11:$CI$1309,MATCH("2302153-LP-S-Z-6.5",'SKU明细'!$A$11:$A$1309,0)),INDEX('SKU明细'!$CI$11:$CI$1309,MATCH("2302153-LP-S-Z-7",'SKU明细'!$A$11:$A$1309,0)),INDEX('SKU明细'!$CI$11:$CI$1309,MATCH("2302153-LP-S-Z-7.5",'SKU明细'!$A$11:$A$1309,0)),INDEX('SKU明细'!$CI$11:$CI$1309,MATCH("2302153-LP-S-Z-8",'SKU明细'!$A$11:$A$1309,0)),INDEX('SKU明细'!$CI$11:$CI$1309,MATCH("2302153-LP-S-Z-8.5",'SKU明细'!$A$11:$A$1309,0)),INDEX('SKU明细'!$CI$11:$CI$1309,MATCH("2302153-LP-S-Z-9",'SKU明细'!$A$11:$A$1309,0)),INDEX('SKU明细'!$CI$11:$CI$1309,MATCH("2302153-LP-S-Z-9.5",'SKU明细'!$A$11:$A$1309,0)),INDEX('SKU明细'!$CI$11:$CI$1309,MATCH("2302153-LP-S-Z-10",'SKU明细'!$A$11:$A$1309,0)),INDEX('SKU明细'!$CI$11:$CI$1309,MATCH("2302153-LP-S-Z-10.5",'SKU明细'!$A$11:$A$1309,0)),INDEX('SKU明细'!$CI$11:$CI$1309,MATCH("2302153-LP-S-Z-11",'SKU明细'!$A$11:$A$1309,0)))=11,SUM(INDEX('SKU明细'!$CI$11:$CI$1309,MATCH("2302153-LP-S-Z-6",'SKU明细'!$A$11:$A$1309,0)),INDEX('SKU明细'!$CI$11:$CI$1309,MATCH("2302153-LP-S-Z-6.5",'SKU明细'!$A$11:$A$1309,0)),INDEX('SKU明细'!$CI$11:$CI$1309,MATCH("2302153-LP-S-Z-7",'SKU明细'!$A$11:$A$1309,0)),INDEX('SKU明细'!$CI$11:$CI$1309,MATCH("2302153-LP-S-Z-7.5",'SKU明细'!$A$11:$A$1309,0)),INDEX('SKU明细'!$CI$11:$CI$1309,MATCH("2302153-LP-S-Z-8",'SKU明细'!$A$11:$A$1309,0)),INDEX('SKU明细'!$CI$11:$CI$1309,MATCH("2302153-LP-S-Z-8.5",'SKU明细'!$A$11:$A$1309,0)),INDEX('SKU明细'!$CI$11:$CI$1309,MATCH("2302153-LP-S-Z-9",'SKU明细'!$A$11:$A$1309,0)),INDEX('SKU明细'!$CI$11:$CI$1309,MATCH("2302153-LP-S-Z-9.5",'SKU明细'!$A$11:$A$1309,0)),INDEX('SKU明细'!$CI$11:$CI$1309,MATCH("2302153-LP-S-Z-10",'SKU明细'!$A$11:$A$1309,0)),INDEX('SKU明细'!$CI$11:$CI$1309,MATCH("2302153-LP-S-Z-10.5",'SKU明细'!$A$11:$A$1309,0)),INDEX('SKU明细'!$CI$11:$CI$1309,MATCH("2302153-LP-S-Z-11",'SKU明细'!$A$11:$A$1309,0))),"待核")</x:f>
        <x:v>455.85901741759994</x:v>
      </x:c>
    </x:row>
    <x:row r="28" ht="40" customHeight="1">
      <x:c r="A28" s="37" t="str">
        <x:v>2302153</x:v>
      </x:c>
      <x:c r="B28" s="37" t="str">
        <x:v>徐新怡</x:v>
      </x:c>
      <x:c r="C28" s="37" t="str">
        <x:v>裸色</x:v>
      </x:c>
      <x:c r="D28" s="37" t="str">
        <x:v>ND</x:v>
      </x:c>
      <x:c r="E28" s="37" t="str">
        <x:v>2302153-ND-S-Z</x:v>
      </x:c>
      <x:c r="F28" s="37"/>
      <x:c r="G28" s="38" t="str">
        <x:f>"—"</x:f>
        <x:v>—</x:v>
      </x:c>
      <x:c r="H28" s="38" t="n">
        <x:f>IF(COUNT(INDEX('SKU明细'!$D$11:$D$1309,MATCH("2302153-ND-S-Z-6",'SKU明细'!$A$11:$A$1309,0)))=0,"待核",IF(COUNT(INDEX('SKU明细'!$D$11:$D$1309,MATCH("2302153-ND-S-Z-6",'SKU明细'!$A$11:$A$1309,0)))&lt;1,SUM(INDEX('SKU明细'!$D$11:$D$1309,MATCH("2302153-ND-S-Z-6",'SKU明细'!$A$11:$A$1309,0)))&amp;" + 待核",SUM(INDEX('SKU明细'!$D$11:$D$1309,MATCH("2302153-ND-S-Z-6",'SKU明细'!$A$11:$A$1309,0)))))</x:f>
        <x:v>0</x:v>
      </x:c>
      <x:c r="I28" s="38" t="n">
        <x:f>IF(COUNT(INDEX('SKU明细'!$D$11:$D$1309,MATCH("2302153-ND-S-Z-6.5",'SKU明细'!$A$11:$A$1309,0)))=0,"待核",IF(COUNT(INDEX('SKU明细'!$D$11:$D$1309,MATCH("2302153-ND-S-Z-6.5",'SKU明细'!$A$11:$A$1309,0)))&lt;1,SUM(INDEX('SKU明细'!$D$11:$D$1309,MATCH("2302153-ND-S-Z-6.5",'SKU明细'!$A$11:$A$1309,0)))&amp;" + 待核",SUM(INDEX('SKU明细'!$D$11:$D$1309,MATCH("2302153-ND-S-Z-6.5",'SKU明细'!$A$11:$A$1309,0)))))</x:f>
        <x:v>0</x:v>
      </x:c>
      <x:c r="J28" s="38" t="n">
        <x:f>IF(COUNT(INDEX('SKU明细'!$D$11:$D$1309,MATCH("2302153-ND-S-Z-7",'SKU明细'!$A$11:$A$1309,0)))=0,"待核",IF(COUNT(INDEX('SKU明细'!$D$11:$D$1309,MATCH("2302153-ND-S-Z-7",'SKU明细'!$A$11:$A$1309,0)))&lt;1,SUM(INDEX('SKU明细'!$D$11:$D$1309,MATCH("2302153-ND-S-Z-7",'SKU明细'!$A$11:$A$1309,0)))&amp;" + 待核",SUM(INDEX('SKU明细'!$D$11:$D$1309,MATCH("2302153-ND-S-Z-7",'SKU明细'!$A$11:$A$1309,0)))))</x:f>
        <x:v>0</x:v>
      </x:c>
      <x:c r="K28" s="38" t="n">
        <x:f>IF(COUNT(INDEX('SKU明细'!$D$11:$D$1309,MATCH("2302153-ND-S-Z-7.5",'SKU明细'!$A$11:$A$1309,0)))=0,"待核",IF(COUNT(INDEX('SKU明细'!$D$11:$D$1309,MATCH("2302153-ND-S-Z-7.5",'SKU明细'!$A$11:$A$1309,0)))&lt;1,SUM(INDEX('SKU明细'!$D$11:$D$1309,MATCH("2302153-ND-S-Z-7.5",'SKU明细'!$A$11:$A$1309,0)))&amp;" + 待核",SUM(INDEX('SKU明细'!$D$11:$D$1309,MATCH("2302153-ND-S-Z-7.5",'SKU明细'!$A$11:$A$1309,0)))))</x:f>
        <x:v>0</x:v>
      </x:c>
      <x:c r="L28" s="38" t="n">
        <x:f>IF(COUNT(INDEX('SKU明细'!$D$11:$D$1309,MATCH("2302153-ND-S-Z-8",'SKU明细'!$A$11:$A$1309,0)))=0,"待核",IF(COUNT(INDEX('SKU明细'!$D$11:$D$1309,MATCH("2302153-ND-S-Z-8",'SKU明细'!$A$11:$A$1309,0)))&lt;1,SUM(INDEX('SKU明细'!$D$11:$D$1309,MATCH("2302153-ND-S-Z-8",'SKU明细'!$A$11:$A$1309,0)))&amp;" + 待核",SUM(INDEX('SKU明细'!$D$11:$D$1309,MATCH("2302153-ND-S-Z-8",'SKU明细'!$A$11:$A$1309,0)))))</x:f>
        <x:v>43</x:v>
      </x:c>
      <x:c r="M28" s="38" t="n">
        <x:f>IF(COUNT(INDEX('SKU明细'!$D$11:$D$1309,MATCH("2302153-ND-S-Z-8.5",'SKU明细'!$A$11:$A$1309,0)))=0,"待核",IF(COUNT(INDEX('SKU明细'!$D$11:$D$1309,MATCH("2302153-ND-S-Z-8.5",'SKU明细'!$A$11:$A$1309,0)))&lt;1,SUM(INDEX('SKU明细'!$D$11:$D$1309,MATCH("2302153-ND-S-Z-8.5",'SKU明细'!$A$11:$A$1309,0)))&amp;" + 待核",SUM(INDEX('SKU明细'!$D$11:$D$1309,MATCH("2302153-ND-S-Z-8.5",'SKU明细'!$A$11:$A$1309,0)))))</x:f>
        <x:v>11</x:v>
      </x:c>
      <x:c r="N28" s="38" t="n">
        <x:f>IF(COUNT(INDEX('SKU明细'!$D$11:$D$1309,MATCH("2302153-ND-S-Z-9",'SKU明细'!$A$11:$A$1309,0)))=0,"待核",IF(COUNT(INDEX('SKU明细'!$D$11:$D$1309,MATCH("2302153-ND-S-Z-9",'SKU明细'!$A$11:$A$1309,0)))&lt;1,SUM(INDEX('SKU明细'!$D$11:$D$1309,MATCH("2302153-ND-S-Z-9",'SKU明细'!$A$11:$A$1309,0)))&amp;" + 待核",SUM(INDEX('SKU明细'!$D$11:$D$1309,MATCH("2302153-ND-S-Z-9",'SKU明细'!$A$11:$A$1309,0)))))</x:f>
        <x:v>0</x:v>
      </x:c>
      <x:c r="O28" s="38" t="n">
        <x:f>IF(COUNT(INDEX('SKU明细'!$D$11:$D$1309,MATCH("2302153-ND-S-Z-9.5",'SKU明细'!$A$11:$A$1309,0)))=0,"待核",IF(COUNT(INDEX('SKU明细'!$D$11:$D$1309,MATCH("2302153-ND-S-Z-9.5",'SKU明细'!$A$11:$A$1309,0)))&lt;1,SUM(INDEX('SKU明细'!$D$11:$D$1309,MATCH("2302153-ND-S-Z-9.5",'SKU明细'!$A$11:$A$1309,0)))&amp;" + 待核",SUM(INDEX('SKU明细'!$D$11:$D$1309,MATCH("2302153-ND-S-Z-9.5",'SKU明细'!$A$11:$A$1309,0)))))</x:f>
        <x:v>0</x:v>
      </x:c>
      <x:c r="P28" s="38" t="n">
        <x:f>IF(COUNT(INDEX('SKU明细'!$D$11:$D$1309,MATCH("2302153-ND-S-Z-10",'SKU明细'!$A$11:$A$1309,0)))=0,"待核",IF(COUNT(INDEX('SKU明细'!$D$11:$D$1309,MATCH("2302153-ND-S-Z-10",'SKU明细'!$A$11:$A$1309,0)))&lt;1,SUM(INDEX('SKU明细'!$D$11:$D$1309,MATCH("2302153-ND-S-Z-10",'SKU明细'!$A$11:$A$1309,0)))&amp;" + 待核",SUM(INDEX('SKU明细'!$D$11:$D$1309,MATCH("2302153-ND-S-Z-10",'SKU明细'!$A$11:$A$1309,0)))))</x:f>
        <x:v>0</x:v>
      </x:c>
      <x:c r="Q28" s="38" t="str">
        <x:f>"—"</x:f>
        <x:v>—</x:v>
      </x:c>
      <x:c r="R28" s="38" t="n">
        <x:f>IF(COUNT(INDEX('SKU明细'!$D$11:$D$1309,MATCH("2302153-ND-S-Z-11",'SKU明细'!$A$11:$A$1309,0)))=0,"待核",IF(COUNT(INDEX('SKU明细'!$D$11:$D$1309,MATCH("2302153-ND-S-Z-11",'SKU明细'!$A$11:$A$1309,0)))&lt;1,SUM(INDEX('SKU明细'!$D$11:$D$1309,MATCH("2302153-ND-S-Z-11",'SKU明细'!$A$11:$A$1309,0)))&amp;" + 待核",SUM(INDEX('SKU明细'!$D$11:$D$1309,MATCH("2302153-ND-S-Z-11",'SKU明细'!$A$11:$A$1309,0)))))</x:f>
        <x:v>0</x:v>
      </x:c>
      <x:c r="S28" s="38" t="n">
        <x:f>IF(COUNT(INDEX('SKU明细'!$D$11:$D$1309,MATCH("2302153-ND-S-Z-6",'SKU明细'!$A$11:$A$1309,0)),INDEX('SKU明细'!$D$11:$D$1309,MATCH("2302153-ND-S-Z-6.5",'SKU明细'!$A$11:$A$1309,0)),INDEX('SKU明细'!$D$11:$D$1309,MATCH("2302153-ND-S-Z-7",'SKU明细'!$A$11:$A$1309,0)),INDEX('SKU明细'!$D$11:$D$1309,MATCH("2302153-ND-S-Z-7.5",'SKU明细'!$A$11:$A$1309,0)),INDEX('SKU明细'!$D$11:$D$1309,MATCH("2302153-ND-S-Z-8",'SKU明细'!$A$11:$A$1309,0)),INDEX('SKU明细'!$D$11:$D$1309,MATCH("2302153-ND-S-Z-8.5",'SKU明细'!$A$11:$A$1309,0)),INDEX('SKU明细'!$D$11:$D$1309,MATCH("2302153-ND-S-Z-9",'SKU明细'!$A$11:$A$1309,0)),INDEX('SKU明细'!$D$11:$D$1309,MATCH("2302153-ND-S-Z-9.5",'SKU明细'!$A$11:$A$1309,0)),INDEX('SKU明细'!$D$11:$D$1309,MATCH("2302153-ND-S-Z-10",'SKU明细'!$A$11:$A$1309,0)),INDEX('SKU明细'!$D$11:$D$1309,MATCH("2302153-ND-S-Z-11",'SKU明细'!$A$11:$A$1309,0)))=0,"待核",SUM(INDEX('SKU明细'!$D$11:$D$1309,MATCH("2302153-ND-S-Z-6",'SKU明细'!$A$11:$A$1309,0)),INDEX('SKU明细'!$D$11:$D$1309,MATCH("2302153-ND-S-Z-6.5",'SKU明细'!$A$11:$A$1309,0)),INDEX('SKU明细'!$D$11:$D$1309,MATCH("2302153-ND-S-Z-7",'SKU明细'!$A$11:$A$1309,0)),INDEX('SKU明细'!$D$11:$D$1309,MATCH("2302153-ND-S-Z-7.5",'SKU明细'!$A$11:$A$1309,0)),INDEX('SKU明细'!$D$11:$D$1309,MATCH("2302153-ND-S-Z-8",'SKU明细'!$A$11:$A$1309,0)),INDEX('SKU明细'!$D$11:$D$1309,MATCH("2302153-ND-S-Z-8.5",'SKU明细'!$A$11:$A$1309,0)),INDEX('SKU明细'!$D$11:$D$1309,MATCH("2302153-ND-S-Z-9",'SKU明细'!$A$11:$A$1309,0)),INDEX('SKU明细'!$D$11:$D$1309,MATCH("2302153-ND-S-Z-9.5",'SKU明细'!$A$11:$A$1309,0)),INDEX('SKU明细'!$D$11:$D$1309,MATCH("2302153-ND-S-Z-10",'SKU明细'!$A$11:$A$1309,0)),INDEX('SKU明细'!$D$11:$D$1309,MATCH("2302153-ND-S-Z-11",'SKU明细'!$A$11:$A$1309,0))))</x:f>
        <x:v>54</x:v>
      </x:c>
      <x:c r="T28" s="38" t="n">
        <x:f>IF(COUNTIFS($A$9:$A$191,A28,$U$9:$U$191,"&lt;&gt;待核")=0,"待核",SUMIF($A$9:$A$191,A28,$S$9:$S$191))</x:f>
        <x:v>945</x:v>
      </x:c>
      <x:c r="U28" s="37" t="str">
        <x:f>IF(COUNT(INDEX('SKU明细'!$D$11:$D$1309,MATCH("2302153-ND-S-Z-6",'SKU明细'!$A$11:$A$1309,0)),INDEX('SKU明细'!$D$11:$D$1309,MATCH("2302153-ND-S-Z-6.5",'SKU明细'!$A$11:$A$1309,0)),INDEX('SKU明细'!$D$11:$D$1309,MATCH("2302153-ND-S-Z-7",'SKU明细'!$A$11:$A$1309,0)),INDEX('SKU明细'!$D$11:$D$1309,MATCH("2302153-ND-S-Z-7.5",'SKU明细'!$A$11:$A$1309,0)),INDEX('SKU明细'!$D$11:$D$1309,MATCH("2302153-ND-S-Z-8",'SKU明细'!$A$11:$A$1309,0)),INDEX('SKU明细'!$D$11:$D$1309,MATCH("2302153-ND-S-Z-8.5",'SKU明细'!$A$11:$A$1309,0)),INDEX('SKU明细'!$D$11:$D$1309,MATCH("2302153-ND-S-Z-9",'SKU明细'!$A$11:$A$1309,0)),INDEX('SKU明细'!$D$11:$D$1309,MATCH("2302153-ND-S-Z-9.5",'SKU明细'!$A$11:$A$1309,0)),INDEX('SKU明细'!$D$11:$D$1309,MATCH("2302153-ND-S-Z-10",'SKU明细'!$A$11:$A$1309,0)),INDEX('SKU明细'!$D$11:$D$1309,MATCH("2302153-ND-S-Z-11",'SKU明细'!$A$11:$A$1309,0)))=0,"待核",IF(COUNT(INDEX('SKU明细'!$D$11:$D$1309,MATCH("2302153-ND-S-Z-6",'SKU明细'!$A$11:$A$1309,0)),INDEX('SKU明细'!$D$11:$D$1309,MATCH("2302153-ND-S-Z-6.5",'SKU明细'!$A$11:$A$1309,0)),INDEX('SKU明细'!$D$11:$D$1309,MATCH("2302153-ND-S-Z-7",'SKU明细'!$A$11:$A$1309,0)),INDEX('SKU明细'!$D$11:$D$1309,MATCH("2302153-ND-S-Z-7.5",'SKU明细'!$A$11:$A$1309,0)),INDEX('SKU明细'!$D$11:$D$1309,MATCH("2302153-ND-S-Z-8",'SKU明细'!$A$11:$A$1309,0)),INDEX('SKU明细'!$D$11:$D$1309,MATCH("2302153-ND-S-Z-8.5",'SKU明细'!$A$11:$A$1309,0)),INDEX('SKU明细'!$D$11:$D$1309,MATCH("2302153-ND-S-Z-9",'SKU明细'!$A$11:$A$1309,0)),INDEX('SKU明细'!$D$11:$D$1309,MATCH("2302153-ND-S-Z-9.5",'SKU明细'!$A$11:$A$1309,0)),INDEX('SKU明细'!$D$11:$D$1309,MATCH("2302153-ND-S-Z-10",'SKU明细'!$A$11:$A$1309,0)),INDEX('SKU明细'!$D$11:$D$1309,MATCH("2302153-ND-S-Z-11",'SKU明细'!$A$11:$A$1309,0)))&lt;10,"另有待核","已核"))</x:f>
        <x:v>已核</x:v>
      </x:c>
      <x:c r="V28" s="37" t="str">
        <x:v>在售</x:v>
      </x:c>
      <x:c r="W28" s="11" t="n">
        <x:f>IF(COUNT(INDEX('SKU明细'!$BV$11:$BV$1309,MATCH("2302153-ND-S-Z-6",'SKU明细'!$A$11:$A$1309,0)),INDEX('SKU明细'!$BV$11:$BV$1309,MATCH("2302153-ND-S-Z-6.5",'SKU明细'!$A$11:$A$1309,0)),INDEX('SKU明细'!$BV$11:$BV$1309,MATCH("2302153-ND-S-Z-7",'SKU明细'!$A$11:$A$1309,0)),INDEX('SKU明细'!$BV$11:$BV$1309,MATCH("2302153-ND-S-Z-7.5",'SKU明细'!$A$11:$A$1309,0)),INDEX('SKU明细'!$BV$11:$BV$1309,MATCH("2302153-ND-S-Z-8",'SKU明细'!$A$11:$A$1309,0)),INDEX('SKU明细'!$BV$11:$BV$1309,MATCH("2302153-ND-S-Z-8.5",'SKU明细'!$A$11:$A$1309,0)),INDEX('SKU明细'!$BV$11:$BV$1309,MATCH("2302153-ND-S-Z-9",'SKU明细'!$A$11:$A$1309,0)),INDEX('SKU明细'!$BV$11:$BV$1309,MATCH("2302153-ND-S-Z-9.5",'SKU明细'!$A$11:$A$1309,0)),INDEX('SKU明细'!$BV$11:$BV$1309,MATCH("2302153-ND-S-Z-10",'SKU明细'!$A$11:$A$1309,0)),INDEX('SKU明细'!$BV$11:$BV$1309,MATCH("2302153-ND-S-Z-11",'SKU明细'!$A$11:$A$1309,0)))=10,SUM(INDEX('SKU明细'!$BV$11:$BV$1309,MATCH("2302153-ND-S-Z-6",'SKU明细'!$A$11:$A$1309,0)),INDEX('SKU明细'!$BV$11:$BV$1309,MATCH("2302153-ND-S-Z-6.5",'SKU明细'!$A$11:$A$1309,0)),INDEX('SKU明细'!$BV$11:$BV$1309,MATCH("2302153-ND-S-Z-7",'SKU明细'!$A$11:$A$1309,0)),INDEX('SKU明细'!$BV$11:$BV$1309,MATCH("2302153-ND-S-Z-7.5",'SKU明细'!$A$11:$A$1309,0)),INDEX('SKU明细'!$BV$11:$BV$1309,MATCH("2302153-ND-S-Z-8",'SKU明细'!$A$11:$A$1309,0)),INDEX('SKU明细'!$BV$11:$BV$1309,MATCH("2302153-ND-S-Z-8.5",'SKU明细'!$A$11:$A$1309,0)),INDEX('SKU明细'!$BV$11:$BV$1309,MATCH("2302153-ND-S-Z-9",'SKU明细'!$A$11:$A$1309,0)),INDEX('SKU明细'!$BV$11:$BV$1309,MATCH("2302153-ND-S-Z-9.5",'SKU明细'!$A$11:$A$1309,0)),INDEX('SKU明细'!$BV$11:$BV$1309,MATCH("2302153-ND-S-Z-10",'SKU明细'!$A$11:$A$1309,0)),INDEX('SKU明细'!$BV$11:$BV$1309,MATCH("2302153-ND-S-Z-11",'SKU明细'!$A$11:$A$1309,0))),"待核")</x:f>
        <x:v>21.810747867874596</x:v>
      </x:c>
      <x:c r="X28" s="11" t="n">
        <x:f>INDEX('SKU明细'!$BW$11:$BW$1309,MATCH("2302153-ND-S-Z-6",'SKU明细'!$A$11:$A$1309,0))</x:f>
        <x:v>1.7391279184229513</x:v>
      </x:c>
      <x:c r="Y28" s="13" t="n">
        <x:f>IF(COUNT(INDEX('SKU明细'!$BY$11:$BY$1309,MATCH("2302153-ND-S-Z-6",'SKU明细'!$A$11:$A$1309,0)),INDEX('SKU明细'!$BY$11:$BY$1309,MATCH("2302153-ND-S-Z-6.5",'SKU明细'!$A$11:$A$1309,0)),INDEX('SKU明细'!$BY$11:$BY$1309,MATCH("2302153-ND-S-Z-7",'SKU明细'!$A$11:$A$1309,0)),INDEX('SKU明细'!$BY$11:$BY$1309,MATCH("2302153-ND-S-Z-7.5",'SKU明细'!$A$11:$A$1309,0)),INDEX('SKU明细'!$BY$11:$BY$1309,MATCH("2302153-ND-S-Z-8",'SKU明细'!$A$11:$A$1309,0)),INDEX('SKU明细'!$BY$11:$BY$1309,MATCH("2302153-ND-S-Z-8.5",'SKU明细'!$A$11:$A$1309,0)),INDEX('SKU明细'!$BY$11:$BY$1309,MATCH("2302153-ND-S-Z-9",'SKU明细'!$A$11:$A$1309,0)),INDEX('SKU明细'!$BY$11:$BY$1309,MATCH("2302153-ND-S-Z-9.5",'SKU明细'!$A$11:$A$1309,0)),INDEX('SKU明细'!$BY$11:$BY$1309,MATCH("2302153-ND-S-Z-10",'SKU明细'!$A$11:$A$1309,0)),INDEX('SKU明细'!$BY$11:$BY$1309,MATCH("2302153-ND-S-Z-11",'SKU明细'!$A$11:$A$1309,0)))=10,SUM(INDEX('SKU明细'!$BY$11:$BY$1309,MATCH("2302153-ND-S-Z-6",'SKU明细'!$A$11:$A$1309,0)),INDEX('SKU明细'!$BY$11:$BY$1309,MATCH("2302153-ND-S-Z-6.5",'SKU明细'!$A$11:$A$1309,0)),INDEX('SKU明细'!$BY$11:$BY$1309,MATCH("2302153-ND-S-Z-7",'SKU明细'!$A$11:$A$1309,0)),INDEX('SKU明细'!$BY$11:$BY$1309,MATCH("2302153-ND-S-Z-7.5",'SKU明细'!$A$11:$A$1309,0)),INDEX('SKU明细'!$BY$11:$BY$1309,MATCH("2302153-ND-S-Z-8",'SKU明细'!$A$11:$A$1309,0)),INDEX('SKU明细'!$BY$11:$BY$1309,MATCH("2302153-ND-S-Z-8.5",'SKU明细'!$A$11:$A$1309,0)),INDEX('SKU明细'!$BY$11:$BY$1309,MATCH("2302153-ND-S-Z-9",'SKU明细'!$A$11:$A$1309,0)),INDEX('SKU明细'!$BY$11:$BY$1309,MATCH("2302153-ND-S-Z-9.5",'SKU明细'!$A$11:$A$1309,0)),INDEX('SKU明细'!$BY$11:$BY$1309,MATCH("2302153-ND-S-Z-10",'SKU明细'!$A$11:$A$1309,0)),INDEX('SKU明细'!$BY$11:$BY$1309,MATCH("2302153-ND-S-Z-11",'SKU明细'!$A$11:$A$1309,0))),"待核")</x:f>
        <x:v>455.180166464455</x:v>
      </x:c>
      <x:c r="Z28" s="11" t="n">
        <x:f>INDEX('SKU明细'!$BZ$11:$BZ$1309,MATCH("2302153-ND-S-Z-6",'SKU明细'!$A$11:$A$1309,0))</x:f>
        <x:v>1.4002077845513243</x:v>
      </x:c>
      <x:c r="AA28" s="13" t="n">
        <x:f>IF(COUNT(INDEX('SKU明细'!$CB$11:$CB$1309,MATCH("2302153-ND-S-Z-6",'SKU明细'!$A$11:$A$1309,0)),INDEX('SKU明细'!$CB$11:$CB$1309,MATCH("2302153-ND-S-Z-6.5",'SKU明细'!$A$11:$A$1309,0)),INDEX('SKU明细'!$CB$11:$CB$1309,MATCH("2302153-ND-S-Z-7",'SKU明细'!$A$11:$A$1309,0)),INDEX('SKU明细'!$CB$11:$CB$1309,MATCH("2302153-ND-S-Z-7.5",'SKU明细'!$A$11:$A$1309,0)),INDEX('SKU明细'!$CB$11:$CB$1309,MATCH("2302153-ND-S-Z-8",'SKU明细'!$A$11:$A$1309,0)),INDEX('SKU明细'!$CB$11:$CB$1309,MATCH("2302153-ND-S-Z-8.5",'SKU明细'!$A$11:$A$1309,0)),INDEX('SKU明细'!$CB$11:$CB$1309,MATCH("2302153-ND-S-Z-9",'SKU明细'!$A$11:$A$1309,0)),INDEX('SKU明细'!$CB$11:$CB$1309,MATCH("2302153-ND-S-Z-9.5",'SKU明细'!$A$11:$A$1309,0)),INDEX('SKU明细'!$CB$11:$CB$1309,MATCH("2302153-ND-S-Z-10",'SKU明细'!$A$11:$A$1309,0)),INDEX('SKU明细'!$CB$11:$CB$1309,MATCH("2302153-ND-S-Z-11",'SKU明细'!$A$11:$A$1309,0)))=10,SUM(INDEX('SKU明细'!$CB$11:$CB$1309,MATCH("2302153-ND-S-Z-6",'SKU明细'!$A$11:$A$1309,0)),INDEX('SKU明细'!$CB$11:$CB$1309,MATCH("2302153-ND-S-Z-6.5",'SKU明细'!$A$11:$A$1309,0)),INDEX('SKU明细'!$CB$11:$CB$1309,MATCH("2302153-ND-S-Z-7",'SKU明细'!$A$11:$A$1309,0)),INDEX('SKU明细'!$CB$11:$CB$1309,MATCH("2302153-ND-S-Z-7.5",'SKU明细'!$A$11:$A$1309,0)),INDEX('SKU明细'!$CB$11:$CB$1309,MATCH("2302153-ND-S-Z-8",'SKU明细'!$A$11:$A$1309,0)),INDEX('SKU明细'!$CB$11:$CB$1309,MATCH("2302153-ND-S-Z-8.5",'SKU明细'!$A$11:$A$1309,0)),INDEX('SKU明细'!$CB$11:$CB$1309,MATCH("2302153-ND-S-Z-9",'SKU明细'!$A$11:$A$1309,0)),INDEX('SKU明细'!$CB$11:$CB$1309,MATCH("2302153-ND-S-Z-9.5",'SKU明细'!$A$11:$A$1309,0)),INDEX('SKU明细'!$CB$11:$CB$1309,MATCH("2302153-ND-S-Z-10",'SKU明细'!$A$11:$A$1309,0)),INDEX('SKU明细'!$CB$11:$CB$1309,MATCH("2302153-ND-S-Z-11",'SKU明细'!$A$11:$A$1309,0))),"待核")</x:f>
        <x:v>916.1873685445265</x:v>
      </x:c>
      <x:c r="AB28" s="11" t="n">
        <x:f>INDEX('SKU明细'!$CC$11:$CC$1309,MATCH("2302153-ND-S-Z-6",'SKU明细'!$A$11:$A$1309,0))</x:f>
        <x:v>1.079339935625147</x:v>
      </x:c>
      <x:c r="AC28" s="13" t="n">
        <x:f>IF(COUNT(INDEX('SKU明细'!$CE$11:$CE$1309,MATCH("2302153-ND-S-Z-6",'SKU明细'!$A$11:$A$1309,0)),INDEX('SKU明细'!$CE$11:$CE$1309,MATCH("2302153-ND-S-Z-6.5",'SKU明细'!$A$11:$A$1309,0)),INDEX('SKU明细'!$CE$11:$CE$1309,MATCH("2302153-ND-S-Z-7",'SKU明细'!$A$11:$A$1309,0)),INDEX('SKU明细'!$CE$11:$CE$1309,MATCH("2302153-ND-S-Z-7.5",'SKU明细'!$A$11:$A$1309,0)),INDEX('SKU明细'!$CE$11:$CE$1309,MATCH("2302153-ND-S-Z-8",'SKU明细'!$A$11:$A$1309,0)),INDEX('SKU明细'!$CE$11:$CE$1309,MATCH("2302153-ND-S-Z-8.5",'SKU明细'!$A$11:$A$1309,0)),INDEX('SKU明细'!$CE$11:$CE$1309,MATCH("2302153-ND-S-Z-9",'SKU明细'!$A$11:$A$1309,0)),INDEX('SKU明细'!$CE$11:$CE$1309,MATCH("2302153-ND-S-Z-9.5",'SKU明细'!$A$11:$A$1309,0)),INDEX('SKU明细'!$CE$11:$CE$1309,MATCH("2302153-ND-S-Z-10",'SKU明细'!$A$11:$A$1309,0)),INDEX('SKU明细'!$CE$11:$CE$1309,MATCH("2302153-ND-S-Z-11",'SKU明细'!$A$11:$A$1309,0)))=10,SUM(INDEX('SKU明细'!$CE$11:$CE$1309,MATCH("2302153-ND-S-Z-6",'SKU明细'!$A$11:$A$1309,0)),INDEX('SKU明细'!$CE$11:$CE$1309,MATCH("2302153-ND-S-Z-6.5",'SKU明细'!$A$11:$A$1309,0)),INDEX('SKU明细'!$CE$11:$CE$1309,MATCH("2302153-ND-S-Z-7",'SKU明细'!$A$11:$A$1309,0)),INDEX('SKU明细'!$CE$11:$CE$1309,MATCH("2302153-ND-S-Z-7.5",'SKU明细'!$A$11:$A$1309,0)),INDEX('SKU明细'!$CE$11:$CE$1309,MATCH("2302153-ND-S-Z-8",'SKU明细'!$A$11:$A$1309,0)),INDEX('SKU明细'!$CE$11:$CE$1309,MATCH("2302153-ND-S-Z-8.5",'SKU明细'!$A$11:$A$1309,0)),INDEX('SKU明细'!$CE$11:$CE$1309,MATCH("2302153-ND-S-Z-9",'SKU明细'!$A$11:$A$1309,0)),INDEX('SKU明细'!$CE$11:$CE$1309,MATCH("2302153-ND-S-Z-9.5",'SKU明细'!$A$11:$A$1309,0)),INDEX('SKU明细'!$CE$11:$CE$1309,MATCH("2302153-ND-S-Z-10",'SKU明细'!$A$11:$A$1309,0)),INDEX('SKU明细'!$CE$11:$CE$1309,MATCH("2302153-ND-S-Z-11",'SKU明细'!$A$11:$A$1309,0))),"待核")</x:f>
        <x:v>729.7775471890906</x:v>
      </x:c>
      <x:c r="AD28" s="11" t="n">
        <x:f>INDEX('SKU明细'!$CF$11:$CF$1309,MATCH("2302153-ND-S-Z-6",'SKU明细'!$A$11:$A$1309,0))</x:f>
        <x:v>0.7719368903846591</x:v>
      </x:c>
      <x:c r="AE28" s="13" t="n">
        <x:f>IF(COUNT(INDEX('SKU明细'!$CH$11:$CH$1309,MATCH("2302153-ND-S-Z-6",'SKU明细'!$A$11:$A$1309,0)),INDEX('SKU明细'!$CH$11:$CH$1309,MATCH("2302153-ND-S-Z-6.5",'SKU明细'!$A$11:$A$1309,0)),INDEX('SKU明细'!$CH$11:$CH$1309,MATCH("2302153-ND-S-Z-7",'SKU明细'!$A$11:$A$1309,0)),INDEX('SKU明细'!$CH$11:$CH$1309,MATCH("2302153-ND-S-Z-7.5",'SKU明细'!$A$11:$A$1309,0)),INDEX('SKU明细'!$CH$11:$CH$1309,MATCH("2302153-ND-S-Z-8",'SKU明细'!$A$11:$A$1309,0)),INDEX('SKU明细'!$CH$11:$CH$1309,MATCH("2302153-ND-S-Z-8.5",'SKU明细'!$A$11:$A$1309,0)),INDEX('SKU明细'!$CH$11:$CH$1309,MATCH("2302153-ND-S-Z-9",'SKU明细'!$A$11:$A$1309,0)),INDEX('SKU明细'!$CH$11:$CH$1309,MATCH("2302153-ND-S-Z-9.5",'SKU明细'!$A$11:$A$1309,0)),INDEX('SKU明细'!$CH$11:$CH$1309,MATCH("2302153-ND-S-Z-10",'SKU明细'!$A$11:$A$1309,0)),INDEX('SKU明细'!$CH$11:$CH$1309,MATCH("2302153-ND-S-Z-11",'SKU明细'!$A$11:$A$1309,0)))=10,SUM(INDEX('SKU明细'!$CH$11:$CH$1309,MATCH("2302153-ND-S-Z-6",'SKU明细'!$A$11:$A$1309,0)),INDEX('SKU明细'!$CH$11:$CH$1309,MATCH("2302153-ND-S-Z-6.5",'SKU明细'!$A$11:$A$1309,0)),INDEX('SKU明细'!$CH$11:$CH$1309,MATCH("2302153-ND-S-Z-7",'SKU明细'!$A$11:$A$1309,0)),INDEX('SKU明细'!$CH$11:$CH$1309,MATCH("2302153-ND-S-Z-7.5",'SKU明细'!$A$11:$A$1309,0)),INDEX('SKU明细'!$CH$11:$CH$1309,MATCH("2302153-ND-S-Z-8",'SKU明细'!$A$11:$A$1309,0)),INDEX('SKU明细'!$CH$11:$CH$1309,MATCH("2302153-ND-S-Z-8.5",'SKU明细'!$A$11:$A$1309,0)),INDEX('SKU明细'!$CH$11:$CH$1309,MATCH("2302153-ND-S-Z-9",'SKU明细'!$A$11:$A$1309,0)),INDEX('SKU明细'!$CH$11:$CH$1309,MATCH("2302153-ND-S-Z-9.5",'SKU明细'!$A$11:$A$1309,0)),INDEX('SKU明细'!$CH$11:$CH$1309,MATCH("2302153-ND-S-Z-10",'SKU明细'!$A$11:$A$1309,0)),INDEX('SKU明细'!$CH$11:$CH$1309,MATCH("2302153-ND-S-Z-11",'SKU明细'!$A$11:$A$1309,0))),"待核")</x:f>
        <x:v>286.22085506354614</x:v>
      </x:c>
      <x:c r="AF28" s="13" t="n">
        <x:f>IF(COUNT(INDEX('SKU明细'!$CI$11:$CI$1309,MATCH("2302153-ND-S-Z-6",'SKU明细'!$A$11:$A$1309,0)),INDEX('SKU明细'!$CI$11:$CI$1309,MATCH("2302153-ND-S-Z-6.5",'SKU明细'!$A$11:$A$1309,0)),INDEX('SKU明细'!$CI$11:$CI$1309,MATCH("2302153-ND-S-Z-7",'SKU明细'!$A$11:$A$1309,0)),INDEX('SKU明细'!$CI$11:$CI$1309,MATCH("2302153-ND-S-Z-7.5",'SKU明细'!$A$11:$A$1309,0)),INDEX('SKU明细'!$CI$11:$CI$1309,MATCH("2302153-ND-S-Z-8",'SKU明细'!$A$11:$A$1309,0)),INDEX('SKU明细'!$CI$11:$CI$1309,MATCH("2302153-ND-S-Z-8.5",'SKU明细'!$A$11:$A$1309,0)),INDEX('SKU明细'!$CI$11:$CI$1309,MATCH("2302153-ND-S-Z-9",'SKU明细'!$A$11:$A$1309,0)),INDEX('SKU明细'!$CI$11:$CI$1309,MATCH("2302153-ND-S-Z-9.5",'SKU明细'!$A$11:$A$1309,0)),INDEX('SKU明细'!$CI$11:$CI$1309,MATCH("2302153-ND-S-Z-10",'SKU明细'!$A$11:$A$1309,0)),INDEX('SKU明细'!$CI$11:$CI$1309,MATCH("2302153-ND-S-Z-11",'SKU明细'!$A$11:$A$1309,0)))=10,SUM(INDEX('SKU明细'!$CI$11:$CI$1309,MATCH("2302153-ND-S-Z-6",'SKU明细'!$A$11:$A$1309,0)),INDEX('SKU明细'!$CI$11:$CI$1309,MATCH("2302153-ND-S-Z-6.5",'SKU明细'!$A$11:$A$1309,0)),INDEX('SKU明细'!$CI$11:$CI$1309,MATCH("2302153-ND-S-Z-7",'SKU明细'!$A$11:$A$1309,0)),INDEX('SKU明细'!$CI$11:$CI$1309,MATCH("2302153-ND-S-Z-7.5",'SKU明细'!$A$11:$A$1309,0)),INDEX('SKU明细'!$CI$11:$CI$1309,MATCH("2302153-ND-S-Z-8",'SKU明细'!$A$11:$A$1309,0)),INDEX('SKU明细'!$CI$11:$CI$1309,MATCH("2302153-ND-S-Z-8.5",'SKU明细'!$A$11:$A$1309,0)),INDEX('SKU明细'!$CI$11:$CI$1309,MATCH("2302153-ND-S-Z-9",'SKU明细'!$A$11:$A$1309,0)),INDEX('SKU明细'!$CI$11:$CI$1309,MATCH("2302153-ND-S-Z-9.5",'SKU明细'!$A$11:$A$1309,0)),INDEX('SKU明细'!$CI$11:$CI$1309,MATCH("2302153-ND-S-Z-10",'SKU明细'!$A$11:$A$1309,0)),INDEX('SKU明细'!$CI$11:$CI$1309,MATCH("2302153-ND-S-Z-11",'SKU明细'!$A$11:$A$1309,0))),"待核")</x:f>
        <x:v>2387.365937261618</x:v>
      </x:c>
    </x:row>
    <x:row r="29" ht="40" customHeight="1">
      <x:c r="A29" s="37" t="str">
        <x:v>2302153</x:v>
      </x:c>
      <x:c r="B29" s="37" t="str">
        <x:v>徐新怡</x:v>
      </x:c>
      <x:c r="C29" s="37" t="str">
        <x:v>藏青色</x:v>
      </x:c>
      <x:c r="D29" s="37" t="str">
        <x:v>NY</x:v>
      </x:c>
      <x:c r="E29" s="37" t="str">
        <x:v>2302153-NY</x:v>
      </x:c>
      <x:c r="F29" s="37"/>
      <x:c r="G29" s="38" t="str">
        <x:f>"—"</x:f>
        <x:v>—</x:v>
      </x:c>
      <x:c r="H29" s="38" t="n">
        <x:f>IF(COUNT(INDEX('SKU明细'!$D$11:$D$1309,MATCH("2302153-NY-37",'SKU明细'!$A$11:$A$1309,0)))=0,"待核",IF(COUNT(INDEX('SKU明细'!$D$11:$D$1309,MATCH("2302153-NY-37",'SKU明细'!$A$11:$A$1309,0)))&lt;1,SUM(INDEX('SKU明细'!$D$11:$D$1309,MATCH("2302153-NY-37",'SKU明细'!$A$11:$A$1309,0)))&amp;" + 待核",SUM(INDEX('SKU明细'!$D$11:$D$1309,MATCH("2302153-NY-37",'SKU明细'!$A$11:$A$1309,0)))))</x:f>
        <x:v>2</x:v>
      </x:c>
      <x:c r="I29" s="38" t="n">
        <x:f>IF(COUNT(INDEX('SKU明细'!$D$11:$D$1309,MATCH("2302153-NY-37.5",'SKU明细'!$A$11:$A$1309,0)))=0,"待核",IF(COUNT(INDEX('SKU明细'!$D$11:$D$1309,MATCH("2302153-NY-37.5",'SKU明细'!$A$11:$A$1309,0)))&lt;1,SUM(INDEX('SKU明细'!$D$11:$D$1309,MATCH("2302153-NY-37.5",'SKU明细'!$A$11:$A$1309,0)))&amp;" + 待核",SUM(INDEX('SKU明细'!$D$11:$D$1309,MATCH("2302153-NY-37.5",'SKU明细'!$A$11:$A$1309,0)))))</x:f>
        <x:v>3</x:v>
      </x:c>
      <x:c r="J29" s="38" t="n">
        <x:f>IF(COUNT(INDEX('SKU明细'!$D$11:$D$1309,MATCH("2302153-NY-38",'SKU明细'!$A$11:$A$1309,0)))=0,"待核",IF(COUNT(INDEX('SKU明细'!$D$11:$D$1309,MATCH("2302153-NY-38",'SKU明细'!$A$11:$A$1309,0)))&lt;1,SUM(INDEX('SKU明细'!$D$11:$D$1309,MATCH("2302153-NY-38",'SKU明细'!$A$11:$A$1309,0)))&amp;" + 待核",SUM(INDEX('SKU明细'!$D$11:$D$1309,MATCH("2302153-NY-38",'SKU明细'!$A$11:$A$1309,0)))))</x:f>
        <x:v>0</x:v>
      </x:c>
      <x:c r="K29" s="38" t="n">
        <x:f>IF(COUNT(INDEX('SKU明细'!$D$11:$D$1309,MATCH("2302153-NY-38.5",'SKU明细'!$A$11:$A$1309,0)))=0,"待核",IF(COUNT(INDEX('SKU明细'!$D$11:$D$1309,MATCH("2302153-NY-38.5",'SKU明细'!$A$11:$A$1309,0)))&lt;1,SUM(INDEX('SKU明细'!$D$11:$D$1309,MATCH("2302153-NY-38.5",'SKU明细'!$A$11:$A$1309,0)))&amp;" + 待核",SUM(INDEX('SKU明细'!$D$11:$D$1309,MATCH("2302153-NY-38.5",'SKU明细'!$A$11:$A$1309,0)))))</x:f>
        <x:v>2</x:v>
      </x:c>
      <x:c r="L29" s="38" t="n">
        <x:f>IF(COUNT(INDEX('SKU明细'!$D$11:$D$1309,MATCH("2302153-NY-39",'SKU明细'!$A$11:$A$1309,0)))=0,"待核",IF(COUNT(INDEX('SKU明细'!$D$11:$D$1309,MATCH("2302153-NY-39",'SKU明细'!$A$11:$A$1309,0)))&lt;1,SUM(INDEX('SKU明细'!$D$11:$D$1309,MATCH("2302153-NY-39",'SKU明细'!$A$11:$A$1309,0)))&amp;" + 待核",SUM(INDEX('SKU明细'!$D$11:$D$1309,MATCH("2302153-NY-39",'SKU明细'!$A$11:$A$1309,0)))))</x:f>
        <x:v>0</x:v>
      </x:c>
      <x:c r="M29" s="38" t="n">
        <x:f>IF(COUNT(INDEX('SKU明细'!$D$11:$D$1309,MATCH("2302153-NY-39.5",'SKU明细'!$A$11:$A$1309,0)))=0,"待核",IF(COUNT(INDEX('SKU明细'!$D$11:$D$1309,MATCH("2302153-NY-39.5",'SKU明细'!$A$11:$A$1309,0)))&lt;1,SUM(INDEX('SKU明细'!$D$11:$D$1309,MATCH("2302153-NY-39.5",'SKU明细'!$A$11:$A$1309,0)))&amp;" + 待核",SUM(INDEX('SKU明细'!$D$11:$D$1309,MATCH("2302153-NY-39.5",'SKU明细'!$A$11:$A$1309,0)))))</x:f>
        <x:v>0</x:v>
      </x:c>
      <x:c r="N29" s="38" t="n">
        <x:f>IF(COUNT(INDEX('SKU明细'!$D$11:$D$1309,MATCH("2302153-NY-40",'SKU明细'!$A$11:$A$1309,0)))=0,"待核",IF(COUNT(INDEX('SKU明细'!$D$11:$D$1309,MATCH("2302153-NY-40",'SKU明细'!$A$11:$A$1309,0)))&lt;1,SUM(INDEX('SKU明细'!$D$11:$D$1309,MATCH("2302153-NY-40",'SKU明细'!$A$11:$A$1309,0)))&amp;" + 待核",SUM(INDEX('SKU明细'!$D$11:$D$1309,MATCH("2302153-NY-40",'SKU明细'!$A$11:$A$1309,0)))))</x:f>
        <x:v>0</x:v>
      </x:c>
      <x:c r="O29" s="38" t="n">
        <x:f>IF(COUNT(INDEX('SKU明细'!$D$11:$D$1309,MATCH("2302153-NY-40.5",'SKU明细'!$A$11:$A$1309,0)))=0,"待核",IF(COUNT(INDEX('SKU明细'!$D$11:$D$1309,MATCH("2302153-NY-40.5",'SKU明细'!$A$11:$A$1309,0)))&lt;1,SUM(INDEX('SKU明细'!$D$11:$D$1309,MATCH("2302153-NY-40.5",'SKU明细'!$A$11:$A$1309,0)))&amp;" + 待核",SUM(INDEX('SKU明细'!$D$11:$D$1309,MATCH("2302153-NY-40.5",'SKU明细'!$A$11:$A$1309,0)))))</x:f>
        <x:v>0</x:v>
      </x:c>
      <x:c r="P29" s="38" t="n">
        <x:f>IF(COUNT(INDEX('SKU明细'!$D$11:$D$1309,MATCH("2302153-NY-41",'SKU明细'!$A$11:$A$1309,0)))=0,"待核",IF(COUNT(INDEX('SKU明细'!$D$11:$D$1309,MATCH("2302153-NY-41",'SKU明细'!$A$11:$A$1309,0)))&lt;1,SUM(INDEX('SKU明细'!$D$11:$D$1309,MATCH("2302153-NY-41",'SKU明细'!$A$11:$A$1309,0)))&amp;" + 待核",SUM(INDEX('SKU明细'!$D$11:$D$1309,MATCH("2302153-NY-41",'SKU明细'!$A$11:$A$1309,0)))))</x:f>
        <x:v>23</x:v>
      </x:c>
      <x:c r="Q29" s="38" t="str">
        <x:f>"—"</x:f>
        <x:v>—</x:v>
      </x:c>
      <x:c r="R29" s="38" t="n">
        <x:f>IF(COUNT(INDEX('SKU明细'!$D$11:$D$1309,MATCH("2302153-NY-42",'SKU明细'!$A$11:$A$1309,0)))=0,"待核",IF(COUNT(INDEX('SKU明细'!$D$11:$D$1309,MATCH("2302153-NY-42",'SKU明细'!$A$11:$A$1309,0)))&lt;1,SUM(INDEX('SKU明细'!$D$11:$D$1309,MATCH("2302153-NY-42",'SKU明细'!$A$11:$A$1309,0)))&amp;" + 待核",SUM(INDEX('SKU明细'!$D$11:$D$1309,MATCH("2302153-NY-42",'SKU明细'!$A$11:$A$1309,0)))))</x:f>
        <x:v>11</x:v>
      </x:c>
      <x:c r="S29" s="38" t="n">
        <x:f>IF(COUNT(INDEX('SKU明细'!$D$11:$D$1309,MATCH("2302153-NY-37",'SKU明细'!$A$11:$A$1309,0)),INDEX('SKU明细'!$D$11:$D$1309,MATCH("2302153-NY-37.5",'SKU明细'!$A$11:$A$1309,0)),INDEX('SKU明细'!$D$11:$D$1309,MATCH("2302153-NY-38",'SKU明细'!$A$11:$A$1309,0)),INDEX('SKU明细'!$D$11:$D$1309,MATCH("2302153-NY-38.5",'SKU明细'!$A$11:$A$1309,0)),INDEX('SKU明细'!$D$11:$D$1309,MATCH("2302153-NY-39",'SKU明细'!$A$11:$A$1309,0)),INDEX('SKU明细'!$D$11:$D$1309,MATCH("2302153-NY-39.5",'SKU明细'!$A$11:$A$1309,0)),INDEX('SKU明细'!$D$11:$D$1309,MATCH("2302153-NY-40",'SKU明细'!$A$11:$A$1309,0)),INDEX('SKU明细'!$D$11:$D$1309,MATCH("2302153-NY-40.5",'SKU明细'!$A$11:$A$1309,0)),INDEX('SKU明细'!$D$11:$D$1309,MATCH("2302153-NY-41",'SKU明细'!$A$11:$A$1309,0)),INDEX('SKU明细'!$D$11:$D$1309,MATCH("2302153-NY-42",'SKU明细'!$A$11:$A$1309,0)))=0,"待核",SUM(INDEX('SKU明细'!$D$11:$D$1309,MATCH("2302153-NY-37",'SKU明细'!$A$11:$A$1309,0)),INDEX('SKU明细'!$D$11:$D$1309,MATCH("2302153-NY-37.5",'SKU明细'!$A$11:$A$1309,0)),INDEX('SKU明细'!$D$11:$D$1309,MATCH("2302153-NY-38",'SKU明细'!$A$11:$A$1309,0)),INDEX('SKU明细'!$D$11:$D$1309,MATCH("2302153-NY-38.5",'SKU明细'!$A$11:$A$1309,0)),INDEX('SKU明细'!$D$11:$D$1309,MATCH("2302153-NY-39",'SKU明细'!$A$11:$A$1309,0)),INDEX('SKU明细'!$D$11:$D$1309,MATCH("2302153-NY-39.5",'SKU明细'!$A$11:$A$1309,0)),INDEX('SKU明细'!$D$11:$D$1309,MATCH("2302153-NY-40",'SKU明细'!$A$11:$A$1309,0)),INDEX('SKU明细'!$D$11:$D$1309,MATCH("2302153-NY-40.5",'SKU明细'!$A$11:$A$1309,0)),INDEX('SKU明细'!$D$11:$D$1309,MATCH("2302153-NY-41",'SKU明细'!$A$11:$A$1309,0)),INDEX('SKU明细'!$D$11:$D$1309,MATCH("2302153-NY-42",'SKU明细'!$A$11:$A$1309,0))))</x:f>
        <x:v>41</x:v>
      </x:c>
      <x:c r="T29" s="38" t="n">
        <x:f>IF(COUNTIFS($A$9:$A$191,A29,$U$9:$U$191,"&lt;&gt;待核")=0,"待核",SUMIF($A$9:$A$191,A29,$S$9:$S$191))</x:f>
        <x:v>945</x:v>
      </x:c>
      <x:c r="U29" s="37" t="str">
        <x:f>IF(COUNT(INDEX('SKU明细'!$D$11:$D$1309,MATCH("2302153-NY-37",'SKU明细'!$A$11:$A$1309,0)),INDEX('SKU明细'!$D$11:$D$1309,MATCH("2302153-NY-37.5",'SKU明细'!$A$11:$A$1309,0)),INDEX('SKU明细'!$D$11:$D$1309,MATCH("2302153-NY-38",'SKU明细'!$A$11:$A$1309,0)),INDEX('SKU明细'!$D$11:$D$1309,MATCH("2302153-NY-38.5",'SKU明细'!$A$11:$A$1309,0)),INDEX('SKU明细'!$D$11:$D$1309,MATCH("2302153-NY-39",'SKU明细'!$A$11:$A$1309,0)),INDEX('SKU明细'!$D$11:$D$1309,MATCH("2302153-NY-39.5",'SKU明细'!$A$11:$A$1309,0)),INDEX('SKU明细'!$D$11:$D$1309,MATCH("2302153-NY-40",'SKU明细'!$A$11:$A$1309,0)),INDEX('SKU明细'!$D$11:$D$1309,MATCH("2302153-NY-40.5",'SKU明细'!$A$11:$A$1309,0)),INDEX('SKU明细'!$D$11:$D$1309,MATCH("2302153-NY-41",'SKU明细'!$A$11:$A$1309,0)),INDEX('SKU明细'!$D$11:$D$1309,MATCH("2302153-NY-42",'SKU明细'!$A$11:$A$1309,0)))=0,"待核",IF(COUNT(INDEX('SKU明细'!$D$11:$D$1309,MATCH("2302153-NY-37",'SKU明细'!$A$11:$A$1309,0)),INDEX('SKU明细'!$D$11:$D$1309,MATCH("2302153-NY-37.5",'SKU明细'!$A$11:$A$1309,0)),INDEX('SKU明细'!$D$11:$D$1309,MATCH("2302153-NY-38",'SKU明细'!$A$11:$A$1309,0)),INDEX('SKU明细'!$D$11:$D$1309,MATCH("2302153-NY-38.5",'SKU明细'!$A$11:$A$1309,0)),INDEX('SKU明细'!$D$11:$D$1309,MATCH("2302153-NY-39",'SKU明细'!$A$11:$A$1309,0)),INDEX('SKU明细'!$D$11:$D$1309,MATCH("2302153-NY-39.5",'SKU明细'!$A$11:$A$1309,0)),INDEX('SKU明细'!$D$11:$D$1309,MATCH("2302153-NY-40",'SKU明细'!$A$11:$A$1309,0)),INDEX('SKU明细'!$D$11:$D$1309,MATCH("2302153-NY-40.5",'SKU明细'!$A$11:$A$1309,0)),INDEX('SKU明细'!$D$11:$D$1309,MATCH("2302153-NY-41",'SKU明细'!$A$11:$A$1309,0)),INDEX('SKU明细'!$D$11:$D$1309,MATCH("2302153-NY-42",'SKU明细'!$A$11:$A$1309,0)))&lt;10,"另有待核","已核"))</x:f>
        <x:v>已核</x:v>
      </x:c>
      <x:c r="V29" s="37" t="str">
        <x:v>在售</x:v>
      </x:c>
      <x:c r="W29" s="11" t="n">
        <x:f>IF(COUNT(INDEX('SKU明细'!$BV$11:$BV$1309,MATCH("2302153-NY-37",'SKU明细'!$A$11:$A$1309,0)),INDEX('SKU明细'!$BV$11:$BV$1309,MATCH("2302153-NY-37.5",'SKU明细'!$A$11:$A$1309,0)),INDEX('SKU明细'!$BV$11:$BV$1309,MATCH("2302153-NY-38",'SKU明细'!$A$11:$A$1309,0)),INDEX('SKU明细'!$BV$11:$BV$1309,MATCH("2302153-NY-38.5",'SKU明细'!$A$11:$A$1309,0)),INDEX('SKU明细'!$BV$11:$BV$1309,MATCH("2302153-NY-39",'SKU明细'!$A$11:$A$1309,0)),INDEX('SKU明细'!$BV$11:$BV$1309,MATCH("2302153-NY-39.5",'SKU明细'!$A$11:$A$1309,0)),INDEX('SKU明细'!$BV$11:$BV$1309,MATCH("2302153-NY-40",'SKU明细'!$A$11:$A$1309,0)),INDEX('SKU明细'!$BV$11:$BV$1309,MATCH("2302153-NY-40.5",'SKU明细'!$A$11:$A$1309,0)),INDEX('SKU明细'!$BV$11:$BV$1309,MATCH("2302153-NY-41",'SKU明细'!$A$11:$A$1309,0)),INDEX('SKU明细'!$BV$11:$BV$1309,MATCH("2302153-NY-42",'SKU明细'!$A$11:$A$1309,0)))=10,SUM(INDEX('SKU明细'!$BV$11:$BV$1309,MATCH("2302153-NY-37",'SKU明细'!$A$11:$A$1309,0)),INDEX('SKU明细'!$BV$11:$BV$1309,MATCH("2302153-NY-37.5",'SKU明细'!$A$11:$A$1309,0)),INDEX('SKU明细'!$BV$11:$BV$1309,MATCH("2302153-NY-38",'SKU明细'!$A$11:$A$1309,0)),INDEX('SKU明细'!$BV$11:$BV$1309,MATCH("2302153-NY-38.5",'SKU明细'!$A$11:$A$1309,0)),INDEX('SKU明细'!$BV$11:$BV$1309,MATCH("2302153-NY-39",'SKU明细'!$A$11:$A$1309,0)),INDEX('SKU明细'!$BV$11:$BV$1309,MATCH("2302153-NY-39.5",'SKU明细'!$A$11:$A$1309,0)),INDEX('SKU明细'!$BV$11:$BV$1309,MATCH("2302153-NY-40",'SKU明细'!$A$11:$A$1309,0)),INDEX('SKU明细'!$BV$11:$BV$1309,MATCH("2302153-NY-40.5",'SKU明细'!$A$11:$A$1309,0)),INDEX('SKU明细'!$BV$11:$BV$1309,MATCH("2302153-NY-41",'SKU明细'!$A$11:$A$1309,0)),INDEX('SKU明细'!$BV$11:$BV$1309,MATCH("2302153-NY-42",'SKU明细'!$A$11:$A$1309,0))),"待核")</x:f>
        <x:v>1.6472279642724972</x:v>
      </x:c>
      <x:c r="X29" s="11" t="n">
        <x:f>INDEX('SKU明细'!$BW$11:$BW$1309,MATCH("2302153-NY-37",'SKU明细'!$A$11:$A$1309,0))</x:f>
        <x:v>1.7391279184229513</x:v>
      </x:c>
      <x:c r="Y29" s="13" t="n">
        <x:f>IF(COUNT(INDEX('SKU明细'!$BY$11:$BY$1309,MATCH("2302153-NY-37",'SKU明细'!$A$11:$A$1309,0)),INDEX('SKU明细'!$BY$11:$BY$1309,MATCH("2302153-NY-37.5",'SKU明细'!$A$11:$A$1309,0)),INDEX('SKU明细'!$BY$11:$BY$1309,MATCH("2302153-NY-38",'SKU明细'!$A$11:$A$1309,0)),INDEX('SKU明细'!$BY$11:$BY$1309,MATCH("2302153-NY-38.5",'SKU明细'!$A$11:$A$1309,0)),INDEX('SKU明细'!$BY$11:$BY$1309,MATCH("2302153-NY-39",'SKU明细'!$A$11:$A$1309,0)),INDEX('SKU明细'!$BY$11:$BY$1309,MATCH("2302153-NY-39.5",'SKU明细'!$A$11:$A$1309,0)),INDEX('SKU明细'!$BY$11:$BY$1309,MATCH("2302153-NY-40",'SKU明细'!$A$11:$A$1309,0)),INDEX('SKU明细'!$BY$11:$BY$1309,MATCH("2302153-NY-40.5",'SKU明细'!$A$11:$A$1309,0)),INDEX('SKU明细'!$BY$11:$BY$1309,MATCH("2302153-NY-41",'SKU明细'!$A$11:$A$1309,0)),INDEX('SKU明细'!$BY$11:$BY$1309,MATCH("2302153-NY-42",'SKU明细'!$A$11:$A$1309,0)))=10,SUM(INDEX('SKU明细'!$BY$11:$BY$1309,MATCH("2302153-NY-37",'SKU明细'!$A$11:$A$1309,0)),INDEX('SKU明细'!$BY$11:$BY$1309,MATCH("2302153-NY-37.5",'SKU明细'!$A$11:$A$1309,0)),INDEX('SKU明细'!$BY$11:$BY$1309,MATCH("2302153-NY-38",'SKU明细'!$A$11:$A$1309,0)),INDEX('SKU明细'!$BY$11:$BY$1309,MATCH("2302153-NY-38.5",'SKU明细'!$A$11:$A$1309,0)),INDEX('SKU明细'!$BY$11:$BY$1309,MATCH("2302153-NY-39",'SKU明细'!$A$11:$A$1309,0)),INDEX('SKU明细'!$BY$11:$BY$1309,MATCH("2302153-NY-39.5",'SKU明细'!$A$11:$A$1309,0)),INDEX('SKU明细'!$BY$11:$BY$1309,MATCH("2302153-NY-40",'SKU明细'!$A$11:$A$1309,0)),INDEX('SKU明细'!$BY$11:$BY$1309,MATCH("2302153-NY-40.5",'SKU明细'!$A$11:$A$1309,0)),INDEX('SKU明细'!$BY$11:$BY$1309,MATCH("2302153-NY-41",'SKU明细'!$A$11:$A$1309,0)),INDEX('SKU明细'!$BY$11:$BY$1309,MATCH("2302153-NY-42",'SKU明细'!$A$11:$A$1309,0))),"待核")</x:f>
        <x:v>34.37688168807964</x:v>
      </x:c>
      <x:c r="Z29" s="11" t="n">
        <x:f>INDEX('SKU明细'!$BZ$11:$BZ$1309,MATCH("2302153-NY-37",'SKU明细'!$A$11:$A$1309,0))</x:f>
        <x:v>1.4002077845513243</x:v>
      </x:c>
      <x:c r="AA29" s="13" t="n">
        <x:f>IF(COUNT(INDEX('SKU明细'!$CB$11:$CB$1309,MATCH("2302153-NY-37",'SKU明细'!$A$11:$A$1309,0)),INDEX('SKU明细'!$CB$11:$CB$1309,MATCH("2302153-NY-37.5",'SKU明细'!$A$11:$A$1309,0)),INDEX('SKU明细'!$CB$11:$CB$1309,MATCH("2302153-NY-38",'SKU明细'!$A$11:$A$1309,0)),INDEX('SKU明细'!$CB$11:$CB$1309,MATCH("2302153-NY-38.5",'SKU明细'!$A$11:$A$1309,0)),INDEX('SKU明细'!$CB$11:$CB$1309,MATCH("2302153-NY-39",'SKU明细'!$A$11:$A$1309,0)),INDEX('SKU明细'!$CB$11:$CB$1309,MATCH("2302153-NY-39.5",'SKU明细'!$A$11:$A$1309,0)),INDEX('SKU明细'!$CB$11:$CB$1309,MATCH("2302153-NY-40",'SKU明细'!$A$11:$A$1309,0)),INDEX('SKU明细'!$CB$11:$CB$1309,MATCH("2302153-NY-40.5",'SKU明细'!$A$11:$A$1309,0)),INDEX('SKU明细'!$CB$11:$CB$1309,MATCH("2302153-NY-41",'SKU明细'!$A$11:$A$1309,0)),INDEX('SKU明细'!$CB$11:$CB$1309,MATCH("2302153-NY-42",'SKU明细'!$A$11:$A$1309,0)))=10,SUM(INDEX('SKU明细'!$CB$11:$CB$1309,MATCH("2302153-NY-37",'SKU明细'!$A$11:$A$1309,0)),INDEX('SKU明细'!$CB$11:$CB$1309,MATCH("2302153-NY-37.5",'SKU明细'!$A$11:$A$1309,0)),INDEX('SKU明细'!$CB$11:$CB$1309,MATCH("2302153-NY-38",'SKU明细'!$A$11:$A$1309,0)),INDEX('SKU明细'!$CB$11:$CB$1309,MATCH("2302153-NY-38.5",'SKU明细'!$A$11:$A$1309,0)),INDEX('SKU明细'!$CB$11:$CB$1309,MATCH("2302153-NY-39",'SKU明细'!$A$11:$A$1309,0)),INDEX('SKU明细'!$CB$11:$CB$1309,MATCH("2302153-NY-39.5",'SKU明细'!$A$11:$A$1309,0)),INDEX('SKU明细'!$CB$11:$CB$1309,MATCH("2302153-NY-40",'SKU明细'!$A$11:$A$1309,0)),INDEX('SKU明细'!$CB$11:$CB$1309,MATCH("2302153-NY-40.5",'SKU明细'!$A$11:$A$1309,0)),INDEX('SKU明细'!$CB$11:$CB$1309,MATCH("2302153-NY-41",'SKU明细'!$A$11:$A$1309,0)),INDEX('SKU明细'!$CB$11:$CB$1309,MATCH("2302153-NY-42",'SKU明细'!$A$11:$A$1309,0))),"待核")</x:f>
        <x:v>69.19384255514943</x:v>
      </x:c>
      <x:c r="AB29" s="11" t="n">
        <x:f>INDEX('SKU明细'!$CC$11:$CC$1309,MATCH("2302153-NY-37",'SKU明细'!$A$11:$A$1309,0))</x:f>
        <x:v>1.079339935625147</x:v>
      </x:c>
      <x:c r="AC29" s="13" t="n">
        <x:f>IF(COUNT(INDEX('SKU明细'!$CE$11:$CE$1309,MATCH("2302153-NY-37",'SKU明细'!$A$11:$A$1309,0)),INDEX('SKU明细'!$CE$11:$CE$1309,MATCH("2302153-NY-37.5",'SKU明细'!$A$11:$A$1309,0)),INDEX('SKU明细'!$CE$11:$CE$1309,MATCH("2302153-NY-38",'SKU明细'!$A$11:$A$1309,0)),INDEX('SKU明细'!$CE$11:$CE$1309,MATCH("2302153-NY-38.5",'SKU明细'!$A$11:$A$1309,0)),INDEX('SKU明细'!$CE$11:$CE$1309,MATCH("2302153-NY-39",'SKU明细'!$A$11:$A$1309,0)),INDEX('SKU明细'!$CE$11:$CE$1309,MATCH("2302153-NY-39.5",'SKU明细'!$A$11:$A$1309,0)),INDEX('SKU明细'!$CE$11:$CE$1309,MATCH("2302153-NY-40",'SKU明细'!$A$11:$A$1309,0)),INDEX('SKU明细'!$CE$11:$CE$1309,MATCH("2302153-NY-40.5",'SKU明细'!$A$11:$A$1309,0)),INDEX('SKU明细'!$CE$11:$CE$1309,MATCH("2302153-NY-41",'SKU明细'!$A$11:$A$1309,0)),INDEX('SKU明细'!$CE$11:$CE$1309,MATCH("2302153-NY-42",'SKU明细'!$A$11:$A$1309,0)))=10,SUM(INDEX('SKU明细'!$CE$11:$CE$1309,MATCH("2302153-NY-37",'SKU明细'!$A$11:$A$1309,0)),INDEX('SKU明细'!$CE$11:$CE$1309,MATCH("2302153-NY-37.5",'SKU明细'!$A$11:$A$1309,0)),INDEX('SKU明细'!$CE$11:$CE$1309,MATCH("2302153-NY-38",'SKU明细'!$A$11:$A$1309,0)),INDEX('SKU明细'!$CE$11:$CE$1309,MATCH("2302153-NY-38.5",'SKU明细'!$A$11:$A$1309,0)),INDEX('SKU明细'!$CE$11:$CE$1309,MATCH("2302153-NY-39",'SKU明细'!$A$11:$A$1309,0)),INDEX('SKU明细'!$CE$11:$CE$1309,MATCH("2302153-NY-39.5",'SKU明细'!$A$11:$A$1309,0)),INDEX('SKU明细'!$CE$11:$CE$1309,MATCH("2302153-NY-40",'SKU明细'!$A$11:$A$1309,0)),INDEX('SKU明细'!$CE$11:$CE$1309,MATCH("2302153-NY-40.5",'SKU明细'!$A$11:$A$1309,0)),INDEX('SKU明细'!$CE$11:$CE$1309,MATCH("2302153-NY-41",'SKU明细'!$A$11:$A$1309,0)),INDEX('SKU明细'!$CE$11:$CE$1309,MATCH("2302153-NY-42",'SKU明细'!$A$11:$A$1309,0))),"待核")</x:f>
        <x:v>55.115486672452384</x:v>
      </x:c>
      <x:c r="AD29" s="11" t="n">
        <x:f>INDEX('SKU明细'!$CF$11:$CF$1309,MATCH("2302153-NY-37",'SKU明细'!$A$11:$A$1309,0))</x:f>
        <x:v>0.7719368903846591</x:v>
      </x:c>
      <x:c r="AE29" s="13" t="n">
        <x:f>IF(COUNT(INDEX('SKU明细'!$CH$11:$CH$1309,MATCH("2302153-NY-37",'SKU明细'!$A$11:$A$1309,0)),INDEX('SKU明细'!$CH$11:$CH$1309,MATCH("2302153-NY-37.5",'SKU明细'!$A$11:$A$1309,0)),INDEX('SKU明细'!$CH$11:$CH$1309,MATCH("2302153-NY-38",'SKU明细'!$A$11:$A$1309,0)),INDEX('SKU明细'!$CH$11:$CH$1309,MATCH("2302153-NY-38.5",'SKU明细'!$A$11:$A$1309,0)),INDEX('SKU明细'!$CH$11:$CH$1309,MATCH("2302153-NY-39",'SKU明细'!$A$11:$A$1309,0)),INDEX('SKU明细'!$CH$11:$CH$1309,MATCH("2302153-NY-39.5",'SKU明细'!$A$11:$A$1309,0)),INDEX('SKU明细'!$CH$11:$CH$1309,MATCH("2302153-NY-40",'SKU明细'!$A$11:$A$1309,0)),INDEX('SKU明细'!$CH$11:$CH$1309,MATCH("2302153-NY-40.5",'SKU明细'!$A$11:$A$1309,0)),INDEX('SKU明细'!$CH$11:$CH$1309,MATCH("2302153-NY-41",'SKU明细'!$A$11:$A$1309,0)),INDEX('SKU明细'!$CH$11:$CH$1309,MATCH("2302153-NY-42",'SKU明细'!$A$11:$A$1309,0)))=10,SUM(INDEX('SKU明细'!$CH$11:$CH$1309,MATCH("2302153-NY-37",'SKU明细'!$A$11:$A$1309,0)),INDEX('SKU明细'!$CH$11:$CH$1309,MATCH("2302153-NY-37.5",'SKU明细'!$A$11:$A$1309,0)),INDEX('SKU明细'!$CH$11:$CH$1309,MATCH("2302153-NY-38",'SKU明细'!$A$11:$A$1309,0)),INDEX('SKU明细'!$CH$11:$CH$1309,MATCH("2302153-NY-38.5",'SKU明细'!$A$11:$A$1309,0)),INDEX('SKU明细'!$CH$11:$CH$1309,MATCH("2302153-NY-39",'SKU明细'!$A$11:$A$1309,0)),INDEX('SKU明细'!$CH$11:$CH$1309,MATCH("2302153-NY-39.5",'SKU明细'!$A$11:$A$1309,0)),INDEX('SKU明细'!$CH$11:$CH$1309,MATCH("2302153-NY-40",'SKU明细'!$A$11:$A$1309,0)),INDEX('SKU明细'!$CH$11:$CH$1309,MATCH("2302153-NY-40.5",'SKU明细'!$A$11:$A$1309,0)),INDEX('SKU明细'!$CH$11:$CH$1309,MATCH("2302153-NY-41",'SKU明细'!$A$11:$A$1309,0)),INDEX('SKU明细'!$CH$11:$CH$1309,MATCH("2302153-NY-42",'SKU明细'!$A$11:$A$1309,0))),"待核")</x:f>
        <x:v>21.616452552417783</x:v>
      </x:c>
      <x:c r="AF29" s="13" t="n">
        <x:f>IF(COUNT(INDEX('SKU明细'!$CI$11:$CI$1309,MATCH("2302153-NY-37",'SKU明细'!$A$11:$A$1309,0)),INDEX('SKU明细'!$CI$11:$CI$1309,MATCH("2302153-NY-37.5",'SKU明细'!$A$11:$A$1309,0)),INDEX('SKU明细'!$CI$11:$CI$1309,MATCH("2302153-NY-38",'SKU明细'!$A$11:$A$1309,0)),INDEX('SKU明细'!$CI$11:$CI$1309,MATCH("2302153-NY-38.5",'SKU明细'!$A$11:$A$1309,0)),INDEX('SKU明细'!$CI$11:$CI$1309,MATCH("2302153-NY-39",'SKU明细'!$A$11:$A$1309,0)),INDEX('SKU明细'!$CI$11:$CI$1309,MATCH("2302153-NY-39.5",'SKU明细'!$A$11:$A$1309,0)),INDEX('SKU明细'!$CI$11:$CI$1309,MATCH("2302153-NY-40",'SKU明细'!$A$11:$A$1309,0)),INDEX('SKU明细'!$CI$11:$CI$1309,MATCH("2302153-NY-40.5",'SKU明细'!$A$11:$A$1309,0)),INDEX('SKU明细'!$CI$11:$CI$1309,MATCH("2302153-NY-41",'SKU明细'!$A$11:$A$1309,0)),INDEX('SKU明细'!$CI$11:$CI$1309,MATCH("2302153-NY-42",'SKU明细'!$A$11:$A$1309,0)))=10,SUM(INDEX('SKU明细'!$CI$11:$CI$1309,MATCH("2302153-NY-37",'SKU明细'!$A$11:$A$1309,0)),INDEX('SKU明细'!$CI$11:$CI$1309,MATCH("2302153-NY-37.5",'SKU明细'!$A$11:$A$1309,0)),INDEX('SKU明细'!$CI$11:$CI$1309,MATCH("2302153-NY-38",'SKU明细'!$A$11:$A$1309,0)),INDEX('SKU明细'!$CI$11:$CI$1309,MATCH("2302153-NY-38.5",'SKU明细'!$A$11:$A$1309,0)),INDEX('SKU明细'!$CI$11:$CI$1309,MATCH("2302153-NY-39",'SKU明细'!$A$11:$A$1309,0)),INDEX('SKU明细'!$CI$11:$CI$1309,MATCH("2302153-NY-39.5",'SKU明细'!$A$11:$A$1309,0)),INDEX('SKU明细'!$CI$11:$CI$1309,MATCH("2302153-NY-40",'SKU明细'!$A$11:$A$1309,0)),INDEX('SKU明细'!$CI$11:$CI$1309,MATCH("2302153-NY-40.5",'SKU明细'!$A$11:$A$1309,0)),INDEX('SKU明细'!$CI$11:$CI$1309,MATCH("2302153-NY-41",'SKU明细'!$A$11:$A$1309,0)),INDEX('SKU明细'!$CI$11:$CI$1309,MATCH("2302153-NY-42",'SKU明细'!$A$11:$A$1309,0))),"待核")</x:f>
        <x:v>180.30266346809927</x:v>
      </x:c>
    </x:row>
    <x:row r="30" ht="40" customHeight="1">
      <x:c r="A30" s="37" t="str">
        <x:v>2302153</x:v>
      </x:c>
      <x:c r="B30" s="37" t="str">
        <x:v>徐新怡</x:v>
      </x:c>
      <x:c r="C30" s="37" t="str">
        <x:v>红色</x:v>
      </x:c>
      <x:c r="D30" s="37" t="str">
        <x:v>RD</x:v>
      </x:c>
      <x:c r="E30" s="37" t="str">
        <x:v>2302153-RD-S-Z</x:v>
      </x:c>
      <x:c r="F30" s="37"/>
      <x:c r="G30" s="38" t="str">
        <x:f>"—"</x:f>
        <x:v>—</x:v>
      </x:c>
      <x:c r="H30" s="38" t="n">
        <x:f>IF(COUNT(INDEX('SKU明细'!$D$11:$D$1309,MATCH("2302153-RD-S-Z-6",'SKU明细'!$A$11:$A$1309,0)))=0,"待核",IF(COUNT(INDEX('SKU明细'!$D$11:$D$1309,MATCH("2302153-RD-S-Z-6",'SKU明细'!$A$11:$A$1309,0)))&lt;1,SUM(INDEX('SKU明细'!$D$11:$D$1309,MATCH("2302153-RD-S-Z-6",'SKU明细'!$A$11:$A$1309,0)))&amp;" + 待核",SUM(INDEX('SKU明细'!$D$11:$D$1309,MATCH("2302153-RD-S-Z-6",'SKU明细'!$A$11:$A$1309,0)))))</x:f>
        <x:v>5</x:v>
      </x:c>
      <x:c r="I30" s="38" t="str">
        <x:f>IF(COUNT(INDEX('SKU明细'!$D$11:$D$1309,MATCH("2302153-RD-S-Z-6.5",'SKU明细'!$A$11:$A$1309,0)))=0,"待核",IF(COUNT(INDEX('SKU明细'!$D$11:$D$1309,MATCH("2302153-RD-S-Z-6.5",'SKU明细'!$A$11:$A$1309,0)))&lt;1,SUM(INDEX('SKU明细'!$D$11:$D$1309,MATCH("2302153-RD-S-Z-6.5",'SKU明细'!$A$11:$A$1309,0)))&amp;" + 待核",SUM(INDEX('SKU明细'!$D$11:$D$1309,MATCH("2302153-RD-S-Z-6.5",'SKU明细'!$A$11:$A$1309,0)))))</x:f>
        <x:v>待核</x:v>
      </x:c>
      <x:c r="J30" s="38" t="n">
        <x:f>IF(COUNT(INDEX('SKU明细'!$D$11:$D$1309,MATCH("2302153-RD-S-Z-7",'SKU明细'!$A$11:$A$1309,0)))=0,"待核",IF(COUNT(INDEX('SKU明细'!$D$11:$D$1309,MATCH("2302153-RD-S-Z-7",'SKU明细'!$A$11:$A$1309,0)))&lt;1,SUM(INDEX('SKU明细'!$D$11:$D$1309,MATCH("2302153-RD-S-Z-7",'SKU明细'!$A$11:$A$1309,0)))&amp;" + 待核",SUM(INDEX('SKU明细'!$D$11:$D$1309,MATCH("2302153-RD-S-Z-7",'SKU明细'!$A$11:$A$1309,0)))))</x:f>
        <x:v>0</x:v>
      </x:c>
      <x:c r="K30" s="38" t="str">
        <x:f>IF(COUNT(INDEX('SKU明细'!$D$11:$D$1309,MATCH("2302153-RD-S-Z-7.5",'SKU明细'!$A$11:$A$1309,0)))=0,"待核",IF(COUNT(INDEX('SKU明细'!$D$11:$D$1309,MATCH("2302153-RD-S-Z-7.5",'SKU明细'!$A$11:$A$1309,0)))&lt;1,SUM(INDEX('SKU明细'!$D$11:$D$1309,MATCH("2302153-RD-S-Z-7.5",'SKU明细'!$A$11:$A$1309,0)))&amp;" + 待核",SUM(INDEX('SKU明细'!$D$11:$D$1309,MATCH("2302153-RD-S-Z-7.5",'SKU明细'!$A$11:$A$1309,0)))))</x:f>
        <x:v>待核</x:v>
      </x:c>
      <x:c r="L30" s="38" t="str">
        <x:f>"—"</x:f>
        <x:v>—</x:v>
      </x:c>
      <x:c r="M30" s="38" t="str">
        <x:f>"—"</x:f>
        <x:v>—</x:v>
      </x:c>
      <x:c r="N30" s="38" t="str">
        <x:f>"—"</x:f>
        <x:v>—</x:v>
      </x:c>
      <x:c r="O30" s="38" t="str">
        <x:f>IF(COUNT(INDEX('SKU明细'!$D$11:$D$1309,MATCH("2302153-RD-S-Z-9.5",'SKU明细'!$A$11:$A$1309,0)))=0,"待核",IF(COUNT(INDEX('SKU明细'!$D$11:$D$1309,MATCH("2302153-RD-S-Z-9.5",'SKU明细'!$A$11:$A$1309,0)))&lt;1,SUM(INDEX('SKU明细'!$D$11:$D$1309,MATCH("2302153-RD-S-Z-9.5",'SKU明细'!$A$11:$A$1309,0)))&amp;" + 待核",SUM(INDEX('SKU明细'!$D$11:$D$1309,MATCH("2302153-RD-S-Z-9.5",'SKU明细'!$A$11:$A$1309,0)))))</x:f>
        <x:v>待核</x:v>
      </x:c>
      <x:c r="P30" s="38" t="str">
        <x:f>"—"</x:f>
        <x:v>—</x:v>
      </x:c>
      <x:c r="Q30" s="38" t="n">
        <x:f>IF(COUNT(INDEX('SKU明细'!$D$11:$D$1309,MATCH("2302153-RD-S-Z-10.5",'SKU明细'!$A$11:$A$1309,0)))=0,"待核",IF(COUNT(INDEX('SKU明细'!$D$11:$D$1309,MATCH("2302153-RD-S-Z-10.5",'SKU明细'!$A$11:$A$1309,0)))&lt;1,SUM(INDEX('SKU明细'!$D$11:$D$1309,MATCH("2302153-RD-S-Z-10.5",'SKU明细'!$A$11:$A$1309,0)))&amp;" + 待核",SUM(INDEX('SKU明细'!$D$11:$D$1309,MATCH("2302153-RD-S-Z-10.5",'SKU明细'!$A$11:$A$1309,0)))))</x:f>
        <x:v>0</x:v>
      </x:c>
      <x:c r="R30" s="38" t="n">
        <x:f>IF(COUNT(INDEX('SKU明细'!$D$11:$D$1309,MATCH("2302153-RD-S-Z-11",'SKU明细'!$A$11:$A$1309,0)))=0,"待核",IF(COUNT(INDEX('SKU明细'!$D$11:$D$1309,MATCH("2302153-RD-S-Z-11",'SKU明细'!$A$11:$A$1309,0)))&lt;1,SUM(INDEX('SKU明细'!$D$11:$D$1309,MATCH("2302153-RD-S-Z-11",'SKU明细'!$A$11:$A$1309,0)))&amp;" + 待核",SUM(INDEX('SKU明细'!$D$11:$D$1309,MATCH("2302153-RD-S-Z-11",'SKU明细'!$A$11:$A$1309,0)))))</x:f>
        <x:v>0</x:v>
      </x:c>
      <x:c r="S30" s="38" t="n">
        <x:f>IF(COUNT(INDEX('SKU明细'!$D$11:$D$1309,MATCH("2302153-RD-S-Z-6",'SKU明细'!$A$11:$A$1309,0)),INDEX('SKU明细'!$D$11:$D$1309,MATCH("2302153-RD-S-Z-6.5",'SKU明细'!$A$11:$A$1309,0)),INDEX('SKU明细'!$D$11:$D$1309,MATCH("2302153-RD-S-Z-7",'SKU明细'!$A$11:$A$1309,0)),INDEX('SKU明细'!$D$11:$D$1309,MATCH("2302153-RD-S-Z-7.5",'SKU明细'!$A$11:$A$1309,0)),INDEX('SKU明细'!$D$11:$D$1309,MATCH("2302153-RD-S-Z-9.5",'SKU明细'!$A$11:$A$1309,0)),INDEX('SKU明细'!$D$11:$D$1309,MATCH("2302153-RD-S-Z-10.5",'SKU明细'!$A$11:$A$1309,0)),INDEX('SKU明细'!$D$11:$D$1309,MATCH("2302153-RD-S-Z-11",'SKU明细'!$A$11:$A$1309,0)))=0,"待核",SUM(INDEX('SKU明细'!$D$11:$D$1309,MATCH("2302153-RD-S-Z-6",'SKU明细'!$A$11:$A$1309,0)),INDEX('SKU明细'!$D$11:$D$1309,MATCH("2302153-RD-S-Z-6.5",'SKU明细'!$A$11:$A$1309,0)),INDEX('SKU明细'!$D$11:$D$1309,MATCH("2302153-RD-S-Z-7",'SKU明细'!$A$11:$A$1309,0)),INDEX('SKU明细'!$D$11:$D$1309,MATCH("2302153-RD-S-Z-7.5",'SKU明细'!$A$11:$A$1309,0)),INDEX('SKU明细'!$D$11:$D$1309,MATCH("2302153-RD-S-Z-9.5",'SKU明细'!$A$11:$A$1309,0)),INDEX('SKU明细'!$D$11:$D$1309,MATCH("2302153-RD-S-Z-10.5",'SKU明细'!$A$11:$A$1309,0)),INDEX('SKU明细'!$D$11:$D$1309,MATCH("2302153-RD-S-Z-11",'SKU明细'!$A$11:$A$1309,0))))</x:f>
        <x:v>5</x:v>
      </x:c>
      <x:c r="T30" s="38" t="n">
        <x:f>IF(COUNTIFS($A$9:$A$191,A30,$U$9:$U$191,"&lt;&gt;待核")=0,"待核",SUMIF($A$9:$A$191,A30,$S$9:$S$191))</x:f>
        <x:v>945</x:v>
      </x:c>
      <x:c r="U30" s="37" t="str">
        <x:f>IF(COUNT(INDEX('SKU明细'!$D$11:$D$1309,MATCH("2302153-RD-S-Z-6",'SKU明细'!$A$11:$A$1309,0)),INDEX('SKU明细'!$D$11:$D$1309,MATCH("2302153-RD-S-Z-6.5",'SKU明细'!$A$11:$A$1309,0)),INDEX('SKU明细'!$D$11:$D$1309,MATCH("2302153-RD-S-Z-7",'SKU明细'!$A$11:$A$1309,0)),INDEX('SKU明细'!$D$11:$D$1309,MATCH("2302153-RD-S-Z-7.5",'SKU明细'!$A$11:$A$1309,0)),INDEX('SKU明细'!$D$11:$D$1309,MATCH("2302153-RD-S-Z-9.5",'SKU明细'!$A$11:$A$1309,0)),INDEX('SKU明细'!$D$11:$D$1309,MATCH("2302153-RD-S-Z-10.5",'SKU明细'!$A$11:$A$1309,0)),INDEX('SKU明细'!$D$11:$D$1309,MATCH("2302153-RD-S-Z-11",'SKU明细'!$A$11:$A$1309,0)))=0,"待核",IF(COUNT(INDEX('SKU明细'!$D$11:$D$1309,MATCH("2302153-RD-S-Z-6",'SKU明细'!$A$11:$A$1309,0)),INDEX('SKU明细'!$D$11:$D$1309,MATCH("2302153-RD-S-Z-6.5",'SKU明细'!$A$11:$A$1309,0)),INDEX('SKU明细'!$D$11:$D$1309,MATCH("2302153-RD-S-Z-7",'SKU明细'!$A$11:$A$1309,0)),INDEX('SKU明细'!$D$11:$D$1309,MATCH("2302153-RD-S-Z-7.5",'SKU明细'!$A$11:$A$1309,0)),INDEX('SKU明细'!$D$11:$D$1309,MATCH("2302153-RD-S-Z-9.5",'SKU明细'!$A$11:$A$1309,0)),INDEX('SKU明细'!$D$11:$D$1309,MATCH("2302153-RD-S-Z-10.5",'SKU明细'!$A$11:$A$1309,0)),INDEX('SKU明细'!$D$11:$D$1309,MATCH("2302153-RD-S-Z-11",'SKU明细'!$A$11:$A$1309,0)))&lt;7,"另有待核","已核"))</x:f>
        <x:v>另有待核</x:v>
      </x:c>
      <x:c r="V30" s="37" t="str">
        <x:v>停售、在售</x:v>
      </x:c>
      <x:c r="W30" s="11" t="n">
        <x:f>IF(COUNT(INDEX('SKU明细'!$BV$11:$BV$1309,MATCH("2302153-RD-S-Z-6",'SKU明细'!$A$11:$A$1309,0)),INDEX('SKU明细'!$BV$11:$BV$1309,MATCH("2302153-RD-S-Z-6.5",'SKU明细'!$A$11:$A$1309,0)),INDEX('SKU明细'!$BV$11:$BV$1309,MATCH("2302153-RD-S-Z-7",'SKU明细'!$A$11:$A$1309,0)),INDEX('SKU明细'!$BV$11:$BV$1309,MATCH("2302153-RD-S-Z-7.5",'SKU明细'!$A$11:$A$1309,0)),INDEX('SKU明细'!$BV$11:$BV$1309,MATCH("2302153-RD-S-Z-9.5",'SKU明细'!$A$11:$A$1309,0)),INDEX('SKU明细'!$BV$11:$BV$1309,MATCH("2302153-RD-S-Z-10.5",'SKU明细'!$A$11:$A$1309,0)),INDEX('SKU明细'!$BV$11:$BV$1309,MATCH("2302153-RD-S-Z-11",'SKU明细'!$A$11:$A$1309,0)))=7,SUM(INDEX('SKU明细'!$BV$11:$BV$1309,MATCH("2302153-RD-S-Z-6",'SKU明细'!$A$11:$A$1309,0)),INDEX('SKU明细'!$BV$11:$BV$1309,MATCH("2302153-RD-S-Z-6.5",'SKU明细'!$A$11:$A$1309,0)),INDEX('SKU明细'!$BV$11:$BV$1309,MATCH("2302153-RD-S-Z-7",'SKU明细'!$A$11:$A$1309,0)),INDEX('SKU明细'!$BV$11:$BV$1309,MATCH("2302153-RD-S-Z-7.5",'SKU明细'!$A$11:$A$1309,0)),INDEX('SKU明细'!$BV$11:$BV$1309,MATCH("2302153-RD-S-Z-9.5",'SKU明细'!$A$11:$A$1309,0)),INDEX('SKU明细'!$BV$11:$BV$1309,MATCH("2302153-RD-S-Z-10.5",'SKU明细'!$A$11:$A$1309,0)),INDEX('SKU明细'!$BV$11:$BV$1309,MATCH("2302153-RD-S-Z-11",'SKU明细'!$A$11:$A$1309,0))),"待核")</x:f>
        <x:v>0.5532040882147116</x:v>
      </x:c>
      <x:c r="X30" s="11" t="n">
        <x:f>INDEX('SKU明细'!$BW$11:$BW$1309,MATCH("2302153-RD-S-Z-6",'SKU明细'!$A$11:$A$1309,0))</x:f>
        <x:v>1.7391279184229513</x:v>
      </x:c>
      <x:c r="Y30" s="13" t="n">
        <x:f>IF(COUNT(INDEX('SKU明细'!$BY$11:$BY$1309,MATCH("2302153-RD-S-Z-6",'SKU明细'!$A$11:$A$1309,0)),INDEX('SKU明细'!$BY$11:$BY$1309,MATCH("2302153-RD-S-Z-6.5",'SKU明细'!$A$11:$A$1309,0)),INDEX('SKU明细'!$BY$11:$BY$1309,MATCH("2302153-RD-S-Z-7",'SKU明细'!$A$11:$A$1309,0)),INDEX('SKU明细'!$BY$11:$BY$1309,MATCH("2302153-RD-S-Z-7.5",'SKU明细'!$A$11:$A$1309,0)),INDEX('SKU明细'!$BY$11:$BY$1309,MATCH("2302153-RD-S-Z-9.5",'SKU明细'!$A$11:$A$1309,0)),INDEX('SKU明细'!$BY$11:$BY$1309,MATCH("2302153-RD-S-Z-10.5",'SKU明细'!$A$11:$A$1309,0)),INDEX('SKU明细'!$BY$11:$BY$1309,MATCH("2302153-RD-S-Z-11",'SKU明细'!$A$11:$A$1309,0)))=7,SUM(INDEX('SKU明细'!$BY$11:$BY$1309,MATCH("2302153-RD-S-Z-6",'SKU明细'!$A$11:$A$1309,0)),INDEX('SKU明细'!$BY$11:$BY$1309,MATCH("2302153-RD-S-Z-6.5",'SKU明细'!$A$11:$A$1309,0)),INDEX('SKU明细'!$BY$11:$BY$1309,MATCH("2302153-RD-S-Z-7",'SKU明细'!$A$11:$A$1309,0)),INDEX('SKU明细'!$BY$11:$BY$1309,MATCH("2302153-RD-S-Z-7.5",'SKU明细'!$A$11:$A$1309,0)),INDEX('SKU明细'!$BY$11:$BY$1309,MATCH("2302153-RD-S-Z-9.5",'SKU明细'!$A$11:$A$1309,0)),INDEX('SKU明细'!$BY$11:$BY$1309,MATCH("2302153-RD-S-Z-10.5",'SKU明细'!$A$11:$A$1309,0)),INDEX('SKU明细'!$BY$11:$BY$1309,MATCH("2302153-RD-S-Z-11",'SKU明细'!$A$11:$A$1309,0))),"待核")</x:f>
        <x:v>11.545112092799016</x:v>
      </x:c>
      <x:c r="Z30" s="11" t="n">
        <x:f>INDEX('SKU明细'!$BZ$11:$BZ$1309,MATCH("2302153-RD-S-Z-6",'SKU明细'!$A$11:$A$1309,0))</x:f>
        <x:v>1.4002077845513243</x:v>
      </x:c>
      <x:c r="AA30" s="13" t="n">
        <x:f>IF(COUNT(INDEX('SKU明细'!$CB$11:$CB$1309,MATCH("2302153-RD-S-Z-6",'SKU明细'!$A$11:$A$1309,0)),INDEX('SKU明细'!$CB$11:$CB$1309,MATCH("2302153-RD-S-Z-6.5",'SKU明细'!$A$11:$A$1309,0)),INDEX('SKU明细'!$CB$11:$CB$1309,MATCH("2302153-RD-S-Z-7",'SKU明细'!$A$11:$A$1309,0)),INDEX('SKU明细'!$CB$11:$CB$1309,MATCH("2302153-RD-S-Z-7.5",'SKU明细'!$A$11:$A$1309,0)),INDEX('SKU明细'!$CB$11:$CB$1309,MATCH("2302153-RD-S-Z-9.5",'SKU明细'!$A$11:$A$1309,0)),INDEX('SKU明细'!$CB$11:$CB$1309,MATCH("2302153-RD-S-Z-10.5",'SKU明细'!$A$11:$A$1309,0)),INDEX('SKU明细'!$CB$11:$CB$1309,MATCH("2302153-RD-S-Z-11",'SKU明细'!$A$11:$A$1309,0)))=7,SUM(INDEX('SKU明细'!$CB$11:$CB$1309,MATCH("2302153-RD-S-Z-6",'SKU明细'!$A$11:$A$1309,0)),INDEX('SKU明细'!$CB$11:$CB$1309,MATCH("2302153-RD-S-Z-6.5",'SKU明细'!$A$11:$A$1309,0)),INDEX('SKU明细'!$CB$11:$CB$1309,MATCH("2302153-RD-S-Z-7",'SKU明细'!$A$11:$A$1309,0)),INDEX('SKU明细'!$CB$11:$CB$1309,MATCH("2302153-RD-S-Z-7.5",'SKU明细'!$A$11:$A$1309,0)),INDEX('SKU明细'!$CB$11:$CB$1309,MATCH("2302153-RD-S-Z-9.5",'SKU明细'!$A$11:$A$1309,0)),INDEX('SKU明细'!$CB$11:$CB$1309,MATCH("2302153-RD-S-Z-10.5",'SKU明细'!$A$11:$A$1309,0)),INDEX('SKU明细'!$CB$11:$CB$1309,MATCH("2302153-RD-S-Z-11",'SKU明细'!$A$11:$A$1309,0))),"待核")</x:f>
        <x:v>23.2380201229157</x:v>
      </x:c>
      <x:c r="AB30" s="11" t="n">
        <x:f>INDEX('SKU明细'!$CC$11:$CC$1309,MATCH("2302153-RD-S-Z-6",'SKU明细'!$A$11:$A$1309,0))</x:f>
        <x:v>1.079339935625147</x:v>
      </x:c>
      <x:c r="AC30" s="13" t="n">
        <x:f>IF(COUNT(INDEX('SKU明细'!$CE$11:$CE$1309,MATCH("2302153-RD-S-Z-6",'SKU明细'!$A$11:$A$1309,0)),INDEX('SKU明细'!$CE$11:$CE$1309,MATCH("2302153-RD-S-Z-6.5",'SKU明细'!$A$11:$A$1309,0)),INDEX('SKU明细'!$CE$11:$CE$1309,MATCH("2302153-RD-S-Z-7",'SKU明细'!$A$11:$A$1309,0)),INDEX('SKU明细'!$CE$11:$CE$1309,MATCH("2302153-RD-S-Z-7.5",'SKU明细'!$A$11:$A$1309,0)),INDEX('SKU明细'!$CE$11:$CE$1309,MATCH("2302153-RD-S-Z-9.5",'SKU明细'!$A$11:$A$1309,0)),INDEX('SKU明细'!$CE$11:$CE$1309,MATCH("2302153-RD-S-Z-10.5",'SKU明细'!$A$11:$A$1309,0)),INDEX('SKU明细'!$CE$11:$CE$1309,MATCH("2302153-RD-S-Z-11",'SKU明细'!$A$11:$A$1309,0)))=7,SUM(INDEX('SKU明细'!$CE$11:$CE$1309,MATCH("2302153-RD-S-Z-6",'SKU明细'!$A$11:$A$1309,0)),INDEX('SKU明细'!$CE$11:$CE$1309,MATCH("2302153-RD-S-Z-6.5",'SKU明细'!$A$11:$A$1309,0)),INDEX('SKU明细'!$CE$11:$CE$1309,MATCH("2302153-RD-S-Z-7",'SKU明细'!$A$11:$A$1309,0)),INDEX('SKU明细'!$CE$11:$CE$1309,MATCH("2302153-RD-S-Z-7.5",'SKU明细'!$A$11:$A$1309,0)),INDEX('SKU明细'!$CE$11:$CE$1309,MATCH("2302153-RD-S-Z-9.5",'SKU明细'!$A$11:$A$1309,0)),INDEX('SKU明细'!$CE$11:$CE$1309,MATCH("2302153-RD-S-Z-10.5",'SKU明细'!$A$11:$A$1309,0)),INDEX('SKU明细'!$CE$11:$CE$1309,MATCH("2302153-RD-S-Z-11",'SKU明细'!$A$11:$A$1309,0))),"待核")</x:f>
        <x:v>18.509953213798283</x:v>
      </x:c>
      <x:c r="AD30" s="11" t="n">
        <x:f>INDEX('SKU明细'!$CF$11:$CF$1309,MATCH("2302153-RD-S-Z-6",'SKU明细'!$A$11:$A$1309,0))</x:f>
        <x:v>0.7719368903846591</x:v>
      </x:c>
      <x:c r="AE30" s="13" t="n">
        <x:f>IF(COUNT(INDEX('SKU明细'!$CH$11:$CH$1309,MATCH("2302153-RD-S-Z-6",'SKU明细'!$A$11:$A$1309,0)),INDEX('SKU明细'!$CH$11:$CH$1309,MATCH("2302153-RD-S-Z-6.5",'SKU明细'!$A$11:$A$1309,0)),INDEX('SKU明细'!$CH$11:$CH$1309,MATCH("2302153-RD-S-Z-7",'SKU明细'!$A$11:$A$1309,0)),INDEX('SKU明细'!$CH$11:$CH$1309,MATCH("2302153-RD-S-Z-7.5",'SKU明细'!$A$11:$A$1309,0)),INDEX('SKU明细'!$CH$11:$CH$1309,MATCH("2302153-RD-S-Z-9.5",'SKU明细'!$A$11:$A$1309,0)),INDEX('SKU明细'!$CH$11:$CH$1309,MATCH("2302153-RD-S-Z-10.5",'SKU明细'!$A$11:$A$1309,0)),INDEX('SKU明细'!$CH$11:$CH$1309,MATCH("2302153-RD-S-Z-11",'SKU明细'!$A$11:$A$1309,0)))=7,SUM(INDEX('SKU明细'!$CH$11:$CH$1309,MATCH("2302153-RD-S-Z-6",'SKU明细'!$A$11:$A$1309,0)),INDEX('SKU明细'!$CH$11:$CH$1309,MATCH("2302153-RD-S-Z-6.5",'SKU明细'!$A$11:$A$1309,0)),INDEX('SKU明细'!$CH$11:$CH$1309,MATCH("2302153-RD-S-Z-7",'SKU明细'!$A$11:$A$1309,0)),INDEX('SKU明细'!$CH$11:$CH$1309,MATCH("2302153-RD-S-Z-7.5",'SKU明细'!$A$11:$A$1309,0)),INDEX('SKU明细'!$CH$11:$CH$1309,MATCH("2302153-RD-S-Z-9.5",'SKU明细'!$A$11:$A$1309,0)),INDEX('SKU明细'!$CH$11:$CH$1309,MATCH("2302153-RD-S-Z-10.5",'SKU明细'!$A$11:$A$1309,0)),INDEX('SKU明细'!$CH$11:$CH$1309,MATCH("2302153-RD-S-Z-11",'SKU明细'!$A$11:$A$1309,0))),"待核")</x:f>
        <x:v>7.2596569412772665</x:v>
      </x:c>
      <x:c r="AF30" s="13" t="n">
        <x:f>IF(COUNT(INDEX('SKU明细'!$CI$11:$CI$1309,MATCH("2302153-RD-S-Z-6",'SKU明细'!$A$11:$A$1309,0)),INDEX('SKU明细'!$CI$11:$CI$1309,MATCH("2302153-RD-S-Z-6.5",'SKU明细'!$A$11:$A$1309,0)),INDEX('SKU明细'!$CI$11:$CI$1309,MATCH("2302153-RD-S-Z-7",'SKU明细'!$A$11:$A$1309,0)),INDEX('SKU明细'!$CI$11:$CI$1309,MATCH("2302153-RD-S-Z-7.5",'SKU明细'!$A$11:$A$1309,0)),INDEX('SKU明细'!$CI$11:$CI$1309,MATCH("2302153-RD-S-Z-9.5",'SKU明细'!$A$11:$A$1309,0)),INDEX('SKU明细'!$CI$11:$CI$1309,MATCH("2302153-RD-S-Z-10.5",'SKU明细'!$A$11:$A$1309,0)),INDEX('SKU明细'!$CI$11:$CI$1309,MATCH("2302153-RD-S-Z-11",'SKU明细'!$A$11:$A$1309,0)))=7,SUM(INDEX('SKU明细'!$CI$11:$CI$1309,MATCH("2302153-RD-S-Z-6",'SKU明细'!$A$11:$A$1309,0)),INDEX('SKU明细'!$CI$11:$CI$1309,MATCH("2302153-RD-S-Z-6.5",'SKU明细'!$A$11:$A$1309,0)),INDEX('SKU明细'!$CI$11:$CI$1309,MATCH("2302153-RD-S-Z-7",'SKU明细'!$A$11:$A$1309,0)),INDEX('SKU明细'!$CI$11:$CI$1309,MATCH("2302153-RD-S-Z-7.5",'SKU明细'!$A$11:$A$1309,0)),INDEX('SKU明细'!$CI$11:$CI$1309,MATCH("2302153-RD-S-Z-9.5",'SKU明细'!$A$11:$A$1309,0)),INDEX('SKU明细'!$CI$11:$CI$1309,MATCH("2302153-RD-S-Z-10.5",'SKU明细'!$A$11:$A$1309,0)),INDEX('SKU明细'!$CI$11:$CI$1309,MATCH("2302153-RD-S-Z-11",'SKU明细'!$A$11:$A$1309,0))),"待核")</x:f>
        <x:v>60.55274237079026</x:v>
      </x:c>
    </x:row>
    <x:row r="31" ht="40" customHeight="1">
      <x:c r="A31" s="35" t="str">
        <x:v>B06</x:v>
      </x:c>
      <x:c r="B31" s="35" t="str">
        <x:v>艾年</x:v>
      </x:c>
      <x:c r="C31" s="35" t="str">
        <x:v>米色PU</x:v>
      </x:c>
      <x:c r="D31" s="35" t="str">
        <x:v>BGP</x:v>
      </x:c>
      <x:c r="E31" s="35" t="str">
        <x:v>B06-BGP</x:v>
      </x:c>
      <x:c r="F31" s="35"/>
      <x:c r="G31" s="36" t="str">
        <x:f>"—"</x:f>
        <x:v>—</x:v>
      </x:c>
      <x:c r="H31" s="36" t="n">
        <x:f>IF(COUNT(INDEX('SKU明细'!$D$11:$D$1309,MATCH("B06-BGP-37-N",'SKU明细'!$A$11:$A$1309,0)))=0,"待核",IF(COUNT(INDEX('SKU明细'!$D$11:$D$1309,MATCH("B06-BGP-37-N",'SKU明细'!$A$11:$A$1309,0)))&lt;1,SUM(INDEX('SKU明细'!$D$11:$D$1309,MATCH("B06-BGP-37-N",'SKU明细'!$A$11:$A$1309,0)))&amp;" + 待核",SUM(INDEX('SKU明细'!$D$11:$D$1309,MATCH("B06-BGP-37-N",'SKU明细'!$A$11:$A$1309,0)))))</x:f>
        <x:v>0</x:v>
      </x:c>
      <x:c r="I31" s="36" t="n">
        <x:f>IF(COUNT(INDEX('SKU明细'!$D$11:$D$1309,MATCH("B06-BGP-37.5",'SKU明细'!$A$11:$A$1309,0)))=0,"待核",IF(COUNT(INDEX('SKU明细'!$D$11:$D$1309,MATCH("B06-BGP-37.5",'SKU明细'!$A$11:$A$1309,0)))&lt;1,SUM(INDEX('SKU明细'!$D$11:$D$1309,MATCH("B06-BGP-37.5",'SKU明细'!$A$11:$A$1309,0)))&amp;" + 待核",SUM(INDEX('SKU明细'!$D$11:$D$1309,MATCH("B06-BGP-37.5",'SKU明细'!$A$11:$A$1309,0)))))</x:f>
        <x:v>0</x:v>
      </x:c>
      <x:c r="J31" s="36" t="n">
        <x:f>IF(COUNT(INDEX('SKU明细'!$D$11:$D$1309,MATCH("B06-BGP-38-N",'SKU明细'!$A$11:$A$1309,0)))=0,"待核",IF(COUNT(INDEX('SKU明细'!$D$11:$D$1309,MATCH("B06-BGP-38-N",'SKU明细'!$A$11:$A$1309,0)))&lt;1,SUM(INDEX('SKU明细'!$D$11:$D$1309,MATCH("B06-BGP-38-N",'SKU明细'!$A$11:$A$1309,0)))&amp;" + 待核",SUM(INDEX('SKU明细'!$D$11:$D$1309,MATCH("B06-BGP-38-N",'SKU明细'!$A$11:$A$1309,0)))))</x:f>
        <x:v>29</x:v>
      </x:c>
      <x:c r="K31" s="36" t="n">
        <x:f>IF(COUNT(INDEX('SKU明细'!$D$11:$D$1309,MATCH("B06-BGP-38.5",'SKU明细'!$A$11:$A$1309,0)))=0,"待核",IF(COUNT(INDEX('SKU明细'!$D$11:$D$1309,MATCH("B06-BGP-38.5",'SKU明细'!$A$11:$A$1309,0)))&lt;1,SUM(INDEX('SKU明细'!$D$11:$D$1309,MATCH("B06-BGP-38.5",'SKU明细'!$A$11:$A$1309,0)))&amp;" + 待核",SUM(INDEX('SKU明细'!$D$11:$D$1309,MATCH("B06-BGP-38.5",'SKU明细'!$A$11:$A$1309,0)))))</x:f>
        <x:v>0</x:v>
      </x:c>
      <x:c r="L31" s="36" t="n">
        <x:f>IF(COUNT(INDEX('SKU明细'!$D$11:$D$1309,MATCH("B06-BGP-39-N",'SKU明细'!$A$11:$A$1309,0)))=0,"待核",IF(COUNT(INDEX('SKU明细'!$D$11:$D$1309,MATCH("B06-BGP-39-N",'SKU明细'!$A$11:$A$1309,0)))&lt;1,SUM(INDEX('SKU明细'!$D$11:$D$1309,MATCH("B06-BGP-39-N",'SKU明细'!$A$11:$A$1309,0)))&amp;" + 待核",SUM(INDEX('SKU明细'!$D$11:$D$1309,MATCH("B06-BGP-39-N",'SKU明细'!$A$11:$A$1309,0)))))</x:f>
        <x:v>12</x:v>
      </x:c>
      <x:c r="M31" s="36" t="n">
        <x:f>IF(COUNT(INDEX('SKU明细'!$D$11:$D$1309,MATCH("B06-BGP-39.5",'SKU明细'!$A$11:$A$1309,0)))=0,"待核",IF(COUNT(INDEX('SKU明细'!$D$11:$D$1309,MATCH("B06-BGP-39.5",'SKU明细'!$A$11:$A$1309,0)))&lt;1,SUM(INDEX('SKU明细'!$D$11:$D$1309,MATCH("B06-BGP-39.5",'SKU明细'!$A$11:$A$1309,0)))&amp;" + 待核",SUM(INDEX('SKU明细'!$D$11:$D$1309,MATCH("B06-BGP-39.5",'SKU明细'!$A$11:$A$1309,0)))))</x:f>
        <x:v>0</x:v>
      </x:c>
      <x:c r="N31" s="36" t="n">
        <x:f>IF(COUNT(INDEX('SKU明细'!$D$11:$D$1309,MATCH("B06-BGP-40-N",'SKU明细'!$A$11:$A$1309,0)))=0,"待核",IF(COUNT(INDEX('SKU明细'!$D$11:$D$1309,MATCH("B06-BGP-40-N",'SKU明细'!$A$11:$A$1309,0)))&lt;1,SUM(INDEX('SKU明细'!$D$11:$D$1309,MATCH("B06-BGP-40-N",'SKU明细'!$A$11:$A$1309,0)))&amp;" + 待核",SUM(INDEX('SKU明细'!$D$11:$D$1309,MATCH("B06-BGP-40-N",'SKU明细'!$A$11:$A$1309,0)))))</x:f>
        <x:v>7</x:v>
      </x:c>
      <x:c r="O31" s="36" t="n">
        <x:f>IF(COUNT(INDEX('SKU明细'!$D$11:$D$1309,MATCH("B06-BGP-40.5",'SKU明细'!$A$11:$A$1309,0)))=0,"待核",IF(COUNT(INDEX('SKU明细'!$D$11:$D$1309,MATCH("B06-BGP-40.5",'SKU明细'!$A$11:$A$1309,0)))&lt;1,SUM(INDEX('SKU明细'!$D$11:$D$1309,MATCH("B06-BGP-40.5",'SKU明细'!$A$11:$A$1309,0)))&amp;" + 待核",SUM(INDEX('SKU明细'!$D$11:$D$1309,MATCH("B06-BGP-40.5",'SKU明细'!$A$11:$A$1309,0)))))</x:f>
        <x:v>0</x:v>
      </x:c>
      <x:c r="P31" s="36" t="n">
        <x:f>IF(COUNT(INDEX('SKU明细'!$D$11:$D$1309,MATCH("B06-BGP-41",'SKU明细'!$A$11:$A$1309,0)))=0,"待核",IF(COUNT(INDEX('SKU明细'!$D$11:$D$1309,MATCH("B06-BGP-41",'SKU明细'!$A$11:$A$1309,0)))&lt;1,SUM(INDEX('SKU明细'!$D$11:$D$1309,MATCH("B06-BGP-41",'SKU明细'!$A$11:$A$1309,0)))&amp;" + 待核",SUM(INDEX('SKU明细'!$D$11:$D$1309,MATCH("B06-BGP-41",'SKU明细'!$A$11:$A$1309,0)))))</x:f>
        <x:v>11</x:v>
      </x:c>
      <x:c r="Q31" s="36" t="n">
        <x:f>IF(COUNT(INDEX('SKU明细'!$D$11:$D$1309,MATCH("B06-BGP-41.5",'SKU明细'!$A$11:$A$1309,0)))=0,"待核",IF(COUNT(INDEX('SKU明细'!$D$11:$D$1309,MATCH("B06-BGP-41.5",'SKU明细'!$A$11:$A$1309,0)))&lt;1,SUM(INDEX('SKU明细'!$D$11:$D$1309,MATCH("B06-BGP-41.5",'SKU明细'!$A$11:$A$1309,0)))&amp;" + 待核",SUM(INDEX('SKU明细'!$D$11:$D$1309,MATCH("B06-BGP-41.5",'SKU明细'!$A$11:$A$1309,0)))))</x:f>
        <x:v>0</x:v>
      </x:c>
      <x:c r="R31" s="36" t="n">
        <x:f>IF(COUNT(INDEX('SKU明细'!$D$11:$D$1309,MATCH("B06-BGP-42-N",'SKU明细'!$A$11:$A$1309,0)))=0,"待核",IF(COUNT(INDEX('SKU明细'!$D$11:$D$1309,MATCH("B06-BGP-42-N",'SKU明细'!$A$11:$A$1309,0)))&lt;1,SUM(INDEX('SKU明细'!$D$11:$D$1309,MATCH("B06-BGP-42-N",'SKU明细'!$A$11:$A$1309,0)))&amp;" + 待核",SUM(INDEX('SKU明细'!$D$11:$D$1309,MATCH("B06-BGP-42-N",'SKU明细'!$A$11:$A$1309,0)))))</x:f>
        <x:v>0</x:v>
      </x:c>
      <x:c r="S31" s="36" t="n">
        <x:f>IF(COUNT(INDEX('SKU明细'!$D$11:$D$1309,MATCH("B06-BGP-37-N",'SKU明细'!$A$11:$A$1309,0)),INDEX('SKU明细'!$D$11:$D$1309,MATCH("B06-BGP-37.5",'SKU明细'!$A$11:$A$1309,0)),INDEX('SKU明细'!$D$11:$D$1309,MATCH("B06-BGP-38-N",'SKU明细'!$A$11:$A$1309,0)),INDEX('SKU明细'!$D$11:$D$1309,MATCH("B06-BGP-38.5",'SKU明细'!$A$11:$A$1309,0)),INDEX('SKU明细'!$D$11:$D$1309,MATCH("B06-BGP-39-N",'SKU明细'!$A$11:$A$1309,0)),INDEX('SKU明细'!$D$11:$D$1309,MATCH("B06-BGP-39.5",'SKU明细'!$A$11:$A$1309,0)),INDEX('SKU明细'!$D$11:$D$1309,MATCH("B06-BGP-40-N",'SKU明细'!$A$11:$A$1309,0)),INDEX('SKU明细'!$D$11:$D$1309,MATCH("B06-BGP-40.5",'SKU明细'!$A$11:$A$1309,0)),INDEX('SKU明细'!$D$11:$D$1309,MATCH("B06-BGP-41",'SKU明细'!$A$11:$A$1309,0)),INDEX('SKU明细'!$D$11:$D$1309,MATCH("B06-BGP-41.5",'SKU明细'!$A$11:$A$1309,0)),INDEX('SKU明细'!$D$11:$D$1309,MATCH("B06-BGP-42-N",'SKU明细'!$A$11:$A$1309,0)))=0,"待核",SUM(INDEX('SKU明细'!$D$11:$D$1309,MATCH("B06-BGP-37-N",'SKU明细'!$A$11:$A$1309,0)),INDEX('SKU明细'!$D$11:$D$1309,MATCH("B06-BGP-37.5",'SKU明细'!$A$11:$A$1309,0)),INDEX('SKU明细'!$D$11:$D$1309,MATCH("B06-BGP-38-N",'SKU明细'!$A$11:$A$1309,0)),INDEX('SKU明细'!$D$11:$D$1309,MATCH("B06-BGP-38.5",'SKU明细'!$A$11:$A$1309,0)),INDEX('SKU明细'!$D$11:$D$1309,MATCH("B06-BGP-39-N",'SKU明细'!$A$11:$A$1309,0)),INDEX('SKU明细'!$D$11:$D$1309,MATCH("B06-BGP-39.5",'SKU明细'!$A$11:$A$1309,0)),INDEX('SKU明细'!$D$11:$D$1309,MATCH("B06-BGP-40-N",'SKU明细'!$A$11:$A$1309,0)),INDEX('SKU明细'!$D$11:$D$1309,MATCH("B06-BGP-40.5",'SKU明细'!$A$11:$A$1309,0)),INDEX('SKU明细'!$D$11:$D$1309,MATCH("B06-BGP-41",'SKU明细'!$A$11:$A$1309,0)),INDEX('SKU明细'!$D$11:$D$1309,MATCH("B06-BGP-41.5",'SKU明细'!$A$11:$A$1309,0)),INDEX('SKU明细'!$D$11:$D$1309,MATCH("B06-BGP-42-N",'SKU明细'!$A$11:$A$1309,0))))</x:f>
        <x:v>59</x:v>
      </x:c>
      <x:c r="T31" s="36" t="n">
        <x:f>IF(COUNTIFS($A$9:$A$191,A31,$U$9:$U$191,"&lt;&gt;待核")=0,"待核",SUMIF($A$9:$A$191,A31,$S$9:$S$191))</x:f>
        <x:v>613</x:v>
      </x:c>
      <x:c r="U31" s="35" t="str">
        <x:f>IF(COUNT(INDEX('SKU明细'!$D$11:$D$1309,MATCH("B06-BGP-37-N",'SKU明细'!$A$11:$A$1309,0)),INDEX('SKU明细'!$D$11:$D$1309,MATCH("B06-BGP-37.5",'SKU明细'!$A$11:$A$1309,0)),INDEX('SKU明细'!$D$11:$D$1309,MATCH("B06-BGP-38-N",'SKU明细'!$A$11:$A$1309,0)),INDEX('SKU明细'!$D$11:$D$1309,MATCH("B06-BGP-38.5",'SKU明细'!$A$11:$A$1309,0)),INDEX('SKU明细'!$D$11:$D$1309,MATCH("B06-BGP-39-N",'SKU明细'!$A$11:$A$1309,0)),INDEX('SKU明细'!$D$11:$D$1309,MATCH("B06-BGP-39.5",'SKU明细'!$A$11:$A$1309,0)),INDEX('SKU明细'!$D$11:$D$1309,MATCH("B06-BGP-40-N",'SKU明细'!$A$11:$A$1309,0)),INDEX('SKU明细'!$D$11:$D$1309,MATCH("B06-BGP-40.5",'SKU明细'!$A$11:$A$1309,0)),INDEX('SKU明细'!$D$11:$D$1309,MATCH("B06-BGP-41",'SKU明细'!$A$11:$A$1309,0)),INDEX('SKU明细'!$D$11:$D$1309,MATCH("B06-BGP-41.5",'SKU明细'!$A$11:$A$1309,0)),INDEX('SKU明细'!$D$11:$D$1309,MATCH("B06-BGP-42-N",'SKU明细'!$A$11:$A$1309,0)))=0,"待核",IF(COUNT(INDEX('SKU明细'!$D$11:$D$1309,MATCH("B06-BGP-37-N",'SKU明细'!$A$11:$A$1309,0)),INDEX('SKU明细'!$D$11:$D$1309,MATCH("B06-BGP-37.5",'SKU明细'!$A$11:$A$1309,0)),INDEX('SKU明细'!$D$11:$D$1309,MATCH("B06-BGP-38-N",'SKU明细'!$A$11:$A$1309,0)),INDEX('SKU明细'!$D$11:$D$1309,MATCH("B06-BGP-38.5",'SKU明细'!$A$11:$A$1309,0)),INDEX('SKU明细'!$D$11:$D$1309,MATCH("B06-BGP-39-N",'SKU明细'!$A$11:$A$1309,0)),INDEX('SKU明细'!$D$11:$D$1309,MATCH("B06-BGP-39.5",'SKU明细'!$A$11:$A$1309,0)),INDEX('SKU明细'!$D$11:$D$1309,MATCH("B06-BGP-40-N",'SKU明细'!$A$11:$A$1309,0)),INDEX('SKU明细'!$D$11:$D$1309,MATCH("B06-BGP-40.5",'SKU明细'!$A$11:$A$1309,0)),INDEX('SKU明细'!$D$11:$D$1309,MATCH("B06-BGP-41",'SKU明细'!$A$11:$A$1309,0)),INDEX('SKU明细'!$D$11:$D$1309,MATCH("B06-BGP-41.5",'SKU明细'!$A$11:$A$1309,0)),INDEX('SKU明细'!$D$11:$D$1309,MATCH("B06-BGP-42-N",'SKU明细'!$A$11:$A$1309,0)))&lt;11,"另有待核","已核"))</x:f>
        <x:v>已核</x:v>
      </x:c>
      <x:c r="V31" s="35" t="str">
        <x:v>在售</x:v>
      </x:c>
      <x:c r="W31" s="11" t="n">
        <x:f>IF(COUNT(INDEX('SKU明细'!$BV$11:$BV$1309,MATCH("B06-BGP-37-N",'SKU明细'!$A$11:$A$1309,0)),INDEX('SKU明细'!$BV$11:$BV$1309,MATCH("B06-BGP-37.5",'SKU明细'!$A$11:$A$1309,0)),INDEX('SKU明细'!$BV$11:$BV$1309,MATCH("B06-BGP-38-N",'SKU明细'!$A$11:$A$1309,0)),INDEX('SKU明细'!$BV$11:$BV$1309,MATCH("B06-BGP-38.5",'SKU明细'!$A$11:$A$1309,0)),INDEX('SKU明细'!$BV$11:$BV$1309,MATCH("B06-BGP-39-N",'SKU明细'!$A$11:$A$1309,0)),INDEX('SKU明细'!$BV$11:$BV$1309,MATCH("B06-BGP-39.5",'SKU明细'!$A$11:$A$1309,0)),INDEX('SKU明细'!$BV$11:$BV$1309,MATCH("B06-BGP-40-N",'SKU明细'!$A$11:$A$1309,0)),INDEX('SKU明细'!$BV$11:$BV$1309,MATCH("B06-BGP-40.5",'SKU明细'!$A$11:$A$1309,0)),INDEX('SKU明细'!$BV$11:$BV$1309,MATCH("B06-BGP-41",'SKU明细'!$A$11:$A$1309,0)),INDEX('SKU明细'!$BV$11:$BV$1309,MATCH("B06-BGP-41.5",'SKU明细'!$A$11:$A$1309,0)),INDEX('SKU明细'!$BV$11:$BV$1309,MATCH("B06-BGP-42-N",'SKU明细'!$A$11:$A$1309,0)))=11,SUM(INDEX('SKU明细'!$BV$11:$BV$1309,MATCH("B06-BGP-37-N",'SKU明细'!$A$11:$A$1309,0)),INDEX('SKU明细'!$BV$11:$BV$1309,MATCH("B06-BGP-37.5",'SKU明细'!$A$11:$A$1309,0)),INDEX('SKU明细'!$BV$11:$BV$1309,MATCH("B06-BGP-38-N",'SKU明细'!$A$11:$A$1309,0)),INDEX('SKU明细'!$BV$11:$BV$1309,MATCH("B06-BGP-38.5",'SKU明细'!$A$11:$A$1309,0)),INDEX('SKU明细'!$BV$11:$BV$1309,MATCH("B06-BGP-39-N",'SKU明细'!$A$11:$A$1309,0)),INDEX('SKU明细'!$BV$11:$BV$1309,MATCH("B06-BGP-39.5",'SKU明细'!$A$11:$A$1309,0)),INDEX('SKU明细'!$BV$11:$BV$1309,MATCH("B06-BGP-40-N",'SKU明细'!$A$11:$A$1309,0)),INDEX('SKU明细'!$BV$11:$BV$1309,MATCH("B06-BGP-40.5",'SKU明细'!$A$11:$A$1309,0)),INDEX('SKU明细'!$BV$11:$BV$1309,MATCH("B06-BGP-41",'SKU明细'!$A$11:$A$1309,0)),INDEX('SKU明细'!$BV$11:$BV$1309,MATCH("B06-BGP-41.5",'SKU明细'!$A$11:$A$1309,0)),INDEX('SKU明细'!$BV$11:$BV$1309,MATCH("B06-BGP-42-N",'SKU明细'!$A$11:$A$1309,0))),"待核")</x:f>
        <x:v>3.578307990650162</x:v>
      </x:c>
      <x:c r="X31" s="11" t="n">
        <x:f>INDEX('SKU明细'!$BW$11:$BW$1309,MATCH("B06-BGP-37-N",'SKU明细'!$A$11:$A$1309,0))</x:f>
        <x:v>1.2247029157699902</x:v>
      </x:c>
      <x:c r="Y31" s="13" t="n">
        <x:f>IF(COUNT(INDEX('SKU明细'!$BY$11:$BY$1309,MATCH("B06-BGP-37-N",'SKU明细'!$A$11:$A$1309,0)),INDEX('SKU明细'!$BY$11:$BY$1309,MATCH("B06-BGP-37.5",'SKU明细'!$A$11:$A$1309,0)),INDEX('SKU明细'!$BY$11:$BY$1309,MATCH("B06-BGP-38-N",'SKU明细'!$A$11:$A$1309,0)),INDEX('SKU明细'!$BY$11:$BY$1309,MATCH("B06-BGP-38.5",'SKU明细'!$A$11:$A$1309,0)),INDEX('SKU明细'!$BY$11:$BY$1309,MATCH("B06-BGP-39-N",'SKU明细'!$A$11:$A$1309,0)),INDEX('SKU明细'!$BY$11:$BY$1309,MATCH("B06-BGP-39.5",'SKU明细'!$A$11:$A$1309,0)),INDEX('SKU明细'!$BY$11:$BY$1309,MATCH("B06-BGP-40-N",'SKU明细'!$A$11:$A$1309,0)),INDEX('SKU明细'!$BY$11:$BY$1309,MATCH("B06-BGP-40.5",'SKU明细'!$A$11:$A$1309,0)),INDEX('SKU明细'!$BY$11:$BY$1309,MATCH("B06-BGP-41",'SKU明细'!$A$11:$A$1309,0)),INDEX('SKU明细'!$BY$11:$BY$1309,MATCH("B06-BGP-41.5",'SKU明细'!$A$11:$A$1309,0)),INDEX('SKU明细'!$BY$11:$BY$1309,MATCH("B06-BGP-42-N",'SKU明细'!$A$11:$A$1309,0)))=11,SUM(INDEX('SKU明细'!$BY$11:$BY$1309,MATCH("B06-BGP-37-N",'SKU明细'!$A$11:$A$1309,0)),INDEX('SKU明细'!$BY$11:$BY$1309,MATCH("B06-BGP-37.5",'SKU明细'!$A$11:$A$1309,0)),INDEX('SKU明细'!$BY$11:$BY$1309,MATCH("B06-BGP-38-N",'SKU明细'!$A$11:$A$1309,0)),INDEX('SKU明细'!$BY$11:$BY$1309,MATCH("B06-BGP-38.5",'SKU明细'!$A$11:$A$1309,0)),INDEX('SKU明细'!$BY$11:$BY$1309,MATCH("B06-BGP-39-N",'SKU明细'!$A$11:$A$1309,0)),INDEX('SKU明细'!$BY$11:$BY$1309,MATCH("B06-BGP-39.5",'SKU明细'!$A$11:$A$1309,0)),INDEX('SKU明细'!$BY$11:$BY$1309,MATCH("B06-BGP-40-N",'SKU明细'!$A$11:$A$1309,0)),INDEX('SKU明细'!$BY$11:$BY$1309,MATCH("B06-BGP-40.5",'SKU明细'!$A$11:$A$1309,0)),INDEX('SKU明细'!$BY$11:$BY$1309,MATCH("B06-BGP-41",'SKU明细'!$A$11:$A$1309,0)),INDEX('SKU明细'!$BY$11:$BY$1309,MATCH("B06-BGP-41.5",'SKU明细'!$A$11:$A$1309,0)),INDEX('SKU明细'!$BY$11:$BY$1309,MATCH("B06-BGP-42-N",'SKU明细'!$A$11:$A$1309,0))),"待核")</x:f>
        <x:v>52.588370756067704</x:v>
      </x:c>
      <x:c r="Z31" s="11" t="n">
        <x:f>INDEX('SKU明细'!$BZ$11:$BZ$1309,MATCH("B06-BGP-37-N",'SKU明细'!$A$11:$A$1309,0))</x:f>
        <x:v>0.8332682139098497</x:v>
      </x:c>
      <x:c r="AA31" s="13" t="n">
        <x:f>IF(COUNT(INDEX('SKU明细'!$CB$11:$CB$1309,MATCH("B06-BGP-37-N",'SKU明细'!$A$11:$A$1309,0)),INDEX('SKU明细'!$CB$11:$CB$1309,MATCH("B06-BGP-37.5",'SKU明细'!$A$11:$A$1309,0)),INDEX('SKU明细'!$CB$11:$CB$1309,MATCH("B06-BGP-38-N",'SKU明细'!$A$11:$A$1309,0)),INDEX('SKU明细'!$CB$11:$CB$1309,MATCH("B06-BGP-38.5",'SKU明细'!$A$11:$A$1309,0)),INDEX('SKU明细'!$CB$11:$CB$1309,MATCH("B06-BGP-39-N",'SKU明细'!$A$11:$A$1309,0)),INDEX('SKU明细'!$CB$11:$CB$1309,MATCH("B06-BGP-39.5",'SKU明细'!$A$11:$A$1309,0)),INDEX('SKU明细'!$CB$11:$CB$1309,MATCH("B06-BGP-40-N",'SKU明细'!$A$11:$A$1309,0)),INDEX('SKU明细'!$CB$11:$CB$1309,MATCH("B06-BGP-40.5",'SKU明细'!$A$11:$A$1309,0)),INDEX('SKU明细'!$CB$11:$CB$1309,MATCH("B06-BGP-41",'SKU明细'!$A$11:$A$1309,0)),INDEX('SKU明细'!$CB$11:$CB$1309,MATCH("B06-BGP-41.5",'SKU明细'!$A$11:$A$1309,0)),INDEX('SKU明细'!$CB$11:$CB$1309,MATCH("B06-BGP-42-N",'SKU明细'!$A$11:$A$1309,0)))=11,SUM(INDEX('SKU明细'!$CB$11:$CB$1309,MATCH("B06-BGP-37-N",'SKU明细'!$A$11:$A$1309,0)),INDEX('SKU明细'!$CB$11:$CB$1309,MATCH("B06-BGP-37.5",'SKU明细'!$A$11:$A$1309,0)),INDEX('SKU明细'!$CB$11:$CB$1309,MATCH("B06-BGP-38-N",'SKU明细'!$A$11:$A$1309,0)),INDEX('SKU明细'!$CB$11:$CB$1309,MATCH("B06-BGP-38.5",'SKU明细'!$A$11:$A$1309,0)),INDEX('SKU明细'!$CB$11:$CB$1309,MATCH("B06-BGP-39-N",'SKU明细'!$A$11:$A$1309,0)),INDEX('SKU明细'!$CB$11:$CB$1309,MATCH("B06-BGP-39.5",'SKU明细'!$A$11:$A$1309,0)),INDEX('SKU明细'!$CB$11:$CB$1309,MATCH("B06-BGP-40-N",'SKU明细'!$A$11:$A$1309,0)),INDEX('SKU明细'!$CB$11:$CB$1309,MATCH("B06-BGP-40.5",'SKU明细'!$A$11:$A$1309,0)),INDEX('SKU明细'!$CB$11:$CB$1309,MATCH("B06-BGP-41",'SKU明细'!$A$11:$A$1309,0)),INDEX('SKU明细'!$CB$11:$CB$1309,MATCH("B06-BGP-41.5",'SKU明细'!$A$11:$A$1309,0)),INDEX('SKU明细'!$CB$11:$CB$1309,MATCH("B06-BGP-42-N",'SKU明细'!$A$11:$A$1309,0))),"待核")</x:f>
        <x:v>89.45070924565212</x:v>
      </x:c>
      <x:c r="AB31" s="11" t="n">
        <x:f>INDEX('SKU明细'!$CC$11:$CC$1309,MATCH("B06-BGP-37-N",'SKU明细'!$A$11:$A$1309,0))</x:f>
        <x:v>0.5511018253564084</x:v>
      </x:c>
      <x:c r="AC31" s="13" t="n">
        <x:f>IF(COUNT(INDEX('SKU明细'!$CE$11:$CE$1309,MATCH("B06-BGP-37-N",'SKU明细'!$A$11:$A$1309,0)),INDEX('SKU明细'!$CE$11:$CE$1309,MATCH("B06-BGP-37.5",'SKU明细'!$A$11:$A$1309,0)),INDEX('SKU明细'!$CE$11:$CE$1309,MATCH("B06-BGP-38-N",'SKU明细'!$A$11:$A$1309,0)),INDEX('SKU明细'!$CE$11:$CE$1309,MATCH("B06-BGP-38.5",'SKU明细'!$A$11:$A$1309,0)),INDEX('SKU明细'!$CE$11:$CE$1309,MATCH("B06-BGP-39-N",'SKU明细'!$A$11:$A$1309,0)),INDEX('SKU明细'!$CE$11:$CE$1309,MATCH("B06-BGP-39.5",'SKU明细'!$A$11:$A$1309,0)),INDEX('SKU明细'!$CE$11:$CE$1309,MATCH("B06-BGP-40-N",'SKU明细'!$A$11:$A$1309,0)),INDEX('SKU明细'!$CE$11:$CE$1309,MATCH("B06-BGP-40.5",'SKU明细'!$A$11:$A$1309,0)),INDEX('SKU明细'!$CE$11:$CE$1309,MATCH("B06-BGP-41",'SKU明细'!$A$11:$A$1309,0)),INDEX('SKU明细'!$CE$11:$CE$1309,MATCH("B06-BGP-41.5",'SKU明细'!$A$11:$A$1309,0)),INDEX('SKU明细'!$CE$11:$CE$1309,MATCH("B06-BGP-42-N",'SKU明细'!$A$11:$A$1309,0)))=11,SUM(INDEX('SKU明细'!$CE$11:$CE$1309,MATCH("B06-BGP-37-N",'SKU明细'!$A$11:$A$1309,0)),INDEX('SKU明细'!$CE$11:$CE$1309,MATCH("B06-BGP-37.5",'SKU明细'!$A$11:$A$1309,0)),INDEX('SKU明细'!$CE$11:$CE$1309,MATCH("B06-BGP-38-N",'SKU明细'!$A$11:$A$1309,0)),INDEX('SKU明细'!$CE$11:$CE$1309,MATCH("B06-BGP-38.5",'SKU明细'!$A$11:$A$1309,0)),INDEX('SKU明细'!$CE$11:$CE$1309,MATCH("B06-BGP-39-N",'SKU明细'!$A$11:$A$1309,0)),INDEX('SKU明细'!$CE$11:$CE$1309,MATCH("B06-BGP-39.5",'SKU明细'!$A$11:$A$1309,0)),INDEX('SKU明细'!$CE$11:$CE$1309,MATCH("B06-BGP-40-N",'SKU明细'!$A$11:$A$1309,0)),INDEX('SKU明细'!$CE$11:$CE$1309,MATCH("B06-BGP-40.5",'SKU明细'!$A$11:$A$1309,0)),INDEX('SKU明细'!$CE$11:$CE$1309,MATCH("B06-BGP-41",'SKU明细'!$A$11:$A$1309,0)),INDEX('SKU明细'!$CE$11:$CE$1309,MATCH("B06-BGP-41.5",'SKU明细'!$A$11:$A$1309,0)),INDEX('SKU明细'!$CE$11:$CE$1309,MATCH("B06-BGP-42-N",'SKU明细'!$A$11:$A$1309,0))),"待核")</x:f>
        <x:v>61.13237402537652</x:v>
      </x:c>
      <x:c r="AD31" s="11" t="n">
        <x:f>INDEX('SKU明细'!$CF$11:$CF$1309,MATCH("B06-BGP-37-N",'SKU明细'!$A$11:$A$1309,0))</x:f>
        <x:v>1.0017220238758797</x:v>
      </x:c>
      <x:c r="AE31" s="13" t="n">
        <x:f>IF(COUNT(INDEX('SKU明细'!$CH$11:$CH$1309,MATCH("B06-BGP-37-N",'SKU明细'!$A$11:$A$1309,0)),INDEX('SKU明细'!$CH$11:$CH$1309,MATCH("B06-BGP-37.5",'SKU明细'!$A$11:$A$1309,0)),INDEX('SKU明细'!$CH$11:$CH$1309,MATCH("B06-BGP-38-N",'SKU明细'!$A$11:$A$1309,0)),INDEX('SKU明细'!$CH$11:$CH$1309,MATCH("B06-BGP-38.5",'SKU明细'!$A$11:$A$1309,0)),INDEX('SKU明细'!$CH$11:$CH$1309,MATCH("B06-BGP-39-N",'SKU明细'!$A$11:$A$1309,0)),INDEX('SKU明细'!$CH$11:$CH$1309,MATCH("B06-BGP-39.5",'SKU明细'!$A$11:$A$1309,0)),INDEX('SKU明细'!$CH$11:$CH$1309,MATCH("B06-BGP-40-N",'SKU明细'!$A$11:$A$1309,0)),INDEX('SKU明细'!$CH$11:$CH$1309,MATCH("B06-BGP-40.5",'SKU明细'!$A$11:$A$1309,0)),INDEX('SKU明细'!$CH$11:$CH$1309,MATCH("B06-BGP-41",'SKU明细'!$A$11:$A$1309,0)),INDEX('SKU明细'!$CH$11:$CH$1309,MATCH("B06-BGP-41.5",'SKU明细'!$A$11:$A$1309,0)),INDEX('SKU明细'!$CH$11:$CH$1309,MATCH("B06-BGP-42-N",'SKU明细'!$A$11:$A$1309,0)))=11,SUM(INDEX('SKU明细'!$CH$11:$CH$1309,MATCH("B06-BGP-37-N",'SKU明细'!$A$11:$A$1309,0)),INDEX('SKU明细'!$CH$11:$CH$1309,MATCH("B06-BGP-37.5",'SKU明细'!$A$11:$A$1309,0)),INDEX('SKU明细'!$CH$11:$CH$1309,MATCH("B06-BGP-38-N",'SKU明细'!$A$11:$A$1309,0)),INDEX('SKU明细'!$CH$11:$CH$1309,MATCH("B06-BGP-38.5",'SKU明细'!$A$11:$A$1309,0)),INDEX('SKU明细'!$CH$11:$CH$1309,MATCH("B06-BGP-39-N",'SKU明细'!$A$11:$A$1309,0)),INDEX('SKU明细'!$CH$11:$CH$1309,MATCH("B06-BGP-39.5",'SKU明细'!$A$11:$A$1309,0)),INDEX('SKU明细'!$CH$11:$CH$1309,MATCH("B06-BGP-40-N",'SKU明细'!$A$11:$A$1309,0)),INDEX('SKU明细'!$CH$11:$CH$1309,MATCH("B06-BGP-40.5",'SKU明细'!$A$11:$A$1309,0)),INDEX('SKU明细'!$CH$11:$CH$1309,MATCH("B06-BGP-41",'SKU明细'!$A$11:$A$1309,0)),INDEX('SKU明细'!$CH$11:$CH$1309,MATCH("B06-BGP-41.5",'SKU明细'!$A$11:$A$1309,0)),INDEX('SKU明细'!$CH$11:$CH$1309,MATCH("B06-BGP-42-N",'SKU明细'!$A$11:$A$1309,0))),"待核")</x:f>
        <x:v>60.935988681570315</x:v>
      </x:c>
      <x:c r="AF31" s="13" t="n">
        <x:f>IF(COUNT(INDEX('SKU明细'!$CI$11:$CI$1309,MATCH("B06-BGP-37-N",'SKU明细'!$A$11:$A$1309,0)),INDEX('SKU明细'!$CI$11:$CI$1309,MATCH("B06-BGP-37.5",'SKU明细'!$A$11:$A$1309,0)),INDEX('SKU明细'!$CI$11:$CI$1309,MATCH("B06-BGP-38-N",'SKU明细'!$A$11:$A$1309,0)),INDEX('SKU明细'!$CI$11:$CI$1309,MATCH("B06-BGP-38.5",'SKU明细'!$A$11:$A$1309,0)),INDEX('SKU明细'!$CI$11:$CI$1309,MATCH("B06-BGP-39-N",'SKU明细'!$A$11:$A$1309,0)),INDEX('SKU明细'!$CI$11:$CI$1309,MATCH("B06-BGP-39.5",'SKU明细'!$A$11:$A$1309,0)),INDEX('SKU明细'!$CI$11:$CI$1309,MATCH("B06-BGP-40-N",'SKU明细'!$A$11:$A$1309,0)),INDEX('SKU明细'!$CI$11:$CI$1309,MATCH("B06-BGP-40.5",'SKU明细'!$A$11:$A$1309,0)),INDEX('SKU明细'!$CI$11:$CI$1309,MATCH("B06-BGP-41",'SKU明细'!$A$11:$A$1309,0)),INDEX('SKU明细'!$CI$11:$CI$1309,MATCH("B06-BGP-41.5",'SKU明细'!$A$11:$A$1309,0)),INDEX('SKU明细'!$CI$11:$CI$1309,MATCH("B06-BGP-42-N",'SKU明细'!$A$11:$A$1309,0)))=11,SUM(INDEX('SKU明细'!$CI$11:$CI$1309,MATCH("B06-BGP-37-N",'SKU明细'!$A$11:$A$1309,0)),INDEX('SKU明细'!$CI$11:$CI$1309,MATCH("B06-BGP-37.5",'SKU明细'!$A$11:$A$1309,0)),INDEX('SKU明细'!$CI$11:$CI$1309,MATCH("B06-BGP-38-N",'SKU明细'!$A$11:$A$1309,0)),INDEX('SKU明细'!$CI$11:$CI$1309,MATCH("B06-BGP-38.5",'SKU明细'!$A$11:$A$1309,0)),INDEX('SKU明细'!$CI$11:$CI$1309,MATCH("B06-BGP-39-N",'SKU明细'!$A$11:$A$1309,0)),INDEX('SKU明细'!$CI$11:$CI$1309,MATCH("B06-BGP-39.5",'SKU明细'!$A$11:$A$1309,0)),INDEX('SKU明细'!$CI$11:$CI$1309,MATCH("B06-BGP-40-N",'SKU明细'!$A$11:$A$1309,0)),INDEX('SKU明细'!$CI$11:$CI$1309,MATCH("B06-BGP-40.5",'SKU明细'!$A$11:$A$1309,0)),INDEX('SKU明细'!$CI$11:$CI$1309,MATCH("B06-BGP-41",'SKU明细'!$A$11:$A$1309,0)),INDEX('SKU明细'!$CI$11:$CI$1309,MATCH("B06-BGP-41.5",'SKU明细'!$A$11:$A$1309,0)),INDEX('SKU明细'!$CI$11:$CI$1309,MATCH("B06-BGP-42-N",'SKU明细'!$A$11:$A$1309,0))),"待核")</x:f>
        <x:v>264.10744270866667</x:v>
      </x:c>
    </x:row>
    <x:row r="32" ht="40" customHeight="1">
      <x:c r="A32" s="35" t="str">
        <x:v>B06</x:v>
      </x:c>
      <x:c r="B32" s="35" t="str">
        <x:v>艾年</x:v>
      </x:c>
      <x:c r="C32" s="35" t="str">
        <x:v>黑色羊京绒</x:v>
      </x:c>
      <x:c r="D32" s="35" t="str">
        <x:v>BK</x:v>
      </x:c>
      <x:c r="E32" s="35" t="str">
        <x:v>B06-BK</x:v>
      </x:c>
      <x:c r="F32" s="35"/>
      <x:c r="G32" s="36" t="str">
        <x:f>"—"</x:f>
        <x:v>—</x:v>
      </x:c>
      <x:c r="H32" s="36" t="n">
        <x:f>IF(COUNT(INDEX('SKU明细'!$D$11:$D$1309,MATCH("B06-BK-37-new",'SKU明细'!$A$11:$A$1309,0)))=0,"待核",IF(COUNT(INDEX('SKU明细'!$D$11:$D$1309,MATCH("B06-BK-37-new",'SKU明细'!$A$11:$A$1309,0)))&lt;1,SUM(INDEX('SKU明细'!$D$11:$D$1309,MATCH("B06-BK-37-new",'SKU明细'!$A$11:$A$1309,0)))&amp;" + 待核",SUM(INDEX('SKU明细'!$D$11:$D$1309,MATCH("B06-BK-37-new",'SKU明细'!$A$11:$A$1309,0)))))</x:f>
        <x:v>5</x:v>
      </x:c>
      <x:c r="I32" s="36" t="n">
        <x:f>IF(COUNT(INDEX('SKU明细'!$D$11:$D$1309,MATCH("B06-BK-37.5",'SKU明细'!$A$11:$A$1309,0)))=0,"待核",IF(COUNT(INDEX('SKU明细'!$D$11:$D$1309,MATCH("B06-BK-37.5",'SKU明细'!$A$11:$A$1309,0)))&lt;1,SUM(INDEX('SKU明细'!$D$11:$D$1309,MATCH("B06-BK-37.5",'SKU明细'!$A$11:$A$1309,0)))&amp;" + 待核",SUM(INDEX('SKU明细'!$D$11:$D$1309,MATCH("B06-BK-37.5",'SKU明细'!$A$11:$A$1309,0)))))</x:f>
        <x:v>0</x:v>
      </x:c>
      <x:c r="J32" s="36" t="n">
        <x:f>IF(COUNT(INDEX('SKU明细'!$D$11:$D$1309,MATCH("B06-BK-38",'SKU明细'!$A$11:$A$1309,0)))=0,"待核",IF(COUNT(INDEX('SKU明细'!$D$11:$D$1309,MATCH("B06-BK-38",'SKU明细'!$A$11:$A$1309,0)))&lt;1,SUM(INDEX('SKU明细'!$D$11:$D$1309,MATCH("B06-BK-38",'SKU明细'!$A$11:$A$1309,0)))&amp;" + 待核",SUM(INDEX('SKU明细'!$D$11:$D$1309,MATCH("B06-BK-38",'SKU明细'!$A$11:$A$1309,0)))))</x:f>
        <x:v>0</x:v>
      </x:c>
      <x:c r="K32" s="36" t="n">
        <x:f>IF(COUNT(INDEX('SKU明细'!$D$11:$D$1309,MATCH("B06-BK-38.5",'SKU明细'!$A$11:$A$1309,0)))=0,"待核",IF(COUNT(INDEX('SKU明细'!$D$11:$D$1309,MATCH("B06-BK-38.5",'SKU明细'!$A$11:$A$1309,0)))&lt;1,SUM(INDEX('SKU明细'!$D$11:$D$1309,MATCH("B06-BK-38.5",'SKU明细'!$A$11:$A$1309,0)))&amp;" + 待核",SUM(INDEX('SKU明细'!$D$11:$D$1309,MATCH("B06-BK-38.5",'SKU明细'!$A$11:$A$1309,0)))))</x:f>
        <x:v>0</x:v>
      </x:c>
      <x:c r="L32" s="36" t="n">
        <x:f>IF(COUNT(INDEX('SKU明细'!$D$11:$D$1309,MATCH("B06-BK-39-NEW",'SKU明细'!$A$11:$A$1309,0)))=0,"待核",IF(COUNT(INDEX('SKU明细'!$D$11:$D$1309,MATCH("B06-BK-39-NEW",'SKU明细'!$A$11:$A$1309,0)))&lt;1,SUM(INDEX('SKU明细'!$D$11:$D$1309,MATCH("B06-BK-39-NEW",'SKU明细'!$A$11:$A$1309,0)))&amp;" + 待核",SUM(INDEX('SKU明细'!$D$11:$D$1309,MATCH("B06-BK-39-NEW",'SKU明细'!$A$11:$A$1309,0)))))</x:f>
        <x:v>5</x:v>
      </x:c>
      <x:c r="M32" s="36" t="n">
        <x:f>IF(COUNT(INDEX('SKU明细'!$D$11:$D$1309,MATCH("B06-BK-39.5",'SKU明细'!$A$11:$A$1309,0)))=0,"待核",IF(COUNT(INDEX('SKU明细'!$D$11:$D$1309,MATCH("B06-BK-39.5",'SKU明细'!$A$11:$A$1309,0)))&lt;1,SUM(INDEX('SKU明细'!$D$11:$D$1309,MATCH("B06-BK-39.5",'SKU明细'!$A$11:$A$1309,0)))&amp;" + 待核",SUM(INDEX('SKU明细'!$D$11:$D$1309,MATCH("B06-BK-39.5",'SKU明细'!$A$11:$A$1309,0)))))</x:f>
        <x:v>0</x:v>
      </x:c>
      <x:c r="N32" s="36" t="n">
        <x:f>IF(COUNT(INDEX('SKU明细'!$D$11:$D$1309,MATCH("B06-BK-40",'SKU明细'!$A$11:$A$1309,0)))=0,"待核",IF(COUNT(INDEX('SKU明细'!$D$11:$D$1309,MATCH("B06-BK-40",'SKU明细'!$A$11:$A$1309,0)))&lt;1,SUM(INDEX('SKU明细'!$D$11:$D$1309,MATCH("B06-BK-40",'SKU明细'!$A$11:$A$1309,0)))&amp;" + 待核",SUM(INDEX('SKU明细'!$D$11:$D$1309,MATCH("B06-BK-40",'SKU明细'!$A$11:$A$1309,0)))))</x:f>
        <x:v>0</x:v>
      </x:c>
      <x:c r="O32" s="36" t="n">
        <x:f>IF(COUNT(INDEX('SKU明细'!$D$11:$D$1309,MATCH("B06-BK-40.5",'SKU明细'!$A$11:$A$1309,0)))=0,"待核",IF(COUNT(INDEX('SKU明细'!$D$11:$D$1309,MATCH("B06-BK-40.5",'SKU明细'!$A$11:$A$1309,0)))&lt;1,SUM(INDEX('SKU明细'!$D$11:$D$1309,MATCH("B06-BK-40.5",'SKU明细'!$A$11:$A$1309,0)))&amp;" + 待核",SUM(INDEX('SKU明细'!$D$11:$D$1309,MATCH("B06-BK-40.5",'SKU明细'!$A$11:$A$1309,0)))))</x:f>
        <x:v>0</x:v>
      </x:c>
      <x:c r="P32" s="36" t="n">
        <x:f>IF(COUNT(INDEX('SKU明细'!$D$11:$D$1309,MATCH("B06-BK-41",'SKU明细'!$A$11:$A$1309,0)))=0,"待核",IF(COUNT(INDEX('SKU明细'!$D$11:$D$1309,MATCH("B06-BK-41",'SKU明细'!$A$11:$A$1309,0)))&lt;1,SUM(INDEX('SKU明细'!$D$11:$D$1309,MATCH("B06-BK-41",'SKU明细'!$A$11:$A$1309,0)))&amp;" + 待核",SUM(INDEX('SKU明细'!$D$11:$D$1309,MATCH("B06-BK-41",'SKU明细'!$A$11:$A$1309,0)))))</x:f>
        <x:v>0</x:v>
      </x:c>
      <x:c r="Q32" s="36" t="n">
        <x:f>IF(COUNT(INDEX('SKU明细'!$D$11:$D$1309,MATCH("B06-BK-41.5",'SKU明细'!$A$11:$A$1309,0)))=0,"待核",IF(COUNT(INDEX('SKU明细'!$D$11:$D$1309,MATCH("B06-BK-41.5",'SKU明细'!$A$11:$A$1309,0)))&lt;1,SUM(INDEX('SKU明细'!$D$11:$D$1309,MATCH("B06-BK-41.5",'SKU明细'!$A$11:$A$1309,0)))&amp;" + 待核",SUM(INDEX('SKU明细'!$D$11:$D$1309,MATCH("B06-BK-41.5",'SKU明细'!$A$11:$A$1309,0)))))</x:f>
        <x:v>0</x:v>
      </x:c>
      <x:c r="R32" s="36" t="str">
        <x:f>"—"</x:f>
        <x:v>—</x:v>
      </x:c>
      <x:c r="S32" s="36" t="n">
        <x:f>IF(COUNT(INDEX('SKU明细'!$D$11:$D$1309,MATCH("B06-BK-37-new",'SKU明细'!$A$11:$A$1309,0)),INDEX('SKU明细'!$D$11:$D$1309,MATCH("B06-BK-37.5",'SKU明细'!$A$11:$A$1309,0)),INDEX('SKU明细'!$D$11:$D$1309,MATCH("B06-BK-38",'SKU明细'!$A$11:$A$1309,0)),INDEX('SKU明细'!$D$11:$D$1309,MATCH("B06-BK-38.5",'SKU明细'!$A$11:$A$1309,0)),INDEX('SKU明细'!$D$11:$D$1309,MATCH("B06-BK-39-NEW",'SKU明细'!$A$11:$A$1309,0)),INDEX('SKU明细'!$D$11:$D$1309,MATCH("B06-BK-39.5",'SKU明细'!$A$11:$A$1309,0)),INDEX('SKU明细'!$D$11:$D$1309,MATCH("B06-BK-40",'SKU明细'!$A$11:$A$1309,0)),INDEX('SKU明细'!$D$11:$D$1309,MATCH("B06-BK-40.5",'SKU明细'!$A$11:$A$1309,0)),INDEX('SKU明细'!$D$11:$D$1309,MATCH("B06-BK-41",'SKU明细'!$A$11:$A$1309,0)),INDEX('SKU明细'!$D$11:$D$1309,MATCH("B06-BK-41.5",'SKU明细'!$A$11:$A$1309,0)))=0,"待核",SUM(INDEX('SKU明细'!$D$11:$D$1309,MATCH("B06-BK-37-new",'SKU明细'!$A$11:$A$1309,0)),INDEX('SKU明细'!$D$11:$D$1309,MATCH("B06-BK-37.5",'SKU明细'!$A$11:$A$1309,0)),INDEX('SKU明细'!$D$11:$D$1309,MATCH("B06-BK-38",'SKU明细'!$A$11:$A$1309,0)),INDEX('SKU明细'!$D$11:$D$1309,MATCH("B06-BK-38.5",'SKU明细'!$A$11:$A$1309,0)),INDEX('SKU明细'!$D$11:$D$1309,MATCH("B06-BK-39-NEW",'SKU明细'!$A$11:$A$1309,0)),INDEX('SKU明细'!$D$11:$D$1309,MATCH("B06-BK-39.5",'SKU明细'!$A$11:$A$1309,0)),INDEX('SKU明细'!$D$11:$D$1309,MATCH("B06-BK-40",'SKU明细'!$A$11:$A$1309,0)),INDEX('SKU明细'!$D$11:$D$1309,MATCH("B06-BK-40.5",'SKU明细'!$A$11:$A$1309,0)),INDEX('SKU明细'!$D$11:$D$1309,MATCH("B06-BK-41",'SKU明细'!$A$11:$A$1309,0)),INDEX('SKU明细'!$D$11:$D$1309,MATCH("B06-BK-41.5",'SKU明细'!$A$11:$A$1309,0))))</x:f>
        <x:v>10</x:v>
      </x:c>
      <x:c r="T32" s="36" t="n">
        <x:f>IF(COUNTIFS($A$9:$A$191,A32,$U$9:$U$191,"&lt;&gt;待核")=0,"待核",SUMIF($A$9:$A$191,A32,$S$9:$S$191))</x:f>
        <x:v>613</x:v>
      </x:c>
      <x:c r="U32" s="35" t="str">
        <x:f>IF(COUNT(INDEX('SKU明细'!$D$11:$D$1309,MATCH("B06-BK-37-new",'SKU明细'!$A$11:$A$1309,0)),INDEX('SKU明细'!$D$11:$D$1309,MATCH("B06-BK-37.5",'SKU明细'!$A$11:$A$1309,0)),INDEX('SKU明细'!$D$11:$D$1309,MATCH("B06-BK-38",'SKU明细'!$A$11:$A$1309,0)),INDEX('SKU明细'!$D$11:$D$1309,MATCH("B06-BK-38.5",'SKU明细'!$A$11:$A$1309,0)),INDEX('SKU明细'!$D$11:$D$1309,MATCH("B06-BK-39-NEW",'SKU明细'!$A$11:$A$1309,0)),INDEX('SKU明细'!$D$11:$D$1309,MATCH("B06-BK-39.5",'SKU明细'!$A$11:$A$1309,0)),INDEX('SKU明细'!$D$11:$D$1309,MATCH("B06-BK-40",'SKU明细'!$A$11:$A$1309,0)),INDEX('SKU明细'!$D$11:$D$1309,MATCH("B06-BK-40.5",'SKU明细'!$A$11:$A$1309,0)),INDEX('SKU明细'!$D$11:$D$1309,MATCH("B06-BK-41",'SKU明细'!$A$11:$A$1309,0)),INDEX('SKU明细'!$D$11:$D$1309,MATCH("B06-BK-41.5",'SKU明细'!$A$11:$A$1309,0)))=0,"待核",IF(COUNT(INDEX('SKU明细'!$D$11:$D$1309,MATCH("B06-BK-37-new",'SKU明细'!$A$11:$A$1309,0)),INDEX('SKU明细'!$D$11:$D$1309,MATCH("B06-BK-37.5",'SKU明细'!$A$11:$A$1309,0)),INDEX('SKU明细'!$D$11:$D$1309,MATCH("B06-BK-38",'SKU明细'!$A$11:$A$1309,0)),INDEX('SKU明细'!$D$11:$D$1309,MATCH("B06-BK-38.5",'SKU明细'!$A$11:$A$1309,0)),INDEX('SKU明细'!$D$11:$D$1309,MATCH("B06-BK-39-NEW",'SKU明细'!$A$11:$A$1309,0)),INDEX('SKU明细'!$D$11:$D$1309,MATCH("B06-BK-39.5",'SKU明细'!$A$11:$A$1309,0)),INDEX('SKU明细'!$D$11:$D$1309,MATCH("B06-BK-40",'SKU明细'!$A$11:$A$1309,0)),INDEX('SKU明细'!$D$11:$D$1309,MATCH("B06-BK-40.5",'SKU明细'!$A$11:$A$1309,0)),INDEX('SKU明细'!$D$11:$D$1309,MATCH("B06-BK-41",'SKU明细'!$A$11:$A$1309,0)),INDEX('SKU明细'!$D$11:$D$1309,MATCH("B06-BK-41.5",'SKU明细'!$A$11:$A$1309,0)))&lt;10,"另有待核","已核"))</x:f>
        <x:v>已核</x:v>
      </x:c>
      <x:c r="V32" s="35" t="str">
        <x:v>在售</x:v>
      </x:c>
      <x:c r="W32" s="11" t="n">
        <x:f>IF(COUNT(INDEX('SKU明细'!$BV$11:$BV$1309,MATCH("B06-BK-37-new",'SKU明细'!$A$11:$A$1309,0)),INDEX('SKU明细'!$BV$11:$BV$1309,MATCH("B06-BK-37.5",'SKU明细'!$A$11:$A$1309,0)),INDEX('SKU明细'!$BV$11:$BV$1309,MATCH("B06-BK-38",'SKU明细'!$A$11:$A$1309,0)),INDEX('SKU明细'!$BV$11:$BV$1309,MATCH("B06-BK-38.5",'SKU明细'!$A$11:$A$1309,0)),INDEX('SKU明细'!$BV$11:$BV$1309,MATCH("B06-BK-39-NEW",'SKU明细'!$A$11:$A$1309,0)),INDEX('SKU明细'!$BV$11:$BV$1309,MATCH("B06-BK-39.5",'SKU明细'!$A$11:$A$1309,0)),INDEX('SKU明细'!$BV$11:$BV$1309,MATCH("B06-BK-40",'SKU明细'!$A$11:$A$1309,0)),INDEX('SKU明细'!$BV$11:$BV$1309,MATCH("B06-BK-40.5",'SKU明细'!$A$11:$A$1309,0)),INDEX('SKU明细'!$BV$11:$BV$1309,MATCH("B06-BK-41",'SKU明细'!$A$11:$A$1309,0)),INDEX('SKU明细'!$BV$11:$BV$1309,MATCH("B06-BK-41.5",'SKU明细'!$A$11:$A$1309,0)))=10,SUM(INDEX('SKU明细'!$BV$11:$BV$1309,MATCH("B06-BK-37-new",'SKU明细'!$A$11:$A$1309,0)),INDEX('SKU明细'!$BV$11:$BV$1309,MATCH("B06-BK-37.5",'SKU明细'!$A$11:$A$1309,0)),INDEX('SKU明细'!$BV$11:$BV$1309,MATCH("B06-BK-38",'SKU明细'!$A$11:$A$1309,0)),INDEX('SKU明细'!$BV$11:$BV$1309,MATCH("B06-BK-38.5",'SKU明细'!$A$11:$A$1309,0)),INDEX('SKU明细'!$BV$11:$BV$1309,MATCH("B06-BK-39-NEW",'SKU明细'!$A$11:$A$1309,0)),INDEX('SKU明细'!$BV$11:$BV$1309,MATCH("B06-BK-39.5",'SKU明细'!$A$11:$A$1309,0)),INDEX('SKU明细'!$BV$11:$BV$1309,MATCH("B06-BK-40",'SKU明细'!$A$11:$A$1309,0)),INDEX('SKU明细'!$BV$11:$BV$1309,MATCH("B06-BK-40.5",'SKU明细'!$A$11:$A$1309,0)),INDEX('SKU明细'!$BV$11:$BV$1309,MATCH("B06-BK-41",'SKU明细'!$A$11:$A$1309,0)),INDEX('SKU明细'!$BV$11:$BV$1309,MATCH("B06-BK-41.5",'SKU明细'!$A$11:$A$1309,0))),"待核")</x:f>
        <x:v>10.459360762931224</x:v>
      </x:c>
      <x:c r="X32" s="11" t="n">
        <x:f>INDEX('SKU明细'!$BW$11:$BW$1309,MATCH("B06-BK-37-new",'SKU明细'!$A$11:$A$1309,0))</x:f>
        <x:v>1.2247029157699902</x:v>
      </x:c>
      <x:c r="Y32" s="13" t="n">
        <x:f>IF(COUNT(INDEX('SKU明细'!$BY$11:$BY$1309,MATCH("B06-BK-37-new",'SKU明细'!$A$11:$A$1309,0)),INDEX('SKU明细'!$BY$11:$BY$1309,MATCH("B06-BK-37.5",'SKU明细'!$A$11:$A$1309,0)),INDEX('SKU明细'!$BY$11:$BY$1309,MATCH("B06-BK-38",'SKU明细'!$A$11:$A$1309,0)),INDEX('SKU明细'!$BY$11:$BY$1309,MATCH("B06-BK-38.5",'SKU明细'!$A$11:$A$1309,0)),INDEX('SKU明细'!$BY$11:$BY$1309,MATCH("B06-BK-39-NEW",'SKU明细'!$A$11:$A$1309,0)),INDEX('SKU明细'!$BY$11:$BY$1309,MATCH("B06-BK-39.5",'SKU明细'!$A$11:$A$1309,0)),INDEX('SKU明细'!$BY$11:$BY$1309,MATCH("B06-BK-40",'SKU明细'!$A$11:$A$1309,0)),INDEX('SKU明细'!$BY$11:$BY$1309,MATCH("B06-BK-40.5",'SKU明细'!$A$11:$A$1309,0)),INDEX('SKU明细'!$BY$11:$BY$1309,MATCH("B06-BK-41",'SKU明细'!$A$11:$A$1309,0)),INDEX('SKU明细'!$BY$11:$BY$1309,MATCH("B06-BK-41.5",'SKU明细'!$A$11:$A$1309,0)))=10,SUM(INDEX('SKU明细'!$BY$11:$BY$1309,MATCH("B06-BK-37-new",'SKU明细'!$A$11:$A$1309,0)),INDEX('SKU明细'!$BY$11:$BY$1309,MATCH("B06-BK-37.5",'SKU明细'!$A$11:$A$1309,0)),INDEX('SKU明细'!$BY$11:$BY$1309,MATCH("B06-BK-38",'SKU明细'!$A$11:$A$1309,0)),INDEX('SKU明细'!$BY$11:$BY$1309,MATCH("B06-BK-38.5",'SKU明细'!$A$11:$A$1309,0)),INDEX('SKU明细'!$BY$11:$BY$1309,MATCH("B06-BK-39-NEW",'SKU明细'!$A$11:$A$1309,0)),INDEX('SKU明细'!$BY$11:$BY$1309,MATCH("B06-BK-39.5",'SKU明细'!$A$11:$A$1309,0)),INDEX('SKU明细'!$BY$11:$BY$1309,MATCH("B06-BK-40",'SKU明细'!$A$11:$A$1309,0)),INDEX('SKU明细'!$BY$11:$BY$1309,MATCH("B06-BK-40.5",'SKU明细'!$A$11:$A$1309,0)),INDEX('SKU明细'!$BY$11:$BY$1309,MATCH("B06-BK-41",'SKU明细'!$A$11:$A$1309,0)),INDEX('SKU明细'!$BY$11:$BY$1309,MATCH("B06-BK-41.5",'SKU明细'!$A$11:$A$1309,0))),"待核")</x:f>
        <x:v>153.7153154814252</x:v>
      </x:c>
      <x:c r="Z32" s="11" t="n">
        <x:f>INDEX('SKU明细'!$BZ$11:$BZ$1309,MATCH("B06-BK-37-new",'SKU明细'!$A$11:$A$1309,0))</x:f>
        <x:v>0.8332682139098497</x:v>
      </x:c>
      <x:c r="AA32" s="13" t="n">
        <x:f>IF(COUNT(INDEX('SKU明细'!$CB$11:$CB$1309,MATCH("B06-BK-37-new",'SKU明细'!$A$11:$A$1309,0)),INDEX('SKU明细'!$CB$11:$CB$1309,MATCH("B06-BK-37.5",'SKU明细'!$A$11:$A$1309,0)),INDEX('SKU明细'!$CB$11:$CB$1309,MATCH("B06-BK-38",'SKU明细'!$A$11:$A$1309,0)),INDEX('SKU明细'!$CB$11:$CB$1309,MATCH("B06-BK-38.5",'SKU明细'!$A$11:$A$1309,0)),INDEX('SKU明细'!$CB$11:$CB$1309,MATCH("B06-BK-39-NEW",'SKU明细'!$A$11:$A$1309,0)),INDEX('SKU明细'!$CB$11:$CB$1309,MATCH("B06-BK-39.5",'SKU明细'!$A$11:$A$1309,0)),INDEX('SKU明细'!$CB$11:$CB$1309,MATCH("B06-BK-40",'SKU明细'!$A$11:$A$1309,0)),INDEX('SKU明细'!$CB$11:$CB$1309,MATCH("B06-BK-40.5",'SKU明细'!$A$11:$A$1309,0)),INDEX('SKU明细'!$CB$11:$CB$1309,MATCH("B06-BK-41",'SKU明细'!$A$11:$A$1309,0)),INDEX('SKU明细'!$CB$11:$CB$1309,MATCH("B06-BK-41.5",'SKU明细'!$A$11:$A$1309,0)))=10,SUM(INDEX('SKU明细'!$CB$11:$CB$1309,MATCH("B06-BK-37-new",'SKU明细'!$A$11:$A$1309,0)),INDEX('SKU明细'!$CB$11:$CB$1309,MATCH("B06-BK-37.5",'SKU明细'!$A$11:$A$1309,0)),INDEX('SKU明细'!$CB$11:$CB$1309,MATCH("B06-BK-38",'SKU明细'!$A$11:$A$1309,0)),INDEX('SKU明细'!$CB$11:$CB$1309,MATCH("B06-BK-38.5",'SKU明细'!$A$11:$A$1309,0)),INDEX('SKU明细'!$CB$11:$CB$1309,MATCH("B06-BK-39-NEW",'SKU明细'!$A$11:$A$1309,0)),INDEX('SKU明细'!$CB$11:$CB$1309,MATCH("B06-BK-39.5",'SKU明细'!$A$11:$A$1309,0)),INDEX('SKU明细'!$CB$11:$CB$1309,MATCH("B06-BK-40",'SKU明细'!$A$11:$A$1309,0)),INDEX('SKU明细'!$CB$11:$CB$1309,MATCH("B06-BK-40.5",'SKU明细'!$A$11:$A$1309,0)),INDEX('SKU明细'!$CB$11:$CB$1309,MATCH("B06-BK-41",'SKU明细'!$A$11:$A$1309,0)),INDEX('SKU明细'!$CB$11:$CB$1309,MATCH("B06-BK-41.5",'SKU明细'!$A$11:$A$1309,0))),"待核")</x:f>
        <x:v>261.46358584699396</x:v>
      </x:c>
      <x:c r="AB32" s="11" t="n">
        <x:f>INDEX('SKU明细'!$CC$11:$CC$1309,MATCH("B06-BK-37-new",'SKU明细'!$A$11:$A$1309,0))</x:f>
        <x:v>0.5511018253564084</x:v>
      </x:c>
      <x:c r="AC32" s="13" t="n">
        <x:f>IF(COUNT(INDEX('SKU明细'!$CE$11:$CE$1309,MATCH("B06-BK-37-new",'SKU明细'!$A$11:$A$1309,0)),INDEX('SKU明细'!$CE$11:$CE$1309,MATCH("B06-BK-37.5",'SKU明细'!$A$11:$A$1309,0)),INDEX('SKU明细'!$CE$11:$CE$1309,MATCH("B06-BK-38",'SKU明细'!$A$11:$A$1309,0)),INDEX('SKU明细'!$CE$11:$CE$1309,MATCH("B06-BK-38.5",'SKU明细'!$A$11:$A$1309,0)),INDEX('SKU明细'!$CE$11:$CE$1309,MATCH("B06-BK-39-NEW",'SKU明细'!$A$11:$A$1309,0)),INDEX('SKU明细'!$CE$11:$CE$1309,MATCH("B06-BK-39.5",'SKU明细'!$A$11:$A$1309,0)),INDEX('SKU明细'!$CE$11:$CE$1309,MATCH("B06-BK-40",'SKU明细'!$A$11:$A$1309,0)),INDEX('SKU明细'!$CE$11:$CE$1309,MATCH("B06-BK-40.5",'SKU明细'!$A$11:$A$1309,0)),INDEX('SKU明细'!$CE$11:$CE$1309,MATCH("B06-BK-41",'SKU明细'!$A$11:$A$1309,0)),INDEX('SKU明细'!$CE$11:$CE$1309,MATCH("B06-BK-41.5",'SKU明细'!$A$11:$A$1309,0)))=10,SUM(INDEX('SKU明细'!$CE$11:$CE$1309,MATCH("B06-BK-37-new",'SKU明细'!$A$11:$A$1309,0)),INDEX('SKU明细'!$CE$11:$CE$1309,MATCH("B06-BK-37.5",'SKU明细'!$A$11:$A$1309,0)),INDEX('SKU明细'!$CE$11:$CE$1309,MATCH("B06-BK-38",'SKU明细'!$A$11:$A$1309,0)),INDEX('SKU明细'!$CE$11:$CE$1309,MATCH("B06-BK-38.5",'SKU明细'!$A$11:$A$1309,0)),INDEX('SKU明细'!$CE$11:$CE$1309,MATCH("B06-BK-39-NEW",'SKU明细'!$A$11:$A$1309,0)),INDEX('SKU明细'!$CE$11:$CE$1309,MATCH("B06-BK-39.5",'SKU明细'!$A$11:$A$1309,0)),INDEX('SKU明细'!$CE$11:$CE$1309,MATCH("B06-BK-40",'SKU明细'!$A$11:$A$1309,0)),INDEX('SKU明细'!$CE$11:$CE$1309,MATCH("B06-BK-40.5",'SKU明细'!$A$11:$A$1309,0)),INDEX('SKU明细'!$CE$11:$CE$1309,MATCH("B06-BK-41",'SKU明细'!$A$11:$A$1309,0)),INDEX('SKU明细'!$CE$11:$CE$1309,MATCH("B06-BK-41.5",'SKU明细'!$A$11:$A$1309,0))),"待核")</x:f>
        <x:v>178.6893570638904</x:v>
      </x:c>
      <x:c r="AD32" s="11" t="n">
        <x:f>INDEX('SKU明细'!$CF$11:$CF$1309,MATCH("B06-BK-37-new",'SKU明细'!$A$11:$A$1309,0))</x:f>
        <x:v>1.0017220238758797</x:v>
      </x:c>
      <x:c r="AE32" s="13" t="n">
        <x:f>IF(COUNT(INDEX('SKU明细'!$CH$11:$CH$1309,MATCH("B06-BK-37-new",'SKU明细'!$A$11:$A$1309,0)),INDEX('SKU明细'!$CH$11:$CH$1309,MATCH("B06-BK-37.5",'SKU明细'!$A$11:$A$1309,0)),INDEX('SKU明细'!$CH$11:$CH$1309,MATCH("B06-BK-38",'SKU明细'!$A$11:$A$1309,0)),INDEX('SKU明细'!$CH$11:$CH$1309,MATCH("B06-BK-38.5",'SKU明细'!$A$11:$A$1309,0)),INDEX('SKU明细'!$CH$11:$CH$1309,MATCH("B06-BK-39-NEW",'SKU明细'!$A$11:$A$1309,0)),INDEX('SKU明细'!$CH$11:$CH$1309,MATCH("B06-BK-39.5",'SKU明细'!$A$11:$A$1309,0)),INDEX('SKU明细'!$CH$11:$CH$1309,MATCH("B06-BK-40",'SKU明细'!$A$11:$A$1309,0)),INDEX('SKU明细'!$CH$11:$CH$1309,MATCH("B06-BK-40.5",'SKU明细'!$A$11:$A$1309,0)),INDEX('SKU明细'!$CH$11:$CH$1309,MATCH("B06-BK-41",'SKU明细'!$A$11:$A$1309,0)),INDEX('SKU明细'!$CH$11:$CH$1309,MATCH("B06-BK-41.5",'SKU明细'!$A$11:$A$1309,0)))=10,SUM(INDEX('SKU明细'!$CH$11:$CH$1309,MATCH("B06-BK-37-new",'SKU明细'!$A$11:$A$1309,0)),INDEX('SKU明细'!$CH$11:$CH$1309,MATCH("B06-BK-37.5",'SKU明细'!$A$11:$A$1309,0)),INDEX('SKU明细'!$CH$11:$CH$1309,MATCH("B06-BK-38",'SKU明细'!$A$11:$A$1309,0)),INDEX('SKU明细'!$CH$11:$CH$1309,MATCH("B06-BK-38.5",'SKU明细'!$A$11:$A$1309,0)),INDEX('SKU明细'!$CH$11:$CH$1309,MATCH("B06-BK-39-NEW",'SKU明细'!$A$11:$A$1309,0)),INDEX('SKU明细'!$CH$11:$CH$1309,MATCH("B06-BK-39.5",'SKU明细'!$A$11:$A$1309,0)),INDEX('SKU明细'!$CH$11:$CH$1309,MATCH("B06-BK-40",'SKU明细'!$A$11:$A$1309,0)),INDEX('SKU明细'!$CH$11:$CH$1309,MATCH("B06-BK-40.5",'SKU明细'!$A$11:$A$1309,0)),INDEX('SKU明细'!$CH$11:$CH$1309,MATCH("B06-BK-41",'SKU明细'!$A$11:$A$1309,0)),INDEX('SKU明细'!$CH$11:$CH$1309,MATCH("B06-BK-41.5",'SKU明细'!$A$11:$A$1309,0))),"待核")</x:f>
        <x:v>178.11532454215433</x:v>
      </x:c>
      <x:c r="AF32" s="13" t="n">
        <x:f>IF(COUNT(INDEX('SKU明细'!$CI$11:$CI$1309,MATCH("B06-BK-37-new",'SKU明细'!$A$11:$A$1309,0)),INDEX('SKU明细'!$CI$11:$CI$1309,MATCH("B06-BK-37.5",'SKU明细'!$A$11:$A$1309,0)),INDEX('SKU明细'!$CI$11:$CI$1309,MATCH("B06-BK-38",'SKU明细'!$A$11:$A$1309,0)),INDEX('SKU明细'!$CI$11:$CI$1309,MATCH("B06-BK-38.5",'SKU明细'!$A$11:$A$1309,0)),INDEX('SKU明细'!$CI$11:$CI$1309,MATCH("B06-BK-39-NEW",'SKU明细'!$A$11:$A$1309,0)),INDEX('SKU明细'!$CI$11:$CI$1309,MATCH("B06-BK-39.5",'SKU明细'!$A$11:$A$1309,0)),INDEX('SKU明细'!$CI$11:$CI$1309,MATCH("B06-BK-40",'SKU明细'!$A$11:$A$1309,0)),INDEX('SKU明细'!$CI$11:$CI$1309,MATCH("B06-BK-40.5",'SKU明细'!$A$11:$A$1309,0)),INDEX('SKU明细'!$CI$11:$CI$1309,MATCH("B06-BK-41",'SKU明细'!$A$11:$A$1309,0)),INDEX('SKU明细'!$CI$11:$CI$1309,MATCH("B06-BK-41.5",'SKU明细'!$A$11:$A$1309,0)))=10,SUM(INDEX('SKU明细'!$CI$11:$CI$1309,MATCH("B06-BK-37-new",'SKU明细'!$A$11:$A$1309,0)),INDEX('SKU明细'!$CI$11:$CI$1309,MATCH("B06-BK-37.5",'SKU明细'!$A$11:$A$1309,0)),INDEX('SKU明细'!$CI$11:$CI$1309,MATCH("B06-BK-38",'SKU明细'!$A$11:$A$1309,0)),INDEX('SKU明细'!$CI$11:$CI$1309,MATCH("B06-BK-38.5",'SKU明细'!$A$11:$A$1309,0)),INDEX('SKU明细'!$CI$11:$CI$1309,MATCH("B06-BK-39-NEW",'SKU明细'!$A$11:$A$1309,0)),INDEX('SKU明细'!$CI$11:$CI$1309,MATCH("B06-BK-39.5",'SKU明细'!$A$11:$A$1309,0)),INDEX('SKU明细'!$CI$11:$CI$1309,MATCH("B06-BK-40",'SKU明细'!$A$11:$A$1309,0)),INDEX('SKU明细'!$CI$11:$CI$1309,MATCH("B06-BK-40.5",'SKU明细'!$A$11:$A$1309,0)),INDEX('SKU明细'!$CI$11:$CI$1309,MATCH("B06-BK-41",'SKU明细'!$A$11:$A$1309,0)),INDEX('SKU明细'!$CI$11:$CI$1309,MATCH("B06-BK-41.5",'SKU明细'!$A$11:$A$1309,0))),"待核")</x:f>
        <x:v>771.9835829344639</x:v>
      </x:c>
    </x:row>
    <x:row r="33" ht="40" customHeight="1">
      <x:c r="A33" s="35" t="str">
        <x:v>B06</x:v>
      </x:c>
      <x:c r="B33" s="35" t="str">
        <x:v>艾年</x:v>
      </x:c>
      <x:c r="C33" s="35" t="str">
        <x:v>黑色天鹅绒</x:v>
      </x:c>
      <x:c r="D33" s="35" t="str">
        <x:v>BK-V</x:v>
      </x:c>
      <x:c r="E33" s="35" t="str">
        <x:v>B06-BK-V-0</x:v>
      </x:c>
      <x:c r="F33" s="35"/>
      <x:c r="G33" s="36" t="str">
        <x:f>"—"</x:f>
        <x:v>—</x:v>
      </x:c>
      <x:c r="H33" s="36" t="str">
        <x:f>"—"</x:f>
        <x:v>—</x:v>
      </x:c>
      <x:c r="I33" s="36" t="str">
        <x:f>"—"</x:f>
        <x:v>—</x:v>
      </x:c>
      <x:c r="J33" s="36" t="n">
        <x:f>IF(COUNT(INDEX('SKU明细'!$D$11:$D$1309,MATCH("B06-BK-V-0-38",'SKU明细'!$A$11:$A$1309,0)))=0,"待核",IF(COUNT(INDEX('SKU明细'!$D$11:$D$1309,MATCH("B06-BK-V-0-38",'SKU明细'!$A$11:$A$1309,0)))&lt;1,SUM(INDEX('SKU明细'!$D$11:$D$1309,MATCH("B06-BK-V-0-38",'SKU明细'!$A$11:$A$1309,0)))&amp;" + 待核",SUM(INDEX('SKU明细'!$D$11:$D$1309,MATCH("B06-BK-V-0-38",'SKU明细'!$A$11:$A$1309,0)))))</x:f>
        <x:v>0</x:v>
      </x:c>
      <x:c r="K33" s="36" t="str">
        <x:f>"—"</x:f>
        <x:v>—</x:v>
      </x:c>
      <x:c r="L33" s="36" t="str">
        <x:f>"—"</x:f>
        <x:v>—</x:v>
      </x:c>
      <x:c r="M33" s="36" t="n">
        <x:f>IF(COUNT(INDEX('SKU明细'!$D$11:$D$1309,MATCH("B06-BK-V-0-39.5",'SKU明细'!$A$11:$A$1309,0)))=0,"待核",IF(COUNT(INDEX('SKU明细'!$D$11:$D$1309,MATCH("B06-BK-V-0-39.5",'SKU明细'!$A$11:$A$1309,0)))&lt;1,SUM(INDEX('SKU明细'!$D$11:$D$1309,MATCH("B06-BK-V-0-39.5",'SKU明细'!$A$11:$A$1309,0)))&amp;" + 待核",SUM(INDEX('SKU明细'!$D$11:$D$1309,MATCH("B06-BK-V-0-39.5",'SKU明细'!$A$11:$A$1309,0)))))</x:f>
        <x:v>5</x:v>
      </x:c>
      <x:c r="N33" s="36" t="n">
        <x:f>IF(COUNT(INDEX('SKU明细'!$D$11:$D$1309,MATCH("B06-BK-V-0-40",'SKU明细'!$A$11:$A$1309,0)))=0,"待核",IF(COUNT(INDEX('SKU明细'!$D$11:$D$1309,MATCH("B06-BK-V-0-40",'SKU明细'!$A$11:$A$1309,0)))&lt;1,SUM(INDEX('SKU明细'!$D$11:$D$1309,MATCH("B06-BK-V-0-40",'SKU明细'!$A$11:$A$1309,0)))&amp;" + 待核",SUM(INDEX('SKU明细'!$D$11:$D$1309,MATCH("B06-BK-V-0-40",'SKU明细'!$A$11:$A$1309,0)))))</x:f>
        <x:v>0</x:v>
      </x:c>
      <x:c r="O33" s="36" t="str">
        <x:f>"—"</x:f>
        <x:v>—</x:v>
      </x:c>
      <x:c r="P33" s="36" t="str">
        <x:f>"—"</x:f>
        <x:v>—</x:v>
      </x:c>
      <x:c r="Q33" s="36" t="str">
        <x:f>IF(COUNT(INDEX('SKU明细'!$D$11:$D$1309,MATCH("B06-BK-V-0-41",'SKU明细'!$A$11:$A$1309,0)))=0,"待核",IF(COUNT(INDEX('SKU明细'!$D$11:$D$1309,MATCH("B06-BK-V-0-41",'SKU明细'!$A$11:$A$1309,0)))&lt;1,SUM(INDEX('SKU明细'!$D$11:$D$1309,MATCH("B06-BK-V-0-41",'SKU明细'!$A$11:$A$1309,0)))&amp;" + 待核",SUM(INDEX('SKU明细'!$D$11:$D$1309,MATCH("B06-BK-V-0-41",'SKU明细'!$A$11:$A$1309,0)))))</x:f>
        <x:v>待核</x:v>
      </x:c>
      <x:c r="R33" s="36" t="str">
        <x:f>"—"</x:f>
        <x:v>—</x:v>
      </x:c>
      <x:c r="S33" s="36" t="n">
        <x:f>IF(COUNT(INDEX('SKU明细'!$D$11:$D$1309,MATCH("B06-BK-V-0-38",'SKU明细'!$A$11:$A$1309,0)),INDEX('SKU明细'!$D$11:$D$1309,MATCH("B06-BK-V-0-39.5",'SKU明细'!$A$11:$A$1309,0)),INDEX('SKU明细'!$D$11:$D$1309,MATCH("B06-BK-V-0-40",'SKU明细'!$A$11:$A$1309,0)),INDEX('SKU明细'!$D$11:$D$1309,MATCH("B06-BK-V-0-41",'SKU明细'!$A$11:$A$1309,0)))=0,"待核",SUM(INDEX('SKU明细'!$D$11:$D$1309,MATCH("B06-BK-V-0-38",'SKU明细'!$A$11:$A$1309,0)),INDEX('SKU明细'!$D$11:$D$1309,MATCH("B06-BK-V-0-39.5",'SKU明细'!$A$11:$A$1309,0)),INDEX('SKU明细'!$D$11:$D$1309,MATCH("B06-BK-V-0-40",'SKU明细'!$A$11:$A$1309,0)),INDEX('SKU明细'!$D$11:$D$1309,MATCH("B06-BK-V-0-41",'SKU明细'!$A$11:$A$1309,0))))</x:f>
        <x:v>5</x:v>
      </x:c>
      <x:c r="T33" s="36" t="n">
        <x:f>IF(COUNTIFS($A$9:$A$191,A33,$U$9:$U$191,"&lt;&gt;待核")=0,"待核",SUMIF($A$9:$A$191,A33,$S$9:$S$191))</x:f>
        <x:v>613</x:v>
      </x:c>
      <x:c r="U33" s="35" t="str">
        <x:f>IF(COUNT(INDEX('SKU明细'!$D$11:$D$1309,MATCH("B06-BK-V-0-38",'SKU明细'!$A$11:$A$1309,0)),INDEX('SKU明细'!$D$11:$D$1309,MATCH("B06-BK-V-0-39.5",'SKU明细'!$A$11:$A$1309,0)),INDEX('SKU明细'!$D$11:$D$1309,MATCH("B06-BK-V-0-40",'SKU明细'!$A$11:$A$1309,0)),INDEX('SKU明细'!$D$11:$D$1309,MATCH("B06-BK-V-0-41",'SKU明细'!$A$11:$A$1309,0)))=0,"待核",IF(COUNT(INDEX('SKU明细'!$D$11:$D$1309,MATCH("B06-BK-V-0-38",'SKU明细'!$A$11:$A$1309,0)),INDEX('SKU明细'!$D$11:$D$1309,MATCH("B06-BK-V-0-39.5",'SKU明细'!$A$11:$A$1309,0)),INDEX('SKU明细'!$D$11:$D$1309,MATCH("B06-BK-V-0-40",'SKU明细'!$A$11:$A$1309,0)),INDEX('SKU明细'!$D$11:$D$1309,MATCH("B06-BK-V-0-41",'SKU明细'!$A$11:$A$1309,0)))&lt;4,"另有待核","已核"))</x:f>
        <x:v>另有待核</x:v>
      </x:c>
      <x:c r="V33" s="35" t="str">
        <x:v>停售、在售</x:v>
      </x:c>
      <x:c r="W33" s="11" t="n">
        <x:f>IF(COUNT(INDEX('SKU明细'!$BV$11:$BV$1309,MATCH("B06-BK-V-0-38",'SKU明细'!$A$11:$A$1309,0)),INDEX('SKU明细'!$BV$11:$BV$1309,MATCH("B06-BK-V-0-39.5",'SKU明细'!$A$11:$A$1309,0)),INDEX('SKU明细'!$BV$11:$BV$1309,MATCH("B06-BK-V-0-40",'SKU明细'!$A$11:$A$1309,0)),INDEX('SKU明细'!$BV$11:$BV$1309,MATCH("B06-BK-V-0-41",'SKU明细'!$A$11:$A$1309,0)))=4,SUM(INDEX('SKU明细'!$BV$11:$BV$1309,MATCH("B06-BK-V-0-38",'SKU明细'!$A$11:$A$1309,0)),INDEX('SKU明细'!$BV$11:$BV$1309,MATCH("B06-BK-V-0-39.5",'SKU明细'!$A$11:$A$1309,0)),INDEX('SKU明细'!$BV$11:$BV$1309,MATCH("B06-BK-V-0-40",'SKU明细'!$A$11:$A$1309,0)),INDEX('SKU明细'!$BV$11:$BV$1309,MATCH("B06-BK-V-0-41",'SKU明细'!$A$11:$A$1309,0))),"待核")</x:f>
        <x:v>0.44172785282450583</x:v>
      </x:c>
      <x:c r="X33" s="11" t="n">
        <x:f>INDEX('SKU明细'!$BW$11:$BW$1309,MATCH("B06-BK-V-0-38",'SKU明细'!$A$11:$A$1309,0))</x:f>
        <x:v>1.2247029157699902</x:v>
      </x:c>
      <x:c r="Y33" s="13" t="n">
        <x:f>IF(COUNT(INDEX('SKU明细'!$BY$11:$BY$1309,MATCH("B06-BK-V-0-38",'SKU明细'!$A$11:$A$1309,0)),INDEX('SKU明细'!$BY$11:$BY$1309,MATCH("B06-BK-V-0-39.5",'SKU明细'!$A$11:$A$1309,0)),INDEX('SKU明细'!$BY$11:$BY$1309,MATCH("B06-BK-V-0-40",'SKU明细'!$A$11:$A$1309,0)),INDEX('SKU明细'!$BY$11:$BY$1309,MATCH("B06-BK-V-0-41",'SKU明细'!$A$11:$A$1309,0)))=4,SUM(INDEX('SKU明细'!$BY$11:$BY$1309,MATCH("B06-BK-V-0-38",'SKU明细'!$A$11:$A$1309,0)),INDEX('SKU明细'!$BY$11:$BY$1309,MATCH("B06-BK-V-0-39.5",'SKU明细'!$A$11:$A$1309,0)),INDEX('SKU明细'!$BY$11:$BY$1309,MATCH("B06-BK-V-0-40",'SKU明细'!$A$11:$A$1309,0)),INDEX('SKU明细'!$BY$11:$BY$1309,MATCH("B06-BK-V-0-41",'SKU明细'!$A$11:$A$1309,0))),"待核")</x:f>
        <x:v>6.491824671971872</x:v>
      </x:c>
      <x:c r="Z33" s="11" t="n">
        <x:f>INDEX('SKU明细'!$BZ$11:$BZ$1309,MATCH("B06-BK-V-0-38",'SKU明细'!$A$11:$A$1309,0))</x:f>
        <x:v>0.8332682139098497</x:v>
      </x:c>
      <x:c r="AA33" s="13" t="n">
        <x:f>IF(COUNT(INDEX('SKU明细'!$CB$11:$CB$1309,MATCH("B06-BK-V-0-38",'SKU明细'!$A$11:$A$1309,0)),INDEX('SKU明细'!$CB$11:$CB$1309,MATCH("B06-BK-V-0-39.5",'SKU明细'!$A$11:$A$1309,0)),INDEX('SKU明细'!$CB$11:$CB$1309,MATCH("B06-BK-V-0-40",'SKU明细'!$A$11:$A$1309,0)),INDEX('SKU明细'!$CB$11:$CB$1309,MATCH("B06-BK-V-0-41",'SKU明细'!$A$11:$A$1309,0)))=4,SUM(INDEX('SKU明细'!$CB$11:$CB$1309,MATCH("B06-BK-V-0-38",'SKU明细'!$A$11:$A$1309,0)),INDEX('SKU明细'!$CB$11:$CB$1309,MATCH("B06-BK-V-0-39.5",'SKU明细'!$A$11:$A$1309,0)),INDEX('SKU明细'!$CB$11:$CB$1309,MATCH("B06-BK-V-0-40",'SKU明细'!$A$11:$A$1309,0)),INDEX('SKU明细'!$CB$11:$CB$1309,MATCH("B06-BK-V-0-41",'SKU明细'!$A$11:$A$1309,0))),"待核")</x:f>
        <x:v>11.042333368719268</x:v>
      </x:c>
      <x:c r="AB33" s="11" t="n">
        <x:f>INDEX('SKU明细'!$CC$11:$CC$1309,MATCH("B06-BK-V-0-38",'SKU明细'!$A$11:$A$1309,0))</x:f>
        <x:v>0.5511018253564084</x:v>
      </x:c>
      <x:c r="AC33" s="13" t="n">
        <x:f>IF(COUNT(INDEX('SKU明细'!$CE$11:$CE$1309,MATCH("B06-BK-V-0-38",'SKU明细'!$A$11:$A$1309,0)),INDEX('SKU明细'!$CE$11:$CE$1309,MATCH("B06-BK-V-0-39.5",'SKU明细'!$A$11:$A$1309,0)),INDEX('SKU明细'!$CE$11:$CE$1309,MATCH("B06-BK-V-0-40",'SKU明细'!$A$11:$A$1309,0)),INDEX('SKU明细'!$CE$11:$CE$1309,MATCH("B06-BK-V-0-41",'SKU明细'!$A$11:$A$1309,0)))=4,SUM(INDEX('SKU明细'!$CE$11:$CE$1309,MATCH("B06-BK-V-0-38",'SKU明细'!$A$11:$A$1309,0)),INDEX('SKU明细'!$CE$11:$CE$1309,MATCH("B06-BK-V-0-39.5",'SKU明细'!$A$11:$A$1309,0)),INDEX('SKU明细'!$CE$11:$CE$1309,MATCH("B06-BK-V-0-40",'SKU明细'!$A$11:$A$1309,0)),INDEX('SKU明细'!$CE$11:$CE$1309,MATCH("B06-BK-V-0-41",'SKU明细'!$A$11:$A$1309,0))),"待核")</x:f>
        <x:v>7.5465478060729145</x:v>
      </x:c>
      <x:c r="AD33" s="11" t="n">
        <x:f>INDEX('SKU明细'!$CF$11:$CF$1309,MATCH("B06-BK-V-0-38",'SKU明细'!$A$11:$A$1309,0))</x:f>
        <x:v>1.0017220238758797</x:v>
      </x:c>
      <x:c r="AE33" s="13" t="n">
        <x:f>IF(COUNT(INDEX('SKU明细'!$CH$11:$CH$1309,MATCH("B06-BK-V-0-38",'SKU明细'!$A$11:$A$1309,0)),INDEX('SKU明细'!$CH$11:$CH$1309,MATCH("B06-BK-V-0-39.5",'SKU明细'!$A$11:$A$1309,0)),INDEX('SKU明细'!$CH$11:$CH$1309,MATCH("B06-BK-V-0-40",'SKU明细'!$A$11:$A$1309,0)),INDEX('SKU明细'!$CH$11:$CH$1309,MATCH("B06-BK-V-0-41",'SKU明细'!$A$11:$A$1309,0)))=4,SUM(INDEX('SKU明细'!$CH$11:$CH$1309,MATCH("B06-BK-V-0-38",'SKU明细'!$A$11:$A$1309,0)),INDEX('SKU明细'!$CH$11:$CH$1309,MATCH("B06-BK-V-0-39.5",'SKU明细'!$A$11:$A$1309,0)),INDEX('SKU明细'!$CH$11:$CH$1309,MATCH("B06-BK-V-0-40",'SKU明细'!$A$11:$A$1309,0)),INDEX('SKU明细'!$CH$11:$CH$1309,MATCH("B06-BK-V-0-41",'SKU明细'!$A$11:$A$1309,0))),"待核")</x:f>
        <x:v>7.5223048184730805</x:v>
      </x:c>
      <x:c r="AF33" s="13" t="n">
        <x:f>IF(COUNT(INDEX('SKU明细'!$CI$11:$CI$1309,MATCH("B06-BK-V-0-38",'SKU明细'!$A$11:$A$1309,0)),INDEX('SKU明细'!$CI$11:$CI$1309,MATCH("B06-BK-V-0-39.5",'SKU明细'!$A$11:$A$1309,0)),INDEX('SKU明细'!$CI$11:$CI$1309,MATCH("B06-BK-V-0-40",'SKU明细'!$A$11:$A$1309,0)),INDEX('SKU明细'!$CI$11:$CI$1309,MATCH("B06-BK-V-0-41",'SKU明细'!$A$11:$A$1309,0)))=4,SUM(INDEX('SKU明细'!$CI$11:$CI$1309,MATCH("B06-BK-V-0-38",'SKU明细'!$A$11:$A$1309,0)),INDEX('SKU明细'!$CI$11:$CI$1309,MATCH("B06-BK-V-0-39.5",'SKU明细'!$A$11:$A$1309,0)),INDEX('SKU明细'!$CI$11:$CI$1309,MATCH("B06-BK-V-0-40",'SKU明细'!$A$11:$A$1309,0)),INDEX('SKU明细'!$CI$11:$CI$1309,MATCH("B06-BK-V-0-41",'SKU明细'!$A$11:$A$1309,0))),"待核")</x:f>
        <x:v>32.603010665237136</x:v>
      </x:c>
    </x:row>
    <x:row r="34" ht="40" customHeight="1">
      <x:c r="A34" s="35" t="str">
        <x:v>B06</x:v>
      </x:c>
      <x:c r="B34" s="35" t="str">
        <x:v>艾年</x:v>
      </x:c>
      <x:c r="C34" s="35" t="str">
        <x:v>黑色羊京绒</x:v>
      </x:c>
      <x:c r="D34" s="35" t="str">
        <x:v>BK1</x:v>
      </x:c>
      <x:c r="E34" s="35" t="str">
        <x:v>B06-BK1</x:v>
      </x:c>
      <x:c r="F34" s="35"/>
      <x:c r="G34" s="36" t="str">
        <x:f>"—"</x:f>
        <x:v>—</x:v>
      </x:c>
      <x:c r="H34" s="36" t="str">
        <x:f>"—"</x:f>
        <x:v>—</x:v>
      </x:c>
      <x:c r="I34" s="36" t="str">
        <x:f>"—"</x:f>
        <x:v>—</x:v>
      </x:c>
      <x:c r="J34" s="36" t="str">
        <x:f>"—"</x:f>
        <x:v>—</x:v>
      </x:c>
      <x:c r="K34" s="36" t="str">
        <x:f>"—"</x:f>
        <x:v>—</x:v>
      </x:c>
      <x:c r="L34" s="36" t="str">
        <x:f>"—"</x:f>
        <x:v>—</x:v>
      </x:c>
      <x:c r="M34" s="36" t="str">
        <x:f>"—"</x:f>
        <x:v>—</x:v>
      </x:c>
      <x:c r="N34" s="36" t="str">
        <x:f>"—"</x:f>
        <x:v>—</x:v>
      </x:c>
      <x:c r="O34" s="36" t="str">
        <x:f>"—"</x:f>
        <x:v>—</x:v>
      </x:c>
      <x:c r="P34" s="36" t="str">
        <x:f>"—"</x:f>
        <x:v>—</x:v>
      </x:c>
      <x:c r="Q34" s="36" t="str">
        <x:f>"—"</x:f>
        <x:v>—</x:v>
      </x:c>
      <x:c r="R34" s="36" t="n">
        <x:f>IF(COUNT(INDEX('SKU明细'!$D$11:$D$1309,MATCH("B06-BK1-42",'SKU明细'!$A$11:$A$1309,0)))=0,"待核",IF(COUNT(INDEX('SKU明细'!$D$11:$D$1309,MATCH("B06-BK1-42",'SKU明细'!$A$11:$A$1309,0)))&lt;1,SUM(INDEX('SKU明细'!$D$11:$D$1309,MATCH("B06-BK1-42",'SKU明细'!$A$11:$A$1309,0)))&amp;" + 待核",SUM(INDEX('SKU明细'!$D$11:$D$1309,MATCH("B06-BK1-42",'SKU明细'!$A$11:$A$1309,0)))))</x:f>
        <x:v>0</x:v>
      </x:c>
      <x:c r="S34" s="36" t="n">
        <x:f>IF(COUNT(INDEX('SKU明细'!$D$11:$D$1309,MATCH("B06-BK1-42",'SKU明细'!$A$11:$A$1309,0)))=0,"待核",SUM(INDEX('SKU明细'!$D$11:$D$1309,MATCH("B06-BK1-42",'SKU明细'!$A$11:$A$1309,0))))</x:f>
        <x:v>0</x:v>
      </x:c>
      <x:c r="T34" s="36" t="n">
        <x:f>IF(COUNTIFS($A$9:$A$191,A34,$U$9:$U$191,"&lt;&gt;待核")=0,"待核",SUMIF($A$9:$A$191,A34,$S$9:$S$191))</x:f>
        <x:v>613</x:v>
      </x:c>
      <x:c r="U34" s="35" t="str">
        <x:f>IF(COUNT(INDEX('SKU明细'!$D$11:$D$1309,MATCH("B06-BK1-42",'SKU明细'!$A$11:$A$1309,0)))=0,"待核",IF(COUNT(INDEX('SKU明细'!$D$11:$D$1309,MATCH("B06-BK1-42",'SKU明细'!$A$11:$A$1309,0)))&lt;1,"另有待核","已核"))</x:f>
        <x:v>已核</x:v>
      </x:c>
      <x:c r="V34" s="35" t="str">
        <x:v>在售</x:v>
      </x:c>
      <x:c r="W34" s="11" t="n">
        <x:f>IF(COUNT(INDEX('SKU明细'!$BV$11:$BV$1309,MATCH("B06-BK1-42",'SKU明细'!$A$11:$A$1309,0)))=1,SUM(INDEX('SKU明细'!$BV$11:$BV$1309,MATCH("B06-BK1-42",'SKU明细'!$A$11:$A$1309,0))),"待核")</x:f>
        <x:v>0.5785850309494158</x:v>
      </x:c>
      <x:c r="X34" s="11" t="n">
        <x:f>INDEX('SKU明细'!$BW$11:$BW$1309,MATCH("B06-BK1-42",'SKU明细'!$A$11:$A$1309,0))</x:f>
        <x:v>1.2247029157699902</x:v>
      </x:c>
      <x:c r="Y34" s="13" t="n">
        <x:f>IF(COUNT(INDEX('SKU明细'!$BY$11:$BY$1309,MATCH("B06-BK1-42",'SKU明细'!$A$11:$A$1309,0)))=1,SUM(INDEX('SKU明细'!$BY$11:$BY$1309,MATCH("B06-BK1-42",'SKU明细'!$A$11:$A$1309,0))),"待核")</x:f>
        <x:v>8.503137293095435</x:v>
      </x:c>
      <x:c r="Z34" s="11" t="n">
        <x:f>INDEX('SKU明细'!$BZ$11:$BZ$1309,MATCH("B06-BK1-42",'SKU明细'!$A$11:$A$1309,0))</x:f>
        <x:v>0.8332682139098497</x:v>
      </x:c>
      <x:c r="AA34" s="13" t="n">
        <x:f>IF(COUNT(INDEX('SKU明细'!$CB$11:$CB$1309,MATCH("B06-BK1-42",'SKU明细'!$A$11:$A$1309,0)))=1,SUM(INDEX('SKU明细'!$CB$11:$CB$1309,MATCH("B06-BK1-42",'SKU明细'!$A$11:$A$1309,0))),"待核")</x:f>
        <x:v>14.463495460025847</x:v>
      </x:c>
      <x:c r="AB34" s="11" t="n">
        <x:f>INDEX('SKU明细'!$CC$11:$CC$1309,MATCH("B06-BK1-42",'SKU明细'!$A$11:$A$1309,0))</x:f>
        <x:v>0.5511018253564084</x:v>
      </x:c>
      <x:c r="AC34" s="13" t="n">
        <x:f>IF(COUNT(INDEX('SKU明细'!$CE$11:$CE$1309,MATCH("B06-BK1-42",'SKU明细'!$A$11:$A$1309,0)))=1,SUM(INDEX('SKU明细'!$CE$11:$CE$1309,MATCH("B06-BK1-42",'SKU明细'!$A$11:$A$1309,0))),"待核")</x:f>
        <x:v>9.88463726708363</x:v>
      </x:c>
      <x:c r="AD34" s="11" t="n">
        <x:f>INDEX('SKU明细'!$CF$11:$CF$1309,MATCH("B06-BK1-42",'SKU明细'!$A$11:$A$1309,0))</x:f>
        <x:v>1.0017220238758797</x:v>
      </x:c>
      <x:c r="AE34" s="13" t="n">
        <x:f>IF(COUNT(INDEX('SKU明细'!$CH$11:$CH$1309,MATCH("B06-BK1-42",'SKU明细'!$A$11:$A$1309,0)))=1,SUM(INDEX('SKU明细'!$CH$11:$CH$1309,MATCH("B06-BK1-42",'SKU明细'!$A$11:$A$1309,0))),"待核")</x:f>
        <x:v>9.852883259177935</x:v>
      </x:c>
      <x:c r="AF34" s="13" t="n">
        <x:f>IF(COUNT(INDEX('SKU明细'!$CI$11:$CI$1309,MATCH("B06-BK1-42",'SKU明细'!$A$11:$A$1309,0)))=1,SUM(INDEX('SKU明细'!$CI$11:$CI$1309,MATCH("B06-BK1-42",'SKU明细'!$A$11:$A$1309,0))),"待核")</x:f>
        <x:v>42.704153279382844</x:v>
      </x:c>
    </x:row>
    <x:row r="35" ht="40" customHeight="1">
      <x:c r="A35" s="35" t="str">
        <x:v>B06</x:v>
      </x:c>
      <x:c r="B35" s="35" t="str">
        <x:v>艾年</x:v>
      </x:c>
      <x:c r="C35" s="35" t="str">
        <x:v>黑色PU</x:v>
      </x:c>
      <x:c r="D35" s="35" t="str">
        <x:v>BKP</x:v>
      </x:c>
      <x:c r="E35" s="35" t="str">
        <x:v>B06-BKP</x:v>
      </x:c>
      <x:c r="F35" s="35"/>
      <x:c r="G35" s="36" t="str">
        <x:f>"—"</x:f>
        <x:v>—</x:v>
      </x:c>
      <x:c r="H35" s="36" t="n">
        <x:f>IF(COUNT(INDEX('SKU明细'!$D$11:$D$1309,MATCH("B06-BKP-37",'SKU明细'!$A$11:$A$1309,0)))=0,"待核",IF(COUNT(INDEX('SKU明细'!$D$11:$D$1309,MATCH("B06-BKP-37",'SKU明细'!$A$11:$A$1309,0)))&lt;1,SUM(INDEX('SKU明细'!$D$11:$D$1309,MATCH("B06-BKP-37",'SKU明细'!$A$11:$A$1309,0)))&amp;" + 待核",SUM(INDEX('SKU明细'!$D$11:$D$1309,MATCH("B06-BKP-37",'SKU明细'!$A$11:$A$1309,0)))))</x:f>
        <x:v>0</x:v>
      </x:c>
      <x:c r="I35" s="36" t="n">
        <x:f>IF(COUNT(INDEX('SKU明细'!$D$11:$D$1309,MATCH("B06-BKP-37.5",'SKU明细'!$A$11:$A$1309,0)))=0,"待核",IF(COUNT(INDEX('SKU明细'!$D$11:$D$1309,MATCH("B06-BKP-37.5",'SKU明细'!$A$11:$A$1309,0)))&lt;1,SUM(INDEX('SKU明细'!$D$11:$D$1309,MATCH("B06-BKP-37.5",'SKU明细'!$A$11:$A$1309,0)))&amp;" + 待核",SUM(INDEX('SKU明细'!$D$11:$D$1309,MATCH("B06-BKP-37.5",'SKU明细'!$A$11:$A$1309,0)))))</x:f>
        <x:v>0</x:v>
      </x:c>
      <x:c r="J35" s="36" t="n">
        <x:f>IF(COUNT(INDEX('SKU明细'!$D$11:$D$1309,MATCH("B06-BKP-38-N",'SKU明细'!$A$11:$A$1309,0)))=0,"待核",IF(COUNT(INDEX('SKU明细'!$D$11:$D$1309,MATCH("B06-BKP-38-N",'SKU明细'!$A$11:$A$1309,0)))&lt;1,SUM(INDEX('SKU明细'!$D$11:$D$1309,MATCH("B06-BKP-38-N",'SKU明细'!$A$11:$A$1309,0)))&amp;" + 待核",SUM(INDEX('SKU明细'!$D$11:$D$1309,MATCH("B06-BKP-38-N",'SKU明细'!$A$11:$A$1309,0)))))</x:f>
        <x:v>1</x:v>
      </x:c>
      <x:c r="K35" s="36" t="n">
        <x:f>IF(COUNT(INDEX('SKU明细'!$D$11:$D$1309,MATCH("B06-BKP-38.5",'SKU明细'!$A$11:$A$1309,0)))=0,"待核",IF(COUNT(INDEX('SKU明细'!$D$11:$D$1309,MATCH("B06-BKP-38.5",'SKU明细'!$A$11:$A$1309,0)))&lt;1,SUM(INDEX('SKU明细'!$D$11:$D$1309,MATCH("B06-BKP-38.5",'SKU明细'!$A$11:$A$1309,0)))&amp;" + 待核",SUM(INDEX('SKU明细'!$D$11:$D$1309,MATCH("B06-BKP-38.5",'SKU明细'!$A$11:$A$1309,0)))))</x:f>
        <x:v>0</x:v>
      </x:c>
      <x:c r="L35" s="36" t="n">
        <x:f>IF(COUNT(INDEX('SKU明细'!$D$11:$D$1309,MATCH("B06-BKP-39-N",'SKU明细'!$A$11:$A$1309,0)))=0,"待核",IF(COUNT(INDEX('SKU明细'!$D$11:$D$1309,MATCH("B06-BKP-39-N",'SKU明细'!$A$11:$A$1309,0)))&lt;1,SUM(INDEX('SKU明细'!$D$11:$D$1309,MATCH("B06-BKP-39-N",'SKU明细'!$A$11:$A$1309,0)))&amp;" + 待核",SUM(INDEX('SKU明细'!$D$11:$D$1309,MATCH("B06-BKP-39-N",'SKU明细'!$A$11:$A$1309,0)))))</x:f>
        <x:v>0</x:v>
      </x:c>
      <x:c r="M35" s="36" t="n">
        <x:f>IF(COUNT(INDEX('SKU明细'!$D$11:$D$1309,MATCH("B06-BKP-39.5",'SKU明细'!$A$11:$A$1309,0)))=0,"待核",IF(COUNT(INDEX('SKU明细'!$D$11:$D$1309,MATCH("B06-BKP-39.5",'SKU明细'!$A$11:$A$1309,0)))&lt;1,SUM(INDEX('SKU明细'!$D$11:$D$1309,MATCH("B06-BKP-39.5",'SKU明细'!$A$11:$A$1309,0)))&amp;" + 待核",SUM(INDEX('SKU明细'!$D$11:$D$1309,MATCH("B06-BKP-39.5",'SKU明细'!$A$11:$A$1309,0)))))</x:f>
        <x:v>0</x:v>
      </x:c>
      <x:c r="N35" s="36" t="n">
        <x:f>IF(COUNT(INDEX('SKU明细'!$D$11:$D$1309,MATCH("B06-BKP-40-N",'SKU明细'!$A$11:$A$1309,0)))=0,"待核",IF(COUNT(INDEX('SKU明细'!$D$11:$D$1309,MATCH("B06-BKP-40-N",'SKU明细'!$A$11:$A$1309,0)))&lt;1,SUM(INDEX('SKU明细'!$D$11:$D$1309,MATCH("B06-BKP-40-N",'SKU明细'!$A$11:$A$1309,0)))&amp;" + 待核",SUM(INDEX('SKU明细'!$D$11:$D$1309,MATCH("B06-BKP-40-N",'SKU明细'!$A$11:$A$1309,0)))))</x:f>
        <x:v>0</x:v>
      </x:c>
      <x:c r="O35" s="36" t="n">
        <x:f>IF(COUNT(INDEX('SKU明细'!$D$11:$D$1309,MATCH("B06-BKP-40.5",'SKU明细'!$A$11:$A$1309,0)))=0,"待核",IF(COUNT(INDEX('SKU明细'!$D$11:$D$1309,MATCH("B06-BKP-40.5",'SKU明细'!$A$11:$A$1309,0)))&lt;1,SUM(INDEX('SKU明细'!$D$11:$D$1309,MATCH("B06-BKP-40.5",'SKU明细'!$A$11:$A$1309,0)))&amp;" + 待核",SUM(INDEX('SKU明细'!$D$11:$D$1309,MATCH("B06-BKP-40.5",'SKU明细'!$A$11:$A$1309,0)))))</x:f>
        <x:v>0</x:v>
      </x:c>
      <x:c r="P35" s="36" t="n">
        <x:f>IF(COUNT(INDEX('SKU明细'!$D$11:$D$1309,MATCH("B06-BKP-41-N",'SKU明细'!$A$11:$A$1309,0)))=0,"待核",IF(COUNT(INDEX('SKU明细'!$D$11:$D$1309,MATCH("B06-BKP-41-N",'SKU明细'!$A$11:$A$1309,0)))&lt;1,SUM(INDEX('SKU明细'!$D$11:$D$1309,MATCH("B06-BKP-41-N",'SKU明细'!$A$11:$A$1309,0)))&amp;" + 待核",SUM(INDEX('SKU明细'!$D$11:$D$1309,MATCH("B06-BKP-41-N",'SKU明细'!$A$11:$A$1309,0)))))</x:f>
        <x:v>0</x:v>
      </x:c>
      <x:c r="Q35" s="36" t="n">
        <x:f>IF(COUNT(INDEX('SKU明细'!$D$11:$D$1309,MATCH("B06-BKP-41.5",'SKU明细'!$A$11:$A$1309,0)))=0,"待核",IF(COUNT(INDEX('SKU明细'!$D$11:$D$1309,MATCH("B06-BKP-41.5",'SKU明细'!$A$11:$A$1309,0)))&lt;1,SUM(INDEX('SKU明细'!$D$11:$D$1309,MATCH("B06-BKP-41.5",'SKU明细'!$A$11:$A$1309,0)))&amp;" + 待核",SUM(INDEX('SKU明细'!$D$11:$D$1309,MATCH("B06-BKP-41.5",'SKU明细'!$A$11:$A$1309,0)))))</x:f>
        <x:v>0</x:v>
      </x:c>
      <x:c r="R35" s="36" t="n">
        <x:f>IF(COUNT(INDEX('SKU明细'!$D$11:$D$1309,MATCH("B06-BKP-42-N",'SKU明细'!$A$11:$A$1309,0)))=0,"待核",IF(COUNT(INDEX('SKU明细'!$D$11:$D$1309,MATCH("B06-BKP-42-N",'SKU明细'!$A$11:$A$1309,0)))&lt;1,SUM(INDEX('SKU明细'!$D$11:$D$1309,MATCH("B06-BKP-42-N",'SKU明细'!$A$11:$A$1309,0)))&amp;" + 待核",SUM(INDEX('SKU明细'!$D$11:$D$1309,MATCH("B06-BKP-42-N",'SKU明细'!$A$11:$A$1309,0)))))</x:f>
        <x:v>0</x:v>
      </x:c>
      <x:c r="S35" s="36" t="n">
        <x:f>IF(COUNT(INDEX('SKU明细'!$D$11:$D$1309,MATCH("B06-BKP-37",'SKU明细'!$A$11:$A$1309,0)),INDEX('SKU明细'!$D$11:$D$1309,MATCH("B06-BKP-37.5",'SKU明细'!$A$11:$A$1309,0)),INDEX('SKU明细'!$D$11:$D$1309,MATCH("B06-BKP-38-N",'SKU明细'!$A$11:$A$1309,0)),INDEX('SKU明细'!$D$11:$D$1309,MATCH("B06-BKP-38.5",'SKU明细'!$A$11:$A$1309,0)),INDEX('SKU明细'!$D$11:$D$1309,MATCH("B06-BKP-39-N",'SKU明细'!$A$11:$A$1309,0)),INDEX('SKU明细'!$D$11:$D$1309,MATCH("B06-BKP-39.5",'SKU明细'!$A$11:$A$1309,0)),INDEX('SKU明细'!$D$11:$D$1309,MATCH("B06-BKP-40-N",'SKU明细'!$A$11:$A$1309,0)),INDEX('SKU明细'!$D$11:$D$1309,MATCH("B06-BKP-40.5",'SKU明细'!$A$11:$A$1309,0)),INDEX('SKU明细'!$D$11:$D$1309,MATCH("B06-BKP-41-N",'SKU明细'!$A$11:$A$1309,0)),INDEX('SKU明细'!$D$11:$D$1309,MATCH("B06-BKP-41.5",'SKU明细'!$A$11:$A$1309,0)),INDEX('SKU明细'!$D$11:$D$1309,MATCH("B06-BKP-42-N",'SKU明细'!$A$11:$A$1309,0)))=0,"待核",SUM(INDEX('SKU明细'!$D$11:$D$1309,MATCH("B06-BKP-37",'SKU明细'!$A$11:$A$1309,0)),INDEX('SKU明细'!$D$11:$D$1309,MATCH("B06-BKP-37.5",'SKU明细'!$A$11:$A$1309,0)),INDEX('SKU明细'!$D$11:$D$1309,MATCH("B06-BKP-38-N",'SKU明细'!$A$11:$A$1309,0)),INDEX('SKU明细'!$D$11:$D$1309,MATCH("B06-BKP-38.5",'SKU明细'!$A$11:$A$1309,0)),INDEX('SKU明细'!$D$11:$D$1309,MATCH("B06-BKP-39-N",'SKU明细'!$A$11:$A$1309,0)),INDEX('SKU明细'!$D$11:$D$1309,MATCH("B06-BKP-39.5",'SKU明细'!$A$11:$A$1309,0)),INDEX('SKU明细'!$D$11:$D$1309,MATCH("B06-BKP-40-N",'SKU明细'!$A$11:$A$1309,0)),INDEX('SKU明细'!$D$11:$D$1309,MATCH("B06-BKP-40.5",'SKU明细'!$A$11:$A$1309,0)),INDEX('SKU明细'!$D$11:$D$1309,MATCH("B06-BKP-41-N",'SKU明细'!$A$11:$A$1309,0)),INDEX('SKU明细'!$D$11:$D$1309,MATCH("B06-BKP-41.5",'SKU明细'!$A$11:$A$1309,0)),INDEX('SKU明细'!$D$11:$D$1309,MATCH("B06-BKP-42-N",'SKU明细'!$A$11:$A$1309,0))))</x:f>
        <x:v>1</x:v>
      </x:c>
      <x:c r="T35" s="36" t="n">
        <x:f>IF(COUNTIFS($A$9:$A$191,A35,$U$9:$U$191,"&lt;&gt;待核")=0,"待核",SUMIF($A$9:$A$191,A35,$S$9:$S$191))</x:f>
        <x:v>613</x:v>
      </x:c>
      <x:c r="U35" s="35" t="str">
        <x:f>IF(COUNT(INDEX('SKU明细'!$D$11:$D$1309,MATCH("B06-BKP-37",'SKU明细'!$A$11:$A$1309,0)),INDEX('SKU明细'!$D$11:$D$1309,MATCH("B06-BKP-37.5",'SKU明细'!$A$11:$A$1309,0)),INDEX('SKU明细'!$D$11:$D$1309,MATCH("B06-BKP-38-N",'SKU明细'!$A$11:$A$1309,0)),INDEX('SKU明细'!$D$11:$D$1309,MATCH("B06-BKP-38.5",'SKU明细'!$A$11:$A$1309,0)),INDEX('SKU明细'!$D$11:$D$1309,MATCH("B06-BKP-39-N",'SKU明细'!$A$11:$A$1309,0)),INDEX('SKU明细'!$D$11:$D$1309,MATCH("B06-BKP-39.5",'SKU明细'!$A$11:$A$1309,0)),INDEX('SKU明细'!$D$11:$D$1309,MATCH("B06-BKP-40-N",'SKU明细'!$A$11:$A$1309,0)),INDEX('SKU明细'!$D$11:$D$1309,MATCH("B06-BKP-40.5",'SKU明细'!$A$11:$A$1309,0)),INDEX('SKU明细'!$D$11:$D$1309,MATCH("B06-BKP-41-N",'SKU明细'!$A$11:$A$1309,0)),INDEX('SKU明细'!$D$11:$D$1309,MATCH("B06-BKP-41.5",'SKU明细'!$A$11:$A$1309,0)),INDEX('SKU明细'!$D$11:$D$1309,MATCH("B06-BKP-42-N",'SKU明细'!$A$11:$A$1309,0)))=0,"待核",IF(COUNT(INDEX('SKU明细'!$D$11:$D$1309,MATCH("B06-BKP-37",'SKU明细'!$A$11:$A$1309,0)),INDEX('SKU明细'!$D$11:$D$1309,MATCH("B06-BKP-37.5",'SKU明细'!$A$11:$A$1309,0)),INDEX('SKU明细'!$D$11:$D$1309,MATCH("B06-BKP-38-N",'SKU明细'!$A$11:$A$1309,0)),INDEX('SKU明细'!$D$11:$D$1309,MATCH("B06-BKP-38.5",'SKU明细'!$A$11:$A$1309,0)),INDEX('SKU明细'!$D$11:$D$1309,MATCH("B06-BKP-39-N",'SKU明细'!$A$11:$A$1309,0)),INDEX('SKU明细'!$D$11:$D$1309,MATCH("B06-BKP-39.5",'SKU明细'!$A$11:$A$1309,0)),INDEX('SKU明细'!$D$11:$D$1309,MATCH("B06-BKP-40-N",'SKU明细'!$A$11:$A$1309,0)),INDEX('SKU明细'!$D$11:$D$1309,MATCH("B06-BKP-40.5",'SKU明细'!$A$11:$A$1309,0)),INDEX('SKU明细'!$D$11:$D$1309,MATCH("B06-BKP-41-N",'SKU明细'!$A$11:$A$1309,0)),INDEX('SKU明细'!$D$11:$D$1309,MATCH("B06-BKP-41.5",'SKU明细'!$A$11:$A$1309,0)),INDEX('SKU明细'!$D$11:$D$1309,MATCH("B06-BKP-42-N",'SKU明细'!$A$11:$A$1309,0)))&lt;11,"另有待核","已核"))</x:f>
        <x:v>已核</x:v>
      </x:c>
      <x:c r="V35" s="35" t="str">
        <x:v>在售、停售</x:v>
      </x:c>
      <x:c r="W35" s="11" t="n">
        <x:f>IF(COUNT(INDEX('SKU明细'!$BV$11:$BV$1309,MATCH("B06-BKP-37",'SKU明细'!$A$11:$A$1309,0)),INDEX('SKU明细'!$BV$11:$BV$1309,MATCH("B06-BKP-37.5",'SKU明细'!$A$11:$A$1309,0)),INDEX('SKU明细'!$BV$11:$BV$1309,MATCH("B06-BKP-38-N",'SKU明细'!$A$11:$A$1309,0)),INDEX('SKU明细'!$BV$11:$BV$1309,MATCH("B06-BKP-38.5",'SKU明细'!$A$11:$A$1309,0)),INDEX('SKU明细'!$BV$11:$BV$1309,MATCH("B06-BKP-39-N",'SKU明细'!$A$11:$A$1309,0)),INDEX('SKU明细'!$BV$11:$BV$1309,MATCH("B06-BKP-39.5",'SKU明细'!$A$11:$A$1309,0)),INDEX('SKU明细'!$BV$11:$BV$1309,MATCH("B06-BKP-40-N",'SKU明细'!$A$11:$A$1309,0)),INDEX('SKU明细'!$BV$11:$BV$1309,MATCH("B06-BKP-40.5",'SKU明细'!$A$11:$A$1309,0)),INDEX('SKU明细'!$BV$11:$BV$1309,MATCH("B06-BKP-41-N",'SKU明细'!$A$11:$A$1309,0)),INDEX('SKU明细'!$BV$11:$BV$1309,MATCH("B06-BKP-41.5",'SKU明细'!$A$11:$A$1309,0)),INDEX('SKU明细'!$BV$11:$BV$1309,MATCH("B06-BKP-42-N",'SKU明细'!$A$11:$A$1309,0)))=11,SUM(INDEX('SKU明细'!$BV$11:$BV$1309,MATCH("B06-BKP-37",'SKU明细'!$A$11:$A$1309,0)),INDEX('SKU明细'!$BV$11:$BV$1309,MATCH("B06-BKP-37.5",'SKU明细'!$A$11:$A$1309,0)),INDEX('SKU明细'!$BV$11:$BV$1309,MATCH("B06-BKP-38-N",'SKU明细'!$A$11:$A$1309,0)),INDEX('SKU明细'!$BV$11:$BV$1309,MATCH("B06-BKP-38.5",'SKU明细'!$A$11:$A$1309,0)),INDEX('SKU明细'!$BV$11:$BV$1309,MATCH("B06-BKP-39-N",'SKU明细'!$A$11:$A$1309,0)),INDEX('SKU明细'!$BV$11:$BV$1309,MATCH("B06-BKP-39.5",'SKU明细'!$A$11:$A$1309,0)),INDEX('SKU明细'!$BV$11:$BV$1309,MATCH("B06-BKP-40-N",'SKU明细'!$A$11:$A$1309,0)),INDEX('SKU明细'!$BV$11:$BV$1309,MATCH("B06-BKP-40.5",'SKU明细'!$A$11:$A$1309,0)),INDEX('SKU明细'!$BV$11:$BV$1309,MATCH("B06-BKP-41-N",'SKU明细'!$A$11:$A$1309,0)),INDEX('SKU明细'!$BV$11:$BV$1309,MATCH("B06-BKP-41.5",'SKU明细'!$A$11:$A$1309,0)),INDEX('SKU明细'!$BV$11:$BV$1309,MATCH("B06-BKP-42-N",'SKU明细'!$A$11:$A$1309,0))),"待核")</x:f>
        <x:v>3.3563312781362113</x:v>
      </x:c>
      <x:c r="X35" s="11" t="n">
        <x:f>INDEX('SKU明细'!$BW$11:$BW$1309,MATCH("B06-BKP-37",'SKU明细'!$A$11:$A$1309,0))</x:f>
        <x:v>1.2247029157699902</x:v>
      </x:c>
      <x:c r="Y35" s="13" t="n">
        <x:f>IF(COUNT(INDEX('SKU明细'!$BY$11:$BY$1309,MATCH("B06-BKP-37",'SKU明细'!$A$11:$A$1309,0)),INDEX('SKU明细'!$BY$11:$BY$1309,MATCH("B06-BKP-37.5",'SKU明细'!$A$11:$A$1309,0)),INDEX('SKU明细'!$BY$11:$BY$1309,MATCH("B06-BKP-38-N",'SKU明细'!$A$11:$A$1309,0)),INDEX('SKU明细'!$BY$11:$BY$1309,MATCH("B06-BKP-38.5",'SKU明细'!$A$11:$A$1309,0)),INDEX('SKU明细'!$BY$11:$BY$1309,MATCH("B06-BKP-39-N",'SKU明细'!$A$11:$A$1309,0)),INDEX('SKU明细'!$BY$11:$BY$1309,MATCH("B06-BKP-39.5",'SKU明细'!$A$11:$A$1309,0)),INDEX('SKU明细'!$BY$11:$BY$1309,MATCH("B06-BKP-40-N",'SKU明细'!$A$11:$A$1309,0)),INDEX('SKU明细'!$BY$11:$BY$1309,MATCH("B06-BKP-40.5",'SKU明细'!$A$11:$A$1309,0)),INDEX('SKU明细'!$BY$11:$BY$1309,MATCH("B06-BKP-41-N",'SKU明细'!$A$11:$A$1309,0)),INDEX('SKU明细'!$BY$11:$BY$1309,MATCH("B06-BKP-41.5",'SKU明细'!$A$11:$A$1309,0)),INDEX('SKU明细'!$BY$11:$BY$1309,MATCH("B06-BKP-42-N",'SKU明细'!$A$11:$A$1309,0)))=11,SUM(INDEX('SKU明细'!$BY$11:$BY$1309,MATCH("B06-BKP-37",'SKU明细'!$A$11:$A$1309,0)),INDEX('SKU明细'!$BY$11:$BY$1309,MATCH("B06-BKP-37.5",'SKU明细'!$A$11:$A$1309,0)),INDEX('SKU明细'!$BY$11:$BY$1309,MATCH("B06-BKP-38-N",'SKU明细'!$A$11:$A$1309,0)),INDEX('SKU明细'!$BY$11:$BY$1309,MATCH("B06-BKP-38.5",'SKU明细'!$A$11:$A$1309,0)),INDEX('SKU明细'!$BY$11:$BY$1309,MATCH("B06-BKP-39-N",'SKU明细'!$A$11:$A$1309,0)),INDEX('SKU明细'!$BY$11:$BY$1309,MATCH("B06-BKP-39.5",'SKU明细'!$A$11:$A$1309,0)),INDEX('SKU明细'!$BY$11:$BY$1309,MATCH("B06-BKP-40-N",'SKU明细'!$A$11:$A$1309,0)),INDEX('SKU明细'!$BY$11:$BY$1309,MATCH("B06-BKP-40.5",'SKU明细'!$A$11:$A$1309,0)),INDEX('SKU明细'!$BY$11:$BY$1309,MATCH("B06-BKP-41-N",'SKU明细'!$A$11:$A$1309,0)),INDEX('SKU明细'!$BY$11:$BY$1309,MATCH("B06-BKP-41.5",'SKU明细'!$A$11:$A$1309,0)),INDEX('SKU明细'!$BY$11:$BY$1309,MATCH("B06-BKP-42-N",'SKU明细'!$A$11:$A$1309,0))),"待核")</x:f>
        <x:v>49.32610443148123</x:v>
      </x:c>
      <x:c r="Z35" s="11" t="n">
        <x:f>INDEX('SKU明细'!$BZ$11:$BZ$1309,MATCH("B06-BKP-37",'SKU明细'!$A$11:$A$1309,0))</x:f>
        <x:v>0.8332682139098497</x:v>
      </x:c>
      <x:c r="AA35" s="13" t="n">
        <x:f>IF(COUNT(INDEX('SKU明细'!$CB$11:$CB$1309,MATCH("B06-BKP-37",'SKU明细'!$A$11:$A$1309,0)),INDEX('SKU明细'!$CB$11:$CB$1309,MATCH("B06-BKP-37.5",'SKU明细'!$A$11:$A$1309,0)),INDEX('SKU明细'!$CB$11:$CB$1309,MATCH("B06-BKP-38-N",'SKU明细'!$A$11:$A$1309,0)),INDEX('SKU明细'!$CB$11:$CB$1309,MATCH("B06-BKP-38.5",'SKU明细'!$A$11:$A$1309,0)),INDEX('SKU明细'!$CB$11:$CB$1309,MATCH("B06-BKP-39-N",'SKU明细'!$A$11:$A$1309,0)),INDEX('SKU明细'!$CB$11:$CB$1309,MATCH("B06-BKP-39.5",'SKU明细'!$A$11:$A$1309,0)),INDEX('SKU明细'!$CB$11:$CB$1309,MATCH("B06-BKP-40-N",'SKU明细'!$A$11:$A$1309,0)),INDEX('SKU明细'!$CB$11:$CB$1309,MATCH("B06-BKP-40.5",'SKU明细'!$A$11:$A$1309,0)),INDEX('SKU明细'!$CB$11:$CB$1309,MATCH("B06-BKP-41-N",'SKU明细'!$A$11:$A$1309,0)),INDEX('SKU明细'!$CB$11:$CB$1309,MATCH("B06-BKP-41.5",'SKU明细'!$A$11:$A$1309,0)),INDEX('SKU明细'!$CB$11:$CB$1309,MATCH("B06-BKP-42-N",'SKU明细'!$A$11:$A$1309,0)))=11,SUM(INDEX('SKU明细'!$CB$11:$CB$1309,MATCH("B06-BKP-37",'SKU明细'!$A$11:$A$1309,0)),INDEX('SKU明细'!$CB$11:$CB$1309,MATCH("B06-BKP-37.5",'SKU明细'!$A$11:$A$1309,0)),INDEX('SKU明细'!$CB$11:$CB$1309,MATCH("B06-BKP-38-N",'SKU明细'!$A$11:$A$1309,0)),INDEX('SKU明细'!$CB$11:$CB$1309,MATCH("B06-BKP-38.5",'SKU明细'!$A$11:$A$1309,0)),INDEX('SKU明细'!$CB$11:$CB$1309,MATCH("B06-BKP-39-N",'SKU明细'!$A$11:$A$1309,0)),INDEX('SKU明细'!$CB$11:$CB$1309,MATCH("B06-BKP-39.5",'SKU明细'!$A$11:$A$1309,0)),INDEX('SKU明细'!$CB$11:$CB$1309,MATCH("B06-BKP-40-N",'SKU明细'!$A$11:$A$1309,0)),INDEX('SKU明细'!$CB$11:$CB$1309,MATCH("B06-BKP-40.5",'SKU明细'!$A$11:$A$1309,0)),INDEX('SKU明细'!$CB$11:$CB$1309,MATCH("B06-BKP-41-N",'SKU明细'!$A$11:$A$1309,0)),INDEX('SKU明细'!$CB$11:$CB$1309,MATCH("B06-BKP-41.5",'SKU明细'!$A$11:$A$1309,0)),INDEX('SKU明细'!$CB$11:$CB$1309,MATCH("B06-BKP-42-N",'SKU明细'!$A$11:$A$1309,0))),"待核")</x:f>
        <x:v>83.9017250826697</x:v>
      </x:c>
      <x:c r="AB35" s="11" t="n">
        <x:f>INDEX('SKU明细'!$CC$11:$CC$1309,MATCH("B06-BKP-37",'SKU明细'!$A$11:$A$1309,0))</x:f>
        <x:v>0.5511018253564084</x:v>
      </x:c>
      <x:c r="AC35" s="13" t="n">
        <x:f>IF(COUNT(INDEX('SKU明细'!$CE$11:$CE$1309,MATCH("B06-BKP-37",'SKU明细'!$A$11:$A$1309,0)),INDEX('SKU明细'!$CE$11:$CE$1309,MATCH("B06-BKP-37.5",'SKU明细'!$A$11:$A$1309,0)),INDEX('SKU明细'!$CE$11:$CE$1309,MATCH("B06-BKP-38-N",'SKU明细'!$A$11:$A$1309,0)),INDEX('SKU明细'!$CE$11:$CE$1309,MATCH("B06-BKP-38.5",'SKU明细'!$A$11:$A$1309,0)),INDEX('SKU明细'!$CE$11:$CE$1309,MATCH("B06-BKP-39-N",'SKU明细'!$A$11:$A$1309,0)),INDEX('SKU明细'!$CE$11:$CE$1309,MATCH("B06-BKP-39.5",'SKU明细'!$A$11:$A$1309,0)),INDEX('SKU明细'!$CE$11:$CE$1309,MATCH("B06-BKP-40-N",'SKU明细'!$A$11:$A$1309,0)),INDEX('SKU明细'!$CE$11:$CE$1309,MATCH("B06-BKP-40.5",'SKU明细'!$A$11:$A$1309,0)),INDEX('SKU明细'!$CE$11:$CE$1309,MATCH("B06-BKP-41-N",'SKU明细'!$A$11:$A$1309,0)),INDEX('SKU明细'!$CE$11:$CE$1309,MATCH("B06-BKP-41.5",'SKU明细'!$A$11:$A$1309,0)),INDEX('SKU明细'!$CE$11:$CE$1309,MATCH("B06-BKP-42-N",'SKU明细'!$A$11:$A$1309,0)))=11,SUM(INDEX('SKU明细'!$CE$11:$CE$1309,MATCH("B06-BKP-37",'SKU明细'!$A$11:$A$1309,0)),INDEX('SKU明细'!$CE$11:$CE$1309,MATCH("B06-BKP-37.5",'SKU明细'!$A$11:$A$1309,0)),INDEX('SKU明细'!$CE$11:$CE$1309,MATCH("B06-BKP-38-N",'SKU明细'!$A$11:$A$1309,0)),INDEX('SKU明细'!$CE$11:$CE$1309,MATCH("B06-BKP-38.5",'SKU明细'!$A$11:$A$1309,0)),INDEX('SKU明细'!$CE$11:$CE$1309,MATCH("B06-BKP-39-N",'SKU明细'!$A$11:$A$1309,0)),INDEX('SKU明细'!$CE$11:$CE$1309,MATCH("B06-BKP-39.5",'SKU明细'!$A$11:$A$1309,0)),INDEX('SKU明细'!$CE$11:$CE$1309,MATCH("B06-BKP-40-N",'SKU明细'!$A$11:$A$1309,0)),INDEX('SKU明细'!$CE$11:$CE$1309,MATCH("B06-BKP-40.5",'SKU明细'!$A$11:$A$1309,0)),INDEX('SKU明细'!$CE$11:$CE$1309,MATCH("B06-BKP-41-N",'SKU明细'!$A$11:$A$1309,0)),INDEX('SKU明细'!$CE$11:$CE$1309,MATCH("B06-BKP-41.5",'SKU明细'!$A$11:$A$1309,0)),INDEX('SKU明细'!$CE$11:$CE$1309,MATCH("B06-BKP-42-N",'SKU明细'!$A$11:$A$1309,0))),"待核")</x:f>
        <x:v>57.34008911033186</x:v>
      </x:c>
      <x:c r="AD35" s="11" t="n">
        <x:f>INDEX('SKU明细'!$CF$11:$CF$1309,MATCH("B06-BKP-37",'SKU明细'!$A$11:$A$1309,0))</x:f>
        <x:v>1.0017220238758797</x:v>
      </x:c>
      <x:c r="AE35" s="13" t="n">
        <x:f>IF(COUNT(INDEX('SKU明细'!$CH$11:$CH$1309,MATCH("B06-BKP-37",'SKU明细'!$A$11:$A$1309,0)),INDEX('SKU明细'!$CH$11:$CH$1309,MATCH("B06-BKP-37.5",'SKU明细'!$A$11:$A$1309,0)),INDEX('SKU明细'!$CH$11:$CH$1309,MATCH("B06-BKP-38-N",'SKU明细'!$A$11:$A$1309,0)),INDEX('SKU明细'!$CH$11:$CH$1309,MATCH("B06-BKP-38.5",'SKU明细'!$A$11:$A$1309,0)),INDEX('SKU明细'!$CH$11:$CH$1309,MATCH("B06-BKP-39-N",'SKU明细'!$A$11:$A$1309,0)),INDEX('SKU明细'!$CH$11:$CH$1309,MATCH("B06-BKP-39.5",'SKU明细'!$A$11:$A$1309,0)),INDEX('SKU明细'!$CH$11:$CH$1309,MATCH("B06-BKP-40-N",'SKU明细'!$A$11:$A$1309,0)),INDEX('SKU明细'!$CH$11:$CH$1309,MATCH("B06-BKP-40.5",'SKU明细'!$A$11:$A$1309,0)),INDEX('SKU明细'!$CH$11:$CH$1309,MATCH("B06-BKP-41-N",'SKU明细'!$A$11:$A$1309,0)),INDEX('SKU明细'!$CH$11:$CH$1309,MATCH("B06-BKP-41.5",'SKU明细'!$A$11:$A$1309,0)),INDEX('SKU明细'!$CH$11:$CH$1309,MATCH("B06-BKP-42-N",'SKU明细'!$A$11:$A$1309,0)))=11,SUM(INDEX('SKU明细'!$CH$11:$CH$1309,MATCH("B06-BKP-37",'SKU明细'!$A$11:$A$1309,0)),INDEX('SKU明细'!$CH$11:$CH$1309,MATCH("B06-BKP-37.5",'SKU明细'!$A$11:$A$1309,0)),INDEX('SKU明细'!$CH$11:$CH$1309,MATCH("B06-BKP-38-N",'SKU明细'!$A$11:$A$1309,0)),INDEX('SKU明细'!$CH$11:$CH$1309,MATCH("B06-BKP-38.5",'SKU明细'!$A$11:$A$1309,0)),INDEX('SKU明细'!$CH$11:$CH$1309,MATCH("B06-BKP-39-N",'SKU明细'!$A$11:$A$1309,0)),INDEX('SKU明细'!$CH$11:$CH$1309,MATCH("B06-BKP-39.5",'SKU明细'!$A$11:$A$1309,0)),INDEX('SKU明细'!$CH$11:$CH$1309,MATCH("B06-BKP-40-N",'SKU明细'!$A$11:$A$1309,0)),INDEX('SKU明细'!$CH$11:$CH$1309,MATCH("B06-BKP-40.5",'SKU明细'!$A$11:$A$1309,0)),INDEX('SKU明细'!$CH$11:$CH$1309,MATCH("B06-BKP-41-N",'SKU明细'!$A$11:$A$1309,0)),INDEX('SKU明细'!$CH$11:$CH$1309,MATCH("B06-BKP-41.5",'SKU明细'!$A$11:$A$1309,0)),INDEX('SKU明细'!$CH$11:$CH$1309,MATCH("B06-BKP-42-N",'SKU明细'!$A$11:$A$1309,0))),"待核")</x:f>
        <x:v>57.1558863324529</x:v>
      </x:c>
      <x:c r="AF35" s="13" t="n">
        <x:f>IF(COUNT(INDEX('SKU明细'!$CI$11:$CI$1309,MATCH("B06-BKP-37",'SKU明细'!$A$11:$A$1309,0)),INDEX('SKU明细'!$CI$11:$CI$1309,MATCH("B06-BKP-37.5",'SKU明细'!$A$11:$A$1309,0)),INDEX('SKU明细'!$CI$11:$CI$1309,MATCH("B06-BKP-38-N",'SKU明细'!$A$11:$A$1309,0)),INDEX('SKU明细'!$CI$11:$CI$1309,MATCH("B06-BKP-38.5",'SKU明细'!$A$11:$A$1309,0)),INDEX('SKU明细'!$CI$11:$CI$1309,MATCH("B06-BKP-39-N",'SKU明细'!$A$11:$A$1309,0)),INDEX('SKU明细'!$CI$11:$CI$1309,MATCH("B06-BKP-39.5",'SKU明细'!$A$11:$A$1309,0)),INDEX('SKU明细'!$CI$11:$CI$1309,MATCH("B06-BKP-40-N",'SKU明细'!$A$11:$A$1309,0)),INDEX('SKU明细'!$CI$11:$CI$1309,MATCH("B06-BKP-40.5",'SKU明细'!$A$11:$A$1309,0)),INDEX('SKU明细'!$CI$11:$CI$1309,MATCH("B06-BKP-41-N",'SKU明细'!$A$11:$A$1309,0)),INDEX('SKU明细'!$CI$11:$CI$1309,MATCH("B06-BKP-41.5",'SKU明细'!$A$11:$A$1309,0)),INDEX('SKU明细'!$CI$11:$CI$1309,MATCH("B06-BKP-42-N",'SKU明细'!$A$11:$A$1309,0)))=11,SUM(INDEX('SKU明细'!$CI$11:$CI$1309,MATCH("B06-BKP-37",'SKU明细'!$A$11:$A$1309,0)),INDEX('SKU明细'!$CI$11:$CI$1309,MATCH("B06-BKP-37.5",'SKU明细'!$A$11:$A$1309,0)),INDEX('SKU明细'!$CI$11:$CI$1309,MATCH("B06-BKP-38-N",'SKU明细'!$A$11:$A$1309,0)),INDEX('SKU明细'!$CI$11:$CI$1309,MATCH("B06-BKP-38.5",'SKU明细'!$A$11:$A$1309,0)),INDEX('SKU明细'!$CI$11:$CI$1309,MATCH("B06-BKP-39-N",'SKU明细'!$A$11:$A$1309,0)),INDEX('SKU明细'!$CI$11:$CI$1309,MATCH("B06-BKP-39.5",'SKU明细'!$A$11:$A$1309,0)),INDEX('SKU明细'!$CI$11:$CI$1309,MATCH("B06-BKP-40-N",'SKU明细'!$A$11:$A$1309,0)),INDEX('SKU明细'!$CI$11:$CI$1309,MATCH("B06-BKP-40.5",'SKU明细'!$A$11:$A$1309,0)),INDEX('SKU明细'!$CI$11:$CI$1309,MATCH("B06-BKP-41-N",'SKU明细'!$A$11:$A$1309,0)),INDEX('SKU明细'!$CI$11:$CI$1309,MATCH("B06-BKP-41.5",'SKU明细'!$A$11:$A$1309,0)),INDEX('SKU明细'!$CI$11:$CI$1309,MATCH("B06-BKP-42-N",'SKU明细'!$A$11:$A$1309,0))),"待核")</x:f>
        <x:v>247.7238049569357</x:v>
      </x:c>
    </x:row>
    <x:row r="36" ht="40" customHeight="1">
      <x:c r="A36" s="35" t="str">
        <x:v>B06</x:v>
      </x:c>
      <x:c r="B36" s="35" t="str">
        <x:v>艾年</x:v>
      </x:c>
      <x:c r="C36" s="35" t="str">
        <x:v>黑色镜面PU</x:v>
      </x:c>
      <x:c r="D36" s="35" t="str">
        <x:v>BP</x:v>
      </x:c>
      <x:c r="E36" s="35" t="str">
        <x:v>B06-BP</x:v>
      </x:c>
      <x:c r="F36" s="35"/>
      <x:c r="G36" s="36" t="str">
        <x:f>"—"</x:f>
        <x:v>—</x:v>
      </x:c>
      <x:c r="H36" s="36" t="str">
        <x:f>"—"</x:f>
        <x:v>—</x:v>
      </x:c>
      <x:c r="I36" s="36" t="n">
        <x:f>IF(COUNT(INDEX('SKU明细'!$D$11:$D$1309,MATCH("B06-BP-37.5",'SKU明细'!$A$11:$A$1309,0)))=0,"待核",IF(COUNT(INDEX('SKU明细'!$D$11:$D$1309,MATCH("B06-BP-37.5",'SKU明细'!$A$11:$A$1309,0)))&lt;1,SUM(INDEX('SKU明细'!$D$11:$D$1309,MATCH("B06-BP-37.5",'SKU明细'!$A$11:$A$1309,0)))&amp;" + 待核",SUM(INDEX('SKU明细'!$D$11:$D$1309,MATCH("B06-BP-37.5",'SKU明细'!$A$11:$A$1309,0)))))</x:f>
        <x:v>0</x:v>
      </x:c>
      <x:c r="J36" s="36" t="str">
        <x:f>"—"</x:f>
        <x:v>—</x:v>
      </x:c>
      <x:c r="K36" s="36" t="str">
        <x:f>IF(COUNT(INDEX('SKU明细'!$D$11:$D$1309,MATCH("B06-BP-38.5",'SKU明细'!$A$11:$A$1309,0)))=0,"待核",IF(COUNT(INDEX('SKU明细'!$D$11:$D$1309,MATCH("B06-BP-38.5",'SKU明细'!$A$11:$A$1309,0)))&lt;1,SUM(INDEX('SKU明细'!$D$11:$D$1309,MATCH("B06-BP-38.5",'SKU明细'!$A$11:$A$1309,0)))&amp;" + 待核",SUM(INDEX('SKU明细'!$D$11:$D$1309,MATCH("B06-BP-38.5",'SKU明细'!$A$11:$A$1309,0)))))</x:f>
        <x:v>待核</x:v>
      </x:c>
      <x:c r="L36" s="36" t="str">
        <x:f>"—"</x:f>
        <x:v>—</x:v>
      </x:c>
      <x:c r="M36" s="36" t="n">
        <x:f>IF(COUNT(INDEX('SKU明细'!$D$11:$D$1309,MATCH("B06-BP-39.5",'SKU明细'!$A$11:$A$1309,0)))=0,"待核",IF(COUNT(INDEX('SKU明细'!$D$11:$D$1309,MATCH("B06-BP-39.5",'SKU明细'!$A$11:$A$1309,0)))&lt;1,SUM(INDEX('SKU明细'!$D$11:$D$1309,MATCH("B06-BP-39.5",'SKU明细'!$A$11:$A$1309,0)))&amp;" + 待核",SUM(INDEX('SKU明细'!$D$11:$D$1309,MATCH("B06-BP-39.5",'SKU明细'!$A$11:$A$1309,0)))))</x:f>
        <x:v>0</x:v>
      </x:c>
      <x:c r="N36" s="36" t="str">
        <x:f>"—"</x:f>
        <x:v>—</x:v>
      </x:c>
      <x:c r="O36" s="36" t="str">
        <x:f>"—"</x:f>
        <x:v>—</x:v>
      </x:c>
      <x:c r="P36" s="36" t="str">
        <x:f>"—"</x:f>
        <x:v>—</x:v>
      </x:c>
      <x:c r="Q36" s="36" t="str">
        <x:f>"—"</x:f>
        <x:v>—</x:v>
      </x:c>
      <x:c r="R36" s="36" t="str">
        <x:f>"—"</x:f>
        <x:v>—</x:v>
      </x:c>
      <x:c r="S36" s="36" t="n">
        <x:f>IF(COUNT(INDEX('SKU明细'!$D$11:$D$1309,MATCH("B06-BP-37.5",'SKU明细'!$A$11:$A$1309,0)),INDEX('SKU明细'!$D$11:$D$1309,MATCH("B06-BP-38.5",'SKU明细'!$A$11:$A$1309,0)),INDEX('SKU明细'!$D$11:$D$1309,MATCH("B06-BP-39.5",'SKU明细'!$A$11:$A$1309,0)))=0,"待核",SUM(INDEX('SKU明细'!$D$11:$D$1309,MATCH("B06-BP-37.5",'SKU明细'!$A$11:$A$1309,0)),INDEX('SKU明细'!$D$11:$D$1309,MATCH("B06-BP-38.5",'SKU明细'!$A$11:$A$1309,0)),INDEX('SKU明细'!$D$11:$D$1309,MATCH("B06-BP-39.5",'SKU明细'!$A$11:$A$1309,0))))</x:f>
        <x:v>0</x:v>
      </x:c>
      <x:c r="T36" s="36" t="n">
        <x:f>IF(COUNTIFS($A$9:$A$191,A36,$U$9:$U$191,"&lt;&gt;待核")=0,"待核",SUMIF($A$9:$A$191,A36,$S$9:$S$191))</x:f>
        <x:v>613</x:v>
      </x:c>
      <x:c r="U36" s="35" t="str">
        <x:f>IF(COUNT(INDEX('SKU明细'!$D$11:$D$1309,MATCH("B06-BP-37.5",'SKU明细'!$A$11:$A$1309,0)),INDEX('SKU明细'!$D$11:$D$1309,MATCH("B06-BP-38.5",'SKU明细'!$A$11:$A$1309,0)),INDEX('SKU明细'!$D$11:$D$1309,MATCH("B06-BP-39.5",'SKU明细'!$A$11:$A$1309,0)))=0,"待核",IF(COUNT(INDEX('SKU明细'!$D$11:$D$1309,MATCH("B06-BP-37.5",'SKU明细'!$A$11:$A$1309,0)),INDEX('SKU明细'!$D$11:$D$1309,MATCH("B06-BP-38.5",'SKU明细'!$A$11:$A$1309,0)),INDEX('SKU明细'!$D$11:$D$1309,MATCH("B06-BP-39.5",'SKU明细'!$A$11:$A$1309,0)))&lt;3,"另有待核","已核"))</x:f>
        <x:v>另有待核</x:v>
      </x:c>
      <x:c r="V36" s="35" t="str">
        <x:v>在售、停售</x:v>
      </x:c>
      <x:c r="W36" s="11" t="n">
        <x:f>IF(COUNT(INDEX('SKU明细'!$BV$11:$BV$1309,MATCH("B06-BP-37.5",'SKU明细'!$A$11:$A$1309,0)),INDEX('SKU明细'!$BV$11:$BV$1309,MATCH("B06-BP-38.5",'SKU明细'!$A$11:$A$1309,0)),INDEX('SKU明细'!$BV$11:$BV$1309,MATCH("B06-BP-39.5",'SKU明细'!$A$11:$A$1309,0)))=3,SUM(INDEX('SKU明细'!$BV$11:$BV$1309,MATCH("B06-BP-37.5",'SKU明细'!$A$11:$A$1309,0)),INDEX('SKU明细'!$BV$11:$BV$1309,MATCH("B06-BP-38.5",'SKU明细'!$A$11:$A$1309,0)),INDEX('SKU明细'!$BV$11:$BV$1309,MATCH("B06-BP-39.5",'SKU明细'!$A$11:$A$1309,0))),"待核")</x:f>
        <x:v>0.10022131651867562</x:v>
      </x:c>
      <x:c r="X36" s="11" t="n">
        <x:f>INDEX('SKU明细'!$BW$11:$BW$1309,MATCH("B06-BP-37.5",'SKU明细'!$A$11:$A$1309,0))</x:f>
        <x:v>1.2247029157699902</x:v>
      </x:c>
      <x:c r="Y36" s="13" t="n">
        <x:f>IF(COUNT(INDEX('SKU明细'!$BY$11:$BY$1309,MATCH("B06-BP-37.5",'SKU明细'!$A$11:$A$1309,0)),INDEX('SKU明细'!$BY$11:$BY$1309,MATCH("B06-BP-38.5",'SKU明细'!$A$11:$A$1309,0)),INDEX('SKU明细'!$BY$11:$BY$1309,MATCH("B06-BP-39.5",'SKU明细'!$A$11:$A$1309,0)))=3,SUM(INDEX('SKU明细'!$BY$11:$BY$1309,MATCH("B06-BP-37.5",'SKU明细'!$A$11:$A$1309,0)),INDEX('SKU明细'!$BY$11:$BY$1309,MATCH("B06-BP-38.5",'SKU明细'!$A$11:$A$1309,0)),INDEX('SKU明细'!$BY$11:$BY$1309,MATCH("B06-BP-39.5",'SKU明细'!$A$11:$A$1309,0))),"待核")</x:f>
        <x:v>1.4728960627527492</x:v>
      </x:c>
      <x:c r="Z36" s="11" t="n">
        <x:f>INDEX('SKU明细'!$BZ$11:$BZ$1309,MATCH("B06-BP-37.5",'SKU明细'!$A$11:$A$1309,0))</x:f>
        <x:v>0.8332682139098497</x:v>
      </x:c>
      <x:c r="AA36" s="13" t="n">
        <x:f>IF(COUNT(INDEX('SKU明细'!$CB$11:$CB$1309,MATCH("B06-BP-37.5",'SKU明细'!$A$11:$A$1309,0)),INDEX('SKU明细'!$CB$11:$CB$1309,MATCH("B06-BP-38.5",'SKU明细'!$A$11:$A$1309,0)),INDEX('SKU明细'!$CB$11:$CB$1309,MATCH("B06-BP-39.5",'SKU明细'!$A$11:$A$1309,0)))=3,SUM(INDEX('SKU明细'!$CB$11:$CB$1309,MATCH("B06-BP-37.5",'SKU明细'!$A$11:$A$1309,0)),INDEX('SKU明细'!$CB$11:$CB$1309,MATCH("B06-BP-38.5",'SKU明细'!$A$11:$A$1309,0)),INDEX('SKU明细'!$CB$11:$CB$1309,MATCH("B06-BP-39.5",'SKU明细'!$A$11:$A$1309,0))),"待核")</x:f>
        <x:v>2.505337122336317</x:v>
      </x:c>
      <x:c r="AB36" s="11" t="n">
        <x:f>INDEX('SKU明细'!$CC$11:$CC$1309,MATCH("B06-BP-37.5",'SKU明细'!$A$11:$A$1309,0))</x:f>
        <x:v>0.5511018253564084</x:v>
      </x:c>
      <x:c r="AC36" s="13" t="n">
        <x:f>IF(COUNT(INDEX('SKU明细'!$CE$11:$CE$1309,MATCH("B06-BP-37.5",'SKU明细'!$A$11:$A$1309,0)),INDEX('SKU明细'!$CE$11:$CE$1309,MATCH("B06-BP-38.5",'SKU明细'!$A$11:$A$1309,0)),INDEX('SKU明细'!$CE$11:$CE$1309,MATCH("B06-BP-39.5",'SKU明细'!$A$11:$A$1309,0)))=3,SUM(INDEX('SKU明细'!$CE$11:$CE$1309,MATCH("B06-BP-37.5",'SKU明细'!$A$11:$A$1309,0)),INDEX('SKU明细'!$CE$11:$CE$1309,MATCH("B06-BP-38.5",'SKU明细'!$A$11:$A$1309,0)),INDEX('SKU明细'!$CE$11:$CE$1309,MATCH("B06-BP-39.5",'SKU明细'!$A$11:$A$1309,0))),"待核")</x:f>
        <x:v>1.7121966646649995</x:v>
      </x:c>
      <x:c r="AD36" s="11" t="n">
        <x:f>INDEX('SKU明细'!$CF$11:$CF$1309,MATCH("B06-BP-37.5",'SKU明细'!$A$11:$A$1309,0))</x:f>
        <x:v>1.0017220238758797</x:v>
      </x:c>
      <x:c r="AE36" s="13" t="n">
        <x:f>IF(COUNT(INDEX('SKU明细'!$CH$11:$CH$1309,MATCH("B06-BP-37.5",'SKU明细'!$A$11:$A$1309,0)),INDEX('SKU明细'!$CH$11:$CH$1309,MATCH("B06-BP-38.5",'SKU明细'!$A$11:$A$1309,0)),INDEX('SKU明细'!$CH$11:$CH$1309,MATCH("B06-BP-39.5",'SKU明细'!$A$11:$A$1309,0)))=3,SUM(INDEX('SKU明细'!$CH$11:$CH$1309,MATCH("B06-BP-37.5",'SKU明细'!$A$11:$A$1309,0)),INDEX('SKU明细'!$CH$11:$CH$1309,MATCH("B06-BP-38.5",'SKU明细'!$A$11:$A$1309,0)),INDEX('SKU明细'!$CH$11:$CH$1309,MATCH("B06-BP-39.5",'SKU明细'!$A$11:$A$1309,0))),"待核")</x:f>
        <x:v>1.7066963003160789</x:v>
      </x:c>
      <x:c r="AF36" s="13" t="n">
        <x:f>IF(COUNT(INDEX('SKU明细'!$CI$11:$CI$1309,MATCH("B06-BP-37.5",'SKU明细'!$A$11:$A$1309,0)),INDEX('SKU明细'!$CI$11:$CI$1309,MATCH("B06-BP-38.5",'SKU明细'!$A$11:$A$1309,0)),INDEX('SKU明细'!$CI$11:$CI$1309,MATCH("B06-BP-39.5",'SKU明细'!$A$11:$A$1309,0)))=3,SUM(INDEX('SKU明细'!$CI$11:$CI$1309,MATCH("B06-BP-37.5",'SKU明细'!$A$11:$A$1309,0)),INDEX('SKU明细'!$CI$11:$CI$1309,MATCH("B06-BP-38.5",'SKU明细'!$A$11:$A$1309,0)),INDEX('SKU明细'!$CI$11:$CI$1309,MATCH("B06-BP-39.5",'SKU明细'!$A$11:$A$1309,0))),"待核")</x:f>
        <x:v>7.397126150070145</x:v>
      </x:c>
    </x:row>
    <x:row r="37" ht="40" customHeight="1">
      <x:c r="A37" s="35" t="str">
        <x:v>B06</x:v>
      </x:c>
      <x:c r="B37" s="35" t="str">
        <x:v>艾年</x:v>
      </x:c>
      <x:c r="C37" s="35" t="str">
        <x:v>黑色镜面</x:v>
      </x:c>
      <x:c r="D37" s="35" t="str">
        <x:v>BP</x:v>
      </x:c>
      <x:c r="E37" s="35" t="str">
        <x:v>B06-BP</x:v>
      </x:c>
      <x:c r="F37" s="35"/>
      <x:c r="G37" s="36" t="str">
        <x:f>"—"</x:f>
        <x:v>—</x:v>
      </x:c>
      <x:c r="H37" s="36" t="str">
        <x:f>"—"</x:f>
        <x:v>—</x:v>
      </x:c>
      <x:c r="I37" s="36" t="str">
        <x:f>"—"</x:f>
        <x:v>—</x:v>
      </x:c>
      <x:c r="J37" s="36" t="str">
        <x:f>"—"</x:f>
        <x:v>—</x:v>
      </x:c>
      <x:c r="K37" s="36" t="str">
        <x:f>"—"</x:f>
        <x:v>—</x:v>
      </x:c>
      <x:c r="L37" s="36" t="n">
        <x:f>IF(COUNT(INDEX('SKU明细'!$D$11:$D$1309,MATCH("B06-BP-39",'SKU明细'!$A$11:$A$1309,0)))=0,"待核",IF(COUNT(INDEX('SKU明细'!$D$11:$D$1309,MATCH("B06-BP-39",'SKU明细'!$A$11:$A$1309,0)))&lt;1,SUM(INDEX('SKU明细'!$D$11:$D$1309,MATCH("B06-BP-39",'SKU明细'!$A$11:$A$1309,0)))&amp;" + 待核",SUM(INDEX('SKU明细'!$D$11:$D$1309,MATCH("B06-BP-39",'SKU明细'!$A$11:$A$1309,0)))))</x:f>
        <x:v>0</x:v>
      </x:c>
      <x:c r="M37" s="36" t="str">
        <x:f>"—"</x:f>
        <x:v>—</x:v>
      </x:c>
      <x:c r="N37" s="36" t="n">
        <x:f>IF(COUNT(INDEX('SKU明细'!$D$11:$D$1309,MATCH("B06-BP-40",'SKU明细'!$A$11:$A$1309,0)))=0,"待核",IF(COUNT(INDEX('SKU明细'!$D$11:$D$1309,MATCH("B06-BP-40",'SKU明细'!$A$11:$A$1309,0)))&lt;1,SUM(INDEX('SKU明细'!$D$11:$D$1309,MATCH("B06-BP-40",'SKU明细'!$A$11:$A$1309,0)))&amp;" + 待核",SUM(INDEX('SKU明细'!$D$11:$D$1309,MATCH("B06-BP-40",'SKU明细'!$A$11:$A$1309,0)))))</x:f>
        <x:v>0</x:v>
      </x:c>
      <x:c r="O37" s="36" t="str">
        <x:f>"—"</x:f>
        <x:v>—</x:v>
      </x:c>
      <x:c r="P37" s="36" t="n">
        <x:f>IF(COUNT(INDEX('SKU明细'!$D$11:$D$1309,MATCH("B06-BP-41",'SKU明细'!$A$11:$A$1309,0)))=0,"待核",IF(COUNT(INDEX('SKU明细'!$D$11:$D$1309,MATCH("B06-BP-41",'SKU明细'!$A$11:$A$1309,0)))&lt;1,SUM(INDEX('SKU明细'!$D$11:$D$1309,MATCH("B06-BP-41",'SKU明细'!$A$11:$A$1309,0)))&amp;" + 待核",SUM(INDEX('SKU明细'!$D$11:$D$1309,MATCH("B06-BP-41",'SKU明细'!$A$11:$A$1309,0)))))</x:f>
        <x:v>0</x:v>
      </x:c>
      <x:c r="Q37" s="36" t="str">
        <x:f>"—"</x:f>
        <x:v>—</x:v>
      </x:c>
      <x:c r="R37" s="36" t="n">
        <x:f>IF(COUNT(INDEX('SKU明细'!$D$11:$D$1309,MATCH("B06-BP-42",'SKU明细'!$A$11:$A$1309,0)))=0,"待核",IF(COUNT(INDEX('SKU明细'!$D$11:$D$1309,MATCH("B06-BP-42",'SKU明细'!$A$11:$A$1309,0)))&lt;1,SUM(INDEX('SKU明细'!$D$11:$D$1309,MATCH("B06-BP-42",'SKU明细'!$A$11:$A$1309,0)))&amp;" + 待核",SUM(INDEX('SKU明细'!$D$11:$D$1309,MATCH("B06-BP-42",'SKU明细'!$A$11:$A$1309,0)))))</x:f>
        <x:v>0</x:v>
      </x:c>
      <x:c r="S37" s="36" t="n">
        <x:f>IF(COUNT(INDEX('SKU明细'!$D$11:$D$1309,MATCH("B06-BP-39",'SKU明细'!$A$11:$A$1309,0)),INDEX('SKU明细'!$D$11:$D$1309,MATCH("B06-BP-40",'SKU明细'!$A$11:$A$1309,0)),INDEX('SKU明细'!$D$11:$D$1309,MATCH("B06-BP-41",'SKU明细'!$A$11:$A$1309,0)),INDEX('SKU明细'!$D$11:$D$1309,MATCH("B06-BP-42",'SKU明细'!$A$11:$A$1309,0)))=0,"待核",SUM(INDEX('SKU明细'!$D$11:$D$1309,MATCH("B06-BP-39",'SKU明细'!$A$11:$A$1309,0)),INDEX('SKU明细'!$D$11:$D$1309,MATCH("B06-BP-40",'SKU明细'!$A$11:$A$1309,0)),INDEX('SKU明细'!$D$11:$D$1309,MATCH("B06-BP-41",'SKU明细'!$A$11:$A$1309,0)),INDEX('SKU明细'!$D$11:$D$1309,MATCH("B06-BP-42",'SKU明细'!$A$11:$A$1309,0))))</x:f>
        <x:v>0</x:v>
      </x:c>
      <x:c r="T37" s="36" t="n">
        <x:f>IF(COUNTIFS($A$9:$A$191,A37,$U$9:$U$191,"&lt;&gt;待核")=0,"待核",SUMIF($A$9:$A$191,A37,$S$9:$S$191))</x:f>
        <x:v>613</x:v>
      </x:c>
      <x:c r="U37" s="35" t="str">
        <x:f>IF(COUNT(INDEX('SKU明细'!$D$11:$D$1309,MATCH("B06-BP-39",'SKU明细'!$A$11:$A$1309,0)),INDEX('SKU明细'!$D$11:$D$1309,MATCH("B06-BP-40",'SKU明细'!$A$11:$A$1309,0)),INDEX('SKU明细'!$D$11:$D$1309,MATCH("B06-BP-41",'SKU明细'!$A$11:$A$1309,0)),INDEX('SKU明细'!$D$11:$D$1309,MATCH("B06-BP-42",'SKU明细'!$A$11:$A$1309,0)))=0,"待核",IF(COUNT(INDEX('SKU明细'!$D$11:$D$1309,MATCH("B06-BP-39",'SKU明细'!$A$11:$A$1309,0)),INDEX('SKU明细'!$D$11:$D$1309,MATCH("B06-BP-40",'SKU明细'!$A$11:$A$1309,0)),INDEX('SKU明细'!$D$11:$D$1309,MATCH("B06-BP-41",'SKU明细'!$A$11:$A$1309,0)),INDEX('SKU明细'!$D$11:$D$1309,MATCH("B06-BP-42",'SKU明细'!$A$11:$A$1309,0)))&lt;4,"另有待核","已核"))</x:f>
        <x:v>已核</x:v>
      </x:c>
      <x:c r="V37" s="35" t="str">
        <x:v>在售、停售</x:v>
      </x:c>
      <x:c r="W37" s="11" t="n">
        <x:f>IF(COUNT(INDEX('SKU明细'!$BV$11:$BV$1309,MATCH("B06-BP-39",'SKU明细'!$A$11:$A$1309,0)),INDEX('SKU明细'!$BV$11:$BV$1309,MATCH("B06-BP-40",'SKU明细'!$A$11:$A$1309,0)),INDEX('SKU明细'!$BV$11:$BV$1309,MATCH("B06-BP-41",'SKU明细'!$A$11:$A$1309,0)),INDEX('SKU明细'!$BV$11:$BV$1309,MATCH("B06-BP-42",'SKU明细'!$A$11:$A$1309,0)))=4,SUM(INDEX('SKU明细'!$BV$11:$BV$1309,MATCH("B06-BP-39",'SKU明细'!$A$11:$A$1309,0)),INDEX('SKU明细'!$BV$11:$BV$1309,MATCH("B06-BP-40",'SKU明细'!$A$11:$A$1309,0)),INDEX('SKU明细'!$BV$11:$BV$1309,MATCH("B06-BP-41",'SKU明细'!$A$11:$A$1309,0)),INDEX('SKU明细'!$BV$11:$BV$1309,MATCH("B06-BP-42",'SKU明细'!$A$11:$A$1309,0))),"待核")</x:f>
        <x:v>0.21127813041344526</x:v>
      </x:c>
      <x:c r="X37" s="11" t="n">
        <x:f>INDEX('SKU明细'!$BW$11:$BW$1309,MATCH("B06-BP-39",'SKU明细'!$A$11:$A$1309,0))</x:f>
        <x:v>1.2247029157699902</x:v>
      </x:c>
      <x:c r="Y37" s="13" t="n">
        <x:f>IF(COUNT(INDEX('SKU明细'!$BY$11:$BY$1309,MATCH("B06-BP-39",'SKU明细'!$A$11:$A$1309,0)),INDEX('SKU明细'!$BY$11:$BY$1309,MATCH("B06-BP-40",'SKU明细'!$A$11:$A$1309,0)),INDEX('SKU明细'!$BY$11:$BY$1309,MATCH("B06-BP-41",'SKU明细'!$A$11:$A$1309,0)),INDEX('SKU明细'!$BY$11:$BY$1309,MATCH("B06-BP-42",'SKU明细'!$A$11:$A$1309,0)))=4,SUM(INDEX('SKU明细'!$BY$11:$BY$1309,MATCH("B06-BP-39",'SKU明细'!$A$11:$A$1309,0)),INDEX('SKU明细'!$BY$11:$BY$1309,MATCH("B06-BP-40",'SKU明细'!$A$11:$A$1309,0)),INDEX('SKU明细'!$BY$11:$BY$1309,MATCH("B06-BP-41",'SKU明细'!$A$11:$A$1309,0)),INDEX('SKU明细'!$BY$11:$BY$1309,MATCH("B06-BP-42",'SKU明细'!$A$11:$A$1309,0))),"待核")</x:f>
        <x:v>3.105035308269344</x:v>
      </x:c>
      <x:c r="Z37" s="11" t="n">
        <x:f>INDEX('SKU明细'!$BZ$11:$BZ$1309,MATCH("B06-BP-39",'SKU明细'!$A$11:$A$1309,0))</x:f>
        <x:v>0.8332682139098497</x:v>
      </x:c>
      <x:c r="AA37" s="13" t="n">
        <x:f>IF(COUNT(INDEX('SKU明细'!$CB$11:$CB$1309,MATCH("B06-BP-39",'SKU明细'!$A$11:$A$1309,0)),INDEX('SKU明细'!$CB$11:$CB$1309,MATCH("B06-BP-40",'SKU明细'!$A$11:$A$1309,0)),INDEX('SKU明细'!$CB$11:$CB$1309,MATCH("B06-BP-41",'SKU明细'!$A$11:$A$1309,0)),INDEX('SKU明细'!$CB$11:$CB$1309,MATCH("B06-BP-42",'SKU明细'!$A$11:$A$1309,0)))=4,SUM(INDEX('SKU明细'!$CB$11:$CB$1309,MATCH("B06-BP-39",'SKU明细'!$A$11:$A$1309,0)),INDEX('SKU明细'!$CB$11:$CB$1309,MATCH("B06-BP-40",'SKU明细'!$A$11:$A$1309,0)),INDEX('SKU明细'!$CB$11:$CB$1309,MATCH("B06-BP-41",'SKU明细'!$A$11:$A$1309,0)),INDEX('SKU明细'!$CB$11:$CB$1309,MATCH("B06-BP-42",'SKU明细'!$A$11:$A$1309,0))),"待核")</x:f>
        <x:v>5.281540511034715</x:v>
      </x:c>
      <x:c r="AB37" s="11" t="n">
        <x:f>INDEX('SKU明细'!$CC$11:$CC$1309,MATCH("B06-BP-39",'SKU明细'!$A$11:$A$1309,0))</x:f>
        <x:v>0.5511018253564084</x:v>
      </x:c>
      <x:c r="AC37" s="13" t="n">
        <x:f>IF(COUNT(INDEX('SKU明细'!$CE$11:$CE$1309,MATCH("B06-BP-39",'SKU明细'!$A$11:$A$1309,0)),INDEX('SKU明细'!$CE$11:$CE$1309,MATCH("B06-BP-40",'SKU明细'!$A$11:$A$1309,0)),INDEX('SKU明细'!$CE$11:$CE$1309,MATCH("B06-BP-41",'SKU明细'!$A$11:$A$1309,0)),INDEX('SKU明细'!$CE$11:$CE$1309,MATCH("B06-BP-42",'SKU明细'!$A$11:$A$1309,0)))=4,SUM(INDEX('SKU明细'!$CE$11:$CE$1309,MATCH("B06-BP-39",'SKU明细'!$A$11:$A$1309,0)),INDEX('SKU明细'!$CE$11:$CE$1309,MATCH("B06-BP-40",'SKU明细'!$A$11:$A$1309,0)),INDEX('SKU明细'!$CE$11:$CE$1309,MATCH("B06-BP-41",'SKU明细'!$A$11:$A$1309,0)),INDEX('SKU明细'!$CE$11:$CE$1309,MATCH("B06-BP-42",'SKU明细'!$A$11:$A$1309,0))),"待核")</x:f>
        <x:v>3.6095086631909084</x:v>
      </x:c>
      <x:c r="AD37" s="11" t="n">
        <x:f>INDEX('SKU明细'!$CF$11:$CF$1309,MATCH("B06-BP-39",'SKU明细'!$A$11:$A$1309,0))</x:f>
        <x:v>1.0017220238758797</x:v>
      </x:c>
      <x:c r="AE37" s="13" t="n">
        <x:f>IF(COUNT(INDEX('SKU明细'!$CH$11:$CH$1309,MATCH("B06-BP-39",'SKU明细'!$A$11:$A$1309,0)),INDEX('SKU明细'!$CH$11:$CH$1309,MATCH("B06-BP-40",'SKU明细'!$A$11:$A$1309,0)),INDEX('SKU明细'!$CH$11:$CH$1309,MATCH("B06-BP-41",'SKU明细'!$A$11:$A$1309,0)),INDEX('SKU明细'!$CH$11:$CH$1309,MATCH("B06-BP-42",'SKU明细'!$A$11:$A$1309,0)))=4,SUM(INDEX('SKU明细'!$CH$11:$CH$1309,MATCH("B06-BP-39",'SKU明细'!$A$11:$A$1309,0)),INDEX('SKU明细'!$CH$11:$CH$1309,MATCH("B06-BP-40",'SKU明细'!$A$11:$A$1309,0)),INDEX('SKU明细'!$CH$11:$CH$1309,MATCH("B06-BP-41",'SKU明细'!$A$11:$A$1309,0)),INDEX('SKU明细'!$CH$11:$CH$1309,MATCH("B06-BP-42",'SKU明细'!$A$11:$A$1309,0))),"待核")</x:f>
        <x:v>3.5979132587739633</x:v>
      </x:c>
      <x:c r="AF37" s="13" t="n">
        <x:f>IF(COUNT(INDEX('SKU明细'!$CI$11:$CI$1309,MATCH("B06-BP-39",'SKU明细'!$A$11:$A$1309,0)),INDEX('SKU明细'!$CI$11:$CI$1309,MATCH("B06-BP-40",'SKU明细'!$A$11:$A$1309,0)),INDEX('SKU明细'!$CI$11:$CI$1309,MATCH("B06-BP-41",'SKU明细'!$A$11:$A$1309,0)),INDEX('SKU明细'!$CI$11:$CI$1309,MATCH("B06-BP-42",'SKU明细'!$A$11:$A$1309,0)))=4,SUM(INDEX('SKU明细'!$CI$11:$CI$1309,MATCH("B06-BP-39",'SKU明细'!$A$11:$A$1309,0)),INDEX('SKU明细'!$CI$11:$CI$1309,MATCH("B06-BP-40",'SKU明细'!$A$11:$A$1309,0)),INDEX('SKU明细'!$CI$11:$CI$1309,MATCH("B06-BP-41",'SKU明细'!$A$11:$A$1309,0)),INDEX('SKU明细'!$CI$11:$CI$1309,MATCH("B06-BP-42",'SKU明细'!$A$11:$A$1309,0))),"待核")</x:f>
        <x:v>15.593997741268932</x:v>
      </x:c>
    </x:row>
    <x:row r="38" ht="40" customHeight="1">
      <x:c r="A38" s="35" t="str">
        <x:v>B06</x:v>
      </x:c>
      <x:c r="B38" s="35" t="str">
        <x:v>艾年</x:v>
      </x:c>
      <x:c r="C38" s="35" t="str">
        <x:v>咖色PU</x:v>
      </x:c>
      <x:c r="D38" s="35" t="str">
        <x:v>CFP</x:v>
      </x:c>
      <x:c r="E38" s="35" t="str">
        <x:v>B06-CFP</x:v>
      </x:c>
      <x:c r="F38" s="35"/>
      <x:c r="G38" s="36" t="str">
        <x:f>"—"</x:f>
        <x:v>—</x:v>
      </x:c>
      <x:c r="H38" s="36" t="n">
        <x:f>IF(COUNT(INDEX('SKU明细'!$D$11:$D$1309,MATCH("B06-CFP-37",'SKU明细'!$A$11:$A$1309,0)))=0,"待核",IF(COUNT(INDEX('SKU明细'!$D$11:$D$1309,MATCH("B06-CFP-37",'SKU明细'!$A$11:$A$1309,0)))&lt;1,SUM(INDEX('SKU明细'!$D$11:$D$1309,MATCH("B06-CFP-37",'SKU明细'!$A$11:$A$1309,0)))&amp;" + 待核",SUM(INDEX('SKU明细'!$D$11:$D$1309,MATCH("B06-CFP-37",'SKU明细'!$A$11:$A$1309,0)))))</x:f>
        <x:v>0</x:v>
      </x:c>
      <x:c r="I38" s="36" t="n">
        <x:f>IF(COUNT(INDEX('SKU明细'!$D$11:$D$1309,MATCH("B06-CFP-37.5",'SKU明细'!$A$11:$A$1309,0)))=0,"待核",IF(COUNT(INDEX('SKU明细'!$D$11:$D$1309,MATCH("B06-CFP-37.5",'SKU明细'!$A$11:$A$1309,0)))&lt;1,SUM(INDEX('SKU明细'!$D$11:$D$1309,MATCH("B06-CFP-37.5",'SKU明细'!$A$11:$A$1309,0)))&amp;" + 待核",SUM(INDEX('SKU明细'!$D$11:$D$1309,MATCH("B06-CFP-37.5",'SKU明细'!$A$11:$A$1309,0)))))</x:f>
        <x:v>0</x:v>
      </x:c>
      <x:c r="J38" s="36" t="n">
        <x:f>IF(COUNT(INDEX('SKU明细'!$D$11:$D$1309,MATCH("B06-CFP-38",'SKU明细'!$A$11:$A$1309,0)))=0,"待核",IF(COUNT(INDEX('SKU明细'!$D$11:$D$1309,MATCH("B06-CFP-38",'SKU明细'!$A$11:$A$1309,0)))&lt;1,SUM(INDEX('SKU明细'!$D$11:$D$1309,MATCH("B06-CFP-38",'SKU明细'!$A$11:$A$1309,0)))&amp;" + 待核",SUM(INDEX('SKU明细'!$D$11:$D$1309,MATCH("B06-CFP-38",'SKU明细'!$A$11:$A$1309,0)))))</x:f>
        <x:v>0</x:v>
      </x:c>
      <x:c r="K38" s="36" t="n">
        <x:f>IF(COUNT(INDEX('SKU明细'!$D$11:$D$1309,MATCH("B06-CFP-38.5",'SKU明细'!$A$11:$A$1309,0)))=0,"待核",IF(COUNT(INDEX('SKU明细'!$D$11:$D$1309,MATCH("B06-CFP-38.5",'SKU明细'!$A$11:$A$1309,0)))&lt;1,SUM(INDEX('SKU明细'!$D$11:$D$1309,MATCH("B06-CFP-38.5",'SKU明细'!$A$11:$A$1309,0)))&amp;" + 待核",SUM(INDEX('SKU明细'!$D$11:$D$1309,MATCH("B06-CFP-38.5",'SKU明细'!$A$11:$A$1309,0)))))</x:f>
        <x:v>0</x:v>
      </x:c>
      <x:c r="L38" s="36" t="n">
        <x:f>IF(COUNT(INDEX('SKU明细'!$D$11:$D$1309,MATCH("B06-CFP-39",'SKU明细'!$A$11:$A$1309,0)))=0,"待核",IF(COUNT(INDEX('SKU明细'!$D$11:$D$1309,MATCH("B06-CFP-39",'SKU明细'!$A$11:$A$1309,0)))&lt;1,SUM(INDEX('SKU明细'!$D$11:$D$1309,MATCH("B06-CFP-39",'SKU明细'!$A$11:$A$1309,0)))&amp;" + 待核",SUM(INDEX('SKU明细'!$D$11:$D$1309,MATCH("B06-CFP-39",'SKU明细'!$A$11:$A$1309,0)))))</x:f>
        <x:v>12</x:v>
      </x:c>
      <x:c r="M38" s="36" t="n">
        <x:f>IF(COUNT(INDEX('SKU明细'!$D$11:$D$1309,MATCH("B06-CFP-39.5",'SKU明细'!$A$11:$A$1309,0)))=0,"待核",IF(COUNT(INDEX('SKU明细'!$D$11:$D$1309,MATCH("B06-CFP-39.5",'SKU明细'!$A$11:$A$1309,0)))&lt;1,SUM(INDEX('SKU明细'!$D$11:$D$1309,MATCH("B06-CFP-39.5",'SKU明细'!$A$11:$A$1309,0)))&amp;" + 待核",SUM(INDEX('SKU明细'!$D$11:$D$1309,MATCH("B06-CFP-39.5",'SKU明细'!$A$11:$A$1309,0)))))</x:f>
        <x:v>0</x:v>
      </x:c>
      <x:c r="N38" s="36" t="n">
        <x:f>IF(COUNT(INDEX('SKU明细'!$D$11:$D$1309,MATCH("B06-CFP-40",'SKU明细'!$A$11:$A$1309,0)))=0,"待核",IF(COUNT(INDEX('SKU明细'!$D$11:$D$1309,MATCH("B06-CFP-40",'SKU明细'!$A$11:$A$1309,0)))&lt;1,SUM(INDEX('SKU明细'!$D$11:$D$1309,MATCH("B06-CFP-40",'SKU明细'!$A$11:$A$1309,0)))&amp;" + 待核",SUM(INDEX('SKU明细'!$D$11:$D$1309,MATCH("B06-CFP-40",'SKU明细'!$A$11:$A$1309,0)))))</x:f>
        <x:v>0</x:v>
      </x:c>
      <x:c r="O38" s="36" t="n">
        <x:f>IF(COUNT(INDEX('SKU明细'!$D$11:$D$1309,MATCH("B06-CFP-40.5",'SKU明细'!$A$11:$A$1309,0)))=0,"待核",IF(COUNT(INDEX('SKU明细'!$D$11:$D$1309,MATCH("B06-CFP-40.5",'SKU明细'!$A$11:$A$1309,0)))&lt;1,SUM(INDEX('SKU明细'!$D$11:$D$1309,MATCH("B06-CFP-40.5",'SKU明细'!$A$11:$A$1309,0)))&amp;" + 待核",SUM(INDEX('SKU明细'!$D$11:$D$1309,MATCH("B06-CFP-40.5",'SKU明细'!$A$11:$A$1309,0)))))</x:f>
        <x:v>0</x:v>
      </x:c>
      <x:c r="P38" s="36" t="n">
        <x:f>IF(COUNT(INDEX('SKU明细'!$D$11:$D$1309,MATCH("B06-CFP-41",'SKU明细'!$A$11:$A$1309,0)))=0,"待核",IF(COUNT(INDEX('SKU明细'!$D$11:$D$1309,MATCH("B06-CFP-41",'SKU明细'!$A$11:$A$1309,0)))&lt;1,SUM(INDEX('SKU明细'!$D$11:$D$1309,MATCH("B06-CFP-41",'SKU明细'!$A$11:$A$1309,0)))&amp;" + 待核",SUM(INDEX('SKU明细'!$D$11:$D$1309,MATCH("B06-CFP-41",'SKU明细'!$A$11:$A$1309,0)))))</x:f>
        <x:v>0</x:v>
      </x:c>
      <x:c r="Q38" s="36" t="n">
        <x:f>IF(COUNT(INDEX('SKU明细'!$D$11:$D$1309,MATCH("B06-CFP-41.5",'SKU明细'!$A$11:$A$1309,0)))=0,"待核",IF(COUNT(INDEX('SKU明细'!$D$11:$D$1309,MATCH("B06-CFP-41.5",'SKU明细'!$A$11:$A$1309,0)))&lt;1,SUM(INDEX('SKU明细'!$D$11:$D$1309,MATCH("B06-CFP-41.5",'SKU明细'!$A$11:$A$1309,0)))&amp;" + 待核",SUM(INDEX('SKU明细'!$D$11:$D$1309,MATCH("B06-CFP-41.5",'SKU明细'!$A$11:$A$1309,0)))))</x:f>
        <x:v>0</x:v>
      </x:c>
      <x:c r="R38" s="36" t="n">
        <x:f>IF(COUNT(INDEX('SKU明细'!$D$11:$D$1309,MATCH("B06-CFP-42",'SKU明细'!$A$11:$A$1309,0)))=0,"待核",IF(COUNT(INDEX('SKU明细'!$D$11:$D$1309,MATCH("B06-CFP-42",'SKU明细'!$A$11:$A$1309,0)))&lt;1,SUM(INDEX('SKU明细'!$D$11:$D$1309,MATCH("B06-CFP-42",'SKU明细'!$A$11:$A$1309,0)))&amp;" + 待核",SUM(INDEX('SKU明细'!$D$11:$D$1309,MATCH("B06-CFP-42",'SKU明细'!$A$11:$A$1309,0)))))</x:f>
        <x:v>0</x:v>
      </x:c>
      <x:c r="S38" s="36" t="n">
        <x:f>IF(COUNT(INDEX('SKU明细'!$D$11:$D$1309,MATCH("B06-CFP-37",'SKU明细'!$A$11:$A$1309,0)),INDEX('SKU明细'!$D$11:$D$1309,MATCH("B06-CFP-37.5",'SKU明细'!$A$11:$A$1309,0)),INDEX('SKU明细'!$D$11:$D$1309,MATCH("B06-CFP-38",'SKU明细'!$A$11:$A$1309,0)),INDEX('SKU明细'!$D$11:$D$1309,MATCH("B06-CFP-38.5",'SKU明细'!$A$11:$A$1309,0)),INDEX('SKU明细'!$D$11:$D$1309,MATCH("B06-CFP-39",'SKU明细'!$A$11:$A$1309,0)),INDEX('SKU明细'!$D$11:$D$1309,MATCH("B06-CFP-39.5",'SKU明细'!$A$11:$A$1309,0)),INDEX('SKU明细'!$D$11:$D$1309,MATCH("B06-CFP-40",'SKU明细'!$A$11:$A$1309,0)),INDEX('SKU明细'!$D$11:$D$1309,MATCH("B06-CFP-40.5",'SKU明细'!$A$11:$A$1309,0)),INDEX('SKU明细'!$D$11:$D$1309,MATCH("B06-CFP-41",'SKU明细'!$A$11:$A$1309,0)),INDEX('SKU明细'!$D$11:$D$1309,MATCH("B06-CFP-41.5",'SKU明细'!$A$11:$A$1309,0)),INDEX('SKU明细'!$D$11:$D$1309,MATCH("B06-CFP-42",'SKU明细'!$A$11:$A$1309,0)))=0,"待核",SUM(INDEX('SKU明细'!$D$11:$D$1309,MATCH("B06-CFP-37",'SKU明细'!$A$11:$A$1309,0)),INDEX('SKU明细'!$D$11:$D$1309,MATCH("B06-CFP-37.5",'SKU明细'!$A$11:$A$1309,0)),INDEX('SKU明细'!$D$11:$D$1309,MATCH("B06-CFP-38",'SKU明细'!$A$11:$A$1309,0)),INDEX('SKU明细'!$D$11:$D$1309,MATCH("B06-CFP-38.5",'SKU明细'!$A$11:$A$1309,0)),INDEX('SKU明细'!$D$11:$D$1309,MATCH("B06-CFP-39",'SKU明细'!$A$11:$A$1309,0)),INDEX('SKU明细'!$D$11:$D$1309,MATCH("B06-CFP-39.5",'SKU明细'!$A$11:$A$1309,0)),INDEX('SKU明细'!$D$11:$D$1309,MATCH("B06-CFP-40",'SKU明细'!$A$11:$A$1309,0)),INDEX('SKU明细'!$D$11:$D$1309,MATCH("B06-CFP-40.5",'SKU明细'!$A$11:$A$1309,0)),INDEX('SKU明细'!$D$11:$D$1309,MATCH("B06-CFP-41",'SKU明细'!$A$11:$A$1309,0)),INDEX('SKU明细'!$D$11:$D$1309,MATCH("B06-CFP-41.5",'SKU明细'!$A$11:$A$1309,0)),INDEX('SKU明细'!$D$11:$D$1309,MATCH("B06-CFP-42",'SKU明细'!$A$11:$A$1309,0))))</x:f>
        <x:v>12</x:v>
      </x:c>
      <x:c r="T38" s="36" t="n">
        <x:f>IF(COUNTIFS($A$9:$A$191,A38,$U$9:$U$191,"&lt;&gt;待核")=0,"待核",SUMIF($A$9:$A$191,A38,$S$9:$S$191))</x:f>
        <x:v>613</x:v>
      </x:c>
      <x:c r="U38" s="35" t="str">
        <x:f>IF(COUNT(INDEX('SKU明细'!$D$11:$D$1309,MATCH("B06-CFP-37",'SKU明细'!$A$11:$A$1309,0)),INDEX('SKU明细'!$D$11:$D$1309,MATCH("B06-CFP-37.5",'SKU明细'!$A$11:$A$1309,0)),INDEX('SKU明细'!$D$11:$D$1309,MATCH("B06-CFP-38",'SKU明细'!$A$11:$A$1309,0)),INDEX('SKU明细'!$D$11:$D$1309,MATCH("B06-CFP-38.5",'SKU明细'!$A$11:$A$1309,0)),INDEX('SKU明细'!$D$11:$D$1309,MATCH("B06-CFP-39",'SKU明细'!$A$11:$A$1309,0)),INDEX('SKU明细'!$D$11:$D$1309,MATCH("B06-CFP-39.5",'SKU明细'!$A$11:$A$1309,0)),INDEX('SKU明细'!$D$11:$D$1309,MATCH("B06-CFP-40",'SKU明细'!$A$11:$A$1309,0)),INDEX('SKU明细'!$D$11:$D$1309,MATCH("B06-CFP-40.5",'SKU明细'!$A$11:$A$1309,0)),INDEX('SKU明细'!$D$11:$D$1309,MATCH("B06-CFP-41",'SKU明细'!$A$11:$A$1309,0)),INDEX('SKU明细'!$D$11:$D$1309,MATCH("B06-CFP-41.5",'SKU明细'!$A$11:$A$1309,0)),INDEX('SKU明细'!$D$11:$D$1309,MATCH("B06-CFP-42",'SKU明细'!$A$11:$A$1309,0)))=0,"待核",IF(COUNT(INDEX('SKU明细'!$D$11:$D$1309,MATCH("B06-CFP-37",'SKU明细'!$A$11:$A$1309,0)),INDEX('SKU明细'!$D$11:$D$1309,MATCH("B06-CFP-37.5",'SKU明细'!$A$11:$A$1309,0)),INDEX('SKU明细'!$D$11:$D$1309,MATCH("B06-CFP-38",'SKU明细'!$A$11:$A$1309,0)),INDEX('SKU明细'!$D$11:$D$1309,MATCH("B06-CFP-38.5",'SKU明细'!$A$11:$A$1309,0)),INDEX('SKU明细'!$D$11:$D$1309,MATCH("B06-CFP-39",'SKU明细'!$A$11:$A$1309,0)),INDEX('SKU明细'!$D$11:$D$1309,MATCH("B06-CFP-39.5",'SKU明细'!$A$11:$A$1309,0)),INDEX('SKU明细'!$D$11:$D$1309,MATCH("B06-CFP-40",'SKU明细'!$A$11:$A$1309,0)),INDEX('SKU明细'!$D$11:$D$1309,MATCH("B06-CFP-40.5",'SKU明细'!$A$11:$A$1309,0)),INDEX('SKU明细'!$D$11:$D$1309,MATCH("B06-CFP-41",'SKU明细'!$A$11:$A$1309,0)),INDEX('SKU明细'!$D$11:$D$1309,MATCH("B06-CFP-41.5",'SKU明细'!$A$11:$A$1309,0)),INDEX('SKU明细'!$D$11:$D$1309,MATCH("B06-CFP-42",'SKU明细'!$A$11:$A$1309,0)))&lt;11,"另有待核","已核"))</x:f>
        <x:v>已核</x:v>
      </x:c>
      <x:c r="V38" s="35" t="str">
        <x:v>在售</x:v>
      </x:c>
      <x:c r="W38" s="11" t="n">
        <x:f>IF(COUNT(INDEX('SKU明细'!$BV$11:$BV$1309,MATCH("B06-CFP-37",'SKU明细'!$A$11:$A$1309,0)),INDEX('SKU明细'!$BV$11:$BV$1309,MATCH("B06-CFP-37.5",'SKU明细'!$A$11:$A$1309,0)),INDEX('SKU明细'!$BV$11:$BV$1309,MATCH("B06-CFP-38",'SKU明细'!$A$11:$A$1309,0)),INDEX('SKU明细'!$BV$11:$BV$1309,MATCH("B06-CFP-38.5",'SKU明细'!$A$11:$A$1309,0)),INDEX('SKU明细'!$BV$11:$BV$1309,MATCH("B06-CFP-39",'SKU明细'!$A$11:$A$1309,0)),INDEX('SKU明细'!$BV$11:$BV$1309,MATCH("B06-CFP-39.5",'SKU明细'!$A$11:$A$1309,0)),INDEX('SKU明细'!$BV$11:$BV$1309,MATCH("B06-CFP-40",'SKU明细'!$A$11:$A$1309,0)),INDEX('SKU明细'!$BV$11:$BV$1309,MATCH("B06-CFP-40.5",'SKU明细'!$A$11:$A$1309,0)),INDEX('SKU明细'!$BV$11:$BV$1309,MATCH("B06-CFP-41",'SKU明细'!$A$11:$A$1309,0)),INDEX('SKU明细'!$BV$11:$BV$1309,MATCH("B06-CFP-41.5",'SKU明细'!$A$11:$A$1309,0)),INDEX('SKU明细'!$BV$11:$BV$1309,MATCH("B06-CFP-42",'SKU明细'!$A$11:$A$1309,0)))=11,SUM(INDEX('SKU明细'!$BV$11:$BV$1309,MATCH("B06-CFP-37",'SKU明细'!$A$11:$A$1309,0)),INDEX('SKU明细'!$BV$11:$BV$1309,MATCH("B06-CFP-37.5",'SKU明细'!$A$11:$A$1309,0)),INDEX('SKU明细'!$BV$11:$BV$1309,MATCH("B06-CFP-38",'SKU明细'!$A$11:$A$1309,0)),INDEX('SKU明细'!$BV$11:$BV$1309,MATCH("B06-CFP-38.5",'SKU明细'!$A$11:$A$1309,0)),INDEX('SKU明细'!$BV$11:$BV$1309,MATCH("B06-CFP-39",'SKU明细'!$A$11:$A$1309,0)),INDEX('SKU明细'!$BV$11:$BV$1309,MATCH("B06-CFP-39.5",'SKU明细'!$A$11:$A$1309,0)),INDEX('SKU明细'!$BV$11:$BV$1309,MATCH("B06-CFP-40",'SKU明细'!$A$11:$A$1309,0)),INDEX('SKU明细'!$BV$11:$BV$1309,MATCH("B06-CFP-40.5",'SKU明细'!$A$11:$A$1309,0)),INDEX('SKU明细'!$BV$11:$BV$1309,MATCH("B06-CFP-41",'SKU明细'!$A$11:$A$1309,0)),INDEX('SKU明细'!$BV$11:$BV$1309,MATCH("B06-CFP-41.5",'SKU明细'!$A$11:$A$1309,0)),INDEX('SKU明细'!$BV$11:$BV$1309,MATCH("B06-CFP-42",'SKU明细'!$A$11:$A$1309,0))),"待核")</x:f>
        <x:v>2.6114585094648217</x:v>
      </x:c>
      <x:c r="X38" s="11" t="n">
        <x:f>INDEX('SKU明细'!$BW$11:$BW$1309,MATCH("B06-CFP-37",'SKU明细'!$A$11:$A$1309,0))</x:f>
        <x:v>1.2247029157699902</x:v>
      </x:c>
      <x:c r="Y38" s="13" t="n">
        <x:f>IF(COUNT(INDEX('SKU明细'!$BY$11:$BY$1309,MATCH("B06-CFP-37",'SKU明细'!$A$11:$A$1309,0)),INDEX('SKU明细'!$BY$11:$BY$1309,MATCH("B06-CFP-37.5",'SKU明细'!$A$11:$A$1309,0)),INDEX('SKU明细'!$BY$11:$BY$1309,MATCH("B06-CFP-38",'SKU明细'!$A$11:$A$1309,0)),INDEX('SKU明细'!$BY$11:$BY$1309,MATCH("B06-CFP-38.5",'SKU明细'!$A$11:$A$1309,0)),INDEX('SKU明细'!$BY$11:$BY$1309,MATCH("B06-CFP-39",'SKU明细'!$A$11:$A$1309,0)),INDEX('SKU明细'!$BY$11:$BY$1309,MATCH("B06-CFP-39.5",'SKU明细'!$A$11:$A$1309,0)),INDEX('SKU明细'!$BY$11:$BY$1309,MATCH("B06-CFP-40",'SKU明细'!$A$11:$A$1309,0)),INDEX('SKU明细'!$BY$11:$BY$1309,MATCH("B06-CFP-40.5",'SKU明细'!$A$11:$A$1309,0)),INDEX('SKU明细'!$BY$11:$BY$1309,MATCH("B06-CFP-41",'SKU明细'!$A$11:$A$1309,0)),INDEX('SKU明细'!$BY$11:$BY$1309,MATCH("B06-CFP-41.5",'SKU明细'!$A$11:$A$1309,0)),INDEX('SKU明细'!$BY$11:$BY$1309,MATCH("B06-CFP-42",'SKU明细'!$A$11:$A$1309,0)))=11,SUM(INDEX('SKU明细'!$BY$11:$BY$1309,MATCH("B06-CFP-37",'SKU明细'!$A$11:$A$1309,0)),INDEX('SKU明细'!$BY$11:$BY$1309,MATCH("B06-CFP-37.5",'SKU明细'!$A$11:$A$1309,0)),INDEX('SKU明细'!$BY$11:$BY$1309,MATCH("B06-CFP-38",'SKU明细'!$A$11:$A$1309,0)),INDEX('SKU明细'!$BY$11:$BY$1309,MATCH("B06-CFP-38.5",'SKU明细'!$A$11:$A$1309,0)),INDEX('SKU明细'!$BY$11:$BY$1309,MATCH("B06-CFP-39",'SKU明细'!$A$11:$A$1309,0)),INDEX('SKU明细'!$BY$11:$BY$1309,MATCH("B06-CFP-39.5",'SKU明细'!$A$11:$A$1309,0)),INDEX('SKU明细'!$BY$11:$BY$1309,MATCH("B06-CFP-40",'SKU明细'!$A$11:$A$1309,0)),INDEX('SKU明细'!$BY$11:$BY$1309,MATCH("B06-CFP-40.5",'SKU明细'!$A$11:$A$1309,0)),INDEX('SKU明细'!$BY$11:$BY$1309,MATCH("B06-CFP-41",'SKU明细'!$A$11:$A$1309,0)),INDEX('SKU明细'!$BY$11:$BY$1309,MATCH("B06-CFP-41.5",'SKU明细'!$A$11:$A$1309,0)),INDEX('SKU明细'!$BY$11:$BY$1309,MATCH("B06-CFP-42",'SKU明细'!$A$11:$A$1309,0))),"待核")</x:f>
        <x:v>38.379130211447055</x:v>
      </x:c>
      <x:c r="Z38" s="11" t="n">
        <x:f>INDEX('SKU明细'!$BZ$11:$BZ$1309,MATCH("B06-CFP-37",'SKU明细'!$A$11:$A$1309,0))</x:f>
        <x:v>0.8332682139098497</x:v>
      </x:c>
      <x:c r="AA38" s="13" t="n">
        <x:f>IF(COUNT(INDEX('SKU明细'!$CB$11:$CB$1309,MATCH("B06-CFP-37",'SKU明细'!$A$11:$A$1309,0)),INDEX('SKU明细'!$CB$11:$CB$1309,MATCH("B06-CFP-37.5",'SKU明细'!$A$11:$A$1309,0)),INDEX('SKU明细'!$CB$11:$CB$1309,MATCH("B06-CFP-38",'SKU明细'!$A$11:$A$1309,0)),INDEX('SKU明细'!$CB$11:$CB$1309,MATCH("B06-CFP-38.5",'SKU明细'!$A$11:$A$1309,0)),INDEX('SKU明细'!$CB$11:$CB$1309,MATCH("B06-CFP-39",'SKU明细'!$A$11:$A$1309,0)),INDEX('SKU明细'!$CB$11:$CB$1309,MATCH("B06-CFP-39.5",'SKU明细'!$A$11:$A$1309,0)),INDEX('SKU明细'!$CB$11:$CB$1309,MATCH("B06-CFP-40",'SKU明细'!$A$11:$A$1309,0)),INDEX('SKU明细'!$CB$11:$CB$1309,MATCH("B06-CFP-40.5",'SKU明细'!$A$11:$A$1309,0)),INDEX('SKU明细'!$CB$11:$CB$1309,MATCH("B06-CFP-41",'SKU明细'!$A$11:$A$1309,0)),INDEX('SKU明细'!$CB$11:$CB$1309,MATCH("B06-CFP-41.5",'SKU明细'!$A$11:$A$1309,0)),INDEX('SKU明细'!$CB$11:$CB$1309,MATCH("B06-CFP-42",'SKU明细'!$A$11:$A$1309,0)))=11,SUM(INDEX('SKU明细'!$CB$11:$CB$1309,MATCH("B06-CFP-37",'SKU明细'!$A$11:$A$1309,0)),INDEX('SKU明细'!$CB$11:$CB$1309,MATCH("B06-CFP-37.5",'SKU明细'!$A$11:$A$1309,0)),INDEX('SKU明细'!$CB$11:$CB$1309,MATCH("B06-CFP-38",'SKU明细'!$A$11:$A$1309,0)),INDEX('SKU明细'!$CB$11:$CB$1309,MATCH("B06-CFP-38.5",'SKU明细'!$A$11:$A$1309,0)),INDEX('SKU明细'!$CB$11:$CB$1309,MATCH("B06-CFP-39",'SKU明细'!$A$11:$A$1309,0)),INDEX('SKU明细'!$CB$11:$CB$1309,MATCH("B06-CFP-39.5",'SKU明细'!$A$11:$A$1309,0)),INDEX('SKU明细'!$CB$11:$CB$1309,MATCH("B06-CFP-40",'SKU明细'!$A$11:$A$1309,0)),INDEX('SKU明细'!$CB$11:$CB$1309,MATCH("B06-CFP-40.5",'SKU明细'!$A$11:$A$1309,0)),INDEX('SKU明细'!$CB$11:$CB$1309,MATCH("B06-CFP-41",'SKU明细'!$A$11:$A$1309,0)),INDEX('SKU明细'!$CB$11:$CB$1309,MATCH("B06-CFP-41.5",'SKU明细'!$A$11:$A$1309,0)),INDEX('SKU明细'!$CB$11:$CB$1309,MATCH("B06-CFP-42",'SKU明细'!$A$11:$A$1309,0))),"待核")</x:f>
        <x:v>65.28136103644292</x:v>
      </x:c>
      <x:c r="AB38" s="11" t="n">
        <x:f>INDEX('SKU明细'!$CC$11:$CC$1309,MATCH("B06-CFP-37",'SKU明细'!$A$11:$A$1309,0))</x:f>
        <x:v>0.5511018253564084</x:v>
      </x:c>
      <x:c r="AC38" s="13" t="n">
        <x:f>IF(COUNT(INDEX('SKU明细'!$CE$11:$CE$1309,MATCH("B06-CFP-37",'SKU明细'!$A$11:$A$1309,0)),INDEX('SKU明细'!$CE$11:$CE$1309,MATCH("B06-CFP-37.5",'SKU明细'!$A$11:$A$1309,0)),INDEX('SKU明细'!$CE$11:$CE$1309,MATCH("B06-CFP-38",'SKU明细'!$A$11:$A$1309,0)),INDEX('SKU明细'!$CE$11:$CE$1309,MATCH("B06-CFP-38.5",'SKU明细'!$A$11:$A$1309,0)),INDEX('SKU明细'!$CE$11:$CE$1309,MATCH("B06-CFP-39",'SKU明细'!$A$11:$A$1309,0)),INDEX('SKU明细'!$CE$11:$CE$1309,MATCH("B06-CFP-39.5",'SKU明细'!$A$11:$A$1309,0)),INDEX('SKU明细'!$CE$11:$CE$1309,MATCH("B06-CFP-40",'SKU明细'!$A$11:$A$1309,0)),INDEX('SKU明细'!$CE$11:$CE$1309,MATCH("B06-CFP-40.5",'SKU明细'!$A$11:$A$1309,0)),INDEX('SKU明细'!$CE$11:$CE$1309,MATCH("B06-CFP-41",'SKU明细'!$A$11:$A$1309,0)),INDEX('SKU明细'!$CE$11:$CE$1309,MATCH("B06-CFP-41.5",'SKU明细'!$A$11:$A$1309,0)),INDEX('SKU明细'!$CE$11:$CE$1309,MATCH("B06-CFP-42",'SKU明细'!$A$11:$A$1309,0)))=11,SUM(INDEX('SKU明细'!$CE$11:$CE$1309,MATCH("B06-CFP-37",'SKU明细'!$A$11:$A$1309,0)),INDEX('SKU明细'!$CE$11:$CE$1309,MATCH("B06-CFP-37.5",'SKU明细'!$A$11:$A$1309,0)),INDEX('SKU明细'!$CE$11:$CE$1309,MATCH("B06-CFP-38",'SKU明细'!$A$11:$A$1309,0)),INDEX('SKU明细'!$CE$11:$CE$1309,MATCH("B06-CFP-38.5",'SKU明细'!$A$11:$A$1309,0)),INDEX('SKU明细'!$CE$11:$CE$1309,MATCH("B06-CFP-39",'SKU明细'!$A$11:$A$1309,0)),INDEX('SKU明细'!$CE$11:$CE$1309,MATCH("B06-CFP-39.5",'SKU明细'!$A$11:$A$1309,0)),INDEX('SKU明细'!$CE$11:$CE$1309,MATCH("B06-CFP-40",'SKU明细'!$A$11:$A$1309,0)),INDEX('SKU明细'!$CE$11:$CE$1309,MATCH("B06-CFP-40.5",'SKU明细'!$A$11:$A$1309,0)),INDEX('SKU明细'!$CE$11:$CE$1309,MATCH("B06-CFP-41",'SKU明细'!$A$11:$A$1309,0)),INDEX('SKU明细'!$CE$11:$CE$1309,MATCH("B06-CFP-41.5",'SKU明细'!$A$11:$A$1309,0)),INDEX('SKU明细'!$CE$11:$CE$1309,MATCH("B06-CFP-42",'SKU明细'!$A$11:$A$1309,0))),"待核")</x:f>
        <x:v>44.61456609366626</x:v>
      </x:c>
      <x:c r="AD38" s="11" t="n">
        <x:f>INDEX('SKU明细'!$CF$11:$CF$1309,MATCH("B06-CFP-37",'SKU明细'!$A$11:$A$1309,0))</x:f>
        <x:v>1.0017220238758797</x:v>
      </x:c>
      <x:c r="AE38" s="13" t="n">
        <x:f>IF(COUNT(INDEX('SKU明细'!$CH$11:$CH$1309,MATCH("B06-CFP-37",'SKU明细'!$A$11:$A$1309,0)),INDEX('SKU明细'!$CH$11:$CH$1309,MATCH("B06-CFP-37.5",'SKU明细'!$A$11:$A$1309,0)),INDEX('SKU明细'!$CH$11:$CH$1309,MATCH("B06-CFP-38",'SKU明细'!$A$11:$A$1309,0)),INDEX('SKU明细'!$CH$11:$CH$1309,MATCH("B06-CFP-38.5",'SKU明细'!$A$11:$A$1309,0)),INDEX('SKU明细'!$CH$11:$CH$1309,MATCH("B06-CFP-39",'SKU明细'!$A$11:$A$1309,0)),INDEX('SKU明细'!$CH$11:$CH$1309,MATCH("B06-CFP-39.5",'SKU明细'!$A$11:$A$1309,0)),INDEX('SKU明细'!$CH$11:$CH$1309,MATCH("B06-CFP-40",'SKU明细'!$A$11:$A$1309,0)),INDEX('SKU明细'!$CH$11:$CH$1309,MATCH("B06-CFP-40.5",'SKU明细'!$A$11:$A$1309,0)),INDEX('SKU明细'!$CH$11:$CH$1309,MATCH("B06-CFP-41",'SKU明细'!$A$11:$A$1309,0)),INDEX('SKU明细'!$CH$11:$CH$1309,MATCH("B06-CFP-41.5",'SKU明细'!$A$11:$A$1309,0)),INDEX('SKU明细'!$CH$11:$CH$1309,MATCH("B06-CFP-42",'SKU明细'!$A$11:$A$1309,0)))=11,SUM(INDEX('SKU明细'!$CH$11:$CH$1309,MATCH("B06-CFP-37",'SKU明细'!$A$11:$A$1309,0)),INDEX('SKU明细'!$CH$11:$CH$1309,MATCH("B06-CFP-37.5",'SKU明细'!$A$11:$A$1309,0)),INDEX('SKU明细'!$CH$11:$CH$1309,MATCH("B06-CFP-38",'SKU明细'!$A$11:$A$1309,0)),INDEX('SKU明细'!$CH$11:$CH$1309,MATCH("B06-CFP-38.5",'SKU明细'!$A$11:$A$1309,0)),INDEX('SKU明细'!$CH$11:$CH$1309,MATCH("B06-CFP-39",'SKU明细'!$A$11:$A$1309,0)),INDEX('SKU明细'!$CH$11:$CH$1309,MATCH("B06-CFP-39.5",'SKU明细'!$A$11:$A$1309,0)),INDEX('SKU明细'!$CH$11:$CH$1309,MATCH("B06-CFP-40",'SKU明细'!$A$11:$A$1309,0)),INDEX('SKU明细'!$CH$11:$CH$1309,MATCH("B06-CFP-40.5",'SKU明细'!$A$11:$A$1309,0)),INDEX('SKU明细'!$CH$11:$CH$1309,MATCH("B06-CFP-41",'SKU明细'!$A$11:$A$1309,0)),INDEX('SKU明细'!$CH$11:$CH$1309,MATCH("B06-CFP-41.5",'SKU明细'!$A$11:$A$1309,0)),INDEX('SKU明细'!$CH$11:$CH$1309,MATCH("B06-CFP-42",'SKU明细'!$A$11:$A$1309,0))),"待核")</x:f>
        <x:v>44.47124355727283</x:v>
      </x:c>
      <x:c r="AF38" s="13" t="n">
        <x:f>IF(COUNT(INDEX('SKU明细'!$CI$11:$CI$1309,MATCH("B06-CFP-37",'SKU明细'!$A$11:$A$1309,0)),INDEX('SKU明细'!$CI$11:$CI$1309,MATCH("B06-CFP-37.5",'SKU明细'!$A$11:$A$1309,0)),INDEX('SKU明细'!$CI$11:$CI$1309,MATCH("B06-CFP-38",'SKU明细'!$A$11:$A$1309,0)),INDEX('SKU明细'!$CI$11:$CI$1309,MATCH("B06-CFP-38.5",'SKU明细'!$A$11:$A$1309,0)),INDEX('SKU明细'!$CI$11:$CI$1309,MATCH("B06-CFP-39",'SKU明细'!$A$11:$A$1309,0)),INDEX('SKU明细'!$CI$11:$CI$1309,MATCH("B06-CFP-39.5",'SKU明细'!$A$11:$A$1309,0)),INDEX('SKU明细'!$CI$11:$CI$1309,MATCH("B06-CFP-40",'SKU明细'!$A$11:$A$1309,0)),INDEX('SKU明细'!$CI$11:$CI$1309,MATCH("B06-CFP-40.5",'SKU明细'!$A$11:$A$1309,0)),INDEX('SKU明细'!$CI$11:$CI$1309,MATCH("B06-CFP-41",'SKU明细'!$A$11:$A$1309,0)),INDEX('SKU明细'!$CI$11:$CI$1309,MATCH("B06-CFP-41.5",'SKU明细'!$A$11:$A$1309,0)),INDEX('SKU明细'!$CI$11:$CI$1309,MATCH("B06-CFP-42",'SKU明细'!$A$11:$A$1309,0)))=11,SUM(INDEX('SKU明细'!$CI$11:$CI$1309,MATCH("B06-CFP-37",'SKU明细'!$A$11:$A$1309,0)),INDEX('SKU明细'!$CI$11:$CI$1309,MATCH("B06-CFP-37.5",'SKU明细'!$A$11:$A$1309,0)),INDEX('SKU明细'!$CI$11:$CI$1309,MATCH("B06-CFP-38",'SKU明细'!$A$11:$A$1309,0)),INDEX('SKU明细'!$CI$11:$CI$1309,MATCH("B06-CFP-38.5",'SKU明细'!$A$11:$A$1309,0)),INDEX('SKU明细'!$CI$11:$CI$1309,MATCH("B06-CFP-39",'SKU明细'!$A$11:$A$1309,0)),INDEX('SKU明细'!$CI$11:$CI$1309,MATCH("B06-CFP-39.5",'SKU明细'!$A$11:$A$1309,0)),INDEX('SKU明细'!$CI$11:$CI$1309,MATCH("B06-CFP-40",'SKU明细'!$A$11:$A$1309,0)),INDEX('SKU明细'!$CI$11:$CI$1309,MATCH("B06-CFP-40.5",'SKU明细'!$A$11:$A$1309,0)),INDEX('SKU明细'!$CI$11:$CI$1309,MATCH("B06-CFP-41",'SKU明细'!$A$11:$A$1309,0)),INDEX('SKU明细'!$CI$11:$CI$1309,MATCH("B06-CFP-41.5",'SKU明细'!$A$11:$A$1309,0)),INDEX('SKU明细'!$CI$11:$CI$1309,MATCH("B06-CFP-42",'SKU明细'!$A$11:$A$1309,0))),"待核")</x:f>
        <x:v>192.74630089882902</x:v>
      </x:c>
    </x:row>
    <x:row r="39" ht="40" customHeight="1">
      <x:c r="A39" s="35" t="str">
        <x:v>B06</x:v>
      </x:c>
      <x:c r="B39" s="35" t="str">
        <x:v>艾年</x:v>
      </x:c>
      <x:c r="C39" s="35" t="str">
        <x:v>香槟金PU</x:v>
      </x:c>
      <x:c r="D39" s="35" t="str">
        <x:v>CPG</x:v>
      </x:c>
      <x:c r="E39" s="35" t="str">
        <x:v>B06-CPG</x:v>
      </x:c>
      <x:c r="F39" s="35"/>
      <x:c r="G39" s="36" t="str">
        <x:f>"—"</x:f>
        <x:v>—</x:v>
      </x:c>
      <x:c r="H39" s="36" t="str">
        <x:f>"—"</x:f>
        <x:v>—</x:v>
      </x:c>
      <x:c r="I39" s="36" t="str">
        <x:f>"—"</x:f>
        <x:v>—</x:v>
      </x:c>
      <x:c r="J39" s="36" t="str">
        <x:f>"—"</x:f>
        <x:v>—</x:v>
      </x:c>
      <x:c r="K39" s="36" t="str">
        <x:f>"—"</x:f>
        <x:v>—</x:v>
      </x:c>
      <x:c r="L39" s="36" t="str">
        <x:f>"—"</x:f>
        <x:v>—</x:v>
      </x:c>
      <x:c r="M39" s="36" t="n">
        <x:f>IF(COUNT(INDEX('SKU明细'!$D$11:$D$1309,MATCH("B06-CPG-39.5",'SKU明细'!$A$11:$A$1309,0)))=0,"待核",IF(COUNT(INDEX('SKU明细'!$D$11:$D$1309,MATCH("B06-CPG-39.5",'SKU明细'!$A$11:$A$1309,0)))&lt;1,SUM(INDEX('SKU明细'!$D$11:$D$1309,MATCH("B06-CPG-39.5",'SKU明细'!$A$11:$A$1309,0)))&amp;" + 待核",SUM(INDEX('SKU明细'!$D$11:$D$1309,MATCH("B06-CPG-39.5",'SKU明细'!$A$11:$A$1309,0)))))</x:f>
        <x:v>0</x:v>
      </x:c>
      <x:c r="N39" s="36" t="str">
        <x:f>"—"</x:f>
        <x:v>—</x:v>
      </x:c>
      <x:c r="O39" s="36" t="str">
        <x:f>"—"</x:f>
        <x:v>—</x:v>
      </x:c>
      <x:c r="P39" s="36" t="n">
        <x:f>IF(COUNT(INDEX('SKU明细'!$D$11:$D$1309,MATCH("B06-CPG-41",'SKU明细'!$A$11:$A$1309,0)))=0,"待核",IF(COUNT(INDEX('SKU明细'!$D$11:$D$1309,MATCH("B06-CPG-41",'SKU明细'!$A$11:$A$1309,0)))&lt;1,SUM(INDEX('SKU明细'!$D$11:$D$1309,MATCH("B06-CPG-41",'SKU明细'!$A$11:$A$1309,0)))&amp;" + 待核",SUM(INDEX('SKU明细'!$D$11:$D$1309,MATCH("B06-CPG-41",'SKU明细'!$A$11:$A$1309,0)))))</x:f>
        <x:v>0</x:v>
      </x:c>
      <x:c r="Q39" s="36" t="n">
        <x:f>IF(COUNT(INDEX('SKU明细'!$D$11:$D$1309,MATCH("B06-CPG-41.5",'SKU明细'!$A$11:$A$1309,0)))=0,"待核",IF(COUNT(INDEX('SKU明细'!$D$11:$D$1309,MATCH("B06-CPG-41.5",'SKU明细'!$A$11:$A$1309,0)))&lt;1,SUM(INDEX('SKU明细'!$D$11:$D$1309,MATCH("B06-CPG-41.5",'SKU明细'!$A$11:$A$1309,0)))&amp;" + 待核",SUM(INDEX('SKU明细'!$D$11:$D$1309,MATCH("B06-CPG-41.5",'SKU明细'!$A$11:$A$1309,0)))))</x:f>
        <x:v>0</x:v>
      </x:c>
      <x:c r="R39" s="36" t="n">
        <x:f>IF(COUNT(INDEX('SKU明细'!$D$11:$D$1309,MATCH("B06-CPG-42",'SKU明细'!$A$11:$A$1309,0)))=0,"待核",IF(COUNT(INDEX('SKU明细'!$D$11:$D$1309,MATCH("B06-CPG-42",'SKU明细'!$A$11:$A$1309,0)))&lt;1,SUM(INDEX('SKU明细'!$D$11:$D$1309,MATCH("B06-CPG-42",'SKU明细'!$A$11:$A$1309,0)))&amp;" + 待核",SUM(INDEX('SKU明细'!$D$11:$D$1309,MATCH("B06-CPG-42",'SKU明细'!$A$11:$A$1309,0)))))</x:f>
        <x:v>0</x:v>
      </x:c>
      <x:c r="S39" s="36" t="n">
        <x:f>IF(COUNT(INDEX('SKU明细'!$D$11:$D$1309,MATCH("B06-CPG-39.5",'SKU明细'!$A$11:$A$1309,0)),INDEX('SKU明细'!$D$11:$D$1309,MATCH("B06-CPG-41",'SKU明细'!$A$11:$A$1309,0)),INDEX('SKU明细'!$D$11:$D$1309,MATCH("B06-CPG-41.5",'SKU明细'!$A$11:$A$1309,0)),INDEX('SKU明细'!$D$11:$D$1309,MATCH("B06-CPG-42",'SKU明细'!$A$11:$A$1309,0)))=0,"待核",SUM(INDEX('SKU明细'!$D$11:$D$1309,MATCH("B06-CPG-39.5",'SKU明细'!$A$11:$A$1309,0)),INDEX('SKU明细'!$D$11:$D$1309,MATCH("B06-CPG-41",'SKU明细'!$A$11:$A$1309,0)),INDEX('SKU明细'!$D$11:$D$1309,MATCH("B06-CPG-41.5",'SKU明细'!$A$11:$A$1309,0)),INDEX('SKU明细'!$D$11:$D$1309,MATCH("B06-CPG-42",'SKU明细'!$A$11:$A$1309,0))))</x:f>
        <x:v>0</x:v>
      </x:c>
      <x:c r="T39" s="36" t="n">
        <x:f>IF(COUNTIFS($A$9:$A$191,A39,$U$9:$U$191,"&lt;&gt;待核")=0,"待核",SUMIF($A$9:$A$191,A39,$S$9:$S$191))</x:f>
        <x:v>613</x:v>
      </x:c>
      <x:c r="U39" s="35" t="str">
        <x:f>IF(COUNT(INDEX('SKU明细'!$D$11:$D$1309,MATCH("B06-CPG-39.5",'SKU明细'!$A$11:$A$1309,0)),INDEX('SKU明细'!$D$11:$D$1309,MATCH("B06-CPG-41",'SKU明细'!$A$11:$A$1309,0)),INDEX('SKU明细'!$D$11:$D$1309,MATCH("B06-CPG-41.5",'SKU明细'!$A$11:$A$1309,0)),INDEX('SKU明细'!$D$11:$D$1309,MATCH("B06-CPG-42",'SKU明细'!$A$11:$A$1309,0)))=0,"待核",IF(COUNT(INDEX('SKU明细'!$D$11:$D$1309,MATCH("B06-CPG-39.5",'SKU明细'!$A$11:$A$1309,0)),INDEX('SKU明细'!$D$11:$D$1309,MATCH("B06-CPG-41",'SKU明细'!$A$11:$A$1309,0)),INDEX('SKU明细'!$D$11:$D$1309,MATCH("B06-CPG-41.5",'SKU明细'!$A$11:$A$1309,0)),INDEX('SKU明细'!$D$11:$D$1309,MATCH("B06-CPG-42",'SKU明细'!$A$11:$A$1309,0)))&lt;4,"另有待核","已核"))</x:f>
        <x:v>已核</x:v>
      </x:c>
      <x:c r="V39" s="35" t="str">
        <x:v>停售、在售</x:v>
      </x:c>
      <x:c r="W39" s="11" t="n">
        <x:f>IF(COUNT(INDEX('SKU明细'!$BV$11:$BV$1309,MATCH("B06-CPG-39.5",'SKU明细'!$A$11:$A$1309,0)),INDEX('SKU明细'!$BV$11:$BV$1309,MATCH("B06-CPG-41",'SKU明细'!$A$11:$A$1309,0)),INDEX('SKU明细'!$BV$11:$BV$1309,MATCH("B06-CPG-41.5",'SKU明细'!$A$11:$A$1309,0)),INDEX('SKU明细'!$BV$11:$BV$1309,MATCH("B06-CPG-42",'SKU明细'!$A$11:$A$1309,0)))=4,SUM(INDEX('SKU明细'!$BV$11:$BV$1309,MATCH("B06-CPG-39.5",'SKU明细'!$A$11:$A$1309,0)),INDEX('SKU明细'!$BV$11:$BV$1309,MATCH("B06-CPG-41",'SKU明细'!$A$11:$A$1309,0)),INDEX('SKU明细'!$BV$11:$BV$1309,MATCH("B06-CPG-41.5",'SKU明细'!$A$11:$A$1309,0)),INDEX('SKU明细'!$BV$11:$BV$1309,MATCH("B06-CPG-42",'SKU明细'!$A$11:$A$1309,0))),"待核")</x:f>
        <x:v>0</x:v>
      </x:c>
      <x:c r="X39" s="11" t="n">
        <x:f>INDEX('SKU明细'!$BW$11:$BW$1309,MATCH("B06-CPG-39.5",'SKU明细'!$A$11:$A$1309,0))</x:f>
        <x:v>1.2247029157699902</x:v>
      </x:c>
      <x:c r="Y39" s="13" t="n">
        <x:f>IF(COUNT(INDEX('SKU明细'!$BY$11:$BY$1309,MATCH("B06-CPG-39.5",'SKU明细'!$A$11:$A$1309,0)),INDEX('SKU明细'!$BY$11:$BY$1309,MATCH("B06-CPG-41",'SKU明细'!$A$11:$A$1309,0)),INDEX('SKU明细'!$BY$11:$BY$1309,MATCH("B06-CPG-41.5",'SKU明细'!$A$11:$A$1309,0)),INDEX('SKU明细'!$BY$11:$BY$1309,MATCH("B06-CPG-42",'SKU明细'!$A$11:$A$1309,0)))=4,SUM(INDEX('SKU明细'!$BY$11:$BY$1309,MATCH("B06-CPG-39.5",'SKU明细'!$A$11:$A$1309,0)),INDEX('SKU明细'!$BY$11:$BY$1309,MATCH("B06-CPG-41",'SKU明细'!$A$11:$A$1309,0)),INDEX('SKU明细'!$BY$11:$BY$1309,MATCH("B06-CPG-41.5",'SKU明细'!$A$11:$A$1309,0)),INDEX('SKU明细'!$BY$11:$BY$1309,MATCH("B06-CPG-42",'SKU明细'!$A$11:$A$1309,0))),"待核")</x:f>
        <x:v>0</x:v>
      </x:c>
      <x:c r="Z39" s="11" t="n">
        <x:f>INDEX('SKU明细'!$BZ$11:$BZ$1309,MATCH("B06-CPG-39.5",'SKU明细'!$A$11:$A$1309,0))</x:f>
        <x:v>0.8332682139098497</x:v>
      </x:c>
      <x:c r="AA39" s="13" t="n">
        <x:f>IF(COUNT(INDEX('SKU明细'!$CB$11:$CB$1309,MATCH("B06-CPG-39.5",'SKU明细'!$A$11:$A$1309,0)),INDEX('SKU明细'!$CB$11:$CB$1309,MATCH("B06-CPG-41",'SKU明细'!$A$11:$A$1309,0)),INDEX('SKU明细'!$CB$11:$CB$1309,MATCH("B06-CPG-41.5",'SKU明细'!$A$11:$A$1309,0)),INDEX('SKU明细'!$CB$11:$CB$1309,MATCH("B06-CPG-42",'SKU明细'!$A$11:$A$1309,0)))=4,SUM(INDEX('SKU明细'!$CB$11:$CB$1309,MATCH("B06-CPG-39.5",'SKU明细'!$A$11:$A$1309,0)),INDEX('SKU明细'!$CB$11:$CB$1309,MATCH("B06-CPG-41",'SKU明细'!$A$11:$A$1309,0)),INDEX('SKU明细'!$CB$11:$CB$1309,MATCH("B06-CPG-41.5",'SKU明细'!$A$11:$A$1309,0)),INDEX('SKU明细'!$CB$11:$CB$1309,MATCH("B06-CPG-42",'SKU明细'!$A$11:$A$1309,0))),"待核")</x:f>
        <x:v>0</x:v>
      </x:c>
      <x:c r="AB39" s="11" t="n">
        <x:f>INDEX('SKU明细'!$CC$11:$CC$1309,MATCH("B06-CPG-39.5",'SKU明细'!$A$11:$A$1309,0))</x:f>
        <x:v>0.5511018253564084</x:v>
      </x:c>
      <x:c r="AC39" s="13" t="n">
        <x:f>IF(COUNT(INDEX('SKU明细'!$CE$11:$CE$1309,MATCH("B06-CPG-39.5",'SKU明细'!$A$11:$A$1309,0)),INDEX('SKU明细'!$CE$11:$CE$1309,MATCH("B06-CPG-41",'SKU明细'!$A$11:$A$1309,0)),INDEX('SKU明细'!$CE$11:$CE$1309,MATCH("B06-CPG-41.5",'SKU明细'!$A$11:$A$1309,0)),INDEX('SKU明细'!$CE$11:$CE$1309,MATCH("B06-CPG-42",'SKU明细'!$A$11:$A$1309,0)))=4,SUM(INDEX('SKU明细'!$CE$11:$CE$1309,MATCH("B06-CPG-39.5",'SKU明细'!$A$11:$A$1309,0)),INDEX('SKU明细'!$CE$11:$CE$1309,MATCH("B06-CPG-41",'SKU明细'!$A$11:$A$1309,0)),INDEX('SKU明细'!$CE$11:$CE$1309,MATCH("B06-CPG-41.5",'SKU明细'!$A$11:$A$1309,0)),INDEX('SKU明细'!$CE$11:$CE$1309,MATCH("B06-CPG-42",'SKU明细'!$A$11:$A$1309,0))),"待核")</x:f>
        <x:v>0</x:v>
      </x:c>
      <x:c r="AD39" s="11" t="n">
        <x:f>INDEX('SKU明细'!$CF$11:$CF$1309,MATCH("B06-CPG-39.5",'SKU明细'!$A$11:$A$1309,0))</x:f>
        <x:v>1.0017220238758797</x:v>
      </x:c>
      <x:c r="AE39" s="13" t="n">
        <x:f>IF(COUNT(INDEX('SKU明细'!$CH$11:$CH$1309,MATCH("B06-CPG-39.5",'SKU明细'!$A$11:$A$1309,0)),INDEX('SKU明细'!$CH$11:$CH$1309,MATCH("B06-CPG-41",'SKU明细'!$A$11:$A$1309,0)),INDEX('SKU明细'!$CH$11:$CH$1309,MATCH("B06-CPG-41.5",'SKU明细'!$A$11:$A$1309,0)),INDEX('SKU明细'!$CH$11:$CH$1309,MATCH("B06-CPG-42",'SKU明细'!$A$11:$A$1309,0)))=4,SUM(INDEX('SKU明细'!$CH$11:$CH$1309,MATCH("B06-CPG-39.5",'SKU明细'!$A$11:$A$1309,0)),INDEX('SKU明细'!$CH$11:$CH$1309,MATCH("B06-CPG-41",'SKU明细'!$A$11:$A$1309,0)),INDEX('SKU明细'!$CH$11:$CH$1309,MATCH("B06-CPG-41.5",'SKU明细'!$A$11:$A$1309,0)),INDEX('SKU明细'!$CH$11:$CH$1309,MATCH("B06-CPG-42",'SKU明细'!$A$11:$A$1309,0))),"待核")</x:f>
        <x:v>0</x:v>
      </x:c>
      <x:c r="AF39" s="13" t="n">
        <x:f>IF(COUNT(INDEX('SKU明细'!$CI$11:$CI$1309,MATCH("B06-CPG-39.5",'SKU明细'!$A$11:$A$1309,0)),INDEX('SKU明细'!$CI$11:$CI$1309,MATCH("B06-CPG-41",'SKU明细'!$A$11:$A$1309,0)),INDEX('SKU明细'!$CI$11:$CI$1309,MATCH("B06-CPG-41.5",'SKU明细'!$A$11:$A$1309,0)),INDEX('SKU明细'!$CI$11:$CI$1309,MATCH("B06-CPG-42",'SKU明细'!$A$11:$A$1309,0)))=4,SUM(INDEX('SKU明细'!$CI$11:$CI$1309,MATCH("B06-CPG-39.5",'SKU明细'!$A$11:$A$1309,0)),INDEX('SKU明细'!$CI$11:$CI$1309,MATCH("B06-CPG-41",'SKU明细'!$A$11:$A$1309,0)),INDEX('SKU明细'!$CI$11:$CI$1309,MATCH("B06-CPG-41.5",'SKU明细'!$A$11:$A$1309,0)),INDEX('SKU明细'!$CI$11:$CI$1309,MATCH("B06-CPG-42",'SKU明细'!$A$11:$A$1309,0))),"待核")</x:f>
        <x:v>0</x:v>
      </x:c>
    </x:row>
    <x:row r="40" ht="40" customHeight="1">
      <x:c r="A40" s="35" t="str">
        <x:v>B06</x:v>
      </x:c>
      <x:c r="B40" s="35" t="str">
        <x:v>艾年</x:v>
      </x:c>
      <x:c r="C40" s="35" t="str">
        <x:v>金色格利特</x:v>
      </x:c>
      <x:c r="D40" s="35" t="str">
        <x:v>GG</x:v>
      </x:c>
      <x:c r="E40" s="35" t="str">
        <x:v>B06-GG</x:v>
      </x:c>
      <x:c r="F40" s="35"/>
      <x:c r="G40" s="36" t="str">
        <x:f>"—"</x:f>
        <x:v>—</x:v>
      </x:c>
      <x:c r="H40" s="36" t="str">
        <x:f>"—"</x:f>
        <x:v>—</x:v>
      </x:c>
      <x:c r="I40" s="36" t="str">
        <x:f>"—"</x:f>
        <x:v>—</x:v>
      </x:c>
      <x:c r="J40" s="36" t="str">
        <x:f>"—"</x:f>
        <x:v>—</x:v>
      </x:c>
      <x:c r="K40" s="36" t="str">
        <x:f>"—"</x:f>
        <x:v>—</x:v>
      </x:c>
      <x:c r="L40" s="36" t="str">
        <x:f>"—"</x:f>
        <x:v>—</x:v>
      </x:c>
      <x:c r="M40" s="36" t="str">
        <x:f>"—"</x:f>
        <x:v>—</x:v>
      </x:c>
      <x:c r="N40" s="36" t="n">
        <x:f>IF(COUNT(INDEX('SKU明细'!$D$11:$D$1309,MATCH("B06-GG-40",'SKU明细'!$A$11:$A$1309,0)))=0,"待核",IF(COUNT(INDEX('SKU明细'!$D$11:$D$1309,MATCH("B06-GG-40",'SKU明细'!$A$11:$A$1309,0)))&lt;1,SUM(INDEX('SKU明细'!$D$11:$D$1309,MATCH("B06-GG-40",'SKU明细'!$A$11:$A$1309,0)))&amp;" + 待核",SUM(INDEX('SKU明细'!$D$11:$D$1309,MATCH("B06-GG-40",'SKU明细'!$A$11:$A$1309,0)))))</x:f>
        <x:v>0</x:v>
      </x:c>
      <x:c r="O40" s="36" t="str">
        <x:f>"—"</x:f>
        <x:v>—</x:v>
      </x:c>
      <x:c r="P40" s="36" t="n">
        <x:f>IF(COUNT(INDEX('SKU明细'!$D$11:$D$1309,MATCH("B06-GG-41",'SKU明细'!$A$11:$A$1309,0)))=0,"待核",IF(COUNT(INDEX('SKU明细'!$D$11:$D$1309,MATCH("B06-GG-41",'SKU明细'!$A$11:$A$1309,0)))&lt;1,SUM(INDEX('SKU明细'!$D$11:$D$1309,MATCH("B06-GG-41",'SKU明细'!$A$11:$A$1309,0)))&amp;" + 待核",SUM(INDEX('SKU明细'!$D$11:$D$1309,MATCH("B06-GG-41",'SKU明细'!$A$11:$A$1309,0)))))</x:f>
        <x:v>0</x:v>
      </x:c>
      <x:c r="Q40" s="36" t="str">
        <x:f>"—"</x:f>
        <x:v>—</x:v>
      </x:c>
      <x:c r="R40" s="36" t="str">
        <x:f>"—"</x:f>
        <x:v>—</x:v>
      </x:c>
      <x:c r="S40" s="36" t="n">
        <x:f>IF(COUNT(INDEX('SKU明细'!$D$11:$D$1309,MATCH("B06-GG-40",'SKU明细'!$A$11:$A$1309,0)),INDEX('SKU明细'!$D$11:$D$1309,MATCH("B06-GG-41",'SKU明细'!$A$11:$A$1309,0)))=0,"待核",SUM(INDEX('SKU明细'!$D$11:$D$1309,MATCH("B06-GG-40",'SKU明细'!$A$11:$A$1309,0)),INDEX('SKU明细'!$D$11:$D$1309,MATCH("B06-GG-41",'SKU明细'!$A$11:$A$1309,0))))</x:f>
        <x:v>0</x:v>
      </x:c>
      <x:c r="T40" s="36" t="n">
        <x:f>IF(COUNTIFS($A$9:$A$191,A40,$U$9:$U$191,"&lt;&gt;待核")=0,"待核",SUMIF($A$9:$A$191,A40,$S$9:$S$191))</x:f>
        <x:v>613</x:v>
      </x:c>
      <x:c r="U40" s="35" t="str">
        <x:f>IF(COUNT(INDEX('SKU明细'!$D$11:$D$1309,MATCH("B06-GG-40",'SKU明细'!$A$11:$A$1309,0)),INDEX('SKU明细'!$D$11:$D$1309,MATCH("B06-GG-41",'SKU明细'!$A$11:$A$1309,0)))=0,"待核",IF(COUNT(INDEX('SKU明细'!$D$11:$D$1309,MATCH("B06-GG-40",'SKU明细'!$A$11:$A$1309,0)),INDEX('SKU明细'!$D$11:$D$1309,MATCH("B06-GG-41",'SKU明细'!$A$11:$A$1309,0)))&lt;2,"另有待核","已核"))</x:f>
        <x:v>已核</x:v>
      </x:c>
      <x:c r="V40" s="35" t="str">
        <x:v>停售</x:v>
      </x:c>
      <x:c r="W40" s="11" t="n">
        <x:f>IF(COUNT(INDEX('SKU明细'!$BV$11:$BV$1309,MATCH("B06-GG-40",'SKU明细'!$A$11:$A$1309,0)),INDEX('SKU明细'!$BV$11:$BV$1309,MATCH("B06-GG-41",'SKU明细'!$A$11:$A$1309,0)))=2,SUM(INDEX('SKU明细'!$BV$11:$BV$1309,MATCH("B06-GG-40",'SKU明细'!$A$11:$A$1309,0)),INDEX('SKU明细'!$BV$11:$BV$1309,MATCH("B06-GG-41",'SKU明细'!$A$11:$A$1309,0))),"待核")</x:f>
        <x:v>0</x:v>
      </x:c>
      <x:c r="X40" s="11" t="n">
        <x:f>INDEX('SKU明细'!$BW$11:$BW$1309,MATCH("B06-GG-40",'SKU明细'!$A$11:$A$1309,0))</x:f>
        <x:v>1.2247029157699902</x:v>
      </x:c>
      <x:c r="Y40" s="13" t="n">
        <x:f>IF(COUNT(INDEX('SKU明细'!$BY$11:$BY$1309,MATCH("B06-GG-40",'SKU明细'!$A$11:$A$1309,0)),INDEX('SKU明细'!$BY$11:$BY$1309,MATCH("B06-GG-41",'SKU明细'!$A$11:$A$1309,0)))=2,SUM(INDEX('SKU明细'!$BY$11:$BY$1309,MATCH("B06-GG-40",'SKU明细'!$A$11:$A$1309,0)),INDEX('SKU明细'!$BY$11:$BY$1309,MATCH("B06-GG-41",'SKU明细'!$A$11:$A$1309,0))),"待核")</x:f>
        <x:v>0</x:v>
      </x:c>
      <x:c r="Z40" s="11" t="n">
        <x:f>INDEX('SKU明细'!$BZ$11:$BZ$1309,MATCH("B06-GG-40",'SKU明细'!$A$11:$A$1309,0))</x:f>
        <x:v>0.8332682139098497</x:v>
      </x:c>
      <x:c r="AA40" s="13" t="n">
        <x:f>IF(COUNT(INDEX('SKU明细'!$CB$11:$CB$1309,MATCH("B06-GG-40",'SKU明细'!$A$11:$A$1309,0)),INDEX('SKU明细'!$CB$11:$CB$1309,MATCH("B06-GG-41",'SKU明细'!$A$11:$A$1309,0)))=2,SUM(INDEX('SKU明细'!$CB$11:$CB$1309,MATCH("B06-GG-40",'SKU明细'!$A$11:$A$1309,0)),INDEX('SKU明细'!$CB$11:$CB$1309,MATCH("B06-GG-41",'SKU明细'!$A$11:$A$1309,0))),"待核")</x:f>
        <x:v>0</x:v>
      </x:c>
      <x:c r="AB40" s="11" t="n">
        <x:f>INDEX('SKU明细'!$CC$11:$CC$1309,MATCH("B06-GG-40",'SKU明细'!$A$11:$A$1309,0))</x:f>
        <x:v>0.5511018253564084</x:v>
      </x:c>
      <x:c r="AC40" s="13" t="n">
        <x:f>IF(COUNT(INDEX('SKU明细'!$CE$11:$CE$1309,MATCH("B06-GG-40",'SKU明细'!$A$11:$A$1309,0)),INDEX('SKU明细'!$CE$11:$CE$1309,MATCH("B06-GG-41",'SKU明细'!$A$11:$A$1309,0)))=2,SUM(INDEX('SKU明细'!$CE$11:$CE$1309,MATCH("B06-GG-40",'SKU明细'!$A$11:$A$1309,0)),INDEX('SKU明细'!$CE$11:$CE$1309,MATCH("B06-GG-41",'SKU明细'!$A$11:$A$1309,0))),"待核")</x:f>
        <x:v>0</x:v>
      </x:c>
      <x:c r="AD40" s="11" t="n">
        <x:f>INDEX('SKU明细'!$CF$11:$CF$1309,MATCH("B06-GG-40",'SKU明细'!$A$11:$A$1309,0))</x:f>
        <x:v>1.0017220238758797</x:v>
      </x:c>
      <x:c r="AE40" s="13" t="n">
        <x:f>IF(COUNT(INDEX('SKU明细'!$CH$11:$CH$1309,MATCH("B06-GG-40",'SKU明细'!$A$11:$A$1309,0)),INDEX('SKU明细'!$CH$11:$CH$1309,MATCH("B06-GG-41",'SKU明细'!$A$11:$A$1309,0)))=2,SUM(INDEX('SKU明细'!$CH$11:$CH$1309,MATCH("B06-GG-40",'SKU明细'!$A$11:$A$1309,0)),INDEX('SKU明细'!$CH$11:$CH$1309,MATCH("B06-GG-41",'SKU明细'!$A$11:$A$1309,0))),"待核")</x:f>
        <x:v>0</x:v>
      </x:c>
      <x:c r="AF40" s="13" t="n">
        <x:f>IF(COUNT(INDEX('SKU明细'!$CI$11:$CI$1309,MATCH("B06-GG-40",'SKU明细'!$A$11:$A$1309,0)),INDEX('SKU明细'!$CI$11:$CI$1309,MATCH("B06-GG-41",'SKU明细'!$A$11:$A$1309,0)))=2,SUM(INDEX('SKU明细'!$CI$11:$CI$1309,MATCH("B06-GG-40",'SKU明细'!$A$11:$A$1309,0)),INDEX('SKU明细'!$CI$11:$CI$1309,MATCH("B06-GG-41",'SKU明细'!$A$11:$A$1309,0))),"待核")</x:f>
        <x:v>0</x:v>
      </x:c>
    </x:row>
    <x:row r="41" ht="40" customHeight="1">
      <x:c r="A41" s="35" t="str">
        <x:v>B06</x:v>
      </x:c>
      <x:c r="B41" s="35" t="str">
        <x:v>艾年</x:v>
      </x:c>
      <x:c r="C41" s="35" t="str">
        <x:v>绿色羊京绒</x:v>
      </x:c>
      <x:c r="D41" s="35" t="str">
        <x:v>GN</x:v>
      </x:c>
      <x:c r="E41" s="35" t="str">
        <x:v>B06-GN</x:v>
      </x:c>
      <x:c r="F41" s="35"/>
      <x:c r="G41" s="36" t="str">
        <x:f>"—"</x:f>
        <x:v>—</x:v>
      </x:c>
      <x:c r="H41" s="36" t="str">
        <x:f>"—"</x:f>
        <x:v>—</x:v>
      </x:c>
      <x:c r="I41" s="36" t="str">
        <x:f>"—"</x:f>
        <x:v>—</x:v>
      </x:c>
      <x:c r="J41" s="36" t="str">
        <x:f>"—"</x:f>
        <x:v>—</x:v>
      </x:c>
      <x:c r="K41" s="36" t="str">
        <x:f>"—"</x:f>
        <x:v>—</x:v>
      </x:c>
      <x:c r="L41" s="36" t="str">
        <x:f>"—"</x:f>
        <x:v>—</x:v>
      </x:c>
      <x:c r="M41" s="36" t="str">
        <x:f>"—"</x:f>
        <x:v>—</x:v>
      </x:c>
      <x:c r="N41" s="36" t="str">
        <x:f>"—"</x:f>
        <x:v>—</x:v>
      </x:c>
      <x:c r="O41" s="36" t="n">
        <x:f>IF(COUNT(INDEX('SKU明细'!$D$11:$D$1309,MATCH("B06-GN-40.5",'SKU明细'!$A$11:$A$1309,0)))=0,"待核",IF(COUNT(INDEX('SKU明细'!$D$11:$D$1309,MATCH("B06-GN-40.5",'SKU明细'!$A$11:$A$1309,0)))&lt;1,SUM(INDEX('SKU明细'!$D$11:$D$1309,MATCH("B06-GN-40.5",'SKU明细'!$A$11:$A$1309,0)))&amp;" + 待核",SUM(INDEX('SKU明细'!$D$11:$D$1309,MATCH("B06-GN-40.5",'SKU明细'!$A$11:$A$1309,0)))))</x:f>
        <x:v>0</x:v>
      </x:c>
      <x:c r="P41" s="36" t="str">
        <x:f>"—"</x:f>
        <x:v>—</x:v>
      </x:c>
      <x:c r="Q41" s="36" t="str">
        <x:f>"—"</x:f>
        <x:v>—</x:v>
      </x:c>
      <x:c r="R41" s="36" t="str">
        <x:f>"—"</x:f>
        <x:v>—</x:v>
      </x:c>
      <x:c r="S41" s="36" t="n">
        <x:f>IF(COUNT(INDEX('SKU明细'!$D$11:$D$1309,MATCH("B06-GN-40.5",'SKU明细'!$A$11:$A$1309,0)))=0,"待核",SUM(INDEX('SKU明细'!$D$11:$D$1309,MATCH("B06-GN-40.5",'SKU明细'!$A$11:$A$1309,0))))</x:f>
        <x:v>0</x:v>
      </x:c>
      <x:c r="T41" s="36" t="n">
        <x:f>IF(COUNTIFS($A$9:$A$191,A41,$U$9:$U$191,"&lt;&gt;待核")=0,"待核",SUMIF($A$9:$A$191,A41,$S$9:$S$191))</x:f>
        <x:v>613</x:v>
      </x:c>
      <x:c r="U41" s="35" t="str">
        <x:f>IF(COUNT(INDEX('SKU明细'!$D$11:$D$1309,MATCH("B06-GN-40.5",'SKU明细'!$A$11:$A$1309,0)))=0,"待核",IF(COUNT(INDEX('SKU明细'!$D$11:$D$1309,MATCH("B06-GN-40.5",'SKU明细'!$A$11:$A$1309,0)))&lt;1,"另有待核","已核"))</x:f>
        <x:v>已核</x:v>
      </x:c>
      <x:c r="V41" s="35" t="str">
        <x:v>在售</x:v>
      </x:c>
      <x:c r="W41" s="11" t="n">
        <x:f>IF(COUNT(INDEX('SKU明细'!$BV$11:$BV$1309,MATCH("B06-GN-40.5",'SKU明细'!$A$11:$A$1309,0)))=1,SUM(INDEX('SKU明细'!$BV$11:$BV$1309,MATCH("B06-GN-40.5",'SKU明细'!$A$11:$A$1309,0))),"待核")</x:f>
        <x:v>0</x:v>
      </x:c>
      <x:c r="X41" s="11" t="n">
        <x:f>INDEX('SKU明细'!$BW$11:$BW$1309,MATCH("B06-GN-40.5",'SKU明细'!$A$11:$A$1309,0))</x:f>
        <x:v>1.2247029157699902</x:v>
      </x:c>
      <x:c r="Y41" s="13" t="n">
        <x:f>IF(COUNT(INDEX('SKU明细'!$BY$11:$BY$1309,MATCH("B06-GN-40.5",'SKU明细'!$A$11:$A$1309,0)))=1,SUM(INDEX('SKU明细'!$BY$11:$BY$1309,MATCH("B06-GN-40.5",'SKU明细'!$A$11:$A$1309,0))),"待核")</x:f>
        <x:v>0</x:v>
      </x:c>
      <x:c r="Z41" s="11" t="n">
        <x:f>INDEX('SKU明细'!$BZ$11:$BZ$1309,MATCH("B06-GN-40.5",'SKU明细'!$A$11:$A$1309,0))</x:f>
        <x:v>0.8332682139098497</x:v>
      </x:c>
      <x:c r="AA41" s="13" t="n">
        <x:f>IF(COUNT(INDEX('SKU明细'!$CB$11:$CB$1309,MATCH("B06-GN-40.5",'SKU明细'!$A$11:$A$1309,0)))=1,SUM(INDEX('SKU明细'!$CB$11:$CB$1309,MATCH("B06-GN-40.5",'SKU明细'!$A$11:$A$1309,0))),"待核")</x:f>
        <x:v>0</x:v>
      </x:c>
      <x:c r="AB41" s="11" t="n">
        <x:f>INDEX('SKU明细'!$CC$11:$CC$1309,MATCH("B06-GN-40.5",'SKU明细'!$A$11:$A$1309,0))</x:f>
        <x:v>0.5511018253564084</x:v>
      </x:c>
      <x:c r="AC41" s="13" t="n">
        <x:f>IF(COUNT(INDEX('SKU明细'!$CE$11:$CE$1309,MATCH("B06-GN-40.5",'SKU明细'!$A$11:$A$1309,0)))=1,SUM(INDEX('SKU明细'!$CE$11:$CE$1309,MATCH("B06-GN-40.5",'SKU明细'!$A$11:$A$1309,0))),"待核")</x:f>
        <x:v>0</x:v>
      </x:c>
      <x:c r="AD41" s="11" t="n">
        <x:f>INDEX('SKU明细'!$CF$11:$CF$1309,MATCH("B06-GN-40.5",'SKU明细'!$A$11:$A$1309,0))</x:f>
        <x:v>1.0017220238758797</x:v>
      </x:c>
      <x:c r="AE41" s="13" t="n">
        <x:f>IF(COUNT(INDEX('SKU明细'!$CH$11:$CH$1309,MATCH("B06-GN-40.5",'SKU明细'!$A$11:$A$1309,0)))=1,SUM(INDEX('SKU明细'!$CH$11:$CH$1309,MATCH("B06-GN-40.5",'SKU明细'!$A$11:$A$1309,0))),"待核")</x:f>
        <x:v>0</x:v>
      </x:c>
      <x:c r="AF41" s="13" t="n">
        <x:f>IF(COUNT(INDEX('SKU明细'!$CI$11:$CI$1309,MATCH("B06-GN-40.5",'SKU明细'!$A$11:$A$1309,0)))=1,SUM(INDEX('SKU明细'!$CI$11:$CI$1309,MATCH("B06-GN-40.5",'SKU明细'!$A$11:$A$1309,0))),"待核")</x:f>
        <x:v>0</x:v>
      </x:c>
    </x:row>
    <x:row r="42" ht="40" customHeight="1">
      <x:c r="A42" s="35" t="str">
        <x:v>B06</x:v>
      </x:c>
      <x:c r="B42" s="35" t="str">
        <x:v>艾年</x:v>
      </x:c>
      <x:c r="C42" s="35" t="str">
        <x:v>灰色羊京绒</x:v>
      </x:c>
      <x:c r="D42" s="35" t="str">
        <x:v>GY</x:v>
      </x:c>
      <x:c r="E42" s="35" t="str">
        <x:v>B06-GY</x:v>
      </x:c>
      <x:c r="F42" s="35"/>
      <x:c r="G42" s="36" t="str">
        <x:f>"—"</x:f>
        <x:v>—</x:v>
      </x:c>
      <x:c r="H42" s="36" t="str">
        <x:f>"—"</x:f>
        <x:v>—</x:v>
      </x:c>
      <x:c r="I42" s="36" t="str">
        <x:f>"—"</x:f>
        <x:v>—</x:v>
      </x:c>
      <x:c r="J42" s="36" t="str">
        <x:f>"—"</x:f>
        <x:v>—</x:v>
      </x:c>
      <x:c r="K42" s="36" t="str">
        <x:f>"—"</x:f>
        <x:v>—</x:v>
      </x:c>
      <x:c r="L42" s="36" t="str">
        <x:f>"—"</x:f>
        <x:v>—</x:v>
      </x:c>
      <x:c r="M42" s="36" t="str">
        <x:f>"—"</x:f>
        <x:v>—</x:v>
      </x:c>
      <x:c r="N42" s="36" t="n">
        <x:f>IF(COUNT(INDEX('SKU明细'!$D$11:$D$1309,MATCH("B06-GY-40",'SKU明细'!$A$11:$A$1309,0)))=0,"待核",IF(COUNT(INDEX('SKU明细'!$D$11:$D$1309,MATCH("B06-GY-40",'SKU明细'!$A$11:$A$1309,0)))&lt;1,SUM(INDEX('SKU明细'!$D$11:$D$1309,MATCH("B06-GY-40",'SKU明细'!$A$11:$A$1309,0)))&amp;" + 待核",SUM(INDEX('SKU明细'!$D$11:$D$1309,MATCH("B06-GY-40",'SKU明细'!$A$11:$A$1309,0)))))</x:f>
        <x:v>0</x:v>
      </x:c>
      <x:c r="O42" s="36" t="n">
        <x:f>IF(COUNT(INDEX('SKU明细'!$D$11:$D$1309,MATCH("B06-GY-40.5",'SKU明细'!$A$11:$A$1309,0)))=0,"待核",IF(COUNT(INDEX('SKU明细'!$D$11:$D$1309,MATCH("B06-GY-40.5",'SKU明细'!$A$11:$A$1309,0)))&lt;1,SUM(INDEX('SKU明细'!$D$11:$D$1309,MATCH("B06-GY-40.5",'SKU明细'!$A$11:$A$1309,0)))&amp;" + 待核",SUM(INDEX('SKU明细'!$D$11:$D$1309,MATCH("B06-GY-40.5",'SKU明细'!$A$11:$A$1309,0)))))</x:f>
        <x:v>0</x:v>
      </x:c>
      <x:c r="P42" s="36" t="n">
        <x:f>IF(COUNT(INDEX('SKU明细'!$D$11:$D$1309,MATCH("B06-GY-41",'SKU明细'!$A$11:$A$1309,0)))=0,"待核",IF(COUNT(INDEX('SKU明细'!$D$11:$D$1309,MATCH("B06-GY-41",'SKU明细'!$A$11:$A$1309,0)))&lt;1,SUM(INDEX('SKU明细'!$D$11:$D$1309,MATCH("B06-GY-41",'SKU明细'!$A$11:$A$1309,0)))&amp;" + 待核",SUM(INDEX('SKU明细'!$D$11:$D$1309,MATCH("B06-GY-41",'SKU明细'!$A$11:$A$1309,0)))))</x:f>
        <x:v>0</x:v>
      </x:c>
      <x:c r="Q42" s="36" t="str">
        <x:f>"—"</x:f>
        <x:v>—</x:v>
      </x:c>
      <x:c r="R42" s="36" t="str">
        <x:f>"—"</x:f>
        <x:v>—</x:v>
      </x:c>
      <x:c r="S42" s="36" t="n">
        <x:f>IF(COUNT(INDEX('SKU明细'!$D$11:$D$1309,MATCH("B06-GY-40",'SKU明细'!$A$11:$A$1309,0)),INDEX('SKU明细'!$D$11:$D$1309,MATCH("B06-GY-40.5",'SKU明细'!$A$11:$A$1309,0)),INDEX('SKU明细'!$D$11:$D$1309,MATCH("B06-GY-41",'SKU明细'!$A$11:$A$1309,0)))=0,"待核",SUM(INDEX('SKU明细'!$D$11:$D$1309,MATCH("B06-GY-40",'SKU明细'!$A$11:$A$1309,0)),INDEX('SKU明细'!$D$11:$D$1309,MATCH("B06-GY-40.5",'SKU明细'!$A$11:$A$1309,0)),INDEX('SKU明细'!$D$11:$D$1309,MATCH("B06-GY-41",'SKU明细'!$A$11:$A$1309,0))))</x:f>
        <x:v>0</x:v>
      </x:c>
      <x:c r="T42" s="36" t="n">
        <x:f>IF(COUNTIFS($A$9:$A$191,A42,$U$9:$U$191,"&lt;&gt;待核")=0,"待核",SUMIF($A$9:$A$191,A42,$S$9:$S$191))</x:f>
        <x:v>613</x:v>
      </x:c>
      <x:c r="U42" s="35" t="str">
        <x:f>IF(COUNT(INDEX('SKU明细'!$D$11:$D$1309,MATCH("B06-GY-40",'SKU明细'!$A$11:$A$1309,0)),INDEX('SKU明细'!$D$11:$D$1309,MATCH("B06-GY-40.5",'SKU明细'!$A$11:$A$1309,0)),INDEX('SKU明细'!$D$11:$D$1309,MATCH("B06-GY-41",'SKU明细'!$A$11:$A$1309,0)))=0,"待核",IF(COUNT(INDEX('SKU明细'!$D$11:$D$1309,MATCH("B06-GY-40",'SKU明细'!$A$11:$A$1309,0)),INDEX('SKU明细'!$D$11:$D$1309,MATCH("B06-GY-40.5",'SKU明细'!$A$11:$A$1309,0)),INDEX('SKU明细'!$D$11:$D$1309,MATCH("B06-GY-41",'SKU明细'!$A$11:$A$1309,0)))&lt;3,"另有待核","已核"))</x:f>
        <x:v>已核</x:v>
      </x:c>
      <x:c r="V42" s="35" t="str">
        <x:v>停售</x:v>
      </x:c>
      <x:c r="W42" s="11" t="n">
        <x:f>IF(COUNT(INDEX('SKU明细'!$BV$11:$BV$1309,MATCH("B06-GY-40",'SKU明细'!$A$11:$A$1309,0)),INDEX('SKU明细'!$BV$11:$BV$1309,MATCH("B06-GY-40.5",'SKU明细'!$A$11:$A$1309,0)),INDEX('SKU明细'!$BV$11:$BV$1309,MATCH("B06-GY-41",'SKU明细'!$A$11:$A$1309,0)))=3,SUM(INDEX('SKU明细'!$BV$11:$BV$1309,MATCH("B06-GY-40",'SKU明细'!$A$11:$A$1309,0)),INDEX('SKU明细'!$BV$11:$BV$1309,MATCH("B06-GY-40.5",'SKU明细'!$A$11:$A$1309,0)),INDEX('SKU明细'!$BV$11:$BV$1309,MATCH("B06-GY-41",'SKU明细'!$A$11:$A$1309,0))),"待核")</x:f>
        <x:v>0</x:v>
      </x:c>
      <x:c r="X42" s="11" t="n">
        <x:f>INDEX('SKU明细'!$BW$11:$BW$1309,MATCH("B06-GY-40",'SKU明细'!$A$11:$A$1309,0))</x:f>
        <x:v>1.2247029157699902</x:v>
      </x:c>
      <x:c r="Y42" s="13" t="n">
        <x:f>IF(COUNT(INDEX('SKU明细'!$BY$11:$BY$1309,MATCH("B06-GY-40",'SKU明细'!$A$11:$A$1309,0)),INDEX('SKU明细'!$BY$11:$BY$1309,MATCH("B06-GY-40.5",'SKU明细'!$A$11:$A$1309,0)),INDEX('SKU明细'!$BY$11:$BY$1309,MATCH("B06-GY-41",'SKU明细'!$A$11:$A$1309,0)))=3,SUM(INDEX('SKU明细'!$BY$11:$BY$1309,MATCH("B06-GY-40",'SKU明细'!$A$11:$A$1309,0)),INDEX('SKU明细'!$BY$11:$BY$1309,MATCH("B06-GY-40.5",'SKU明细'!$A$11:$A$1309,0)),INDEX('SKU明细'!$BY$11:$BY$1309,MATCH("B06-GY-41",'SKU明细'!$A$11:$A$1309,0))),"待核")</x:f>
        <x:v>0</x:v>
      </x:c>
      <x:c r="Z42" s="11" t="n">
        <x:f>INDEX('SKU明细'!$BZ$11:$BZ$1309,MATCH("B06-GY-40",'SKU明细'!$A$11:$A$1309,0))</x:f>
        <x:v>0.8332682139098497</x:v>
      </x:c>
      <x:c r="AA42" s="13" t="n">
        <x:f>IF(COUNT(INDEX('SKU明细'!$CB$11:$CB$1309,MATCH("B06-GY-40",'SKU明细'!$A$11:$A$1309,0)),INDEX('SKU明细'!$CB$11:$CB$1309,MATCH("B06-GY-40.5",'SKU明细'!$A$11:$A$1309,0)),INDEX('SKU明细'!$CB$11:$CB$1309,MATCH("B06-GY-41",'SKU明细'!$A$11:$A$1309,0)))=3,SUM(INDEX('SKU明细'!$CB$11:$CB$1309,MATCH("B06-GY-40",'SKU明细'!$A$11:$A$1309,0)),INDEX('SKU明细'!$CB$11:$CB$1309,MATCH("B06-GY-40.5",'SKU明细'!$A$11:$A$1309,0)),INDEX('SKU明细'!$CB$11:$CB$1309,MATCH("B06-GY-41",'SKU明细'!$A$11:$A$1309,0))),"待核")</x:f>
        <x:v>0</x:v>
      </x:c>
      <x:c r="AB42" s="11" t="n">
        <x:f>INDEX('SKU明细'!$CC$11:$CC$1309,MATCH("B06-GY-40",'SKU明细'!$A$11:$A$1309,0))</x:f>
        <x:v>0.5511018253564084</x:v>
      </x:c>
      <x:c r="AC42" s="13" t="n">
        <x:f>IF(COUNT(INDEX('SKU明细'!$CE$11:$CE$1309,MATCH("B06-GY-40",'SKU明细'!$A$11:$A$1309,0)),INDEX('SKU明细'!$CE$11:$CE$1309,MATCH("B06-GY-40.5",'SKU明细'!$A$11:$A$1309,0)),INDEX('SKU明细'!$CE$11:$CE$1309,MATCH("B06-GY-41",'SKU明细'!$A$11:$A$1309,0)))=3,SUM(INDEX('SKU明细'!$CE$11:$CE$1309,MATCH("B06-GY-40",'SKU明细'!$A$11:$A$1309,0)),INDEX('SKU明细'!$CE$11:$CE$1309,MATCH("B06-GY-40.5",'SKU明细'!$A$11:$A$1309,0)),INDEX('SKU明细'!$CE$11:$CE$1309,MATCH("B06-GY-41",'SKU明细'!$A$11:$A$1309,0))),"待核")</x:f>
        <x:v>0</x:v>
      </x:c>
      <x:c r="AD42" s="11" t="n">
        <x:f>INDEX('SKU明细'!$CF$11:$CF$1309,MATCH("B06-GY-40",'SKU明细'!$A$11:$A$1309,0))</x:f>
        <x:v>1.0017220238758797</x:v>
      </x:c>
      <x:c r="AE42" s="13" t="n">
        <x:f>IF(COUNT(INDEX('SKU明细'!$CH$11:$CH$1309,MATCH("B06-GY-40",'SKU明细'!$A$11:$A$1309,0)),INDEX('SKU明细'!$CH$11:$CH$1309,MATCH("B06-GY-40.5",'SKU明细'!$A$11:$A$1309,0)),INDEX('SKU明细'!$CH$11:$CH$1309,MATCH("B06-GY-41",'SKU明细'!$A$11:$A$1309,0)))=3,SUM(INDEX('SKU明细'!$CH$11:$CH$1309,MATCH("B06-GY-40",'SKU明细'!$A$11:$A$1309,0)),INDEX('SKU明细'!$CH$11:$CH$1309,MATCH("B06-GY-40.5",'SKU明细'!$A$11:$A$1309,0)),INDEX('SKU明细'!$CH$11:$CH$1309,MATCH("B06-GY-41",'SKU明细'!$A$11:$A$1309,0))),"待核")</x:f>
        <x:v>0</x:v>
      </x:c>
      <x:c r="AF42" s="13" t="n">
        <x:f>IF(COUNT(INDEX('SKU明细'!$CI$11:$CI$1309,MATCH("B06-GY-40",'SKU明细'!$A$11:$A$1309,0)),INDEX('SKU明细'!$CI$11:$CI$1309,MATCH("B06-GY-40.5",'SKU明细'!$A$11:$A$1309,0)),INDEX('SKU明细'!$CI$11:$CI$1309,MATCH("B06-GY-41",'SKU明细'!$A$11:$A$1309,0)))=3,SUM(INDEX('SKU明细'!$CI$11:$CI$1309,MATCH("B06-GY-40",'SKU明细'!$A$11:$A$1309,0)),INDEX('SKU明细'!$CI$11:$CI$1309,MATCH("B06-GY-40.5",'SKU明细'!$A$11:$A$1309,0)),INDEX('SKU明细'!$CI$11:$CI$1309,MATCH("B06-GY-41",'SKU明细'!$A$11:$A$1309,0))),"待核")</x:f>
        <x:v>0</x:v>
      </x:c>
    </x:row>
    <x:row r="43" ht="40" customHeight="1">
      <x:c r="A43" s="35" t="str">
        <x:v>B06</x:v>
      </x:c>
      <x:c r="B43" s="35" t="str">
        <x:v>艾年</x:v>
      </x:c>
      <x:c r="C43" s="35" t="str">
        <x:v>芭比粉羊京绒</x:v>
      </x:c>
      <x:c r="D43" s="35" t="str">
        <x:v>HP</x:v>
      </x:c>
      <x:c r="E43" s="35" t="str">
        <x:v>B06-HP</x:v>
      </x:c>
      <x:c r="F43" s="35"/>
      <x:c r="G43" s="36" t="str">
        <x:f>"—"</x:f>
        <x:v>—</x:v>
      </x:c>
      <x:c r="H43" s="36" t="str">
        <x:f>"—"</x:f>
        <x:v>—</x:v>
      </x:c>
      <x:c r="I43" s="36" t="str">
        <x:f>"—"</x:f>
        <x:v>—</x:v>
      </x:c>
      <x:c r="J43" s="36" t="n">
        <x:f>IF(COUNT(INDEX('SKU明细'!$D$11:$D$1309,MATCH("B06-HP-38",'SKU明细'!$A$11:$A$1309,0)))=0,"待核",IF(COUNT(INDEX('SKU明细'!$D$11:$D$1309,MATCH("B06-HP-38",'SKU明细'!$A$11:$A$1309,0)))&lt;1,SUM(INDEX('SKU明细'!$D$11:$D$1309,MATCH("B06-HP-38",'SKU明细'!$A$11:$A$1309,0)))&amp;" + 待核",SUM(INDEX('SKU明细'!$D$11:$D$1309,MATCH("B06-HP-38",'SKU明细'!$A$11:$A$1309,0)))))</x:f>
        <x:v>0</x:v>
      </x:c>
      <x:c r="K43" s="36" t="n">
        <x:f>IF(COUNT(INDEX('SKU明细'!$D$11:$D$1309,MATCH("B06-HP-38.5",'SKU明细'!$A$11:$A$1309,0)))=0,"待核",IF(COUNT(INDEX('SKU明细'!$D$11:$D$1309,MATCH("B06-HP-38.5",'SKU明细'!$A$11:$A$1309,0)))&lt;1,SUM(INDEX('SKU明细'!$D$11:$D$1309,MATCH("B06-HP-38.5",'SKU明细'!$A$11:$A$1309,0)))&amp;" + 待核",SUM(INDEX('SKU明细'!$D$11:$D$1309,MATCH("B06-HP-38.5",'SKU明细'!$A$11:$A$1309,0)))))</x:f>
        <x:v>0</x:v>
      </x:c>
      <x:c r="L43" s="36" t="str">
        <x:f>"—"</x:f>
        <x:v>—</x:v>
      </x:c>
      <x:c r="M43" s="36" t="n">
        <x:f>IF(COUNT(INDEX('SKU明细'!$D$11:$D$1309,MATCH("B06-HP-39.5",'SKU明细'!$A$11:$A$1309,0)))=0,"待核",IF(COUNT(INDEX('SKU明细'!$D$11:$D$1309,MATCH("B06-HP-39.5",'SKU明细'!$A$11:$A$1309,0)))&lt;1,SUM(INDEX('SKU明细'!$D$11:$D$1309,MATCH("B06-HP-39.5",'SKU明细'!$A$11:$A$1309,0)))&amp;" + 待核",SUM(INDEX('SKU明细'!$D$11:$D$1309,MATCH("B06-HP-39.5",'SKU明细'!$A$11:$A$1309,0)))))</x:f>
        <x:v>0</x:v>
      </x:c>
      <x:c r="N43" s="36" t="str">
        <x:f>"—"</x:f>
        <x:v>—</x:v>
      </x:c>
      <x:c r="O43" s="36" t="n">
        <x:f>IF(COUNT(INDEX('SKU明细'!$D$11:$D$1309,MATCH("B06-HP-40.5",'SKU明细'!$A$11:$A$1309,0)))=0,"待核",IF(COUNT(INDEX('SKU明细'!$D$11:$D$1309,MATCH("B06-HP-40.5",'SKU明细'!$A$11:$A$1309,0)))&lt;1,SUM(INDEX('SKU明细'!$D$11:$D$1309,MATCH("B06-HP-40.5",'SKU明细'!$A$11:$A$1309,0)))&amp;" + 待核",SUM(INDEX('SKU明细'!$D$11:$D$1309,MATCH("B06-HP-40.5",'SKU明细'!$A$11:$A$1309,0)))))</x:f>
        <x:v>0</x:v>
      </x:c>
      <x:c r="P43" s="36" t="str">
        <x:f>IF(COUNT(INDEX('SKU明细'!$D$11:$D$1309,MATCH("B06-HP-41",'SKU明细'!$A$11:$A$1309,0)))=0,"待核",IF(COUNT(INDEX('SKU明细'!$D$11:$D$1309,MATCH("B06-HP-41",'SKU明细'!$A$11:$A$1309,0)))&lt;1,SUM(INDEX('SKU明细'!$D$11:$D$1309,MATCH("B06-HP-41",'SKU明细'!$A$11:$A$1309,0)))&amp;" + 待核",SUM(INDEX('SKU明细'!$D$11:$D$1309,MATCH("B06-HP-41",'SKU明细'!$A$11:$A$1309,0)))))</x:f>
        <x:v>待核</x:v>
      </x:c>
      <x:c r="Q43" s="36" t="n">
        <x:f>IF(COUNT(INDEX('SKU明细'!$D$11:$D$1309,MATCH("B06-HP-41.5",'SKU明细'!$A$11:$A$1309,0)))=0,"待核",IF(COUNT(INDEX('SKU明细'!$D$11:$D$1309,MATCH("B06-HP-41.5",'SKU明细'!$A$11:$A$1309,0)))&lt;1,SUM(INDEX('SKU明细'!$D$11:$D$1309,MATCH("B06-HP-41.5",'SKU明细'!$A$11:$A$1309,0)))&amp;" + 待核",SUM(INDEX('SKU明细'!$D$11:$D$1309,MATCH("B06-HP-41.5",'SKU明细'!$A$11:$A$1309,0)))))</x:f>
        <x:v>0</x:v>
      </x:c>
      <x:c r="R43" s="36" t="str">
        <x:f>"—"</x:f>
        <x:v>—</x:v>
      </x:c>
      <x:c r="S43" s="36" t="n">
        <x:f>IF(COUNT(INDEX('SKU明细'!$D$11:$D$1309,MATCH("B06-HP-38",'SKU明细'!$A$11:$A$1309,0)),INDEX('SKU明细'!$D$11:$D$1309,MATCH("B06-HP-38.5",'SKU明细'!$A$11:$A$1309,0)),INDEX('SKU明细'!$D$11:$D$1309,MATCH("B06-HP-39.5",'SKU明细'!$A$11:$A$1309,0)),INDEX('SKU明细'!$D$11:$D$1309,MATCH("B06-HP-40.5",'SKU明细'!$A$11:$A$1309,0)),INDEX('SKU明细'!$D$11:$D$1309,MATCH("B06-HP-41",'SKU明细'!$A$11:$A$1309,0)),INDEX('SKU明细'!$D$11:$D$1309,MATCH("B06-HP-41.5",'SKU明细'!$A$11:$A$1309,0)))=0,"待核",SUM(INDEX('SKU明细'!$D$11:$D$1309,MATCH("B06-HP-38",'SKU明细'!$A$11:$A$1309,0)),INDEX('SKU明细'!$D$11:$D$1309,MATCH("B06-HP-38.5",'SKU明细'!$A$11:$A$1309,0)),INDEX('SKU明细'!$D$11:$D$1309,MATCH("B06-HP-39.5",'SKU明细'!$A$11:$A$1309,0)),INDEX('SKU明细'!$D$11:$D$1309,MATCH("B06-HP-40.5",'SKU明细'!$A$11:$A$1309,0)),INDEX('SKU明细'!$D$11:$D$1309,MATCH("B06-HP-41",'SKU明细'!$A$11:$A$1309,0)),INDEX('SKU明细'!$D$11:$D$1309,MATCH("B06-HP-41.5",'SKU明细'!$A$11:$A$1309,0))))</x:f>
        <x:v>0</x:v>
      </x:c>
      <x:c r="T43" s="36" t="n">
        <x:f>IF(COUNTIFS($A$9:$A$191,A43,$U$9:$U$191,"&lt;&gt;待核")=0,"待核",SUMIF($A$9:$A$191,A43,$S$9:$S$191))</x:f>
        <x:v>613</x:v>
      </x:c>
      <x:c r="U43" s="35" t="str">
        <x:f>IF(COUNT(INDEX('SKU明细'!$D$11:$D$1309,MATCH("B06-HP-38",'SKU明细'!$A$11:$A$1309,0)),INDEX('SKU明细'!$D$11:$D$1309,MATCH("B06-HP-38.5",'SKU明细'!$A$11:$A$1309,0)),INDEX('SKU明细'!$D$11:$D$1309,MATCH("B06-HP-39.5",'SKU明细'!$A$11:$A$1309,0)),INDEX('SKU明细'!$D$11:$D$1309,MATCH("B06-HP-40.5",'SKU明细'!$A$11:$A$1309,0)),INDEX('SKU明细'!$D$11:$D$1309,MATCH("B06-HP-41",'SKU明细'!$A$11:$A$1309,0)),INDEX('SKU明细'!$D$11:$D$1309,MATCH("B06-HP-41.5",'SKU明细'!$A$11:$A$1309,0)))=0,"待核",IF(COUNT(INDEX('SKU明细'!$D$11:$D$1309,MATCH("B06-HP-38",'SKU明细'!$A$11:$A$1309,0)),INDEX('SKU明细'!$D$11:$D$1309,MATCH("B06-HP-38.5",'SKU明细'!$A$11:$A$1309,0)),INDEX('SKU明细'!$D$11:$D$1309,MATCH("B06-HP-39.5",'SKU明细'!$A$11:$A$1309,0)),INDEX('SKU明细'!$D$11:$D$1309,MATCH("B06-HP-40.5",'SKU明细'!$A$11:$A$1309,0)),INDEX('SKU明细'!$D$11:$D$1309,MATCH("B06-HP-41",'SKU明细'!$A$11:$A$1309,0)),INDEX('SKU明细'!$D$11:$D$1309,MATCH("B06-HP-41.5",'SKU明细'!$A$11:$A$1309,0)))&lt;6,"另有待核","已核"))</x:f>
        <x:v>另有待核</x:v>
      </x:c>
      <x:c r="V43" s="35" t="str">
        <x:v>停售、在售</x:v>
      </x:c>
      <x:c r="W43" s="11" t="n">
        <x:f>IF(COUNT(INDEX('SKU明细'!$BV$11:$BV$1309,MATCH("B06-HP-38",'SKU明细'!$A$11:$A$1309,0)),INDEX('SKU明细'!$BV$11:$BV$1309,MATCH("B06-HP-38.5",'SKU明细'!$A$11:$A$1309,0)),INDEX('SKU明细'!$BV$11:$BV$1309,MATCH("B06-HP-39.5",'SKU明细'!$A$11:$A$1309,0)),INDEX('SKU明细'!$BV$11:$BV$1309,MATCH("B06-HP-40.5",'SKU明细'!$A$11:$A$1309,0)),INDEX('SKU明细'!$BV$11:$BV$1309,MATCH("B06-HP-41",'SKU明细'!$A$11:$A$1309,0)),INDEX('SKU明细'!$BV$11:$BV$1309,MATCH("B06-HP-41.5",'SKU明细'!$A$11:$A$1309,0)))=6,SUM(INDEX('SKU明细'!$BV$11:$BV$1309,MATCH("B06-HP-38",'SKU明细'!$A$11:$A$1309,0)),INDEX('SKU明细'!$BV$11:$BV$1309,MATCH("B06-HP-38.5",'SKU明细'!$A$11:$A$1309,0)),INDEX('SKU明细'!$BV$11:$BV$1309,MATCH("B06-HP-39.5",'SKU明细'!$A$11:$A$1309,0)),INDEX('SKU明细'!$BV$11:$BV$1309,MATCH("B06-HP-40.5",'SKU明细'!$A$11:$A$1309,0)),INDEX('SKU明细'!$BV$11:$BV$1309,MATCH("B06-HP-41",'SKU明细'!$A$11:$A$1309,0)),INDEX('SKU明细'!$BV$11:$BV$1309,MATCH("B06-HP-41.5",'SKU明细'!$A$11:$A$1309,0))),"待核")</x:f>
        <x:v>0.08779230578746408</x:v>
      </x:c>
      <x:c r="X43" s="11" t="n">
        <x:f>INDEX('SKU明细'!$BW$11:$BW$1309,MATCH("B06-HP-38",'SKU明细'!$A$11:$A$1309,0))</x:f>
        <x:v>1.2247029157699902</x:v>
      </x:c>
      <x:c r="Y43" s="13" t="n">
        <x:f>IF(COUNT(INDEX('SKU明细'!$BY$11:$BY$1309,MATCH("B06-HP-38",'SKU明细'!$A$11:$A$1309,0)),INDEX('SKU明细'!$BY$11:$BY$1309,MATCH("B06-HP-38.5",'SKU明细'!$A$11:$A$1309,0)),INDEX('SKU明细'!$BY$11:$BY$1309,MATCH("B06-HP-39.5",'SKU明细'!$A$11:$A$1309,0)),INDEX('SKU明细'!$BY$11:$BY$1309,MATCH("B06-HP-40.5",'SKU明细'!$A$11:$A$1309,0)),INDEX('SKU明细'!$BY$11:$BY$1309,MATCH("B06-HP-41",'SKU明细'!$A$11:$A$1309,0)),INDEX('SKU明细'!$BY$11:$BY$1309,MATCH("B06-HP-41.5",'SKU明细'!$A$11:$A$1309,0)))=6,SUM(INDEX('SKU明细'!$BY$11:$BY$1309,MATCH("B06-HP-38",'SKU明细'!$A$11:$A$1309,0)),INDEX('SKU明细'!$BY$11:$BY$1309,MATCH("B06-HP-38.5",'SKU明细'!$A$11:$A$1309,0)),INDEX('SKU明细'!$BY$11:$BY$1309,MATCH("B06-HP-39.5",'SKU明细'!$A$11:$A$1309,0)),INDEX('SKU明细'!$BY$11:$BY$1309,MATCH("B06-HP-40.5",'SKU明细'!$A$11:$A$1309,0)),INDEX('SKU明细'!$BY$11:$BY$1309,MATCH("B06-HP-41",'SKU明细'!$A$11:$A$1309,0)),INDEX('SKU明细'!$BY$11:$BY$1309,MATCH("B06-HP-41.5",'SKU明细'!$A$11:$A$1309,0))),"待核")</x:f>
        <x:v>1.2902339145609343</x:v>
      </x:c>
      <x:c r="Z43" s="11" t="n">
        <x:f>INDEX('SKU明细'!$BZ$11:$BZ$1309,MATCH("B06-HP-38",'SKU明细'!$A$11:$A$1309,0))</x:f>
        <x:v>0.8332682139098497</x:v>
      </x:c>
      <x:c r="AA43" s="13" t="n">
        <x:f>IF(COUNT(INDEX('SKU明细'!$CB$11:$CB$1309,MATCH("B06-HP-38",'SKU明细'!$A$11:$A$1309,0)),INDEX('SKU明细'!$CB$11:$CB$1309,MATCH("B06-HP-38.5",'SKU明细'!$A$11:$A$1309,0)),INDEX('SKU明细'!$CB$11:$CB$1309,MATCH("B06-HP-39.5",'SKU明细'!$A$11:$A$1309,0)),INDEX('SKU明细'!$CB$11:$CB$1309,MATCH("B06-HP-40.5",'SKU明细'!$A$11:$A$1309,0)),INDEX('SKU明细'!$CB$11:$CB$1309,MATCH("B06-HP-41",'SKU明细'!$A$11:$A$1309,0)),INDEX('SKU明细'!$CB$11:$CB$1309,MATCH("B06-HP-41.5",'SKU明细'!$A$11:$A$1309,0)))=6,SUM(INDEX('SKU明细'!$CB$11:$CB$1309,MATCH("B06-HP-38",'SKU明细'!$A$11:$A$1309,0)),INDEX('SKU明细'!$CB$11:$CB$1309,MATCH("B06-HP-38.5",'SKU明细'!$A$11:$A$1309,0)),INDEX('SKU明细'!$CB$11:$CB$1309,MATCH("B06-HP-39.5",'SKU明细'!$A$11:$A$1309,0)),INDEX('SKU明细'!$CB$11:$CB$1309,MATCH("B06-HP-40.5",'SKU明细'!$A$11:$A$1309,0)),INDEX('SKU明细'!$CB$11:$CB$1309,MATCH("B06-HP-41",'SKU明细'!$A$11:$A$1309,0)),INDEX('SKU明细'!$CB$11:$CB$1309,MATCH("B06-HP-41.5",'SKU明细'!$A$11:$A$1309,0))),"待核")</x:f>
        <x:v>2.1946361351564265</x:v>
      </x:c>
      <x:c r="AB43" s="11" t="n">
        <x:f>INDEX('SKU明细'!$CC$11:$CC$1309,MATCH("B06-HP-38",'SKU明细'!$A$11:$A$1309,0))</x:f>
        <x:v>0.5511018253564084</x:v>
      </x:c>
      <x:c r="AC43" s="13" t="n">
        <x:f>IF(COUNT(INDEX('SKU明细'!$CE$11:$CE$1309,MATCH("B06-HP-38",'SKU明细'!$A$11:$A$1309,0)),INDEX('SKU明细'!$CE$11:$CE$1309,MATCH("B06-HP-38.5",'SKU明细'!$A$11:$A$1309,0)),INDEX('SKU明细'!$CE$11:$CE$1309,MATCH("B06-HP-39.5",'SKU明细'!$A$11:$A$1309,0)),INDEX('SKU明细'!$CE$11:$CE$1309,MATCH("B06-HP-40.5",'SKU明细'!$A$11:$A$1309,0)),INDEX('SKU明细'!$CE$11:$CE$1309,MATCH("B06-HP-41",'SKU明细'!$A$11:$A$1309,0)),INDEX('SKU明细'!$CE$11:$CE$1309,MATCH("B06-HP-41.5",'SKU明细'!$A$11:$A$1309,0)))=6,SUM(INDEX('SKU明细'!$CE$11:$CE$1309,MATCH("B06-HP-38",'SKU明细'!$A$11:$A$1309,0)),INDEX('SKU明细'!$CE$11:$CE$1309,MATCH("B06-HP-38.5",'SKU明细'!$A$11:$A$1309,0)),INDEX('SKU明细'!$CE$11:$CE$1309,MATCH("B06-HP-39.5",'SKU明细'!$A$11:$A$1309,0)),INDEX('SKU明细'!$CE$11:$CE$1309,MATCH("B06-HP-40.5",'SKU明细'!$A$11:$A$1309,0)),INDEX('SKU明细'!$CE$11:$CE$1309,MATCH("B06-HP-41",'SKU明细'!$A$11:$A$1309,0)),INDEX('SKU明细'!$CE$11:$CE$1309,MATCH("B06-HP-41.5",'SKU明细'!$A$11:$A$1309,0))),"待核")</x:f>
        <x:v>1.4998574991233022</x:v>
      </x:c>
      <x:c r="AD43" s="11" t="n">
        <x:f>INDEX('SKU明细'!$CF$11:$CF$1309,MATCH("B06-HP-38",'SKU明细'!$A$11:$A$1309,0))</x:f>
        <x:v>1.0017220238758797</x:v>
      </x:c>
      <x:c r="AE43" s="13" t="n">
        <x:f>IF(COUNT(INDEX('SKU明细'!$CH$11:$CH$1309,MATCH("B06-HP-38",'SKU明细'!$A$11:$A$1309,0)),INDEX('SKU明细'!$CH$11:$CH$1309,MATCH("B06-HP-38.5",'SKU明细'!$A$11:$A$1309,0)),INDEX('SKU明细'!$CH$11:$CH$1309,MATCH("B06-HP-39.5",'SKU明细'!$A$11:$A$1309,0)),INDEX('SKU明细'!$CH$11:$CH$1309,MATCH("B06-HP-40.5",'SKU明细'!$A$11:$A$1309,0)),INDEX('SKU明细'!$CH$11:$CH$1309,MATCH("B06-HP-41",'SKU明细'!$A$11:$A$1309,0)),INDEX('SKU明细'!$CH$11:$CH$1309,MATCH("B06-HP-41.5",'SKU明细'!$A$11:$A$1309,0)))=6,SUM(INDEX('SKU明细'!$CH$11:$CH$1309,MATCH("B06-HP-38",'SKU明细'!$A$11:$A$1309,0)),INDEX('SKU明细'!$CH$11:$CH$1309,MATCH("B06-HP-38.5",'SKU明细'!$A$11:$A$1309,0)),INDEX('SKU明细'!$CH$11:$CH$1309,MATCH("B06-HP-39.5",'SKU明细'!$A$11:$A$1309,0)),INDEX('SKU明细'!$CH$11:$CH$1309,MATCH("B06-HP-40.5",'SKU明细'!$A$11:$A$1309,0)),INDEX('SKU明细'!$CH$11:$CH$1309,MATCH("B06-HP-41",'SKU明细'!$A$11:$A$1309,0)),INDEX('SKU明细'!$CH$11:$CH$1309,MATCH("B06-HP-41.5",'SKU明细'!$A$11:$A$1309,0))),"待核")</x:f>
        <x:v>1.4950392659805265</x:v>
      </x:c>
      <x:c r="AF43" s="13" t="n">
        <x:f>IF(COUNT(INDEX('SKU明细'!$CI$11:$CI$1309,MATCH("B06-HP-38",'SKU明细'!$A$11:$A$1309,0)),INDEX('SKU明细'!$CI$11:$CI$1309,MATCH("B06-HP-38.5",'SKU明细'!$A$11:$A$1309,0)),INDEX('SKU明细'!$CI$11:$CI$1309,MATCH("B06-HP-39.5",'SKU明细'!$A$11:$A$1309,0)),INDEX('SKU明细'!$CI$11:$CI$1309,MATCH("B06-HP-40.5",'SKU明细'!$A$11:$A$1309,0)),INDEX('SKU明细'!$CI$11:$CI$1309,MATCH("B06-HP-41",'SKU明细'!$A$11:$A$1309,0)),INDEX('SKU明细'!$CI$11:$CI$1309,MATCH("B06-HP-41.5",'SKU明细'!$A$11:$A$1309,0)))=6,SUM(INDEX('SKU明细'!$CI$11:$CI$1309,MATCH("B06-HP-38",'SKU明细'!$A$11:$A$1309,0)),INDEX('SKU明细'!$CI$11:$CI$1309,MATCH("B06-HP-38.5",'SKU明细'!$A$11:$A$1309,0)),INDEX('SKU明细'!$CI$11:$CI$1309,MATCH("B06-HP-39.5",'SKU明细'!$A$11:$A$1309,0)),INDEX('SKU明细'!$CI$11:$CI$1309,MATCH("B06-HP-40.5",'SKU明细'!$A$11:$A$1309,0)),INDEX('SKU明细'!$CI$11:$CI$1309,MATCH("B06-HP-41",'SKU明细'!$A$11:$A$1309,0)),INDEX('SKU明细'!$CI$11:$CI$1309,MATCH("B06-HP-41.5",'SKU明细'!$A$11:$A$1309,0))),"待核")</x:f>
        <x:v>6.47976681482119</x:v>
      </x:c>
    </x:row>
    <x:row r="44" ht="40" customHeight="1">
      <x:c r="A44" s="35" t="str">
        <x:v>B06</x:v>
      </x:c>
      <x:c r="B44" s="35" t="str">
        <x:v>艾年</x:v>
      </x:c>
      <x:c r="C44" s="35" t="str">
        <x:v>米白色PU</x:v>
      </x:c>
      <x:c r="D44" s="35" t="str">
        <x:v>IV-P</x:v>
      </x:c>
      <x:c r="E44" s="35" t="str">
        <x:v>B06-IV-P-0</x:v>
      </x:c>
      <x:c r="F44" s="35"/>
      <x:c r="G44" s="36" t="str">
        <x:f>"—"</x:f>
        <x:v>—</x:v>
      </x:c>
      <x:c r="H44" s="36" t="n">
        <x:f>IF(COUNT(INDEX('SKU明细'!$D$11:$D$1309,MATCH("B06-IV-P-0-37",'SKU明细'!$A$11:$A$1309,0)))=0,"待核",IF(COUNT(INDEX('SKU明细'!$D$11:$D$1309,MATCH("B06-IV-P-0-37",'SKU明细'!$A$11:$A$1309,0)))&lt;1,SUM(INDEX('SKU明细'!$D$11:$D$1309,MATCH("B06-IV-P-0-37",'SKU明细'!$A$11:$A$1309,0)))&amp;" + 待核",SUM(INDEX('SKU明细'!$D$11:$D$1309,MATCH("B06-IV-P-0-37",'SKU明细'!$A$11:$A$1309,0)))))</x:f>
        <x:v>0</x:v>
      </x:c>
      <x:c r="I44" s="36" t="n">
        <x:f>IF(COUNT(INDEX('SKU明细'!$D$11:$D$1309,MATCH("B06-IV-P-0-37.5",'SKU明细'!$A$11:$A$1309,0)))=0,"待核",IF(COUNT(INDEX('SKU明细'!$D$11:$D$1309,MATCH("B06-IV-P-0-37.5",'SKU明细'!$A$11:$A$1309,0)))&lt;1,SUM(INDEX('SKU明细'!$D$11:$D$1309,MATCH("B06-IV-P-0-37.5",'SKU明细'!$A$11:$A$1309,0)))&amp;" + 待核",SUM(INDEX('SKU明细'!$D$11:$D$1309,MATCH("B06-IV-P-0-37.5",'SKU明细'!$A$11:$A$1309,0)))))</x:f>
        <x:v>0</x:v>
      </x:c>
      <x:c r="J44" s="36" t="n">
        <x:f>IF(COUNT(INDEX('SKU明细'!$D$11:$D$1309,MATCH("B06-IV-P-0-38",'SKU明细'!$A$11:$A$1309,0)))=0,"待核",IF(COUNT(INDEX('SKU明细'!$D$11:$D$1309,MATCH("B06-IV-P-0-38",'SKU明细'!$A$11:$A$1309,0)))&lt;1,SUM(INDEX('SKU明细'!$D$11:$D$1309,MATCH("B06-IV-P-0-38",'SKU明细'!$A$11:$A$1309,0)))&amp;" + 待核",SUM(INDEX('SKU明细'!$D$11:$D$1309,MATCH("B06-IV-P-0-38",'SKU明细'!$A$11:$A$1309,0)))))</x:f>
        <x:v>0</x:v>
      </x:c>
      <x:c r="K44" s="36" t="str">
        <x:f>"—"</x:f>
        <x:v>—</x:v>
      </x:c>
      <x:c r="L44" s="36" t="n">
        <x:f>IF(COUNT(INDEX('SKU明细'!$D$11:$D$1309,MATCH("B06-IV-P-0-39.5",'SKU明细'!$A$11:$A$1309,0)))=0,"待核",IF(COUNT(INDEX('SKU明细'!$D$11:$D$1309,MATCH("B06-IV-P-0-39.5",'SKU明细'!$A$11:$A$1309,0)))&lt;1,SUM(INDEX('SKU明细'!$D$11:$D$1309,MATCH("B06-IV-P-0-39.5",'SKU明细'!$A$11:$A$1309,0)))&amp;" + 待核",SUM(INDEX('SKU明细'!$D$11:$D$1309,MATCH("B06-IV-P-0-39.5",'SKU明细'!$A$11:$A$1309,0)))))</x:f>
        <x:v>0</x:v>
      </x:c>
      <x:c r="M44" s="36" t="n">
        <x:f>IF(COUNT(INDEX('SKU明细'!$D$11:$D$1309,MATCH("B06-IV-P-0-39",'SKU明细'!$A$11:$A$1309,0)))=0,"待核",IF(COUNT(INDEX('SKU明细'!$D$11:$D$1309,MATCH("B06-IV-P-0-39",'SKU明细'!$A$11:$A$1309,0)))&lt;1,SUM(INDEX('SKU明细'!$D$11:$D$1309,MATCH("B06-IV-P-0-39",'SKU明细'!$A$11:$A$1309,0)))&amp;" + 待核",SUM(INDEX('SKU明细'!$D$11:$D$1309,MATCH("B06-IV-P-0-39",'SKU明细'!$A$11:$A$1309,0)))))</x:f>
        <x:v>1</x:v>
      </x:c>
      <x:c r="N44" s="36" t="str">
        <x:f>"—"</x:f>
        <x:v>—</x:v>
      </x:c>
      <x:c r="O44" s="36" t="n">
        <x:f>IF(COUNT(INDEX('SKU明细'!$D$11:$D$1309,MATCH("B06-IV-P-0-40.5",'SKU明细'!$A$11:$A$1309,0)))=0,"待核",IF(COUNT(INDEX('SKU明细'!$D$11:$D$1309,MATCH("B06-IV-P-0-40.5",'SKU明细'!$A$11:$A$1309,0)))&lt;1,SUM(INDEX('SKU明细'!$D$11:$D$1309,MATCH("B06-IV-P-0-40.5",'SKU明细'!$A$11:$A$1309,0)))&amp;" + 待核",SUM(INDEX('SKU明细'!$D$11:$D$1309,MATCH("B06-IV-P-0-40.5",'SKU明细'!$A$11:$A$1309,0)))))</x:f>
        <x:v>0</x:v>
      </x:c>
      <x:c r="P44" s="36" t="str">
        <x:f>"—"</x:f>
        <x:v>—</x:v>
      </x:c>
      <x:c r="Q44" s="36" t="n">
        <x:f>IF(COUNT(INDEX('SKU明细'!$D$11:$D$1309,MATCH("B06-IV-P-0-41",'SKU明细'!$A$11:$A$1309,0)))=0,"待核",IF(COUNT(INDEX('SKU明细'!$D$11:$D$1309,MATCH("B06-IV-P-0-41",'SKU明细'!$A$11:$A$1309,0)))&lt;1,SUM(INDEX('SKU明细'!$D$11:$D$1309,MATCH("B06-IV-P-0-41",'SKU明细'!$A$11:$A$1309,0)))&amp;" + 待核",SUM(INDEX('SKU明细'!$D$11:$D$1309,MATCH("B06-IV-P-0-41",'SKU明细'!$A$11:$A$1309,0)))))</x:f>
        <x:v>0</x:v>
      </x:c>
      <x:c r="R44" s="36" t="n">
        <x:f>IF(COUNT(INDEX('SKU明细'!$D$11:$D$1309,MATCH("B06-IV-P-0-42",'SKU明细'!$A$11:$A$1309,0)))=0,"待核",IF(COUNT(INDEX('SKU明细'!$D$11:$D$1309,MATCH("B06-IV-P-0-42",'SKU明细'!$A$11:$A$1309,0)))&lt;1,SUM(INDEX('SKU明细'!$D$11:$D$1309,MATCH("B06-IV-P-0-42",'SKU明细'!$A$11:$A$1309,0)))&amp;" + 待核",SUM(INDEX('SKU明细'!$D$11:$D$1309,MATCH("B06-IV-P-0-42",'SKU明细'!$A$11:$A$1309,0)))))</x:f>
        <x:v>0</x:v>
      </x:c>
      <x:c r="S44" s="36" t="n">
        <x:f>IF(COUNT(INDEX('SKU明细'!$D$11:$D$1309,MATCH("B06-IV-P-0-37",'SKU明细'!$A$11:$A$1309,0)),INDEX('SKU明细'!$D$11:$D$1309,MATCH("B06-IV-P-0-37.5",'SKU明细'!$A$11:$A$1309,0)),INDEX('SKU明细'!$D$11:$D$1309,MATCH("B06-IV-P-0-38",'SKU明细'!$A$11:$A$1309,0)),INDEX('SKU明细'!$D$11:$D$1309,MATCH("B06-IV-P-0-39.5",'SKU明细'!$A$11:$A$1309,0)),INDEX('SKU明细'!$D$11:$D$1309,MATCH("B06-IV-P-0-39",'SKU明细'!$A$11:$A$1309,0)),INDEX('SKU明细'!$D$11:$D$1309,MATCH("B06-IV-P-0-40.5",'SKU明细'!$A$11:$A$1309,0)),INDEX('SKU明细'!$D$11:$D$1309,MATCH("B06-IV-P-0-41",'SKU明细'!$A$11:$A$1309,0)),INDEX('SKU明细'!$D$11:$D$1309,MATCH("B06-IV-P-0-42",'SKU明细'!$A$11:$A$1309,0)))=0,"待核",SUM(INDEX('SKU明细'!$D$11:$D$1309,MATCH("B06-IV-P-0-37",'SKU明细'!$A$11:$A$1309,0)),INDEX('SKU明细'!$D$11:$D$1309,MATCH("B06-IV-P-0-37.5",'SKU明细'!$A$11:$A$1309,0)),INDEX('SKU明细'!$D$11:$D$1309,MATCH("B06-IV-P-0-38",'SKU明细'!$A$11:$A$1309,0)),INDEX('SKU明细'!$D$11:$D$1309,MATCH("B06-IV-P-0-39.5",'SKU明细'!$A$11:$A$1309,0)),INDEX('SKU明细'!$D$11:$D$1309,MATCH("B06-IV-P-0-39",'SKU明细'!$A$11:$A$1309,0)),INDEX('SKU明细'!$D$11:$D$1309,MATCH("B06-IV-P-0-40.5",'SKU明细'!$A$11:$A$1309,0)),INDEX('SKU明细'!$D$11:$D$1309,MATCH("B06-IV-P-0-41",'SKU明细'!$A$11:$A$1309,0)),INDEX('SKU明细'!$D$11:$D$1309,MATCH("B06-IV-P-0-42",'SKU明细'!$A$11:$A$1309,0))))</x:f>
        <x:v>1</x:v>
      </x:c>
      <x:c r="T44" s="36" t="n">
        <x:f>IF(COUNTIFS($A$9:$A$191,A44,$U$9:$U$191,"&lt;&gt;待核")=0,"待核",SUMIF($A$9:$A$191,A44,$S$9:$S$191))</x:f>
        <x:v>613</x:v>
      </x:c>
      <x:c r="U44" s="35" t="str">
        <x:f>IF(COUNT(INDEX('SKU明细'!$D$11:$D$1309,MATCH("B06-IV-P-0-37",'SKU明细'!$A$11:$A$1309,0)),INDEX('SKU明细'!$D$11:$D$1309,MATCH("B06-IV-P-0-37.5",'SKU明细'!$A$11:$A$1309,0)),INDEX('SKU明细'!$D$11:$D$1309,MATCH("B06-IV-P-0-38",'SKU明细'!$A$11:$A$1309,0)),INDEX('SKU明细'!$D$11:$D$1309,MATCH("B06-IV-P-0-39.5",'SKU明细'!$A$11:$A$1309,0)),INDEX('SKU明细'!$D$11:$D$1309,MATCH("B06-IV-P-0-39",'SKU明细'!$A$11:$A$1309,0)),INDEX('SKU明细'!$D$11:$D$1309,MATCH("B06-IV-P-0-40.5",'SKU明细'!$A$11:$A$1309,0)),INDEX('SKU明细'!$D$11:$D$1309,MATCH("B06-IV-P-0-41",'SKU明细'!$A$11:$A$1309,0)),INDEX('SKU明细'!$D$11:$D$1309,MATCH("B06-IV-P-0-42",'SKU明细'!$A$11:$A$1309,0)))=0,"待核",IF(COUNT(INDEX('SKU明细'!$D$11:$D$1309,MATCH("B06-IV-P-0-37",'SKU明细'!$A$11:$A$1309,0)),INDEX('SKU明细'!$D$11:$D$1309,MATCH("B06-IV-P-0-37.5",'SKU明细'!$A$11:$A$1309,0)),INDEX('SKU明细'!$D$11:$D$1309,MATCH("B06-IV-P-0-38",'SKU明细'!$A$11:$A$1309,0)),INDEX('SKU明细'!$D$11:$D$1309,MATCH("B06-IV-P-0-39.5",'SKU明细'!$A$11:$A$1309,0)),INDEX('SKU明细'!$D$11:$D$1309,MATCH("B06-IV-P-0-39",'SKU明细'!$A$11:$A$1309,0)),INDEX('SKU明细'!$D$11:$D$1309,MATCH("B06-IV-P-0-40.5",'SKU明细'!$A$11:$A$1309,0)),INDEX('SKU明细'!$D$11:$D$1309,MATCH("B06-IV-P-0-41",'SKU明细'!$A$11:$A$1309,0)),INDEX('SKU明细'!$D$11:$D$1309,MATCH("B06-IV-P-0-42",'SKU明细'!$A$11:$A$1309,0)))&lt;8,"另有待核","已核"))</x:f>
        <x:v>已核</x:v>
      </x:c>
      <x:c r="V44" s="35" t="str">
        <x:v>在售、停售</x:v>
      </x:c>
      <x:c r="W44" s="11" t="n">
        <x:f>IF(COUNT(INDEX('SKU明细'!$BV$11:$BV$1309,MATCH("B06-IV-P-0-37",'SKU明细'!$A$11:$A$1309,0)),INDEX('SKU明细'!$BV$11:$BV$1309,MATCH("B06-IV-P-0-37.5",'SKU明细'!$A$11:$A$1309,0)),INDEX('SKU明细'!$BV$11:$BV$1309,MATCH("B06-IV-P-0-38",'SKU明细'!$A$11:$A$1309,0)),INDEX('SKU明细'!$BV$11:$BV$1309,MATCH("B06-IV-P-0-39.5",'SKU明细'!$A$11:$A$1309,0)),INDEX('SKU明细'!$BV$11:$BV$1309,MATCH("B06-IV-P-0-39",'SKU明细'!$A$11:$A$1309,0)),INDEX('SKU明细'!$BV$11:$BV$1309,MATCH("B06-IV-P-0-40.5",'SKU明细'!$A$11:$A$1309,0)),INDEX('SKU明细'!$BV$11:$BV$1309,MATCH("B06-IV-P-0-41",'SKU明细'!$A$11:$A$1309,0)),INDEX('SKU明细'!$BV$11:$BV$1309,MATCH("B06-IV-P-0-42",'SKU明细'!$A$11:$A$1309,0)))=8,SUM(INDEX('SKU明细'!$BV$11:$BV$1309,MATCH("B06-IV-P-0-37",'SKU明细'!$A$11:$A$1309,0)),INDEX('SKU明细'!$BV$11:$BV$1309,MATCH("B06-IV-P-0-37.5",'SKU明细'!$A$11:$A$1309,0)),INDEX('SKU明细'!$BV$11:$BV$1309,MATCH("B06-IV-P-0-38",'SKU明细'!$A$11:$A$1309,0)),INDEX('SKU明细'!$BV$11:$BV$1309,MATCH("B06-IV-P-0-39.5",'SKU明细'!$A$11:$A$1309,0)),INDEX('SKU明细'!$BV$11:$BV$1309,MATCH("B06-IV-P-0-39",'SKU明细'!$A$11:$A$1309,0)),INDEX('SKU明细'!$BV$11:$BV$1309,MATCH("B06-IV-P-0-40.5",'SKU明细'!$A$11:$A$1309,0)),INDEX('SKU明细'!$BV$11:$BV$1309,MATCH("B06-IV-P-0-41",'SKU明细'!$A$11:$A$1309,0)),INDEX('SKU明细'!$BV$11:$BV$1309,MATCH("B06-IV-P-0-42",'SKU明细'!$A$11:$A$1309,0))),"待核")</x:f>
        <x:v>0.029469123480297656</x:v>
      </x:c>
      <x:c r="X44" s="11" t="n">
        <x:f>INDEX('SKU明细'!$BW$11:$BW$1309,MATCH("B06-IV-P-0-37",'SKU明细'!$A$11:$A$1309,0))</x:f>
        <x:v>1.2247029157699902</x:v>
      </x:c>
      <x:c r="Y44" s="13" t="n">
        <x:f>IF(COUNT(INDEX('SKU明细'!$BY$11:$BY$1309,MATCH("B06-IV-P-0-37",'SKU明细'!$A$11:$A$1309,0)),INDEX('SKU明细'!$BY$11:$BY$1309,MATCH("B06-IV-P-0-37.5",'SKU明细'!$A$11:$A$1309,0)),INDEX('SKU明细'!$BY$11:$BY$1309,MATCH("B06-IV-P-0-38",'SKU明细'!$A$11:$A$1309,0)),INDEX('SKU明细'!$BY$11:$BY$1309,MATCH("B06-IV-P-0-39.5",'SKU明细'!$A$11:$A$1309,0)),INDEX('SKU明细'!$BY$11:$BY$1309,MATCH("B06-IV-P-0-39",'SKU明细'!$A$11:$A$1309,0)),INDEX('SKU明细'!$BY$11:$BY$1309,MATCH("B06-IV-P-0-40.5",'SKU明细'!$A$11:$A$1309,0)),INDEX('SKU明细'!$BY$11:$BY$1309,MATCH("B06-IV-P-0-41",'SKU明细'!$A$11:$A$1309,0)),INDEX('SKU明细'!$BY$11:$BY$1309,MATCH("B06-IV-P-0-42",'SKU明细'!$A$11:$A$1309,0)))=8,SUM(INDEX('SKU明细'!$BY$11:$BY$1309,MATCH("B06-IV-P-0-37",'SKU明细'!$A$11:$A$1309,0)),INDEX('SKU明细'!$BY$11:$BY$1309,MATCH("B06-IV-P-0-37.5",'SKU明细'!$A$11:$A$1309,0)),INDEX('SKU明细'!$BY$11:$BY$1309,MATCH("B06-IV-P-0-38",'SKU明细'!$A$11:$A$1309,0)),INDEX('SKU明细'!$BY$11:$BY$1309,MATCH("B06-IV-P-0-39.5",'SKU明细'!$A$11:$A$1309,0)),INDEX('SKU明细'!$BY$11:$BY$1309,MATCH("B06-IV-P-0-39",'SKU明细'!$A$11:$A$1309,0)),INDEX('SKU明细'!$BY$11:$BY$1309,MATCH("B06-IV-P-0-40.5",'SKU明细'!$A$11:$A$1309,0)),INDEX('SKU明细'!$BY$11:$BY$1309,MATCH("B06-IV-P-0-41",'SKU明细'!$A$11:$A$1309,0)),INDEX('SKU明细'!$BY$11:$BY$1309,MATCH("B06-IV-P-0-42",'SKU明细'!$A$11:$A$1309,0))),"待核")</x:f>
        <x:v>0.433091057418077</x:v>
      </x:c>
      <x:c r="Z44" s="11" t="n">
        <x:f>INDEX('SKU明细'!$BZ$11:$BZ$1309,MATCH("B06-IV-P-0-37",'SKU明细'!$A$11:$A$1309,0))</x:f>
        <x:v>0.8332682139098497</x:v>
      </x:c>
      <x:c r="AA44" s="13" t="n">
        <x:f>IF(COUNT(INDEX('SKU明细'!$CB$11:$CB$1309,MATCH("B06-IV-P-0-37",'SKU明细'!$A$11:$A$1309,0)),INDEX('SKU明细'!$CB$11:$CB$1309,MATCH("B06-IV-P-0-37.5",'SKU明细'!$A$11:$A$1309,0)),INDEX('SKU明细'!$CB$11:$CB$1309,MATCH("B06-IV-P-0-38",'SKU明细'!$A$11:$A$1309,0)),INDEX('SKU明细'!$CB$11:$CB$1309,MATCH("B06-IV-P-0-39.5",'SKU明细'!$A$11:$A$1309,0)),INDEX('SKU明细'!$CB$11:$CB$1309,MATCH("B06-IV-P-0-39",'SKU明细'!$A$11:$A$1309,0)),INDEX('SKU明细'!$CB$11:$CB$1309,MATCH("B06-IV-P-0-40.5",'SKU明细'!$A$11:$A$1309,0)),INDEX('SKU明细'!$CB$11:$CB$1309,MATCH("B06-IV-P-0-41",'SKU明细'!$A$11:$A$1309,0)),INDEX('SKU明细'!$CB$11:$CB$1309,MATCH("B06-IV-P-0-42",'SKU明细'!$A$11:$A$1309,0)))=8,SUM(INDEX('SKU明细'!$CB$11:$CB$1309,MATCH("B06-IV-P-0-37",'SKU明细'!$A$11:$A$1309,0)),INDEX('SKU明细'!$CB$11:$CB$1309,MATCH("B06-IV-P-0-37.5",'SKU明细'!$A$11:$A$1309,0)),INDEX('SKU明细'!$CB$11:$CB$1309,MATCH("B06-IV-P-0-38",'SKU明细'!$A$11:$A$1309,0)),INDEX('SKU明细'!$CB$11:$CB$1309,MATCH("B06-IV-P-0-39.5",'SKU明细'!$A$11:$A$1309,0)),INDEX('SKU明细'!$CB$11:$CB$1309,MATCH("B06-IV-P-0-39",'SKU明细'!$A$11:$A$1309,0)),INDEX('SKU明细'!$CB$11:$CB$1309,MATCH("B06-IV-P-0-40.5",'SKU明细'!$A$11:$A$1309,0)),INDEX('SKU明细'!$CB$11:$CB$1309,MATCH("B06-IV-P-0-41",'SKU明细'!$A$11:$A$1309,0)),INDEX('SKU明细'!$CB$11:$CB$1309,MATCH("B06-IV-P-0-42",'SKU明细'!$A$11:$A$1309,0))),"待核")</x:f>
        <x:v>0.7366705166374933</x:v>
      </x:c>
      <x:c r="AB44" s="11" t="n">
        <x:f>INDEX('SKU明细'!$CC$11:$CC$1309,MATCH("B06-IV-P-0-37",'SKU明细'!$A$11:$A$1309,0))</x:f>
        <x:v>0.5511018253564084</x:v>
      </x:c>
      <x:c r="AC44" s="13" t="n">
        <x:f>IF(COUNT(INDEX('SKU明细'!$CE$11:$CE$1309,MATCH("B06-IV-P-0-37",'SKU明细'!$A$11:$A$1309,0)),INDEX('SKU明细'!$CE$11:$CE$1309,MATCH("B06-IV-P-0-37.5",'SKU明细'!$A$11:$A$1309,0)),INDEX('SKU明细'!$CE$11:$CE$1309,MATCH("B06-IV-P-0-38",'SKU明细'!$A$11:$A$1309,0)),INDEX('SKU明细'!$CE$11:$CE$1309,MATCH("B06-IV-P-0-39.5",'SKU明细'!$A$11:$A$1309,0)),INDEX('SKU明细'!$CE$11:$CE$1309,MATCH("B06-IV-P-0-39",'SKU明细'!$A$11:$A$1309,0)),INDEX('SKU明细'!$CE$11:$CE$1309,MATCH("B06-IV-P-0-40.5",'SKU明细'!$A$11:$A$1309,0)),INDEX('SKU明细'!$CE$11:$CE$1309,MATCH("B06-IV-P-0-41",'SKU明细'!$A$11:$A$1309,0)),INDEX('SKU明细'!$CE$11:$CE$1309,MATCH("B06-IV-P-0-42",'SKU明细'!$A$11:$A$1309,0)))=8,SUM(INDEX('SKU明细'!$CE$11:$CE$1309,MATCH("B06-IV-P-0-37",'SKU明细'!$A$11:$A$1309,0)),INDEX('SKU明细'!$CE$11:$CE$1309,MATCH("B06-IV-P-0-37.5",'SKU明细'!$A$11:$A$1309,0)),INDEX('SKU明细'!$CE$11:$CE$1309,MATCH("B06-IV-P-0-38",'SKU明细'!$A$11:$A$1309,0)),INDEX('SKU明细'!$CE$11:$CE$1309,MATCH("B06-IV-P-0-39.5",'SKU明细'!$A$11:$A$1309,0)),INDEX('SKU明细'!$CE$11:$CE$1309,MATCH("B06-IV-P-0-39",'SKU明细'!$A$11:$A$1309,0)),INDEX('SKU明细'!$CE$11:$CE$1309,MATCH("B06-IV-P-0-40.5",'SKU明细'!$A$11:$A$1309,0)),INDEX('SKU明细'!$CE$11:$CE$1309,MATCH("B06-IV-P-0-41",'SKU明细'!$A$11:$A$1309,0)),INDEX('SKU明细'!$CE$11:$CE$1309,MATCH("B06-IV-P-0-42",'SKU明细'!$A$11:$A$1309,0))),"待核")</x:f>
        <x:v>0.5034551199910083</x:v>
      </x:c>
      <x:c r="AD44" s="11" t="n">
        <x:f>INDEX('SKU明细'!$CF$11:$CF$1309,MATCH("B06-IV-P-0-37",'SKU明细'!$A$11:$A$1309,0))</x:f>
        <x:v>1.0017220238758797</x:v>
      </x:c>
      <x:c r="AE44" s="13" t="n">
        <x:f>IF(COUNT(INDEX('SKU明细'!$CH$11:$CH$1309,MATCH("B06-IV-P-0-37",'SKU明细'!$A$11:$A$1309,0)),INDEX('SKU明细'!$CH$11:$CH$1309,MATCH("B06-IV-P-0-37.5",'SKU明细'!$A$11:$A$1309,0)),INDEX('SKU明细'!$CH$11:$CH$1309,MATCH("B06-IV-P-0-38",'SKU明细'!$A$11:$A$1309,0)),INDEX('SKU明细'!$CH$11:$CH$1309,MATCH("B06-IV-P-0-39.5",'SKU明细'!$A$11:$A$1309,0)),INDEX('SKU明细'!$CH$11:$CH$1309,MATCH("B06-IV-P-0-39",'SKU明细'!$A$11:$A$1309,0)),INDEX('SKU明细'!$CH$11:$CH$1309,MATCH("B06-IV-P-0-40.5",'SKU明细'!$A$11:$A$1309,0)),INDEX('SKU明细'!$CH$11:$CH$1309,MATCH("B06-IV-P-0-41",'SKU明细'!$A$11:$A$1309,0)),INDEX('SKU明细'!$CH$11:$CH$1309,MATCH("B06-IV-P-0-42",'SKU明细'!$A$11:$A$1309,0)))=8,SUM(INDEX('SKU明细'!$CH$11:$CH$1309,MATCH("B06-IV-P-0-37",'SKU明细'!$A$11:$A$1309,0)),INDEX('SKU明细'!$CH$11:$CH$1309,MATCH("B06-IV-P-0-37.5",'SKU明细'!$A$11:$A$1309,0)),INDEX('SKU明细'!$CH$11:$CH$1309,MATCH("B06-IV-P-0-38",'SKU明细'!$A$11:$A$1309,0)),INDEX('SKU明细'!$CH$11:$CH$1309,MATCH("B06-IV-P-0-39.5",'SKU明细'!$A$11:$A$1309,0)),INDEX('SKU明细'!$CH$11:$CH$1309,MATCH("B06-IV-P-0-39",'SKU明细'!$A$11:$A$1309,0)),INDEX('SKU明细'!$CH$11:$CH$1309,MATCH("B06-IV-P-0-40.5",'SKU明细'!$A$11:$A$1309,0)),INDEX('SKU明细'!$CH$11:$CH$1309,MATCH("B06-IV-P-0-41",'SKU明细'!$A$11:$A$1309,0)),INDEX('SKU明细'!$CH$11:$CH$1309,MATCH("B06-IV-P-0-42",'SKU明细'!$A$11:$A$1309,0))),"待核")</x:f>
        <x:v>0.5018377902470436</x:v>
      </x:c>
      <x:c r="AF44" s="13" t="n">
        <x:f>IF(COUNT(INDEX('SKU明细'!$CI$11:$CI$1309,MATCH("B06-IV-P-0-37",'SKU明细'!$A$11:$A$1309,0)),INDEX('SKU明细'!$CI$11:$CI$1309,MATCH("B06-IV-P-0-37.5",'SKU明细'!$A$11:$A$1309,0)),INDEX('SKU明细'!$CI$11:$CI$1309,MATCH("B06-IV-P-0-38",'SKU明细'!$A$11:$A$1309,0)),INDEX('SKU明细'!$CI$11:$CI$1309,MATCH("B06-IV-P-0-39.5",'SKU明细'!$A$11:$A$1309,0)),INDEX('SKU明细'!$CI$11:$CI$1309,MATCH("B06-IV-P-0-39",'SKU明细'!$A$11:$A$1309,0)),INDEX('SKU明细'!$CI$11:$CI$1309,MATCH("B06-IV-P-0-40.5",'SKU明细'!$A$11:$A$1309,0)),INDEX('SKU明细'!$CI$11:$CI$1309,MATCH("B06-IV-P-0-41",'SKU明细'!$A$11:$A$1309,0)),INDEX('SKU明细'!$CI$11:$CI$1309,MATCH("B06-IV-P-0-42",'SKU明细'!$A$11:$A$1309,0)))=8,SUM(INDEX('SKU明细'!$CI$11:$CI$1309,MATCH("B06-IV-P-0-37",'SKU明细'!$A$11:$A$1309,0)),INDEX('SKU明细'!$CI$11:$CI$1309,MATCH("B06-IV-P-0-37.5",'SKU明细'!$A$11:$A$1309,0)),INDEX('SKU明细'!$CI$11:$CI$1309,MATCH("B06-IV-P-0-38",'SKU明细'!$A$11:$A$1309,0)),INDEX('SKU明细'!$CI$11:$CI$1309,MATCH("B06-IV-P-0-39.5",'SKU明细'!$A$11:$A$1309,0)),INDEX('SKU明细'!$CI$11:$CI$1309,MATCH("B06-IV-P-0-39",'SKU明细'!$A$11:$A$1309,0)),INDEX('SKU明细'!$CI$11:$CI$1309,MATCH("B06-IV-P-0-40.5",'SKU明细'!$A$11:$A$1309,0)),INDEX('SKU明细'!$CI$11:$CI$1309,MATCH("B06-IV-P-0-41",'SKU明细'!$A$11:$A$1309,0)),INDEX('SKU明细'!$CI$11:$CI$1309,MATCH("B06-IV-P-0-42",'SKU明细'!$A$11:$A$1309,0))),"待核")</x:f>
        <x:v>2.1750544842936224</x:v>
      </x:c>
    </x:row>
    <x:row r="45" ht="40" customHeight="1">
      <x:c r="A45" s="35" t="str">
        <x:v>B06</x:v>
      </x:c>
      <x:c r="B45" s="35" t="str">
        <x:v>艾年</x:v>
      </x:c>
      <x:c r="C45" s="35" t="str">
        <x:v>豹纹羊京绒</x:v>
      </x:c>
      <x:c r="D45" s="35" t="str">
        <x:v>LP</x:v>
      </x:c>
      <x:c r="E45" s="35" t="str">
        <x:v>B06-LP</x:v>
      </x:c>
      <x:c r="F45" s="35"/>
      <x:c r="G45" s="36" t="str">
        <x:f>"—"</x:f>
        <x:v>—</x:v>
      </x:c>
      <x:c r="H45" s="36" t="n">
        <x:f>IF(COUNT(INDEX('SKU明细'!$D$11:$D$1309,MATCH("B06-LP-37",'SKU明细'!$A$11:$A$1309,0)))=0,"待核",IF(COUNT(INDEX('SKU明细'!$D$11:$D$1309,MATCH("B06-LP-37",'SKU明细'!$A$11:$A$1309,0)))&lt;1,SUM(INDEX('SKU明细'!$D$11:$D$1309,MATCH("B06-LP-37",'SKU明细'!$A$11:$A$1309,0)))&amp;" + 待核",SUM(INDEX('SKU明细'!$D$11:$D$1309,MATCH("B06-LP-37",'SKU明细'!$A$11:$A$1309,0)))))</x:f>
        <x:v>13</x:v>
      </x:c>
      <x:c r="I45" s="36" t="n">
        <x:f>IF(COUNT(INDEX('SKU明细'!$D$11:$D$1309,MATCH("B06-LP-37.5",'SKU明细'!$A$11:$A$1309,0)))=0,"待核",IF(COUNT(INDEX('SKU明细'!$D$11:$D$1309,MATCH("B06-LP-37.5",'SKU明细'!$A$11:$A$1309,0)))&lt;1,SUM(INDEX('SKU明细'!$D$11:$D$1309,MATCH("B06-LP-37.5",'SKU明细'!$A$11:$A$1309,0)))&amp;" + 待核",SUM(INDEX('SKU明细'!$D$11:$D$1309,MATCH("B06-LP-37.5",'SKU明细'!$A$11:$A$1309,0)))))</x:f>
        <x:v>0</x:v>
      </x:c>
      <x:c r="J45" s="36" t="n">
        <x:f>IF(COUNT(INDEX('SKU明细'!$D$11:$D$1309,MATCH("B06-LP-38",'SKU明细'!$A$11:$A$1309,0)))=0,"待核",IF(COUNT(INDEX('SKU明细'!$D$11:$D$1309,MATCH("B06-LP-38",'SKU明细'!$A$11:$A$1309,0)))&lt;1,SUM(INDEX('SKU明细'!$D$11:$D$1309,MATCH("B06-LP-38",'SKU明细'!$A$11:$A$1309,0)))&amp;" + 待核",SUM(INDEX('SKU明细'!$D$11:$D$1309,MATCH("B06-LP-38",'SKU明细'!$A$11:$A$1309,0)))))</x:f>
        <x:v>42</x:v>
      </x:c>
      <x:c r="K45" s="36" t="n">
        <x:f>IF(COUNT(INDEX('SKU明细'!$D$11:$D$1309,MATCH("B06-LP-38.5",'SKU明细'!$A$11:$A$1309,0)))=0,"待核",IF(COUNT(INDEX('SKU明细'!$D$11:$D$1309,MATCH("B06-LP-38.5",'SKU明细'!$A$11:$A$1309,0)))&lt;1,SUM(INDEX('SKU明细'!$D$11:$D$1309,MATCH("B06-LP-38.5",'SKU明细'!$A$11:$A$1309,0)))&amp;" + 待核",SUM(INDEX('SKU明细'!$D$11:$D$1309,MATCH("B06-LP-38.5",'SKU明细'!$A$11:$A$1309,0)))))</x:f>
        <x:v>19</x:v>
      </x:c>
      <x:c r="L45" s="36" t="n">
        <x:f>IF(COUNT(INDEX('SKU明细'!$D$11:$D$1309,MATCH("B06-LP-39-N",'SKU明细'!$A$11:$A$1309,0)))=0,"待核",IF(COUNT(INDEX('SKU明细'!$D$11:$D$1309,MATCH("B06-LP-39-N",'SKU明细'!$A$11:$A$1309,0)))&lt;1,SUM(INDEX('SKU明细'!$D$11:$D$1309,MATCH("B06-LP-39-N",'SKU明细'!$A$11:$A$1309,0)))&amp;" + 待核",SUM(INDEX('SKU明细'!$D$11:$D$1309,MATCH("B06-LP-39-N",'SKU明细'!$A$11:$A$1309,0)))))</x:f>
        <x:v>112</x:v>
      </x:c>
      <x:c r="M45" s="36" t="n">
        <x:f>IF(COUNT(INDEX('SKU明细'!$D$11:$D$1309,MATCH("B06-LP-39.5",'SKU明细'!$A$11:$A$1309,0)))=0,"待核",IF(COUNT(INDEX('SKU明细'!$D$11:$D$1309,MATCH("B06-LP-39.5",'SKU明细'!$A$11:$A$1309,0)))&lt;1,SUM(INDEX('SKU明细'!$D$11:$D$1309,MATCH("B06-LP-39.5",'SKU明细'!$A$11:$A$1309,0)))&amp;" + 待核",SUM(INDEX('SKU明细'!$D$11:$D$1309,MATCH("B06-LP-39.5",'SKU明细'!$A$11:$A$1309,0)))))</x:f>
        <x:v>80</x:v>
      </x:c>
      <x:c r="N45" s="36" t="n">
        <x:f>IF(COUNT(INDEX('SKU明细'!$D$11:$D$1309,MATCH("B06-LP-40",'SKU明细'!$A$11:$A$1309,0)))=0,"待核",IF(COUNT(INDEX('SKU明细'!$D$11:$D$1309,MATCH("B06-LP-40",'SKU明细'!$A$11:$A$1309,0)))&lt;1,SUM(INDEX('SKU明细'!$D$11:$D$1309,MATCH("B06-LP-40",'SKU明细'!$A$11:$A$1309,0)))&amp;" + 待核",SUM(INDEX('SKU明细'!$D$11:$D$1309,MATCH("B06-LP-40",'SKU明细'!$A$11:$A$1309,0)))))</x:f>
        <x:v>95</x:v>
      </x:c>
      <x:c r="O45" s="36" t="n">
        <x:f>IF(COUNT(INDEX('SKU明细'!$D$11:$D$1309,MATCH("B06-LP-40.5",'SKU明细'!$A$11:$A$1309,0)))=0,"待核",IF(COUNT(INDEX('SKU明细'!$D$11:$D$1309,MATCH("B06-LP-40.5",'SKU明细'!$A$11:$A$1309,0)))&lt;1,SUM(INDEX('SKU明细'!$D$11:$D$1309,MATCH("B06-LP-40.5",'SKU明细'!$A$11:$A$1309,0)))&amp;" + 待核",SUM(INDEX('SKU明细'!$D$11:$D$1309,MATCH("B06-LP-40.5",'SKU明细'!$A$11:$A$1309,0)))))</x:f>
        <x:v>0</x:v>
      </x:c>
      <x:c r="P45" s="36" t="n">
        <x:f>IF(COUNT(INDEX('SKU明细'!$D$11:$D$1309,MATCH("B06-LP-41",'SKU明细'!$A$11:$A$1309,0)))=0,"待核",IF(COUNT(INDEX('SKU明细'!$D$11:$D$1309,MATCH("B06-LP-41",'SKU明细'!$A$11:$A$1309,0)))&lt;1,SUM(INDEX('SKU明细'!$D$11:$D$1309,MATCH("B06-LP-41",'SKU明细'!$A$11:$A$1309,0)))&amp;" + 待核",SUM(INDEX('SKU明细'!$D$11:$D$1309,MATCH("B06-LP-41",'SKU明细'!$A$11:$A$1309,0)))))</x:f>
        <x:v>59</x:v>
      </x:c>
      <x:c r="Q45" s="36" t="n">
        <x:f>IF(COUNT(INDEX('SKU明细'!$D$11:$D$1309,MATCH("B06-LP-41.5",'SKU明细'!$A$11:$A$1309,0)))=0,"待核",IF(COUNT(INDEX('SKU明细'!$D$11:$D$1309,MATCH("B06-LP-41.5",'SKU明细'!$A$11:$A$1309,0)))&lt;1,SUM(INDEX('SKU明细'!$D$11:$D$1309,MATCH("B06-LP-41.5",'SKU明细'!$A$11:$A$1309,0)))&amp;" + 待核",SUM(INDEX('SKU明细'!$D$11:$D$1309,MATCH("B06-LP-41.5",'SKU明细'!$A$11:$A$1309,0)))))</x:f>
        <x:v>0</x:v>
      </x:c>
      <x:c r="R45" s="36" t="n">
        <x:f>IF(COUNT(INDEX('SKU明细'!$D$11:$D$1309,MATCH("B06-LP-42-N",'SKU明细'!$A$11:$A$1309,0)))=0,"待核",IF(COUNT(INDEX('SKU明细'!$D$11:$D$1309,MATCH("B06-LP-42-N",'SKU明细'!$A$11:$A$1309,0)))&lt;1,SUM(INDEX('SKU明细'!$D$11:$D$1309,MATCH("B06-LP-42-N",'SKU明细'!$A$11:$A$1309,0)))&amp;" + 待核",SUM(INDEX('SKU明细'!$D$11:$D$1309,MATCH("B06-LP-42-N",'SKU明细'!$A$11:$A$1309,0)))))</x:f>
        <x:v>14</x:v>
      </x:c>
      <x:c r="S45" s="36" t="n">
        <x:f>IF(COUNT(INDEX('SKU明细'!$D$11:$D$1309,MATCH("B06-LP-37",'SKU明细'!$A$11:$A$1309,0)),INDEX('SKU明细'!$D$11:$D$1309,MATCH("B06-LP-37.5",'SKU明细'!$A$11:$A$1309,0)),INDEX('SKU明细'!$D$11:$D$1309,MATCH("B06-LP-38",'SKU明细'!$A$11:$A$1309,0)),INDEX('SKU明细'!$D$11:$D$1309,MATCH("B06-LP-38.5",'SKU明细'!$A$11:$A$1309,0)),INDEX('SKU明细'!$D$11:$D$1309,MATCH("B06-LP-39-N",'SKU明细'!$A$11:$A$1309,0)),INDEX('SKU明细'!$D$11:$D$1309,MATCH("B06-LP-39.5",'SKU明细'!$A$11:$A$1309,0)),INDEX('SKU明细'!$D$11:$D$1309,MATCH("B06-LP-40",'SKU明细'!$A$11:$A$1309,0)),INDEX('SKU明细'!$D$11:$D$1309,MATCH("B06-LP-40.5",'SKU明细'!$A$11:$A$1309,0)),INDEX('SKU明细'!$D$11:$D$1309,MATCH("B06-LP-41",'SKU明细'!$A$11:$A$1309,0)),INDEX('SKU明细'!$D$11:$D$1309,MATCH("B06-LP-41.5",'SKU明细'!$A$11:$A$1309,0)),INDEX('SKU明细'!$D$11:$D$1309,MATCH("B06-LP-42-N",'SKU明细'!$A$11:$A$1309,0)))=0,"待核",SUM(INDEX('SKU明细'!$D$11:$D$1309,MATCH("B06-LP-37",'SKU明细'!$A$11:$A$1309,0)),INDEX('SKU明细'!$D$11:$D$1309,MATCH("B06-LP-37.5",'SKU明细'!$A$11:$A$1309,0)),INDEX('SKU明细'!$D$11:$D$1309,MATCH("B06-LP-38",'SKU明细'!$A$11:$A$1309,0)),INDEX('SKU明细'!$D$11:$D$1309,MATCH("B06-LP-38.5",'SKU明细'!$A$11:$A$1309,0)),INDEX('SKU明细'!$D$11:$D$1309,MATCH("B06-LP-39-N",'SKU明细'!$A$11:$A$1309,0)),INDEX('SKU明细'!$D$11:$D$1309,MATCH("B06-LP-39.5",'SKU明细'!$A$11:$A$1309,0)),INDEX('SKU明细'!$D$11:$D$1309,MATCH("B06-LP-40",'SKU明细'!$A$11:$A$1309,0)),INDEX('SKU明细'!$D$11:$D$1309,MATCH("B06-LP-40.5",'SKU明细'!$A$11:$A$1309,0)),INDEX('SKU明细'!$D$11:$D$1309,MATCH("B06-LP-41",'SKU明细'!$A$11:$A$1309,0)),INDEX('SKU明细'!$D$11:$D$1309,MATCH("B06-LP-41.5",'SKU明细'!$A$11:$A$1309,0)),INDEX('SKU明细'!$D$11:$D$1309,MATCH("B06-LP-42-N",'SKU明细'!$A$11:$A$1309,0))))</x:f>
        <x:v>434</x:v>
      </x:c>
      <x:c r="T45" s="36" t="n">
        <x:f>IF(COUNTIFS($A$9:$A$191,A45,$U$9:$U$191,"&lt;&gt;待核")=0,"待核",SUMIF($A$9:$A$191,A45,$S$9:$S$191))</x:f>
        <x:v>613</x:v>
      </x:c>
      <x:c r="U45" s="35" t="str">
        <x:f>IF(COUNT(INDEX('SKU明细'!$D$11:$D$1309,MATCH("B06-LP-37",'SKU明细'!$A$11:$A$1309,0)),INDEX('SKU明细'!$D$11:$D$1309,MATCH("B06-LP-37.5",'SKU明细'!$A$11:$A$1309,0)),INDEX('SKU明细'!$D$11:$D$1309,MATCH("B06-LP-38",'SKU明细'!$A$11:$A$1309,0)),INDEX('SKU明细'!$D$11:$D$1309,MATCH("B06-LP-38.5",'SKU明细'!$A$11:$A$1309,0)),INDEX('SKU明细'!$D$11:$D$1309,MATCH("B06-LP-39-N",'SKU明细'!$A$11:$A$1309,0)),INDEX('SKU明细'!$D$11:$D$1309,MATCH("B06-LP-39.5",'SKU明细'!$A$11:$A$1309,0)),INDEX('SKU明细'!$D$11:$D$1309,MATCH("B06-LP-40",'SKU明细'!$A$11:$A$1309,0)),INDEX('SKU明细'!$D$11:$D$1309,MATCH("B06-LP-40.5",'SKU明细'!$A$11:$A$1309,0)),INDEX('SKU明细'!$D$11:$D$1309,MATCH("B06-LP-41",'SKU明细'!$A$11:$A$1309,0)),INDEX('SKU明细'!$D$11:$D$1309,MATCH("B06-LP-41.5",'SKU明细'!$A$11:$A$1309,0)),INDEX('SKU明细'!$D$11:$D$1309,MATCH("B06-LP-42-N",'SKU明细'!$A$11:$A$1309,0)))=0,"待核",IF(COUNT(INDEX('SKU明细'!$D$11:$D$1309,MATCH("B06-LP-37",'SKU明细'!$A$11:$A$1309,0)),INDEX('SKU明细'!$D$11:$D$1309,MATCH("B06-LP-37.5",'SKU明细'!$A$11:$A$1309,0)),INDEX('SKU明细'!$D$11:$D$1309,MATCH("B06-LP-38",'SKU明细'!$A$11:$A$1309,0)),INDEX('SKU明细'!$D$11:$D$1309,MATCH("B06-LP-38.5",'SKU明细'!$A$11:$A$1309,0)),INDEX('SKU明细'!$D$11:$D$1309,MATCH("B06-LP-39-N",'SKU明细'!$A$11:$A$1309,0)),INDEX('SKU明细'!$D$11:$D$1309,MATCH("B06-LP-39.5",'SKU明细'!$A$11:$A$1309,0)),INDEX('SKU明细'!$D$11:$D$1309,MATCH("B06-LP-40",'SKU明细'!$A$11:$A$1309,0)),INDEX('SKU明细'!$D$11:$D$1309,MATCH("B06-LP-40.5",'SKU明细'!$A$11:$A$1309,0)),INDEX('SKU明细'!$D$11:$D$1309,MATCH("B06-LP-41",'SKU明细'!$A$11:$A$1309,0)),INDEX('SKU明细'!$D$11:$D$1309,MATCH("B06-LP-41.5",'SKU明细'!$A$11:$A$1309,0)),INDEX('SKU明细'!$D$11:$D$1309,MATCH("B06-LP-42-N",'SKU明细'!$A$11:$A$1309,0)))&lt;11,"另有待核","已核"))</x:f>
        <x:v>已核</x:v>
      </x:c>
      <x:c r="V45" s="35" t="str">
        <x:v>在售</x:v>
      </x:c>
      <x:c r="W45" s="11" t="n">
        <x:f>IF(COUNT(INDEX('SKU明细'!$BV$11:$BV$1309,MATCH("B06-LP-37",'SKU明细'!$A$11:$A$1309,0)),INDEX('SKU明细'!$BV$11:$BV$1309,MATCH("B06-LP-37.5",'SKU明细'!$A$11:$A$1309,0)),INDEX('SKU明细'!$BV$11:$BV$1309,MATCH("B06-LP-38",'SKU明细'!$A$11:$A$1309,0)),INDEX('SKU明细'!$BV$11:$BV$1309,MATCH("B06-LP-38.5",'SKU明细'!$A$11:$A$1309,0)),INDEX('SKU明细'!$BV$11:$BV$1309,MATCH("B06-LP-39-N",'SKU明细'!$A$11:$A$1309,0)),INDEX('SKU明细'!$BV$11:$BV$1309,MATCH("B06-LP-39.5",'SKU明细'!$A$11:$A$1309,0)),INDEX('SKU明细'!$BV$11:$BV$1309,MATCH("B06-LP-40",'SKU明细'!$A$11:$A$1309,0)),INDEX('SKU明细'!$BV$11:$BV$1309,MATCH("B06-LP-40.5",'SKU明细'!$A$11:$A$1309,0)),INDEX('SKU明细'!$BV$11:$BV$1309,MATCH("B06-LP-41",'SKU明细'!$A$11:$A$1309,0)),INDEX('SKU明细'!$BV$11:$BV$1309,MATCH("B06-LP-41.5",'SKU明细'!$A$11:$A$1309,0)),INDEX('SKU明细'!$BV$11:$BV$1309,MATCH("B06-LP-42-N",'SKU明细'!$A$11:$A$1309,0)))=11,SUM(INDEX('SKU明细'!$BV$11:$BV$1309,MATCH("B06-LP-37",'SKU明细'!$A$11:$A$1309,0)),INDEX('SKU明细'!$BV$11:$BV$1309,MATCH("B06-LP-37.5",'SKU明细'!$A$11:$A$1309,0)),INDEX('SKU明细'!$BV$11:$BV$1309,MATCH("B06-LP-38",'SKU明细'!$A$11:$A$1309,0)),INDEX('SKU明细'!$BV$11:$BV$1309,MATCH("B06-LP-38.5",'SKU明细'!$A$11:$A$1309,0)),INDEX('SKU明细'!$BV$11:$BV$1309,MATCH("B06-LP-39-N",'SKU明细'!$A$11:$A$1309,0)),INDEX('SKU明细'!$BV$11:$BV$1309,MATCH("B06-LP-39.5",'SKU明细'!$A$11:$A$1309,0)),INDEX('SKU明细'!$BV$11:$BV$1309,MATCH("B06-LP-40",'SKU明细'!$A$11:$A$1309,0)),INDEX('SKU明细'!$BV$11:$BV$1309,MATCH("B06-LP-40.5",'SKU明细'!$A$11:$A$1309,0)),INDEX('SKU明细'!$BV$11:$BV$1309,MATCH("B06-LP-41",'SKU明细'!$A$11:$A$1309,0)),INDEX('SKU明细'!$BV$11:$BV$1309,MATCH("B06-LP-41.5",'SKU明细'!$A$11:$A$1309,0)),INDEX('SKU明细'!$BV$11:$BV$1309,MATCH("B06-LP-42-N",'SKU明细'!$A$11:$A$1309,0))),"待核")</x:f>
        <x:v>10.232422007128712</x:v>
      </x:c>
      <x:c r="X45" s="11" t="n">
        <x:f>INDEX('SKU明细'!$BW$11:$BW$1309,MATCH("B06-LP-37",'SKU明细'!$A$11:$A$1309,0))</x:f>
        <x:v>1.2247029157699902</x:v>
      </x:c>
      <x:c r="Y45" s="13" t="n">
        <x:f>IF(COUNT(INDEX('SKU明细'!$BY$11:$BY$1309,MATCH("B06-LP-37",'SKU明细'!$A$11:$A$1309,0)),INDEX('SKU明细'!$BY$11:$BY$1309,MATCH("B06-LP-37.5",'SKU明细'!$A$11:$A$1309,0)),INDEX('SKU明细'!$BY$11:$BY$1309,MATCH("B06-LP-38",'SKU明细'!$A$11:$A$1309,0)),INDEX('SKU明细'!$BY$11:$BY$1309,MATCH("B06-LP-38.5",'SKU明细'!$A$11:$A$1309,0)),INDEX('SKU明细'!$BY$11:$BY$1309,MATCH("B06-LP-39-N",'SKU明细'!$A$11:$A$1309,0)),INDEX('SKU明细'!$BY$11:$BY$1309,MATCH("B06-LP-39.5",'SKU明细'!$A$11:$A$1309,0)),INDEX('SKU明细'!$BY$11:$BY$1309,MATCH("B06-LP-40",'SKU明细'!$A$11:$A$1309,0)),INDEX('SKU明细'!$BY$11:$BY$1309,MATCH("B06-LP-40.5",'SKU明细'!$A$11:$A$1309,0)),INDEX('SKU明细'!$BY$11:$BY$1309,MATCH("B06-LP-41",'SKU明细'!$A$11:$A$1309,0)),INDEX('SKU明细'!$BY$11:$BY$1309,MATCH("B06-LP-41.5",'SKU明细'!$A$11:$A$1309,0)),INDEX('SKU明细'!$BY$11:$BY$1309,MATCH("B06-LP-42-N",'SKU明细'!$A$11:$A$1309,0)))=11,SUM(INDEX('SKU明细'!$BY$11:$BY$1309,MATCH("B06-LP-37",'SKU明细'!$A$11:$A$1309,0)),INDEX('SKU明细'!$BY$11:$BY$1309,MATCH("B06-LP-37.5",'SKU明细'!$A$11:$A$1309,0)),INDEX('SKU明细'!$BY$11:$BY$1309,MATCH("B06-LP-38",'SKU明细'!$A$11:$A$1309,0)),INDEX('SKU明细'!$BY$11:$BY$1309,MATCH("B06-LP-38.5",'SKU明细'!$A$11:$A$1309,0)),INDEX('SKU明细'!$BY$11:$BY$1309,MATCH("B06-LP-39-N",'SKU明细'!$A$11:$A$1309,0)),INDEX('SKU明细'!$BY$11:$BY$1309,MATCH("B06-LP-39.5",'SKU明细'!$A$11:$A$1309,0)),INDEX('SKU明细'!$BY$11:$BY$1309,MATCH("B06-LP-40",'SKU明细'!$A$11:$A$1309,0)),INDEX('SKU明细'!$BY$11:$BY$1309,MATCH("B06-LP-40.5",'SKU明细'!$A$11:$A$1309,0)),INDEX('SKU明细'!$BY$11:$BY$1309,MATCH("B06-LP-41",'SKU明细'!$A$11:$A$1309,0)),INDEX('SKU明细'!$BY$11:$BY$1309,MATCH("B06-LP-41.5",'SKU明细'!$A$11:$A$1309,0)),INDEX('SKU明细'!$BY$11:$BY$1309,MATCH("B06-LP-42-N",'SKU明细'!$A$11:$A$1309,0))),"待核")</x:f>
        <x:v>150.3801248102346</x:v>
      </x:c>
      <x:c r="Z45" s="11" t="n">
        <x:f>INDEX('SKU明细'!$BZ$11:$BZ$1309,MATCH("B06-LP-37",'SKU明细'!$A$11:$A$1309,0))</x:f>
        <x:v>0.8332682139098497</x:v>
      </x:c>
      <x:c r="AA45" s="13" t="n">
        <x:f>IF(COUNT(INDEX('SKU明细'!$CB$11:$CB$1309,MATCH("B06-LP-37",'SKU明细'!$A$11:$A$1309,0)),INDEX('SKU明细'!$CB$11:$CB$1309,MATCH("B06-LP-37.5",'SKU明细'!$A$11:$A$1309,0)),INDEX('SKU明细'!$CB$11:$CB$1309,MATCH("B06-LP-38",'SKU明细'!$A$11:$A$1309,0)),INDEX('SKU明细'!$CB$11:$CB$1309,MATCH("B06-LP-38.5",'SKU明细'!$A$11:$A$1309,0)),INDEX('SKU明细'!$CB$11:$CB$1309,MATCH("B06-LP-39-N",'SKU明细'!$A$11:$A$1309,0)),INDEX('SKU明细'!$CB$11:$CB$1309,MATCH("B06-LP-39.5",'SKU明细'!$A$11:$A$1309,0)),INDEX('SKU明细'!$CB$11:$CB$1309,MATCH("B06-LP-40",'SKU明细'!$A$11:$A$1309,0)),INDEX('SKU明细'!$CB$11:$CB$1309,MATCH("B06-LP-40.5",'SKU明细'!$A$11:$A$1309,0)),INDEX('SKU明细'!$CB$11:$CB$1309,MATCH("B06-LP-41",'SKU明细'!$A$11:$A$1309,0)),INDEX('SKU明细'!$CB$11:$CB$1309,MATCH("B06-LP-41.5",'SKU明细'!$A$11:$A$1309,0)),INDEX('SKU明细'!$CB$11:$CB$1309,MATCH("B06-LP-42-N",'SKU明细'!$A$11:$A$1309,0)))=11,SUM(INDEX('SKU明细'!$CB$11:$CB$1309,MATCH("B06-LP-37",'SKU明细'!$A$11:$A$1309,0)),INDEX('SKU明细'!$CB$11:$CB$1309,MATCH("B06-LP-37.5",'SKU明细'!$A$11:$A$1309,0)),INDEX('SKU明细'!$CB$11:$CB$1309,MATCH("B06-LP-38",'SKU明细'!$A$11:$A$1309,0)),INDEX('SKU明细'!$CB$11:$CB$1309,MATCH("B06-LP-38.5",'SKU明细'!$A$11:$A$1309,0)),INDEX('SKU明细'!$CB$11:$CB$1309,MATCH("B06-LP-39-N",'SKU明细'!$A$11:$A$1309,0)),INDEX('SKU明细'!$CB$11:$CB$1309,MATCH("B06-LP-39.5",'SKU明细'!$A$11:$A$1309,0)),INDEX('SKU明细'!$CB$11:$CB$1309,MATCH("B06-LP-40",'SKU明细'!$A$11:$A$1309,0)),INDEX('SKU明细'!$CB$11:$CB$1309,MATCH("B06-LP-40.5",'SKU明细'!$A$11:$A$1309,0)),INDEX('SKU明细'!$CB$11:$CB$1309,MATCH("B06-LP-41",'SKU明细'!$A$11:$A$1309,0)),INDEX('SKU明细'!$CB$11:$CB$1309,MATCH("B06-LP-41.5",'SKU明细'!$A$11:$A$1309,0)),INDEX('SKU明细'!$CB$11:$CB$1309,MATCH("B06-LP-42-N",'SKU明细'!$A$11:$A$1309,0))),"待核")</x:f>
        <x:v>255.79056029555943</x:v>
      </x:c>
      <x:c r="AB45" s="11" t="n">
        <x:f>INDEX('SKU明细'!$CC$11:$CC$1309,MATCH("B06-LP-37",'SKU明细'!$A$11:$A$1309,0))</x:f>
        <x:v>0.5511018253564084</x:v>
      </x:c>
      <x:c r="AC45" s="13" t="n">
        <x:f>IF(COUNT(INDEX('SKU明细'!$CE$11:$CE$1309,MATCH("B06-LP-37",'SKU明细'!$A$11:$A$1309,0)),INDEX('SKU明细'!$CE$11:$CE$1309,MATCH("B06-LP-37.5",'SKU明细'!$A$11:$A$1309,0)),INDEX('SKU明细'!$CE$11:$CE$1309,MATCH("B06-LP-38",'SKU明细'!$A$11:$A$1309,0)),INDEX('SKU明细'!$CE$11:$CE$1309,MATCH("B06-LP-38.5",'SKU明细'!$A$11:$A$1309,0)),INDEX('SKU明细'!$CE$11:$CE$1309,MATCH("B06-LP-39-N",'SKU明细'!$A$11:$A$1309,0)),INDEX('SKU明细'!$CE$11:$CE$1309,MATCH("B06-LP-39.5",'SKU明细'!$A$11:$A$1309,0)),INDEX('SKU明细'!$CE$11:$CE$1309,MATCH("B06-LP-40",'SKU明细'!$A$11:$A$1309,0)),INDEX('SKU明细'!$CE$11:$CE$1309,MATCH("B06-LP-40.5",'SKU明细'!$A$11:$A$1309,0)),INDEX('SKU明细'!$CE$11:$CE$1309,MATCH("B06-LP-41",'SKU明细'!$A$11:$A$1309,0)),INDEX('SKU明细'!$CE$11:$CE$1309,MATCH("B06-LP-41.5",'SKU明细'!$A$11:$A$1309,0)),INDEX('SKU明细'!$CE$11:$CE$1309,MATCH("B06-LP-42-N",'SKU明细'!$A$11:$A$1309,0)))=11,SUM(INDEX('SKU明细'!$CE$11:$CE$1309,MATCH("B06-LP-37",'SKU明细'!$A$11:$A$1309,0)),INDEX('SKU明细'!$CE$11:$CE$1309,MATCH("B06-LP-37.5",'SKU明细'!$A$11:$A$1309,0)),INDEX('SKU明细'!$CE$11:$CE$1309,MATCH("B06-LP-38",'SKU明细'!$A$11:$A$1309,0)),INDEX('SKU明细'!$CE$11:$CE$1309,MATCH("B06-LP-38.5",'SKU明细'!$A$11:$A$1309,0)),INDEX('SKU明细'!$CE$11:$CE$1309,MATCH("B06-LP-39-N",'SKU明细'!$A$11:$A$1309,0)),INDEX('SKU明细'!$CE$11:$CE$1309,MATCH("B06-LP-39.5",'SKU明细'!$A$11:$A$1309,0)),INDEX('SKU明细'!$CE$11:$CE$1309,MATCH("B06-LP-40",'SKU明细'!$A$11:$A$1309,0)),INDEX('SKU明细'!$CE$11:$CE$1309,MATCH("B06-LP-40.5",'SKU明细'!$A$11:$A$1309,0)),INDEX('SKU明细'!$CE$11:$CE$1309,MATCH("B06-LP-41",'SKU明细'!$A$11:$A$1309,0)),INDEX('SKU明细'!$CE$11:$CE$1309,MATCH("B06-LP-41.5",'SKU明细'!$A$11:$A$1309,0)),INDEX('SKU明细'!$CE$11:$CE$1309,MATCH("B06-LP-42-N",'SKU明细'!$A$11:$A$1309,0))),"待核")</x:f>
        <x:v>174.81229982431722</x:v>
      </x:c>
      <x:c r="AD45" s="11" t="n">
        <x:f>INDEX('SKU明细'!$CF$11:$CF$1309,MATCH("B06-LP-37",'SKU明细'!$A$11:$A$1309,0))</x:f>
        <x:v>1.0017220238758797</x:v>
      </x:c>
      <x:c r="AE45" s="13" t="n">
        <x:f>IF(COUNT(INDEX('SKU明细'!$CH$11:$CH$1309,MATCH("B06-LP-37",'SKU明细'!$A$11:$A$1309,0)),INDEX('SKU明细'!$CH$11:$CH$1309,MATCH("B06-LP-37.5",'SKU明细'!$A$11:$A$1309,0)),INDEX('SKU明细'!$CH$11:$CH$1309,MATCH("B06-LP-38",'SKU明细'!$A$11:$A$1309,0)),INDEX('SKU明细'!$CH$11:$CH$1309,MATCH("B06-LP-38.5",'SKU明细'!$A$11:$A$1309,0)),INDEX('SKU明细'!$CH$11:$CH$1309,MATCH("B06-LP-39-N",'SKU明细'!$A$11:$A$1309,0)),INDEX('SKU明细'!$CH$11:$CH$1309,MATCH("B06-LP-39.5",'SKU明细'!$A$11:$A$1309,0)),INDEX('SKU明细'!$CH$11:$CH$1309,MATCH("B06-LP-40",'SKU明细'!$A$11:$A$1309,0)),INDEX('SKU明细'!$CH$11:$CH$1309,MATCH("B06-LP-40.5",'SKU明细'!$A$11:$A$1309,0)),INDEX('SKU明细'!$CH$11:$CH$1309,MATCH("B06-LP-41",'SKU明细'!$A$11:$A$1309,0)),INDEX('SKU明细'!$CH$11:$CH$1309,MATCH("B06-LP-41.5",'SKU明细'!$A$11:$A$1309,0)),INDEX('SKU明细'!$CH$11:$CH$1309,MATCH("B06-LP-42-N",'SKU明细'!$A$11:$A$1309,0)))=11,SUM(INDEX('SKU明细'!$CH$11:$CH$1309,MATCH("B06-LP-37",'SKU明细'!$A$11:$A$1309,0)),INDEX('SKU明细'!$CH$11:$CH$1309,MATCH("B06-LP-37.5",'SKU明细'!$A$11:$A$1309,0)),INDEX('SKU明细'!$CH$11:$CH$1309,MATCH("B06-LP-38",'SKU明细'!$A$11:$A$1309,0)),INDEX('SKU明细'!$CH$11:$CH$1309,MATCH("B06-LP-38.5",'SKU明细'!$A$11:$A$1309,0)),INDEX('SKU明细'!$CH$11:$CH$1309,MATCH("B06-LP-39-N",'SKU明细'!$A$11:$A$1309,0)),INDEX('SKU明细'!$CH$11:$CH$1309,MATCH("B06-LP-39.5",'SKU明细'!$A$11:$A$1309,0)),INDEX('SKU明细'!$CH$11:$CH$1309,MATCH("B06-LP-40",'SKU明细'!$A$11:$A$1309,0)),INDEX('SKU明细'!$CH$11:$CH$1309,MATCH("B06-LP-40.5",'SKU明细'!$A$11:$A$1309,0)),INDEX('SKU明细'!$CH$11:$CH$1309,MATCH("B06-LP-41",'SKU明细'!$A$11:$A$1309,0)),INDEX('SKU明细'!$CH$11:$CH$1309,MATCH("B06-LP-41.5",'SKU明细'!$A$11:$A$1309,0)),INDEX('SKU明细'!$CH$11:$CH$1309,MATCH("B06-LP-42-N",'SKU明细'!$A$11:$A$1309,0))),"待核")</x:f>
        <x:v>174.25072219626207</x:v>
      </x:c>
      <x:c r="AF45" s="13" t="n">
        <x:f>IF(COUNT(INDEX('SKU明细'!$CI$11:$CI$1309,MATCH("B06-LP-37",'SKU明细'!$A$11:$A$1309,0)),INDEX('SKU明细'!$CI$11:$CI$1309,MATCH("B06-LP-37.5",'SKU明细'!$A$11:$A$1309,0)),INDEX('SKU明细'!$CI$11:$CI$1309,MATCH("B06-LP-38",'SKU明细'!$A$11:$A$1309,0)),INDEX('SKU明细'!$CI$11:$CI$1309,MATCH("B06-LP-38.5",'SKU明细'!$A$11:$A$1309,0)),INDEX('SKU明细'!$CI$11:$CI$1309,MATCH("B06-LP-39-N",'SKU明细'!$A$11:$A$1309,0)),INDEX('SKU明细'!$CI$11:$CI$1309,MATCH("B06-LP-39.5",'SKU明细'!$A$11:$A$1309,0)),INDEX('SKU明细'!$CI$11:$CI$1309,MATCH("B06-LP-40",'SKU明细'!$A$11:$A$1309,0)),INDEX('SKU明细'!$CI$11:$CI$1309,MATCH("B06-LP-40.5",'SKU明细'!$A$11:$A$1309,0)),INDEX('SKU明细'!$CI$11:$CI$1309,MATCH("B06-LP-41",'SKU明细'!$A$11:$A$1309,0)),INDEX('SKU明细'!$CI$11:$CI$1309,MATCH("B06-LP-41.5",'SKU明细'!$A$11:$A$1309,0)),INDEX('SKU明细'!$CI$11:$CI$1309,MATCH("B06-LP-42-N",'SKU明细'!$A$11:$A$1309,0)))=11,SUM(INDEX('SKU明细'!$CI$11:$CI$1309,MATCH("B06-LP-37",'SKU明细'!$A$11:$A$1309,0)),INDEX('SKU明细'!$CI$11:$CI$1309,MATCH("B06-LP-37.5",'SKU明细'!$A$11:$A$1309,0)),INDEX('SKU明细'!$CI$11:$CI$1309,MATCH("B06-LP-38",'SKU明细'!$A$11:$A$1309,0)),INDEX('SKU明细'!$CI$11:$CI$1309,MATCH("B06-LP-38.5",'SKU明细'!$A$11:$A$1309,0)),INDEX('SKU明细'!$CI$11:$CI$1309,MATCH("B06-LP-39-N",'SKU明细'!$A$11:$A$1309,0)),INDEX('SKU明细'!$CI$11:$CI$1309,MATCH("B06-LP-39.5",'SKU明细'!$A$11:$A$1309,0)),INDEX('SKU明细'!$CI$11:$CI$1309,MATCH("B06-LP-40",'SKU明细'!$A$11:$A$1309,0)),INDEX('SKU明细'!$CI$11:$CI$1309,MATCH("B06-LP-40.5",'SKU明细'!$A$11:$A$1309,0)),INDEX('SKU明细'!$CI$11:$CI$1309,MATCH("B06-LP-41",'SKU明细'!$A$11:$A$1309,0)),INDEX('SKU明细'!$CI$11:$CI$1309,MATCH("B06-LP-41.5",'SKU明细'!$A$11:$A$1309,0)),INDEX('SKU明细'!$CI$11:$CI$1309,MATCH("B06-LP-42-N",'SKU明细'!$A$11:$A$1309,0))),"待核")</x:f>
        <x:v>755.2337071263734</x:v>
      </x:c>
    </x:row>
    <x:row r="46" ht="40" customHeight="1">
      <x:c r="A46" s="35" t="str">
        <x:v>B06</x:v>
      </x:c>
      <x:c r="B46" s="35" t="str">
        <x:v>艾年</x:v>
      </x:c>
      <x:c r="C46" s="35" t="str">
        <x:v>黄色羊京绒</x:v>
      </x:c>
      <x:c r="D46" s="35" t="str">
        <x:v>MT</x:v>
      </x:c>
      <x:c r="E46" s="35" t="str">
        <x:v>B06-MT</x:v>
      </x:c>
      <x:c r="F46" s="35"/>
      <x:c r="G46" s="36" t="str">
        <x:f>"—"</x:f>
        <x:v>—</x:v>
      </x:c>
      <x:c r="H46" s="36" t="str">
        <x:f>IF(COUNT(INDEX('SKU明细'!$D$11:$D$1309,MATCH("B06-MT-37-N",'SKU明细'!$A$11:$A$1309,0)))=0,"待核",IF(COUNT(INDEX('SKU明细'!$D$11:$D$1309,MATCH("B06-MT-37-N",'SKU明细'!$A$11:$A$1309,0)))&lt;1,SUM(INDEX('SKU明细'!$D$11:$D$1309,MATCH("B06-MT-37-N",'SKU明细'!$A$11:$A$1309,0)))&amp;" + 待核",SUM(INDEX('SKU明细'!$D$11:$D$1309,MATCH("B06-MT-37-N",'SKU明细'!$A$11:$A$1309,0)))))</x:f>
        <x:v>待核</x:v>
      </x:c>
      <x:c r="I46" s="36" t="n">
        <x:f>IF(COUNT(INDEX('SKU明细'!$D$11:$D$1309,MATCH("B06-MT-37.5",'SKU明细'!$A$11:$A$1309,0)))=0,"待核",IF(COUNT(INDEX('SKU明细'!$D$11:$D$1309,MATCH("B06-MT-37.5",'SKU明细'!$A$11:$A$1309,0)))&lt;1,SUM(INDEX('SKU明细'!$D$11:$D$1309,MATCH("B06-MT-37.5",'SKU明细'!$A$11:$A$1309,0)))&amp;" + 待核",SUM(INDEX('SKU明细'!$D$11:$D$1309,MATCH("B06-MT-37.5",'SKU明细'!$A$11:$A$1309,0)))))</x:f>
        <x:v>0</x:v>
      </x:c>
      <x:c r="J46" s="36" t="n">
        <x:f>IF(COUNT(INDEX('SKU明细'!$D$11:$D$1309,MATCH("B06-MT-38",'SKU明细'!$A$11:$A$1309,0)))=0,"待核",IF(COUNT(INDEX('SKU明细'!$D$11:$D$1309,MATCH("B06-MT-38",'SKU明细'!$A$11:$A$1309,0)))&lt;1,SUM(INDEX('SKU明细'!$D$11:$D$1309,MATCH("B06-MT-38",'SKU明细'!$A$11:$A$1309,0)))&amp;" + 待核",SUM(INDEX('SKU明细'!$D$11:$D$1309,MATCH("B06-MT-38",'SKU明细'!$A$11:$A$1309,0)))))</x:f>
        <x:v>0</x:v>
      </x:c>
      <x:c r="K46" s="36" t="str">
        <x:f>"—"</x:f>
        <x:v>—</x:v>
      </x:c>
      <x:c r="L46" s="36" t="str">
        <x:f>"—"</x:f>
        <x:v>—</x:v>
      </x:c>
      <x:c r="M46" s="36" t="str">
        <x:f>"—"</x:f>
        <x:v>—</x:v>
      </x:c>
      <x:c r="N46" s="36" t="str">
        <x:f>"—"</x:f>
        <x:v>—</x:v>
      </x:c>
      <x:c r="O46" s="36" t="n">
        <x:f>IF(COUNT(INDEX('SKU明细'!$D$11:$D$1309,MATCH("B06-MT-40.5",'SKU明细'!$A$11:$A$1309,0)))=0,"待核",IF(COUNT(INDEX('SKU明细'!$D$11:$D$1309,MATCH("B06-MT-40.5",'SKU明细'!$A$11:$A$1309,0)))&lt;1,SUM(INDEX('SKU明细'!$D$11:$D$1309,MATCH("B06-MT-40.5",'SKU明细'!$A$11:$A$1309,0)))&amp;" + 待核",SUM(INDEX('SKU明细'!$D$11:$D$1309,MATCH("B06-MT-40.5",'SKU明细'!$A$11:$A$1309,0)))))</x:f>
        <x:v>0</x:v>
      </x:c>
      <x:c r="P46" s="36" t="n">
        <x:f>IF(COUNT(INDEX('SKU明细'!$D$11:$D$1309,MATCH("B06-MT-41",'SKU明细'!$A$11:$A$1309,0)))=0,"待核",IF(COUNT(INDEX('SKU明细'!$D$11:$D$1309,MATCH("B06-MT-41",'SKU明细'!$A$11:$A$1309,0)))&lt;1,SUM(INDEX('SKU明细'!$D$11:$D$1309,MATCH("B06-MT-41",'SKU明细'!$A$11:$A$1309,0)))&amp;" + 待核",SUM(INDEX('SKU明细'!$D$11:$D$1309,MATCH("B06-MT-41",'SKU明细'!$A$11:$A$1309,0)))))</x:f>
        <x:v>0</x:v>
      </x:c>
      <x:c r="Q46" s="36" t="n">
        <x:f>IF(COUNT(INDEX('SKU明细'!$D$11:$D$1309,MATCH("B06-MT-41.5",'SKU明细'!$A$11:$A$1309,0)))=0,"待核",IF(COUNT(INDEX('SKU明细'!$D$11:$D$1309,MATCH("B06-MT-41.5",'SKU明细'!$A$11:$A$1309,0)))&lt;1,SUM(INDEX('SKU明细'!$D$11:$D$1309,MATCH("B06-MT-41.5",'SKU明细'!$A$11:$A$1309,0)))&amp;" + 待核",SUM(INDEX('SKU明细'!$D$11:$D$1309,MATCH("B06-MT-41.5",'SKU明细'!$A$11:$A$1309,0)))))</x:f>
        <x:v>0</x:v>
      </x:c>
      <x:c r="R46" s="36" t="str">
        <x:f>"—"</x:f>
        <x:v>—</x:v>
      </x:c>
      <x:c r="S46" s="36" t="n">
        <x:f>IF(COUNT(INDEX('SKU明细'!$D$11:$D$1309,MATCH("B06-MT-37-N",'SKU明细'!$A$11:$A$1309,0)),INDEX('SKU明细'!$D$11:$D$1309,MATCH("B06-MT-37.5",'SKU明细'!$A$11:$A$1309,0)),INDEX('SKU明细'!$D$11:$D$1309,MATCH("B06-MT-38",'SKU明细'!$A$11:$A$1309,0)),INDEX('SKU明细'!$D$11:$D$1309,MATCH("B06-MT-40.5",'SKU明细'!$A$11:$A$1309,0)),INDEX('SKU明细'!$D$11:$D$1309,MATCH("B06-MT-41",'SKU明细'!$A$11:$A$1309,0)),INDEX('SKU明细'!$D$11:$D$1309,MATCH("B06-MT-41.5",'SKU明细'!$A$11:$A$1309,0)))=0,"待核",SUM(INDEX('SKU明细'!$D$11:$D$1309,MATCH("B06-MT-37-N",'SKU明细'!$A$11:$A$1309,0)),INDEX('SKU明细'!$D$11:$D$1309,MATCH("B06-MT-37.5",'SKU明细'!$A$11:$A$1309,0)),INDEX('SKU明细'!$D$11:$D$1309,MATCH("B06-MT-38",'SKU明细'!$A$11:$A$1309,0)),INDEX('SKU明细'!$D$11:$D$1309,MATCH("B06-MT-40.5",'SKU明细'!$A$11:$A$1309,0)),INDEX('SKU明细'!$D$11:$D$1309,MATCH("B06-MT-41",'SKU明细'!$A$11:$A$1309,0)),INDEX('SKU明细'!$D$11:$D$1309,MATCH("B06-MT-41.5",'SKU明细'!$A$11:$A$1309,0))))</x:f>
        <x:v>0</x:v>
      </x:c>
      <x:c r="T46" s="36" t="n">
        <x:f>IF(COUNTIFS($A$9:$A$191,A46,$U$9:$U$191,"&lt;&gt;待核")=0,"待核",SUMIF($A$9:$A$191,A46,$S$9:$S$191))</x:f>
        <x:v>613</x:v>
      </x:c>
      <x:c r="U46" s="35" t="str">
        <x:f>IF(COUNT(INDEX('SKU明细'!$D$11:$D$1309,MATCH("B06-MT-37-N",'SKU明细'!$A$11:$A$1309,0)),INDEX('SKU明细'!$D$11:$D$1309,MATCH("B06-MT-37.5",'SKU明细'!$A$11:$A$1309,0)),INDEX('SKU明细'!$D$11:$D$1309,MATCH("B06-MT-38",'SKU明细'!$A$11:$A$1309,0)),INDEX('SKU明细'!$D$11:$D$1309,MATCH("B06-MT-40.5",'SKU明细'!$A$11:$A$1309,0)),INDEX('SKU明细'!$D$11:$D$1309,MATCH("B06-MT-41",'SKU明细'!$A$11:$A$1309,0)),INDEX('SKU明细'!$D$11:$D$1309,MATCH("B06-MT-41.5",'SKU明细'!$A$11:$A$1309,0)))=0,"待核",IF(COUNT(INDEX('SKU明细'!$D$11:$D$1309,MATCH("B06-MT-37-N",'SKU明细'!$A$11:$A$1309,0)),INDEX('SKU明细'!$D$11:$D$1309,MATCH("B06-MT-37.5",'SKU明细'!$A$11:$A$1309,0)),INDEX('SKU明细'!$D$11:$D$1309,MATCH("B06-MT-38",'SKU明细'!$A$11:$A$1309,0)),INDEX('SKU明细'!$D$11:$D$1309,MATCH("B06-MT-40.5",'SKU明细'!$A$11:$A$1309,0)),INDEX('SKU明细'!$D$11:$D$1309,MATCH("B06-MT-41",'SKU明细'!$A$11:$A$1309,0)),INDEX('SKU明细'!$D$11:$D$1309,MATCH("B06-MT-41.5",'SKU明细'!$A$11:$A$1309,0)))&lt;6,"另有待核","已核"))</x:f>
        <x:v>另有待核</x:v>
      </x:c>
      <x:c r="V46" s="35" t="str">
        <x:v>停售、在售</x:v>
      </x:c>
      <x:c r="W46" s="11" t="n">
        <x:f>IF(COUNT(INDEX('SKU明细'!$BV$11:$BV$1309,MATCH("B06-MT-37-N",'SKU明细'!$A$11:$A$1309,0)),INDEX('SKU明细'!$BV$11:$BV$1309,MATCH("B06-MT-37.5",'SKU明细'!$A$11:$A$1309,0)),INDEX('SKU明细'!$BV$11:$BV$1309,MATCH("B06-MT-38",'SKU明细'!$A$11:$A$1309,0)),INDEX('SKU明细'!$BV$11:$BV$1309,MATCH("B06-MT-40.5",'SKU明细'!$A$11:$A$1309,0)),INDEX('SKU明细'!$BV$11:$BV$1309,MATCH("B06-MT-41",'SKU明细'!$A$11:$A$1309,0)),INDEX('SKU明细'!$BV$11:$BV$1309,MATCH("B06-MT-41.5",'SKU明细'!$A$11:$A$1309,0)))=6,SUM(INDEX('SKU明细'!$BV$11:$BV$1309,MATCH("B06-MT-37-N",'SKU明细'!$A$11:$A$1309,0)),INDEX('SKU明细'!$BV$11:$BV$1309,MATCH("B06-MT-37.5",'SKU明细'!$A$11:$A$1309,0)),INDEX('SKU明细'!$BV$11:$BV$1309,MATCH("B06-MT-38",'SKU明细'!$A$11:$A$1309,0)),INDEX('SKU明细'!$BV$11:$BV$1309,MATCH("B06-MT-40.5",'SKU明细'!$A$11:$A$1309,0)),INDEX('SKU明细'!$BV$11:$BV$1309,MATCH("B06-MT-41",'SKU明细'!$A$11:$A$1309,0)),INDEX('SKU明细'!$BV$11:$BV$1309,MATCH("B06-MT-41.5",'SKU明细'!$A$11:$A$1309,0))),"待核")</x:f>
        <x:v>0.18709548187300423</x:v>
      </x:c>
      <x:c r="X46" s="11" t="n">
        <x:f>INDEX('SKU明细'!$BW$11:$BW$1309,MATCH("B06-MT-37-N",'SKU明细'!$A$11:$A$1309,0))</x:f>
        <x:v>1.2247029157699902</x:v>
      </x:c>
      <x:c r="Y46" s="13" t="n">
        <x:f>IF(COUNT(INDEX('SKU明细'!$BY$11:$BY$1309,MATCH("B06-MT-37-N",'SKU明细'!$A$11:$A$1309,0)),INDEX('SKU明细'!$BY$11:$BY$1309,MATCH("B06-MT-37.5",'SKU明细'!$A$11:$A$1309,0)),INDEX('SKU明细'!$BY$11:$BY$1309,MATCH("B06-MT-38",'SKU明细'!$A$11:$A$1309,0)),INDEX('SKU明细'!$BY$11:$BY$1309,MATCH("B06-MT-40.5",'SKU明细'!$A$11:$A$1309,0)),INDEX('SKU明细'!$BY$11:$BY$1309,MATCH("B06-MT-41",'SKU明细'!$A$11:$A$1309,0)),INDEX('SKU明细'!$BY$11:$BY$1309,MATCH("B06-MT-41.5",'SKU明细'!$A$11:$A$1309,0)))=6,SUM(INDEX('SKU明细'!$BY$11:$BY$1309,MATCH("B06-MT-37-N",'SKU明细'!$A$11:$A$1309,0)),INDEX('SKU明细'!$BY$11:$BY$1309,MATCH("B06-MT-37.5",'SKU明细'!$A$11:$A$1309,0)),INDEX('SKU明细'!$BY$11:$BY$1309,MATCH("B06-MT-38",'SKU明细'!$A$11:$A$1309,0)),INDEX('SKU明细'!$BY$11:$BY$1309,MATCH("B06-MT-40.5",'SKU明细'!$A$11:$A$1309,0)),INDEX('SKU明细'!$BY$11:$BY$1309,MATCH("B06-MT-41",'SKU明细'!$A$11:$A$1309,0)),INDEX('SKU明细'!$BY$11:$BY$1309,MATCH("B06-MT-41.5",'SKU明细'!$A$11:$A$1309,0))),"待核")</x:f>
        <x:v>2.749636586127116</x:v>
      </x:c>
      <x:c r="Z46" s="11" t="n">
        <x:f>INDEX('SKU明细'!$BZ$11:$BZ$1309,MATCH("B06-MT-37-N",'SKU明细'!$A$11:$A$1309,0))</x:f>
        <x:v>0.8332682139098497</x:v>
      </x:c>
      <x:c r="AA46" s="13" t="n">
        <x:f>IF(COUNT(INDEX('SKU明细'!$CB$11:$CB$1309,MATCH("B06-MT-37-N",'SKU明细'!$A$11:$A$1309,0)),INDEX('SKU明细'!$CB$11:$CB$1309,MATCH("B06-MT-37.5",'SKU明细'!$A$11:$A$1309,0)),INDEX('SKU明细'!$CB$11:$CB$1309,MATCH("B06-MT-38",'SKU明细'!$A$11:$A$1309,0)),INDEX('SKU明细'!$CB$11:$CB$1309,MATCH("B06-MT-40.5",'SKU明细'!$A$11:$A$1309,0)),INDEX('SKU明细'!$CB$11:$CB$1309,MATCH("B06-MT-41",'SKU明细'!$A$11:$A$1309,0)),INDEX('SKU明细'!$CB$11:$CB$1309,MATCH("B06-MT-41.5",'SKU明细'!$A$11:$A$1309,0)))=6,SUM(INDEX('SKU明细'!$CB$11:$CB$1309,MATCH("B06-MT-37-N",'SKU明细'!$A$11:$A$1309,0)),INDEX('SKU明细'!$CB$11:$CB$1309,MATCH("B06-MT-37.5",'SKU明细'!$A$11:$A$1309,0)),INDEX('SKU明细'!$CB$11:$CB$1309,MATCH("B06-MT-38",'SKU明细'!$A$11:$A$1309,0)),INDEX('SKU明细'!$CB$11:$CB$1309,MATCH("B06-MT-40.5",'SKU明细'!$A$11:$A$1309,0)),INDEX('SKU明细'!$CB$11:$CB$1309,MATCH("B06-MT-41",'SKU明细'!$A$11:$A$1309,0)),INDEX('SKU明细'!$CB$11:$CB$1309,MATCH("B06-MT-41.5",'SKU明细'!$A$11:$A$1309,0))),"待核")</x:f>
        <x:v>4.677021540327628</x:v>
      </x:c>
      <x:c r="AB46" s="11" t="n">
        <x:f>INDEX('SKU明细'!$CC$11:$CC$1309,MATCH("B06-MT-37-N",'SKU明细'!$A$11:$A$1309,0))</x:f>
        <x:v>0.5511018253564084</x:v>
      </x:c>
      <x:c r="AC46" s="13" t="n">
        <x:f>IF(COUNT(INDEX('SKU明细'!$CE$11:$CE$1309,MATCH("B06-MT-37-N",'SKU明细'!$A$11:$A$1309,0)),INDEX('SKU明细'!$CE$11:$CE$1309,MATCH("B06-MT-37.5",'SKU明细'!$A$11:$A$1309,0)),INDEX('SKU明细'!$CE$11:$CE$1309,MATCH("B06-MT-38",'SKU明细'!$A$11:$A$1309,0)),INDEX('SKU明细'!$CE$11:$CE$1309,MATCH("B06-MT-40.5",'SKU明细'!$A$11:$A$1309,0)),INDEX('SKU明细'!$CE$11:$CE$1309,MATCH("B06-MT-41",'SKU明细'!$A$11:$A$1309,0)),INDEX('SKU明细'!$CE$11:$CE$1309,MATCH("B06-MT-41.5",'SKU明细'!$A$11:$A$1309,0)))=6,SUM(INDEX('SKU明细'!$CE$11:$CE$1309,MATCH("B06-MT-37-N",'SKU明细'!$A$11:$A$1309,0)),INDEX('SKU明细'!$CE$11:$CE$1309,MATCH("B06-MT-37.5",'SKU明细'!$A$11:$A$1309,0)),INDEX('SKU明细'!$CE$11:$CE$1309,MATCH("B06-MT-38",'SKU明细'!$A$11:$A$1309,0)),INDEX('SKU明细'!$CE$11:$CE$1309,MATCH("B06-MT-40.5",'SKU明细'!$A$11:$A$1309,0)),INDEX('SKU明细'!$CE$11:$CE$1309,MATCH("B06-MT-41",'SKU明细'!$A$11:$A$1309,0)),INDEX('SKU明细'!$CE$11:$CE$1309,MATCH("B06-MT-41.5",'SKU明细'!$A$11:$A$1309,0))),"待核")</x:f>
        <x:v>3.1963685088606333</x:v>
      </x:c>
      <x:c r="AD46" s="11" t="n">
        <x:f>INDEX('SKU明细'!$CF$11:$CF$1309,MATCH("B06-MT-37-N",'SKU明细'!$A$11:$A$1309,0))</x:f>
        <x:v>1.0017220238758797</x:v>
      </x:c>
      <x:c r="AE46" s="13" t="n">
        <x:f>IF(COUNT(INDEX('SKU明细'!$CH$11:$CH$1309,MATCH("B06-MT-37-N",'SKU明细'!$A$11:$A$1309,0)),INDEX('SKU明细'!$CH$11:$CH$1309,MATCH("B06-MT-37.5",'SKU明细'!$A$11:$A$1309,0)),INDEX('SKU明细'!$CH$11:$CH$1309,MATCH("B06-MT-38",'SKU明细'!$A$11:$A$1309,0)),INDEX('SKU明细'!$CH$11:$CH$1309,MATCH("B06-MT-40.5",'SKU明细'!$A$11:$A$1309,0)),INDEX('SKU明细'!$CH$11:$CH$1309,MATCH("B06-MT-41",'SKU明细'!$A$11:$A$1309,0)),INDEX('SKU明细'!$CH$11:$CH$1309,MATCH("B06-MT-41.5",'SKU明细'!$A$11:$A$1309,0)))=6,SUM(INDEX('SKU明细'!$CH$11:$CH$1309,MATCH("B06-MT-37-N",'SKU明细'!$A$11:$A$1309,0)),INDEX('SKU明细'!$CH$11:$CH$1309,MATCH("B06-MT-37.5",'SKU明细'!$A$11:$A$1309,0)),INDEX('SKU明细'!$CH$11:$CH$1309,MATCH("B06-MT-38",'SKU明细'!$A$11:$A$1309,0)),INDEX('SKU明细'!$CH$11:$CH$1309,MATCH("B06-MT-40.5",'SKU明细'!$A$11:$A$1309,0)),INDEX('SKU明细'!$CH$11:$CH$1309,MATCH("B06-MT-41",'SKU明细'!$A$11:$A$1309,0)),INDEX('SKU明细'!$CH$11:$CH$1309,MATCH("B06-MT-41.5",'SKU明细'!$A$11:$A$1309,0))),"待核")</x:f>
        <x:v>3.1861003009175994</x:v>
      </x:c>
      <x:c r="AF46" s="13" t="n">
        <x:f>IF(COUNT(INDEX('SKU明细'!$CI$11:$CI$1309,MATCH("B06-MT-37-N",'SKU明细'!$A$11:$A$1309,0)),INDEX('SKU明细'!$CI$11:$CI$1309,MATCH("B06-MT-37.5",'SKU明细'!$A$11:$A$1309,0)),INDEX('SKU明细'!$CI$11:$CI$1309,MATCH("B06-MT-38",'SKU明细'!$A$11:$A$1309,0)),INDEX('SKU明细'!$CI$11:$CI$1309,MATCH("B06-MT-40.5",'SKU明细'!$A$11:$A$1309,0)),INDEX('SKU明细'!$CI$11:$CI$1309,MATCH("B06-MT-41",'SKU明细'!$A$11:$A$1309,0)),INDEX('SKU明细'!$CI$11:$CI$1309,MATCH("B06-MT-41.5",'SKU明细'!$A$11:$A$1309,0)))=6,SUM(INDEX('SKU明细'!$CI$11:$CI$1309,MATCH("B06-MT-37-N",'SKU明细'!$A$11:$A$1309,0)),INDEX('SKU明细'!$CI$11:$CI$1309,MATCH("B06-MT-37.5",'SKU明细'!$A$11:$A$1309,0)),INDEX('SKU明细'!$CI$11:$CI$1309,MATCH("B06-MT-38",'SKU明细'!$A$11:$A$1309,0)),INDEX('SKU明细'!$CI$11:$CI$1309,MATCH("B06-MT-40.5",'SKU明细'!$A$11:$A$1309,0)),INDEX('SKU明细'!$CI$11:$CI$1309,MATCH("B06-MT-41",'SKU明细'!$A$11:$A$1309,0)),INDEX('SKU明细'!$CI$11:$CI$1309,MATCH("B06-MT-41.5",'SKU明细'!$A$11:$A$1309,0))),"待核")</x:f>
        <x:v>13.809126936232975</x:v>
      </x:c>
    </x:row>
    <x:row r="47" ht="40" customHeight="1">
      <x:c r="A47" s="35" t="str">
        <x:v>B06</x:v>
      </x:c>
      <x:c r="B47" s="35" t="str">
        <x:v>艾年</x:v>
      </x:c>
      <x:c r="C47" s="35" t="str">
        <x:v>裸色羊京绒</x:v>
      </x:c>
      <x:c r="D47" s="35" t="str">
        <x:v>ND</x:v>
      </x:c>
      <x:c r="E47" s="35" t="str">
        <x:v>B06-ND</x:v>
      </x:c>
      <x:c r="F47" s="35"/>
      <x:c r="G47" s="36" t="str">
        <x:f>"—"</x:f>
        <x:v>—</x:v>
      </x:c>
      <x:c r="H47" s="36" t="n">
        <x:f>IF(COUNT(INDEX('SKU明细'!$D$11:$D$1309,MATCH("B06-ND-37-N",'SKU明细'!$A$11:$A$1309,0)))=0,"待核",IF(COUNT(INDEX('SKU明细'!$D$11:$D$1309,MATCH("B06-ND-37-N",'SKU明细'!$A$11:$A$1309,0)))&lt;1,SUM(INDEX('SKU明细'!$D$11:$D$1309,MATCH("B06-ND-37-N",'SKU明细'!$A$11:$A$1309,0)))&amp;" + 待核",SUM(INDEX('SKU明细'!$D$11:$D$1309,MATCH("B06-ND-37-N",'SKU明细'!$A$11:$A$1309,0)))))</x:f>
        <x:v>0</x:v>
      </x:c>
      <x:c r="I47" s="36" t="n">
        <x:f>IF(COUNT(INDEX('SKU明细'!$D$11:$D$1309,MATCH("B06-ND-37.5",'SKU明细'!$A$11:$A$1309,0)))=0,"待核",IF(COUNT(INDEX('SKU明细'!$D$11:$D$1309,MATCH("B06-ND-37.5",'SKU明细'!$A$11:$A$1309,0)))&lt;1,SUM(INDEX('SKU明细'!$D$11:$D$1309,MATCH("B06-ND-37.5",'SKU明细'!$A$11:$A$1309,0)))&amp;" + 待核",SUM(INDEX('SKU明细'!$D$11:$D$1309,MATCH("B06-ND-37.5",'SKU明细'!$A$11:$A$1309,0)))))</x:f>
        <x:v>12</x:v>
      </x:c>
      <x:c r="J47" s="36" t="n">
        <x:f>IF(COUNT(INDEX('SKU明细'!$D$11:$D$1309,MATCH("B06-ND-38",'SKU明细'!$A$11:$A$1309,0)))=0,"待核",IF(COUNT(INDEX('SKU明细'!$D$11:$D$1309,MATCH("B06-ND-38",'SKU明细'!$A$11:$A$1309,0)))&lt;1,SUM(INDEX('SKU明细'!$D$11:$D$1309,MATCH("B06-ND-38",'SKU明细'!$A$11:$A$1309,0)))&amp;" + 待核",SUM(INDEX('SKU明细'!$D$11:$D$1309,MATCH("B06-ND-38",'SKU明细'!$A$11:$A$1309,0)))))</x:f>
        <x:v>0</x:v>
      </x:c>
      <x:c r="K47" s="36" t="n">
        <x:f>IF(COUNT(INDEX('SKU明细'!$D$11:$D$1309,MATCH("B06-ND-38.5",'SKU明细'!$A$11:$A$1309,0)))=0,"待核",IF(COUNT(INDEX('SKU明细'!$D$11:$D$1309,MATCH("B06-ND-38.5",'SKU明细'!$A$11:$A$1309,0)))&lt;1,SUM(INDEX('SKU明细'!$D$11:$D$1309,MATCH("B06-ND-38.5",'SKU明细'!$A$11:$A$1309,0)))&amp;" + 待核",SUM(INDEX('SKU明细'!$D$11:$D$1309,MATCH("B06-ND-38.5",'SKU明细'!$A$11:$A$1309,0)))))</x:f>
        <x:v>8</x:v>
      </x:c>
      <x:c r="L47" s="36" t="n">
        <x:f>IF(COUNT(INDEX('SKU明细'!$D$11:$D$1309,MATCH("B06-ND-39",'SKU明细'!$A$11:$A$1309,0)))=0,"待核",IF(COUNT(INDEX('SKU明细'!$D$11:$D$1309,MATCH("B06-ND-39",'SKU明细'!$A$11:$A$1309,0)))&lt;1,SUM(INDEX('SKU明细'!$D$11:$D$1309,MATCH("B06-ND-39",'SKU明细'!$A$11:$A$1309,0)))&amp;" + 待核",SUM(INDEX('SKU明细'!$D$11:$D$1309,MATCH("B06-ND-39",'SKU明细'!$A$11:$A$1309,0)))))</x:f>
        <x:v>0</x:v>
      </x:c>
      <x:c r="M47" s="36" t="n">
        <x:f>IF(COUNT(INDEX('SKU明细'!$D$11:$D$1309,MATCH("B06-ND-39.5",'SKU明细'!$A$11:$A$1309,0)))=0,"待核",IF(COUNT(INDEX('SKU明细'!$D$11:$D$1309,MATCH("B06-ND-39.5",'SKU明细'!$A$11:$A$1309,0)))&lt;1,SUM(INDEX('SKU明细'!$D$11:$D$1309,MATCH("B06-ND-39.5",'SKU明细'!$A$11:$A$1309,0)))&amp;" + 待核",SUM(INDEX('SKU明细'!$D$11:$D$1309,MATCH("B06-ND-39.5",'SKU明细'!$A$11:$A$1309,0)))))</x:f>
        <x:v>0</x:v>
      </x:c>
      <x:c r="N47" s="36" t="n">
        <x:f>IF(COUNT(INDEX('SKU明细'!$D$11:$D$1309,MATCH("B06-ND-40-N",'SKU明细'!$A$11:$A$1309,0)))=0,"待核",IF(COUNT(INDEX('SKU明细'!$D$11:$D$1309,MATCH("B06-ND-40-N",'SKU明细'!$A$11:$A$1309,0)))&lt;1,SUM(INDEX('SKU明细'!$D$11:$D$1309,MATCH("B06-ND-40-N",'SKU明细'!$A$11:$A$1309,0)))&amp;" + 待核",SUM(INDEX('SKU明细'!$D$11:$D$1309,MATCH("B06-ND-40-N",'SKU明细'!$A$11:$A$1309,0)))))</x:f>
        <x:v>0</x:v>
      </x:c>
      <x:c r="O47" s="36" t="n">
        <x:f>IF(COUNT(INDEX('SKU明细'!$D$11:$D$1309,MATCH("B06-ND-40.5",'SKU明细'!$A$11:$A$1309,0)))=0,"待核",IF(COUNT(INDEX('SKU明细'!$D$11:$D$1309,MATCH("B06-ND-40.5",'SKU明细'!$A$11:$A$1309,0)))&lt;1,SUM(INDEX('SKU明细'!$D$11:$D$1309,MATCH("B06-ND-40.5",'SKU明细'!$A$11:$A$1309,0)))&amp;" + 待核",SUM(INDEX('SKU明细'!$D$11:$D$1309,MATCH("B06-ND-40.5",'SKU明细'!$A$11:$A$1309,0)))))</x:f>
        <x:v>0</x:v>
      </x:c>
      <x:c r="P47" s="36" t="n">
        <x:f>IF(COUNT(INDEX('SKU明细'!$D$11:$D$1309,MATCH("B06-ND-41-N",'SKU明细'!$A$11:$A$1309,0)))=0,"待核",IF(COUNT(INDEX('SKU明细'!$D$11:$D$1309,MATCH("B06-ND-41-N",'SKU明细'!$A$11:$A$1309,0)))&lt;1,SUM(INDEX('SKU明细'!$D$11:$D$1309,MATCH("B06-ND-41-N",'SKU明细'!$A$11:$A$1309,0)))&amp;" + 待核",SUM(INDEX('SKU明细'!$D$11:$D$1309,MATCH("B06-ND-41-N",'SKU明细'!$A$11:$A$1309,0)))))</x:f>
        <x:v>0</x:v>
      </x:c>
      <x:c r="Q47" s="36" t="n">
        <x:f>IF(COUNT(INDEX('SKU明细'!$D$11:$D$1309,MATCH("B06-ND-41.5",'SKU明细'!$A$11:$A$1309,0)))=0,"待核",IF(COUNT(INDEX('SKU明细'!$D$11:$D$1309,MATCH("B06-ND-41.5",'SKU明细'!$A$11:$A$1309,0)))&lt;1,SUM(INDEX('SKU明细'!$D$11:$D$1309,MATCH("B06-ND-41.5",'SKU明细'!$A$11:$A$1309,0)))&amp;" + 待核",SUM(INDEX('SKU明细'!$D$11:$D$1309,MATCH("B06-ND-41.5",'SKU明细'!$A$11:$A$1309,0)))))</x:f>
        <x:v>0</x:v>
      </x:c>
      <x:c r="R47" s="36" t="n">
        <x:f>IF(COUNT(INDEX('SKU明细'!$D$11:$D$1309,MATCH("B06-ND-42-N",'SKU明细'!$A$11:$A$1309,0)))=0,"待核",IF(COUNT(INDEX('SKU明细'!$D$11:$D$1309,MATCH("B06-ND-42-N",'SKU明细'!$A$11:$A$1309,0)))&lt;1,SUM(INDEX('SKU明细'!$D$11:$D$1309,MATCH("B06-ND-42-N",'SKU明细'!$A$11:$A$1309,0)))&amp;" + 待核",SUM(INDEX('SKU明细'!$D$11:$D$1309,MATCH("B06-ND-42-N",'SKU明细'!$A$11:$A$1309,0)))))</x:f>
        <x:v>0</x:v>
      </x:c>
      <x:c r="S47" s="36" t="n">
        <x:f>IF(COUNT(INDEX('SKU明细'!$D$11:$D$1309,MATCH("B06-ND-37-N",'SKU明细'!$A$11:$A$1309,0)),INDEX('SKU明细'!$D$11:$D$1309,MATCH("B06-ND-37.5",'SKU明细'!$A$11:$A$1309,0)),INDEX('SKU明细'!$D$11:$D$1309,MATCH("B06-ND-38",'SKU明细'!$A$11:$A$1309,0)),INDEX('SKU明细'!$D$11:$D$1309,MATCH("B06-ND-38.5",'SKU明细'!$A$11:$A$1309,0)),INDEX('SKU明细'!$D$11:$D$1309,MATCH("B06-ND-39",'SKU明细'!$A$11:$A$1309,0)),INDEX('SKU明细'!$D$11:$D$1309,MATCH("B06-ND-39.5",'SKU明细'!$A$11:$A$1309,0)),INDEX('SKU明细'!$D$11:$D$1309,MATCH("B06-ND-40-N",'SKU明细'!$A$11:$A$1309,0)),INDEX('SKU明细'!$D$11:$D$1309,MATCH("B06-ND-40.5",'SKU明细'!$A$11:$A$1309,0)),INDEX('SKU明细'!$D$11:$D$1309,MATCH("B06-ND-41-N",'SKU明细'!$A$11:$A$1309,0)),INDEX('SKU明细'!$D$11:$D$1309,MATCH("B06-ND-41.5",'SKU明细'!$A$11:$A$1309,0)),INDEX('SKU明细'!$D$11:$D$1309,MATCH("B06-ND-42-N",'SKU明细'!$A$11:$A$1309,0)))=0,"待核",SUM(INDEX('SKU明细'!$D$11:$D$1309,MATCH("B06-ND-37-N",'SKU明细'!$A$11:$A$1309,0)),INDEX('SKU明细'!$D$11:$D$1309,MATCH("B06-ND-37.5",'SKU明细'!$A$11:$A$1309,0)),INDEX('SKU明细'!$D$11:$D$1309,MATCH("B06-ND-38",'SKU明细'!$A$11:$A$1309,0)),INDEX('SKU明细'!$D$11:$D$1309,MATCH("B06-ND-38.5",'SKU明细'!$A$11:$A$1309,0)),INDEX('SKU明细'!$D$11:$D$1309,MATCH("B06-ND-39",'SKU明细'!$A$11:$A$1309,0)),INDEX('SKU明细'!$D$11:$D$1309,MATCH("B06-ND-39.5",'SKU明细'!$A$11:$A$1309,0)),INDEX('SKU明细'!$D$11:$D$1309,MATCH("B06-ND-40-N",'SKU明细'!$A$11:$A$1309,0)),INDEX('SKU明细'!$D$11:$D$1309,MATCH("B06-ND-40.5",'SKU明细'!$A$11:$A$1309,0)),INDEX('SKU明细'!$D$11:$D$1309,MATCH("B06-ND-41-N",'SKU明细'!$A$11:$A$1309,0)),INDEX('SKU明细'!$D$11:$D$1309,MATCH("B06-ND-41.5",'SKU明细'!$A$11:$A$1309,0)),INDEX('SKU明细'!$D$11:$D$1309,MATCH("B06-ND-42-N",'SKU明细'!$A$11:$A$1309,0))))</x:f>
        <x:v>20</x:v>
      </x:c>
      <x:c r="T47" s="36" t="n">
        <x:f>IF(COUNTIFS($A$9:$A$191,A47,$U$9:$U$191,"&lt;&gt;待核")=0,"待核",SUMIF($A$9:$A$191,A47,$S$9:$S$191))</x:f>
        <x:v>613</x:v>
      </x:c>
      <x:c r="U47" s="35" t="str">
        <x:f>IF(COUNT(INDEX('SKU明细'!$D$11:$D$1309,MATCH("B06-ND-37-N",'SKU明细'!$A$11:$A$1309,0)),INDEX('SKU明细'!$D$11:$D$1309,MATCH("B06-ND-37.5",'SKU明细'!$A$11:$A$1309,0)),INDEX('SKU明细'!$D$11:$D$1309,MATCH("B06-ND-38",'SKU明细'!$A$11:$A$1309,0)),INDEX('SKU明细'!$D$11:$D$1309,MATCH("B06-ND-38.5",'SKU明细'!$A$11:$A$1309,0)),INDEX('SKU明细'!$D$11:$D$1309,MATCH("B06-ND-39",'SKU明细'!$A$11:$A$1309,0)),INDEX('SKU明细'!$D$11:$D$1309,MATCH("B06-ND-39.5",'SKU明细'!$A$11:$A$1309,0)),INDEX('SKU明细'!$D$11:$D$1309,MATCH("B06-ND-40-N",'SKU明细'!$A$11:$A$1309,0)),INDEX('SKU明细'!$D$11:$D$1309,MATCH("B06-ND-40.5",'SKU明细'!$A$11:$A$1309,0)),INDEX('SKU明细'!$D$11:$D$1309,MATCH("B06-ND-41-N",'SKU明细'!$A$11:$A$1309,0)),INDEX('SKU明细'!$D$11:$D$1309,MATCH("B06-ND-41.5",'SKU明细'!$A$11:$A$1309,0)),INDEX('SKU明细'!$D$11:$D$1309,MATCH("B06-ND-42-N",'SKU明细'!$A$11:$A$1309,0)))=0,"待核",IF(COUNT(INDEX('SKU明细'!$D$11:$D$1309,MATCH("B06-ND-37-N",'SKU明细'!$A$11:$A$1309,0)),INDEX('SKU明细'!$D$11:$D$1309,MATCH("B06-ND-37.5",'SKU明细'!$A$11:$A$1309,0)),INDEX('SKU明细'!$D$11:$D$1309,MATCH("B06-ND-38",'SKU明细'!$A$11:$A$1309,0)),INDEX('SKU明细'!$D$11:$D$1309,MATCH("B06-ND-38.5",'SKU明细'!$A$11:$A$1309,0)),INDEX('SKU明细'!$D$11:$D$1309,MATCH("B06-ND-39",'SKU明细'!$A$11:$A$1309,0)),INDEX('SKU明细'!$D$11:$D$1309,MATCH("B06-ND-39.5",'SKU明细'!$A$11:$A$1309,0)),INDEX('SKU明细'!$D$11:$D$1309,MATCH("B06-ND-40-N",'SKU明细'!$A$11:$A$1309,0)),INDEX('SKU明细'!$D$11:$D$1309,MATCH("B06-ND-40.5",'SKU明细'!$A$11:$A$1309,0)),INDEX('SKU明细'!$D$11:$D$1309,MATCH("B06-ND-41-N",'SKU明细'!$A$11:$A$1309,0)),INDEX('SKU明细'!$D$11:$D$1309,MATCH("B06-ND-41.5",'SKU明细'!$A$11:$A$1309,0)),INDEX('SKU明细'!$D$11:$D$1309,MATCH("B06-ND-42-N",'SKU明细'!$A$11:$A$1309,0)))&lt;11,"另有待核","已核"))</x:f>
        <x:v>已核</x:v>
      </x:c>
      <x:c r="V47" s="35" t="str">
        <x:v>在售</x:v>
      </x:c>
      <x:c r="W47" s="11" t="n">
        <x:f>IF(COUNT(INDEX('SKU明细'!$BV$11:$BV$1309,MATCH("B06-ND-37-N",'SKU明细'!$A$11:$A$1309,0)),INDEX('SKU明细'!$BV$11:$BV$1309,MATCH("B06-ND-37.5",'SKU明细'!$A$11:$A$1309,0)),INDEX('SKU明细'!$BV$11:$BV$1309,MATCH("B06-ND-38",'SKU明细'!$A$11:$A$1309,0)),INDEX('SKU明细'!$BV$11:$BV$1309,MATCH("B06-ND-38.5",'SKU明细'!$A$11:$A$1309,0)),INDEX('SKU明细'!$BV$11:$BV$1309,MATCH("B06-ND-39",'SKU明细'!$A$11:$A$1309,0)),INDEX('SKU明细'!$BV$11:$BV$1309,MATCH("B06-ND-39.5",'SKU明细'!$A$11:$A$1309,0)),INDEX('SKU明细'!$BV$11:$BV$1309,MATCH("B06-ND-40-N",'SKU明细'!$A$11:$A$1309,0)),INDEX('SKU明细'!$BV$11:$BV$1309,MATCH("B06-ND-40.5",'SKU明细'!$A$11:$A$1309,0)),INDEX('SKU明细'!$BV$11:$BV$1309,MATCH("B06-ND-41-N",'SKU明细'!$A$11:$A$1309,0)),INDEX('SKU明细'!$BV$11:$BV$1309,MATCH("B06-ND-41.5",'SKU明细'!$A$11:$A$1309,0)),INDEX('SKU明细'!$BV$11:$BV$1309,MATCH("B06-ND-42-N",'SKU明细'!$A$11:$A$1309,0)))=11,SUM(INDEX('SKU明细'!$BV$11:$BV$1309,MATCH("B06-ND-37-N",'SKU明细'!$A$11:$A$1309,0)),INDEX('SKU明细'!$BV$11:$BV$1309,MATCH("B06-ND-37.5",'SKU明细'!$A$11:$A$1309,0)),INDEX('SKU明细'!$BV$11:$BV$1309,MATCH("B06-ND-38",'SKU明细'!$A$11:$A$1309,0)),INDEX('SKU明细'!$BV$11:$BV$1309,MATCH("B06-ND-38.5",'SKU明细'!$A$11:$A$1309,0)),INDEX('SKU明细'!$BV$11:$BV$1309,MATCH("B06-ND-39",'SKU明细'!$A$11:$A$1309,0)),INDEX('SKU明细'!$BV$11:$BV$1309,MATCH("B06-ND-39.5",'SKU明细'!$A$11:$A$1309,0)),INDEX('SKU明细'!$BV$11:$BV$1309,MATCH("B06-ND-40-N",'SKU明细'!$A$11:$A$1309,0)),INDEX('SKU明细'!$BV$11:$BV$1309,MATCH("B06-ND-40.5",'SKU明细'!$A$11:$A$1309,0)),INDEX('SKU明细'!$BV$11:$BV$1309,MATCH("B06-ND-41-N",'SKU明细'!$A$11:$A$1309,0)),INDEX('SKU明细'!$BV$11:$BV$1309,MATCH("B06-ND-41.5",'SKU明细'!$A$11:$A$1309,0)),INDEX('SKU明细'!$BV$11:$BV$1309,MATCH("B06-ND-42-N",'SKU明细'!$A$11:$A$1309,0))),"待核")</x:f>
        <x:v>10.424281020384681</x:v>
      </x:c>
      <x:c r="X47" s="11" t="n">
        <x:f>INDEX('SKU明细'!$BW$11:$BW$1309,MATCH("B06-ND-37-N",'SKU明细'!$A$11:$A$1309,0))</x:f>
        <x:v>1.2247029157699902</x:v>
      </x:c>
      <x:c r="Y47" s="13" t="n">
        <x:f>IF(COUNT(INDEX('SKU明细'!$BY$11:$BY$1309,MATCH("B06-ND-37-N",'SKU明细'!$A$11:$A$1309,0)),INDEX('SKU明细'!$BY$11:$BY$1309,MATCH("B06-ND-37.5",'SKU明细'!$A$11:$A$1309,0)),INDEX('SKU明细'!$BY$11:$BY$1309,MATCH("B06-ND-38",'SKU明细'!$A$11:$A$1309,0)),INDEX('SKU明细'!$BY$11:$BY$1309,MATCH("B06-ND-38.5",'SKU明细'!$A$11:$A$1309,0)),INDEX('SKU明细'!$BY$11:$BY$1309,MATCH("B06-ND-39",'SKU明细'!$A$11:$A$1309,0)),INDEX('SKU明细'!$BY$11:$BY$1309,MATCH("B06-ND-39.5",'SKU明细'!$A$11:$A$1309,0)),INDEX('SKU明细'!$BY$11:$BY$1309,MATCH("B06-ND-40-N",'SKU明细'!$A$11:$A$1309,0)),INDEX('SKU明细'!$BY$11:$BY$1309,MATCH("B06-ND-40.5",'SKU明细'!$A$11:$A$1309,0)),INDEX('SKU明细'!$BY$11:$BY$1309,MATCH("B06-ND-41-N",'SKU明细'!$A$11:$A$1309,0)),INDEX('SKU明细'!$BY$11:$BY$1309,MATCH("B06-ND-41.5",'SKU明细'!$A$11:$A$1309,0)),INDEX('SKU明细'!$BY$11:$BY$1309,MATCH("B06-ND-42-N",'SKU明细'!$A$11:$A$1309,0)))=11,SUM(INDEX('SKU明细'!$BY$11:$BY$1309,MATCH("B06-ND-37-N",'SKU明细'!$A$11:$A$1309,0)),INDEX('SKU明细'!$BY$11:$BY$1309,MATCH("B06-ND-37.5",'SKU明细'!$A$11:$A$1309,0)),INDEX('SKU明细'!$BY$11:$BY$1309,MATCH("B06-ND-38",'SKU明细'!$A$11:$A$1309,0)),INDEX('SKU明细'!$BY$11:$BY$1309,MATCH("B06-ND-38.5",'SKU明细'!$A$11:$A$1309,0)),INDEX('SKU明细'!$BY$11:$BY$1309,MATCH("B06-ND-39",'SKU明细'!$A$11:$A$1309,0)),INDEX('SKU明细'!$BY$11:$BY$1309,MATCH("B06-ND-39.5",'SKU明细'!$A$11:$A$1309,0)),INDEX('SKU明细'!$BY$11:$BY$1309,MATCH("B06-ND-40-N",'SKU明细'!$A$11:$A$1309,0)),INDEX('SKU明细'!$BY$11:$BY$1309,MATCH("B06-ND-40.5",'SKU明细'!$A$11:$A$1309,0)),INDEX('SKU明细'!$BY$11:$BY$1309,MATCH("B06-ND-41-N",'SKU明细'!$A$11:$A$1309,0)),INDEX('SKU明细'!$BY$11:$BY$1309,MATCH("B06-ND-41.5",'SKU明细'!$A$11:$A$1309,0)),INDEX('SKU明细'!$BY$11:$BY$1309,MATCH("B06-ND-42-N",'SKU明细'!$A$11:$A$1309,0))),"待核")</x:f>
        <x:v>153.19976832565064</x:v>
      </x:c>
      <x:c r="Z47" s="11" t="n">
        <x:f>INDEX('SKU明细'!$BZ$11:$BZ$1309,MATCH("B06-ND-37-N",'SKU明细'!$A$11:$A$1309,0))</x:f>
        <x:v>0.8332682139098497</x:v>
      </x:c>
      <x:c r="AA47" s="13" t="n">
        <x:f>IF(COUNT(INDEX('SKU明细'!$CB$11:$CB$1309,MATCH("B06-ND-37-N",'SKU明细'!$A$11:$A$1309,0)),INDEX('SKU明细'!$CB$11:$CB$1309,MATCH("B06-ND-37.5",'SKU明细'!$A$11:$A$1309,0)),INDEX('SKU明细'!$CB$11:$CB$1309,MATCH("B06-ND-38",'SKU明细'!$A$11:$A$1309,0)),INDEX('SKU明细'!$CB$11:$CB$1309,MATCH("B06-ND-38.5",'SKU明细'!$A$11:$A$1309,0)),INDEX('SKU明细'!$CB$11:$CB$1309,MATCH("B06-ND-39",'SKU明细'!$A$11:$A$1309,0)),INDEX('SKU明细'!$CB$11:$CB$1309,MATCH("B06-ND-39.5",'SKU明细'!$A$11:$A$1309,0)),INDEX('SKU明细'!$CB$11:$CB$1309,MATCH("B06-ND-40-N",'SKU明细'!$A$11:$A$1309,0)),INDEX('SKU明细'!$CB$11:$CB$1309,MATCH("B06-ND-40.5",'SKU明细'!$A$11:$A$1309,0)),INDEX('SKU明细'!$CB$11:$CB$1309,MATCH("B06-ND-41-N",'SKU明细'!$A$11:$A$1309,0)),INDEX('SKU明细'!$CB$11:$CB$1309,MATCH("B06-ND-41.5",'SKU明细'!$A$11:$A$1309,0)),INDEX('SKU明细'!$CB$11:$CB$1309,MATCH("B06-ND-42-N",'SKU明细'!$A$11:$A$1309,0)))=11,SUM(INDEX('SKU明细'!$CB$11:$CB$1309,MATCH("B06-ND-37-N",'SKU明细'!$A$11:$A$1309,0)),INDEX('SKU明细'!$CB$11:$CB$1309,MATCH("B06-ND-37.5",'SKU明细'!$A$11:$A$1309,0)),INDEX('SKU明细'!$CB$11:$CB$1309,MATCH("B06-ND-38",'SKU明细'!$A$11:$A$1309,0)),INDEX('SKU明细'!$CB$11:$CB$1309,MATCH("B06-ND-38.5",'SKU明细'!$A$11:$A$1309,0)),INDEX('SKU明细'!$CB$11:$CB$1309,MATCH("B06-ND-39",'SKU明细'!$A$11:$A$1309,0)),INDEX('SKU明细'!$CB$11:$CB$1309,MATCH("B06-ND-39.5",'SKU明细'!$A$11:$A$1309,0)),INDEX('SKU明细'!$CB$11:$CB$1309,MATCH("B06-ND-40-N",'SKU明细'!$A$11:$A$1309,0)),INDEX('SKU明细'!$CB$11:$CB$1309,MATCH("B06-ND-40.5",'SKU明细'!$A$11:$A$1309,0)),INDEX('SKU明细'!$CB$11:$CB$1309,MATCH("B06-ND-41-N",'SKU明细'!$A$11:$A$1309,0)),INDEX('SKU明细'!$CB$11:$CB$1309,MATCH("B06-ND-41.5",'SKU明细'!$A$11:$A$1309,0)),INDEX('SKU明细'!$CB$11:$CB$1309,MATCH("B06-ND-42-N",'SKU明细'!$A$11:$A$1309,0))),"待核")</x:f>
        <x:v>260.5866608145087</x:v>
      </x:c>
      <x:c r="AB47" s="11" t="n">
        <x:f>INDEX('SKU明细'!$CC$11:$CC$1309,MATCH("B06-ND-37-N",'SKU明细'!$A$11:$A$1309,0))</x:f>
        <x:v>0.5511018253564084</x:v>
      </x:c>
      <x:c r="AC47" s="13" t="n">
        <x:f>IF(COUNT(INDEX('SKU明细'!$CE$11:$CE$1309,MATCH("B06-ND-37-N",'SKU明细'!$A$11:$A$1309,0)),INDEX('SKU明细'!$CE$11:$CE$1309,MATCH("B06-ND-37.5",'SKU明细'!$A$11:$A$1309,0)),INDEX('SKU明细'!$CE$11:$CE$1309,MATCH("B06-ND-38",'SKU明细'!$A$11:$A$1309,0)),INDEX('SKU明细'!$CE$11:$CE$1309,MATCH("B06-ND-38.5",'SKU明细'!$A$11:$A$1309,0)),INDEX('SKU明细'!$CE$11:$CE$1309,MATCH("B06-ND-39",'SKU明细'!$A$11:$A$1309,0)),INDEX('SKU明细'!$CE$11:$CE$1309,MATCH("B06-ND-39.5",'SKU明细'!$A$11:$A$1309,0)),INDEX('SKU明细'!$CE$11:$CE$1309,MATCH("B06-ND-40-N",'SKU明细'!$A$11:$A$1309,0)),INDEX('SKU明细'!$CE$11:$CE$1309,MATCH("B06-ND-40.5",'SKU明细'!$A$11:$A$1309,0)),INDEX('SKU明细'!$CE$11:$CE$1309,MATCH("B06-ND-41-N",'SKU明细'!$A$11:$A$1309,0)),INDEX('SKU明细'!$CE$11:$CE$1309,MATCH("B06-ND-41.5",'SKU明细'!$A$11:$A$1309,0)),INDEX('SKU明细'!$CE$11:$CE$1309,MATCH("B06-ND-42-N",'SKU明细'!$A$11:$A$1309,0)))=11,SUM(INDEX('SKU明细'!$CE$11:$CE$1309,MATCH("B06-ND-37-N",'SKU明细'!$A$11:$A$1309,0)),INDEX('SKU明细'!$CE$11:$CE$1309,MATCH("B06-ND-37.5",'SKU明细'!$A$11:$A$1309,0)),INDEX('SKU明细'!$CE$11:$CE$1309,MATCH("B06-ND-38",'SKU明细'!$A$11:$A$1309,0)),INDEX('SKU明细'!$CE$11:$CE$1309,MATCH("B06-ND-38.5",'SKU明细'!$A$11:$A$1309,0)),INDEX('SKU明细'!$CE$11:$CE$1309,MATCH("B06-ND-39",'SKU明细'!$A$11:$A$1309,0)),INDEX('SKU明细'!$CE$11:$CE$1309,MATCH("B06-ND-39.5",'SKU明细'!$A$11:$A$1309,0)),INDEX('SKU明细'!$CE$11:$CE$1309,MATCH("B06-ND-40-N",'SKU明细'!$A$11:$A$1309,0)),INDEX('SKU明细'!$CE$11:$CE$1309,MATCH("B06-ND-40.5",'SKU明细'!$A$11:$A$1309,0)),INDEX('SKU明细'!$CE$11:$CE$1309,MATCH("B06-ND-41-N",'SKU明细'!$A$11:$A$1309,0)),INDEX('SKU明细'!$CE$11:$CE$1309,MATCH("B06-ND-41.5",'SKU明细'!$A$11:$A$1309,0)),INDEX('SKU明细'!$CE$11:$CE$1309,MATCH("B06-ND-42-N",'SKU明细'!$A$11:$A$1309,0))),"待核")</x:f>
        <x:v>178.09004924922695</x:v>
      </x:c>
      <x:c r="AD47" s="11" t="n">
        <x:f>INDEX('SKU明细'!$CF$11:$CF$1309,MATCH("B06-ND-37-N",'SKU明细'!$A$11:$A$1309,0))</x:f>
        <x:v>1.0017220238758797</x:v>
      </x:c>
      <x:c r="AE47" s="13" t="n">
        <x:f>IF(COUNT(INDEX('SKU明细'!$CH$11:$CH$1309,MATCH("B06-ND-37-N",'SKU明细'!$A$11:$A$1309,0)),INDEX('SKU明细'!$CH$11:$CH$1309,MATCH("B06-ND-37.5",'SKU明细'!$A$11:$A$1309,0)),INDEX('SKU明细'!$CH$11:$CH$1309,MATCH("B06-ND-38",'SKU明细'!$A$11:$A$1309,0)),INDEX('SKU明细'!$CH$11:$CH$1309,MATCH("B06-ND-38.5",'SKU明细'!$A$11:$A$1309,0)),INDEX('SKU明细'!$CH$11:$CH$1309,MATCH("B06-ND-39",'SKU明细'!$A$11:$A$1309,0)),INDEX('SKU明细'!$CH$11:$CH$1309,MATCH("B06-ND-39.5",'SKU明细'!$A$11:$A$1309,0)),INDEX('SKU明细'!$CH$11:$CH$1309,MATCH("B06-ND-40-N",'SKU明细'!$A$11:$A$1309,0)),INDEX('SKU明细'!$CH$11:$CH$1309,MATCH("B06-ND-40.5",'SKU明细'!$A$11:$A$1309,0)),INDEX('SKU明细'!$CH$11:$CH$1309,MATCH("B06-ND-41-N",'SKU明细'!$A$11:$A$1309,0)),INDEX('SKU明细'!$CH$11:$CH$1309,MATCH("B06-ND-41.5",'SKU明细'!$A$11:$A$1309,0)),INDEX('SKU明细'!$CH$11:$CH$1309,MATCH("B06-ND-42-N",'SKU明细'!$A$11:$A$1309,0)))=11,SUM(INDEX('SKU明细'!$CH$11:$CH$1309,MATCH("B06-ND-37-N",'SKU明细'!$A$11:$A$1309,0)),INDEX('SKU明细'!$CH$11:$CH$1309,MATCH("B06-ND-37.5",'SKU明细'!$A$11:$A$1309,0)),INDEX('SKU明细'!$CH$11:$CH$1309,MATCH("B06-ND-38",'SKU明细'!$A$11:$A$1309,0)),INDEX('SKU明细'!$CH$11:$CH$1309,MATCH("B06-ND-38.5",'SKU明细'!$A$11:$A$1309,0)),INDEX('SKU明细'!$CH$11:$CH$1309,MATCH("B06-ND-39",'SKU明细'!$A$11:$A$1309,0)),INDEX('SKU明细'!$CH$11:$CH$1309,MATCH("B06-ND-39.5",'SKU明细'!$A$11:$A$1309,0)),INDEX('SKU明细'!$CH$11:$CH$1309,MATCH("B06-ND-40-N",'SKU明细'!$A$11:$A$1309,0)),INDEX('SKU明细'!$CH$11:$CH$1309,MATCH("B06-ND-40.5",'SKU明细'!$A$11:$A$1309,0)),INDEX('SKU明细'!$CH$11:$CH$1309,MATCH("B06-ND-41-N",'SKU明细'!$A$11:$A$1309,0)),INDEX('SKU明细'!$CH$11:$CH$1309,MATCH("B06-ND-41.5",'SKU明细'!$A$11:$A$1309,0)),INDEX('SKU明细'!$CH$11:$CH$1309,MATCH("B06-ND-42-N",'SKU明细'!$A$11:$A$1309,0))),"待核")</x:f>
        <x:v>177.51794198024126</x:v>
      </x:c>
      <x:c r="AF47" s="13" t="n">
        <x:f>IF(COUNT(INDEX('SKU明细'!$CI$11:$CI$1309,MATCH("B06-ND-37-N",'SKU明细'!$A$11:$A$1309,0)),INDEX('SKU明细'!$CI$11:$CI$1309,MATCH("B06-ND-37.5",'SKU明细'!$A$11:$A$1309,0)),INDEX('SKU明细'!$CI$11:$CI$1309,MATCH("B06-ND-38",'SKU明细'!$A$11:$A$1309,0)),INDEX('SKU明细'!$CI$11:$CI$1309,MATCH("B06-ND-38.5",'SKU明细'!$A$11:$A$1309,0)),INDEX('SKU明细'!$CI$11:$CI$1309,MATCH("B06-ND-39",'SKU明细'!$A$11:$A$1309,0)),INDEX('SKU明细'!$CI$11:$CI$1309,MATCH("B06-ND-39.5",'SKU明细'!$A$11:$A$1309,0)),INDEX('SKU明细'!$CI$11:$CI$1309,MATCH("B06-ND-40-N",'SKU明细'!$A$11:$A$1309,0)),INDEX('SKU明细'!$CI$11:$CI$1309,MATCH("B06-ND-40.5",'SKU明细'!$A$11:$A$1309,0)),INDEX('SKU明细'!$CI$11:$CI$1309,MATCH("B06-ND-41-N",'SKU明细'!$A$11:$A$1309,0)),INDEX('SKU明细'!$CI$11:$CI$1309,MATCH("B06-ND-41.5",'SKU明细'!$A$11:$A$1309,0)),INDEX('SKU明细'!$CI$11:$CI$1309,MATCH("B06-ND-42-N",'SKU明细'!$A$11:$A$1309,0)))=11,SUM(INDEX('SKU明细'!$CI$11:$CI$1309,MATCH("B06-ND-37-N",'SKU明细'!$A$11:$A$1309,0)),INDEX('SKU明细'!$CI$11:$CI$1309,MATCH("B06-ND-37.5",'SKU明细'!$A$11:$A$1309,0)),INDEX('SKU明细'!$CI$11:$CI$1309,MATCH("B06-ND-38",'SKU明细'!$A$11:$A$1309,0)),INDEX('SKU明细'!$CI$11:$CI$1309,MATCH("B06-ND-38.5",'SKU明细'!$A$11:$A$1309,0)),INDEX('SKU明细'!$CI$11:$CI$1309,MATCH("B06-ND-39",'SKU明细'!$A$11:$A$1309,0)),INDEX('SKU明细'!$CI$11:$CI$1309,MATCH("B06-ND-39.5",'SKU明细'!$A$11:$A$1309,0)),INDEX('SKU明细'!$CI$11:$CI$1309,MATCH("B06-ND-40-N",'SKU明细'!$A$11:$A$1309,0)),INDEX('SKU明细'!$CI$11:$CI$1309,MATCH("B06-ND-40.5",'SKU明细'!$A$11:$A$1309,0)),INDEX('SKU明细'!$CI$11:$CI$1309,MATCH("B06-ND-41-N",'SKU明细'!$A$11:$A$1309,0)),INDEX('SKU明细'!$CI$11:$CI$1309,MATCH("B06-ND-41.5",'SKU明细'!$A$11:$A$1309,0)),INDEX('SKU明细'!$CI$11:$CI$1309,MATCH("B06-ND-42-N",'SKU明细'!$A$11:$A$1309,0))),"待核")</x:f>
        <x:v>769.3944203696275</x:v>
      </x:c>
    </x:row>
    <x:row r="48" ht="40" customHeight="1">
      <x:c r="A48" s="35" t="str">
        <x:v>B06</x:v>
      </x:c>
      <x:c r="B48" s="35" t="str">
        <x:v>艾年</x:v>
      </x:c>
      <x:c r="C48" s="35" t="str">
        <x:v>裸色色织提花</x:v>
      </x:c>
      <x:c r="D48" s="35" t="str">
        <x:v>ND-I</x:v>
      </x:c>
      <x:c r="E48" s="35" t="str">
        <x:v>B06-ND-I-0</x:v>
      </x:c>
      <x:c r="F48" s="35"/>
      <x:c r="G48" s="36" t="str">
        <x:f>"—"</x:f>
        <x:v>—</x:v>
      </x:c>
      <x:c r="H48" s="36" t="str">
        <x:f>IF(COUNT(INDEX('SKU明细'!$D$11:$D$1309,MATCH("B06-ND-I-0-37",'SKU明细'!$A$11:$A$1309,0)))=0,"待核",IF(COUNT(INDEX('SKU明细'!$D$11:$D$1309,MATCH("B06-ND-I-0-37",'SKU明细'!$A$11:$A$1309,0)))&lt;1,SUM(INDEX('SKU明细'!$D$11:$D$1309,MATCH("B06-ND-I-0-37",'SKU明细'!$A$11:$A$1309,0)))&amp;" + 待核",SUM(INDEX('SKU明细'!$D$11:$D$1309,MATCH("B06-ND-I-0-37",'SKU明细'!$A$11:$A$1309,0)))))</x:f>
        <x:v>待核</x:v>
      </x:c>
      <x:c r="I48" s="36" t="str">
        <x:f>IF(COUNT(INDEX('SKU明细'!$D$11:$D$1309,MATCH("B06-ND-I-0-37.5",'SKU明细'!$A$11:$A$1309,0)))=0,"待核",IF(COUNT(INDEX('SKU明细'!$D$11:$D$1309,MATCH("B06-ND-I-0-37.5",'SKU明细'!$A$11:$A$1309,0)))&lt;1,SUM(INDEX('SKU明细'!$D$11:$D$1309,MATCH("B06-ND-I-0-37.5",'SKU明细'!$A$11:$A$1309,0)))&amp;" + 待核",SUM(INDEX('SKU明细'!$D$11:$D$1309,MATCH("B06-ND-I-0-37.5",'SKU明细'!$A$11:$A$1309,0)))))</x:f>
        <x:v>待核</x:v>
      </x:c>
      <x:c r="J48" s="36" t="str">
        <x:f>"—"</x:f>
        <x:v>—</x:v>
      </x:c>
      <x:c r="K48" s="36" t="str">
        <x:f>"—"</x:f>
        <x:v>—</x:v>
      </x:c>
      <x:c r="L48" s="36" t="str">
        <x:f>"—"</x:f>
        <x:v>—</x:v>
      </x:c>
      <x:c r="M48" s="36" t="str">
        <x:f>"—"</x:f>
        <x:v>—</x:v>
      </x:c>
      <x:c r="N48" s="36" t="str">
        <x:f>"—"</x:f>
        <x:v>—</x:v>
      </x:c>
      <x:c r="O48" s="36" t="str">
        <x:f>"—"</x:f>
        <x:v>—</x:v>
      </x:c>
      <x:c r="P48" s="36" t="str">
        <x:f>"—"</x:f>
        <x:v>—</x:v>
      </x:c>
      <x:c r="Q48" s="36" t="str">
        <x:f>"—"</x:f>
        <x:v>—</x:v>
      </x:c>
      <x:c r="R48" s="36" t="str">
        <x:f>"—"</x:f>
        <x:v>—</x:v>
      </x:c>
      <x:c r="S48" s="36" t="str">
        <x:f>IF(COUNT(INDEX('SKU明细'!$D$11:$D$1309,MATCH("B06-ND-I-0-37",'SKU明细'!$A$11:$A$1309,0)),INDEX('SKU明细'!$D$11:$D$1309,MATCH("B06-ND-I-0-37.5",'SKU明细'!$A$11:$A$1309,0)))=0,"待核",SUM(INDEX('SKU明细'!$D$11:$D$1309,MATCH("B06-ND-I-0-37",'SKU明细'!$A$11:$A$1309,0)),INDEX('SKU明细'!$D$11:$D$1309,MATCH("B06-ND-I-0-37.5",'SKU明细'!$A$11:$A$1309,0))))</x:f>
        <x:v>待核</x:v>
      </x:c>
      <x:c r="T48" s="36" t="n">
        <x:f>IF(COUNTIFS($A$9:$A$191,A48,$U$9:$U$191,"&lt;&gt;待核")=0,"待核",SUMIF($A$9:$A$191,A48,$S$9:$S$191))</x:f>
        <x:v>613</x:v>
      </x:c>
      <x:c r="U48" s="35" t="str">
        <x:f>IF(COUNT(INDEX('SKU明细'!$D$11:$D$1309,MATCH("B06-ND-I-0-37",'SKU明细'!$A$11:$A$1309,0)),INDEX('SKU明细'!$D$11:$D$1309,MATCH("B06-ND-I-0-37.5",'SKU明细'!$A$11:$A$1309,0)))=0,"待核",IF(COUNT(INDEX('SKU明细'!$D$11:$D$1309,MATCH("B06-ND-I-0-37",'SKU明细'!$A$11:$A$1309,0)),INDEX('SKU明细'!$D$11:$D$1309,MATCH("B06-ND-I-0-37.5",'SKU明细'!$A$11:$A$1309,0)))&lt;2,"另有待核","已核"))</x:f>
        <x:v>待核</x:v>
      </x:c>
      <x:c r="V48" s="35" t="str">
        <x:v>停售</x:v>
      </x:c>
      <x:c r="W48" s="11" t="n">
        <x:f>IF(COUNT(INDEX('SKU明细'!$BV$11:$BV$1309,MATCH("B06-ND-I-0-37",'SKU明细'!$A$11:$A$1309,0)),INDEX('SKU明细'!$BV$11:$BV$1309,MATCH("B06-ND-I-0-37.5",'SKU明细'!$A$11:$A$1309,0)))=2,SUM(INDEX('SKU明细'!$BV$11:$BV$1309,MATCH("B06-ND-I-0-37",'SKU明细'!$A$11:$A$1309,0)),INDEX('SKU明细'!$BV$11:$BV$1309,MATCH("B06-ND-I-0-37.5",'SKU明细'!$A$11:$A$1309,0))),"待核")</x:f>
        <x:v>0.00812891853872093</x:v>
      </x:c>
      <x:c r="X48" s="11" t="n">
        <x:f>INDEX('SKU明细'!$BW$11:$BW$1309,MATCH("B06-ND-I-0-37",'SKU明细'!$A$11:$A$1309,0))</x:f>
        <x:v>1.2247029157699902</x:v>
      </x:c>
      <x:c r="Y48" s="13" t="n">
        <x:f>IF(COUNT(INDEX('SKU明细'!$BY$11:$BY$1309,MATCH("B06-ND-I-0-37",'SKU明细'!$A$11:$A$1309,0)),INDEX('SKU明细'!$BY$11:$BY$1309,MATCH("B06-ND-I-0-37.5",'SKU明细'!$A$11:$A$1309,0)))=2,SUM(INDEX('SKU明细'!$BY$11:$BY$1309,MATCH("B06-ND-I-0-37",'SKU明细'!$A$11:$A$1309,0)),INDEX('SKU明细'!$BY$11:$BY$1309,MATCH("B06-ND-I-0-37.5",'SKU明细'!$A$11:$A$1309,0))),"待核")</x:f>
        <x:v>0.119466122837139</x:v>
      </x:c>
      <x:c r="Z48" s="11" t="n">
        <x:f>INDEX('SKU明细'!$BZ$11:$BZ$1309,MATCH("B06-ND-I-0-37",'SKU明细'!$A$11:$A$1309,0))</x:f>
        <x:v>0.8332682139098497</x:v>
      </x:c>
      <x:c r="AA48" s="13" t="n">
        <x:f>IF(COUNT(INDEX('SKU明细'!$CB$11:$CB$1309,MATCH("B06-ND-I-0-37",'SKU明细'!$A$11:$A$1309,0)),INDEX('SKU明细'!$CB$11:$CB$1309,MATCH("B06-ND-I-0-37.5",'SKU明细'!$A$11:$A$1309,0)))=2,SUM(INDEX('SKU明细'!$CB$11:$CB$1309,MATCH("B06-ND-I-0-37",'SKU明细'!$A$11:$A$1309,0)),INDEX('SKU明细'!$CB$11:$CB$1309,MATCH("B06-ND-I-0-37.5",'SKU明细'!$A$11:$A$1309,0))),"待核")</x:f>
        <x:v>0.20320708295335962</x:v>
      </x:c>
      <x:c r="AB48" s="11" t="n">
        <x:f>INDEX('SKU明细'!$CC$11:$CC$1309,MATCH("B06-ND-I-0-37",'SKU明细'!$A$11:$A$1309,0))</x:f>
        <x:v>0.5511018253564084</x:v>
      </x:c>
      <x:c r="AC48" s="13" t="n">
        <x:f>IF(COUNT(INDEX('SKU明细'!$CE$11:$CE$1309,MATCH("B06-ND-I-0-37",'SKU明细'!$A$11:$A$1309,0)),INDEX('SKU明细'!$CE$11:$CE$1309,MATCH("B06-ND-I-0-37.5",'SKU明细'!$A$11:$A$1309,0)))=2,SUM(INDEX('SKU明细'!$CE$11:$CE$1309,MATCH("B06-ND-I-0-37",'SKU明细'!$A$11:$A$1309,0)),INDEX('SKU明细'!$CE$11:$CE$1309,MATCH("B06-ND-I-0-37.5",'SKU明细'!$A$11:$A$1309,0))),"待核")</x:f>
        <x:v>0.1388757171907422</x:v>
      </x:c>
      <x:c r="AD48" s="11" t="n">
        <x:f>INDEX('SKU明细'!$CF$11:$CF$1309,MATCH("B06-ND-I-0-37",'SKU明细'!$A$11:$A$1309,0))</x:f>
        <x:v>1.0017220238758797</x:v>
      </x:c>
      <x:c r="AE48" s="13" t="n">
        <x:f>IF(COUNT(INDEX('SKU明细'!$CH$11:$CH$1309,MATCH("B06-ND-I-0-37",'SKU明细'!$A$11:$A$1309,0)),INDEX('SKU明细'!$CH$11:$CH$1309,MATCH("B06-ND-I-0-37.5",'SKU明细'!$A$11:$A$1309,0)))=2,SUM(INDEX('SKU明细'!$CH$11:$CH$1309,MATCH("B06-ND-I-0-37",'SKU明细'!$A$11:$A$1309,0)),INDEX('SKU明细'!$CH$11:$CH$1309,MATCH("B06-ND-I-0-37.5",'SKU明细'!$A$11:$A$1309,0))),"待核")</x:f>
        <x:v>0.1384295844190047</x:v>
      </x:c>
      <x:c r="AF48" s="13" t="n">
        <x:f>IF(COUNT(INDEX('SKU明细'!$CI$11:$CI$1309,MATCH("B06-ND-I-0-37",'SKU明细'!$A$11:$A$1309,0)),INDEX('SKU明细'!$CI$11:$CI$1309,MATCH("B06-ND-I-0-37.5",'SKU明细'!$A$11:$A$1309,0)))=2,SUM(INDEX('SKU明细'!$CI$11:$CI$1309,MATCH("B06-ND-I-0-37",'SKU明细'!$A$11:$A$1309,0)),INDEX('SKU明细'!$CI$11:$CI$1309,MATCH("B06-ND-I-0-37.5",'SKU明细'!$A$11:$A$1309,0))),"待核")</x:f>
        <x:v>0.5999785074002455</x:v>
      </x:c>
    </x:row>
    <x:row r="49" ht="40" customHeight="1">
      <x:c r="A49" s="35" t="str">
        <x:v>B06</x:v>
      </x:c>
      <x:c r="B49" s="35" t="str">
        <x:v>艾年</x:v>
      </x:c>
      <x:c r="C49" s="35" t="str">
        <x:v>裸色镜面PU</x:v>
      </x:c>
      <x:c r="D49" s="35" t="str">
        <x:v>ND-Z</x:v>
      </x:c>
      <x:c r="E49" s="35" t="str">
        <x:v>B06-ND-Z-0</x:v>
      </x:c>
      <x:c r="F49" s="35"/>
      <x:c r="G49" s="36" t="str">
        <x:f>"—"</x:f>
        <x:v>—</x:v>
      </x:c>
      <x:c r="H49" s="36" t="str">
        <x:f>IF(COUNT(INDEX('SKU明细'!$D$11:$D$1309,MATCH("B06-ND-Z-0-37",'SKU明细'!$A$11:$A$1309,0)))=0,"待核",IF(COUNT(INDEX('SKU明细'!$D$11:$D$1309,MATCH("B06-ND-Z-0-37",'SKU明细'!$A$11:$A$1309,0)))&lt;1,SUM(INDEX('SKU明细'!$D$11:$D$1309,MATCH("B06-ND-Z-0-37",'SKU明细'!$A$11:$A$1309,0)))&amp;" + 待核",SUM(INDEX('SKU明细'!$D$11:$D$1309,MATCH("B06-ND-Z-0-37",'SKU明细'!$A$11:$A$1309,0)))))</x:f>
        <x:v>待核</x:v>
      </x:c>
      <x:c r="I49" s="36" t="n">
        <x:f>IF(COUNT(INDEX('SKU明细'!$D$11:$D$1309,MATCH("B06-ND-Z-0-37.5",'SKU明细'!$A$11:$A$1309,0)))=0,"待核",IF(COUNT(INDEX('SKU明细'!$D$11:$D$1309,MATCH("B06-ND-Z-0-37.5",'SKU明细'!$A$11:$A$1309,0)))&lt;1,SUM(INDEX('SKU明细'!$D$11:$D$1309,MATCH("B06-ND-Z-0-37.5",'SKU明细'!$A$11:$A$1309,0)))&amp;" + 待核",SUM(INDEX('SKU明细'!$D$11:$D$1309,MATCH("B06-ND-Z-0-37.5",'SKU明细'!$A$11:$A$1309,0)))))</x:f>
        <x:v>0</x:v>
      </x:c>
      <x:c r="J49" s="36" t="n">
        <x:f>IF(COUNT(INDEX('SKU明细'!$D$11:$D$1309,MATCH("B06-ND-Z-0-38",'SKU明细'!$A$11:$A$1309,0)))=0,"待核",IF(COUNT(INDEX('SKU明细'!$D$11:$D$1309,MATCH("B06-ND-Z-0-38",'SKU明细'!$A$11:$A$1309,0)))&lt;1,SUM(INDEX('SKU明细'!$D$11:$D$1309,MATCH("B06-ND-Z-0-38",'SKU明细'!$A$11:$A$1309,0)))&amp;" + 待核",SUM(INDEX('SKU明细'!$D$11:$D$1309,MATCH("B06-ND-Z-0-38",'SKU明细'!$A$11:$A$1309,0)))))</x:f>
        <x:v>0</x:v>
      </x:c>
      <x:c r="K49" s="36" t="str">
        <x:f>"—"</x:f>
        <x:v>—</x:v>
      </x:c>
      <x:c r="L49" s="36" t="str">
        <x:f>"—"</x:f>
        <x:v>—</x:v>
      </x:c>
      <x:c r="M49" s="36" t="n">
        <x:f>IF(COUNT(INDEX('SKU明细'!$D$11:$D$1309,MATCH("B06-ND-Z-0-39.5",'SKU明细'!$A$11:$A$1309,0)))=0,"待核",IF(COUNT(INDEX('SKU明细'!$D$11:$D$1309,MATCH("B06-ND-Z-0-39.5",'SKU明细'!$A$11:$A$1309,0)))&lt;1,SUM(INDEX('SKU明细'!$D$11:$D$1309,MATCH("B06-ND-Z-0-39.5",'SKU明细'!$A$11:$A$1309,0)))&amp;" + 待核",SUM(INDEX('SKU明细'!$D$11:$D$1309,MATCH("B06-ND-Z-0-39.5",'SKU明细'!$A$11:$A$1309,0)))))</x:f>
        <x:v>0</x:v>
      </x:c>
      <x:c r="N49" s="36" t="str">
        <x:f>"—"</x:f>
        <x:v>—</x:v>
      </x:c>
      <x:c r="O49" s="36" t="str">
        <x:f>"—"</x:f>
        <x:v>—</x:v>
      </x:c>
      <x:c r="P49" s="36" t="str">
        <x:f>"—"</x:f>
        <x:v>—</x:v>
      </x:c>
      <x:c r="Q49" s="36" t="str">
        <x:f>"—"</x:f>
        <x:v>—</x:v>
      </x:c>
      <x:c r="R49" s="36" t="n">
        <x:f>IF(COUNT(INDEX('SKU明细'!$D$11:$D$1309,MATCH("B06-ND-Z-0-42",'SKU明细'!$A$11:$A$1309,0)))=0,"待核",IF(COUNT(INDEX('SKU明细'!$D$11:$D$1309,MATCH("B06-ND-Z-0-42",'SKU明细'!$A$11:$A$1309,0)))&lt;1,SUM(INDEX('SKU明细'!$D$11:$D$1309,MATCH("B06-ND-Z-0-42",'SKU明细'!$A$11:$A$1309,0)))&amp;" + 待核",SUM(INDEX('SKU明细'!$D$11:$D$1309,MATCH("B06-ND-Z-0-42",'SKU明细'!$A$11:$A$1309,0)))))</x:f>
        <x:v>0</x:v>
      </x:c>
      <x:c r="S49" s="36" t="n">
        <x:f>IF(COUNT(INDEX('SKU明细'!$D$11:$D$1309,MATCH("B06-ND-Z-0-37",'SKU明细'!$A$11:$A$1309,0)),INDEX('SKU明细'!$D$11:$D$1309,MATCH("B06-ND-Z-0-37.5",'SKU明细'!$A$11:$A$1309,0)),INDEX('SKU明细'!$D$11:$D$1309,MATCH("B06-ND-Z-0-38",'SKU明细'!$A$11:$A$1309,0)),INDEX('SKU明细'!$D$11:$D$1309,MATCH("B06-ND-Z-0-39.5",'SKU明细'!$A$11:$A$1309,0)),INDEX('SKU明细'!$D$11:$D$1309,MATCH("B06-ND-Z-0-42",'SKU明细'!$A$11:$A$1309,0)))=0,"待核",SUM(INDEX('SKU明细'!$D$11:$D$1309,MATCH("B06-ND-Z-0-37",'SKU明细'!$A$11:$A$1309,0)),INDEX('SKU明细'!$D$11:$D$1309,MATCH("B06-ND-Z-0-37.5",'SKU明细'!$A$11:$A$1309,0)),INDEX('SKU明细'!$D$11:$D$1309,MATCH("B06-ND-Z-0-38",'SKU明细'!$A$11:$A$1309,0)),INDEX('SKU明细'!$D$11:$D$1309,MATCH("B06-ND-Z-0-39.5",'SKU明细'!$A$11:$A$1309,0)),INDEX('SKU明细'!$D$11:$D$1309,MATCH("B06-ND-Z-0-42",'SKU明细'!$A$11:$A$1309,0))))</x:f>
        <x:v>0</x:v>
      </x:c>
      <x:c r="T49" s="36" t="n">
        <x:f>IF(COUNTIFS($A$9:$A$191,A49,$U$9:$U$191,"&lt;&gt;待核")=0,"待核",SUMIF($A$9:$A$191,A49,$S$9:$S$191))</x:f>
        <x:v>613</x:v>
      </x:c>
      <x:c r="U49" s="35" t="str">
        <x:f>IF(COUNT(INDEX('SKU明细'!$D$11:$D$1309,MATCH("B06-ND-Z-0-37",'SKU明细'!$A$11:$A$1309,0)),INDEX('SKU明细'!$D$11:$D$1309,MATCH("B06-ND-Z-0-37.5",'SKU明细'!$A$11:$A$1309,0)),INDEX('SKU明细'!$D$11:$D$1309,MATCH("B06-ND-Z-0-38",'SKU明细'!$A$11:$A$1309,0)),INDEX('SKU明细'!$D$11:$D$1309,MATCH("B06-ND-Z-0-39.5",'SKU明细'!$A$11:$A$1309,0)),INDEX('SKU明细'!$D$11:$D$1309,MATCH("B06-ND-Z-0-42",'SKU明细'!$A$11:$A$1309,0)))=0,"待核",IF(COUNT(INDEX('SKU明细'!$D$11:$D$1309,MATCH("B06-ND-Z-0-37",'SKU明细'!$A$11:$A$1309,0)),INDEX('SKU明细'!$D$11:$D$1309,MATCH("B06-ND-Z-0-37.5",'SKU明细'!$A$11:$A$1309,0)),INDEX('SKU明细'!$D$11:$D$1309,MATCH("B06-ND-Z-0-38",'SKU明细'!$A$11:$A$1309,0)),INDEX('SKU明细'!$D$11:$D$1309,MATCH("B06-ND-Z-0-39.5",'SKU明细'!$A$11:$A$1309,0)),INDEX('SKU明细'!$D$11:$D$1309,MATCH("B06-ND-Z-0-42",'SKU明细'!$A$11:$A$1309,0)))&lt;5,"另有待核","已核"))</x:f>
        <x:v>另有待核</x:v>
      </x:c>
      <x:c r="V49" s="35" t="str">
        <x:v>停售、在售</x:v>
      </x:c>
      <x:c r="W49" s="11" t="n">
        <x:f>IF(COUNT(INDEX('SKU明细'!$BV$11:$BV$1309,MATCH("B06-ND-Z-0-37",'SKU明细'!$A$11:$A$1309,0)),INDEX('SKU明细'!$BV$11:$BV$1309,MATCH("B06-ND-Z-0-37.5",'SKU明细'!$A$11:$A$1309,0)),INDEX('SKU明细'!$BV$11:$BV$1309,MATCH("B06-ND-Z-0-38",'SKU明细'!$A$11:$A$1309,0)),INDEX('SKU明细'!$BV$11:$BV$1309,MATCH("B06-ND-Z-0-39.5",'SKU明细'!$A$11:$A$1309,0)),INDEX('SKU明细'!$BV$11:$BV$1309,MATCH("B06-ND-Z-0-42",'SKU明细'!$A$11:$A$1309,0)))=5,SUM(INDEX('SKU明细'!$BV$11:$BV$1309,MATCH("B06-ND-Z-0-37",'SKU明细'!$A$11:$A$1309,0)),INDEX('SKU明细'!$BV$11:$BV$1309,MATCH("B06-ND-Z-0-37.5",'SKU明细'!$A$11:$A$1309,0)),INDEX('SKU明细'!$BV$11:$BV$1309,MATCH("B06-ND-Z-0-38",'SKU明细'!$A$11:$A$1309,0)),INDEX('SKU明细'!$BV$11:$BV$1309,MATCH("B06-ND-Z-0-39.5",'SKU明细'!$A$11:$A$1309,0)),INDEX('SKU明细'!$BV$11:$BV$1309,MATCH("B06-ND-Z-0-42",'SKU明细'!$A$11:$A$1309,0))),"待核")</x:f>
        <x:v>0.08841394629618525</x:v>
      </x:c>
      <x:c r="X49" s="11" t="n">
        <x:f>INDEX('SKU明细'!$BW$11:$BW$1309,MATCH("B06-ND-Z-0-37",'SKU明细'!$A$11:$A$1309,0))</x:f>
        <x:v>1.2247029157699902</x:v>
      </x:c>
      <x:c r="Y49" s="13" t="n">
        <x:f>IF(COUNT(INDEX('SKU明细'!$BY$11:$BY$1309,MATCH("B06-ND-Z-0-37",'SKU明细'!$A$11:$A$1309,0)),INDEX('SKU明细'!$BY$11:$BY$1309,MATCH("B06-ND-Z-0-37.5",'SKU明细'!$A$11:$A$1309,0)),INDEX('SKU明细'!$BY$11:$BY$1309,MATCH("B06-ND-Z-0-38",'SKU明细'!$A$11:$A$1309,0)),INDEX('SKU明细'!$BY$11:$BY$1309,MATCH("B06-ND-Z-0-39.5",'SKU明细'!$A$11:$A$1309,0)),INDEX('SKU明细'!$BY$11:$BY$1309,MATCH("B06-ND-Z-0-42",'SKU明细'!$A$11:$A$1309,0)))=5,SUM(INDEX('SKU明细'!$BY$11:$BY$1309,MATCH("B06-ND-Z-0-37",'SKU明细'!$A$11:$A$1309,0)),INDEX('SKU明细'!$BY$11:$BY$1309,MATCH("B06-ND-Z-0-37.5",'SKU明细'!$A$11:$A$1309,0)),INDEX('SKU明细'!$BY$11:$BY$1309,MATCH("B06-ND-Z-0-38",'SKU明细'!$A$11:$A$1309,0)),INDEX('SKU明细'!$BY$11:$BY$1309,MATCH("B06-ND-Z-0-39.5",'SKU明细'!$A$11:$A$1309,0)),INDEX('SKU明细'!$BY$11:$BY$1309,MATCH("B06-ND-Z-0-42",'SKU明细'!$A$11:$A$1309,0))),"待核")</x:f>
        <x:v>1.2993698138840326</x:v>
      </x:c>
      <x:c r="Z49" s="11" t="n">
        <x:f>INDEX('SKU明细'!$BZ$11:$BZ$1309,MATCH("B06-ND-Z-0-37",'SKU明细'!$A$11:$A$1309,0))</x:f>
        <x:v>0.8332682139098497</x:v>
      </x:c>
      <x:c r="AA49" s="13" t="n">
        <x:f>IF(COUNT(INDEX('SKU明细'!$CB$11:$CB$1309,MATCH("B06-ND-Z-0-37",'SKU明细'!$A$11:$A$1309,0)),INDEX('SKU明细'!$CB$11:$CB$1309,MATCH("B06-ND-Z-0-37.5",'SKU明细'!$A$11:$A$1309,0)),INDEX('SKU明细'!$CB$11:$CB$1309,MATCH("B06-ND-Z-0-38",'SKU明细'!$A$11:$A$1309,0)),INDEX('SKU明细'!$CB$11:$CB$1309,MATCH("B06-ND-Z-0-39.5",'SKU明细'!$A$11:$A$1309,0)),INDEX('SKU明细'!$CB$11:$CB$1309,MATCH("B06-ND-Z-0-42",'SKU明细'!$A$11:$A$1309,0)))=5,SUM(INDEX('SKU明细'!$CB$11:$CB$1309,MATCH("B06-ND-Z-0-37",'SKU明细'!$A$11:$A$1309,0)),INDEX('SKU明细'!$CB$11:$CB$1309,MATCH("B06-ND-Z-0-37.5",'SKU明细'!$A$11:$A$1309,0)),INDEX('SKU明细'!$CB$11:$CB$1309,MATCH("B06-ND-Z-0-38",'SKU明细'!$A$11:$A$1309,0)),INDEX('SKU明细'!$CB$11:$CB$1309,MATCH("B06-ND-Z-0-39.5",'SKU明细'!$A$11:$A$1309,0)),INDEX('SKU明细'!$CB$11:$CB$1309,MATCH("B06-ND-Z-0-42",'SKU明细'!$A$11:$A$1309,0))),"待核")</x:f>
        <x:v>2.2101759334483093</x:v>
      </x:c>
      <x:c r="AB49" s="11" t="n">
        <x:f>INDEX('SKU明细'!$CC$11:$CC$1309,MATCH("B06-ND-Z-0-37",'SKU明细'!$A$11:$A$1309,0))</x:f>
        <x:v>0.5511018253564084</x:v>
      </x:c>
      <x:c r="AC49" s="13" t="n">
        <x:f>IF(COUNT(INDEX('SKU明细'!$CE$11:$CE$1309,MATCH("B06-ND-Z-0-37",'SKU明细'!$A$11:$A$1309,0)),INDEX('SKU明细'!$CE$11:$CE$1309,MATCH("B06-ND-Z-0-37.5",'SKU明细'!$A$11:$A$1309,0)),INDEX('SKU明细'!$CE$11:$CE$1309,MATCH("B06-ND-Z-0-38",'SKU明细'!$A$11:$A$1309,0)),INDEX('SKU明细'!$CE$11:$CE$1309,MATCH("B06-ND-Z-0-39.5",'SKU明细'!$A$11:$A$1309,0)),INDEX('SKU明细'!$CE$11:$CE$1309,MATCH("B06-ND-Z-0-42",'SKU明细'!$A$11:$A$1309,0)))=5,SUM(INDEX('SKU明细'!$CE$11:$CE$1309,MATCH("B06-ND-Z-0-37",'SKU明细'!$A$11:$A$1309,0)),INDEX('SKU明细'!$CE$11:$CE$1309,MATCH("B06-ND-Z-0-37.5",'SKU明细'!$A$11:$A$1309,0)),INDEX('SKU明细'!$CE$11:$CE$1309,MATCH("B06-ND-Z-0-38",'SKU明细'!$A$11:$A$1309,0)),INDEX('SKU明细'!$CE$11:$CE$1309,MATCH("B06-ND-Z-0-39.5",'SKU明细'!$A$11:$A$1309,0)),INDEX('SKU明细'!$CE$11:$CE$1309,MATCH("B06-ND-Z-0-42",'SKU明细'!$A$11:$A$1309,0))),"待核")</x:f>
        <x:v>1.5104777029145255</x:v>
      </x:c>
      <x:c r="AD49" s="11" t="n">
        <x:f>INDEX('SKU明细'!$CF$11:$CF$1309,MATCH("B06-ND-Z-0-37",'SKU明细'!$A$11:$A$1309,0))</x:f>
        <x:v>1.0017220238758797</x:v>
      </x:c>
      <x:c r="AE49" s="13" t="n">
        <x:f>IF(COUNT(INDEX('SKU明细'!$CH$11:$CH$1309,MATCH("B06-ND-Z-0-37",'SKU明细'!$A$11:$A$1309,0)),INDEX('SKU明细'!$CH$11:$CH$1309,MATCH("B06-ND-Z-0-37.5",'SKU明细'!$A$11:$A$1309,0)),INDEX('SKU明细'!$CH$11:$CH$1309,MATCH("B06-ND-Z-0-38",'SKU明细'!$A$11:$A$1309,0)),INDEX('SKU明细'!$CH$11:$CH$1309,MATCH("B06-ND-Z-0-39.5",'SKU明细'!$A$11:$A$1309,0)),INDEX('SKU明细'!$CH$11:$CH$1309,MATCH("B06-ND-Z-0-42",'SKU明细'!$A$11:$A$1309,0)))=5,SUM(INDEX('SKU明细'!$CH$11:$CH$1309,MATCH("B06-ND-Z-0-37",'SKU明细'!$A$11:$A$1309,0)),INDEX('SKU明细'!$CH$11:$CH$1309,MATCH("B06-ND-Z-0-37.5",'SKU明细'!$A$11:$A$1309,0)),INDEX('SKU明细'!$CH$11:$CH$1309,MATCH("B06-ND-Z-0-38",'SKU明细'!$A$11:$A$1309,0)),INDEX('SKU明细'!$CH$11:$CH$1309,MATCH("B06-ND-Z-0-39.5",'SKU明细'!$A$11:$A$1309,0)),INDEX('SKU明细'!$CH$11:$CH$1309,MATCH("B06-ND-Z-0-42",'SKU明细'!$A$11:$A$1309,0))),"待核")</x:f>
        <x:v>1.5056253527853563</x:v>
      </x:c>
      <x:c r="AF49" s="13" t="n">
        <x:f>IF(COUNT(INDEX('SKU明细'!$CI$11:$CI$1309,MATCH("B06-ND-Z-0-37",'SKU明细'!$A$11:$A$1309,0)),INDEX('SKU明细'!$CI$11:$CI$1309,MATCH("B06-ND-Z-0-37.5",'SKU明细'!$A$11:$A$1309,0)),INDEX('SKU明细'!$CI$11:$CI$1309,MATCH("B06-ND-Z-0-38",'SKU明细'!$A$11:$A$1309,0)),INDEX('SKU明细'!$CI$11:$CI$1309,MATCH("B06-ND-Z-0-39.5",'SKU明细'!$A$11:$A$1309,0)),INDEX('SKU明细'!$CI$11:$CI$1309,MATCH("B06-ND-Z-0-42",'SKU明细'!$A$11:$A$1309,0)))=5,SUM(INDEX('SKU明细'!$CI$11:$CI$1309,MATCH("B06-ND-Z-0-37",'SKU明细'!$A$11:$A$1309,0)),INDEX('SKU明细'!$CI$11:$CI$1309,MATCH("B06-ND-Z-0-37.5",'SKU明细'!$A$11:$A$1309,0)),INDEX('SKU明细'!$CI$11:$CI$1309,MATCH("B06-ND-Z-0-38",'SKU明细'!$A$11:$A$1309,0)),INDEX('SKU明细'!$CI$11:$CI$1309,MATCH("B06-ND-Z-0-39.5",'SKU明细'!$A$11:$A$1309,0)),INDEX('SKU明细'!$CI$11:$CI$1309,MATCH("B06-ND-Z-0-42",'SKU明细'!$A$11:$A$1309,0))),"待核")</x:f>
        <x:v>6.525648803032224</x:v>
      </x:c>
    </x:row>
    <x:row r="50" ht="40" customHeight="1">
      <x:c r="A50" s="35" t="str">
        <x:v>B06</x:v>
      </x:c>
      <x:c r="B50" s="35" t="str">
        <x:v>艾年</x:v>
      </x:c>
      <x:c r="C50" s="35" t="str">
        <x:v>藏青色羊京绒</x:v>
      </x:c>
      <x:c r="D50" s="35" t="str">
        <x:v>NY</x:v>
      </x:c>
      <x:c r="E50" s="35" t="str">
        <x:v>B06-NY</x:v>
      </x:c>
      <x:c r="F50" s="35"/>
      <x:c r="G50" s="36" t="str">
        <x:f>"—"</x:f>
        <x:v>—</x:v>
      </x:c>
      <x:c r="H50" s="36" t="n">
        <x:f>IF(COUNT(INDEX('SKU明细'!$D$11:$D$1309,MATCH("B06-NY-37-N",'SKU明细'!$A$11:$A$1309,0)))=0,"待核",IF(COUNT(INDEX('SKU明细'!$D$11:$D$1309,MATCH("B06-NY-37-N",'SKU明细'!$A$11:$A$1309,0)))&lt;1,SUM(INDEX('SKU明细'!$D$11:$D$1309,MATCH("B06-NY-37-N",'SKU明细'!$A$11:$A$1309,0)))&amp;" + 待核",SUM(INDEX('SKU明细'!$D$11:$D$1309,MATCH("B06-NY-37-N",'SKU明细'!$A$11:$A$1309,0)))))</x:f>
        <x:v>0</x:v>
      </x:c>
      <x:c r="I50" s="36" t="n">
        <x:f>IF(COUNT(INDEX('SKU明细'!$D$11:$D$1309,MATCH("B06-NY-37.5",'SKU明细'!$A$11:$A$1309,0)))=0,"待核",IF(COUNT(INDEX('SKU明细'!$D$11:$D$1309,MATCH("B06-NY-37.5",'SKU明细'!$A$11:$A$1309,0)))&lt;1,SUM(INDEX('SKU明细'!$D$11:$D$1309,MATCH("B06-NY-37.5",'SKU明细'!$A$11:$A$1309,0)))&amp;" + 待核",SUM(INDEX('SKU明细'!$D$11:$D$1309,MATCH("B06-NY-37.5",'SKU明细'!$A$11:$A$1309,0)))))</x:f>
        <x:v>0</x:v>
      </x:c>
      <x:c r="J50" s="36" t="n">
        <x:f>IF(COUNT(INDEX('SKU明细'!$D$11:$D$1309,MATCH("B06-NY-38-N",'SKU明细'!$A$11:$A$1309,0)))=0,"待核",IF(COUNT(INDEX('SKU明细'!$D$11:$D$1309,MATCH("B06-NY-38-N",'SKU明细'!$A$11:$A$1309,0)))&lt;1,SUM(INDEX('SKU明细'!$D$11:$D$1309,MATCH("B06-NY-38-N",'SKU明细'!$A$11:$A$1309,0)))&amp;" + 待核",SUM(INDEX('SKU明细'!$D$11:$D$1309,MATCH("B06-NY-38-N",'SKU明细'!$A$11:$A$1309,0)))))</x:f>
        <x:v>0</x:v>
      </x:c>
      <x:c r="K50" s="36" t="n">
        <x:f>IF(COUNT(INDEX('SKU明细'!$D$11:$D$1309,MATCH("B06-NY-38.5",'SKU明细'!$A$11:$A$1309,0)))=0,"待核",IF(COUNT(INDEX('SKU明细'!$D$11:$D$1309,MATCH("B06-NY-38.5",'SKU明细'!$A$11:$A$1309,0)))&lt;1,SUM(INDEX('SKU明细'!$D$11:$D$1309,MATCH("B06-NY-38.5",'SKU明细'!$A$11:$A$1309,0)))&amp;" + 待核",SUM(INDEX('SKU明细'!$D$11:$D$1309,MATCH("B06-NY-38.5",'SKU明细'!$A$11:$A$1309,0)))))</x:f>
        <x:v>8</x:v>
      </x:c>
      <x:c r="L50" s="36" t="n">
        <x:f>IF(COUNT(INDEX('SKU明细'!$D$11:$D$1309,MATCH("B06-NY-39-NEW",'SKU明细'!$A$11:$A$1309,0)))=0,"待核",IF(COUNT(INDEX('SKU明细'!$D$11:$D$1309,MATCH("B06-NY-39-NEW",'SKU明细'!$A$11:$A$1309,0)))&lt;1,SUM(INDEX('SKU明细'!$D$11:$D$1309,MATCH("B06-NY-39-NEW",'SKU明细'!$A$11:$A$1309,0)))&amp;" + 待核",SUM(INDEX('SKU明细'!$D$11:$D$1309,MATCH("B06-NY-39-NEW",'SKU明细'!$A$11:$A$1309,0)))))</x:f>
        <x:v>0</x:v>
      </x:c>
      <x:c r="M50" s="36" t="n">
        <x:f>IF(COUNT(INDEX('SKU明细'!$D$11:$D$1309,MATCH("B06-NY-39.5",'SKU明细'!$A$11:$A$1309,0)))=0,"待核",IF(COUNT(INDEX('SKU明细'!$D$11:$D$1309,MATCH("B06-NY-39.5",'SKU明细'!$A$11:$A$1309,0)))&lt;1,SUM(INDEX('SKU明细'!$D$11:$D$1309,MATCH("B06-NY-39.5",'SKU明细'!$A$11:$A$1309,0)))&amp;" + 待核",SUM(INDEX('SKU明细'!$D$11:$D$1309,MATCH("B06-NY-39.5",'SKU明细'!$A$11:$A$1309,0)))))</x:f>
        <x:v>1</x:v>
      </x:c>
      <x:c r="N50" s="36" t="n">
        <x:f>IF(COUNT(INDEX('SKU明细'!$D$11:$D$1309,MATCH("B06-NY-40",'SKU明细'!$A$11:$A$1309,0)))=0,"待核",IF(COUNT(INDEX('SKU明细'!$D$11:$D$1309,MATCH("B06-NY-40",'SKU明细'!$A$11:$A$1309,0)))&lt;1,SUM(INDEX('SKU明细'!$D$11:$D$1309,MATCH("B06-NY-40",'SKU明细'!$A$11:$A$1309,0)))&amp;" + 待核",SUM(INDEX('SKU明细'!$D$11:$D$1309,MATCH("B06-NY-40",'SKU明细'!$A$11:$A$1309,0)))))</x:f>
        <x:v>0</x:v>
      </x:c>
      <x:c r="O50" s="36" t="n">
        <x:f>IF(COUNT(INDEX('SKU明细'!$D$11:$D$1309,MATCH("B06-NY-40.5",'SKU明细'!$A$11:$A$1309,0)))=0,"待核",IF(COUNT(INDEX('SKU明细'!$D$11:$D$1309,MATCH("B06-NY-40.5",'SKU明细'!$A$11:$A$1309,0)))&lt;1,SUM(INDEX('SKU明细'!$D$11:$D$1309,MATCH("B06-NY-40.5",'SKU明细'!$A$11:$A$1309,0)))&amp;" + 待核",SUM(INDEX('SKU明细'!$D$11:$D$1309,MATCH("B06-NY-40.5",'SKU明细'!$A$11:$A$1309,0)))))</x:f>
        <x:v>0</x:v>
      </x:c>
      <x:c r="P50" s="36" t="n">
        <x:f>IF(COUNT(INDEX('SKU明细'!$D$11:$D$1309,MATCH("B06-NY-41",'SKU明细'!$A$11:$A$1309,0)))=0,"待核",IF(COUNT(INDEX('SKU明细'!$D$11:$D$1309,MATCH("B06-NY-41",'SKU明细'!$A$11:$A$1309,0)))&lt;1,SUM(INDEX('SKU明细'!$D$11:$D$1309,MATCH("B06-NY-41",'SKU明细'!$A$11:$A$1309,0)))&amp;" + 待核",SUM(INDEX('SKU明细'!$D$11:$D$1309,MATCH("B06-NY-41",'SKU明细'!$A$11:$A$1309,0)))))</x:f>
        <x:v>7</x:v>
      </x:c>
      <x:c r="Q50" s="36" t="n">
        <x:f>IF(COUNT(INDEX('SKU明细'!$D$11:$D$1309,MATCH("B06-NY-41.5",'SKU明细'!$A$11:$A$1309,0)))=0,"待核",IF(COUNT(INDEX('SKU明细'!$D$11:$D$1309,MATCH("B06-NY-41.5",'SKU明细'!$A$11:$A$1309,0)))&lt;1,SUM(INDEX('SKU明细'!$D$11:$D$1309,MATCH("B06-NY-41.5",'SKU明细'!$A$11:$A$1309,0)))&amp;" + 待核",SUM(INDEX('SKU明细'!$D$11:$D$1309,MATCH("B06-NY-41.5",'SKU明细'!$A$11:$A$1309,0)))))</x:f>
        <x:v>0</x:v>
      </x:c>
      <x:c r="R50" s="36" t="str">
        <x:f>"—"</x:f>
        <x:v>—</x:v>
      </x:c>
      <x:c r="S50" s="36" t="n">
        <x:f>IF(COUNT(INDEX('SKU明细'!$D$11:$D$1309,MATCH("B06-NY-37-N",'SKU明细'!$A$11:$A$1309,0)),INDEX('SKU明细'!$D$11:$D$1309,MATCH("B06-NY-37.5",'SKU明细'!$A$11:$A$1309,0)),INDEX('SKU明细'!$D$11:$D$1309,MATCH("B06-NY-38-N",'SKU明细'!$A$11:$A$1309,0)),INDEX('SKU明细'!$D$11:$D$1309,MATCH("B06-NY-38.5",'SKU明细'!$A$11:$A$1309,0)),INDEX('SKU明细'!$D$11:$D$1309,MATCH("B06-NY-39-NEW",'SKU明细'!$A$11:$A$1309,0)),INDEX('SKU明细'!$D$11:$D$1309,MATCH("B06-NY-39.5",'SKU明细'!$A$11:$A$1309,0)),INDEX('SKU明细'!$D$11:$D$1309,MATCH("B06-NY-40",'SKU明细'!$A$11:$A$1309,0)),INDEX('SKU明细'!$D$11:$D$1309,MATCH("B06-NY-40.5",'SKU明细'!$A$11:$A$1309,0)),INDEX('SKU明细'!$D$11:$D$1309,MATCH("B06-NY-41",'SKU明细'!$A$11:$A$1309,0)),INDEX('SKU明细'!$D$11:$D$1309,MATCH("B06-NY-41.5",'SKU明细'!$A$11:$A$1309,0)))=0,"待核",SUM(INDEX('SKU明细'!$D$11:$D$1309,MATCH("B06-NY-37-N",'SKU明细'!$A$11:$A$1309,0)),INDEX('SKU明细'!$D$11:$D$1309,MATCH("B06-NY-37.5",'SKU明细'!$A$11:$A$1309,0)),INDEX('SKU明细'!$D$11:$D$1309,MATCH("B06-NY-38-N",'SKU明细'!$A$11:$A$1309,0)),INDEX('SKU明细'!$D$11:$D$1309,MATCH("B06-NY-38.5",'SKU明细'!$A$11:$A$1309,0)),INDEX('SKU明细'!$D$11:$D$1309,MATCH("B06-NY-39-NEW",'SKU明细'!$A$11:$A$1309,0)),INDEX('SKU明细'!$D$11:$D$1309,MATCH("B06-NY-39.5",'SKU明细'!$A$11:$A$1309,0)),INDEX('SKU明细'!$D$11:$D$1309,MATCH("B06-NY-40",'SKU明细'!$A$11:$A$1309,0)),INDEX('SKU明细'!$D$11:$D$1309,MATCH("B06-NY-40.5",'SKU明细'!$A$11:$A$1309,0)),INDEX('SKU明细'!$D$11:$D$1309,MATCH("B06-NY-41",'SKU明细'!$A$11:$A$1309,0)),INDEX('SKU明细'!$D$11:$D$1309,MATCH("B06-NY-41.5",'SKU明细'!$A$11:$A$1309,0))))</x:f>
        <x:v>16</x:v>
      </x:c>
      <x:c r="T50" s="36" t="n">
        <x:f>IF(COUNTIFS($A$9:$A$191,A50,$U$9:$U$191,"&lt;&gt;待核")=0,"待核",SUMIF($A$9:$A$191,A50,$S$9:$S$191))</x:f>
        <x:v>613</x:v>
      </x:c>
      <x:c r="U50" s="35" t="str">
        <x:f>IF(COUNT(INDEX('SKU明细'!$D$11:$D$1309,MATCH("B06-NY-37-N",'SKU明细'!$A$11:$A$1309,0)),INDEX('SKU明细'!$D$11:$D$1309,MATCH("B06-NY-37.5",'SKU明细'!$A$11:$A$1309,0)),INDEX('SKU明细'!$D$11:$D$1309,MATCH("B06-NY-38-N",'SKU明细'!$A$11:$A$1309,0)),INDEX('SKU明细'!$D$11:$D$1309,MATCH("B06-NY-38.5",'SKU明细'!$A$11:$A$1309,0)),INDEX('SKU明细'!$D$11:$D$1309,MATCH("B06-NY-39-NEW",'SKU明细'!$A$11:$A$1309,0)),INDEX('SKU明细'!$D$11:$D$1309,MATCH("B06-NY-39.5",'SKU明细'!$A$11:$A$1309,0)),INDEX('SKU明细'!$D$11:$D$1309,MATCH("B06-NY-40",'SKU明细'!$A$11:$A$1309,0)),INDEX('SKU明细'!$D$11:$D$1309,MATCH("B06-NY-40.5",'SKU明细'!$A$11:$A$1309,0)),INDEX('SKU明细'!$D$11:$D$1309,MATCH("B06-NY-41",'SKU明细'!$A$11:$A$1309,0)),INDEX('SKU明细'!$D$11:$D$1309,MATCH("B06-NY-41.5",'SKU明细'!$A$11:$A$1309,0)))=0,"待核",IF(COUNT(INDEX('SKU明细'!$D$11:$D$1309,MATCH("B06-NY-37-N",'SKU明细'!$A$11:$A$1309,0)),INDEX('SKU明细'!$D$11:$D$1309,MATCH("B06-NY-37.5",'SKU明细'!$A$11:$A$1309,0)),INDEX('SKU明细'!$D$11:$D$1309,MATCH("B06-NY-38-N",'SKU明细'!$A$11:$A$1309,0)),INDEX('SKU明细'!$D$11:$D$1309,MATCH("B06-NY-38.5",'SKU明细'!$A$11:$A$1309,0)),INDEX('SKU明细'!$D$11:$D$1309,MATCH("B06-NY-39-NEW",'SKU明细'!$A$11:$A$1309,0)),INDEX('SKU明细'!$D$11:$D$1309,MATCH("B06-NY-39.5",'SKU明细'!$A$11:$A$1309,0)),INDEX('SKU明细'!$D$11:$D$1309,MATCH("B06-NY-40",'SKU明细'!$A$11:$A$1309,0)),INDEX('SKU明细'!$D$11:$D$1309,MATCH("B06-NY-40.5",'SKU明细'!$A$11:$A$1309,0)),INDEX('SKU明细'!$D$11:$D$1309,MATCH("B06-NY-41",'SKU明细'!$A$11:$A$1309,0)),INDEX('SKU明细'!$D$11:$D$1309,MATCH("B06-NY-41.5",'SKU明细'!$A$11:$A$1309,0)))&lt;10,"另有待核","已核"))</x:f>
        <x:v>已核</x:v>
      </x:c>
      <x:c r="V50" s="35" t="str">
        <x:v>在售、停售</x:v>
      </x:c>
      <x:c r="W50" s="11" t="n">
        <x:f>IF(COUNT(INDEX('SKU明细'!$BV$11:$BV$1309,MATCH("B06-NY-37-N",'SKU明细'!$A$11:$A$1309,0)),INDEX('SKU明细'!$BV$11:$BV$1309,MATCH("B06-NY-37.5",'SKU明细'!$A$11:$A$1309,0)),INDEX('SKU明细'!$BV$11:$BV$1309,MATCH("B06-NY-38-N",'SKU明细'!$A$11:$A$1309,0)),INDEX('SKU明细'!$BV$11:$BV$1309,MATCH("B06-NY-38.5",'SKU明细'!$A$11:$A$1309,0)),INDEX('SKU明细'!$BV$11:$BV$1309,MATCH("B06-NY-39-NEW",'SKU明细'!$A$11:$A$1309,0)),INDEX('SKU明细'!$BV$11:$BV$1309,MATCH("B06-NY-39.5",'SKU明细'!$A$11:$A$1309,0)),INDEX('SKU明细'!$BV$11:$BV$1309,MATCH("B06-NY-40",'SKU明细'!$A$11:$A$1309,0)),INDEX('SKU明细'!$BV$11:$BV$1309,MATCH("B06-NY-40.5",'SKU明细'!$A$11:$A$1309,0)),INDEX('SKU明细'!$BV$11:$BV$1309,MATCH("B06-NY-41",'SKU明细'!$A$11:$A$1309,0)),INDEX('SKU明细'!$BV$11:$BV$1309,MATCH("B06-NY-41.5",'SKU明细'!$A$11:$A$1309,0)))=10,SUM(INDEX('SKU明细'!$BV$11:$BV$1309,MATCH("B06-NY-37-N",'SKU明细'!$A$11:$A$1309,0)),INDEX('SKU明细'!$BV$11:$BV$1309,MATCH("B06-NY-37.5",'SKU明细'!$A$11:$A$1309,0)),INDEX('SKU明细'!$BV$11:$BV$1309,MATCH("B06-NY-38-N",'SKU明细'!$A$11:$A$1309,0)),INDEX('SKU明细'!$BV$11:$BV$1309,MATCH("B06-NY-38.5",'SKU明细'!$A$11:$A$1309,0)),INDEX('SKU明细'!$BV$11:$BV$1309,MATCH("B06-NY-39-NEW",'SKU明细'!$A$11:$A$1309,0)),INDEX('SKU明细'!$BV$11:$BV$1309,MATCH("B06-NY-39.5",'SKU明细'!$A$11:$A$1309,0)),INDEX('SKU明细'!$BV$11:$BV$1309,MATCH("B06-NY-40",'SKU明细'!$A$11:$A$1309,0)),INDEX('SKU明细'!$BV$11:$BV$1309,MATCH("B06-NY-40.5",'SKU明细'!$A$11:$A$1309,0)),INDEX('SKU明细'!$BV$11:$BV$1309,MATCH("B06-NY-41",'SKU明细'!$A$11:$A$1309,0)),INDEX('SKU明细'!$BV$11:$BV$1309,MATCH("B06-NY-41.5",'SKU明细'!$A$11:$A$1309,0))),"待核")</x:f>
        <x:v>1.8232025777957794</x:v>
      </x:c>
      <x:c r="X50" s="11" t="n">
        <x:f>INDEX('SKU明细'!$BW$11:$BW$1309,MATCH("B06-NY-37-N",'SKU明细'!$A$11:$A$1309,0))</x:f>
        <x:v>1.2247029157699902</x:v>
      </x:c>
      <x:c r="Y50" s="13" t="n">
        <x:f>IF(COUNT(INDEX('SKU明细'!$BY$11:$BY$1309,MATCH("B06-NY-37-N",'SKU明细'!$A$11:$A$1309,0)),INDEX('SKU明细'!$BY$11:$BY$1309,MATCH("B06-NY-37.5",'SKU明细'!$A$11:$A$1309,0)),INDEX('SKU明细'!$BY$11:$BY$1309,MATCH("B06-NY-38-N",'SKU明细'!$A$11:$A$1309,0)),INDEX('SKU明细'!$BY$11:$BY$1309,MATCH("B06-NY-38.5",'SKU明细'!$A$11:$A$1309,0)),INDEX('SKU明细'!$BY$11:$BY$1309,MATCH("B06-NY-39-NEW",'SKU明细'!$A$11:$A$1309,0)),INDEX('SKU明细'!$BY$11:$BY$1309,MATCH("B06-NY-39.5",'SKU明细'!$A$11:$A$1309,0)),INDEX('SKU明细'!$BY$11:$BY$1309,MATCH("B06-NY-40",'SKU明细'!$A$11:$A$1309,0)),INDEX('SKU明细'!$BY$11:$BY$1309,MATCH("B06-NY-40.5",'SKU明细'!$A$11:$A$1309,0)),INDEX('SKU明细'!$BY$11:$BY$1309,MATCH("B06-NY-41",'SKU明细'!$A$11:$A$1309,0)),INDEX('SKU明细'!$BY$11:$BY$1309,MATCH("B06-NY-41.5",'SKU明细'!$A$11:$A$1309,0)))=10,SUM(INDEX('SKU明细'!$BY$11:$BY$1309,MATCH("B06-NY-37-N",'SKU明细'!$A$11:$A$1309,0)),INDEX('SKU明细'!$BY$11:$BY$1309,MATCH("B06-NY-37.5",'SKU明细'!$A$11:$A$1309,0)),INDEX('SKU明细'!$BY$11:$BY$1309,MATCH("B06-NY-38-N",'SKU明细'!$A$11:$A$1309,0)),INDEX('SKU明细'!$BY$11:$BY$1309,MATCH("B06-NY-38.5",'SKU明细'!$A$11:$A$1309,0)),INDEX('SKU明细'!$BY$11:$BY$1309,MATCH("B06-NY-39-NEW",'SKU明细'!$A$11:$A$1309,0)),INDEX('SKU明细'!$BY$11:$BY$1309,MATCH("B06-NY-39.5",'SKU明细'!$A$11:$A$1309,0)),INDEX('SKU明细'!$BY$11:$BY$1309,MATCH("B06-NY-40",'SKU明细'!$A$11:$A$1309,0)),INDEX('SKU明细'!$BY$11:$BY$1309,MATCH("B06-NY-40.5",'SKU明细'!$A$11:$A$1309,0)),INDEX('SKU明细'!$BY$11:$BY$1309,MATCH("B06-NY-41",'SKU明细'!$A$11:$A$1309,0)),INDEX('SKU明细'!$BY$11:$BY$1309,MATCH("B06-NY-41.5",'SKU明细'!$A$11:$A$1309,0))),"待核")</x:f>
        <x:v>26.794578156790237</x:v>
      </x:c>
      <x:c r="Z50" s="11" t="n">
        <x:f>INDEX('SKU明细'!$BZ$11:$BZ$1309,MATCH("B06-NY-37-N",'SKU明细'!$A$11:$A$1309,0))</x:f>
        <x:v>0.8332682139098497</x:v>
      </x:c>
      <x:c r="AA50" s="13" t="n">
        <x:f>IF(COUNT(INDEX('SKU明细'!$CB$11:$CB$1309,MATCH("B06-NY-37-N",'SKU明细'!$A$11:$A$1309,0)),INDEX('SKU明细'!$CB$11:$CB$1309,MATCH("B06-NY-37.5",'SKU明细'!$A$11:$A$1309,0)),INDEX('SKU明细'!$CB$11:$CB$1309,MATCH("B06-NY-38-N",'SKU明细'!$A$11:$A$1309,0)),INDEX('SKU明细'!$CB$11:$CB$1309,MATCH("B06-NY-38.5",'SKU明细'!$A$11:$A$1309,0)),INDEX('SKU明细'!$CB$11:$CB$1309,MATCH("B06-NY-39-NEW",'SKU明细'!$A$11:$A$1309,0)),INDEX('SKU明细'!$CB$11:$CB$1309,MATCH("B06-NY-39.5",'SKU明细'!$A$11:$A$1309,0)),INDEX('SKU明细'!$CB$11:$CB$1309,MATCH("B06-NY-40",'SKU明细'!$A$11:$A$1309,0)),INDEX('SKU明细'!$CB$11:$CB$1309,MATCH("B06-NY-40.5",'SKU明细'!$A$11:$A$1309,0)),INDEX('SKU明细'!$CB$11:$CB$1309,MATCH("B06-NY-41",'SKU明细'!$A$11:$A$1309,0)),INDEX('SKU明细'!$CB$11:$CB$1309,MATCH("B06-NY-41.5",'SKU明细'!$A$11:$A$1309,0)))=10,SUM(INDEX('SKU明细'!$CB$11:$CB$1309,MATCH("B06-NY-37-N",'SKU明细'!$A$11:$A$1309,0)),INDEX('SKU明细'!$CB$11:$CB$1309,MATCH("B06-NY-37.5",'SKU明细'!$A$11:$A$1309,0)),INDEX('SKU明细'!$CB$11:$CB$1309,MATCH("B06-NY-38-N",'SKU明细'!$A$11:$A$1309,0)),INDEX('SKU明细'!$CB$11:$CB$1309,MATCH("B06-NY-38.5",'SKU明细'!$A$11:$A$1309,0)),INDEX('SKU明细'!$CB$11:$CB$1309,MATCH("B06-NY-39-NEW",'SKU明细'!$A$11:$A$1309,0)),INDEX('SKU明细'!$CB$11:$CB$1309,MATCH("B06-NY-39.5",'SKU明细'!$A$11:$A$1309,0)),INDEX('SKU明细'!$CB$11:$CB$1309,MATCH("B06-NY-40",'SKU明细'!$A$11:$A$1309,0)),INDEX('SKU明细'!$CB$11:$CB$1309,MATCH("B06-NY-40.5",'SKU明细'!$A$11:$A$1309,0)),INDEX('SKU明细'!$CB$11:$CB$1309,MATCH("B06-NY-41",'SKU明细'!$A$11:$A$1309,0)),INDEX('SKU明细'!$CB$11:$CB$1309,MATCH("B06-NY-41.5",'SKU明细'!$A$11:$A$1309,0))),"待核")</x:f>
        <x:v>45.57650266787169</x:v>
      </x:c>
      <x:c r="AB50" s="11" t="n">
        <x:f>INDEX('SKU明细'!$CC$11:$CC$1309,MATCH("B06-NY-37-N",'SKU明细'!$A$11:$A$1309,0))</x:f>
        <x:v>0.5511018253564084</x:v>
      </x:c>
      <x:c r="AC50" s="13" t="n">
        <x:f>IF(COUNT(INDEX('SKU明细'!$CE$11:$CE$1309,MATCH("B06-NY-37-N",'SKU明细'!$A$11:$A$1309,0)),INDEX('SKU明细'!$CE$11:$CE$1309,MATCH("B06-NY-37.5",'SKU明细'!$A$11:$A$1309,0)),INDEX('SKU明细'!$CE$11:$CE$1309,MATCH("B06-NY-38-N",'SKU明细'!$A$11:$A$1309,0)),INDEX('SKU明细'!$CE$11:$CE$1309,MATCH("B06-NY-38.5",'SKU明细'!$A$11:$A$1309,0)),INDEX('SKU明细'!$CE$11:$CE$1309,MATCH("B06-NY-39-NEW",'SKU明细'!$A$11:$A$1309,0)),INDEX('SKU明细'!$CE$11:$CE$1309,MATCH("B06-NY-39.5",'SKU明细'!$A$11:$A$1309,0)),INDEX('SKU明细'!$CE$11:$CE$1309,MATCH("B06-NY-40",'SKU明细'!$A$11:$A$1309,0)),INDEX('SKU明细'!$CE$11:$CE$1309,MATCH("B06-NY-40.5",'SKU明细'!$A$11:$A$1309,0)),INDEX('SKU明细'!$CE$11:$CE$1309,MATCH("B06-NY-41",'SKU明细'!$A$11:$A$1309,0)),INDEX('SKU明细'!$CE$11:$CE$1309,MATCH("B06-NY-41.5",'SKU明细'!$A$11:$A$1309,0)))=10,SUM(INDEX('SKU明细'!$CE$11:$CE$1309,MATCH("B06-NY-37-N",'SKU明细'!$A$11:$A$1309,0)),INDEX('SKU明细'!$CE$11:$CE$1309,MATCH("B06-NY-37.5",'SKU明细'!$A$11:$A$1309,0)),INDEX('SKU明细'!$CE$11:$CE$1309,MATCH("B06-NY-38-N",'SKU明细'!$A$11:$A$1309,0)),INDEX('SKU明细'!$CE$11:$CE$1309,MATCH("B06-NY-38.5",'SKU明细'!$A$11:$A$1309,0)),INDEX('SKU明细'!$CE$11:$CE$1309,MATCH("B06-NY-39-NEW",'SKU明细'!$A$11:$A$1309,0)),INDEX('SKU明细'!$CE$11:$CE$1309,MATCH("B06-NY-39.5",'SKU明细'!$A$11:$A$1309,0)),INDEX('SKU明细'!$CE$11:$CE$1309,MATCH("B06-NY-40",'SKU明细'!$A$11:$A$1309,0)),INDEX('SKU明细'!$CE$11:$CE$1309,MATCH("B06-NY-40.5",'SKU明细'!$A$11:$A$1309,0)),INDEX('SKU明细'!$CE$11:$CE$1309,MATCH("B06-NY-41",'SKU明细'!$A$11:$A$1309,0)),INDEX('SKU明细'!$CE$11:$CE$1309,MATCH("B06-NY-41.5",'SKU明细'!$A$11:$A$1309,0))),"待核")</x:f>
        <x:v>31.147878327150657</x:v>
      </x:c>
      <x:c r="AD50" s="11" t="n">
        <x:f>INDEX('SKU明细'!$CF$11:$CF$1309,MATCH("B06-NY-37-N",'SKU明细'!$A$11:$A$1309,0))</x:f>
        <x:v>1.0017220238758797</x:v>
      </x:c>
      <x:c r="AE50" s="13" t="n">
        <x:f>IF(COUNT(INDEX('SKU明细'!$CH$11:$CH$1309,MATCH("B06-NY-37-N",'SKU明细'!$A$11:$A$1309,0)),INDEX('SKU明细'!$CH$11:$CH$1309,MATCH("B06-NY-37.5",'SKU明细'!$A$11:$A$1309,0)),INDEX('SKU明细'!$CH$11:$CH$1309,MATCH("B06-NY-38-N",'SKU明细'!$A$11:$A$1309,0)),INDEX('SKU明细'!$CH$11:$CH$1309,MATCH("B06-NY-38.5",'SKU明细'!$A$11:$A$1309,0)),INDEX('SKU明细'!$CH$11:$CH$1309,MATCH("B06-NY-39-NEW",'SKU明细'!$A$11:$A$1309,0)),INDEX('SKU明细'!$CH$11:$CH$1309,MATCH("B06-NY-39.5",'SKU明细'!$A$11:$A$1309,0)),INDEX('SKU明细'!$CH$11:$CH$1309,MATCH("B06-NY-40",'SKU明细'!$A$11:$A$1309,0)),INDEX('SKU明细'!$CH$11:$CH$1309,MATCH("B06-NY-40.5",'SKU明细'!$A$11:$A$1309,0)),INDEX('SKU明细'!$CH$11:$CH$1309,MATCH("B06-NY-41",'SKU明细'!$A$11:$A$1309,0)),INDEX('SKU明细'!$CH$11:$CH$1309,MATCH("B06-NY-41.5",'SKU明细'!$A$11:$A$1309,0)))=10,SUM(INDEX('SKU明细'!$CH$11:$CH$1309,MATCH("B06-NY-37-N",'SKU明细'!$A$11:$A$1309,0)),INDEX('SKU明细'!$CH$11:$CH$1309,MATCH("B06-NY-37.5",'SKU明细'!$A$11:$A$1309,0)),INDEX('SKU明细'!$CH$11:$CH$1309,MATCH("B06-NY-38-N",'SKU明细'!$A$11:$A$1309,0)),INDEX('SKU明细'!$CH$11:$CH$1309,MATCH("B06-NY-38.5",'SKU明细'!$A$11:$A$1309,0)),INDEX('SKU明细'!$CH$11:$CH$1309,MATCH("B06-NY-39-NEW",'SKU明细'!$A$11:$A$1309,0)),INDEX('SKU明细'!$CH$11:$CH$1309,MATCH("B06-NY-39.5",'SKU明细'!$A$11:$A$1309,0)),INDEX('SKU明细'!$CH$11:$CH$1309,MATCH("B06-NY-40",'SKU明细'!$A$11:$A$1309,0)),INDEX('SKU明细'!$CH$11:$CH$1309,MATCH("B06-NY-40.5",'SKU明细'!$A$11:$A$1309,0)),INDEX('SKU明细'!$CH$11:$CH$1309,MATCH("B06-NY-41",'SKU明细'!$A$11:$A$1309,0)),INDEX('SKU明细'!$CH$11:$CH$1309,MATCH("B06-NY-41.5",'SKU明细'!$A$11:$A$1309,0))),"待核")</x:f>
        <x:v>31.047816994810255</x:v>
      </x:c>
      <x:c r="AF50" s="13" t="n">
        <x:f>IF(COUNT(INDEX('SKU明细'!$CI$11:$CI$1309,MATCH("B06-NY-37-N",'SKU明细'!$A$11:$A$1309,0)),INDEX('SKU明细'!$CI$11:$CI$1309,MATCH("B06-NY-37.5",'SKU明细'!$A$11:$A$1309,0)),INDEX('SKU明细'!$CI$11:$CI$1309,MATCH("B06-NY-38-N",'SKU明细'!$A$11:$A$1309,0)),INDEX('SKU明细'!$CI$11:$CI$1309,MATCH("B06-NY-38.5",'SKU明细'!$A$11:$A$1309,0)),INDEX('SKU明细'!$CI$11:$CI$1309,MATCH("B06-NY-39-NEW",'SKU明细'!$A$11:$A$1309,0)),INDEX('SKU明细'!$CI$11:$CI$1309,MATCH("B06-NY-39.5",'SKU明细'!$A$11:$A$1309,0)),INDEX('SKU明细'!$CI$11:$CI$1309,MATCH("B06-NY-40",'SKU明细'!$A$11:$A$1309,0)),INDEX('SKU明细'!$CI$11:$CI$1309,MATCH("B06-NY-40.5",'SKU明细'!$A$11:$A$1309,0)),INDEX('SKU明细'!$CI$11:$CI$1309,MATCH("B06-NY-41",'SKU明细'!$A$11:$A$1309,0)),INDEX('SKU明细'!$CI$11:$CI$1309,MATCH("B06-NY-41.5",'SKU明细'!$A$11:$A$1309,0)))=10,SUM(INDEX('SKU明细'!$CI$11:$CI$1309,MATCH("B06-NY-37-N",'SKU明细'!$A$11:$A$1309,0)),INDEX('SKU明细'!$CI$11:$CI$1309,MATCH("B06-NY-37.5",'SKU明细'!$A$11:$A$1309,0)),INDEX('SKU明细'!$CI$11:$CI$1309,MATCH("B06-NY-38-N",'SKU明细'!$A$11:$A$1309,0)),INDEX('SKU明细'!$CI$11:$CI$1309,MATCH("B06-NY-38.5",'SKU明细'!$A$11:$A$1309,0)),INDEX('SKU明细'!$CI$11:$CI$1309,MATCH("B06-NY-39-NEW",'SKU明细'!$A$11:$A$1309,0)),INDEX('SKU明细'!$CI$11:$CI$1309,MATCH("B06-NY-39.5",'SKU明细'!$A$11:$A$1309,0)),INDEX('SKU明细'!$CI$11:$CI$1309,MATCH("B06-NY-40",'SKU明细'!$A$11:$A$1309,0)),INDEX('SKU明细'!$CI$11:$CI$1309,MATCH("B06-NY-40.5",'SKU明细'!$A$11:$A$1309,0)),INDEX('SKU明细'!$CI$11:$CI$1309,MATCH("B06-NY-41",'SKU明细'!$A$11:$A$1309,0)),INDEX('SKU明细'!$CI$11:$CI$1309,MATCH("B06-NY-41.5",'SKU明细'!$A$11:$A$1309,0))),"待核")</x:f>
        <x:v>134.56677614662283</x:v>
      </x:c>
    </x:row>
    <x:row r="51" ht="40" customHeight="1">
      <x:c r="A51" s="35" t="str">
        <x:v>B06</x:v>
      </x:c>
      <x:c r="B51" s="35" t="str">
        <x:v>艾年</x:v>
      </x:c>
      <x:c r="C51" s="35" t="str">
        <x:v>米色圆点布</x:v>
      </x:c>
      <x:c r="D51" s="35" t="str">
        <x:v>PDBG</x:v>
      </x:c>
      <x:c r="E51" s="35" t="str">
        <x:v>B06-PDBG</x:v>
      </x:c>
      <x:c r="F51" s="35"/>
      <x:c r="G51" s="36" t="str">
        <x:f>"—"</x:f>
        <x:v>—</x:v>
      </x:c>
      <x:c r="H51" s="36" t="str">
        <x:f>"—"</x:f>
        <x:v>—</x:v>
      </x:c>
      <x:c r="I51" s="36" t="str">
        <x:f>"—"</x:f>
        <x:v>—</x:v>
      </x:c>
      <x:c r="J51" s="36" t="str">
        <x:f>"—"</x:f>
        <x:v>—</x:v>
      </x:c>
      <x:c r="K51" s="36" t="str">
        <x:f>"—"</x:f>
        <x:v>—</x:v>
      </x:c>
      <x:c r="L51" s="36" t="str">
        <x:f>"—"</x:f>
        <x:v>—</x:v>
      </x:c>
      <x:c r="M51" s="36" t="str">
        <x:f>"—"</x:f>
        <x:v>—</x:v>
      </x:c>
      <x:c r="N51" s="36" t="n">
        <x:f>IF(COUNT(INDEX('SKU明细'!$D$11:$D$1309,MATCH("B06-PDBG-40",'SKU明细'!$A$11:$A$1309,0)))=0,"待核",IF(COUNT(INDEX('SKU明细'!$D$11:$D$1309,MATCH("B06-PDBG-40",'SKU明细'!$A$11:$A$1309,0)))&lt;1,SUM(INDEX('SKU明细'!$D$11:$D$1309,MATCH("B06-PDBG-40",'SKU明细'!$A$11:$A$1309,0)))&amp;" + 待核",SUM(INDEX('SKU明细'!$D$11:$D$1309,MATCH("B06-PDBG-40",'SKU明细'!$A$11:$A$1309,0)))))</x:f>
        <x:v>0</x:v>
      </x:c>
      <x:c r="O51" s="36" t="n">
        <x:f>IF(COUNT(INDEX('SKU明细'!$D$11:$D$1309,MATCH("B06-PDBG-40.5",'SKU明细'!$A$11:$A$1309,0)))=0,"待核",IF(COUNT(INDEX('SKU明细'!$D$11:$D$1309,MATCH("B06-PDBG-40.5",'SKU明细'!$A$11:$A$1309,0)))&lt;1,SUM(INDEX('SKU明细'!$D$11:$D$1309,MATCH("B06-PDBG-40.5",'SKU明细'!$A$11:$A$1309,0)))&amp;" + 待核",SUM(INDEX('SKU明细'!$D$11:$D$1309,MATCH("B06-PDBG-40.5",'SKU明细'!$A$11:$A$1309,0)))))</x:f>
        <x:v>0</x:v>
      </x:c>
      <x:c r="P51" s="36" t="str">
        <x:f>"—"</x:f>
        <x:v>—</x:v>
      </x:c>
      <x:c r="Q51" s="36" t="str">
        <x:f>"—"</x:f>
        <x:v>—</x:v>
      </x:c>
      <x:c r="R51" s="36" t="n">
        <x:f>IF(COUNT(INDEX('SKU明细'!$D$11:$D$1309,MATCH("B06-PDBG-42",'SKU明细'!$A$11:$A$1309,0)))=0,"待核",IF(COUNT(INDEX('SKU明细'!$D$11:$D$1309,MATCH("B06-PDBG-42",'SKU明细'!$A$11:$A$1309,0)))&lt;1,SUM(INDEX('SKU明细'!$D$11:$D$1309,MATCH("B06-PDBG-42",'SKU明细'!$A$11:$A$1309,0)))&amp;" + 待核",SUM(INDEX('SKU明细'!$D$11:$D$1309,MATCH("B06-PDBG-42",'SKU明细'!$A$11:$A$1309,0)))))</x:f>
        <x:v>0</x:v>
      </x:c>
      <x:c r="S51" s="36" t="n">
        <x:f>IF(COUNT(INDEX('SKU明细'!$D$11:$D$1309,MATCH("B06-PDBG-40",'SKU明细'!$A$11:$A$1309,0)),INDEX('SKU明细'!$D$11:$D$1309,MATCH("B06-PDBG-40.5",'SKU明细'!$A$11:$A$1309,0)),INDEX('SKU明细'!$D$11:$D$1309,MATCH("B06-PDBG-42",'SKU明细'!$A$11:$A$1309,0)))=0,"待核",SUM(INDEX('SKU明细'!$D$11:$D$1309,MATCH("B06-PDBG-40",'SKU明细'!$A$11:$A$1309,0)),INDEX('SKU明细'!$D$11:$D$1309,MATCH("B06-PDBG-40.5",'SKU明细'!$A$11:$A$1309,0)),INDEX('SKU明细'!$D$11:$D$1309,MATCH("B06-PDBG-42",'SKU明细'!$A$11:$A$1309,0))))</x:f>
        <x:v>0</x:v>
      </x:c>
      <x:c r="T51" s="36" t="n">
        <x:f>IF(COUNTIFS($A$9:$A$191,A51,$U$9:$U$191,"&lt;&gt;待核")=0,"待核",SUMIF($A$9:$A$191,A51,$S$9:$S$191))</x:f>
        <x:v>613</x:v>
      </x:c>
      <x:c r="U51" s="35" t="str">
        <x:f>IF(COUNT(INDEX('SKU明细'!$D$11:$D$1309,MATCH("B06-PDBG-40",'SKU明细'!$A$11:$A$1309,0)),INDEX('SKU明细'!$D$11:$D$1309,MATCH("B06-PDBG-40.5",'SKU明细'!$A$11:$A$1309,0)),INDEX('SKU明细'!$D$11:$D$1309,MATCH("B06-PDBG-42",'SKU明细'!$A$11:$A$1309,0)))=0,"待核",IF(COUNT(INDEX('SKU明细'!$D$11:$D$1309,MATCH("B06-PDBG-40",'SKU明细'!$A$11:$A$1309,0)),INDEX('SKU明细'!$D$11:$D$1309,MATCH("B06-PDBG-40.5",'SKU明细'!$A$11:$A$1309,0)),INDEX('SKU明细'!$D$11:$D$1309,MATCH("B06-PDBG-42",'SKU明细'!$A$11:$A$1309,0)))&lt;3,"另有待核","已核"))</x:f>
        <x:v>已核</x:v>
      </x:c>
      <x:c r="V51" s="35" t="str">
        <x:v>停售</x:v>
      </x:c>
      <x:c r="W51" s="11" t="n">
        <x:f>IF(COUNT(INDEX('SKU明细'!$BV$11:$BV$1309,MATCH("B06-PDBG-40",'SKU明细'!$A$11:$A$1309,0)),INDEX('SKU明细'!$BV$11:$BV$1309,MATCH("B06-PDBG-40.5",'SKU明细'!$A$11:$A$1309,0)),INDEX('SKU明细'!$BV$11:$BV$1309,MATCH("B06-PDBG-42",'SKU明细'!$A$11:$A$1309,0)))=3,SUM(INDEX('SKU明细'!$BV$11:$BV$1309,MATCH("B06-PDBG-40",'SKU明细'!$A$11:$A$1309,0)),INDEX('SKU明细'!$BV$11:$BV$1309,MATCH("B06-PDBG-40.5",'SKU明细'!$A$11:$A$1309,0)),INDEX('SKU明细'!$BV$11:$BV$1309,MATCH("B06-PDBG-42",'SKU明细'!$A$11:$A$1309,0))),"待核")</x:f>
        <x:v>0</x:v>
      </x:c>
      <x:c r="X51" s="11" t="n">
        <x:f>INDEX('SKU明细'!$BW$11:$BW$1309,MATCH("B06-PDBG-40",'SKU明细'!$A$11:$A$1309,0))</x:f>
        <x:v>1.2247029157699902</x:v>
      </x:c>
      <x:c r="Y51" s="13" t="n">
        <x:f>IF(COUNT(INDEX('SKU明细'!$BY$11:$BY$1309,MATCH("B06-PDBG-40",'SKU明细'!$A$11:$A$1309,0)),INDEX('SKU明细'!$BY$11:$BY$1309,MATCH("B06-PDBG-40.5",'SKU明细'!$A$11:$A$1309,0)),INDEX('SKU明细'!$BY$11:$BY$1309,MATCH("B06-PDBG-42",'SKU明细'!$A$11:$A$1309,0)))=3,SUM(INDEX('SKU明细'!$BY$11:$BY$1309,MATCH("B06-PDBG-40",'SKU明细'!$A$11:$A$1309,0)),INDEX('SKU明细'!$BY$11:$BY$1309,MATCH("B06-PDBG-40.5",'SKU明细'!$A$11:$A$1309,0)),INDEX('SKU明细'!$BY$11:$BY$1309,MATCH("B06-PDBG-42",'SKU明细'!$A$11:$A$1309,0))),"待核")</x:f>
        <x:v>0</x:v>
      </x:c>
      <x:c r="Z51" s="11" t="n">
        <x:f>INDEX('SKU明细'!$BZ$11:$BZ$1309,MATCH("B06-PDBG-40",'SKU明细'!$A$11:$A$1309,0))</x:f>
        <x:v>0.8332682139098497</x:v>
      </x:c>
      <x:c r="AA51" s="13" t="n">
        <x:f>IF(COUNT(INDEX('SKU明细'!$CB$11:$CB$1309,MATCH("B06-PDBG-40",'SKU明细'!$A$11:$A$1309,0)),INDEX('SKU明细'!$CB$11:$CB$1309,MATCH("B06-PDBG-40.5",'SKU明细'!$A$11:$A$1309,0)),INDEX('SKU明细'!$CB$11:$CB$1309,MATCH("B06-PDBG-42",'SKU明细'!$A$11:$A$1309,0)))=3,SUM(INDEX('SKU明细'!$CB$11:$CB$1309,MATCH("B06-PDBG-40",'SKU明细'!$A$11:$A$1309,0)),INDEX('SKU明细'!$CB$11:$CB$1309,MATCH("B06-PDBG-40.5",'SKU明细'!$A$11:$A$1309,0)),INDEX('SKU明细'!$CB$11:$CB$1309,MATCH("B06-PDBG-42",'SKU明细'!$A$11:$A$1309,0))),"待核")</x:f>
        <x:v>0</x:v>
      </x:c>
      <x:c r="AB51" s="11" t="n">
        <x:f>INDEX('SKU明细'!$CC$11:$CC$1309,MATCH("B06-PDBG-40",'SKU明细'!$A$11:$A$1309,0))</x:f>
        <x:v>0.5511018253564084</x:v>
      </x:c>
      <x:c r="AC51" s="13" t="n">
        <x:f>IF(COUNT(INDEX('SKU明细'!$CE$11:$CE$1309,MATCH("B06-PDBG-40",'SKU明细'!$A$11:$A$1309,0)),INDEX('SKU明细'!$CE$11:$CE$1309,MATCH("B06-PDBG-40.5",'SKU明细'!$A$11:$A$1309,0)),INDEX('SKU明细'!$CE$11:$CE$1309,MATCH("B06-PDBG-42",'SKU明细'!$A$11:$A$1309,0)))=3,SUM(INDEX('SKU明细'!$CE$11:$CE$1309,MATCH("B06-PDBG-40",'SKU明细'!$A$11:$A$1309,0)),INDEX('SKU明细'!$CE$11:$CE$1309,MATCH("B06-PDBG-40.5",'SKU明细'!$A$11:$A$1309,0)),INDEX('SKU明细'!$CE$11:$CE$1309,MATCH("B06-PDBG-42",'SKU明细'!$A$11:$A$1309,0))),"待核")</x:f>
        <x:v>0</x:v>
      </x:c>
      <x:c r="AD51" s="11" t="n">
        <x:f>INDEX('SKU明细'!$CF$11:$CF$1309,MATCH("B06-PDBG-40",'SKU明细'!$A$11:$A$1309,0))</x:f>
        <x:v>1.0017220238758797</x:v>
      </x:c>
      <x:c r="AE51" s="13" t="n">
        <x:f>IF(COUNT(INDEX('SKU明细'!$CH$11:$CH$1309,MATCH("B06-PDBG-40",'SKU明细'!$A$11:$A$1309,0)),INDEX('SKU明细'!$CH$11:$CH$1309,MATCH("B06-PDBG-40.5",'SKU明细'!$A$11:$A$1309,0)),INDEX('SKU明细'!$CH$11:$CH$1309,MATCH("B06-PDBG-42",'SKU明细'!$A$11:$A$1309,0)))=3,SUM(INDEX('SKU明细'!$CH$11:$CH$1309,MATCH("B06-PDBG-40",'SKU明细'!$A$11:$A$1309,0)),INDEX('SKU明细'!$CH$11:$CH$1309,MATCH("B06-PDBG-40.5",'SKU明细'!$A$11:$A$1309,0)),INDEX('SKU明细'!$CH$11:$CH$1309,MATCH("B06-PDBG-42",'SKU明细'!$A$11:$A$1309,0))),"待核")</x:f>
        <x:v>0</x:v>
      </x:c>
      <x:c r="AF51" s="13" t="n">
        <x:f>IF(COUNT(INDEX('SKU明细'!$CI$11:$CI$1309,MATCH("B06-PDBG-40",'SKU明细'!$A$11:$A$1309,0)),INDEX('SKU明细'!$CI$11:$CI$1309,MATCH("B06-PDBG-40.5",'SKU明细'!$A$11:$A$1309,0)),INDEX('SKU明细'!$CI$11:$CI$1309,MATCH("B06-PDBG-42",'SKU明细'!$A$11:$A$1309,0)))=3,SUM(INDEX('SKU明细'!$CI$11:$CI$1309,MATCH("B06-PDBG-40",'SKU明细'!$A$11:$A$1309,0)),INDEX('SKU明细'!$CI$11:$CI$1309,MATCH("B06-PDBG-40.5",'SKU明细'!$A$11:$A$1309,0)),INDEX('SKU明细'!$CI$11:$CI$1309,MATCH("B06-PDBG-42",'SKU明细'!$A$11:$A$1309,0))),"待核")</x:f>
        <x:v>0</x:v>
      </x:c>
    </x:row>
    <x:row r="52" ht="40" customHeight="1">
      <x:c r="A52" s="35" t="str">
        <x:v>B06</x:v>
      </x:c>
      <x:c r="B52" s="35" t="str">
        <x:v>艾年</x:v>
      </x:c>
      <x:c r="C52" s="35" t="str">
        <x:v>黑色圆点布</x:v>
      </x:c>
      <x:c r="D52" s="35" t="str">
        <x:v>PDBK</x:v>
      </x:c>
      <x:c r="E52" s="35" t="str">
        <x:v>B06-PDBK</x:v>
      </x:c>
      <x:c r="F52" s="35"/>
      <x:c r="G52" s="36" t="str">
        <x:f>"—"</x:f>
        <x:v>—</x:v>
      </x:c>
      <x:c r="H52" s="36" t="n">
        <x:f>IF(COUNT(INDEX('SKU明细'!$D$11:$D$1309,MATCH("B06-PDBK-37",'SKU明细'!$A$11:$A$1309,0)))=0,"待核",IF(COUNT(INDEX('SKU明细'!$D$11:$D$1309,MATCH("B06-PDBK-37",'SKU明细'!$A$11:$A$1309,0)))&lt;1,SUM(INDEX('SKU明细'!$D$11:$D$1309,MATCH("B06-PDBK-37",'SKU明细'!$A$11:$A$1309,0)))&amp;" + 待核",SUM(INDEX('SKU明细'!$D$11:$D$1309,MATCH("B06-PDBK-37",'SKU明细'!$A$11:$A$1309,0)))))</x:f>
        <x:v>0</x:v>
      </x:c>
      <x:c r="I52" s="36" t="str">
        <x:f>"—"</x:f>
        <x:v>—</x:v>
      </x:c>
      <x:c r="J52" s="36" t="str">
        <x:f>"—"</x:f>
        <x:v>—</x:v>
      </x:c>
      <x:c r="K52" s="36" t="str">
        <x:f>"—"</x:f>
        <x:v>—</x:v>
      </x:c>
      <x:c r="L52" s="36" t="str">
        <x:f>"—"</x:f>
        <x:v>—</x:v>
      </x:c>
      <x:c r="M52" s="36" t="str">
        <x:f>"—"</x:f>
        <x:v>—</x:v>
      </x:c>
      <x:c r="N52" s="36" t="str">
        <x:f>"—"</x:f>
        <x:v>—</x:v>
      </x:c>
      <x:c r="O52" s="36" t="str">
        <x:f>"—"</x:f>
        <x:v>—</x:v>
      </x:c>
      <x:c r="P52" s="36" t="n">
        <x:f>IF(COUNT(INDEX('SKU明细'!$D$11:$D$1309,MATCH("B06-PDBK-41",'SKU明细'!$A$11:$A$1309,0)))=0,"待核",IF(COUNT(INDEX('SKU明细'!$D$11:$D$1309,MATCH("B06-PDBK-41",'SKU明细'!$A$11:$A$1309,0)))&lt;1,SUM(INDEX('SKU明细'!$D$11:$D$1309,MATCH("B06-PDBK-41",'SKU明细'!$A$11:$A$1309,0)))&amp;" + 待核",SUM(INDEX('SKU明细'!$D$11:$D$1309,MATCH("B06-PDBK-41",'SKU明细'!$A$11:$A$1309,0)))))</x:f>
        <x:v>0</x:v>
      </x:c>
      <x:c r="Q52" s="36" t="n">
        <x:f>IF(COUNT(INDEX('SKU明细'!$D$11:$D$1309,MATCH("B06-PDBK-41.5",'SKU明细'!$A$11:$A$1309,0)))=0,"待核",IF(COUNT(INDEX('SKU明细'!$D$11:$D$1309,MATCH("B06-PDBK-41.5",'SKU明细'!$A$11:$A$1309,0)))&lt;1,SUM(INDEX('SKU明细'!$D$11:$D$1309,MATCH("B06-PDBK-41.5",'SKU明细'!$A$11:$A$1309,0)))&amp;" + 待核",SUM(INDEX('SKU明细'!$D$11:$D$1309,MATCH("B06-PDBK-41.5",'SKU明细'!$A$11:$A$1309,0)))))</x:f>
        <x:v>0</x:v>
      </x:c>
      <x:c r="R52" s="36" t="str">
        <x:f>"—"</x:f>
        <x:v>—</x:v>
      </x:c>
      <x:c r="S52" s="36" t="n">
        <x:f>IF(COUNT(INDEX('SKU明细'!$D$11:$D$1309,MATCH("B06-PDBK-37",'SKU明细'!$A$11:$A$1309,0)),INDEX('SKU明细'!$D$11:$D$1309,MATCH("B06-PDBK-41",'SKU明细'!$A$11:$A$1309,0)),INDEX('SKU明细'!$D$11:$D$1309,MATCH("B06-PDBK-41.5",'SKU明细'!$A$11:$A$1309,0)))=0,"待核",SUM(INDEX('SKU明细'!$D$11:$D$1309,MATCH("B06-PDBK-37",'SKU明细'!$A$11:$A$1309,0)),INDEX('SKU明细'!$D$11:$D$1309,MATCH("B06-PDBK-41",'SKU明细'!$A$11:$A$1309,0)),INDEX('SKU明细'!$D$11:$D$1309,MATCH("B06-PDBK-41.5",'SKU明细'!$A$11:$A$1309,0))))</x:f>
        <x:v>0</x:v>
      </x:c>
      <x:c r="T52" s="36" t="n">
        <x:f>IF(COUNTIFS($A$9:$A$191,A52,$U$9:$U$191,"&lt;&gt;待核")=0,"待核",SUMIF($A$9:$A$191,A52,$S$9:$S$191))</x:f>
        <x:v>613</x:v>
      </x:c>
      <x:c r="U52" s="35" t="str">
        <x:f>IF(COUNT(INDEX('SKU明细'!$D$11:$D$1309,MATCH("B06-PDBK-37",'SKU明细'!$A$11:$A$1309,0)),INDEX('SKU明细'!$D$11:$D$1309,MATCH("B06-PDBK-41",'SKU明细'!$A$11:$A$1309,0)),INDEX('SKU明细'!$D$11:$D$1309,MATCH("B06-PDBK-41.5",'SKU明细'!$A$11:$A$1309,0)))=0,"待核",IF(COUNT(INDEX('SKU明细'!$D$11:$D$1309,MATCH("B06-PDBK-37",'SKU明细'!$A$11:$A$1309,0)),INDEX('SKU明细'!$D$11:$D$1309,MATCH("B06-PDBK-41",'SKU明细'!$A$11:$A$1309,0)),INDEX('SKU明细'!$D$11:$D$1309,MATCH("B06-PDBK-41.5",'SKU明细'!$A$11:$A$1309,0)))&lt;3,"另有待核","已核"))</x:f>
        <x:v>已核</x:v>
      </x:c>
      <x:c r="V52" s="35" t="str">
        <x:v>停售、在售</x:v>
      </x:c>
      <x:c r="W52" s="11" t="n">
        <x:f>IF(COUNT(INDEX('SKU明细'!$BV$11:$BV$1309,MATCH("B06-PDBK-37",'SKU明细'!$A$11:$A$1309,0)),INDEX('SKU明细'!$BV$11:$BV$1309,MATCH("B06-PDBK-41",'SKU明细'!$A$11:$A$1309,0)),INDEX('SKU明细'!$BV$11:$BV$1309,MATCH("B06-PDBK-41.5",'SKU明细'!$A$11:$A$1309,0)))=3,SUM(INDEX('SKU明细'!$BV$11:$BV$1309,MATCH("B06-PDBK-37",'SKU明细'!$A$11:$A$1309,0)),INDEX('SKU明细'!$BV$11:$BV$1309,MATCH("B06-PDBK-41",'SKU明细'!$A$11:$A$1309,0)),INDEX('SKU明细'!$BV$11:$BV$1309,MATCH("B06-PDBK-41.5",'SKU明细'!$A$11:$A$1309,0))),"待核")</x:f>
        <x:v>0.02946912348029766</x:v>
      </x:c>
      <x:c r="X52" s="11" t="n">
        <x:f>INDEX('SKU明细'!$BW$11:$BW$1309,MATCH("B06-PDBK-37",'SKU明细'!$A$11:$A$1309,0))</x:f>
        <x:v>1.2247029157699902</x:v>
      </x:c>
      <x:c r="Y52" s="13" t="n">
        <x:f>IF(COUNT(INDEX('SKU明细'!$BY$11:$BY$1309,MATCH("B06-PDBK-37",'SKU明细'!$A$11:$A$1309,0)),INDEX('SKU明细'!$BY$11:$BY$1309,MATCH("B06-PDBK-41",'SKU明细'!$A$11:$A$1309,0)),INDEX('SKU明细'!$BY$11:$BY$1309,MATCH("B06-PDBK-41.5",'SKU明细'!$A$11:$A$1309,0)))=3,SUM(INDEX('SKU明细'!$BY$11:$BY$1309,MATCH("B06-PDBK-37",'SKU明细'!$A$11:$A$1309,0)),INDEX('SKU明细'!$BY$11:$BY$1309,MATCH("B06-PDBK-41",'SKU明细'!$A$11:$A$1309,0)),INDEX('SKU明细'!$BY$11:$BY$1309,MATCH("B06-PDBK-41.5",'SKU明细'!$A$11:$A$1309,0))),"待核")</x:f>
        <x:v>0.43309105741807713</x:v>
      </x:c>
      <x:c r="Z52" s="11" t="n">
        <x:f>INDEX('SKU明细'!$BZ$11:$BZ$1309,MATCH("B06-PDBK-37",'SKU明细'!$A$11:$A$1309,0))</x:f>
        <x:v>0.8332682139098497</x:v>
      </x:c>
      <x:c r="AA52" s="13" t="n">
        <x:f>IF(COUNT(INDEX('SKU明细'!$CB$11:$CB$1309,MATCH("B06-PDBK-37",'SKU明细'!$A$11:$A$1309,0)),INDEX('SKU明细'!$CB$11:$CB$1309,MATCH("B06-PDBK-41",'SKU明细'!$A$11:$A$1309,0)),INDEX('SKU明细'!$CB$11:$CB$1309,MATCH("B06-PDBK-41.5",'SKU明细'!$A$11:$A$1309,0)))=3,SUM(INDEX('SKU明细'!$CB$11:$CB$1309,MATCH("B06-PDBK-37",'SKU明细'!$A$11:$A$1309,0)),INDEX('SKU明细'!$CB$11:$CB$1309,MATCH("B06-PDBK-41",'SKU明细'!$A$11:$A$1309,0)),INDEX('SKU明细'!$CB$11:$CB$1309,MATCH("B06-PDBK-41.5",'SKU明细'!$A$11:$A$1309,0))),"待核")</x:f>
        <x:v>0.7366705166374933</x:v>
      </x:c>
      <x:c r="AB52" s="11" t="n">
        <x:f>INDEX('SKU明细'!$CC$11:$CC$1309,MATCH("B06-PDBK-37",'SKU明细'!$A$11:$A$1309,0))</x:f>
        <x:v>0.5511018253564084</x:v>
      </x:c>
      <x:c r="AC52" s="13" t="n">
        <x:f>IF(COUNT(INDEX('SKU明细'!$CE$11:$CE$1309,MATCH("B06-PDBK-37",'SKU明细'!$A$11:$A$1309,0)),INDEX('SKU明细'!$CE$11:$CE$1309,MATCH("B06-PDBK-41",'SKU明细'!$A$11:$A$1309,0)),INDEX('SKU明细'!$CE$11:$CE$1309,MATCH("B06-PDBK-41.5",'SKU明细'!$A$11:$A$1309,0)))=3,SUM(INDEX('SKU明细'!$CE$11:$CE$1309,MATCH("B06-PDBK-37",'SKU明细'!$A$11:$A$1309,0)),INDEX('SKU明细'!$CE$11:$CE$1309,MATCH("B06-PDBK-41",'SKU明细'!$A$11:$A$1309,0)),INDEX('SKU明细'!$CE$11:$CE$1309,MATCH("B06-PDBK-41.5",'SKU明细'!$A$11:$A$1309,0))),"待核")</x:f>
        <x:v>0.5034551199910084</x:v>
      </x:c>
      <x:c r="AD52" s="11" t="n">
        <x:f>INDEX('SKU明细'!$CF$11:$CF$1309,MATCH("B06-PDBK-37",'SKU明细'!$A$11:$A$1309,0))</x:f>
        <x:v>1.0017220238758797</x:v>
      </x:c>
      <x:c r="AE52" s="13" t="n">
        <x:f>IF(COUNT(INDEX('SKU明细'!$CH$11:$CH$1309,MATCH("B06-PDBK-37",'SKU明细'!$A$11:$A$1309,0)),INDEX('SKU明细'!$CH$11:$CH$1309,MATCH("B06-PDBK-41",'SKU明细'!$A$11:$A$1309,0)),INDEX('SKU明细'!$CH$11:$CH$1309,MATCH("B06-PDBK-41.5",'SKU明细'!$A$11:$A$1309,0)))=3,SUM(INDEX('SKU明细'!$CH$11:$CH$1309,MATCH("B06-PDBK-37",'SKU明细'!$A$11:$A$1309,0)),INDEX('SKU明细'!$CH$11:$CH$1309,MATCH("B06-PDBK-41",'SKU明细'!$A$11:$A$1309,0)),INDEX('SKU明细'!$CH$11:$CH$1309,MATCH("B06-PDBK-41.5",'SKU明细'!$A$11:$A$1309,0))),"待核")</x:f>
        <x:v>0.5018377902470437</x:v>
      </x:c>
      <x:c r="AF52" s="13" t="n">
        <x:f>IF(COUNT(INDEX('SKU明细'!$CI$11:$CI$1309,MATCH("B06-PDBK-37",'SKU明细'!$A$11:$A$1309,0)),INDEX('SKU明细'!$CI$11:$CI$1309,MATCH("B06-PDBK-41",'SKU明细'!$A$11:$A$1309,0)),INDEX('SKU明细'!$CI$11:$CI$1309,MATCH("B06-PDBK-41.5",'SKU明细'!$A$11:$A$1309,0)))=3,SUM(INDEX('SKU明细'!$CI$11:$CI$1309,MATCH("B06-PDBK-37",'SKU明细'!$A$11:$A$1309,0)),INDEX('SKU明细'!$CI$11:$CI$1309,MATCH("B06-PDBK-41",'SKU明细'!$A$11:$A$1309,0)),INDEX('SKU明细'!$CI$11:$CI$1309,MATCH("B06-PDBK-41.5",'SKU明细'!$A$11:$A$1309,0))),"待核")</x:f>
        <x:v>2.1750544842936224</x:v>
      </x:c>
    </x:row>
    <x:row r="53" ht="40" customHeight="1">
      <x:c r="A53" s="35" t="str">
        <x:v>B06</x:v>
      </x:c>
      <x:c r="B53" s="35" t="str">
        <x:v>艾年</x:v>
      </x:c>
      <x:c r="C53" s="35" t="str">
        <x:v>粉色羊京绒</x:v>
      </x:c>
      <x:c r="D53" s="35" t="str">
        <x:v>PK</x:v>
      </x:c>
      <x:c r="E53" s="35" t="str">
        <x:v>B06-PK</x:v>
      </x:c>
      <x:c r="F53" s="35"/>
      <x:c r="G53" s="36" t="str">
        <x:f>"—"</x:f>
        <x:v>—</x:v>
      </x:c>
      <x:c r="H53" s="36" t="str">
        <x:f>"—"</x:f>
        <x:v>—</x:v>
      </x:c>
      <x:c r="I53" s="36" t="n">
        <x:f>IF(COUNT(INDEX('SKU明细'!$D$11:$D$1309,MATCH("B06-PK-37.5",'SKU明细'!$A$11:$A$1309,0)))=0,"待核",IF(COUNT(INDEX('SKU明细'!$D$11:$D$1309,MATCH("B06-PK-37.5",'SKU明细'!$A$11:$A$1309,0)))&lt;1,SUM(INDEX('SKU明细'!$D$11:$D$1309,MATCH("B06-PK-37.5",'SKU明细'!$A$11:$A$1309,0)))&amp;" + 待核",SUM(INDEX('SKU明细'!$D$11:$D$1309,MATCH("B06-PK-37.5",'SKU明细'!$A$11:$A$1309,0)))))</x:f>
        <x:v>0</x:v>
      </x:c>
      <x:c r="J53" s="36" t="n">
        <x:f>IF(COUNT(INDEX('SKU明细'!$D$11:$D$1309,MATCH("B06-PK-38-N",'SKU明细'!$A$11:$A$1309,0)))=0,"待核",IF(COUNT(INDEX('SKU明细'!$D$11:$D$1309,MATCH("B06-PK-38-N",'SKU明细'!$A$11:$A$1309,0)))&lt;1,SUM(INDEX('SKU明细'!$D$11:$D$1309,MATCH("B06-PK-38-N",'SKU明细'!$A$11:$A$1309,0)))&amp;" + 待核",SUM(INDEX('SKU明细'!$D$11:$D$1309,MATCH("B06-PK-38-N",'SKU明细'!$A$11:$A$1309,0)))))</x:f>
        <x:v>0</x:v>
      </x:c>
      <x:c r="K53" s="36" t="n">
        <x:f>IF(COUNT(INDEX('SKU明细'!$D$11:$D$1309,MATCH("B06-PK-38.5",'SKU明细'!$A$11:$A$1309,0)))=0,"待核",IF(COUNT(INDEX('SKU明细'!$D$11:$D$1309,MATCH("B06-PK-38.5",'SKU明细'!$A$11:$A$1309,0)))&lt;1,SUM(INDEX('SKU明细'!$D$11:$D$1309,MATCH("B06-PK-38.5",'SKU明细'!$A$11:$A$1309,0)))&amp;" + 待核",SUM(INDEX('SKU明细'!$D$11:$D$1309,MATCH("B06-PK-38.5",'SKU明细'!$A$11:$A$1309,0)))))</x:f>
        <x:v>0</x:v>
      </x:c>
      <x:c r="L53" s="36" t="n">
        <x:f>IF(COUNT(INDEX('SKU明细'!$D$11:$D$1309,MATCH("B06-PK-39-N",'SKU明细'!$A$11:$A$1309,0)))=0,"待核",IF(COUNT(INDEX('SKU明细'!$D$11:$D$1309,MATCH("B06-PK-39-N",'SKU明细'!$A$11:$A$1309,0)))&lt;1,SUM(INDEX('SKU明细'!$D$11:$D$1309,MATCH("B06-PK-39-N",'SKU明细'!$A$11:$A$1309,0)))&amp;" + 待核",SUM(INDEX('SKU明细'!$D$11:$D$1309,MATCH("B06-PK-39-N",'SKU明细'!$A$11:$A$1309,0)))))</x:f>
        <x:v>0</x:v>
      </x:c>
      <x:c r="M53" s="36" t="n">
        <x:f>IF(COUNT(INDEX('SKU明细'!$D$11:$D$1309,MATCH("B06-PK-39.5",'SKU明细'!$A$11:$A$1309,0)))=0,"待核",IF(COUNT(INDEX('SKU明细'!$D$11:$D$1309,MATCH("B06-PK-39.5",'SKU明细'!$A$11:$A$1309,0)))&lt;1,SUM(INDEX('SKU明细'!$D$11:$D$1309,MATCH("B06-PK-39.5",'SKU明细'!$A$11:$A$1309,0)))&amp;" + 待核",SUM(INDEX('SKU明细'!$D$11:$D$1309,MATCH("B06-PK-39.5",'SKU明细'!$A$11:$A$1309,0)))))</x:f>
        <x:v>0</x:v>
      </x:c>
      <x:c r="N53" s="36" t="n">
        <x:f>IF(COUNT(INDEX('SKU明细'!$D$11:$D$1309,MATCH("B06-PK-40-N",'SKU明细'!$A$11:$A$1309,0)))=0,"待核",IF(COUNT(INDEX('SKU明细'!$D$11:$D$1309,MATCH("B06-PK-40-N",'SKU明细'!$A$11:$A$1309,0)))&lt;1,SUM(INDEX('SKU明细'!$D$11:$D$1309,MATCH("B06-PK-40-N",'SKU明细'!$A$11:$A$1309,0)))&amp;" + 待核",SUM(INDEX('SKU明细'!$D$11:$D$1309,MATCH("B06-PK-40-N",'SKU明细'!$A$11:$A$1309,0)))))</x:f>
        <x:v>0</x:v>
      </x:c>
      <x:c r="O53" s="36" t="n">
        <x:f>IF(COUNT(INDEX('SKU明细'!$D$11:$D$1309,MATCH("B06-PK-40.5",'SKU明细'!$A$11:$A$1309,0)))=0,"待核",IF(COUNT(INDEX('SKU明细'!$D$11:$D$1309,MATCH("B06-PK-40.5",'SKU明细'!$A$11:$A$1309,0)))&lt;1,SUM(INDEX('SKU明细'!$D$11:$D$1309,MATCH("B06-PK-40.5",'SKU明细'!$A$11:$A$1309,0)))&amp;" + 待核",SUM(INDEX('SKU明细'!$D$11:$D$1309,MATCH("B06-PK-40.5",'SKU明细'!$A$11:$A$1309,0)))))</x:f>
        <x:v>0</x:v>
      </x:c>
      <x:c r="P53" s="36" t="n">
        <x:f>IF(COUNT(INDEX('SKU明细'!$D$11:$D$1309,MATCH("B06-PK-41-N",'SKU明细'!$A$11:$A$1309,0)))=0,"待核",IF(COUNT(INDEX('SKU明细'!$D$11:$D$1309,MATCH("B06-PK-41-N",'SKU明细'!$A$11:$A$1309,0)))&lt;1,SUM(INDEX('SKU明细'!$D$11:$D$1309,MATCH("B06-PK-41-N",'SKU明细'!$A$11:$A$1309,0)))&amp;" + 待核",SUM(INDEX('SKU明细'!$D$11:$D$1309,MATCH("B06-PK-41-N",'SKU明细'!$A$11:$A$1309,0)))))</x:f>
        <x:v>0</x:v>
      </x:c>
      <x:c r="Q53" s="36" t="n">
        <x:f>IF(COUNT(INDEX('SKU明细'!$D$11:$D$1309,MATCH("B06-PK-41.5",'SKU明细'!$A$11:$A$1309,0)))=0,"待核",IF(COUNT(INDEX('SKU明细'!$D$11:$D$1309,MATCH("B06-PK-41.5",'SKU明细'!$A$11:$A$1309,0)))&lt;1,SUM(INDEX('SKU明细'!$D$11:$D$1309,MATCH("B06-PK-41.5",'SKU明细'!$A$11:$A$1309,0)))&amp;" + 待核",SUM(INDEX('SKU明细'!$D$11:$D$1309,MATCH("B06-PK-41.5",'SKU明细'!$A$11:$A$1309,0)))))</x:f>
        <x:v>0</x:v>
      </x:c>
      <x:c r="R53" s="36" t="n">
        <x:f>IF(COUNT(INDEX('SKU明细'!$D$11:$D$1309,MATCH("B06-PK-42",'SKU明细'!$A$11:$A$1309,0)))=0,"待核",IF(COUNT(INDEX('SKU明细'!$D$11:$D$1309,MATCH("B06-PK-42",'SKU明细'!$A$11:$A$1309,0)))&lt;1,SUM(INDEX('SKU明细'!$D$11:$D$1309,MATCH("B06-PK-42",'SKU明细'!$A$11:$A$1309,0)))&amp;" + 待核",SUM(INDEX('SKU明细'!$D$11:$D$1309,MATCH("B06-PK-42",'SKU明细'!$A$11:$A$1309,0)))))</x:f>
        <x:v>0</x:v>
      </x:c>
      <x:c r="S53" s="36" t="n">
        <x:f>IF(COUNT(INDEX('SKU明细'!$D$11:$D$1309,MATCH("B06-PK-37.5",'SKU明细'!$A$11:$A$1309,0)),INDEX('SKU明细'!$D$11:$D$1309,MATCH("B06-PK-38-N",'SKU明细'!$A$11:$A$1309,0)),INDEX('SKU明细'!$D$11:$D$1309,MATCH("B06-PK-38.5",'SKU明细'!$A$11:$A$1309,0)),INDEX('SKU明细'!$D$11:$D$1309,MATCH("B06-PK-39-N",'SKU明细'!$A$11:$A$1309,0)),INDEX('SKU明细'!$D$11:$D$1309,MATCH("B06-PK-39.5",'SKU明细'!$A$11:$A$1309,0)),INDEX('SKU明细'!$D$11:$D$1309,MATCH("B06-PK-40-N",'SKU明细'!$A$11:$A$1309,0)),INDEX('SKU明细'!$D$11:$D$1309,MATCH("B06-PK-40.5",'SKU明细'!$A$11:$A$1309,0)),INDEX('SKU明细'!$D$11:$D$1309,MATCH("B06-PK-41-N",'SKU明细'!$A$11:$A$1309,0)),INDEX('SKU明细'!$D$11:$D$1309,MATCH("B06-PK-41.5",'SKU明细'!$A$11:$A$1309,0)),INDEX('SKU明细'!$D$11:$D$1309,MATCH("B06-PK-42",'SKU明细'!$A$11:$A$1309,0)))=0,"待核",SUM(INDEX('SKU明细'!$D$11:$D$1309,MATCH("B06-PK-37.5",'SKU明细'!$A$11:$A$1309,0)),INDEX('SKU明细'!$D$11:$D$1309,MATCH("B06-PK-38-N",'SKU明细'!$A$11:$A$1309,0)),INDEX('SKU明细'!$D$11:$D$1309,MATCH("B06-PK-38.5",'SKU明细'!$A$11:$A$1309,0)),INDEX('SKU明细'!$D$11:$D$1309,MATCH("B06-PK-39-N",'SKU明细'!$A$11:$A$1309,0)),INDEX('SKU明细'!$D$11:$D$1309,MATCH("B06-PK-39.5",'SKU明细'!$A$11:$A$1309,0)),INDEX('SKU明细'!$D$11:$D$1309,MATCH("B06-PK-40-N",'SKU明细'!$A$11:$A$1309,0)),INDEX('SKU明细'!$D$11:$D$1309,MATCH("B06-PK-40.5",'SKU明细'!$A$11:$A$1309,0)),INDEX('SKU明细'!$D$11:$D$1309,MATCH("B06-PK-41-N",'SKU明细'!$A$11:$A$1309,0)),INDEX('SKU明细'!$D$11:$D$1309,MATCH("B06-PK-41.5",'SKU明细'!$A$11:$A$1309,0)),INDEX('SKU明细'!$D$11:$D$1309,MATCH("B06-PK-42",'SKU明细'!$A$11:$A$1309,0))))</x:f>
        <x:v>0</x:v>
      </x:c>
      <x:c r="T53" s="36" t="n">
        <x:f>IF(COUNTIFS($A$9:$A$191,A53,$U$9:$U$191,"&lt;&gt;待核")=0,"待核",SUMIF($A$9:$A$191,A53,$S$9:$S$191))</x:f>
        <x:v>613</x:v>
      </x:c>
      <x:c r="U53" s="35" t="str">
        <x:f>IF(COUNT(INDEX('SKU明细'!$D$11:$D$1309,MATCH("B06-PK-37.5",'SKU明细'!$A$11:$A$1309,0)),INDEX('SKU明细'!$D$11:$D$1309,MATCH("B06-PK-38-N",'SKU明细'!$A$11:$A$1309,0)),INDEX('SKU明细'!$D$11:$D$1309,MATCH("B06-PK-38.5",'SKU明细'!$A$11:$A$1309,0)),INDEX('SKU明细'!$D$11:$D$1309,MATCH("B06-PK-39-N",'SKU明细'!$A$11:$A$1309,0)),INDEX('SKU明细'!$D$11:$D$1309,MATCH("B06-PK-39.5",'SKU明细'!$A$11:$A$1309,0)),INDEX('SKU明细'!$D$11:$D$1309,MATCH("B06-PK-40-N",'SKU明细'!$A$11:$A$1309,0)),INDEX('SKU明细'!$D$11:$D$1309,MATCH("B06-PK-40.5",'SKU明细'!$A$11:$A$1309,0)),INDEX('SKU明细'!$D$11:$D$1309,MATCH("B06-PK-41-N",'SKU明细'!$A$11:$A$1309,0)),INDEX('SKU明细'!$D$11:$D$1309,MATCH("B06-PK-41.5",'SKU明细'!$A$11:$A$1309,0)),INDEX('SKU明细'!$D$11:$D$1309,MATCH("B06-PK-42",'SKU明细'!$A$11:$A$1309,0)))=0,"待核",IF(COUNT(INDEX('SKU明细'!$D$11:$D$1309,MATCH("B06-PK-37.5",'SKU明细'!$A$11:$A$1309,0)),INDEX('SKU明细'!$D$11:$D$1309,MATCH("B06-PK-38-N",'SKU明细'!$A$11:$A$1309,0)),INDEX('SKU明细'!$D$11:$D$1309,MATCH("B06-PK-38.5",'SKU明细'!$A$11:$A$1309,0)),INDEX('SKU明细'!$D$11:$D$1309,MATCH("B06-PK-39-N",'SKU明细'!$A$11:$A$1309,0)),INDEX('SKU明细'!$D$11:$D$1309,MATCH("B06-PK-39.5",'SKU明细'!$A$11:$A$1309,0)),INDEX('SKU明细'!$D$11:$D$1309,MATCH("B06-PK-40-N",'SKU明细'!$A$11:$A$1309,0)),INDEX('SKU明细'!$D$11:$D$1309,MATCH("B06-PK-40.5",'SKU明细'!$A$11:$A$1309,0)),INDEX('SKU明细'!$D$11:$D$1309,MATCH("B06-PK-41-N",'SKU明细'!$A$11:$A$1309,0)),INDEX('SKU明细'!$D$11:$D$1309,MATCH("B06-PK-41.5",'SKU明细'!$A$11:$A$1309,0)),INDEX('SKU明细'!$D$11:$D$1309,MATCH("B06-PK-42",'SKU明细'!$A$11:$A$1309,0)))&lt;10,"另有待核","已核"))</x:f>
        <x:v>已核</x:v>
      </x:c>
      <x:c r="V53" s="35" t="str">
        <x:v>在售、停售</x:v>
      </x:c>
      <x:c r="W53" s="11" t="n">
        <x:f>IF(COUNT(INDEX('SKU明细'!$BV$11:$BV$1309,MATCH("B06-PK-37.5",'SKU明细'!$A$11:$A$1309,0)),INDEX('SKU明细'!$BV$11:$BV$1309,MATCH("B06-PK-38-N",'SKU明细'!$A$11:$A$1309,0)),INDEX('SKU明细'!$BV$11:$BV$1309,MATCH("B06-PK-38.5",'SKU明细'!$A$11:$A$1309,0)),INDEX('SKU明细'!$BV$11:$BV$1309,MATCH("B06-PK-39-N",'SKU明细'!$A$11:$A$1309,0)),INDEX('SKU明细'!$BV$11:$BV$1309,MATCH("B06-PK-39.5",'SKU明细'!$A$11:$A$1309,0)),INDEX('SKU明细'!$BV$11:$BV$1309,MATCH("B06-PK-40-N",'SKU明细'!$A$11:$A$1309,0)),INDEX('SKU明细'!$BV$11:$BV$1309,MATCH("B06-PK-40.5",'SKU明细'!$A$11:$A$1309,0)),INDEX('SKU明细'!$BV$11:$BV$1309,MATCH("B06-PK-41-N",'SKU明细'!$A$11:$A$1309,0)),INDEX('SKU明细'!$BV$11:$BV$1309,MATCH("B06-PK-41.5",'SKU明细'!$A$11:$A$1309,0)),INDEX('SKU明细'!$BV$11:$BV$1309,MATCH("B06-PK-42",'SKU明细'!$A$11:$A$1309,0)))=10,SUM(INDEX('SKU明细'!$BV$11:$BV$1309,MATCH("B06-PK-37.5",'SKU明细'!$A$11:$A$1309,0)),INDEX('SKU明细'!$BV$11:$BV$1309,MATCH("B06-PK-38-N",'SKU明细'!$A$11:$A$1309,0)),INDEX('SKU明细'!$BV$11:$BV$1309,MATCH("B06-PK-38.5",'SKU明细'!$A$11:$A$1309,0)),INDEX('SKU明细'!$BV$11:$BV$1309,MATCH("B06-PK-39-N",'SKU明细'!$A$11:$A$1309,0)),INDEX('SKU明细'!$BV$11:$BV$1309,MATCH("B06-PK-39.5",'SKU明细'!$A$11:$A$1309,0)),INDEX('SKU明细'!$BV$11:$BV$1309,MATCH("B06-PK-40-N",'SKU明细'!$A$11:$A$1309,0)),INDEX('SKU明细'!$BV$11:$BV$1309,MATCH("B06-PK-40.5",'SKU明细'!$A$11:$A$1309,0)),INDEX('SKU明细'!$BV$11:$BV$1309,MATCH("B06-PK-41-N",'SKU明细'!$A$11:$A$1309,0)),INDEX('SKU明细'!$BV$11:$BV$1309,MATCH("B06-PK-41.5",'SKU明细'!$A$11:$A$1309,0)),INDEX('SKU明细'!$BV$11:$BV$1309,MATCH("B06-PK-42",'SKU明细'!$A$11:$A$1309,0))),"待核")</x:f>
        <x:v>0.14161497208377494</x:v>
      </x:c>
      <x:c r="X53" s="11" t="n">
        <x:f>INDEX('SKU明细'!$BW$11:$BW$1309,MATCH("B06-PK-37.5",'SKU明细'!$A$11:$A$1309,0))</x:f>
        <x:v>1.2247029157699902</x:v>
      </x:c>
      <x:c r="Y53" s="13" t="n">
        <x:f>IF(COUNT(INDEX('SKU明细'!$BY$11:$BY$1309,MATCH("B06-PK-37.5",'SKU明细'!$A$11:$A$1309,0)),INDEX('SKU明细'!$BY$11:$BY$1309,MATCH("B06-PK-38-N",'SKU明细'!$A$11:$A$1309,0)),INDEX('SKU明细'!$BY$11:$BY$1309,MATCH("B06-PK-38.5",'SKU明细'!$A$11:$A$1309,0)),INDEX('SKU明细'!$BY$11:$BY$1309,MATCH("B06-PK-39-N",'SKU明细'!$A$11:$A$1309,0)),INDEX('SKU明细'!$BY$11:$BY$1309,MATCH("B06-PK-39.5",'SKU明细'!$A$11:$A$1309,0)),INDEX('SKU明细'!$BY$11:$BY$1309,MATCH("B06-PK-40-N",'SKU明细'!$A$11:$A$1309,0)),INDEX('SKU明细'!$BY$11:$BY$1309,MATCH("B06-PK-40.5",'SKU明细'!$A$11:$A$1309,0)),INDEX('SKU明细'!$BY$11:$BY$1309,MATCH("B06-PK-41-N",'SKU明细'!$A$11:$A$1309,0)),INDEX('SKU明细'!$BY$11:$BY$1309,MATCH("B06-PK-41.5",'SKU明细'!$A$11:$A$1309,0)),INDEX('SKU明细'!$BY$11:$BY$1309,MATCH("B06-PK-42",'SKU明细'!$A$11:$A$1309,0)))=10,SUM(INDEX('SKU明细'!$BY$11:$BY$1309,MATCH("B06-PK-37.5",'SKU明细'!$A$11:$A$1309,0)),INDEX('SKU明细'!$BY$11:$BY$1309,MATCH("B06-PK-38-N",'SKU明细'!$A$11:$A$1309,0)),INDEX('SKU明细'!$BY$11:$BY$1309,MATCH("B06-PK-38.5",'SKU明细'!$A$11:$A$1309,0)),INDEX('SKU明细'!$BY$11:$BY$1309,MATCH("B06-PK-39-N",'SKU明细'!$A$11:$A$1309,0)),INDEX('SKU明细'!$BY$11:$BY$1309,MATCH("B06-PK-39.5",'SKU明细'!$A$11:$A$1309,0)),INDEX('SKU明细'!$BY$11:$BY$1309,MATCH("B06-PK-40-N",'SKU明细'!$A$11:$A$1309,0)),INDEX('SKU明细'!$BY$11:$BY$1309,MATCH("B06-PK-40.5",'SKU明细'!$A$11:$A$1309,0)),INDEX('SKU明细'!$BY$11:$BY$1309,MATCH("B06-PK-41-N",'SKU明细'!$A$11:$A$1309,0)),INDEX('SKU明细'!$BY$11:$BY$1309,MATCH("B06-PK-41.5",'SKU明细'!$A$11:$A$1309,0)),INDEX('SKU明细'!$BY$11:$BY$1309,MATCH("B06-PK-42",'SKU明细'!$A$11:$A$1309,0))),"待核")</x:f>
        <x:v>2.081235230732219</x:v>
      </x:c>
      <x:c r="Z53" s="11" t="n">
        <x:f>INDEX('SKU明细'!$BZ$11:$BZ$1309,MATCH("B06-PK-37.5",'SKU明细'!$A$11:$A$1309,0))</x:f>
        <x:v>0.8332682139098497</x:v>
      </x:c>
      <x:c r="AA53" s="13" t="n">
        <x:f>IF(COUNT(INDEX('SKU明细'!$CB$11:$CB$1309,MATCH("B06-PK-37.5",'SKU明细'!$A$11:$A$1309,0)),INDEX('SKU明细'!$CB$11:$CB$1309,MATCH("B06-PK-38-N",'SKU明细'!$A$11:$A$1309,0)),INDEX('SKU明细'!$CB$11:$CB$1309,MATCH("B06-PK-38.5",'SKU明细'!$A$11:$A$1309,0)),INDEX('SKU明细'!$CB$11:$CB$1309,MATCH("B06-PK-39-N",'SKU明细'!$A$11:$A$1309,0)),INDEX('SKU明细'!$CB$11:$CB$1309,MATCH("B06-PK-39.5",'SKU明细'!$A$11:$A$1309,0)),INDEX('SKU明细'!$CB$11:$CB$1309,MATCH("B06-PK-40-N",'SKU明细'!$A$11:$A$1309,0)),INDEX('SKU明细'!$CB$11:$CB$1309,MATCH("B06-PK-40.5",'SKU明细'!$A$11:$A$1309,0)),INDEX('SKU明细'!$CB$11:$CB$1309,MATCH("B06-PK-41-N",'SKU明细'!$A$11:$A$1309,0)),INDEX('SKU明细'!$CB$11:$CB$1309,MATCH("B06-PK-41.5",'SKU明细'!$A$11:$A$1309,0)),INDEX('SKU明细'!$CB$11:$CB$1309,MATCH("B06-PK-42",'SKU明细'!$A$11:$A$1309,0)))=10,SUM(INDEX('SKU明细'!$CB$11:$CB$1309,MATCH("B06-PK-37.5",'SKU明细'!$A$11:$A$1309,0)),INDEX('SKU明细'!$CB$11:$CB$1309,MATCH("B06-PK-38-N",'SKU明细'!$A$11:$A$1309,0)),INDEX('SKU明细'!$CB$11:$CB$1309,MATCH("B06-PK-38.5",'SKU明细'!$A$11:$A$1309,0)),INDEX('SKU明细'!$CB$11:$CB$1309,MATCH("B06-PK-39-N",'SKU明细'!$A$11:$A$1309,0)),INDEX('SKU明细'!$CB$11:$CB$1309,MATCH("B06-PK-39.5",'SKU明细'!$A$11:$A$1309,0)),INDEX('SKU明细'!$CB$11:$CB$1309,MATCH("B06-PK-40-N",'SKU明细'!$A$11:$A$1309,0)),INDEX('SKU明细'!$CB$11:$CB$1309,MATCH("B06-PK-40.5",'SKU明细'!$A$11:$A$1309,0)),INDEX('SKU明细'!$CB$11:$CB$1309,MATCH("B06-PK-41-N",'SKU明细'!$A$11:$A$1309,0)),INDEX('SKU明细'!$CB$11:$CB$1309,MATCH("B06-PK-41.5",'SKU明细'!$A$11:$A$1309,0)),INDEX('SKU明细'!$CB$11:$CB$1309,MATCH("B06-PK-42",'SKU明细'!$A$11:$A$1309,0))),"待核")</x:f>
        <x:v>3.5400976455342117</x:v>
      </x:c>
      <x:c r="AB53" s="11" t="n">
        <x:f>INDEX('SKU明细'!$CC$11:$CC$1309,MATCH("B06-PK-37.5",'SKU明细'!$A$11:$A$1309,0))</x:f>
        <x:v>0.5511018253564084</x:v>
      </x:c>
      <x:c r="AC53" s="13" t="n">
        <x:f>IF(COUNT(INDEX('SKU明细'!$CE$11:$CE$1309,MATCH("B06-PK-37.5",'SKU明细'!$A$11:$A$1309,0)),INDEX('SKU明细'!$CE$11:$CE$1309,MATCH("B06-PK-38-N",'SKU明细'!$A$11:$A$1309,0)),INDEX('SKU明细'!$CE$11:$CE$1309,MATCH("B06-PK-38.5",'SKU明细'!$A$11:$A$1309,0)),INDEX('SKU明细'!$CE$11:$CE$1309,MATCH("B06-PK-39-N",'SKU明细'!$A$11:$A$1309,0)),INDEX('SKU明细'!$CE$11:$CE$1309,MATCH("B06-PK-39.5",'SKU明细'!$A$11:$A$1309,0)),INDEX('SKU明细'!$CE$11:$CE$1309,MATCH("B06-PK-40-N",'SKU明细'!$A$11:$A$1309,0)),INDEX('SKU明细'!$CE$11:$CE$1309,MATCH("B06-PK-40.5",'SKU明细'!$A$11:$A$1309,0)),INDEX('SKU明细'!$CE$11:$CE$1309,MATCH("B06-PK-41-N",'SKU明细'!$A$11:$A$1309,0)),INDEX('SKU明细'!$CE$11:$CE$1309,MATCH("B06-PK-41.5",'SKU明细'!$A$11:$A$1309,0)),INDEX('SKU明细'!$CE$11:$CE$1309,MATCH("B06-PK-42",'SKU明细'!$A$11:$A$1309,0)))=10,SUM(INDEX('SKU明细'!$CE$11:$CE$1309,MATCH("B06-PK-37.5",'SKU明细'!$A$11:$A$1309,0)),INDEX('SKU明细'!$CE$11:$CE$1309,MATCH("B06-PK-38-N",'SKU明细'!$A$11:$A$1309,0)),INDEX('SKU明细'!$CE$11:$CE$1309,MATCH("B06-PK-38.5",'SKU明细'!$A$11:$A$1309,0)),INDEX('SKU明细'!$CE$11:$CE$1309,MATCH("B06-PK-39-N",'SKU明细'!$A$11:$A$1309,0)),INDEX('SKU明细'!$CE$11:$CE$1309,MATCH("B06-PK-39.5",'SKU明细'!$A$11:$A$1309,0)),INDEX('SKU明细'!$CE$11:$CE$1309,MATCH("B06-PK-40-N",'SKU明细'!$A$11:$A$1309,0)),INDEX('SKU明细'!$CE$11:$CE$1309,MATCH("B06-PK-40.5",'SKU明细'!$A$11:$A$1309,0)),INDEX('SKU明细'!$CE$11:$CE$1309,MATCH("B06-PK-41-N",'SKU明细'!$A$11:$A$1309,0)),INDEX('SKU明细'!$CE$11:$CE$1309,MATCH("B06-PK-41.5",'SKU明细'!$A$11:$A$1309,0)),INDEX('SKU明细'!$CE$11:$CE$1309,MATCH("B06-PK-42",'SKU明细'!$A$11:$A$1309,0))),"待核")</x:f>
        <x:v>2.4193723580081206</x:v>
      </x:c>
      <x:c r="AD53" s="11" t="n">
        <x:f>INDEX('SKU明细'!$CF$11:$CF$1309,MATCH("B06-PK-37.5",'SKU明细'!$A$11:$A$1309,0))</x:f>
        <x:v>1.0017220238758797</x:v>
      </x:c>
      <x:c r="AE53" s="13" t="n">
        <x:f>IF(COUNT(INDEX('SKU明细'!$CH$11:$CH$1309,MATCH("B06-PK-37.5",'SKU明细'!$A$11:$A$1309,0)),INDEX('SKU明细'!$CH$11:$CH$1309,MATCH("B06-PK-38-N",'SKU明细'!$A$11:$A$1309,0)),INDEX('SKU明细'!$CH$11:$CH$1309,MATCH("B06-PK-38.5",'SKU明细'!$A$11:$A$1309,0)),INDEX('SKU明细'!$CH$11:$CH$1309,MATCH("B06-PK-39-N",'SKU明细'!$A$11:$A$1309,0)),INDEX('SKU明细'!$CH$11:$CH$1309,MATCH("B06-PK-39.5",'SKU明细'!$A$11:$A$1309,0)),INDEX('SKU明细'!$CH$11:$CH$1309,MATCH("B06-PK-40-N",'SKU明细'!$A$11:$A$1309,0)),INDEX('SKU明细'!$CH$11:$CH$1309,MATCH("B06-PK-40.5",'SKU明细'!$A$11:$A$1309,0)),INDEX('SKU明细'!$CH$11:$CH$1309,MATCH("B06-PK-41-N",'SKU明细'!$A$11:$A$1309,0)),INDEX('SKU明细'!$CH$11:$CH$1309,MATCH("B06-PK-41.5",'SKU明细'!$A$11:$A$1309,0)),INDEX('SKU明细'!$CH$11:$CH$1309,MATCH("B06-PK-42",'SKU明细'!$A$11:$A$1309,0)))=10,SUM(INDEX('SKU明细'!$CH$11:$CH$1309,MATCH("B06-PK-37.5",'SKU明细'!$A$11:$A$1309,0)),INDEX('SKU明细'!$CH$11:$CH$1309,MATCH("B06-PK-38-N",'SKU明细'!$A$11:$A$1309,0)),INDEX('SKU明细'!$CH$11:$CH$1309,MATCH("B06-PK-38.5",'SKU明细'!$A$11:$A$1309,0)),INDEX('SKU明细'!$CH$11:$CH$1309,MATCH("B06-PK-39-N",'SKU明细'!$A$11:$A$1309,0)),INDEX('SKU明细'!$CH$11:$CH$1309,MATCH("B06-PK-39.5",'SKU明细'!$A$11:$A$1309,0)),INDEX('SKU明细'!$CH$11:$CH$1309,MATCH("B06-PK-40-N",'SKU明细'!$A$11:$A$1309,0)),INDEX('SKU明细'!$CH$11:$CH$1309,MATCH("B06-PK-40.5",'SKU明细'!$A$11:$A$1309,0)),INDEX('SKU明细'!$CH$11:$CH$1309,MATCH("B06-PK-41-N",'SKU明细'!$A$11:$A$1309,0)),INDEX('SKU明细'!$CH$11:$CH$1309,MATCH("B06-PK-41.5",'SKU明细'!$A$11:$A$1309,0)),INDEX('SKU明细'!$CH$11:$CH$1309,MATCH("B06-PK-42",'SKU明细'!$A$11:$A$1309,0))),"待核")</x:f>
        <x:v>2.4116002195970494</x:v>
      </x:c>
      <x:c r="AF53" s="13" t="n">
        <x:f>IF(COUNT(INDEX('SKU明细'!$CI$11:$CI$1309,MATCH("B06-PK-37.5",'SKU明细'!$A$11:$A$1309,0)),INDEX('SKU明细'!$CI$11:$CI$1309,MATCH("B06-PK-38-N",'SKU明细'!$A$11:$A$1309,0)),INDEX('SKU明细'!$CI$11:$CI$1309,MATCH("B06-PK-38.5",'SKU明细'!$A$11:$A$1309,0)),INDEX('SKU明细'!$CI$11:$CI$1309,MATCH("B06-PK-39-N",'SKU明细'!$A$11:$A$1309,0)),INDEX('SKU明细'!$CI$11:$CI$1309,MATCH("B06-PK-39.5",'SKU明细'!$A$11:$A$1309,0)),INDEX('SKU明细'!$CI$11:$CI$1309,MATCH("B06-PK-40-N",'SKU明细'!$A$11:$A$1309,0)),INDEX('SKU明细'!$CI$11:$CI$1309,MATCH("B06-PK-40.5",'SKU明细'!$A$11:$A$1309,0)),INDEX('SKU明细'!$CI$11:$CI$1309,MATCH("B06-PK-41-N",'SKU明细'!$A$11:$A$1309,0)),INDEX('SKU明细'!$CI$11:$CI$1309,MATCH("B06-PK-41.5",'SKU明细'!$A$11:$A$1309,0)),INDEX('SKU明细'!$CI$11:$CI$1309,MATCH("B06-PK-42",'SKU明细'!$A$11:$A$1309,0)))=10,SUM(INDEX('SKU明细'!$CI$11:$CI$1309,MATCH("B06-PK-37.5",'SKU明细'!$A$11:$A$1309,0)),INDEX('SKU明细'!$CI$11:$CI$1309,MATCH("B06-PK-38-N",'SKU明细'!$A$11:$A$1309,0)),INDEX('SKU明细'!$CI$11:$CI$1309,MATCH("B06-PK-38.5",'SKU明细'!$A$11:$A$1309,0)),INDEX('SKU明细'!$CI$11:$CI$1309,MATCH("B06-PK-39-N",'SKU明细'!$A$11:$A$1309,0)),INDEX('SKU明细'!$CI$11:$CI$1309,MATCH("B06-PK-39.5",'SKU明细'!$A$11:$A$1309,0)),INDEX('SKU明细'!$CI$11:$CI$1309,MATCH("B06-PK-40-N",'SKU明细'!$A$11:$A$1309,0)),INDEX('SKU明细'!$CI$11:$CI$1309,MATCH("B06-PK-40.5",'SKU明细'!$A$11:$A$1309,0)),INDEX('SKU明细'!$CI$11:$CI$1309,MATCH("B06-PK-41-N",'SKU明细'!$A$11:$A$1309,0)),INDEX('SKU明细'!$CI$11:$CI$1309,MATCH("B06-PK-41.5",'SKU明细'!$A$11:$A$1309,0)),INDEX('SKU明细'!$CI$11:$CI$1309,MATCH("B06-PK-42",'SKU明细'!$A$11:$A$1309,0))),"待核")</x:f>
        <x:v>10.452305453871599</x:v>
      </x:c>
    </x:row>
    <x:row r="54" ht="40" customHeight="1">
      <x:c r="A54" s="35" t="str">
        <x:v>B06</x:v>
      </x:c>
      <x:c r="B54" s="35" t="str">
        <x:v>艾年</x:v>
      </x:c>
      <x:c r="C54" s="35" t="str">
        <x:v>红色羊京绒</x:v>
      </x:c>
      <x:c r="D54" s="35" t="str">
        <x:v>RD</x:v>
      </x:c>
      <x:c r="E54" s="35" t="str">
        <x:v>B06-RD</x:v>
      </x:c>
      <x:c r="F54" s="35"/>
      <x:c r="G54" s="36" t="str">
        <x:f>"—"</x:f>
        <x:v>—</x:v>
      </x:c>
      <x:c r="H54" s="36" t="n">
        <x:f>IF(COUNT(INDEX('SKU明细'!$D$11:$D$1309,MATCH("B06-RD-37-N",'SKU明细'!$A$11:$A$1309,0)))=0,"待核",IF(COUNT(INDEX('SKU明细'!$D$11:$D$1309,MATCH("B06-RD-37-N",'SKU明细'!$A$11:$A$1309,0)))&lt;1,SUM(INDEX('SKU明细'!$D$11:$D$1309,MATCH("B06-RD-37-N",'SKU明细'!$A$11:$A$1309,0)))&amp;" + 待核",SUM(INDEX('SKU明细'!$D$11:$D$1309,MATCH("B06-RD-37-N",'SKU明细'!$A$11:$A$1309,0)))))</x:f>
        <x:v>0</x:v>
      </x:c>
      <x:c r="I54" s="36" t="n">
        <x:f>IF(COUNT(INDEX('SKU明细'!$D$11:$D$1309,MATCH("B06-RD-37.5",'SKU明细'!$A$11:$A$1309,0)))=0,"待核",IF(COUNT(INDEX('SKU明细'!$D$11:$D$1309,MATCH("B06-RD-37.5",'SKU明细'!$A$11:$A$1309,0)))&lt;1,SUM(INDEX('SKU明细'!$D$11:$D$1309,MATCH("B06-RD-37.5",'SKU明细'!$A$11:$A$1309,0)))&amp;" + 待核",SUM(INDEX('SKU明细'!$D$11:$D$1309,MATCH("B06-RD-37.5",'SKU明细'!$A$11:$A$1309,0)))))</x:f>
        <x:v>0</x:v>
      </x:c>
      <x:c r="J54" s="36" t="str">
        <x:f>"—"</x:f>
        <x:v>—</x:v>
      </x:c>
      <x:c r="K54" s="36" t="n">
        <x:f>IF(COUNT(INDEX('SKU明细'!$D$11:$D$1309,MATCH("B06-RD-38.5",'SKU明细'!$A$11:$A$1309,0)))=0,"待核",IF(COUNT(INDEX('SKU明细'!$D$11:$D$1309,MATCH("B06-RD-38.5",'SKU明细'!$A$11:$A$1309,0)))&lt;1,SUM(INDEX('SKU明细'!$D$11:$D$1309,MATCH("B06-RD-38.5",'SKU明细'!$A$11:$A$1309,0)))&amp;" + 待核",SUM(INDEX('SKU明细'!$D$11:$D$1309,MATCH("B06-RD-38.5",'SKU明细'!$A$11:$A$1309,0)))))</x:f>
        <x:v>0</x:v>
      </x:c>
      <x:c r="L54" s="36" t="n">
        <x:f>IF(COUNT(INDEX('SKU明细'!$D$11:$D$1309,MATCH("B06-RD-39",'SKU明细'!$A$11:$A$1309,0)))=0,"待核",IF(COUNT(INDEX('SKU明细'!$D$11:$D$1309,MATCH("B06-RD-39",'SKU明细'!$A$11:$A$1309,0)))&lt;1,SUM(INDEX('SKU明细'!$D$11:$D$1309,MATCH("B06-RD-39",'SKU明细'!$A$11:$A$1309,0)))&amp;" + 待核",SUM(INDEX('SKU明细'!$D$11:$D$1309,MATCH("B06-RD-39",'SKU明细'!$A$11:$A$1309,0)))))</x:f>
        <x:v>10</x:v>
      </x:c>
      <x:c r="M54" s="36" t="n">
        <x:f>IF(COUNT(INDEX('SKU明细'!$D$11:$D$1309,MATCH("B06-RD-39.5",'SKU明细'!$A$11:$A$1309,0)))=0,"待核",IF(COUNT(INDEX('SKU明细'!$D$11:$D$1309,MATCH("B06-RD-39.5",'SKU明细'!$A$11:$A$1309,0)))&lt;1,SUM(INDEX('SKU明细'!$D$11:$D$1309,MATCH("B06-RD-39.5",'SKU明细'!$A$11:$A$1309,0)))&amp;" + 待核",SUM(INDEX('SKU明细'!$D$11:$D$1309,MATCH("B06-RD-39.5",'SKU明细'!$A$11:$A$1309,0)))))</x:f>
        <x:v>7</x:v>
      </x:c>
      <x:c r="N54" s="36" t="n">
        <x:f>IF(COUNT(INDEX('SKU明细'!$D$11:$D$1309,MATCH("B06-RD-40",'SKU明细'!$A$11:$A$1309,0)))=0,"待核",IF(COUNT(INDEX('SKU明细'!$D$11:$D$1309,MATCH("B06-RD-40",'SKU明细'!$A$11:$A$1309,0)))&lt;1,SUM(INDEX('SKU明细'!$D$11:$D$1309,MATCH("B06-RD-40",'SKU明细'!$A$11:$A$1309,0)))&amp;" + 待核",SUM(INDEX('SKU明细'!$D$11:$D$1309,MATCH("B06-RD-40",'SKU明细'!$A$11:$A$1309,0)))))</x:f>
        <x:v>7</x:v>
      </x:c>
      <x:c r="O54" s="36" t="n">
        <x:f>IF(COUNT(INDEX('SKU明细'!$D$11:$D$1309,MATCH("B06-RD-40.5",'SKU明细'!$A$11:$A$1309,0)))=0,"待核",IF(COUNT(INDEX('SKU明细'!$D$11:$D$1309,MATCH("B06-RD-40.5",'SKU明细'!$A$11:$A$1309,0)))&lt;1,SUM(INDEX('SKU明细'!$D$11:$D$1309,MATCH("B06-RD-40.5",'SKU明细'!$A$11:$A$1309,0)))&amp;" + 待核",SUM(INDEX('SKU明细'!$D$11:$D$1309,MATCH("B06-RD-40.5",'SKU明细'!$A$11:$A$1309,0)))))</x:f>
        <x:v>3</x:v>
      </x:c>
      <x:c r="P54" s="36" t="n">
        <x:f>IF(COUNT(INDEX('SKU明细'!$D$11:$D$1309,MATCH("B06-RD-41",'SKU明细'!$A$11:$A$1309,0)))=0,"待核",IF(COUNT(INDEX('SKU明细'!$D$11:$D$1309,MATCH("B06-RD-41",'SKU明细'!$A$11:$A$1309,0)))&lt;1,SUM(INDEX('SKU明细'!$D$11:$D$1309,MATCH("B06-RD-41",'SKU明细'!$A$11:$A$1309,0)))&amp;" + 待核",SUM(INDEX('SKU明细'!$D$11:$D$1309,MATCH("B06-RD-41",'SKU明细'!$A$11:$A$1309,0)))))</x:f>
        <x:v>0</x:v>
      </x:c>
      <x:c r="Q54" s="36" t="n">
        <x:f>IF(COUNT(INDEX('SKU明细'!$D$11:$D$1309,MATCH("B06-RD-41.5",'SKU明细'!$A$11:$A$1309,0)))=0,"待核",IF(COUNT(INDEX('SKU明细'!$D$11:$D$1309,MATCH("B06-RD-41.5",'SKU明细'!$A$11:$A$1309,0)))&lt;1,SUM(INDEX('SKU明细'!$D$11:$D$1309,MATCH("B06-RD-41.5",'SKU明细'!$A$11:$A$1309,0)))&amp;" + 待核",SUM(INDEX('SKU明细'!$D$11:$D$1309,MATCH("B06-RD-41.5",'SKU明细'!$A$11:$A$1309,0)))))</x:f>
        <x:v>1</x:v>
      </x:c>
      <x:c r="R54" s="36" t="n">
        <x:f>IF(COUNT(INDEX('SKU明细'!$D$11:$D$1309,MATCH("B06-RD-42",'SKU明细'!$A$11:$A$1309,0)))=0,"待核",IF(COUNT(INDEX('SKU明细'!$D$11:$D$1309,MATCH("B06-RD-42",'SKU明细'!$A$11:$A$1309,0)))&lt;1,SUM(INDEX('SKU明细'!$D$11:$D$1309,MATCH("B06-RD-42",'SKU明细'!$A$11:$A$1309,0)))&amp;" + 待核",SUM(INDEX('SKU明细'!$D$11:$D$1309,MATCH("B06-RD-42",'SKU明细'!$A$11:$A$1309,0)))))</x:f>
        <x:v>0</x:v>
      </x:c>
      <x:c r="S54" s="36" t="n">
        <x:f>IF(COUNT(INDEX('SKU明细'!$D$11:$D$1309,MATCH("B06-RD-37-N",'SKU明细'!$A$11:$A$1309,0)),INDEX('SKU明细'!$D$11:$D$1309,MATCH("B06-RD-37.5",'SKU明细'!$A$11:$A$1309,0)),INDEX('SKU明细'!$D$11:$D$1309,MATCH("B06-RD-38.5",'SKU明细'!$A$11:$A$1309,0)),INDEX('SKU明细'!$D$11:$D$1309,MATCH("B06-RD-39",'SKU明细'!$A$11:$A$1309,0)),INDEX('SKU明细'!$D$11:$D$1309,MATCH("B06-RD-39.5",'SKU明细'!$A$11:$A$1309,0)),INDEX('SKU明细'!$D$11:$D$1309,MATCH("B06-RD-40",'SKU明细'!$A$11:$A$1309,0)),INDEX('SKU明细'!$D$11:$D$1309,MATCH("B06-RD-40.5",'SKU明细'!$A$11:$A$1309,0)),INDEX('SKU明细'!$D$11:$D$1309,MATCH("B06-RD-41",'SKU明细'!$A$11:$A$1309,0)),INDEX('SKU明细'!$D$11:$D$1309,MATCH("B06-RD-41.5",'SKU明细'!$A$11:$A$1309,0)),INDEX('SKU明细'!$D$11:$D$1309,MATCH("B06-RD-42",'SKU明细'!$A$11:$A$1309,0)))=0,"待核",SUM(INDEX('SKU明细'!$D$11:$D$1309,MATCH("B06-RD-37-N",'SKU明细'!$A$11:$A$1309,0)),INDEX('SKU明细'!$D$11:$D$1309,MATCH("B06-RD-37.5",'SKU明细'!$A$11:$A$1309,0)),INDEX('SKU明细'!$D$11:$D$1309,MATCH("B06-RD-38.5",'SKU明细'!$A$11:$A$1309,0)),INDEX('SKU明细'!$D$11:$D$1309,MATCH("B06-RD-39",'SKU明细'!$A$11:$A$1309,0)),INDEX('SKU明细'!$D$11:$D$1309,MATCH("B06-RD-39.5",'SKU明细'!$A$11:$A$1309,0)),INDEX('SKU明细'!$D$11:$D$1309,MATCH("B06-RD-40",'SKU明细'!$A$11:$A$1309,0)),INDEX('SKU明细'!$D$11:$D$1309,MATCH("B06-RD-40.5",'SKU明细'!$A$11:$A$1309,0)),INDEX('SKU明细'!$D$11:$D$1309,MATCH("B06-RD-41",'SKU明细'!$A$11:$A$1309,0)),INDEX('SKU明细'!$D$11:$D$1309,MATCH("B06-RD-41.5",'SKU明细'!$A$11:$A$1309,0)),INDEX('SKU明细'!$D$11:$D$1309,MATCH("B06-RD-42",'SKU明细'!$A$11:$A$1309,0))))</x:f>
        <x:v>28</x:v>
      </x:c>
      <x:c r="T54" s="36" t="n">
        <x:f>IF(COUNTIFS($A$9:$A$191,A54,$U$9:$U$191,"&lt;&gt;待核")=0,"待核",SUMIF($A$9:$A$191,A54,$S$9:$S$191))</x:f>
        <x:v>613</x:v>
      </x:c>
      <x:c r="U54" s="35" t="str">
        <x:f>IF(COUNT(INDEX('SKU明细'!$D$11:$D$1309,MATCH("B06-RD-37-N",'SKU明细'!$A$11:$A$1309,0)),INDEX('SKU明细'!$D$11:$D$1309,MATCH("B06-RD-37.5",'SKU明细'!$A$11:$A$1309,0)),INDEX('SKU明细'!$D$11:$D$1309,MATCH("B06-RD-38.5",'SKU明细'!$A$11:$A$1309,0)),INDEX('SKU明细'!$D$11:$D$1309,MATCH("B06-RD-39",'SKU明细'!$A$11:$A$1309,0)),INDEX('SKU明细'!$D$11:$D$1309,MATCH("B06-RD-39.5",'SKU明细'!$A$11:$A$1309,0)),INDEX('SKU明细'!$D$11:$D$1309,MATCH("B06-RD-40",'SKU明细'!$A$11:$A$1309,0)),INDEX('SKU明细'!$D$11:$D$1309,MATCH("B06-RD-40.5",'SKU明细'!$A$11:$A$1309,0)),INDEX('SKU明细'!$D$11:$D$1309,MATCH("B06-RD-41",'SKU明细'!$A$11:$A$1309,0)),INDEX('SKU明细'!$D$11:$D$1309,MATCH("B06-RD-41.5",'SKU明细'!$A$11:$A$1309,0)),INDEX('SKU明细'!$D$11:$D$1309,MATCH("B06-RD-42",'SKU明细'!$A$11:$A$1309,0)))=0,"待核",IF(COUNT(INDEX('SKU明细'!$D$11:$D$1309,MATCH("B06-RD-37-N",'SKU明细'!$A$11:$A$1309,0)),INDEX('SKU明细'!$D$11:$D$1309,MATCH("B06-RD-37.5",'SKU明细'!$A$11:$A$1309,0)),INDEX('SKU明细'!$D$11:$D$1309,MATCH("B06-RD-38.5",'SKU明细'!$A$11:$A$1309,0)),INDEX('SKU明细'!$D$11:$D$1309,MATCH("B06-RD-39",'SKU明细'!$A$11:$A$1309,0)),INDEX('SKU明细'!$D$11:$D$1309,MATCH("B06-RD-39.5",'SKU明细'!$A$11:$A$1309,0)),INDEX('SKU明细'!$D$11:$D$1309,MATCH("B06-RD-40",'SKU明细'!$A$11:$A$1309,0)),INDEX('SKU明细'!$D$11:$D$1309,MATCH("B06-RD-40.5",'SKU明细'!$A$11:$A$1309,0)),INDEX('SKU明细'!$D$11:$D$1309,MATCH("B06-RD-41",'SKU明细'!$A$11:$A$1309,0)),INDEX('SKU明细'!$D$11:$D$1309,MATCH("B06-RD-41.5",'SKU明细'!$A$11:$A$1309,0)),INDEX('SKU明细'!$D$11:$D$1309,MATCH("B06-RD-42",'SKU明细'!$A$11:$A$1309,0)))&lt;10,"另有待核","已核"))</x:f>
        <x:v>已核</x:v>
      </x:c>
      <x:c r="V54" s="35" t="str">
        <x:v>在售、停售</x:v>
      </x:c>
      <x:c r="W54" s="11" t="n">
        <x:f>IF(COUNT(INDEX('SKU明细'!$BV$11:$BV$1309,MATCH("B06-RD-37-N",'SKU明细'!$A$11:$A$1309,0)),INDEX('SKU明细'!$BV$11:$BV$1309,MATCH("B06-RD-37.5",'SKU明细'!$A$11:$A$1309,0)),INDEX('SKU明细'!$BV$11:$BV$1309,MATCH("B06-RD-38.5",'SKU明细'!$A$11:$A$1309,0)),INDEX('SKU明细'!$BV$11:$BV$1309,MATCH("B06-RD-39",'SKU明细'!$A$11:$A$1309,0)),INDEX('SKU明细'!$BV$11:$BV$1309,MATCH("B06-RD-39.5",'SKU明细'!$A$11:$A$1309,0)),INDEX('SKU明细'!$BV$11:$BV$1309,MATCH("B06-RD-40",'SKU明细'!$A$11:$A$1309,0)),INDEX('SKU明细'!$BV$11:$BV$1309,MATCH("B06-RD-40.5",'SKU明细'!$A$11:$A$1309,0)),INDEX('SKU明细'!$BV$11:$BV$1309,MATCH("B06-RD-41",'SKU明细'!$A$11:$A$1309,0)),INDEX('SKU明细'!$BV$11:$BV$1309,MATCH("B06-RD-41.5",'SKU明细'!$A$11:$A$1309,0)),INDEX('SKU明细'!$BV$11:$BV$1309,MATCH("B06-RD-42",'SKU明细'!$A$11:$A$1309,0)))=10,SUM(INDEX('SKU明细'!$BV$11:$BV$1309,MATCH("B06-RD-37-N",'SKU明细'!$A$11:$A$1309,0)),INDEX('SKU明细'!$BV$11:$BV$1309,MATCH("B06-RD-37.5",'SKU明细'!$A$11:$A$1309,0)),INDEX('SKU明细'!$BV$11:$BV$1309,MATCH("B06-RD-38.5",'SKU明细'!$A$11:$A$1309,0)),INDEX('SKU明细'!$BV$11:$BV$1309,MATCH("B06-RD-39",'SKU明细'!$A$11:$A$1309,0)),INDEX('SKU明细'!$BV$11:$BV$1309,MATCH("B06-RD-39.5",'SKU明细'!$A$11:$A$1309,0)),INDEX('SKU明细'!$BV$11:$BV$1309,MATCH("B06-RD-40",'SKU明细'!$A$11:$A$1309,0)),INDEX('SKU明细'!$BV$11:$BV$1309,MATCH("B06-RD-40.5",'SKU明细'!$A$11:$A$1309,0)),INDEX('SKU明细'!$BV$11:$BV$1309,MATCH("B06-RD-41",'SKU明细'!$A$11:$A$1309,0)),INDEX('SKU明细'!$BV$11:$BV$1309,MATCH("B06-RD-41.5",'SKU明细'!$A$11:$A$1309,0)),INDEX('SKU明细'!$BV$11:$BV$1309,MATCH("B06-RD-42",'SKU明细'!$A$11:$A$1309,0))),"待核")</x:f>
        <x:v>0.6783009836043157</x:v>
      </x:c>
      <x:c r="X54" s="11" t="n">
        <x:f>INDEX('SKU明细'!$BW$11:$BW$1309,MATCH("B06-RD-37-N",'SKU明细'!$A$11:$A$1309,0))</x:f>
        <x:v>1.2247029157699902</x:v>
      </x:c>
      <x:c r="Y54" s="13" t="n">
        <x:f>IF(COUNT(INDEX('SKU明细'!$BY$11:$BY$1309,MATCH("B06-RD-37-N",'SKU明细'!$A$11:$A$1309,0)),INDEX('SKU明细'!$BY$11:$BY$1309,MATCH("B06-RD-37.5",'SKU明细'!$A$11:$A$1309,0)),INDEX('SKU明细'!$BY$11:$BY$1309,MATCH("B06-RD-38.5",'SKU明细'!$A$11:$A$1309,0)),INDEX('SKU明细'!$BY$11:$BY$1309,MATCH("B06-RD-39",'SKU明细'!$A$11:$A$1309,0)),INDEX('SKU明细'!$BY$11:$BY$1309,MATCH("B06-RD-39.5",'SKU明细'!$A$11:$A$1309,0)),INDEX('SKU明细'!$BY$11:$BY$1309,MATCH("B06-RD-40",'SKU明细'!$A$11:$A$1309,0)),INDEX('SKU明细'!$BY$11:$BY$1309,MATCH("B06-RD-40.5",'SKU明细'!$A$11:$A$1309,0)),INDEX('SKU明细'!$BY$11:$BY$1309,MATCH("B06-RD-41",'SKU明细'!$A$11:$A$1309,0)),INDEX('SKU明细'!$BY$11:$BY$1309,MATCH("B06-RD-41.5",'SKU明细'!$A$11:$A$1309,0)),INDEX('SKU明细'!$BY$11:$BY$1309,MATCH("B06-RD-42",'SKU明细'!$A$11:$A$1309,0)))=10,SUM(INDEX('SKU明细'!$BY$11:$BY$1309,MATCH("B06-RD-37-N",'SKU明细'!$A$11:$A$1309,0)),INDEX('SKU明细'!$BY$11:$BY$1309,MATCH("B06-RD-37.5",'SKU明细'!$A$11:$A$1309,0)),INDEX('SKU明细'!$BY$11:$BY$1309,MATCH("B06-RD-38.5",'SKU明细'!$A$11:$A$1309,0)),INDEX('SKU明细'!$BY$11:$BY$1309,MATCH("B06-RD-39",'SKU明细'!$A$11:$A$1309,0)),INDEX('SKU明细'!$BY$11:$BY$1309,MATCH("B06-RD-39.5",'SKU明细'!$A$11:$A$1309,0)),INDEX('SKU明细'!$BY$11:$BY$1309,MATCH("B06-RD-40",'SKU明细'!$A$11:$A$1309,0)),INDEX('SKU明细'!$BY$11:$BY$1309,MATCH("B06-RD-40.5",'SKU明细'!$A$11:$A$1309,0)),INDEX('SKU明细'!$BY$11:$BY$1309,MATCH("B06-RD-41",'SKU明细'!$A$11:$A$1309,0)),INDEX('SKU明细'!$BY$11:$BY$1309,MATCH("B06-RD-41.5",'SKU明细'!$A$11:$A$1309,0)),INDEX('SKU明细'!$BY$11:$BY$1309,MATCH("B06-RD-42",'SKU明细'!$A$11:$A$1309,0))),"待核")</x:f>
        <x:v>9.968606308678293</x:v>
      </x:c>
      <x:c r="Z54" s="11" t="n">
        <x:f>INDEX('SKU明细'!$BZ$11:$BZ$1309,MATCH("B06-RD-37-N",'SKU明细'!$A$11:$A$1309,0))</x:f>
        <x:v>0.8332682139098497</x:v>
      </x:c>
      <x:c r="AA54" s="13" t="n">
        <x:f>IF(COUNT(INDEX('SKU明细'!$CB$11:$CB$1309,MATCH("B06-RD-37-N",'SKU明细'!$A$11:$A$1309,0)),INDEX('SKU明细'!$CB$11:$CB$1309,MATCH("B06-RD-37.5",'SKU明细'!$A$11:$A$1309,0)),INDEX('SKU明细'!$CB$11:$CB$1309,MATCH("B06-RD-38.5",'SKU明细'!$A$11:$A$1309,0)),INDEX('SKU明细'!$CB$11:$CB$1309,MATCH("B06-RD-39",'SKU明细'!$A$11:$A$1309,0)),INDEX('SKU明细'!$CB$11:$CB$1309,MATCH("B06-RD-39.5",'SKU明细'!$A$11:$A$1309,0)),INDEX('SKU明细'!$CB$11:$CB$1309,MATCH("B06-RD-40",'SKU明细'!$A$11:$A$1309,0)),INDEX('SKU明细'!$CB$11:$CB$1309,MATCH("B06-RD-40.5",'SKU明细'!$A$11:$A$1309,0)),INDEX('SKU明细'!$CB$11:$CB$1309,MATCH("B06-RD-41",'SKU明细'!$A$11:$A$1309,0)),INDEX('SKU明细'!$CB$11:$CB$1309,MATCH("B06-RD-41.5",'SKU明细'!$A$11:$A$1309,0)),INDEX('SKU明细'!$CB$11:$CB$1309,MATCH("B06-RD-42",'SKU明细'!$A$11:$A$1309,0)))=10,SUM(INDEX('SKU明细'!$CB$11:$CB$1309,MATCH("B06-RD-37-N",'SKU明细'!$A$11:$A$1309,0)),INDEX('SKU明细'!$CB$11:$CB$1309,MATCH("B06-RD-37.5",'SKU明细'!$A$11:$A$1309,0)),INDEX('SKU明细'!$CB$11:$CB$1309,MATCH("B06-RD-38.5",'SKU明细'!$A$11:$A$1309,0)),INDEX('SKU明细'!$CB$11:$CB$1309,MATCH("B06-RD-39",'SKU明细'!$A$11:$A$1309,0)),INDEX('SKU明细'!$CB$11:$CB$1309,MATCH("B06-RD-39.5",'SKU明细'!$A$11:$A$1309,0)),INDEX('SKU明细'!$CB$11:$CB$1309,MATCH("B06-RD-40",'SKU明细'!$A$11:$A$1309,0)),INDEX('SKU明细'!$CB$11:$CB$1309,MATCH("B06-RD-40.5",'SKU明细'!$A$11:$A$1309,0)),INDEX('SKU明细'!$CB$11:$CB$1309,MATCH("B06-RD-41",'SKU明细'!$A$11:$A$1309,0)),INDEX('SKU明细'!$CB$11:$CB$1309,MATCH("B06-RD-41.5",'SKU明细'!$A$11:$A$1309,0)),INDEX('SKU明细'!$CB$11:$CB$1309,MATCH("B06-RD-42",'SKU明细'!$A$11:$A$1309,0))),"待核")</x:f>
        <x:v>16.956199473037874</x:v>
      </x:c>
      <x:c r="AB54" s="11" t="n">
        <x:f>INDEX('SKU明细'!$CC$11:$CC$1309,MATCH("B06-RD-37-N",'SKU明细'!$A$11:$A$1309,0))</x:f>
        <x:v>0.5511018253564084</x:v>
      </x:c>
      <x:c r="AC54" s="13" t="n">
        <x:f>IF(COUNT(INDEX('SKU明细'!$CE$11:$CE$1309,MATCH("B06-RD-37-N",'SKU明细'!$A$11:$A$1309,0)),INDEX('SKU明细'!$CE$11:$CE$1309,MATCH("B06-RD-37.5",'SKU明细'!$A$11:$A$1309,0)),INDEX('SKU明细'!$CE$11:$CE$1309,MATCH("B06-RD-38.5",'SKU明细'!$A$11:$A$1309,0)),INDEX('SKU明细'!$CE$11:$CE$1309,MATCH("B06-RD-39",'SKU明细'!$A$11:$A$1309,0)),INDEX('SKU明细'!$CE$11:$CE$1309,MATCH("B06-RD-39.5",'SKU明细'!$A$11:$A$1309,0)),INDEX('SKU明细'!$CE$11:$CE$1309,MATCH("B06-RD-40",'SKU明细'!$A$11:$A$1309,0)),INDEX('SKU明细'!$CE$11:$CE$1309,MATCH("B06-RD-40.5",'SKU明细'!$A$11:$A$1309,0)),INDEX('SKU明细'!$CE$11:$CE$1309,MATCH("B06-RD-41",'SKU明细'!$A$11:$A$1309,0)),INDEX('SKU明细'!$CE$11:$CE$1309,MATCH("B06-RD-41.5",'SKU明细'!$A$11:$A$1309,0)),INDEX('SKU明细'!$CE$11:$CE$1309,MATCH("B06-RD-42",'SKU明细'!$A$11:$A$1309,0)))=10,SUM(INDEX('SKU明细'!$CE$11:$CE$1309,MATCH("B06-RD-37-N",'SKU明细'!$A$11:$A$1309,0)),INDEX('SKU明细'!$CE$11:$CE$1309,MATCH("B06-RD-37.5",'SKU明细'!$A$11:$A$1309,0)),INDEX('SKU明细'!$CE$11:$CE$1309,MATCH("B06-RD-38.5",'SKU明细'!$A$11:$A$1309,0)),INDEX('SKU明细'!$CE$11:$CE$1309,MATCH("B06-RD-39",'SKU明细'!$A$11:$A$1309,0)),INDEX('SKU明细'!$CE$11:$CE$1309,MATCH("B06-RD-39.5",'SKU明细'!$A$11:$A$1309,0)),INDEX('SKU明细'!$CE$11:$CE$1309,MATCH("B06-RD-40",'SKU明细'!$A$11:$A$1309,0)),INDEX('SKU明细'!$CE$11:$CE$1309,MATCH("B06-RD-40.5",'SKU明细'!$A$11:$A$1309,0)),INDEX('SKU明细'!$CE$11:$CE$1309,MATCH("B06-RD-41",'SKU明细'!$A$11:$A$1309,0)),INDEX('SKU明细'!$CE$11:$CE$1309,MATCH("B06-RD-41.5",'SKU明细'!$A$11:$A$1309,0)),INDEX('SKU明细'!$CE$11:$CE$1309,MATCH("B06-RD-42",'SKU明细'!$A$11:$A$1309,0))),"待核")</x:f>
        <x:v>11.588200216366955</x:v>
      </x:c>
      <x:c r="AD54" s="11" t="n">
        <x:f>INDEX('SKU明细'!$CF$11:$CF$1309,MATCH("B06-RD-37-N",'SKU明细'!$A$11:$A$1309,0))</x:f>
        <x:v>1.0017220238758797</x:v>
      </x:c>
      <x:c r="AE54" s="13" t="n">
        <x:f>IF(COUNT(INDEX('SKU明细'!$CH$11:$CH$1309,MATCH("B06-RD-37-N",'SKU明细'!$A$11:$A$1309,0)),INDEX('SKU明细'!$CH$11:$CH$1309,MATCH("B06-RD-37.5",'SKU明细'!$A$11:$A$1309,0)),INDEX('SKU明细'!$CH$11:$CH$1309,MATCH("B06-RD-38.5",'SKU明细'!$A$11:$A$1309,0)),INDEX('SKU明细'!$CH$11:$CH$1309,MATCH("B06-RD-39",'SKU明细'!$A$11:$A$1309,0)),INDEX('SKU明细'!$CH$11:$CH$1309,MATCH("B06-RD-39.5",'SKU明细'!$A$11:$A$1309,0)),INDEX('SKU明细'!$CH$11:$CH$1309,MATCH("B06-RD-40",'SKU明细'!$A$11:$A$1309,0)),INDEX('SKU明细'!$CH$11:$CH$1309,MATCH("B06-RD-40.5",'SKU明细'!$A$11:$A$1309,0)),INDEX('SKU明细'!$CH$11:$CH$1309,MATCH("B06-RD-41",'SKU明细'!$A$11:$A$1309,0)),INDEX('SKU明细'!$CH$11:$CH$1309,MATCH("B06-RD-41.5",'SKU明细'!$A$11:$A$1309,0)),INDEX('SKU明细'!$CH$11:$CH$1309,MATCH("B06-RD-42",'SKU明细'!$A$11:$A$1309,0)))=10,SUM(INDEX('SKU明细'!$CH$11:$CH$1309,MATCH("B06-RD-37-N",'SKU明细'!$A$11:$A$1309,0)),INDEX('SKU明细'!$CH$11:$CH$1309,MATCH("B06-RD-37.5",'SKU明细'!$A$11:$A$1309,0)),INDEX('SKU明细'!$CH$11:$CH$1309,MATCH("B06-RD-38.5",'SKU明细'!$A$11:$A$1309,0)),INDEX('SKU明细'!$CH$11:$CH$1309,MATCH("B06-RD-39",'SKU明细'!$A$11:$A$1309,0)),INDEX('SKU明细'!$CH$11:$CH$1309,MATCH("B06-RD-39.5",'SKU明细'!$A$11:$A$1309,0)),INDEX('SKU明细'!$CH$11:$CH$1309,MATCH("B06-RD-40",'SKU明细'!$A$11:$A$1309,0)),INDEX('SKU明细'!$CH$11:$CH$1309,MATCH("B06-RD-40.5",'SKU明细'!$A$11:$A$1309,0)),INDEX('SKU明细'!$CH$11:$CH$1309,MATCH("B06-RD-41",'SKU明细'!$A$11:$A$1309,0)),INDEX('SKU明细'!$CH$11:$CH$1309,MATCH("B06-RD-41.5",'SKU明细'!$A$11:$A$1309,0)),INDEX('SKU明细'!$CH$11:$CH$1309,MATCH("B06-RD-42",'SKU明细'!$A$11:$A$1309,0))),"待核")</x:f>
        <x:v>11.550973579582955</x:v>
      </x:c>
      <x:c r="AF54" s="13" t="n">
        <x:f>IF(COUNT(INDEX('SKU明细'!$CI$11:$CI$1309,MATCH("B06-RD-37-N",'SKU明细'!$A$11:$A$1309,0)),INDEX('SKU明细'!$CI$11:$CI$1309,MATCH("B06-RD-37.5",'SKU明细'!$A$11:$A$1309,0)),INDEX('SKU明细'!$CI$11:$CI$1309,MATCH("B06-RD-38.5",'SKU明细'!$A$11:$A$1309,0)),INDEX('SKU明细'!$CI$11:$CI$1309,MATCH("B06-RD-39",'SKU明细'!$A$11:$A$1309,0)),INDEX('SKU明细'!$CI$11:$CI$1309,MATCH("B06-RD-39.5",'SKU明细'!$A$11:$A$1309,0)),INDEX('SKU明细'!$CI$11:$CI$1309,MATCH("B06-RD-40",'SKU明细'!$A$11:$A$1309,0)),INDEX('SKU明细'!$CI$11:$CI$1309,MATCH("B06-RD-40.5",'SKU明细'!$A$11:$A$1309,0)),INDEX('SKU明细'!$CI$11:$CI$1309,MATCH("B06-RD-41",'SKU明细'!$A$11:$A$1309,0)),INDEX('SKU明细'!$CI$11:$CI$1309,MATCH("B06-RD-41.5",'SKU明细'!$A$11:$A$1309,0)),INDEX('SKU明细'!$CI$11:$CI$1309,MATCH("B06-RD-42",'SKU明细'!$A$11:$A$1309,0)))=10,SUM(INDEX('SKU明细'!$CI$11:$CI$1309,MATCH("B06-RD-37-N",'SKU明细'!$A$11:$A$1309,0)),INDEX('SKU明细'!$CI$11:$CI$1309,MATCH("B06-RD-37.5",'SKU明细'!$A$11:$A$1309,0)),INDEX('SKU明细'!$CI$11:$CI$1309,MATCH("B06-RD-38.5",'SKU明细'!$A$11:$A$1309,0)),INDEX('SKU明细'!$CI$11:$CI$1309,MATCH("B06-RD-39",'SKU明细'!$A$11:$A$1309,0)),INDEX('SKU明细'!$CI$11:$CI$1309,MATCH("B06-RD-39.5",'SKU明细'!$A$11:$A$1309,0)),INDEX('SKU明细'!$CI$11:$CI$1309,MATCH("B06-RD-40",'SKU明细'!$A$11:$A$1309,0)),INDEX('SKU明细'!$CI$11:$CI$1309,MATCH("B06-RD-40.5",'SKU明细'!$A$11:$A$1309,0)),INDEX('SKU明细'!$CI$11:$CI$1309,MATCH("B06-RD-41",'SKU明细'!$A$11:$A$1309,0)),INDEX('SKU明细'!$CI$11:$CI$1309,MATCH("B06-RD-41.5",'SKU明细'!$A$11:$A$1309,0)),INDEX('SKU明细'!$CI$11:$CI$1309,MATCH("B06-RD-42",'SKU明细'!$A$11:$A$1309,0))),"待核")</x:f>
        <x:v>50.063979577666075</x:v>
      </x:c>
    </x:row>
    <x:row r="55" ht="40" customHeight="1">
      <x:c r="A55" s="35" t="str">
        <x:v>B06</x:v>
      </x:c>
      <x:c r="B55" s="35" t="str">
        <x:v>艾年</x:v>
      </x:c>
      <x:c r="C55" s="35" t="str">
        <x:v>红色色织提花</x:v>
      </x:c>
      <x:c r="D55" s="35" t="str">
        <x:v>RD-I</x:v>
      </x:c>
      <x:c r="E55" s="35" t="str">
        <x:v>B06-RD-I-0</x:v>
      </x:c>
      <x:c r="F55" s="35"/>
      <x:c r="G55" s="36" t="str">
        <x:f>"—"</x:f>
        <x:v>—</x:v>
      </x:c>
      <x:c r="H55" s="36" t="str">
        <x:f>"—"</x:f>
        <x:v>—</x:v>
      </x:c>
      <x:c r="I55" s="36" t="str">
        <x:f>"—"</x:f>
        <x:v>—</x:v>
      </x:c>
      <x:c r="J55" s="36" t="str">
        <x:f>IF(COUNT(INDEX('SKU明细'!$D$11:$D$1309,MATCH("B06-RD-I-0-38",'SKU明细'!$A$11:$A$1309,0)))=0,"待核",IF(COUNT(INDEX('SKU明细'!$D$11:$D$1309,MATCH("B06-RD-I-0-38",'SKU明细'!$A$11:$A$1309,0)))&lt;1,SUM(INDEX('SKU明细'!$D$11:$D$1309,MATCH("B06-RD-I-0-38",'SKU明细'!$A$11:$A$1309,0)))&amp;" + 待核",SUM(INDEX('SKU明细'!$D$11:$D$1309,MATCH("B06-RD-I-0-38",'SKU明细'!$A$11:$A$1309,0)))))</x:f>
        <x:v>待核</x:v>
      </x:c>
      <x:c r="K55" s="36" t="str">
        <x:f>"—"</x:f>
        <x:v>—</x:v>
      </x:c>
      <x:c r="L55" s="36" t="str">
        <x:f>"—"</x:f>
        <x:v>—</x:v>
      </x:c>
      <x:c r="M55" s="36" t="str">
        <x:f>"—"</x:f>
        <x:v>—</x:v>
      </x:c>
      <x:c r="N55" s="36" t="str">
        <x:f>"—"</x:f>
        <x:v>—</x:v>
      </x:c>
      <x:c r="O55" s="36" t="n">
        <x:f>IF(COUNT(INDEX('SKU明细'!$D$11:$D$1309,MATCH("B06-RD-I-0-40.5",'SKU明细'!$A$11:$A$1309,0)))=0,"待核",IF(COUNT(INDEX('SKU明细'!$D$11:$D$1309,MATCH("B06-RD-I-0-40.5",'SKU明细'!$A$11:$A$1309,0)))&lt;1,SUM(INDEX('SKU明细'!$D$11:$D$1309,MATCH("B06-RD-I-0-40.5",'SKU明细'!$A$11:$A$1309,0)))&amp;" + 待核",SUM(INDEX('SKU明细'!$D$11:$D$1309,MATCH("B06-RD-I-0-40.5",'SKU明细'!$A$11:$A$1309,0)))))</x:f>
        <x:v>0</x:v>
      </x:c>
      <x:c r="P55" s="36" t="str">
        <x:f>IF(COUNT(INDEX('SKU明细'!$D$11:$D$1309,MATCH("B06-RD-I-0-41",'SKU明细'!$A$11:$A$1309,0)))=0,"待核",IF(COUNT(INDEX('SKU明细'!$D$11:$D$1309,MATCH("B06-RD-I-0-41",'SKU明细'!$A$11:$A$1309,0)))&lt;1,SUM(INDEX('SKU明细'!$D$11:$D$1309,MATCH("B06-RD-I-0-41",'SKU明细'!$A$11:$A$1309,0)))&amp;" + 待核",SUM(INDEX('SKU明细'!$D$11:$D$1309,MATCH("B06-RD-I-0-41",'SKU明细'!$A$11:$A$1309,0)))))</x:f>
        <x:v>待核</x:v>
      </x:c>
      <x:c r="Q55" s="36" t="str">
        <x:f>"—"</x:f>
        <x:v>—</x:v>
      </x:c>
      <x:c r="R55" s="36" t="str">
        <x:f>"—"</x:f>
        <x:v>—</x:v>
      </x:c>
      <x:c r="S55" s="36" t="n">
        <x:f>IF(COUNT(INDEX('SKU明细'!$D$11:$D$1309,MATCH("B06-RD-I-0-38",'SKU明细'!$A$11:$A$1309,0)),INDEX('SKU明细'!$D$11:$D$1309,MATCH("B06-RD-I-0-40.5",'SKU明细'!$A$11:$A$1309,0)),INDEX('SKU明细'!$D$11:$D$1309,MATCH("B06-RD-I-0-41",'SKU明细'!$A$11:$A$1309,0)))=0,"待核",SUM(INDEX('SKU明细'!$D$11:$D$1309,MATCH("B06-RD-I-0-38",'SKU明细'!$A$11:$A$1309,0)),INDEX('SKU明细'!$D$11:$D$1309,MATCH("B06-RD-I-0-40.5",'SKU明细'!$A$11:$A$1309,0)),INDEX('SKU明细'!$D$11:$D$1309,MATCH("B06-RD-I-0-41",'SKU明细'!$A$11:$A$1309,0))))</x:f>
        <x:v>0</x:v>
      </x:c>
      <x:c r="T55" s="36" t="n">
        <x:f>IF(COUNTIFS($A$9:$A$191,A55,$U$9:$U$191,"&lt;&gt;待核")=0,"待核",SUMIF($A$9:$A$191,A55,$S$9:$S$191))</x:f>
        <x:v>613</x:v>
      </x:c>
      <x:c r="U55" s="35" t="str">
        <x:f>IF(COUNT(INDEX('SKU明细'!$D$11:$D$1309,MATCH("B06-RD-I-0-38",'SKU明细'!$A$11:$A$1309,0)),INDEX('SKU明细'!$D$11:$D$1309,MATCH("B06-RD-I-0-40.5",'SKU明细'!$A$11:$A$1309,0)),INDEX('SKU明细'!$D$11:$D$1309,MATCH("B06-RD-I-0-41",'SKU明细'!$A$11:$A$1309,0)))=0,"待核",IF(COUNT(INDEX('SKU明细'!$D$11:$D$1309,MATCH("B06-RD-I-0-38",'SKU明细'!$A$11:$A$1309,0)),INDEX('SKU明细'!$D$11:$D$1309,MATCH("B06-RD-I-0-40.5",'SKU明细'!$A$11:$A$1309,0)),INDEX('SKU明细'!$D$11:$D$1309,MATCH("B06-RD-I-0-41",'SKU明细'!$A$11:$A$1309,0)))&lt;3,"另有待核","已核"))</x:f>
        <x:v>另有待核</x:v>
      </x:c>
      <x:c r="V55" s="35" t="str">
        <x:v>停售、在售</x:v>
      </x:c>
      <x:c r="W55" s="11" t="n">
        <x:f>IF(COUNT(INDEX('SKU明细'!$BV$11:$BV$1309,MATCH("B06-RD-I-0-38",'SKU明细'!$A$11:$A$1309,0)),INDEX('SKU明细'!$BV$11:$BV$1309,MATCH("B06-RD-I-0-40.5",'SKU明细'!$A$11:$A$1309,0)),INDEX('SKU明细'!$BV$11:$BV$1309,MATCH("B06-RD-I-0-41",'SKU明细'!$A$11:$A$1309,0)))=3,SUM(INDEX('SKU明细'!$BV$11:$BV$1309,MATCH("B06-RD-I-0-38",'SKU明细'!$A$11:$A$1309,0)),INDEX('SKU明细'!$BV$11:$BV$1309,MATCH("B06-RD-I-0-40.5",'SKU明细'!$A$11:$A$1309,0)),INDEX('SKU明细'!$BV$11:$BV$1309,MATCH("B06-RD-I-0-41",'SKU明细'!$A$11:$A$1309,0))),"待核")</x:f>
        <x:v>0.013951591005994505</x:v>
      </x:c>
      <x:c r="X55" s="11" t="n">
        <x:f>INDEX('SKU明细'!$BW$11:$BW$1309,MATCH("B06-RD-I-0-38",'SKU明细'!$A$11:$A$1309,0))</x:f>
        <x:v>1.2247029157699902</x:v>
      </x:c>
      <x:c r="Y55" s="13" t="n">
        <x:f>IF(COUNT(INDEX('SKU明细'!$BY$11:$BY$1309,MATCH("B06-RD-I-0-38",'SKU明细'!$A$11:$A$1309,0)),INDEX('SKU明细'!$BY$11:$BY$1309,MATCH("B06-RD-I-0-40.5",'SKU明细'!$A$11:$A$1309,0)),INDEX('SKU明细'!$BY$11:$BY$1309,MATCH("B06-RD-I-0-41",'SKU明细'!$A$11:$A$1309,0)))=3,SUM(INDEX('SKU明细'!$BY$11:$BY$1309,MATCH("B06-RD-I-0-38",'SKU明细'!$A$11:$A$1309,0)),INDEX('SKU明细'!$BY$11:$BY$1309,MATCH("B06-RD-I-0-40.5",'SKU明细'!$A$11:$A$1309,0)),INDEX('SKU明细'!$BY$11:$BY$1309,MATCH("B06-RD-I-0-41",'SKU明细'!$A$11:$A$1309,0))),"待核")</x:f>
        <x:v>0.2050386502160621</x:v>
      </x:c>
      <x:c r="Z55" s="11" t="n">
        <x:f>INDEX('SKU明细'!$BZ$11:$BZ$1309,MATCH("B06-RD-I-0-38",'SKU明细'!$A$11:$A$1309,0))</x:f>
        <x:v>0.8332682139098497</x:v>
      </x:c>
      <x:c r="AA55" s="13" t="n">
        <x:f>IF(COUNT(INDEX('SKU明细'!$CB$11:$CB$1309,MATCH("B06-RD-I-0-38",'SKU明细'!$A$11:$A$1309,0)),INDEX('SKU明细'!$CB$11:$CB$1309,MATCH("B06-RD-I-0-40.5",'SKU明细'!$A$11:$A$1309,0)),INDEX('SKU明细'!$CB$11:$CB$1309,MATCH("B06-RD-I-0-41",'SKU明细'!$A$11:$A$1309,0)))=3,SUM(INDEX('SKU明细'!$CB$11:$CB$1309,MATCH("B06-RD-I-0-38",'SKU明细'!$A$11:$A$1309,0)),INDEX('SKU明细'!$CB$11:$CB$1309,MATCH("B06-RD-I-0-40.5",'SKU明细'!$A$11:$A$1309,0)),INDEX('SKU明细'!$CB$11:$CB$1309,MATCH("B06-RD-I-0-41",'SKU明细'!$A$11:$A$1309,0))),"待核")</x:f>
        <x:v>0.3487625195629729</x:v>
      </x:c>
      <x:c r="AB55" s="11" t="n">
        <x:f>INDEX('SKU明细'!$CC$11:$CC$1309,MATCH("B06-RD-I-0-38",'SKU明细'!$A$11:$A$1309,0))</x:f>
        <x:v>0.5511018253564084</x:v>
      </x:c>
      <x:c r="AC55" s="13" t="n">
        <x:f>IF(COUNT(INDEX('SKU明细'!$CE$11:$CE$1309,MATCH("B06-RD-I-0-38",'SKU明细'!$A$11:$A$1309,0)),INDEX('SKU明细'!$CE$11:$CE$1309,MATCH("B06-RD-I-0-40.5",'SKU明细'!$A$11:$A$1309,0)),INDEX('SKU明细'!$CE$11:$CE$1309,MATCH("B06-RD-I-0-41",'SKU明细'!$A$11:$A$1309,0)))=3,SUM(INDEX('SKU明细'!$CE$11:$CE$1309,MATCH("B06-RD-I-0-38",'SKU明细'!$A$11:$A$1309,0)),INDEX('SKU明细'!$CE$11:$CE$1309,MATCH("B06-RD-I-0-40.5",'SKU明细'!$A$11:$A$1309,0)),INDEX('SKU明细'!$CE$11:$CE$1309,MATCH("B06-RD-I-0-41",'SKU明细'!$A$11:$A$1309,0))),"待核")</x:f>
        <x:v>0.23835116537091827</x:v>
      </x:c>
      <x:c r="AD55" s="11" t="n">
        <x:f>INDEX('SKU明细'!$CF$11:$CF$1309,MATCH("B06-RD-I-0-38",'SKU明细'!$A$11:$A$1309,0))</x:f>
        <x:v>1.0017220238758797</x:v>
      </x:c>
      <x:c r="AE55" s="13" t="n">
        <x:f>IF(COUNT(INDEX('SKU明细'!$CH$11:$CH$1309,MATCH("B06-RD-I-0-38",'SKU明细'!$A$11:$A$1309,0)),INDEX('SKU明细'!$CH$11:$CH$1309,MATCH("B06-RD-I-0-40.5",'SKU明细'!$A$11:$A$1309,0)),INDEX('SKU明细'!$CH$11:$CH$1309,MATCH("B06-RD-I-0-41",'SKU明细'!$A$11:$A$1309,0)))=3,SUM(INDEX('SKU明细'!$CH$11:$CH$1309,MATCH("B06-RD-I-0-38",'SKU明细'!$A$11:$A$1309,0)),INDEX('SKU明细'!$CH$11:$CH$1309,MATCH("B06-RD-I-0-40.5",'SKU明细'!$A$11:$A$1309,0)),INDEX('SKU明细'!$CH$11:$CH$1309,MATCH("B06-RD-I-0-41",'SKU明细'!$A$11:$A$1309,0))),"待核")</x:f>
        <x:v>0.2375854716398267</x:v>
      </x:c>
      <x:c r="AF55" s="13" t="n">
        <x:f>IF(COUNT(INDEX('SKU明细'!$CI$11:$CI$1309,MATCH("B06-RD-I-0-38",'SKU明细'!$A$11:$A$1309,0)),INDEX('SKU明细'!$CI$11:$CI$1309,MATCH("B06-RD-I-0-40.5",'SKU明细'!$A$11:$A$1309,0)),INDEX('SKU明细'!$CI$11:$CI$1309,MATCH("B06-RD-I-0-41",'SKU明细'!$A$11:$A$1309,0)))=3,SUM(INDEX('SKU明细'!$CI$11:$CI$1309,MATCH("B06-RD-I-0-38",'SKU明细'!$A$11:$A$1309,0)),INDEX('SKU明细'!$CI$11:$CI$1309,MATCH("B06-RD-I-0-40.5",'SKU明细'!$A$11:$A$1309,0)),INDEX('SKU明细'!$CI$11:$CI$1309,MATCH("B06-RD-I-0-41",'SKU明细'!$A$11:$A$1309,0))),"待核")</x:f>
        <x:v>1.02973780678978</x:v>
      </x:c>
    </x:row>
    <x:row r="56" ht="40" customHeight="1">
      <x:c r="A56" s="35" t="str">
        <x:v>B06</x:v>
      </x:c>
      <x:c r="B56" s="35" t="str">
        <x:v>艾年</x:v>
      </x:c>
      <x:c r="C56" s="35" t="str">
        <x:v>红色镜面PU</x:v>
      </x:c>
      <x:c r="D56" s="35" t="str">
        <x:v>RD-Z</x:v>
      </x:c>
      <x:c r="E56" s="35" t="str">
        <x:v>B06-RD-Z-0</x:v>
      </x:c>
      <x:c r="F56" s="35"/>
      <x:c r="G56" s="36" t="str">
        <x:f>"—"</x:f>
        <x:v>—</x:v>
      </x:c>
      <x:c r="H56" s="36" t="str">
        <x:f>"—"</x:f>
        <x:v>—</x:v>
      </x:c>
      <x:c r="I56" s="36" t="n">
        <x:f>IF(COUNT(INDEX('SKU明细'!$D$11:$D$1309,MATCH("B06-RD-Z-0-37.5",'SKU明细'!$A$11:$A$1309,0)))=0,"待核",IF(COUNT(INDEX('SKU明细'!$D$11:$D$1309,MATCH("B06-RD-Z-0-37.5",'SKU明细'!$A$11:$A$1309,0)))&lt;1,SUM(INDEX('SKU明细'!$D$11:$D$1309,MATCH("B06-RD-Z-0-37.5",'SKU明细'!$A$11:$A$1309,0)))&amp;" + 待核",SUM(INDEX('SKU明细'!$D$11:$D$1309,MATCH("B06-RD-Z-0-37.5",'SKU明细'!$A$11:$A$1309,0)))))</x:f>
        <x:v>0</x:v>
      </x:c>
      <x:c r="J56" s="36" t="n">
        <x:f>IF(COUNT(INDEX('SKU明细'!$D$11:$D$1309,MATCH("B06-RD-Z-0-38",'SKU明细'!$A$11:$A$1309,0)))=0,"待核",IF(COUNT(INDEX('SKU明细'!$D$11:$D$1309,MATCH("B06-RD-Z-0-38",'SKU明细'!$A$11:$A$1309,0)))&lt;1,SUM(INDEX('SKU明细'!$D$11:$D$1309,MATCH("B06-RD-Z-0-38",'SKU明细'!$A$11:$A$1309,0)))&amp;" + 待核",SUM(INDEX('SKU明细'!$D$11:$D$1309,MATCH("B06-RD-Z-0-38",'SKU明细'!$A$11:$A$1309,0)))))</x:f>
        <x:v>0</x:v>
      </x:c>
      <x:c r="K56" s="36" t="n">
        <x:f>IF(COUNT(INDEX('SKU明细'!$D$11:$D$1309,MATCH("B06-RD-Z-0-38.5",'SKU明细'!$A$11:$A$1309,0)))=0,"待核",IF(COUNT(INDEX('SKU明细'!$D$11:$D$1309,MATCH("B06-RD-Z-0-38.5",'SKU明细'!$A$11:$A$1309,0)))&lt;1,SUM(INDEX('SKU明细'!$D$11:$D$1309,MATCH("B06-RD-Z-0-38.5",'SKU明细'!$A$11:$A$1309,0)))&amp;" + 待核",SUM(INDEX('SKU明细'!$D$11:$D$1309,MATCH("B06-RD-Z-0-38.5",'SKU明细'!$A$11:$A$1309,0)))))</x:f>
        <x:v>0</x:v>
      </x:c>
      <x:c r="L56" s="36" t="str">
        <x:f>"—"</x:f>
        <x:v>—</x:v>
      </x:c>
      <x:c r="M56" s="36" t="str">
        <x:f>"—"</x:f>
        <x:v>—</x:v>
      </x:c>
      <x:c r="N56" s="36" t="n">
        <x:f>IF(COUNT(INDEX('SKU明细'!$D$11:$D$1309,MATCH("B06-RD-Z-0-40",'SKU明细'!$A$11:$A$1309,0)))=0,"待核",IF(COUNT(INDEX('SKU明细'!$D$11:$D$1309,MATCH("B06-RD-Z-0-40",'SKU明细'!$A$11:$A$1309,0)))&lt;1,SUM(INDEX('SKU明细'!$D$11:$D$1309,MATCH("B06-RD-Z-0-40",'SKU明细'!$A$11:$A$1309,0)))&amp;" + 待核",SUM(INDEX('SKU明细'!$D$11:$D$1309,MATCH("B06-RD-Z-0-40",'SKU明细'!$A$11:$A$1309,0)))))</x:f>
        <x:v>0</x:v>
      </x:c>
      <x:c r="O56" s="36" t="str">
        <x:f>"—"</x:f>
        <x:v>—</x:v>
      </x:c>
      <x:c r="P56" s="36" t="str">
        <x:f>"—"</x:f>
        <x:v>—</x:v>
      </x:c>
      <x:c r="Q56" s="36" t="str">
        <x:f>"—"</x:f>
        <x:v>—</x:v>
      </x:c>
      <x:c r="R56" s="36" t="n">
        <x:f>IF(COUNT(INDEX('SKU明细'!$D$11:$D$1309,MATCH("B06-RD-Z-0-42",'SKU明细'!$A$11:$A$1309,0)))=0,"待核",IF(COUNT(INDEX('SKU明细'!$D$11:$D$1309,MATCH("B06-RD-Z-0-42",'SKU明细'!$A$11:$A$1309,0)))&lt;1,SUM(INDEX('SKU明细'!$D$11:$D$1309,MATCH("B06-RD-Z-0-42",'SKU明细'!$A$11:$A$1309,0)))&amp;" + 待核",SUM(INDEX('SKU明细'!$D$11:$D$1309,MATCH("B06-RD-Z-0-42",'SKU明细'!$A$11:$A$1309,0)))))</x:f>
        <x:v>0</x:v>
      </x:c>
      <x:c r="S56" s="36" t="n">
        <x:f>IF(COUNT(INDEX('SKU明细'!$D$11:$D$1309,MATCH("B06-RD-Z-0-37.5",'SKU明细'!$A$11:$A$1309,0)),INDEX('SKU明细'!$D$11:$D$1309,MATCH("B06-RD-Z-0-38",'SKU明细'!$A$11:$A$1309,0)),INDEX('SKU明细'!$D$11:$D$1309,MATCH("B06-RD-Z-0-38.5",'SKU明细'!$A$11:$A$1309,0)),INDEX('SKU明细'!$D$11:$D$1309,MATCH("B06-RD-Z-0-40",'SKU明细'!$A$11:$A$1309,0)),INDEX('SKU明细'!$D$11:$D$1309,MATCH("B06-RD-Z-0-42",'SKU明细'!$A$11:$A$1309,0)))=0,"待核",SUM(INDEX('SKU明细'!$D$11:$D$1309,MATCH("B06-RD-Z-0-37.5",'SKU明细'!$A$11:$A$1309,0)),INDEX('SKU明细'!$D$11:$D$1309,MATCH("B06-RD-Z-0-38",'SKU明细'!$A$11:$A$1309,0)),INDEX('SKU明细'!$D$11:$D$1309,MATCH("B06-RD-Z-0-38.5",'SKU明细'!$A$11:$A$1309,0)),INDEX('SKU明细'!$D$11:$D$1309,MATCH("B06-RD-Z-0-40",'SKU明细'!$A$11:$A$1309,0)),INDEX('SKU明细'!$D$11:$D$1309,MATCH("B06-RD-Z-0-42",'SKU明细'!$A$11:$A$1309,0))))</x:f>
        <x:v>0</x:v>
      </x:c>
      <x:c r="T56" s="36" t="n">
        <x:f>IF(COUNTIFS($A$9:$A$191,A56,$U$9:$U$191,"&lt;&gt;待核")=0,"待核",SUMIF($A$9:$A$191,A56,$S$9:$S$191))</x:f>
        <x:v>613</x:v>
      </x:c>
      <x:c r="U56" s="35" t="str">
        <x:f>IF(COUNT(INDEX('SKU明细'!$D$11:$D$1309,MATCH("B06-RD-Z-0-37.5",'SKU明细'!$A$11:$A$1309,0)),INDEX('SKU明细'!$D$11:$D$1309,MATCH("B06-RD-Z-0-38",'SKU明细'!$A$11:$A$1309,0)),INDEX('SKU明细'!$D$11:$D$1309,MATCH("B06-RD-Z-0-38.5",'SKU明细'!$A$11:$A$1309,0)),INDEX('SKU明细'!$D$11:$D$1309,MATCH("B06-RD-Z-0-40",'SKU明细'!$A$11:$A$1309,0)),INDEX('SKU明细'!$D$11:$D$1309,MATCH("B06-RD-Z-0-42",'SKU明细'!$A$11:$A$1309,0)))=0,"待核",IF(COUNT(INDEX('SKU明细'!$D$11:$D$1309,MATCH("B06-RD-Z-0-37.5",'SKU明细'!$A$11:$A$1309,0)),INDEX('SKU明细'!$D$11:$D$1309,MATCH("B06-RD-Z-0-38",'SKU明细'!$A$11:$A$1309,0)),INDEX('SKU明细'!$D$11:$D$1309,MATCH("B06-RD-Z-0-38.5",'SKU明细'!$A$11:$A$1309,0)),INDEX('SKU明细'!$D$11:$D$1309,MATCH("B06-RD-Z-0-40",'SKU明细'!$A$11:$A$1309,0)),INDEX('SKU明细'!$D$11:$D$1309,MATCH("B06-RD-Z-0-42",'SKU明细'!$A$11:$A$1309,0)))&lt;5,"另有待核","已核"))</x:f>
        <x:v>已核</x:v>
      </x:c>
      <x:c r="V56" s="35" t="str">
        <x:v>在售</x:v>
      </x:c>
      <x:c r="W56" s="11" t="n">
        <x:f>IF(COUNT(INDEX('SKU明细'!$BV$11:$BV$1309,MATCH("B06-RD-Z-0-37.5",'SKU明细'!$A$11:$A$1309,0)),INDEX('SKU明细'!$BV$11:$BV$1309,MATCH("B06-RD-Z-0-38",'SKU明细'!$A$11:$A$1309,0)),INDEX('SKU明细'!$BV$11:$BV$1309,MATCH("B06-RD-Z-0-38.5",'SKU明细'!$A$11:$A$1309,0)),INDEX('SKU明细'!$BV$11:$BV$1309,MATCH("B06-RD-Z-0-40",'SKU明细'!$A$11:$A$1309,0)),INDEX('SKU明细'!$BV$11:$BV$1309,MATCH("B06-RD-Z-0-42",'SKU明细'!$A$11:$A$1309,0)))=5,SUM(INDEX('SKU明细'!$BV$11:$BV$1309,MATCH("B06-RD-Z-0-37.5",'SKU明细'!$A$11:$A$1309,0)),INDEX('SKU明细'!$BV$11:$BV$1309,MATCH("B06-RD-Z-0-38",'SKU明细'!$A$11:$A$1309,0)),INDEX('SKU明细'!$BV$11:$BV$1309,MATCH("B06-RD-Z-0-38.5",'SKU明细'!$A$11:$A$1309,0)),INDEX('SKU明细'!$BV$11:$BV$1309,MATCH("B06-RD-Z-0-40",'SKU明细'!$A$11:$A$1309,0)),INDEX('SKU明细'!$BV$11:$BV$1309,MATCH("B06-RD-Z-0-42",'SKU明细'!$A$11:$A$1309,0))),"待核")</x:f>
        <x:v>0.15172842136272013</x:v>
      </x:c>
      <x:c r="X56" s="11" t="n">
        <x:f>INDEX('SKU明细'!$BW$11:$BW$1309,MATCH("B06-RD-Z-0-37.5",'SKU明细'!$A$11:$A$1309,0))</x:f>
        <x:v>1.2247029157699902</x:v>
      </x:c>
      <x:c r="Y56" s="13" t="n">
        <x:f>IF(COUNT(INDEX('SKU明细'!$BY$11:$BY$1309,MATCH("B06-RD-Z-0-37.5",'SKU明细'!$A$11:$A$1309,0)),INDEX('SKU明细'!$BY$11:$BY$1309,MATCH("B06-RD-Z-0-38",'SKU明细'!$A$11:$A$1309,0)),INDEX('SKU明细'!$BY$11:$BY$1309,MATCH("B06-RD-Z-0-38.5",'SKU明细'!$A$11:$A$1309,0)),INDEX('SKU明细'!$BY$11:$BY$1309,MATCH("B06-RD-Z-0-40",'SKU明细'!$A$11:$A$1309,0)),INDEX('SKU明细'!$BY$11:$BY$1309,MATCH("B06-RD-Z-0-42",'SKU明细'!$A$11:$A$1309,0)))=5,SUM(INDEX('SKU明细'!$BY$11:$BY$1309,MATCH("B06-RD-Z-0-37.5",'SKU明细'!$A$11:$A$1309,0)),INDEX('SKU明细'!$BY$11:$BY$1309,MATCH("B06-RD-Z-0-38",'SKU明细'!$A$11:$A$1309,0)),INDEX('SKU明细'!$BY$11:$BY$1309,MATCH("B06-RD-Z-0-38.5",'SKU明细'!$A$11:$A$1309,0)),INDEX('SKU明细'!$BY$11:$BY$1309,MATCH("B06-RD-Z-0-40",'SKU明细'!$A$11:$A$1309,0)),INDEX('SKU明细'!$BY$11:$BY$1309,MATCH("B06-RD-Z-0-42",'SKU明细'!$A$11:$A$1309,0))),"待核")</x:f>
        <x:v>2.2298668805772115</x:v>
      </x:c>
      <x:c r="Z56" s="11" t="n">
        <x:f>INDEX('SKU明细'!$BZ$11:$BZ$1309,MATCH("B06-RD-Z-0-37.5",'SKU明细'!$A$11:$A$1309,0))</x:f>
        <x:v>0.8332682139098497</x:v>
      </x:c>
      <x:c r="AA56" s="13" t="n">
        <x:f>IF(COUNT(INDEX('SKU明细'!$CB$11:$CB$1309,MATCH("B06-RD-Z-0-37.5",'SKU明细'!$A$11:$A$1309,0)),INDEX('SKU明细'!$CB$11:$CB$1309,MATCH("B06-RD-Z-0-38",'SKU明细'!$A$11:$A$1309,0)),INDEX('SKU明细'!$CB$11:$CB$1309,MATCH("B06-RD-Z-0-38.5",'SKU明细'!$A$11:$A$1309,0)),INDEX('SKU明细'!$CB$11:$CB$1309,MATCH("B06-RD-Z-0-40",'SKU明细'!$A$11:$A$1309,0)),INDEX('SKU明细'!$CB$11:$CB$1309,MATCH("B06-RD-Z-0-42",'SKU明细'!$A$11:$A$1309,0)))=5,SUM(INDEX('SKU明细'!$CB$11:$CB$1309,MATCH("B06-RD-Z-0-37.5",'SKU明细'!$A$11:$A$1309,0)),INDEX('SKU明细'!$CB$11:$CB$1309,MATCH("B06-RD-Z-0-38",'SKU明细'!$A$11:$A$1309,0)),INDEX('SKU明细'!$CB$11:$CB$1309,MATCH("B06-RD-Z-0-38.5",'SKU明细'!$A$11:$A$1309,0)),INDEX('SKU明细'!$CB$11:$CB$1309,MATCH("B06-RD-Z-0-40",'SKU明细'!$A$11:$A$1309,0)),INDEX('SKU明细'!$CB$11:$CB$1309,MATCH("B06-RD-Z-0-42",'SKU明细'!$A$11:$A$1309,0))),"待核")</x:f>
        <x:v>3.792914120048246</x:v>
      </x:c>
      <x:c r="AB56" s="11" t="n">
        <x:f>INDEX('SKU明细'!$CC$11:$CC$1309,MATCH("B06-RD-Z-0-37.5",'SKU明细'!$A$11:$A$1309,0))</x:f>
        <x:v>0.5511018253564084</x:v>
      </x:c>
      <x:c r="AC56" s="13" t="n">
        <x:f>IF(COUNT(INDEX('SKU明细'!$CE$11:$CE$1309,MATCH("B06-RD-Z-0-37.5",'SKU明细'!$A$11:$A$1309,0)),INDEX('SKU明细'!$CE$11:$CE$1309,MATCH("B06-RD-Z-0-38",'SKU明细'!$A$11:$A$1309,0)),INDEX('SKU明细'!$CE$11:$CE$1309,MATCH("B06-RD-Z-0-38.5",'SKU明细'!$A$11:$A$1309,0)),INDEX('SKU明细'!$CE$11:$CE$1309,MATCH("B06-RD-Z-0-40",'SKU明细'!$A$11:$A$1309,0)),INDEX('SKU明细'!$CE$11:$CE$1309,MATCH("B06-RD-Z-0-42",'SKU明细'!$A$11:$A$1309,0)))=5,SUM(INDEX('SKU明细'!$CE$11:$CE$1309,MATCH("B06-RD-Z-0-37.5",'SKU明细'!$A$11:$A$1309,0)),INDEX('SKU明细'!$CE$11:$CE$1309,MATCH("B06-RD-Z-0-38",'SKU明细'!$A$11:$A$1309,0)),INDEX('SKU明细'!$CE$11:$CE$1309,MATCH("B06-RD-Z-0-38.5",'SKU明细'!$A$11:$A$1309,0)),INDEX('SKU明细'!$CE$11:$CE$1309,MATCH("B06-RD-Z-0-40",'SKU明细'!$A$11:$A$1309,0)),INDEX('SKU明细'!$CE$11:$CE$1309,MATCH("B06-RD-Z-0-42",'SKU明细'!$A$11:$A$1309,0))),"待核")</x:f>
        <x:v>2.5921521091146813</x:v>
      </x:c>
      <x:c r="AD56" s="11" t="n">
        <x:f>INDEX('SKU明细'!$CF$11:$CF$1309,MATCH("B06-RD-Z-0-37.5",'SKU明细'!$A$11:$A$1309,0))</x:f>
        <x:v>1.0017220238758797</x:v>
      </x:c>
      <x:c r="AE56" s="13" t="n">
        <x:f>IF(COUNT(INDEX('SKU明细'!$CH$11:$CH$1309,MATCH("B06-RD-Z-0-37.5",'SKU明细'!$A$11:$A$1309,0)),INDEX('SKU明细'!$CH$11:$CH$1309,MATCH("B06-RD-Z-0-38",'SKU明细'!$A$11:$A$1309,0)),INDEX('SKU明细'!$CH$11:$CH$1309,MATCH("B06-RD-Z-0-38.5",'SKU明细'!$A$11:$A$1309,0)),INDEX('SKU明细'!$CH$11:$CH$1309,MATCH("B06-RD-Z-0-40",'SKU明细'!$A$11:$A$1309,0)),INDEX('SKU明细'!$CH$11:$CH$1309,MATCH("B06-RD-Z-0-42",'SKU明细'!$A$11:$A$1309,0)))=5,SUM(INDEX('SKU明细'!$CH$11:$CH$1309,MATCH("B06-RD-Z-0-37.5",'SKU明细'!$A$11:$A$1309,0)),INDEX('SKU明细'!$CH$11:$CH$1309,MATCH("B06-RD-Z-0-38",'SKU明细'!$A$11:$A$1309,0)),INDEX('SKU明细'!$CH$11:$CH$1309,MATCH("B06-RD-Z-0-38.5",'SKU明细'!$A$11:$A$1309,0)),INDEX('SKU明细'!$CH$11:$CH$1309,MATCH("B06-RD-Z-0-40",'SKU明细'!$A$11:$A$1309,0)),INDEX('SKU明细'!$CH$11:$CH$1309,MATCH("B06-RD-Z-0-42",'SKU明细'!$A$11:$A$1309,0))),"待核")</x:f>
        <x:v>2.5838249225582564</x:v>
      </x:c>
      <x:c r="AF56" s="13" t="n">
        <x:f>IF(COUNT(INDEX('SKU明细'!$CI$11:$CI$1309,MATCH("B06-RD-Z-0-37.5",'SKU明细'!$A$11:$A$1309,0)),INDEX('SKU明细'!$CI$11:$CI$1309,MATCH("B06-RD-Z-0-38",'SKU明细'!$A$11:$A$1309,0)),INDEX('SKU明细'!$CI$11:$CI$1309,MATCH("B06-RD-Z-0-38.5",'SKU明细'!$A$11:$A$1309,0)),INDEX('SKU明细'!$CI$11:$CI$1309,MATCH("B06-RD-Z-0-40",'SKU明细'!$A$11:$A$1309,0)),INDEX('SKU明细'!$CI$11:$CI$1309,MATCH("B06-RD-Z-0-42",'SKU明细'!$A$11:$A$1309,0)))=5,SUM(INDEX('SKU明细'!$CI$11:$CI$1309,MATCH("B06-RD-Z-0-37.5",'SKU明细'!$A$11:$A$1309,0)),INDEX('SKU明细'!$CI$11:$CI$1309,MATCH("B06-RD-Z-0-38",'SKU明细'!$A$11:$A$1309,0)),INDEX('SKU明细'!$CI$11:$CI$1309,MATCH("B06-RD-Z-0-38.5",'SKU明细'!$A$11:$A$1309,0)),INDEX('SKU明细'!$CI$11:$CI$1309,MATCH("B06-RD-Z-0-40",'SKU明细'!$A$11:$A$1309,0)),INDEX('SKU明细'!$CI$11:$CI$1309,MATCH("B06-RD-Z-0-42",'SKU明细'!$A$11:$A$1309,0))),"待核")</x:f>
        <x:v>11.198758032298395</x:v>
      </x:c>
    </x:row>
    <x:row r="57" ht="40" customHeight="1">
      <x:c r="A57" s="35" t="str">
        <x:v>B06</x:v>
      </x:c>
      <x:c r="B57" s="35" t="str">
        <x:v>艾年</x:v>
      </x:c>
      <x:c r="C57" s="35" t="str">
        <x:v>玫瑰金PU</x:v>
      </x:c>
      <x:c r="D57" s="35" t="str">
        <x:v>RG</x:v>
      </x:c>
      <x:c r="E57" s="35" t="str">
        <x:v>B06-RG</x:v>
      </x:c>
      <x:c r="F57" s="35"/>
      <x:c r="G57" s="36" t="str">
        <x:f>"—"</x:f>
        <x:v>—</x:v>
      </x:c>
      <x:c r="H57" s="36" t="n">
        <x:f>IF(COUNT(INDEX('SKU明细'!$D$11:$D$1309,MATCH("B06-RG-37",'SKU明细'!$A$11:$A$1309,0)))=0,"待核",IF(COUNT(INDEX('SKU明细'!$D$11:$D$1309,MATCH("B06-RG-37",'SKU明细'!$A$11:$A$1309,0)))&lt;1,SUM(INDEX('SKU明细'!$D$11:$D$1309,MATCH("B06-RG-37",'SKU明细'!$A$11:$A$1309,0)))&amp;" + 待核",SUM(INDEX('SKU明细'!$D$11:$D$1309,MATCH("B06-RG-37",'SKU明细'!$A$11:$A$1309,0)))))</x:f>
        <x:v>0</x:v>
      </x:c>
      <x:c r="I57" s="36" t="str">
        <x:f>IF(COUNT(INDEX('SKU明细'!$D$11:$D$1309,MATCH("B06-RG-37.5",'SKU明细'!$A$11:$A$1309,0)))=0,"待核",IF(COUNT(INDEX('SKU明细'!$D$11:$D$1309,MATCH("B06-RG-37.5",'SKU明细'!$A$11:$A$1309,0)))&lt;1,SUM(INDEX('SKU明细'!$D$11:$D$1309,MATCH("B06-RG-37.5",'SKU明细'!$A$11:$A$1309,0)))&amp;" + 待核",SUM(INDEX('SKU明细'!$D$11:$D$1309,MATCH("B06-RG-37.5",'SKU明细'!$A$11:$A$1309,0)))))</x:f>
        <x:v>待核</x:v>
      </x:c>
      <x:c r="J57" s="36" t="n">
        <x:f>IF(COUNT(INDEX('SKU明细'!$D$11:$D$1309,MATCH("B06-RG-38",'SKU明细'!$A$11:$A$1309,0)))=0,"待核",IF(COUNT(INDEX('SKU明细'!$D$11:$D$1309,MATCH("B06-RG-38",'SKU明细'!$A$11:$A$1309,0)))&lt;1,SUM(INDEX('SKU明细'!$D$11:$D$1309,MATCH("B06-RG-38",'SKU明细'!$A$11:$A$1309,0)))&amp;" + 待核",SUM(INDEX('SKU明细'!$D$11:$D$1309,MATCH("B06-RG-38",'SKU明细'!$A$11:$A$1309,0)))))</x:f>
        <x:v>0</x:v>
      </x:c>
      <x:c r="K57" s="36" t="str">
        <x:f>"—"</x:f>
        <x:v>—</x:v>
      </x:c>
      <x:c r="L57" s="36" t="n">
        <x:f>IF(COUNT(INDEX('SKU明细'!$D$11:$D$1309,MATCH("B06-RG-39-N",'SKU明细'!$A$11:$A$1309,0)))=0,"待核",IF(COUNT(INDEX('SKU明细'!$D$11:$D$1309,MATCH("B06-RG-39-N",'SKU明细'!$A$11:$A$1309,0)))&lt;1,SUM(INDEX('SKU明细'!$D$11:$D$1309,MATCH("B06-RG-39-N",'SKU明细'!$A$11:$A$1309,0)))&amp;" + 待核",SUM(INDEX('SKU明细'!$D$11:$D$1309,MATCH("B06-RG-39-N",'SKU明细'!$A$11:$A$1309,0)))))</x:f>
        <x:v>0</x:v>
      </x:c>
      <x:c r="M57" s="36" t="str">
        <x:f>IF(COUNT(INDEX('SKU明细'!$D$11:$D$1309,MATCH("B06-RG-39.5",'SKU明细'!$A$11:$A$1309,0)))=0,"待核",IF(COUNT(INDEX('SKU明细'!$D$11:$D$1309,MATCH("B06-RG-39.5",'SKU明细'!$A$11:$A$1309,0)))&lt;1,SUM(INDEX('SKU明细'!$D$11:$D$1309,MATCH("B06-RG-39.5",'SKU明细'!$A$11:$A$1309,0)))&amp;" + 待核",SUM(INDEX('SKU明细'!$D$11:$D$1309,MATCH("B06-RG-39.5",'SKU明细'!$A$11:$A$1309,0)))))</x:f>
        <x:v>待核</x:v>
      </x:c>
      <x:c r="N57" s="36" t="n">
        <x:f>IF(COUNT(INDEX('SKU明细'!$D$11:$D$1309,MATCH("B06-RG-40-N",'SKU明细'!$A$11:$A$1309,0)))=0,"待核",IF(COUNT(INDEX('SKU明细'!$D$11:$D$1309,MATCH("B06-RG-40-N",'SKU明细'!$A$11:$A$1309,0)))&lt;1,SUM(INDEX('SKU明细'!$D$11:$D$1309,MATCH("B06-RG-40-N",'SKU明细'!$A$11:$A$1309,0)))&amp;" + 待核",SUM(INDEX('SKU明细'!$D$11:$D$1309,MATCH("B06-RG-40-N",'SKU明细'!$A$11:$A$1309,0)))))</x:f>
        <x:v>0</x:v>
      </x:c>
      <x:c r="O57" s="36" t="n">
        <x:f>IF(COUNT(INDEX('SKU明细'!$D$11:$D$1309,MATCH("B06-RG-40.5",'SKU明细'!$A$11:$A$1309,0)))=0,"待核",IF(COUNT(INDEX('SKU明细'!$D$11:$D$1309,MATCH("B06-RG-40.5",'SKU明细'!$A$11:$A$1309,0)))&lt;1,SUM(INDEX('SKU明细'!$D$11:$D$1309,MATCH("B06-RG-40.5",'SKU明细'!$A$11:$A$1309,0)))&amp;" + 待核",SUM(INDEX('SKU明细'!$D$11:$D$1309,MATCH("B06-RG-40.5",'SKU明细'!$A$11:$A$1309,0)))))</x:f>
        <x:v>0</x:v>
      </x:c>
      <x:c r="P57" s="36" t="n">
        <x:f>IF(COUNT(INDEX('SKU明细'!$D$11:$D$1309,MATCH("B06-RG-41",'SKU明细'!$A$11:$A$1309,0)))=0,"待核",IF(COUNT(INDEX('SKU明细'!$D$11:$D$1309,MATCH("B06-RG-41",'SKU明细'!$A$11:$A$1309,0)))&lt;1,SUM(INDEX('SKU明细'!$D$11:$D$1309,MATCH("B06-RG-41",'SKU明细'!$A$11:$A$1309,0)))&amp;" + 待核",SUM(INDEX('SKU明细'!$D$11:$D$1309,MATCH("B06-RG-41",'SKU明细'!$A$11:$A$1309,0)))))</x:f>
        <x:v>0</x:v>
      </x:c>
      <x:c r="Q57" s="36" t="str">
        <x:f>"—"</x:f>
        <x:v>—</x:v>
      </x:c>
      <x:c r="R57" s="36" t="n">
        <x:f>IF(COUNT(INDEX('SKU明细'!$D$11:$D$1309,MATCH("B06-RG-42",'SKU明细'!$A$11:$A$1309,0)))=0,"待核",IF(COUNT(INDEX('SKU明细'!$D$11:$D$1309,MATCH("B06-RG-42",'SKU明细'!$A$11:$A$1309,0)))&lt;1,SUM(INDEX('SKU明细'!$D$11:$D$1309,MATCH("B06-RG-42",'SKU明细'!$A$11:$A$1309,0)))&amp;" + 待核",SUM(INDEX('SKU明细'!$D$11:$D$1309,MATCH("B06-RG-42",'SKU明细'!$A$11:$A$1309,0)))))</x:f>
        <x:v>0</x:v>
      </x:c>
      <x:c r="S57" s="36" t="n">
        <x:f>IF(COUNT(INDEX('SKU明细'!$D$11:$D$1309,MATCH("B06-RG-37",'SKU明细'!$A$11:$A$1309,0)),INDEX('SKU明细'!$D$11:$D$1309,MATCH("B06-RG-37.5",'SKU明细'!$A$11:$A$1309,0)),INDEX('SKU明细'!$D$11:$D$1309,MATCH("B06-RG-38",'SKU明细'!$A$11:$A$1309,0)),INDEX('SKU明细'!$D$11:$D$1309,MATCH("B06-RG-39-N",'SKU明细'!$A$11:$A$1309,0)),INDEX('SKU明细'!$D$11:$D$1309,MATCH("B06-RG-39.5",'SKU明细'!$A$11:$A$1309,0)),INDEX('SKU明细'!$D$11:$D$1309,MATCH("B06-RG-40-N",'SKU明细'!$A$11:$A$1309,0)),INDEX('SKU明细'!$D$11:$D$1309,MATCH("B06-RG-40.5",'SKU明细'!$A$11:$A$1309,0)),INDEX('SKU明细'!$D$11:$D$1309,MATCH("B06-RG-41",'SKU明细'!$A$11:$A$1309,0)),INDEX('SKU明细'!$D$11:$D$1309,MATCH("B06-RG-42",'SKU明细'!$A$11:$A$1309,0)))=0,"待核",SUM(INDEX('SKU明细'!$D$11:$D$1309,MATCH("B06-RG-37",'SKU明细'!$A$11:$A$1309,0)),INDEX('SKU明细'!$D$11:$D$1309,MATCH("B06-RG-37.5",'SKU明细'!$A$11:$A$1309,0)),INDEX('SKU明细'!$D$11:$D$1309,MATCH("B06-RG-38",'SKU明细'!$A$11:$A$1309,0)),INDEX('SKU明细'!$D$11:$D$1309,MATCH("B06-RG-39-N",'SKU明细'!$A$11:$A$1309,0)),INDEX('SKU明细'!$D$11:$D$1309,MATCH("B06-RG-39.5",'SKU明细'!$A$11:$A$1309,0)),INDEX('SKU明细'!$D$11:$D$1309,MATCH("B06-RG-40-N",'SKU明细'!$A$11:$A$1309,0)),INDEX('SKU明细'!$D$11:$D$1309,MATCH("B06-RG-40.5",'SKU明细'!$A$11:$A$1309,0)),INDEX('SKU明细'!$D$11:$D$1309,MATCH("B06-RG-41",'SKU明细'!$A$11:$A$1309,0)),INDEX('SKU明细'!$D$11:$D$1309,MATCH("B06-RG-42",'SKU明细'!$A$11:$A$1309,0))))</x:f>
        <x:v>0</x:v>
      </x:c>
      <x:c r="T57" s="36" t="n">
        <x:f>IF(COUNTIFS($A$9:$A$191,A57,$U$9:$U$191,"&lt;&gt;待核")=0,"待核",SUMIF($A$9:$A$191,A57,$S$9:$S$191))</x:f>
        <x:v>613</x:v>
      </x:c>
      <x:c r="U57" s="35" t="str">
        <x:f>IF(COUNT(INDEX('SKU明细'!$D$11:$D$1309,MATCH("B06-RG-37",'SKU明细'!$A$11:$A$1309,0)),INDEX('SKU明细'!$D$11:$D$1309,MATCH("B06-RG-37.5",'SKU明细'!$A$11:$A$1309,0)),INDEX('SKU明细'!$D$11:$D$1309,MATCH("B06-RG-38",'SKU明细'!$A$11:$A$1309,0)),INDEX('SKU明细'!$D$11:$D$1309,MATCH("B06-RG-39-N",'SKU明细'!$A$11:$A$1309,0)),INDEX('SKU明细'!$D$11:$D$1309,MATCH("B06-RG-39.5",'SKU明细'!$A$11:$A$1309,0)),INDEX('SKU明细'!$D$11:$D$1309,MATCH("B06-RG-40-N",'SKU明细'!$A$11:$A$1309,0)),INDEX('SKU明细'!$D$11:$D$1309,MATCH("B06-RG-40.5",'SKU明细'!$A$11:$A$1309,0)),INDEX('SKU明细'!$D$11:$D$1309,MATCH("B06-RG-41",'SKU明细'!$A$11:$A$1309,0)),INDEX('SKU明细'!$D$11:$D$1309,MATCH("B06-RG-42",'SKU明细'!$A$11:$A$1309,0)))=0,"待核",IF(COUNT(INDEX('SKU明细'!$D$11:$D$1309,MATCH("B06-RG-37",'SKU明细'!$A$11:$A$1309,0)),INDEX('SKU明细'!$D$11:$D$1309,MATCH("B06-RG-37.5",'SKU明细'!$A$11:$A$1309,0)),INDEX('SKU明细'!$D$11:$D$1309,MATCH("B06-RG-38",'SKU明细'!$A$11:$A$1309,0)),INDEX('SKU明细'!$D$11:$D$1309,MATCH("B06-RG-39-N",'SKU明细'!$A$11:$A$1309,0)),INDEX('SKU明细'!$D$11:$D$1309,MATCH("B06-RG-39.5",'SKU明细'!$A$11:$A$1309,0)),INDEX('SKU明细'!$D$11:$D$1309,MATCH("B06-RG-40-N",'SKU明细'!$A$11:$A$1309,0)),INDEX('SKU明细'!$D$11:$D$1309,MATCH("B06-RG-40.5",'SKU明细'!$A$11:$A$1309,0)),INDEX('SKU明细'!$D$11:$D$1309,MATCH("B06-RG-41",'SKU明细'!$A$11:$A$1309,0)),INDEX('SKU明细'!$D$11:$D$1309,MATCH("B06-RG-42",'SKU明细'!$A$11:$A$1309,0)))&lt;9,"另有待核","已核"))</x:f>
        <x:v>另有待核</x:v>
      </x:c>
      <x:c r="V57" s="35" t="str">
        <x:v>停售、在售</x:v>
      </x:c>
      <x:c r="W57" s="11" t="n">
        <x:f>IF(COUNT(INDEX('SKU明细'!$BV$11:$BV$1309,MATCH("B06-RG-37",'SKU明细'!$A$11:$A$1309,0)),INDEX('SKU明细'!$BV$11:$BV$1309,MATCH("B06-RG-37.5",'SKU明细'!$A$11:$A$1309,0)),INDEX('SKU明细'!$BV$11:$BV$1309,MATCH("B06-RG-38",'SKU明细'!$A$11:$A$1309,0)),INDEX('SKU明细'!$BV$11:$BV$1309,MATCH("B06-RG-39-N",'SKU明细'!$A$11:$A$1309,0)),INDEX('SKU明细'!$BV$11:$BV$1309,MATCH("B06-RG-39.5",'SKU明细'!$A$11:$A$1309,0)),INDEX('SKU明细'!$BV$11:$BV$1309,MATCH("B06-RG-40-N",'SKU明细'!$A$11:$A$1309,0)),INDEX('SKU明细'!$BV$11:$BV$1309,MATCH("B06-RG-40.5",'SKU明细'!$A$11:$A$1309,0)),INDEX('SKU明细'!$BV$11:$BV$1309,MATCH("B06-RG-41",'SKU明细'!$A$11:$A$1309,0)),INDEX('SKU明细'!$BV$11:$BV$1309,MATCH("B06-RG-42",'SKU明细'!$A$11:$A$1309,0)))=9,SUM(INDEX('SKU明细'!$BV$11:$BV$1309,MATCH("B06-RG-37",'SKU明细'!$A$11:$A$1309,0)),INDEX('SKU明细'!$BV$11:$BV$1309,MATCH("B06-RG-37.5",'SKU明细'!$A$11:$A$1309,0)),INDEX('SKU明细'!$BV$11:$BV$1309,MATCH("B06-RG-38",'SKU明细'!$A$11:$A$1309,0)),INDEX('SKU明细'!$BV$11:$BV$1309,MATCH("B06-RG-39-N",'SKU明细'!$A$11:$A$1309,0)),INDEX('SKU明细'!$BV$11:$BV$1309,MATCH("B06-RG-39.5",'SKU明细'!$A$11:$A$1309,0)),INDEX('SKU明细'!$BV$11:$BV$1309,MATCH("B06-RG-40-N",'SKU明细'!$A$11:$A$1309,0)),INDEX('SKU明细'!$BV$11:$BV$1309,MATCH("B06-RG-40.5",'SKU明细'!$A$11:$A$1309,0)),INDEX('SKU明细'!$BV$11:$BV$1309,MATCH("B06-RG-41",'SKU明细'!$A$11:$A$1309,0)),INDEX('SKU明细'!$BV$11:$BV$1309,MATCH("B06-RG-42",'SKU明细'!$A$11:$A$1309,0))),"待核")</x:f>
        <x:v>0.17138358849157515</x:v>
      </x:c>
      <x:c r="X57" s="11" t="n">
        <x:f>INDEX('SKU明细'!$BW$11:$BW$1309,MATCH("B06-RG-37",'SKU明细'!$A$11:$A$1309,0))</x:f>
        <x:v>1.2247029157699902</x:v>
      </x:c>
      <x:c r="Y57" s="13" t="n">
        <x:f>IF(COUNT(INDEX('SKU明细'!$BY$11:$BY$1309,MATCH("B06-RG-37",'SKU明细'!$A$11:$A$1309,0)),INDEX('SKU明细'!$BY$11:$BY$1309,MATCH("B06-RG-37.5",'SKU明细'!$A$11:$A$1309,0)),INDEX('SKU明细'!$BY$11:$BY$1309,MATCH("B06-RG-38",'SKU明细'!$A$11:$A$1309,0)),INDEX('SKU明细'!$BY$11:$BY$1309,MATCH("B06-RG-39-N",'SKU明细'!$A$11:$A$1309,0)),INDEX('SKU明细'!$BY$11:$BY$1309,MATCH("B06-RG-39.5",'SKU明细'!$A$11:$A$1309,0)),INDEX('SKU明细'!$BY$11:$BY$1309,MATCH("B06-RG-40-N",'SKU明细'!$A$11:$A$1309,0)),INDEX('SKU明细'!$BY$11:$BY$1309,MATCH("B06-RG-40.5",'SKU明细'!$A$11:$A$1309,0)),INDEX('SKU明细'!$BY$11:$BY$1309,MATCH("B06-RG-41",'SKU明细'!$A$11:$A$1309,0)),INDEX('SKU明细'!$BY$11:$BY$1309,MATCH("B06-RG-42",'SKU明细'!$A$11:$A$1309,0)))=9,SUM(INDEX('SKU明细'!$BY$11:$BY$1309,MATCH("B06-RG-37",'SKU明细'!$A$11:$A$1309,0)),INDEX('SKU明细'!$BY$11:$BY$1309,MATCH("B06-RG-37.5",'SKU明细'!$A$11:$A$1309,0)),INDEX('SKU明细'!$BY$11:$BY$1309,MATCH("B06-RG-38",'SKU明细'!$A$11:$A$1309,0)),INDEX('SKU明细'!$BY$11:$BY$1309,MATCH("B06-RG-39-N",'SKU明细'!$A$11:$A$1309,0)),INDEX('SKU明细'!$BY$11:$BY$1309,MATCH("B06-RG-39.5",'SKU明细'!$A$11:$A$1309,0)),INDEX('SKU明细'!$BY$11:$BY$1309,MATCH("B06-RG-40-N",'SKU明细'!$A$11:$A$1309,0)),INDEX('SKU明细'!$BY$11:$BY$1309,MATCH("B06-RG-40.5",'SKU明细'!$A$11:$A$1309,0)),INDEX('SKU明细'!$BY$11:$BY$1309,MATCH("B06-RG-41",'SKU明细'!$A$11:$A$1309,0)),INDEX('SKU明细'!$BY$11:$BY$1309,MATCH("B06-RG-42",'SKU明细'!$A$11:$A$1309,0))),"待核")</x:f>
        <x:v>2.518727766489075</x:v>
      </x:c>
      <x:c r="Z57" s="11" t="n">
        <x:f>INDEX('SKU明细'!$BZ$11:$BZ$1309,MATCH("B06-RG-37",'SKU明细'!$A$11:$A$1309,0))</x:f>
        <x:v>0.8332682139098497</x:v>
      </x:c>
      <x:c r="AA57" s="13" t="n">
        <x:f>IF(COUNT(INDEX('SKU明细'!$CB$11:$CB$1309,MATCH("B06-RG-37",'SKU明细'!$A$11:$A$1309,0)),INDEX('SKU明细'!$CB$11:$CB$1309,MATCH("B06-RG-37.5",'SKU明细'!$A$11:$A$1309,0)),INDEX('SKU明细'!$CB$11:$CB$1309,MATCH("B06-RG-38",'SKU明细'!$A$11:$A$1309,0)),INDEX('SKU明细'!$CB$11:$CB$1309,MATCH("B06-RG-39-N",'SKU明细'!$A$11:$A$1309,0)),INDEX('SKU明细'!$CB$11:$CB$1309,MATCH("B06-RG-39.5",'SKU明细'!$A$11:$A$1309,0)),INDEX('SKU明细'!$CB$11:$CB$1309,MATCH("B06-RG-40-N",'SKU明细'!$A$11:$A$1309,0)),INDEX('SKU明细'!$CB$11:$CB$1309,MATCH("B06-RG-40.5",'SKU明细'!$A$11:$A$1309,0)),INDEX('SKU明细'!$CB$11:$CB$1309,MATCH("B06-RG-41",'SKU明细'!$A$11:$A$1309,0)),INDEX('SKU明细'!$CB$11:$CB$1309,MATCH("B06-RG-42",'SKU明细'!$A$11:$A$1309,0)))=9,SUM(INDEX('SKU明细'!$CB$11:$CB$1309,MATCH("B06-RG-37",'SKU明细'!$A$11:$A$1309,0)),INDEX('SKU明细'!$CB$11:$CB$1309,MATCH("B06-RG-37.5",'SKU明细'!$A$11:$A$1309,0)),INDEX('SKU明细'!$CB$11:$CB$1309,MATCH("B06-RG-38",'SKU明细'!$A$11:$A$1309,0)),INDEX('SKU明细'!$CB$11:$CB$1309,MATCH("B06-RG-39-N",'SKU明细'!$A$11:$A$1309,0)),INDEX('SKU明细'!$CB$11:$CB$1309,MATCH("B06-RG-39.5",'SKU明细'!$A$11:$A$1309,0)),INDEX('SKU明细'!$CB$11:$CB$1309,MATCH("B06-RG-40-N",'SKU明细'!$A$11:$A$1309,0)),INDEX('SKU明细'!$CB$11:$CB$1309,MATCH("B06-RG-40.5",'SKU明细'!$A$11:$A$1309,0)),INDEX('SKU明细'!$CB$11:$CB$1309,MATCH("B06-RG-41",'SKU明细'!$A$11:$A$1309,0)),INDEX('SKU明细'!$CB$11:$CB$1309,MATCH("B06-RG-42",'SKU明细'!$A$11:$A$1309,0))),"待核")</x:f>
        <x:v>4.284254900275065</x:v>
      </x:c>
      <x:c r="AB57" s="11" t="n">
        <x:f>INDEX('SKU明细'!$CC$11:$CC$1309,MATCH("B06-RG-37",'SKU明细'!$A$11:$A$1309,0))</x:f>
        <x:v>0.5511018253564084</x:v>
      </x:c>
      <x:c r="AC57" s="13" t="n">
        <x:f>IF(COUNT(INDEX('SKU明细'!$CE$11:$CE$1309,MATCH("B06-RG-37",'SKU明细'!$A$11:$A$1309,0)),INDEX('SKU明细'!$CE$11:$CE$1309,MATCH("B06-RG-37.5",'SKU明细'!$A$11:$A$1309,0)),INDEX('SKU明细'!$CE$11:$CE$1309,MATCH("B06-RG-38",'SKU明细'!$A$11:$A$1309,0)),INDEX('SKU明细'!$CE$11:$CE$1309,MATCH("B06-RG-39-N",'SKU明细'!$A$11:$A$1309,0)),INDEX('SKU明细'!$CE$11:$CE$1309,MATCH("B06-RG-39.5",'SKU明细'!$A$11:$A$1309,0)),INDEX('SKU明细'!$CE$11:$CE$1309,MATCH("B06-RG-40-N",'SKU明细'!$A$11:$A$1309,0)),INDEX('SKU明细'!$CE$11:$CE$1309,MATCH("B06-RG-40.5",'SKU明细'!$A$11:$A$1309,0)),INDEX('SKU明细'!$CE$11:$CE$1309,MATCH("B06-RG-41",'SKU明细'!$A$11:$A$1309,0)),INDEX('SKU明细'!$CE$11:$CE$1309,MATCH("B06-RG-42",'SKU明细'!$A$11:$A$1309,0)))=9,SUM(INDEX('SKU明细'!$CE$11:$CE$1309,MATCH("B06-RG-37",'SKU明细'!$A$11:$A$1309,0)),INDEX('SKU明细'!$CE$11:$CE$1309,MATCH("B06-RG-37.5",'SKU明细'!$A$11:$A$1309,0)),INDEX('SKU明细'!$CE$11:$CE$1309,MATCH("B06-RG-38",'SKU明细'!$A$11:$A$1309,0)),INDEX('SKU明细'!$CE$11:$CE$1309,MATCH("B06-RG-39-N",'SKU明细'!$A$11:$A$1309,0)),INDEX('SKU明细'!$CE$11:$CE$1309,MATCH("B06-RG-39.5",'SKU明细'!$A$11:$A$1309,0)),INDEX('SKU明细'!$CE$11:$CE$1309,MATCH("B06-RG-40-N",'SKU明细'!$A$11:$A$1309,0)),INDEX('SKU明细'!$CE$11:$CE$1309,MATCH("B06-RG-40.5",'SKU明细'!$A$11:$A$1309,0)),INDEX('SKU明细'!$CE$11:$CE$1309,MATCH("B06-RG-41",'SKU明细'!$A$11:$A$1309,0)),INDEX('SKU明细'!$CE$11:$CE$1309,MATCH("B06-RG-42",'SKU明细'!$A$11:$A$1309,0))),"待核")</x:f>
        <x:v>2.927944062068997</x:v>
      </x:c>
      <x:c r="AD57" s="11" t="n">
        <x:f>INDEX('SKU明细'!$CF$11:$CF$1309,MATCH("B06-RG-37",'SKU明细'!$A$11:$A$1309,0))</x:f>
        <x:v>1.0017220238758797</x:v>
      </x:c>
      <x:c r="AE57" s="13" t="n">
        <x:f>IF(COUNT(INDEX('SKU明细'!$CH$11:$CH$1309,MATCH("B06-RG-37",'SKU明细'!$A$11:$A$1309,0)),INDEX('SKU明细'!$CH$11:$CH$1309,MATCH("B06-RG-37.5",'SKU明细'!$A$11:$A$1309,0)),INDEX('SKU明细'!$CH$11:$CH$1309,MATCH("B06-RG-38",'SKU明细'!$A$11:$A$1309,0)),INDEX('SKU明细'!$CH$11:$CH$1309,MATCH("B06-RG-39-N",'SKU明细'!$A$11:$A$1309,0)),INDEX('SKU明细'!$CH$11:$CH$1309,MATCH("B06-RG-39.5",'SKU明细'!$A$11:$A$1309,0)),INDEX('SKU明细'!$CH$11:$CH$1309,MATCH("B06-RG-40-N",'SKU明细'!$A$11:$A$1309,0)),INDEX('SKU明细'!$CH$11:$CH$1309,MATCH("B06-RG-40.5",'SKU明细'!$A$11:$A$1309,0)),INDEX('SKU明细'!$CH$11:$CH$1309,MATCH("B06-RG-41",'SKU明细'!$A$11:$A$1309,0)),INDEX('SKU明细'!$CH$11:$CH$1309,MATCH("B06-RG-42",'SKU明细'!$A$11:$A$1309,0)))=9,SUM(INDEX('SKU明细'!$CH$11:$CH$1309,MATCH("B06-RG-37",'SKU明细'!$A$11:$A$1309,0)),INDEX('SKU明细'!$CH$11:$CH$1309,MATCH("B06-RG-37.5",'SKU明细'!$A$11:$A$1309,0)),INDEX('SKU明细'!$CH$11:$CH$1309,MATCH("B06-RG-38",'SKU明细'!$A$11:$A$1309,0)),INDEX('SKU明细'!$CH$11:$CH$1309,MATCH("B06-RG-39-N",'SKU明细'!$A$11:$A$1309,0)),INDEX('SKU明细'!$CH$11:$CH$1309,MATCH("B06-RG-39.5",'SKU明细'!$A$11:$A$1309,0)),INDEX('SKU明细'!$CH$11:$CH$1309,MATCH("B06-RG-40-N",'SKU明细'!$A$11:$A$1309,0)),INDEX('SKU明细'!$CH$11:$CH$1309,MATCH("B06-RG-40.5",'SKU明细'!$A$11:$A$1309,0)),INDEX('SKU明细'!$CH$11:$CH$1309,MATCH("B06-RG-41",'SKU明细'!$A$11:$A$1309,0)),INDEX('SKU明细'!$CH$11:$CH$1309,MATCH("B06-RG-42",'SKU明细'!$A$11:$A$1309,0))),"待核")</x:f>
        <x:v>2.9185381570891575</x:v>
      </x:c>
      <x:c r="AF57" s="13" t="n">
        <x:f>IF(COUNT(INDEX('SKU明细'!$CI$11:$CI$1309,MATCH("B06-RG-37",'SKU明细'!$A$11:$A$1309,0)),INDEX('SKU明细'!$CI$11:$CI$1309,MATCH("B06-RG-37.5",'SKU明细'!$A$11:$A$1309,0)),INDEX('SKU明细'!$CI$11:$CI$1309,MATCH("B06-RG-38",'SKU明细'!$A$11:$A$1309,0)),INDEX('SKU明细'!$CI$11:$CI$1309,MATCH("B06-RG-39-N",'SKU明细'!$A$11:$A$1309,0)),INDEX('SKU明细'!$CI$11:$CI$1309,MATCH("B06-RG-39.5",'SKU明细'!$A$11:$A$1309,0)),INDEX('SKU明细'!$CI$11:$CI$1309,MATCH("B06-RG-40-N",'SKU明细'!$A$11:$A$1309,0)),INDEX('SKU明细'!$CI$11:$CI$1309,MATCH("B06-RG-40.5",'SKU明细'!$A$11:$A$1309,0)),INDEX('SKU明细'!$CI$11:$CI$1309,MATCH("B06-RG-41",'SKU明细'!$A$11:$A$1309,0)),INDEX('SKU明细'!$CI$11:$CI$1309,MATCH("B06-RG-42",'SKU明细'!$A$11:$A$1309,0)))=9,SUM(INDEX('SKU明细'!$CI$11:$CI$1309,MATCH("B06-RG-37",'SKU明细'!$A$11:$A$1309,0)),INDEX('SKU明细'!$CI$11:$CI$1309,MATCH("B06-RG-37.5",'SKU明细'!$A$11:$A$1309,0)),INDEX('SKU明细'!$CI$11:$CI$1309,MATCH("B06-RG-38",'SKU明细'!$A$11:$A$1309,0)),INDEX('SKU明细'!$CI$11:$CI$1309,MATCH("B06-RG-39-N",'SKU明细'!$A$11:$A$1309,0)),INDEX('SKU明细'!$CI$11:$CI$1309,MATCH("B06-RG-39.5",'SKU明细'!$A$11:$A$1309,0)),INDEX('SKU明细'!$CI$11:$CI$1309,MATCH("B06-RG-40-N",'SKU明细'!$A$11:$A$1309,0)),INDEX('SKU明细'!$CI$11:$CI$1309,MATCH("B06-RG-40.5",'SKU明细'!$A$11:$A$1309,0)),INDEX('SKU明细'!$CI$11:$CI$1309,MATCH("B06-RG-41",'SKU明细'!$A$11:$A$1309,0)),INDEX('SKU明细'!$CI$11:$CI$1309,MATCH("B06-RG-42",'SKU明细'!$A$11:$A$1309,0))),"待核")</x:f>
        <x:v>12.649464885922294</x:v>
      </x:c>
    </x:row>
    <x:row r="58" ht="40" customHeight="1">
      <x:c r="A58" s="35" t="str">
        <x:v>B06</x:v>
      </x:c>
      <x:c r="B58" s="35" t="str">
        <x:v>艾年</x:v>
      </x:c>
      <x:c r="C58" s="35" t="str">
        <x:v>银色格利特</x:v>
      </x:c>
      <x:c r="D58" s="35" t="str">
        <x:v>SLG</x:v>
      </x:c>
      <x:c r="E58" s="35" t="str">
        <x:v>B06-SLG</x:v>
      </x:c>
      <x:c r="F58" s="35"/>
      <x:c r="G58" s="36" t="str">
        <x:f>"—"</x:f>
        <x:v>—</x:v>
      </x:c>
      <x:c r="H58" s="36" t="str">
        <x:f>"—"</x:f>
        <x:v>—</x:v>
      </x:c>
      <x:c r="I58" s="36" t="str">
        <x:f>"—"</x:f>
        <x:v>—</x:v>
      </x:c>
      <x:c r="J58" s="36" t="n">
        <x:f>IF(COUNT(INDEX('SKU明细'!$D$11:$D$1309,MATCH("B06-SLG-38",'SKU明细'!$A$11:$A$1309,0)))=0,"待核",IF(COUNT(INDEX('SKU明细'!$D$11:$D$1309,MATCH("B06-SLG-38",'SKU明细'!$A$11:$A$1309,0)))&lt;1,SUM(INDEX('SKU明细'!$D$11:$D$1309,MATCH("B06-SLG-38",'SKU明细'!$A$11:$A$1309,0)))&amp;" + 待核",SUM(INDEX('SKU明细'!$D$11:$D$1309,MATCH("B06-SLG-38",'SKU明细'!$A$11:$A$1309,0)))))</x:f>
        <x:v>0</x:v>
      </x:c>
      <x:c r="K58" s="36" t="n">
        <x:f>IF(COUNT(INDEX('SKU明细'!$D$11:$D$1309,MATCH("B06-SLG-38.5",'SKU明细'!$A$11:$A$1309,0)))=0,"待核",IF(COUNT(INDEX('SKU明细'!$D$11:$D$1309,MATCH("B06-SLG-38.5",'SKU明细'!$A$11:$A$1309,0)))&lt;1,SUM(INDEX('SKU明细'!$D$11:$D$1309,MATCH("B06-SLG-38.5",'SKU明细'!$A$11:$A$1309,0)))&amp;" + 待核",SUM(INDEX('SKU明细'!$D$11:$D$1309,MATCH("B06-SLG-38.5",'SKU明细'!$A$11:$A$1309,0)))))</x:f>
        <x:v>0</x:v>
      </x:c>
      <x:c r="L58" s="36" t="str">
        <x:f>"—"</x:f>
        <x:v>—</x:v>
      </x:c>
      <x:c r="M58" s="36" t="str">
        <x:f>"—"</x:f>
        <x:v>—</x:v>
      </x:c>
      <x:c r="N58" s="36" t="str">
        <x:f>"—"</x:f>
        <x:v>—</x:v>
      </x:c>
      <x:c r="O58" s="36" t="str">
        <x:f>"—"</x:f>
        <x:v>—</x:v>
      </x:c>
      <x:c r="P58" s="36" t="n">
        <x:f>IF(COUNT(INDEX('SKU明细'!$D$11:$D$1309,MATCH("B06-SLG-41",'SKU明细'!$A$11:$A$1309,0)))=0,"待核",IF(COUNT(INDEX('SKU明细'!$D$11:$D$1309,MATCH("B06-SLG-41",'SKU明细'!$A$11:$A$1309,0)))&lt;1,SUM(INDEX('SKU明细'!$D$11:$D$1309,MATCH("B06-SLG-41",'SKU明细'!$A$11:$A$1309,0)))&amp;" + 待核",SUM(INDEX('SKU明细'!$D$11:$D$1309,MATCH("B06-SLG-41",'SKU明细'!$A$11:$A$1309,0)))))</x:f>
        <x:v>0</x:v>
      </x:c>
      <x:c r="Q58" s="36" t="str">
        <x:f>"—"</x:f>
        <x:v>—</x:v>
      </x:c>
      <x:c r="R58" s="36" t="str">
        <x:f>"—"</x:f>
        <x:v>—</x:v>
      </x:c>
      <x:c r="S58" s="36" t="n">
        <x:f>IF(COUNT(INDEX('SKU明细'!$D$11:$D$1309,MATCH("B06-SLG-38",'SKU明细'!$A$11:$A$1309,0)),INDEX('SKU明细'!$D$11:$D$1309,MATCH("B06-SLG-38.5",'SKU明细'!$A$11:$A$1309,0)),INDEX('SKU明细'!$D$11:$D$1309,MATCH("B06-SLG-41",'SKU明细'!$A$11:$A$1309,0)))=0,"待核",SUM(INDEX('SKU明细'!$D$11:$D$1309,MATCH("B06-SLG-38",'SKU明细'!$A$11:$A$1309,0)),INDEX('SKU明细'!$D$11:$D$1309,MATCH("B06-SLG-38.5",'SKU明细'!$A$11:$A$1309,0)),INDEX('SKU明细'!$D$11:$D$1309,MATCH("B06-SLG-41",'SKU明细'!$A$11:$A$1309,0))))</x:f>
        <x:v>0</x:v>
      </x:c>
      <x:c r="T58" s="36" t="n">
        <x:f>IF(COUNTIFS($A$9:$A$191,A58,$U$9:$U$191,"&lt;&gt;待核")=0,"待核",SUMIF($A$9:$A$191,A58,$S$9:$S$191))</x:f>
        <x:v>613</x:v>
      </x:c>
      <x:c r="U58" s="35" t="str">
        <x:f>IF(COUNT(INDEX('SKU明细'!$D$11:$D$1309,MATCH("B06-SLG-38",'SKU明细'!$A$11:$A$1309,0)),INDEX('SKU明细'!$D$11:$D$1309,MATCH("B06-SLG-38.5",'SKU明细'!$A$11:$A$1309,0)),INDEX('SKU明细'!$D$11:$D$1309,MATCH("B06-SLG-41",'SKU明细'!$A$11:$A$1309,0)))=0,"待核",IF(COUNT(INDEX('SKU明细'!$D$11:$D$1309,MATCH("B06-SLG-38",'SKU明细'!$A$11:$A$1309,0)),INDEX('SKU明细'!$D$11:$D$1309,MATCH("B06-SLG-38.5",'SKU明细'!$A$11:$A$1309,0)),INDEX('SKU明细'!$D$11:$D$1309,MATCH("B06-SLG-41",'SKU明细'!$A$11:$A$1309,0)))&lt;3,"另有待核","已核"))</x:f>
        <x:v>已核</x:v>
      </x:c>
      <x:c r="V58" s="35" t="str">
        <x:v>停售</x:v>
      </x:c>
      <x:c r="W58" s="11" t="n">
        <x:f>IF(COUNT(INDEX('SKU明细'!$BV$11:$BV$1309,MATCH("B06-SLG-38",'SKU明细'!$A$11:$A$1309,0)),INDEX('SKU明细'!$BV$11:$BV$1309,MATCH("B06-SLG-38.5",'SKU明细'!$A$11:$A$1309,0)),INDEX('SKU明细'!$BV$11:$BV$1309,MATCH("B06-SLG-41",'SKU明细'!$A$11:$A$1309,0)))=3,SUM(INDEX('SKU明细'!$BV$11:$BV$1309,MATCH("B06-SLG-38",'SKU明细'!$A$11:$A$1309,0)),INDEX('SKU明细'!$BV$11:$BV$1309,MATCH("B06-SLG-38.5",'SKU明细'!$A$11:$A$1309,0)),INDEX('SKU明细'!$BV$11:$BV$1309,MATCH("B06-SLG-41",'SKU明细'!$A$11:$A$1309,0))),"待核")</x:f>
        <x:v>0</x:v>
      </x:c>
      <x:c r="X58" s="11" t="n">
        <x:f>INDEX('SKU明细'!$BW$11:$BW$1309,MATCH("B06-SLG-38",'SKU明细'!$A$11:$A$1309,0))</x:f>
        <x:v>1.2247029157699902</x:v>
      </x:c>
      <x:c r="Y58" s="13" t="n">
        <x:f>IF(COUNT(INDEX('SKU明细'!$BY$11:$BY$1309,MATCH("B06-SLG-38",'SKU明细'!$A$11:$A$1309,0)),INDEX('SKU明细'!$BY$11:$BY$1309,MATCH("B06-SLG-38.5",'SKU明细'!$A$11:$A$1309,0)),INDEX('SKU明细'!$BY$11:$BY$1309,MATCH("B06-SLG-41",'SKU明细'!$A$11:$A$1309,0)))=3,SUM(INDEX('SKU明细'!$BY$11:$BY$1309,MATCH("B06-SLG-38",'SKU明细'!$A$11:$A$1309,0)),INDEX('SKU明细'!$BY$11:$BY$1309,MATCH("B06-SLG-38.5",'SKU明细'!$A$11:$A$1309,0)),INDEX('SKU明细'!$BY$11:$BY$1309,MATCH("B06-SLG-41",'SKU明细'!$A$11:$A$1309,0))),"待核")</x:f>
        <x:v>0</x:v>
      </x:c>
      <x:c r="Z58" s="11" t="n">
        <x:f>INDEX('SKU明细'!$BZ$11:$BZ$1309,MATCH("B06-SLG-38",'SKU明细'!$A$11:$A$1309,0))</x:f>
        <x:v>0.8332682139098497</x:v>
      </x:c>
      <x:c r="AA58" s="13" t="n">
        <x:f>IF(COUNT(INDEX('SKU明细'!$CB$11:$CB$1309,MATCH("B06-SLG-38",'SKU明细'!$A$11:$A$1309,0)),INDEX('SKU明细'!$CB$11:$CB$1309,MATCH("B06-SLG-38.5",'SKU明细'!$A$11:$A$1309,0)),INDEX('SKU明细'!$CB$11:$CB$1309,MATCH("B06-SLG-41",'SKU明细'!$A$11:$A$1309,0)))=3,SUM(INDEX('SKU明细'!$CB$11:$CB$1309,MATCH("B06-SLG-38",'SKU明细'!$A$11:$A$1309,0)),INDEX('SKU明细'!$CB$11:$CB$1309,MATCH("B06-SLG-38.5",'SKU明细'!$A$11:$A$1309,0)),INDEX('SKU明细'!$CB$11:$CB$1309,MATCH("B06-SLG-41",'SKU明细'!$A$11:$A$1309,0))),"待核")</x:f>
        <x:v>0</x:v>
      </x:c>
      <x:c r="AB58" s="11" t="n">
        <x:f>INDEX('SKU明细'!$CC$11:$CC$1309,MATCH("B06-SLG-38",'SKU明细'!$A$11:$A$1309,0))</x:f>
        <x:v>0.5511018253564084</x:v>
      </x:c>
      <x:c r="AC58" s="13" t="n">
        <x:f>IF(COUNT(INDEX('SKU明细'!$CE$11:$CE$1309,MATCH("B06-SLG-38",'SKU明细'!$A$11:$A$1309,0)),INDEX('SKU明细'!$CE$11:$CE$1309,MATCH("B06-SLG-38.5",'SKU明细'!$A$11:$A$1309,0)),INDEX('SKU明细'!$CE$11:$CE$1309,MATCH("B06-SLG-41",'SKU明细'!$A$11:$A$1309,0)))=3,SUM(INDEX('SKU明细'!$CE$11:$CE$1309,MATCH("B06-SLG-38",'SKU明细'!$A$11:$A$1309,0)),INDEX('SKU明细'!$CE$11:$CE$1309,MATCH("B06-SLG-38.5",'SKU明细'!$A$11:$A$1309,0)),INDEX('SKU明细'!$CE$11:$CE$1309,MATCH("B06-SLG-41",'SKU明细'!$A$11:$A$1309,0))),"待核")</x:f>
        <x:v>0</x:v>
      </x:c>
      <x:c r="AD58" s="11" t="n">
        <x:f>INDEX('SKU明细'!$CF$11:$CF$1309,MATCH("B06-SLG-38",'SKU明细'!$A$11:$A$1309,0))</x:f>
        <x:v>1.0017220238758797</x:v>
      </x:c>
      <x:c r="AE58" s="13" t="n">
        <x:f>IF(COUNT(INDEX('SKU明细'!$CH$11:$CH$1309,MATCH("B06-SLG-38",'SKU明细'!$A$11:$A$1309,0)),INDEX('SKU明细'!$CH$11:$CH$1309,MATCH("B06-SLG-38.5",'SKU明细'!$A$11:$A$1309,0)),INDEX('SKU明细'!$CH$11:$CH$1309,MATCH("B06-SLG-41",'SKU明细'!$A$11:$A$1309,0)))=3,SUM(INDEX('SKU明细'!$CH$11:$CH$1309,MATCH("B06-SLG-38",'SKU明细'!$A$11:$A$1309,0)),INDEX('SKU明细'!$CH$11:$CH$1309,MATCH("B06-SLG-38.5",'SKU明细'!$A$11:$A$1309,0)),INDEX('SKU明细'!$CH$11:$CH$1309,MATCH("B06-SLG-41",'SKU明细'!$A$11:$A$1309,0))),"待核")</x:f>
        <x:v>0</x:v>
      </x:c>
      <x:c r="AF58" s="13" t="n">
        <x:f>IF(COUNT(INDEX('SKU明细'!$CI$11:$CI$1309,MATCH("B06-SLG-38",'SKU明细'!$A$11:$A$1309,0)),INDEX('SKU明细'!$CI$11:$CI$1309,MATCH("B06-SLG-38.5",'SKU明细'!$A$11:$A$1309,0)),INDEX('SKU明细'!$CI$11:$CI$1309,MATCH("B06-SLG-41",'SKU明细'!$A$11:$A$1309,0)))=3,SUM(INDEX('SKU明细'!$CI$11:$CI$1309,MATCH("B06-SLG-38",'SKU明细'!$A$11:$A$1309,0)),INDEX('SKU明细'!$CI$11:$CI$1309,MATCH("B06-SLG-38.5",'SKU明细'!$A$11:$A$1309,0)),INDEX('SKU明细'!$CI$11:$CI$1309,MATCH("B06-SLG-41",'SKU明细'!$A$11:$A$1309,0))),"待核")</x:f>
        <x:v>0</x:v>
      </x:c>
    </x:row>
    <x:row r="59" ht="40" customHeight="1">
      <x:c r="A59" s="35" t="str">
        <x:v>B06</x:v>
      </x:c>
      <x:c r="B59" s="35" t="str">
        <x:v>艾年</x:v>
      </x:c>
      <x:c r="C59" s="35" t="str">
        <x:v>蛇纹PU</x:v>
      </x:c>
      <x:c r="D59" s="35" t="str">
        <x:v>SP</x:v>
      </x:c>
      <x:c r="E59" s="35" t="str">
        <x:v>B06-SP</x:v>
      </x:c>
      <x:c r="F59" s="35"/>
      <x:c r="G59" s="36" t="str">
        <x:f>"—"</x:f>
        <x:v>—</x:v>
      </x:c>
      <x:c r="H59" s="36" t="n">
        <x:f>IF(COUNT(INDEX('SKU明细'!$D$11:$D$1309,MATCH("B06-SP-37",'SKU明细'!$A$11:$A$1309,0)))=0,"待核",IF(COUNT(INDEX('SKU明细'!$D$11:$D$1309,MATCH("B06-SP-37",'SKU明细'!$A$11:$A$1309,0)))&lt;1,SUM(INDEX('SKU明细'!$D$11:$D$1309,MATCH("B06-SP-37",'SKU明细'!$A$11:$A$1309,0)))&amp;" + 待核",SUM(INDEX('SKU明细'!$D$11:$D$1309,MATCH("B06-SP-37",'SKU明细'!$A$11:$A$1309,0)))))</x:f>
        <x:v>0</x:v>
      </x:c>
      <x:c r="I59" s="36" t="n">
        <x:f>IF(COUNT(INDEX('SKU明细'!$D$11:$D$1309,MATCH("B06-SP-37.5",'SKU明细'!$A$11:$A$1309,0)))=0,"待核",IF(COUNT(INDEX('SKU明细'!$D$11:$D$1309,MATCH("B06-SP-37.5",'SKU明细'!$A$11:$A$1309,0)))&lt;1,SUM(INDEX('SKU明细'!$D$11:$D$1309,MATCH("B06-SP-37.5",'SKU明细'!$A$11:$A$1309,0)))&amp;" + 待核",SUM(INDEX('SKU明细'!$D$11:$D$1309,MATCH("B06-SP-37.5",'SKU明细'!$A$11:$A$1309,0)))))</x:f>
        <x:v>7</x:v>
      </x:c>
      <x:c r="J59" s="36" t="n">
        <x:f>IF(COUNT(INDEX('SKU明细'!$D$11:$D$1309,MATCH("B06-SP-38",'SKU明细'!$A$11:$A$1309,0)))=0,"待核",IF(COUNT(INDEX('SKU明细'!$D$11:$D$1309,MATCH("B06-SP-38",'SKU明细'!$A$11:$A$1309,0)))&lt;1,SUM(INDEX('SKU明细'!$D$11:$D$1309,MATCH("B06-SP-38",'SKU明细'!$A$11:$A$1309,0)))&amp;" + 待核",SUM(INDEX('SKU明细'!$D$11:$D$1309,MATCH("B06-SP-38",'SKU明细'!$A$11:$A$1309,0)))))</x:f>
        <x:v>0</x:v>
      </x:c>
      <x:c r="K59" s="36" t="n">
        <x:f>IF(COUNT(INDEX('SKU明细'!$D$11:$D$1309,MATCH("B06-SP-38.5",'SKU明细'!$A$11:$A$1309,0)))=0,"待核",IF(COUNT(INDEX('SKU明细'!$D$11:$D$1309,MATCH("B06-SP-38.5",'SKU明细'!$A$11:$A$1309,0)))&lt;1,SUM(INDEX('SKU明细'!$D$11:$D$1309,MATCH("B06-SP-38.5",'SKU明细'!$A$11:$A$1309,0)))&amp;" + 待核",SUM(INDEX('SKU明细'!$D$11:$D$1309,MATCH("B06-SP-38.5",'SKU明细'!$A$11:$A$1309,0)))))</x:f>
        <x:v>0</x:v>
      </x:c>
      <x:c r="L59" s="36" t="n">
        <x:f>IF(COUNT(INDEX('SKU明细'!$D$11:$D$1309,MATCH("B06-SP-39",'SKU明细'!$A$11:$A$1309,0)))=0,"待核",IF(COUNT(INDEX('SKU明细'!$D$11:$D$1309,MATCH("B06-SP-39",'SKU明细'!$A$11:$A$1309,0)))&lt;1,SUM(INDEX('SKU明细'!$D$11:$D$1309,MATCH("B06-SP-39",'SKU明细'!$A$11:$A$1309,0)))&amp;" + 待核",SUM(INDEX('SKU明细'!$D$11:$D$1309,MATCH("B06-SP-39",'SKU明细'!$A$11:$A$1309,0)))))</x:f>
        <x:v>0</x:v>
      </x:c>
      <x:c r="M59" s="36" t="n">
        <x:f>IF(COUNT(INDEX('SKU明细'!$D$11:$D$1309,MATCH("B06-SP-39.5",'SKU明细'!$A$11:$A$1309,0)))=0,"待核",IF(COUNT(INDEX('SKU明细'!$D$11:$D$1309,MATCH("B06-SP-39.5",'SKU明细'!$A$11:$A$1309,0)))&lt;1,SUM(INDEX('SKU明细'!$D$11:$D$1309,MATCH("B06-SP-39.5",'SKU明细'!$A$11:$A$1309,0)))&amp;" + 待核",SUM(INDEX('SKU明细'!$D$11:$D$1309,MATCH("B06-SP-39.5",'SKU明细'!$A$11:$A$1309,0)))))</x:f>
        <x:v>12</x:v>
      </x:c>
      <x:c r="N59" s="36" t="n">
        <x:f>IF(COUNT(INDEX('SKU明细'!$D$11:$D$1309,MATCH("B06-SP-40",'SKU明细'!$A$11:$A$1309,0)))=0,"待核",IF(COUNT(INDEX('SKU明细'!$D$11:$D$1309,MATCH("B06-SP-40",'SKU明细'!$A$11:$A$1309,0)))&lt;1,SUM(INDEX('SKU明细'!$D$11:$D$1309,MATCH("B06-SP-40",'SKU明细'!$A$11:$A$1309,0)))&amp;" + 待核",SUM(INDEX('SKU明细'!$D$11:$D$1309,MATCH("B06-SP-40",'SKU明细'!$A$11:$A$1309,0)))))</x:f>
        <x:v>0</x:v>
      </x:c>
      <x:c r="O59" s="36" t="n">
        <x:f>IF(COUNT(INDEX('SKU明细'!$D$11:$D$1309,MATCH("B06-SP-40.5",'SKU明细'!$A$11:$A$1309,0)))=0,"待核",IF(COUNT(INDEX('SKU明细'!$D$11:$D$1309,MATCH("B06-SP-40.5",'SKU明细'!$A$11:$A$1309,0)))&lt;1,SUM(INDEX('SKU明细'!$D$11:$D$1309,MATCH("B06-SP-40.5",'SKU明细'!$A$11:$A$1309,0)))&amp;" + 待核",SUM(INDEX('SKU明细'!$D$11:$D$1309,MATCH("B06-SP-40.5",'SKU明细'!$A$11:$A$1309,0)))))</x:f>
        <x:v>4</x:v>
      </x:c>
      <x:c r="P59" s="36" t="n">
        <x:f>IF(COUNT(INDEX('SKU明细'!$D$11:$D$1309,MATCH("B06-SP-41",'SKU明细'!$A$11:$A$1309,0)))=0,"待核",IF(COUNT(INDEX('SKU明细'!$D$11:$D$1309,MATCH("B06-SP-41",'SKU明细'!$A$11:$A$1309,0)))&lt;1,SUM(INDEX('SKU明细'!$D$11:$D$1309,MATCH("B06-SP-41",'SKU明细'!$A$11:$A$1309,0)))&amp;" + 待核",SUM(INDEX('SKU明细'!$D$11:$D$1309,MATCH("B06-SP-41",'SKU明细'!$A$11:$A$1309,0)))))</x:f>
        <x:v>0</x:v>
      </x:c>
      <x:c r="Q59" s="36" t="str">
        <x:f>"—"</x:f>
        <x:v>—</x:v>
      </x:c>
      <x:c r="R59" s="36" t="n">
        <x:f>IF(COUNT(INDEX('SKU明细'!$D$11:$D$1309,MATCH("B06-SP-42",'SKU明细'!$A$11:$A$1309,0)))=0,"待核",IF(COUNT(INDEX('SKU明细'!$D$11:$D$1309,MATCH("B06-SP-42",'SKU明细'!$A$11:$A$1309,0)))&lt;1,SUM(INDEX('SKU明细'!$D$11:$D$1309,MATCH("B06-SP-42",'SKU明细'!$A$11:$A$1309,0)))&amp;" + 待核",SUM(INDEX('SKU明细'!$D$11:$D$1309,MATCH("B06-SP-42",'SKU明细'!$A$11:$A$1309,0)))))</x:f>
        <x:v>1</x:v>
      </x:c>
      <x:c r="S59" s="36" t="n">
        <x:f>IF(COUNT(INDEX('SKU明细'!$D$11:$D$1309,MATCH("B06-SP-37",'SKU明细'!$A$11:$A$1309,0)),INDEX('SKU明细'!$D$11:$D$1309,MATCH("B06-SP-37.5",'SKU明细'!$A$11:$A$1309,0)),INDEX('SKU明细'!$D$11:$D$1309,MATCH("B06-SP-38",'SKU明细'!$A$11:$A$1309,0)),INDEX('SKU明细'!$D$11:$D$1309,MATCH("B06-SP-38.5",'SKU明细'!$A$11:$A$1309,0)),INDEX('SKU明细'!$D$11:$D$1309,MATCH("B06-SP-39",'SKU明细'!$A$11:$A$1309,0)),INDEX('SKU明细'!$D$11:$D$1309,MATCH("B06-SP-39.5",'SKU明细'!$A$11:$A$1309,0)),INDEX('SKU明细'!$D$11:$D$1309,MATCH("B06-SP-40",'SKU明细'!$A$11:$A$1309,0)),INDEX('SKU明细'!$D$11:$D$1309,MATCH("B06-SP-40.5",'SKU明细'!$A$11:$A$1309,0)),INDEX('SKU明细'!$D$11:$D$1309,MATCH("B06-SP-41",'SKU明细'!$A$11:$A$1309,0)),INDEX('SKU明细'!$D$11:$D$1309,MATCH("B06-SP-42",'SKU明细'!$A$11:$A$1309,0)))=0,"待核",SUM(INDEX('SKU明细'!$D$11:$D$1309,MATCH("B06-SP-37",'SKU明细'!$A$11:$A$1309,0)),INDEX('SKU明细'!$D$11:$D$1309,MATCH("B06-SP-37.5",'SKU明细'!$A$11:$A$1309,0)),INDEX('SKU明细'!$D$11:$D$1309,MATCH("B06-SP-38",'SKU明细'!$A$11:$A$1309,0)),INDEX('SKU明细'!$D$11:$D$1309,MATCH("B06-SP-38.5",'SKU明细'!$A$11:$A$1309,0)),INDEX('SKU明细'!$D$11:$D$1309,MATCH("B06-SP-39",'SKU明细'!$A$11:$A$1309,0)),INDEX('SKU明细'!$D$11:$D$1309,MATCH("B06-SP-39.5",'SKU明细'!$A$11:$A$1309,0)),INDEX('SKU明细'!$D$11:$D$1309,MATCH("B06-SP-40",'SKU明细'!$A$11:$A$1309,0)),INDEX('SKU明细'!$D$11:$D$1309,MATCH("B06-SP-40.5",'SKU明细'!$A$11:$A$1309,0)),INDEX('SKU明细'!$D$11:$D$1309,MATCH("B06-SP-41",'SKU明细'!$A$11:$A$1309,0)),INDEX('SKU明细'!$D$11:$D$1309,MATCH("B06-SP-42",'SKU明细'!$A$11:$A$1309,0))))</x:f>
        <x:v>24</x:v>
      </x:c>
      <x:c r="T59" s="36" t="n">
        <x:f>IF(COUNTIFS($A$9:$A$191,A59,$U$9:$U$191,"&lt;&gt;待核")=0,"待核",SUMIF($A$9:$A$191,A59,$S$9:$S$191))</x:f>
        <x:v>613</x:v>
      </x:c>
      <x:c r="U59" s="35" t="str">
        <x:f>IF(COUNT(INDEX('SKU明细'!$D$11:$D$1309,MATCH("B06-SP-37",'SKU明细'!$A$11:$A$1309,0)),INDEX('SKU明细'!$D$11:$D$1309,MATCH("B06-SP-37.5",'SKU明细'!$A$11:$A$1309,0)),INDEX('SKU明细'!$D$11:$D$1309,MATCH("B06-SP-38",'SKU明细'!$A$11:$A$1309,0)),INDEX('SKU明细'!$D$11:$D$1309,MATCH("B06-SP-38.5",'SKU明细'!$A$11:$A$1309,0)),INDEX('SKU明细'!$D$11:$D$1309,MATCH("B06-SP-39",'SKU明细'!$A$11:$A$1309,0)),INDEX('SKU明细'!$D$11:$D$1309,MATCH("B06-SP-39.5",'SKU明细'!$A$11:$A$1309,0)),INDEX('SKU明细'!$D$11:$D$1309,MATCH("B06-SP-40",'SKU明细'!$A$11:$A$1309,0)),INDEX('SKU明细'!$D$11:$D$1309,MATCH("B06-SP-40.5",'SKU明细'!$A$11:$A$1309,0)),INDEX('SKU明细'!$D$11:$D$1309,MATCH("B06-SP-41",'SKU明细'!$A$11:$A$1309,0)),INDEX('SKU明细'!$D$11:$D$1309,MATCH("B06-SP-42",'SKU明细'!$A$11:$A$1309,0)))=0,"待核",IF(COUNT(INDEX('SKU明细'!$D$11:$D$1309,MATCH("B06-SP-37",'SKU明细'!$A$11:$A$1309,0)),INDEX('SKU明细'!$D$11:$D$1309,MATCH("B06-SP-37.5",'SKU明细'!$A$11:$A$1309,0)),INDEX('SKU明细'!$D$11:$D$1309,MATCH("B06-SP-38",'SKU明细'!$A$11:$A$1309,0)),INDEX('SKU明细'!$D$11:$D$1309,MATCH("B06-SP-38.5",'SKU明细'!$A$11:$A$1309,0)),INDEX('SKU明细'!$D$11:$D$1309,MATCH("B06-SP-39",'SKU明细'!$A$11:$A$1309,0)),INDEX('SKU明细'!$D$11:$D$1309,MATCH("B06-SP-39.5",'SKU明细'!$A$11:$A$1309,0)),INDEX('SKU明细'!$D$11:$D$1309,MATCH("B06-SP-40",'SKU明细'!$A$11:$A$1309,0)),INDEX('SKU明细'!$D$11:$D$1309,MATCH("B06-SP-40.5",'SKU明细'!$A$11:$A$1309,0)),INDEX('SKU明细'!$D$11:$D$1309,MATCH("B06-SP-41",'SKU明细'!$A$11:$A$1309,0)),INDEX('SKU明细'!$D$11:$D$1309,MATCH("B06-SP-42",'SKU明细'!$A$11:$A$1309,0)))&lt;10,"另有待核","已核"))</x:f>
        <x:v>已核</x:v>
      </x:c>
      <x:c r="V59" s="35" t="str">
        <x:v>在售、停售</x:v>
      </x:c>
      <x:c r="W59" s="11" t="n">
        <x:f>IF(COUNT(INDEX('SKU明细'!$BV$11:$BV$1309,MATCH("B06-SP-37",'SKU明细'!$A$11:$A$1309,0)),INDEX('SKU明细'!$BV$11:$BV$1309,MATCH("B06-SP-37.5",'SKU明细'!$A$11:$A$1309,0)),INDEX('SKU明细'!$BV$11:$BV$1309,MATCH("B06-SP-38",'SKU明细'!$A$11:$A$1309,0)),INDEX('SKU明细'!$BV$11:$BV$1309,MATCH("B06-SP-38.5",'SKU明细'!$A$11:$A$1309,0)),INDEX('SKU明细'!$BV$11:$BV$1309,MATCH("B06-SP-39",'SKU明细'!$A$11:$A$1309,0)),INDEX('SKU明细'!$BV$11:$BV$1309,MATCH("B06-SP-39.5",'SKU明细'!$A$11:$A$1309,0)),INDEX('SKU明细'!$BV$11:$BV$1309,MATCH("B06-SP-40",'SKU明细'!$A$11:$A$1309,0)),INDEX('SKU明细'!$BV$11:$BV$1309,MATCH("B06-SP-40.5",'SKU明细'!$A$11:$A$1309,0)),INDEX('SKU明细'!$BV$11:$BV$1309,MATCH("B06-SP-41",'SKU明细'!$A$11:$A$1309,0)),INDEX('SKU明细'!$BV$11:$BV$1309,MATCH("B06-SP-42",'SKU明细'!$A$11:$A$1309,0)))=10,SUM(INDEX('SKU明细'!$BV$11:$BV$1309,MATCH("B06-SP-37",'SKU明细'!$A$11:$A$1309,0)),INDEX('SKU明细'!$BV$11:$BV$1309,MATCH("B06-SP-37.5",'SKU明细'!$A$11:$A$1309,0)),INDEX('SKU明细'!$BV$11:$BV$1309,MATCH("B06-SP-38",'SKU明细'!$A$11:$A$1309,0)),INDEX('SKU明细'!$BV$11:$BV$1309,MATCH("B06-SP-38.5",'SKU明细'!$A$11:$A$1309,0)),INDEX('SKU明细'!$BV$11:$BV$1309,MATCH("B06-SP-39",'SKU明细'!$A$11:$A$1309,0)),INDEX('SKU明细'!$BV$11:$BV$1309,MATCH("B06-SP-39.5",'SKU明细'!$A$11:$A$1309,0)),INDEX('SKU明细'!$BV$11:$BV$1309,MATCH("B06-SP-40",'SKU明细'!$A$11:$A$1309,0)),INDEX('SKU明细'!$BV$11:$BV$1309,MATCH("B06-SP-40.5",'SKU明细'!$A$11:$A$1309,0)),INDEX('SKU明细'!$BV$11:$BV$1309,MATCH("B06-SP-41",'SKU明细'!$A$11:$A$1309,0)),INDEX('SKU明细'!$BV$11:$BV$1309,MATCH("B06-SP-42",'SKU明细'!$A$11:$A$1309,0))),"待核")</x:f>
        <x:v>0.9486156980046696</x:v>
      </x:c>
      <x:c r="X59" s="11" t="n">
        <x:f>INDEX('SKU明细'!$BW$11:$BW$1309,MATCH("B06-SP-37",'SKU明细'!$A$11:$A$1309,0))</x:f>
        <x:v>1.2247029157699902</x:v>
      </x:c>
      <x:c r="Y59" s="13" t="n">
        <x:f>IF(COUNT(INDEX('SKU明细'!$BY$11:$BY$1309,MATCH("B06-SP-37",'SKU明细'!$A$11:$A$1309,0)),INDEX('SKU明细'!$BY$11:$BY$1309,MATCH("B06-SP-37.5",'SKU明细'!$A$11:$A$1309,0)),INDEX('SKU明细'!$BY$11:$BY$1309,MATCH("B06-SP-38",'SKU明细'!$A$11:$A$1309,0)),INDEX('SKU明细'!$BY$11:$BY$1309,MATCH("B06-SP-38.5",'SKU明细'!$A$11:$A$1309,0)),INDEX('SKU明细'!$BY$11:$BY$1309,MATCH("B06-SP-39",'SKU明细'!$A$11:$A$1309,0)),INDEX('SKU明细'!$BY$11:$BY$1309,MATCH("B06-SP-39.5",'SKU明细'!$A$11:$A$1309,0)),INDEX('SKU明细'!$BY$11:$BY$1309,MATCH("B06-SP-40",'SKU明细'!$A$11:$A$1309,0)),INDEX('SKU明细'!$BY$11:$BY$1309,MATCH("B06-SP-40.5",'SKU明细'!$A$11:$A$1309,0)),INDEX('SKU明细'!$BY$11:$BY$1309,MATCH("B06-SP-41",'SKU明细'!$A$11:$A$1309,0)),INDEX('SKU明细'!$BY$11:$BY$1309,MATCH("B06-SP-42",'SKU明细'!$A$11:$A$1309,0)))=10,SUM(INDEX('SKU明细'!$BY$11:$BY$1309,MATCH("B06-SP-37",'SKU明细'!$A$11:$A$1309,0)),INDEX('SKU明细'!$BY$11:$BY$1309,MATCH("B06-SP-37.5",'SKU明细'!$A$11:$A$1309,0)),INDEX('SKU明细'!$BY$11:$BY$1309,MATCH("B06-SP-38",'SKU明细'!$A$11:$A$1309,0)),INDEX('SKU明细'!$BY$11:$BY$1309,MATCH("B06-SP-38.5",'SKU明细'!$A$11:$A$1309,0)),INDEX('SKU明细'!$BY$11:$BY$1309,MATCH("B06-SP-39",'SKU明细'!$A$11:$A$1309,0)),INDEX('SKU明细'!$BY$11:$BY$1309,MATCH("B06-SP-39.5",'SKU明细'!$A$11:$A$1309,0)),INDEX('SKU明细'!$BY$11:$BY$1309,MATCH("B06-SP-40",'SKU明细'!$A$11:$A$1309,0)),INDEX('SKU明细'!$BY$11:$BY$1309,MATCH("B06-SP-40.5",'SKU明细'!$A$11:$A$1309,0)),INDEX('SKU明细'!$BY$11:$BY$1309,MATCH("B06-SP-41",'SKU明细'!$A$11:$A$1309,0)),INDEX('SKU明细'!$BY$11:$BY$1309,MATCH("B06-SP-42",'SKU明细'!$A$11:$A$1309,0))),"待核")</x:f>
        <x:v>13.941268935498044</x:v>
      </x:c>
      <x:c r="Z59" s="11" t="n">
        <x:f>INDEX('SKU明细'!$BZ$11:$BZ$1309,MATCH("B06-SP-37",'SKU明细'!$A$11:$A$1309,0))</x:f>
        <x:v>0.8332682139098497</x:v>
      </x:c>
      <x:c r="AA59" s="13" t="n">
        <x:f>IF(COUNT(INDEX('SKU明细'!$CB$11:$CB$1309,MATCH("B06-SP-37",'SKU明细'!$A$11:$A$1309,0)),INDEX('SKU明细'!$CB$11:$CB$1309,MATCH("B06-SP-37.5",'SKU明细'!$A$11:$A$1309,0)),INDEX('SKU明细'!$CB$11:$CB$1309,MATCH("B06-SP-38",'SKU明细'!$A$11:$A$1309,0)),INDEX('SKU明细'!$CB$11:$CB$1309,MATCH("B06-SP-38.5",'SKU明细'!$A$11:$A$1309,0)),INDEX('SKU明细'!$CB$11:$CB$1309,MATCH("B06-SP-39",'SKU明细'!$A$11:$A$1309,0)),INDEX('SKU明细'!$CB$11:$CB$1309,MATCH("B06-SP-39.5",'SKU明细'!$A$11:$A$1309,0)),INDEX('SKU明细'!$CB$11:$CB$1309,MATCH("B06-SP-40",'SKU明细'!$A$11:$A$1309,0)),INDEX('SKU明细'!$CB$11:$CB$1309,MATCH("B06-SP-40.5",'SKU明细'!$A$11:$A$1309,0)),INDEX('SKU明细'!$CB$11:$CB$1309,MATCH("B06-SP-41",'SKU明细'!$A$11:$A$1309,0)),INDEX('SKU明细'!$CB$11:$CB$1309,MATCH("B06-SP-42",'SKU明细'!$A$11:$A$1309,0)))=10,SUM(INDEX('SKU明细'!$CB$11:$CB$1309,MATCH("B06-SP-37",'SKU明细'!$A$11:$A$1309,0)),INDEX('SKU明细'!$CB$11:$CB$1309,MATCH("B06-SP-37.5",'SKU明细'!$A$11:$A$1309,0)),INDEX('SKU明细'!$CB$11:$CB$1309,MATCH("B06-SP-38",'SKU明细'!$A$11:$A$1309,0)),INDEX('SKU明细'!$CB$11:$CB$1309,MATCH("B06-SP-38.5",'SKU明细'!$A$11:$A$1309,0)),INDEX('SKU明细'!$CB$11:$CB$1309,MATCH("B06-SP-39",'SKU明细'!$A$11:$A$1309,0)),INDEX('SKU明细'!$CB$11:$CB$1309,MATCH("B06-SP-39.5",'SKU明细'!$A$11:$A$1309,0)),INDEX('SKU明细'!$CB$11:$CB$1309,MATCH("B06-SP-40",'SKU明细'!$A$11:$A$1309,0)),INDEX('SKU明细'!$CB$11:$CB$1309,MATCH("B06-SP-40.5",'SKU明细'!$A$11:$A$1309,0)),INDEX('SKU明细'!$CB$11:$CB$1309,MATCH("B06-SP-41",'SKU明细'!$A$11:$A$1309,0)),INDEX('SKU明细'!$CB$11:$CB$1309,MATCH("B06-SP-42",'SKU明细'!$A$11:$A$1309,0))),"待核")</x:f>
        <x:v>23.71353925089589</x:v>
      </x:c>
      <x:c r="AB59" s="11" t="n">
        <x:f>INDEX('SKU明细'!$CC$11:$CC$1309,MATCH("B06-SP-37",'SKU明细'!$A$11:$A$1309,0))</x:f>
        <x:v>0.5511018253564084</x:v>
      </x:c>
      <x:c r="AC59" s="13" t="n">
        <x:f>IF(COUNT(INDEX('SKU明细'!$CE$11:$CE$1309,MATCH("B06-SP-37",'SKU明细'!$A$11:$A$1309,0)),INDEX('SKU明细'!$CE$11:$CE$1309,MATCH("B06-SP-37.5",'SKU明细'!$A$11:$A$1309,0)),INDEX('SKU明细'!$CE$11:$CE$1309,MATCH("B06-SP-38",'SKU明细'!$A$11:$A$1309,0)),INDEX('SKU明细'!$CE$11:$CE$1309,MATCH("B06-SP-38.5",'SKU明细'!$A$11:$A$1309,0)),INDEX('SKU明细'!$CE$11:$CE$1309,MATCH("B06-SP-39",'SKU明细'!$A$11:$A$1309,0)),INDEX('SKU明细'!$CE$11:$CE$1309,MATCH("B06-SP-39.5",'SKU明细'!$A$11:$A$1309,0)),INDEX('SKU明细'!$CE$11:$CE$1309,MATCH("B06-SP-40",'SKU明细'!$A$11:$A$1309,0)),INDEX('SKU明细'!$CE$11:$CE$1309,MATCH("B06-SP-40.5",'SKU明细'!$A$11:$A$1309,0)),INDEX('SKU明细'!$CE$11:$CE$1309,MATCH("B06-SP-41",'SKU明细'!$A$11:$A$1309,0)),INDEX('SKU明细'!$CE$11:$CE$1309,MATCH("B06-SP-42",'SKU明细'!$A$11:$A$1309,0)))=10,SUM(INDEX('SKU明细'!$CE$11:$CE$1309,MATCH("B06-SP-37",'SKU明细'!$A$11:$A$1309,0)),INDEX('SKU明细'!$CE$11:$CE$1309,MATCH("B06-SP-37.5",'SKU明细'!$A$11:$A$1309,0)),INDEX('SKU明细'!$CE$11:$CE$1309,MATCH("B06-SP-38",'SKU明细'!$A$11:$A$1309,0)),INDEX('SKU明细'!$CE$11:$CE$1309,MATCH("B06-SP-38.5",'SKU明细'!$A$11:$A$1309,0)),INDEX('SKU明细'!$CE$11:$CE$1309,MATCH("B06-SP-39",'SKU明细'!$A$11:$A$1309,0)),INDEX('SKU明细'!$CE$11:$CE$1309,MATCH("B06-SP-39.5",'SKU明细'!$A$11:$A$1309,0)),INDEX('SKU明细'!$CE$11:$CE$1309,MATCH("B06-SP-40",'SKU明细'!$A$11:$A$1309,0)),INDEX('SKU明细'!$CE$11:$CE$1309,MATCH("B06-SP-40.5",'SKU明细'!$A$11:$A$1309,0)),INDEX('SKU明细'!$CE$11:$CE$1309,MATCH("B06-SP-41",'SKU明细'!$A$11:$A$1309,0)),INDEX('SKU明细'!$CE$11:$CE$1309,MATCH("B06-SP-42",'SKU明细'!$A$11:$A$1309,0))),"待核")</x:f>
        <x:v>16.20629912469563</x:v>
      </x:c>
      <x:c r="AD59" s="11" t="n">
        <x:f>INDEX('SKU明细'!$CF$11:$CF$1309,MATCH("B06-SP-37",'SKU明细'!$A$11:$A$1309,0))</x:f>
        <x:v>1.0017220238758797</x:v>
      </x:c>
      <x:c r="AE59" s="13" t="n">
        <x:f>IF(COUNT(INDEX('SKU明细'!$CH$11:$CH$1309,MATCH("B06-SP-37",'SKU明细'!$A$11:$A$1309,0)),INDEX('SKU明细'!$CH$11:$CH$1309,MATCH("B06-SP-37.5",'SKU明细'!$A$11:$A$1309,0)),INDEX('SKU明细'!$CH$11:$CH$1309,MATCH("B06-SP-38",'SKU明细'!$A$11:$A$1309,0)),INDEX('SKU明细'!$CH$11:$CH$1309,MATCH("B06-SP-38.5",'SKU明细'!$A$11:$A$1309,0)),INDEX('SKU明细'!$CH$11:$CH$1309,MATCH("B06-SP-39",'SKU明细'!$A$11:$A$1309,0)),INDEX('SKU明细'!$CH$11:$CH$1309,MATCH("B06-SP-39.5",'SKU明细'!$A$11:$A$1309,0)),INDEX('SKU明细'!$CH$11:$CH$1309,MATCH("B06-SP-40",'SKU明细'!$A$11:$A$1309,0)),INDEX('SKU明细'!$CH$11:$CH$1309,MATCH("B06-SP-40.5",'SKU明细'!$A$11:$A$1309,0)),INDEX('SKU明细'!$CH$11:$CH$1309,MATCH("B06-SP-41",'SKU明细'!$A$11:$A$1309,0)),INDEX('SKU明细'!$CH$11:$CH$1309,MATCH("B06-SP-42",'SKU明细'!$A$11:$A$1309,0)))=10,SUM(INDEX('SKU明细'!$CH$11:$CH$1309,MATCH("B06-SP-37",'SKU明细'!$A$11:$A$1309,0)),INDEX('SKU明细'!$CH$11:$CH$1309,MATCH("B06-SP-37.5",'SKU明细'!$A$11:$A$1309,0)),INDEX('SKU明细'!$CH$11:$CH$1309,MATCH("B06-SP-38",'SKU明细'!$A$11:$A$1309,0)),INDEX('SKU明细'!$CH$11:$CH$1309,MATCH("B06-SP-38.5",'SKU明细'!$A$11:$A$1309,0)),INDEX('SKU明细'!$CH$11:$CH$1309,MATCH("B06-SP-39",'SKU明细'!$A$11:$A$1309,0)),INDEX('SKU明细'!$CH$11:$CH$1309,MATCH("B06-SP-39.5",'SKU明细'!$A$11:$A$1309,0)),INDEX('SKU明细'!$CH$11:$CH$1309,MATCH("B06-SP-40",'SKU明细'!$A$11:$A$1309,0)),INDEX('SKU明细'!$CH$11:$CH$1309,MATCH("B06-SP-40.5",'SKU明细'!$A$11:$A$1309,0)),INDEX('SKU明细'!$CH$11:$CH$1309,MATCH("B06-SP-41",'SKU明细'!$A$11:$A$1309,0)),INDEX('SKU明细'!$CH$11:$CH$1309,MATCH("B06-SP-42",'SKU明细'!$A$11:$A$1309,0))),"待核")</x:f>
        <x:v>16.154237027056357</x:v>
      </x:c>
      <x:c r="AF59" s="13" t="n">
        <x:f>IF(COUNT(INDEX('SKU明细'!$CI$11:$CI$1309,MATCH("B06-SP-37",'SKU明细'!$A$11:$A$1309,0)),INDEX('SKU明细'!$CI$11:$CI$1309,MATCH("B06-SP-37.5",'SKU明细'!$A$11:$A$1309,0)),INDEX('SKU明细'!$CI$11:$CI$1309,MATCH("B06-SP-38",'SKU明细'!$A$11:$A$1309,0)),INDEX('SKU明细'!$CI$11:$CI$1309,MATCH("B06-SP-38.5",'SKU明细'!$A$11:$A$1309,0)),INDEX('SKU明细'!$CI$11:$CI$1309,MATCH("B06-SP-39",'SKU明细'!$A$11:$A$1309,0)),INDEX('SKU明细'!$CI$11:$CI$1309,MATCH("B06-SP-39.5",'SKU明细'!$A$11:$A$1309,0)),INDEX('SKU明细'!$CI$11:$CI$1309,MATCH("B06-SP-40",'SKU明细'!$A$11:$A$1309,0)),INDEX('SKU明细'!$CI$11:$CI$1309,MATCH("B06-SP-40.5",'SKU明细'!$A$11:$A$1309,0)),INDEX('SKU明细'!$CI$11:$CI$1309,MATCH("B06-SP-41",'SKU明细'!$A$11:$A$1309,0)),INDEX('SKU明细'!$CI$11:$CI$1309,MATCH("B06-SP-42",'SKU明细'!$A$11:$A$1309,0)))=10,SUM(INDEX('SKU明细'!$CI$11:$CI$1309,MATCH("B06-SP-37",'SKU明细'!$A$11:$A$1309,0)),INDEX('SKU明细'!$CI$11:$CI$1309,MATCH("B06-SP-37.5",'SKU明细'!$A$11:$A$1309,0)),INDEX('SKU明细'!$CI$11:$CI$1309,MATCH("B06-SP-38",'SKU明细'!$A$11:$A$1309,0)),INDEX('SKU明细'!$CI$11:$CI$1309,MATCH("B06-SP-38.5",'SKU明细'!$A$11:$A$1309,0)),INDEX('SKU明细'!$CI$11:$CI$1309,MATCH("B06-SP-39",'SKU明细'!$A$11:$A$1309,0)),INDEX('SKU明细'!$CI$11:$CI$1309,MATCH("B06-SP-39.5",'SKU明细'!$A$11:$A$1309,0)),INDEX('SKU明细'!$CI$11:$CI$1309,MATCH("B06-SP-40",'SKU明细'!$A$11:$A$1309,0)),INDEX('SKU明细'!$CI$11:$CI$1309,MATCH("B06-SP-40.5",'SKU明细'!$A$11:$A$1309,0)),INDEX('SKU明细'!$CI$11:$CI$1309,MATCH("B06-SP-41",'SKU明细'!$A$11:$A$1309,0)),INDEX('SKU明细'!$CI$11:$CI$1309,MATCH("B06-SP-42",'SKU明细'!$A$11:$A$1309,0))),"待核")</x:f>
        <x:v>70.01534433814594</x:v>
      </x:c>
    </x:row>
    <x:row r="60" ht="40" customHeight="1">
      <x:c r="A60" s="35" t="str">
        <x:v>B06</x:v>
      </x:c>
      <x:c r="B60" s="35" t="str">
        <x:v>艾年</x:v>
      </x:c>
      <x:c r="C60" s="35" t="str">
        <x:v>驼色羊京绒</x:v>
      </x:c>
      <x:c r="D60" s="35" t="str">
        <x:v>TN</x:v>
      </x:c>
      <x:c r="E60" s="35" t="str">
        <x:v>B06-TN</x:v>
      </x:c>
      <x:c r="F60" s="35"/>
      <x:c r="G60" s="36" t="str">
        <x:f>"—"</x:f>
        <x:v>—</x:v>
      </x:c>
      <x:c r="H60" s="36" t="n">
        <x:f>IF(COUNT(INDEX('SKU明细'!$D$11:$D$1309,MATCH("B06-TN-37",'SKU明细'!$A$11:$A$1309,0)))=0,"待核",IF(COUNT(INDEX('SKU明细'!$D$11:$D$1309,MATCH("B06-TN-37",'SKU明细'!$A$11:$A$1309,0)))&lt;1,SUM(INDEX('SKU明细'!$D$11:$D$1309,MATCH("B06-TN-37",'SKU明细'!$A$11:$A$1309,0)))&amp;" + 待核",SUM(INDEX('SKU明细'!$D$11:$D$1309,MATCH("B06-TN-37",'SKU明细'!$A$11:$A$1309,0)))))</x:f>
        <x:v>0</x:v>
      </x:c>
      <x:c r="I60" s="36" t="n">
        <x:f>IF(COUNT(INDEX('SKU明细'!$D$11:$D$1309,MATCH("B06-TN-37.5",'SKU明细'!$A$11:$A$1309,0)))=0,"待核",IF(COUNT(INDEX('SKU明细'!$D$11:$D$1309,MATCH("B06-TN-37.5",'SKU明细'!$A$11:$A$1309,0)))&lt;1,SUM(INDEX('SKU明细'!$D$11:$D$1309,MATCH("B06-TN-37.5",'SKU明细'!$A$11:$A$1309,0)))&amp;" + 待核",SUM(INDEX('SKU明细'!$D$11:$D$1309,MATCH("B06-TN-37.5",'SKU明细'!$A$11:$A$1309,0)))))</x:f>
        <x:v>0</x:v>
      </x:c>
      <x:c r="J60" s="36" t="n">
        <x:f>IF(COUNT(INDEX('SKU明细'!$D$11:$D$1309,MATCH("B06-TN-38-N",'SKU明细'!$A$11:$A$1309,0)))=0,"待核",IF(COUNT(INDEX('SKU明细'!$D$11:$D$1309,MATCH("B06-TN-38-N",'SKU明细'!$A$11:$A$1309,0)))&lt;1,SUM(INDEX('SKU明细'!$D$11:$D$1309,MATCH("B06-TN-38-N",'SKU明细'!$A$11:$A$1309,0)))&amp;" + 待核",SUM(INDEX('SKU明细'!$D$11:$D$1309,MATCH("B06-TN-38-N",'SKU明细'!$A$11:$A$1309,0)))))</x:f>
        <x:v>0</x:v>
      </x:c>
      <x:c r="K60" s="36" t="n">
        <x:f>IF(COUNT(INDEX('SKU明细'!$D$11:$D$1309,MATCH("B06-TN-38.5",'SKU明细'!$A$11:$A$1309,0)))=0,"待核",IF(COUNT(INDEX('SKU明细'!$D$11:$D$1309,MATCH("B06-TN-38.5",'SKU明细'!$A$11:$A$1309,0)))&lt;1,SUM(INDEX('SKU明细'!$D$11:$D$1309,MATCH("B06-TN-38.5",'SKU明细'!$A$11:$A$1309,0)))&amp;" + 待核",SUM(INDEX('SKU明细'!$D$11:$D$1309,MATCH("B06-TN-38.5",'SKU明细'!$A$11:$A$1309,0)))))</x:f>
        <x:v>0</x:v>
      </x:c>
      <x:c r="L60" s="36" t="n">
        <x:f>IF(COUNT(INDEX('SKU明细'!$D$11:$D$1309,MATCH("B06-TN-39-N",'SKU明细'!$A$11:$A$1309,0)))=0,"待核",IF(COUNT(INDEX('SKU明细'!$D$11:$D$1309,MATCH("B06-TN-39-N",'SKU明细'!$A$11:$A$1309,0)))&lt;1,SUM(INDEX('SKU明细'!$D$11:$D$1309,MATCH("B06-TN-39-N",'SKU明细'!$A$11:$A$1309,0)))&amp;" + 待核",SUM(INDEX('SKU明细'!$D$11:$D$1309,MATCH("B06-TN-39-N",'SKU明细'!$A$11:$A$1309,0)))))</x:f>
        <x:v>0</x:v>
      </x:c>
      <x:c r="M60" s="36" t="n">
        <x:f>IF(COUNT(INDEX('SKU明细'!$D$11:$D$1309,MATCH("B06-TN-39.5",'SKU明细'!$A$11:$A$1309,0)))=0,"待核",IF(COUNT(INDEX('SKU明细'!$D$11:$D$1309,MATCH("B06-TN-39.5",'SKU明细'!$A$11:$A$1309,0)))&lt;1,SUM(INDEX('SKU明细'!$D$11:$D$1309,MATCH("B06-TN-39.5",'SKU明细'!$A$11:$A$1309,0)))&amp;" + 待核",SUM(INDEX('SKU明细'!$D$11:$D$1309,MATCH("B06-TN-39.5",'SKU明细'!$A$11:$A$1309,0)))))</x:f>
        <x:v>0</x:v>
      </x:c>
      <x:c r="N60" s="36" t="n">
        <x:f>IF(COUNT(INDEX('SKU明细'!$D$11:$D$1309,MATCH("B06-TN-40-N",'SKU明细'!$A$11:$A$1309,0)))=0,"待核",IF(COUNT(INDEX('SKU明细'!$D$11:$D$1309,MATCH("B06-TN-40-N",'SKU明细'!$A$11:$A$1309,0)))&lt;1,SUM(INDEX('SKU明细'!$D$11:$D$1309,MATCH("B06-TN-40-N",'SKU明细'!$A$11:$A$1309,0)))&amp;" + 待核",SUM(INDEX('SKU明细'!$D$11:$D$1309,MATCH("B06-TN-40-N",'SKU明细'!$A$11:$A$1309,0)))))</x:f>
        <x:v>0</x:v>
      </x:c>
      <x:c r="O60" s="36" t="n">
        <x:f>IF(COUNT(INDEX('SKU明细'!$D$11:$D$1309,MATCH("B06-TN-40.5",'SKU明细'!$A$11:$A$1309,0)))=0,"待核",IF(COUNT(INDEX('SKU明细'!$D$11:$D$1309,MATCH("B06-TN-40.5",'SKU明细'!$A$11:$A$1309,0)))&lt;1,SUM(INDEX('SKU明细'!$D$11:$D$1309,MATCH("B06-TN-40.5",'SKU明细'!$A$11:$A$1309,0)))&amp;" + 待核",SUM(INDEX('SKU明细'!$D$11:$D$1309,MATCH("B06-TN-40.5",'SKU明细'!$A$11:$A$1309,0)))))</x:f>
        <x:v>0</x:v>
      </x:c>
      <x:c r="P60" s="36" t="n">
        <x:f>IF(COUNT(INDEX('SKU明细'!$D$11:$D$1309,MATCH("B06-TN-41-N",'SKU明细'!$A$11:$A$1309,0)))=0,"待核",IF(COUNT(INDEX('SKU明细'!$D$11:$D$1309,MATCH("B06-TN-41-N",'SKU明细'!$A$11:$A$1309,0)))&lt;1,SUM(INDEX('SKU明细'!$D$11:$D$1309,MATCH("B06-TN-41-N",'SKU明细'!$A$11:$A$1309,0)))&amp;" + 待核",SUM(INDEX('SKU明细'!$D$11:$D$1309,MATCH("B06-TN-41-N",'SKU明细'!$A$11:$A$1309,0)))))</x:f>
        <x:v>0</x:v>
      </x:c>
      <x:c r="Q60" s="36" t="n">
        <x:f>IF(COUNT(INDEX('SKU明细'!$D$11:$D$1309,MATCH("B06-TN-41.5",'SKU明细'!$A$11:$A$1309,0)))=0,"待核",IF(COUNT(INDEX('SKU明细'!$D$11:$D$1309,MATCH("B06-TN-41.5",'SKU明细'!$A$11:$A$1309,0)))&lt;1,SUM(INDEX('SKU明细'!$D$11:$D$1309,MATCH("B06-TN-41.5",'SKU明细'!$A$11:$A$1309,0)))&amp;" + 待核",SUM(INDEX('SKU明细'!$D$11:$D$1309,MATCH("B06-TN-41.5",'SKU明细'!$A$11:$A$1309,0)))))</x:f>
        <x:v>0</x:v>
      </x:c>
      <x:c r="R60" s="36" t="n">
        <x:f>IF(COUNT(INDEX('SKU明细'!$D$11:$D$1309,MATCH("B06-TN-42-N",'SKU明细'!$A$11:$A$1309,0)))=0,"待核",IF(COUNT(INDEX('SKU明细'!$D$11:$D$1309,MATCH("B06-TN-42-N",'SKU明细'!$A$11:$A$1309,0)))&lt;1,SUM(INDEX('SKU明细'!$D$11:$D$1309,MATCH("B06-TN-42-N",'SKU明细'!$A$11:$A$1309,0)))&amp;" + 待核",SUM(INDEX('SKU明细'!$D$11:$D$1309,MATCH("B06-TN-42-N",'SKU明细'!$A$11:$A$1309,0)))))</x:f>
        <x:v>0</x:v>
      </x:c>
      <x:c r="S60" s="36" t="n">
        <x:f>IF(COUNT(INDEX('SKU明细'!$D$11:$D$1309,MATCH("B06-TN-37",'SKU明细'!$A$11:$A$1309,0)),INDEX('SKU明细'!$D$11:$D$1309,MATCH("B06-TN-37.5",'SKU明细'!$A$11:$A$1309,0)),INDEX('SKU明细'!$D$11:$D$1309,MATCH("B06-TN-38-N",'SKU明细'!$A$11:$A$1309,0)),INDEX('SKU明细'!$D$11:$D$1309,MATCH("B06-TN-38.5",'SKU明细'!$A$11:$A$1309,0)),INDEX('SKU明细'!$D$11:$D$1309,MATCH("B06-TN-39-N",'SKU明细'!$A$11:$A$1309,0)),INDEX('SKU明细'!$D$11:$D$1309,MATCH("B06-TN-39.5",'SKU明细'!$A$11:$A$1309,0)),INDEX('SKU明细'!$D$11:$D$1309,MATCH("B06-TN-40-N",'SKU明细'!$A$11:$A$1309,0)),INDEX('SKU明细'!$D$11:$D$1309,MATCH("B06-TN-40.5",'SKU明细'!$A$11:$A$1309,0)),INDEX('SKU明细'!$D$11:$D$1309,MATCH("B06-TN-41-N",'SKU明细'!$A$11:$A$1309,0)),INDEX('SKU明细'!$D$11:$D$1309,MATCH("B06-TN-41.5",'SKU明细'!$A$11:$A$1309,0)),INDEX('SKU明细'!$D$11:$D$1309,MATCH("B06-TN-42-N",'SKU明细'!$A$11:$A$1309,0)))=0,"待核",SUM(INDEX('SKU明细'!$D$11:$D$1309,MATCH("B06-TN-37",'SKU明细'!$A$11:$A$1309,0)),INDEX('SKU明细'!$D$11:$D$1309,MATCH("B06-TN-37.5",'SKU明细'!$A$11:$A$1309,0)),INDEX('SKU明细'!$D$11:$D$1309,MATCH("B06-TN-38-N",'SKU明细'!$A$11:$A$1309,0)),INDEX('SKU明细'!$D$11:$D$1309,MATCH("B06-TN-38.5",'SKU明细'!$A$11:$A$1309,0)),INDEX('SKU明细'!$D$11:$D$1309,MATCH("B06-TN-39-N",'SKU明细'!$A$11:$A$1309,0)),INDEX('SKU明细'!$D$11:$D$1309,MATCH("B06-TN-39.5",'SKU明细'!$A$11:$A$1309,0)),INDEX('SKU明细'!$D$11:$D$1309,MATCH("B06-TN-40-N",'SKU明细'!$A$11:$A$1309,0)),INDEX('SKU明细'!$D$11:$D$1309,MATCH("B06-TN-40.5",'SKU明细'!$A$11:$A$1309,0)),INDEX('SKU明细'!$D$11:$D$1309,MATCH("B06-TN-41-N",'SKU明细'!$A$11:$A$1309,0)),INDEX('SKU明细'!$D$11:$D$1309,MATCH("B06-TN-41.5",'SKU明细'!$A$11:$A$1309,0)),INDEX('SKU明细'!$D$11:$D$1309,MATCH("B06-TN-42-N",'SKU明细'!$A$11:$A$1309,0))))</x:f>
        <x:v>0</x:v>
      </x:c>
      <x:c r="T60" s="36" t="n">
        <x:f>IF(COUNTIFS($A$9:$A$191,A60,$U$9:$U$191,"&lt;&gt;待核")=0,"待核",SUMIF($A$9:$A$191,A60,$S$9:$S$191))</x:f>
        <x:v>613</x:v>
      </x:c>
      <x:c r="U60" s="35" t="str">
        <x:f>IF(COUNT(INDEX('SKU明细'!$D$11:$D$1309,MATCH("B06-TN-37",'SKU明细'!$A$11:$A$1309,0)),INDEX('SKU明细'!$D$11:$D$1309,MATCH("B06-TN-37.5",'SKU明细'!$A$11:$A$1309,0)),INDEX('SKU明细'!$D$11:$D$1309,MATCH("B06-TN-38-N",'SKU明细'!$A$11:$A$1309,0)),INDEX('SKU明细'!$D$11:$D$1309,MATCH("B06-TN-38.5",'SKU明细'!$A$11:$A$1309,0)),INDEX('SKU明细'!$D$11:$D$1309,MATCH("B06-TN-39-N",'SKU明细'!$A$11:$A$1309,0)),INDEX('SKU明细'!$D$11:$D$1309,MATCH("B06-TN-39.5",'SKU明细'!$A$11:$A$1309,0)),INDEX('SKU明细'!$D$11:$D$1309,MATCH("B06-TN-40-N",'SKU明细'!$A$11:$A$1309,0)),INDEX('SKU明细'!$D$11:$D$1309,MATCH("B06-TN-40.5",'SKU明细'!$A$11:$A$1309,0)),INDEX('SKU明细'!$D$11:$D$1309,MATCH("B06-TN-41-N",'SKU明细'!$A$11:$A$1309,0)),INDEX('SKU明细'!$D$11:$D$1309,MATCH("B06-TN-41.5",'SKU明细'!$A$11:$A$1309,0)),INDEX('SKU明细'!$D$11:$D$1309,MATCH("B06-TN-42-N",'SKU明细'!$A$11:$A$1309,0)))=0,"待核",IF(COUNT(INDEX('SKU明细'!$D$11:$D$1309,MATCH("B06-TN-37",'SKU明细'!$A$11:$A$1309,0)),INDEX('SKU明细'!$D$11:$D$1309,MATCH("B06-TN-37.5",'SKU明细'!$A$11:$A$1309,0)),INDEX('SKU明细'!$D$11:$D$1309,MATCH("B06-TN-38-N",'SKU明细'!$A$11:$A$1309,0)),INDEX('SKU明细'!$D$11:$D$1309,MATCH("B06-TN-38.5",'SKU明细'!$A$11:$A$1309,0)),INDEX('SKU明细'!$D$11:$D$1309,MATCH("B06-TN-39-N",'SKU明细'!$A$11:$A$1309,0)),INDEX('SKU明细'!$D$11:$D$1309,MATCH("B06-TN-39.5",'SKU明细'!$A$11:$A$1309,0)),INDEX('SKU明细'!$D$11:$D$1309,MATCH("B06-TN-40-N",'SKU明细'!$A$11:$A$1309,0)),INDEX('SKU明细'!$D$11:$D$1309,MATCH("B06-TN-40.5",'SKU明细'!$A$11:$A$1309,0)),INDEX('SKU明细'!$D$11:$D$1309,MATCH("B06-TN-41-N",'SKU明细'!$A$11:$A$1309,0)),INDEX('SKU明细'!$D$11:$D$1309,MATCH("B06-TN-41.5",'SKU明细'!$A$11:$A$1309,0)),INDEX('SKU明细'!$D$11:$D$1309,MATCH("B06-TN-42-N",'SKU明细'!$A$11:$A$1309,0)))&lt;11,"另有待核","已核"))</x:f>
        <x:v>已核</x:v>
      </x:c>
      <x:c r="V60" s="35" t="str">
        <x:v>在售</x:v>
      </x:c>
      <x:c r="W60" s="11" t="n">
        <x:f>IF(COUNT(INDEX('SKU明细'!$BV$11:$BV$1309,MATCH("B06-TN-37",'SKU明细'!$A$11:$A$1309,0)),INDEX('SKU明细'!$BV$11:$BV$1309,MATCH("B06-TN-37.5",'SKU明细'!$A$11:$A$1309,0)),INDEX('SKU明细'!$BV$11:$BV$1309,MATCH("B06-TN-38-N",'SKU明细'!$A$11:$A$1309,0)),INDEX('SKU明细'!$BV$11:$BV$1309,MATCH("B06-TN-38.5",'SKU明细'!$A$11:$A$1309,0)),INDEX('SKU明细'!$BV$11:$BV$1309,MATCH("B06-TN-39-N",'SKU明细'!$A$11:$A$1309,0)),INDEX('SKU明细'!$BV$11:$BV$1309,MATCH("B06-TN-39.5",'SKU明细'!$A$11:$A$1309,0)),INDEX('SKU明细'!$BV$11:$BV$1309,MATCH("B06-TN-40-N",'SKU明细'!$A$11:$A$1309,0)),INDEX('SKU明细'!$BV$11:$BV$1309,MATCH("B06-TN-40.5",'SKU明细'!$A$11:$A$1309,0)),INDEX('SKU明细'!$BV$11:$BV$1309,MATCH("B06-TN-41-N",'SKU明细'!$A$11:$A$1309,0)),INDEX('SKU明细'!$BV$11:$BV$1309,MATCH("B06-TN-41.5",'SKU明细'!$A$11:$A$1309,0)),INDEX('SKU明细'!$BV$11:$BV$1309,MATCH("B06-TN-42-N",'SKU明细'!$A$11:$A$1309,0)))=11,SUM(INDEX('SKU明细'!$BV$11:$BV$1309,MATCH("B06-TN-37",'SKU明细'!$A$11:$A$1309,0)),INDEX('SKU明细'!$BV$11:$BV$1309,MATCH("B06-TN-37.5",'SKU明细'!$A$11:$A$1309,0)),INDEX('SKU明细'!$BV$11:$BV$1309,MATCH("B06-TN-38-N",'SKU明细'!$A$11:$A$1309,0)),INDEX('SKU明细'!$BV$11:$BV$1309,MATCH("B06-TN-38.5",'SKU明细'!$A$11:$A$1309,0)),INDEX('SKU明细'!$BV$11:$BV$1309,MATCH("B06-TN-39-N",'SKU明细'!$A$11:$A$1309,0)),INDEX('SKU明细'!$BV$11:$BV$1309,MATCH("B06-TN-39.5",'SKU明细'!$A$11:$A$1309,0)),INDEX('SKU明细'!$BV$11:$BV$1309,MATCH("B06-TN-40-N",'SKU明细'!$A$11:$A$1309,0)),INDEX('SKU明细'!$BV$11:$BV$1309,MATCH("B06-TN-40.5",'SKU明细'!$A$11:$A$1309,0)),INDEX('SKU明细'!$BV$11:$BV$1309,MATCH("B06-TN-41-N",'SKU明细'!$A$11:$A$1309,0)),INDEX('SKU明细'!$BV$11:$BV$1309,MATCH("B06-TN-41.5",'SKU明细'!$A$11:$A$1309,0)),INDEX('SKU明细'!$BV$11:$BV$1309,MATCH("B06-TN-42-N",'SKU明细'!$A$11:$A$1309,0))),"待核")</x:f>
        <x:v>1.8230945493885913</x:v>
      </x:c>
      <x:c r="X60" s="11" t="n">
        <x:f>INDEX('SKU明细'!$BW$11:$BW$1309,MATCH("B06-TN-37",'SKU明细'!$A$11:$A$1309,0))</x:f>
        <x:v>1.2247029157699902</x:v>
      </x:c>
      <x:c r="Y60" s="13" t="n">
        <x:f>IF(COUNT(INDEX('SKU明细'!$BY$11:$BY$1309,MATCH("B06-TN-37",'SKU明细'!$A$11:$A$1309,0)),INDEX('SKU明细'!$BY$11:$BY$1309,MATCH("B06-TN-37.5",'SKU明细'!$A$11:$A$1309,0)),INDEX('SKU明细'!$BY$11:$BY$1309,MATCH("B06-TN-38-N",'SKU明细'!$A$11:$A$1309,0)),INDEX('SKU明细'!$BY$11:$BY$1309,MATCH("B06-TN-38.5",'SKU明细'!$A$11:$A$1309,0)),INDEX('SKU明细'!$BY$11:$BY$1309,MATCH("B06-TN-39-N",'SKU明细'!$A$11:$A$1309,0)),INDEX('SKU明细'!$BY$11:$BY$1309,MATCH("B06-TN-39.5",'SKU明细'!$A$11:$A$1309,0)),INDEX('SKU明细'!$BY$11:$BY$1309,MATCH("B06-TN-40-N",'SKU明细'!$A$11:$A$1309,0)),INDEX('SKU明细'!$BY$11:$BY$1309,MATCH("B06-TN-40.5",'SKU明细'!$A$11:$A$1309,0)),INDEX('SKU明细'!$BY$11:$BY$1309,MATCH("B06-TN-41-N",'SKU明细'!$A$11:$A$1309,0)),INDEX('SKU明细'!$BY$11:$BY$1309,MATCH("B06-TN-41.5",'SKU明细'!$A$11:$A$1309,0)),INDEX('SKU明细'!$BY$11:$BY$1309,MATCH("B06-TN-42-N",'SKU明细'!$A$11:$A$1309,0)))=11,SUM(INDEX('SKU明细'!$BY$11:$BY$1309,MATCH("B06-TN-37",'SKU明细'!$A$11:$A$1309,0)),INDEX('SKU明细'!$BY$11:$BY$1309,MATCH("B06-TN-37.5",'SKU明细'!$A$11:$A$1309,0)),INDEX('SKU明细'!$BY$11:$BY$1309,MATCH("B06-TN-38-N",'SKU明细'!$A$11:$A$1309,0)),INDEX('SKU明细'!$BY$11:$BY$1309,MATCH("B06-TN-38.5",'SKU明细'!$A$11:$A$1309,0)),INDEX('SKU明细'!$BY$11:$BY$1309,MATCH("B06-TN-39-N",'SKU明细'!$A$11:$A$1309,0)),INDEX('SKU明细'!$BY$11:$BY$1309,MATCH("B06-TN-39.5",'SKU明细'!$A$11:$A$1309,0)),INDEX('SKU明细'!$BY$11:$BY$1309,MATCH("B06-TN-40-N",'SKU明细'!$A$11:$A$1309,0)),INDEX('SKU明细'!$BY$11:$BY$1309,MATCH("B06-TN-40.5",'SKU明细'!$A$11:$A$1309,0)),INDEX('SKU明细'!$BY$11:$BY$1309,MATCH("B06-TN-41-N",'SKU明细'!$A$11:$A$1309,0)),INDEX('SKU明细'!$BY$11:$BY$1309,MATCH("B06-TN-41.5",'SKU明细'!$A$11:$A$1309,0)),INDEX('SKU明细'!$BY$11:$BY$1309,MATCH("B06-TN-42-N",'SKU明细'!$A$11:$A$1309,0))),"待核")</x:f>
        <x:v>26.79299052432701</x:v>
      </x:c>
      <x:c r="Z60" s="11" t="n">
        <x:f>INDEX('SKU明细'!$BZ$11:$BZ$1309,MATCH("B06-TN-37",'SKU明细'!$A$11:$A$1309,0))</x:f>
        <x:v>0.8332682139098497</x:v>
      </x:c>
      <x:c r="AA60" s="13" t="n">
        <x:f>IF(COUNT(INDEX('SKU明细'!$CB$11:$CB$1309,MATCH("B06-TN-37",'SKU明细'!$A$11:$A$1309,0)),INDEX('SKU明细'!$CB$11:$CB$1309,MATCH("B06-TN-37.5",'SKU明细'!$A$11:$A$1309,0)),INDEX('SKU明细'!$CB$11:$CB$1309,MATCH("B06-TN-38-N",'SKU明细'!$A$11:$A$1309,0)),INDEX('SKU明细'!$CB$11:$CB$1309,MATCH("B06-TN-38.5",'SKU明细'!$A$11:$A$1309,0)),INDEX('SKU明细'!$CB$11:$CB$1309,MATCH("B06-TN-39-N",'SKU明细'!$A$11:$A$1309,0)),INDEX('SKU明细'!$CB$11:$CB$1309,MATCH("B06-TN-39.5",'SKU明细'!$A$11:$A$1309,0)),INDEX('SKU明细'!$CB$11:$CB$1309,MATCH("B06-TN-40-N",'SKU明细'!$A$11:$A$1309,0)),INDEX('SKU明细'!$CB$11:$CB$1309,MATCH("B06-TN-40.5",'SKU明细'!$A$11:$A$1309,0)),INDEX('SKU明细'!$CB$11:$CB$1309,MATCH("B06-TN-41-N",'SKU明细'!$A$11:$A$1309,0)),INDEX('SKU明细'!$CB$11:$CB$1309,MATCH("B06-TN-41.5",'SKU明细'!$A$11:$A$1309,0)),INDEX('SKU明细'!$CB$11:$CB$1309,MATCH("B06-TN-42-N",'SKU明细'!$A$11:$A$1309,0)))=11,SUM(INDEX('SKU明细'!$CB$11:$CB$1309,MATCH("B06-TN-37",'SKU明细'!$A$11:$A$1309,0)),INDEX('SKU明细'!$CB$11:$CB$1309,MATCH("B06-TN-37.5",'SKU明细'!$A$11:$A$1309,0)),INDEX('SKU明细'!$CB$11:$CB$1309,MATCH("B06-TN-38-N",'SKU明细'!$A$11:$A$1309,0)),INDEX('SKU明细'!$CB$11:$CB$1309,MATCH("B06-TN-38.5",'SKU明细'!$A$11:$A$1309,0)),INDEX('SKU明细'!$CB$11:$CB$1309,MATCH("B06-TN-39-N",'SKU明细'!$A$11:$A$1309,0)),INDEX('SKU明细'!$CB$11:$CB$1309,MATCH("B06-TN-39.5",'SKU明细'!$A$11:$A$1309,0)),INDEX('SKU明细'!$CB$11:$CB$1309,MATCH("B06-TN-40-N",'SKU明细'!$A$11:$A$1309,0)),INDEX('SKU明细'!$CB$11:$CB$1309,MATCH("B06-TN-40.5",'SKU明细'!$A$11:$A$1309,0)),INDEX('SKU明细'!$CB$11:$CB$1309,MATCH("B06-TN-41-N",'SKU明细'!$A$11:$A$1309,0)),INDEX('SKU明细'!$CB$11:$CB$1309,MATCH("B06-TN-41.5",'SKU明细'!$A$11:$A$1309,0)),INDEX('SKU明细'!$CB$11:$CB$1309,MATCH("B06-TN-42-N",'SKU明细'!$A$11:$A$1309,0))),"待核")</x:f>
        <x:v>45.57380216873441</x:v>
      </x:c>
      <x:c r="AB60" s="11" t="n">
        <x:f>INDEX('SKU明细'!$CC$11:$CC$1309,MATCH("B06-TN-37",'SKU明细'!$A$11:$A$1309,0))</x:f>
        <x:v>0.5511018253564084</x:v>
      </x:c>
      <x:c r="AC60" s="13" t="n">
        <x:f>IF(COUNT(INDEX('SKU明细'!$CE$11:$CE$1309,MATCH("B06-TN-37",'SKU明细'!$A$11:$A$1309,0)),INDEX('SKU明细'!$CE$11:$CE$1309,MATCH("B06-TN-37.5",'SKU明细'!$A$11:$A$1309,0)),INDEX('SKU明细'!$CE$11:$CE$1309,MATCH("B06-TN-38-N",'SKU明细'!$A$11:$A$1309,0)),INDEX('SKU明细'!$CE$11:$CE$1309,MATCH("B06-TN-38.5",'SKU明细'!$A$11:$A$1309,0)),INDEX('SKU明细'!$CE$11:$CE$1309,MATCH("B06-TN-39-N",'SKU明细'!$A$11:$A$1309,0)),INDEX('SKU明细'!$CE$11:$CE$1309,MATCH("B06-TN-39.5",'SKU明细'!$A$11:$A$1309,0)),INDEX('SKU明细'!$CE$11:$CE$1309,MATCH("B06-TN-40-N",'SKU明细'!$A$11:$A$1309,0)),INDEX('SKU明细'!$CE$11:$CE$1309,MATCH("B06-TN-40.5",'SKU明细'!$A$11:$A$1309,0)),INDEX('SKU明细'!$CE$11:$CE$1309,MATCH("B06-TN-41-N",'SKU明细'!$A$11:$A$1309,0)),INDEX('SKU明细'!$CE$11:$CE$1309,MATCH("B06-TN-41.5",'SKU明细'!$A$11:$A$1309,0)),INDEX('SKU明细'!$CE$11:$CE$1309,MATCH("B06-TN-42-N",'SKU明细'!$A$11:$A$1309,0)))=11,SUM(INDEX('SKU明细'!$CE$11:$CE$1309,MATCH("B06-TN-37",'SKU明细'!$A$11:$A$1309,0)),INDEX('SKU明细'!$CE$11:$CE$1309,MATCH("B06-TN-37.5",'SKU明细'!$A$11:$A$1309,0)),INDEX('SKU明细'!$CE$11:$CE$1309,MATCH("B06-TN-38-N",'SKU明细'!$A$11:$A$1309,0)),INDEX('SKU明细'!$CE$11:$CE$1309,MATCH("B06-TN-38.5",'SKU明细'!$A$11:$A$1309,0)),INDEX('SKU明细'!$CE$11:$CE$1309,MATCH("B06-TN-39-N",'SKU明细'!$A$11:$A$1309,0)),INDEX('SKU明细'!$CE$11:$CE$1309,MATCH("B06-TN-39.5",'SKU明细'!$A$11:$A$1309,0)),INDEX('SKU明细'!$CE$11:$CE$1309,MATCH("B06-TN-40-N",'SKU明细'!$A$11:$A$1309,0)),INDEX('SKU明细'!$CE$11:$CE$1309,MATCH("B06-TN-40.5",'SKU明细'!$A$11:$A$1309,0)),INDEX('SKU明细'!$CE$11:$CE$1309,MATCH("B06-TN-41-N",'SKU明细'!$A$11:$A$1309,0)),INDEX('SKU明细'!$CE$11:$CE$1309,MATCH("B06-TN-41.5",'SKU明细'!$A$11:$A$1309,0)),INDEX('SKU明细'!$CE$11:$CE$1309,MATCH("B06-TN-42-N",'SKU明细'!$A$11:$A$1309,0))),"待核")</x:f>
        <x:v>31.146032752926512</x:v>
      </x:c>
      <x:c r="AD60" s="11" t="n">
        <x:f>INDEX('SKU明细'!$CF$11:$CF$1309,MATCH("B06-TN-37",'SKU明细'!$A$11:$A$1309,0))</x:f>
        <x:v>1.0017220238758797</x:v>
      </x:c>
      <x:c r="AE60" s="13" t="n">
        <x:f>IF(COUNT(INDEX('SKU明细'!$CH$11:$CH$1309,MATCH("B06-TN-37",'SKU明细'!$A$11:$A$1309,0)),INDEX('SKU明细'!$CH$11:$CH$1309,MATCH("B06-TN-37.5",'SKU明细'!$A$11:$A$1309,0)),INDEX('SKU明细'!$CH$11:$CH$1309,MATCH("B06-TN-38-N",'SKU明细'!$A$11:$A$1309,0)),INDEX('SKU明细'!$CH$11:$CH$1309,MATCH("B06-TN-38.5",'SKU明细'!$A$11:$A$1309,0)),INDEX('SKU明细'!$CH$11:$CH$1309,MATCH("B06-TN-39-N",'SKU明细'!$A$11:$A$1309,0)),INDEX('SKU明细'!$CH$11:$CH$1309,MATCH("B06-TN-39.5",'SKU明细'!$A$11:$A$1309,0)),INDEX('SKU明细'!$CH$11:$CH$1309,MATCH("B06-TN-40-N",'SKU明细'!$A$11:$A$1309,0)),INDEX('SKU明细'!$CH$11:$CH$1309,MATCH("B06-TN-40.5",'SKU明细'!$A$11:$A$1309,0)),INDEX('SKU明细'!$CH$11:$CH$1309,MATCH("B06-TN-41-N",'SKU明细'!$A$11:$A$1309,0)),INDEX('SKU明细'!$CH$11:$CH$1309,MATCH("B06-TN-41.5",'SKU明细'!$A$11:$A$1309,0)),INDEX('SKU明细'!$CH$11:$CH$1309,MATCH("B06-TN-42-N",'SKU明细'!$A$11:$A$1309,0)))=11,SUM(INDEX('SKU明细'!$CH$11:$CH$1309,MATCH("B06-TN-37",'SKU明细'!$A$11:$A$1309,0)),INDEX('SKU明细'!$CH$11:$CH$1309,MATCH("B06-TN-37.5",'SKU明细'!$A$11:$A$1309,0)),INDEX('SKU明细'!$CH$11:$CH$1309,MATCH("B06-TN-38-N",'SKU明细'!$A$11:$A$1309,0)),INDEX('SKU明细'!$CH$11:$CH$1309,MATCH("B06-TN-38.5",'SKU明细'!$A$11:$A$1309,0)),INDEX('SKU明细'!$CH$11:$CH$1309,MATCH("B06-TN-39-N",'SKU明细'!$A$11:$A$1309,0)),INDEX('SKU明细'!$CH$11:$CH$1309,MATCH("B06-TN-39.5",'SKU明细'!$A$11:$A$1309,0)),INDEX('SKU明细'!$CH$11:$CH$1309,MATCH("B06-TN-40-N",'SKU明细'!$A$11:$A$1309,0)),INDEX('SKU明细'!$CH$11:$CH$1309,MATCH("B06-TN-40.5",'SKU明细'!$A$11:$A$1309,0)),INDEX('SKU明细'!$CH$11:$CH$1309,MATCH("B06-TN-41-N",'SKU明细'!$A$11:$A$1309,0)),INDEX('SKU明细'!$CH$11:$CH$1309,MATCH("B06-TN-41.5",'SKU明细'!$A$11:$A$1309,0)),INDEX('SKU明细'!$CH$11:$CH$1309,MATCH("B06-TN-42-N",'SKU明细'!$A$11:$A$1309,0))),"待核")</x:f>
        <x:v>31.04597734942062</x:v>
      </x:c>
      <x:c r="AF60" s="13" t="n">
        <x:f>IF(COUNT(INDEX('SKU明细'!$CI$11:$CI$1309,MATCH("B06-TN-37",'SKU明细'!$A$11:$A$1309,0)),INDEX('SKU明细'!$CI$11:$CI$1309,MATCH("B06-TN-37.5",'SKU明细'!$A$11:$A$1309,0)),INDEX('SKU明细'!$CI$11:$CI$1309,MATCH("B06-TN-38-N",'SKU明细'!$A$11:$A$1309,0)),INDEX('SKU明细'!$CI$11:$CI$1309,MATCH("B06-TN-38.5",'SKU明细'!$A$11:$A$1309,0)),INDEX('SKU明细'!$CI$11:$CI$1309,MATCH("B06-TN-39-N",'SKU明细'!$A$11:$A$1309,0)),INDEX('SKU明细'!$CI$11:$CI$1309,MATCH("B06-TN-39.5",'SKU明细'!$A$11:$A$1309,0)),INDEX('SKU明细'!$CI$11:$CI$1309,MATCH("B06-TN-40-N",'SKU明细'!$A$11:$A$1309,0)),INDEX('SKU明细'!$CI$11:$CI$1309,MATCH("B06-TN-40.5",'SKU明细'!$A$11:$A$1309,0)),INDEX('SKU明细'!$CI$11:$CI$1309,MATCH("B06-TN-41-N",'SKU明细'!$A$11:$A$1309,0)),INDEX('SKU明细'!$CI$11:$CI$1309,MATCH("B06-TN-41.5",'SKU明细'!$A$11:$A$1309,0)),INDEX('SKU明细'!$CI$11:$CI$1309,MATCH("B06-TN-42-N",'SKU明细'!$A$11:$A$1309,0)))=11,SUM(INDEX('SKU明细'!$CI$11:$CI$1309,MATCH("B06-TN-37",'SKU明细'!$A$11:$A$1309,0)),INDEX('SKU明细'!$CI$11:$CI$1309,MATCH("B06-TN-37.5",'SKU明细'!$A$11:$A$1309,0)),INDEX('SKU明细'!$CI$11:$CI$1309,MATCH("B06-TN-38-N",'SKU明细'!$A$11:$A$1309,0)),INDEX('SKU明细'!$CI$11:$CI$1309,MATCH("B06-TN-38.5",'SKU明细'!$A$11:$A$1309,0)),INDEX('SKU明细'!$CI$11:$CI$1309,MATCH("B06-TN-39-N",'SKU明细'!$A$11:$A$1309,0)),INDEX('SKU明细'!$CI$11:$CI$1309,MATCH("B06-TN-39.5",'SKU明细'!$A$11:$A$1309,0)),INDEX('SKU明细'!$CI$11:$CI$1309,MATCH("B06-TN-40-N",'SKU明细'!$A$11:$A$1309,0)),INDEX('SKU明细'!$CI$11:$CI$1309,MATCH("B06-TN-40.5",'SKU明细'!$A$11:$A$1309,0)),INDEX('SKU明细'!$CI$11:$CI$1309,MATCH("B06-TN-41-N",'SKU明细'!$A$11:$A$1309,0)),INDEX('SKU明细'!$CI$11:$CI$1309,MATCH("B06-TN-41.5",'SKU明细'!$A$11:$A$1309,0)),INDEX('SKU明细'!$CI$11:$CI$1309,MATCH("B06-TN-42-N",'SKU明细'!$A$11:$A$1309,0))),"待核")</x:f>
        <x:v>134.55880279540855</x:v>
      </x:c>
    </x:row>
    <x:row r="61" ht="40" customHeight="1">
      <x:c r="A61" s="35" t="str">
        <x:v>B06</x:v>
      </x:c>
      <x:c r="B61" s="35" t="str">
        <x:v>艾年</x:v>
      </x:c>
      <x:c r="C61" s="35" t="str">
        <x:v>白色PU</x:v>
      </x:c>
      <x:c r="D61" s="35" t="str">
        <x:v>WT</x:v>
      </x:c>
      <x:c r="E61" s="35" t="str">
        <x:v>B06-WT</x:v>
      </x:c>
      <x:c r="F61" s="35"/>
      <x:c r="G61" s="36" t="str">
        <x:f>"—"</x:f>
        <x:v>—</x:v>
      </x:c>
      <x:c r="H61" s="36" t="n">
        <x:f>IF(COUNT(INDEX('SKU明细'!$D$11:$D$1309,MATCH("B06-WT-37",'SKU明细'!$A$11:$A$1309,0)))=0,"待核",IF(COUNT(INDEX('SKU明细'!$D$11:$D$1309,MATCH("B06-WT-37",'SKU明细'!$A$11:$A$1309,0)))&lt;1,SUM(INDEX('SKU明细'!$D$11:$D$1309,MATCH("B06-WT-37",'SKU明细'!$A$11:$A$1309,0)))&amp;" + 待核",SUM(INDEX('SKU明细'!$D$11:$D$1309,MATCH("B06-WT-37",'SKU明细'!$A$11:$A$1309,0)))))</x:f>
        <x:v>0</x:v>
      </x:c>
      <x:c r="I61" s="36" t="str">
        <x:f>"—"</x:f>
        <x:v>—</x:v>
      </x:c>
      <x:c r="J61" s="36" t="n">
        <x:f>IF(COUNT(INDEX('SKU明细'!$D$11:$D$1309,MATCH("B06-WT-38",'SKU明细'!$A$11:$A$1309,0)))=0,"待核",IF(COUNT(INDEX('SKU明细'!$D$11:$D$1309,MATCH("B06-WT-38",'SKU明细'!$A$11:$A$1309,0)))&lt;1,SUM(INDEX('SKU明细'!$D$11:$D$1309,MATCH("B06-WT-38",'SKU明细'!$A$11:$A$1309,0)))&amp;" + 待核",SUM(INDEX('SKU明细'!$D$11:$D$1309,MATCH("B06-WT-38",'SKU明细'!$A$11:$A$1309,0)))))</x:f>
        <x:v>0</x:v>
      </x:c>
      <x:c r="K61" s="36" t="str">
        <x:f>"—"</x:f>
        <x:v>—</x:v>
      </x:c>
      <x:c r="L61" s="36" t="n">
        <x:f>IF(COUNT(INDEX('SKU明细'!$D$11:$D$1309,MATCH("B06-WT-39-N",'SKU明细'!$A$11:$A$1309,0)))=0,"待核",IF(COUNT(INDEX('SKU明细'!$D$11:$D$1309,MATCH("B06-WT-39-N",'SKU明细'!$A$11:$A$1309,0)))&lt;1,SUM(INDEX('SKU明细'!$D$11:$D$1309,MATCH("B06-WT-39-N",'SKU明细'!$A$11:$A$1309,0)))&amp;" + 待核",SUM(INDEX('SKU明细'!$D$11:$D$1309,MATCH("B06-WT-39-N",'SKU明细'!$A$11:$A$1309,0)))))</x:f>
        <x:v>0</x:v>
      </x:c>
      <x:c r="M61" s="36" t="str">
        <x:f>"—"</x:f>
        <x:v>—</x:v>
      </x:c>
      <x:c r="N61" s="36" t="n">
        <x:f>IF(COUNT(INDEX('SKU明细'!$D$11:$D$1309,MATCH("B06-WT-40",'SKU明细'!$A$11:$A$1309,0)))=0,"待核",IF(COUNT(INDEX('SKU明细'!$D$11:$D$1309,MATCH("B06-WT-40",'SKU明细'!$A$11:$A$1309,0)))&lt;1,SUM(INDEX('SKU明细'!$D$11:$D$1309,MATCH("B06-WT-40",'SKU明细'!$A$11:$A$1309,0)))&amp;" + 待核",SUM(INDEX('SKU明细'!$D$11:$D$1309,MATCH("B06-WT-40",'SKU明细'!$A$11:$A$1309,0)))))</x:f>
        <x:v>0</x:v>
      </x:c>
      <x:c r="O61" s="36" t="n">
        <x:f>IF(COUNT(INDEX('SKU明细'!$D$11:$D$1309,MATCH("B06-WT-40.5",'SKU明细'!$A$11:$A$1309,0)))=0,"待核",IF(COUNT(INDEX('SKU明细'!$D$11:$D$1309,MATCH("B06-WT-40.5",'SKU明细'!$A$11:$A$1309,0)))&lt;1,SUM(INDEX('SKU明细'!$D$11:$D$1309,MATCH("B06-WT-40.5",'SKU明细'!$A$11:$A$1309,0)))&amp;" + 待核",SUM(INDEX('SKU明细'!$D$11:$D$1309,MATCH("B06-WT-40.5",'SKU明细'!$A$11:$A$1309,0)))))</x:f>
        <x:v>2</x:v>
      </x:c>
      <x:c r="P61" s="36" t="n">
        <x:f>IF(COUNT(INDEX('SKU明细'!$D$11:$D$1309,MATCH("B06-WT-41-N",'SKU明细'!$A$11:$A$1309,0)))=0,"待核",IF(COUNT(INDEX('SKU明细'!$D$11:$D$1309,MATCH("B06-WT-41-N",'SKU明细'!$A$11:$A$1309,0)))&lt;1,SUM(INDEX('SKU明细'!$D$11:$D$1309,MATCH("B06-WT-41-N",'SKU明细'!$A$11:$A$1309,0)))&amp;" + 待核",SUM(INDEX('SKU明细'!$D$11:$D$1309,MATCH("B06-WT-41-N",'SKU明细'!$A$11:$A$1309,0)))))</x:f>
        <x:v>1</x:v>
      </x:c>
      <x:c r="Q61" s="36" t="n">
        <x:f>IF(COUNT(INDEX('SKU明细'!$D$11:$D$1309,MATCH("B06-WT-41.5",'SKU明细'!$A$11:$A$1309,0)))=0,"待核",IF(COUNT(INDEX('SKU明细'!$D$11:$D$1309,MATCH("B06-WT-41.5",'SKU明细'!$A$11:$A$1309,0)))&lt;1,SUM(INDEX('SKU明细'!$D$11:$D$1309,MATCH("B06-WT-41.5",'SKU明细'!$A$11:$A$1309,0)))&amp;" + 待核",SUM(INDEX('SKU明细'!$D$11:$D$1309,MATCH("B06-WT-41.5",'SKU明细'!$A$11:$A$1309,0)))))</x:f>
        <x:v>0</x:v>
      </x:c>
      <x:c r="R61" s="36" t="n">
        <x:f>IF(COUNT(INDEX('SKU明细'!$D$11:$D$1309,MATCH("B06-WT-42-N",'SKU明细'!$A$11:$A$1309,0)))=0,"待核",IF(COUNT(INDEX('SKU明细'!$D$11:$D$1309,MATCH("B06-WT-42-N",'SKU明细'!$A$11:$A$1309,0)))&lt;1,SUM(INDEX('SKU明细'!$D$11:$D$1309,MATCH("B06-WT-42-N",'SKU明细'!$A$11:$A$1309,0)))&amp;" + 待核",SUM(INDEX('SKU明细'!$D$11:$D$1309,MATCH("B06-WT-42-N",'SKU明细'!$A$11:$A$1309,0)))))</x:f>
        <x:v>0</x:v>
      </x:c>
      <x:c r="S61" s="36" t="n">
        <x:f>IF(COUNT(INDEX('SKU明细'!$D$11:$D$1309,MATCH("B06-WT-37",'SKU明细'!$A$11:$A$1309,0)),INDEX('SKU明细'!$D$11:$D$1309,MATCH("B06-WT-38",'SKU明细'!$A$11:$A$1309,0)),INDEX('SKU明细'!$D$11:$D$1309,MATCH("B06-WT-39-N",'SKU明细'!$A$11:$A$1309,0)),INDEX('SKU明细'!$D$11:$D$1309,MATCH("B06-WT-40",'SKU明细'!$A$11:$A$1309,0)),INDEX('SKU明细'!$D$11:$D$1309,MATCH("B06-WT-40.5",'SKU明细'!$A$11:$A$1309,0)),INDEX('SKU明细'!$D$11:$D$1309,MATCH("B06-WT-41-N",'SKU明细'!$A$11:$A$1309,0)),INDEX('SKU明细'!$D$11:$D$1309,MATCH("B06-WT-41.5",'SKU明细'!$A$11:$A$1309,0)),INDEX('SKU明细'!$D$11:$D$1309,MATCH("B06-WT-42-N",'SKU明细'!$A$11:$A$1309,0)))=0,"待核",SUM(INDEX('SKU明细'!$D$11:$D$1309,MATCH("B06-WT-37",'SKU明细'!$A$11:$A$1309,0)),INDEX('SKU明细'!$D$11:$D$1309,MATCH("B06-WT-38",'SKU明细'!$A$11:$A$1309,0)),INDEX('SKU明细'!$D$11:$D$1309,MATCH("B06-WT-39-N",'SKU明细'!$A$11:$A$1309,0)),INDEX('SKU明细'!$D$11:$D$1309,MATCH("B06-WT-40",'SKU明细'!$A$11:$A$1309,0)),INDEX('SKU明细'!$D$11:$D$1309,MATCH("B06-WT-40.5",'SKU明细'!$A$11:$A$1309,0)),INDEX('SKU明细'!$D$11:$D$1309,MATCH("B06-WT-41-N",'SKU明细'!$A$11:$A$1309,0)),INDEX('SKU明细'!$D$11:$D$1309,MATCH("B06-WT-41.5",'SKU明细'!$A$11:$A$1309,0)),INDEX('SKU明细'!$D$11:$D$1309,MATCH("B06-WT-42-N",'SKU明细'!$A$11:$A$1309,0))))</x:f>
        <x:v>3</x:v>
      </x:c>
      <x:c r="T61" s="36" t="n">
        <x:f>IF(COUNTIFS($A$9:$A$191,A61,$U$9:$U$191,"&lt;&gt;待核")=0,"待核",SUMIF($A$9:$A$191,A61,$S$9:$S$191))</x:f>
        <x:v>613</x:v>
      </x:c>
      <x:c r="U61" s="35" t="str">
        <x:f>IF(COUNT(INDEX('SKU明细'!$D$11:$D$1309,MATCH("B06-WT-37",'SKU明细'!$A$11:$A$1309,0)),INDEX('SKU明细'!$D$11:$D$1309,MATCH("B06-WT-38",'SKU明细'!$A$11:$A$1309,0)),INDEX('SKU明细'!$D$11:$D$1309,MATCH("B06-WT-39-N",'SKU明细'!$A$11:$A$1309,0)),INDEX('SKU明细'!$D$11:$D$1309,MATCH("B06-WT-40",'SKU明细'!$A$11:$A$1309,0)),INDEX('SKU明细'!$D$11:$D$1309,MATCH("B06-WT-40.5",'SKU明细'!$A$11:$A$1309,0)),INDEX('SKU明细'!$D$11:$D$1309,MATCH("B06-WT-41-N",'SKU明细'!$A$11:$A$1309,0)),INDEX('SKU明细'!$D$11:$D$1309,MATCH("B06-WT-41.5",'SKU明细'!$A$11:$A$1309,0)),INDEX('SKU明细'!$D$11:$D$1309,MATCH("B06-WT-42-N",'SKU明细'!$A$11:$A$1309,0)))=0,"待核",IF(COUNT(INDEX('SKU明细'!$D$11:$D$1309,MATCH("B06-WT-37",'SKU明细'!$A$11:$A$1309,0)),INDEX('SKU明细'!$D$11:$D$1309,MATCH("B06-WT-38",'SKU明细'!$A$11:$A$1309,0)),INDEX('SKU明细'!$D$11:$D$1309,MATCH("B06-WT-39-N",'SKU明细'!$A$11:$A$1309,0)),INDEX('SKU明细'!$D$11:$D$1309,MATCH("B06-WT-40",'SKU明细'!$A$11:$A$1309,0)),INDEX('SKU明细'!$D$11:$D$1309,MATCH("B06-WT-40.5",'SKU明细'!$A$11:$A$1309,0)),INDEX('SKU明细'!$D$11:$D$1309,MATCH("B06-WT-41-N",'SKU明细'!$A$11:$A$1309,0)),INDEX('SKU明细'!$D$11:$D$1309,MATCH("B06-WT-41.5",'SKU明细'!$A$11:$A$1309,0)),INDEX('SKU明细'!$D$11:$D$1309,MATCH("B06-WT-42-N",'SKU明细'!$A$11:$A$1309,0)))&lt;8,"另有待核","已核"))</x:f>
        <x:v>已核</x:v>
      </x:c>
      <x:c r="V61" s="35" t="str">
        <x:v>在售、停售</x:v>
      </x:c>
      <x:c r="W61" s="11" t="n">
        <x:f>IF(COUNT(INDEX('SKU明细'!$BV$11:$BV$1309,MATCH("B06-WT-37",'SKU明细'!$A$11:$A$1309,0)),INDEX('SKU明细'!$BV$11:$BV$1309,MATCH("B06-WT-38",'SKU明细'!$A$11:$A$1309,0)),INDEX('SKU明细'!$BV$11:$BV$1309,MATCH("B06-WT-39-N",'SKU明细'!$A$11:$A$1309,0)),INDEX('SKU明细'!$BV$11:$BV$1309,MATCH("B06-WT-40",'SKU明细'!$A$11:$A$1309,0)),INDEX('SKU明细'!$BV$11:$BV$1309,MATCH("B06-WT-40.5",'SKU明细'!$A$11:$A$1309,0)),INDEX('SKU明细'!$BV$11:$BV$1309,MATCH("B06-WT-41-N",'SKU明细'!$A$11:$A$1309,0)),INDEX('SKU明细'!$BV$11:$BV$1309,MATCH("B06-WT-41.5",'SKU明细'!$A$11:$A$1309,0)),INDEX('SKU明细'!$BV$11:$BV$1309,MATCH("B06-WT-42-N",'SKU明细'!$A$11:$A$1309,0)))=8,SUM(INDEX('SKU明细'!$BV$11:$BV$1309,MATCH("B06-WT-37",'SKU明细'!$A$11:$A$1309,0)),INDEX('SKU明细'!$BV$11:$BV$1309,MATCH("B06-WT-38",'SKU明细'!$A$11:$A$1309,0)),INDEX('SKU明细'!$BV$11:$BV$1309,MATCH("B06-WT-39-N",'SKU明细'!$A$11:$A$1309,0)),INDEX('SKU明细'!$BV$11:$BV$1309,MATCH("B06-WT-40",'SKU明细'!$A$11:$A$1309,0)),INDEX('SKU明细'!$BV$11:$BV$1309,MATCH("B06-WT-40.5",'SKU明细'!$A$11:$A$1309,0)),INDEX('SKU明细'!$BV$11:$BV$1309,MATCH("B06-WT-41-N",'SKU明细'!$A$11:$A$1309,0)),INDEX('SKU明细'!$BV$11:$BV$1309,MATCH("B06-WT-41.5",'SKU明细'!$A$11:$A$1309,0)),INDEX('SKU明细'!$BV$11:$BV$1309,MATCH("B06-WT-42-N",'SKU明细'!$A$11:$A$1309,0))),"待核")</x:f>
        <x:v>0.2999485325071546</x:v>
      </x:c>
      <x:c r="X61" s="11" t="n">
        <x:f>INDEX('SKU明细'!$BW$11:$BW$1309,MATCH("B06-WT-37",'SKU明细'!$A$11:$A$1309,0))</x:f>
        <x:v>1.2247029157699902</x:v>
      </x:c>
      <x:c r="Y61" s="13" t="n">
        <x:f>IF(COUNT(INDEX('SKU明细'!$BY$11:$BY$1309,MATCH("B06-WT-37",'SKU明细'!$A$11:$A$1309,0)),INDEX('SKU明细'!$BY$11:$BY$1309,MATCH("B06-WT-38",'SKU明细'!$A$11:$A$1309,0)),INDEX('SKU明细'!$BY$11:$BY$1309,MATCH("B06-WT-39-N",'SKU明细'!$A$11:$A$1309,0)),INDEX('SKU明细'!$BY$11:$BY$1309,MATCH("B06-WT-40",'SKU明细'!$A$11:$A$1309,0)),INDEX('SKU明细'!$BY$11:$BY$1309,MATCH("B06-WT-40.5",'SKU明细'!$A$11:$A$1309,0)),INDEX('SKU明细'!$BY$11:$BY$1309,MATCH("B06-WT-41-N",'SKU明细'!$A$11:$A$1309,0)),INDEX('SKU明细'!$BY$11:$BY$1309,MATCH("B06-WT-41.5",'SKU明细'!$A$11:$A$1309,0)),INDEX('SKU明细'!$BY$11:$BY$1309,MATCH("B06-WT-42-N",'SKU明细'!$A$11:$A$1309,0)))=8,SUM(INDEX('SKU明细'!$BY$11:$BY$1309,MATCH("B06-WT-37",'SKU明细'!$A$11:$A$1309,0)),INDEX('SKU明细'!$BY$11:$BY$1309,MATCH("B06-WT-38",'SKU明细'!$A$11:$A$1309,0)),INDEX('SKU明细'!$BY$11:$BY$1309,MATCH("B06-WT-39-N",'SKU明细'!$A$11:$A$1309,0)),INDEX('SKU明细'!$BY$11:$BY$1309,MATCH("B06-WT-40",'SKU明细'!$A$11:$A$1309,0)),INDEX('SKU明细'!$BY$11:$BY$1309,MATCH("B06-WT-40.5",'SKU明细'!$A$11:$A$1309,0)),INDEX('SKU明细'!$BY$11:$BY$1309,MATCH("B06-WT-41-N",'SKU明细'!$A$11:$A$1309,0)),INDEX('SKU明细'!$BY$11:$BY$1309,MATCH("B06-WT-41.5",'SKU明细'!$A$11:$A$1309,0)),INDEX('SKU明细'!$BY$11:$BY$1309,MATCH("B06-WT-42-N",'SKU明细'!$A$11:$A$1309,0))),"待核")</x:f>
        <x:v>4.408174108109303</x:v>
      </x:c>
      <x:c r="Z61" s="11" t="n">
        <x:f>INDEX('SKU明细'!$BZ$11:$BZ$1309,MATCH("B06-WT-37",'SKU明细'!$A$11:$A$1309,0))</x:f>
        <x:v>0.8332682139098497</x:v>
      </x:c>
      <x:c r="AA61" s="13" t="n">
        <x:f>IF(COUNT(INDEX('SKU明细'!$CB$11:$CB$1309,MATCH("B06-WT-37",'SKU明细'!$A$11:$A$1309,0)),INDEX('SKU明细'!$CB$11:$CB$1309,MATCH("B06-WT-38",'SKU明细'!$A$11:$A$1309,0)),INDEX('SKU明细'!$CB$11:$CB$1309,MATCH("B06-WT-39-N",'SKU明细'!$A$11:$A$1309,0)),INDEX('SKU明细'!$CB$11:$CB$1309,MATCH("B06-WT-40",'SKU明细'!$A$11:$A$1309,0)),INDEX('SKU明细'!$CB$11:$CB$1309,MATCH("B06-WT-40.5",'SKU明细'!$A$11:$A$1309,0)),INDEX('SKU明细'!$CB$11:$CB$1309,MATCH("B06-WT-41-N",'SKU明细'!$A$11:$A$1309,0)),INDEX('SKU明细'!$CB$11:$CB$1309,MATCH("B06-WT-41.5",'SKU明细'!$A$11:$A$1309,0)),INDEX('SKU明细'!$CB$11:$CB$1309,MATCH("B06-WT-42-N",'SKU明细'!$A$11:$A$1309,0)))=8,SUM(INDEX('SKU明细'!$CB$11:$CB$1309,MATCH("B06-WT-37",'SKU明细'!$A$11:$A$1309,0)),INDEX('SKU明细'!$CB$11:$CB$1309,MATCH("B06-WT-38",'SKU明细'!$A$11:$A$1309,0)),INDEX('SKU明细'!$CB$11:$CB$1309,MATCH("B06-WT-39-N",'SKU明细'!$A$11:$A$1309,0)),INDEX('SKU明细'!$CB$11:$CB$1309,MATCH("B06-WT-40",'SKU明细'!$A$11:$A$1309,0)),INDEX('SKU明细'!$CB$11:$CB$1309,MATCH("B06-WT-40.5",'SKU明细'!$A$11:$A$1309,0)),INDEX('SKU明细'!$CB$11:$CB$1309,MATCH("B06-WT-41-N",'SKU明细'!$A$11:$A$1309,0)),INDEX('SKU明细'!$CB$11:$CB$1309,MATCH("B06-WT-41.5",'SKU明细'!$A$11:$A$1309,0)),INDEX('SKU明细'!$CB$11:$CB$1309,MATCH("B06-WT-42-N",'SKU明细'!$A$11:$A$1309,0))),"待核")</x:f>
        <x:v>7.498127338413515</x:v>
      </x:c>
      <x:c r="AB61" s="11" t="n">
        <x:f>INDEX('SKU明细'!$CC$11:$CC$1309,MATCH("B06-WT-37",'SKU明细'!$A$11:$A$1309,0))</x:f>
        <x:v>0.5511018253564084</x:v>
      </x:c>
      <x:c r="AC61" s="13" t="n">
        <x:f>IF(COUNT(INDEX('SKU明细'!$CE$11:$CE$1309,MATCH("B06-WT-37",'SKU明细'!$A$11:$A$1309,0)),INDEX('SKU明细'!$CE$11:$CE$1309,MATCH("B06-WT-38",'SKU明细'!$A$11:$A$1309,0)),INDEX('SKU明细'!$CE$11:$CE$1309,MATCH("B06-WT-39-N",'SKU明细'!$A$11:$A$1309,0)),INDEX('SKU明细'!$CE$11:$CE$1309,MATCH("B06-WT-40",'SKU明细'!$A$11:$A$1309,0)),INDEX('SKU明细'!$CE$11:$CE$1309,MATCH("B06-WT-40.5",'SKU明细'!$A$11:$A$1309,0)),INDEX('SKU明细'!$CE$11:$CE$1309,MATCH("B06-WT-41-N",'SKU明细'!$A$11:$A$1309,0)),INDEX('SKU明细'!$CE$11:$CE$1309,MATCH("B06-WT-41.5",'SKU明细'!$A$11:$A$1309,0)),INDEX('SKU明细'!$CE$11:$CE$1309,MATCH("B06-WT-42-N",'SKU明细'!$A$11:$A$1309,0)))=8,SUM(INDEX('SKU明细'!$CE$11:$CE$1309,MATCH("B06-WT-37",'SKU明细'!$A$11:$A$1309,0)),INDEX('SKU明细'!$CE$11:$CE$1309,MATCH("B06-WT-38",'SKU明细'!$A$11:$A$1309,0)),INDEX('SKU明细'!$CE$11:$CE$1309,MATCH("B06-WT-39-N",'SKU明细'!$A$11:$A$1309,0)),INDEX('SKU明细'!$CE$11:$CE$1309,MATCH("B06-WT-40",'SKU明细'!$A$11:$A$1309,0)),INDEX('SKU明细'!$CE$11:$CE$1309,MATCH("B06-WT-40.5",'SKU明细'!$A$11:$A$1309,0)),INDEX('SKU明细'!$CE$11:$CE$1309,MATCH("B06-WT-41-N",'SKU明细'!$A$11:$A$1309,0)),INDEX('SKU明细'!$CE$11:$CE$1309,MATCH("B06-WT-41.5",'SKU明细'!$A$11:$A$1309,0)),INDEX('SKU明细'!$CE$11:$CE$1309,MATCH("B06-WT-42-N",'SKU明细'!$A$11:$A$1309,0))),"待核")</x:f>
        <x:v>5.124367697107734</x:v>
      </x:c>
      <x:c r="AD61" s="11" t="n">
        <x:f>INDEX('SKU明细'!$CF$11:$CF$1309,MATCH("B06-WT-37",'SKU明细'!$A$11:$A$1309,0))</x:f>
        <x:v>1.0017220238758797</x:v>
      </x:c>
      <x:c r="AE61" s="13" t="n">
        <x:f>IF(COUNT(INDEX('SKU明细'!$CH$11:$CH$1309,MATCH("B06-WT-37",'SKU明细'!$A$11:$A$1309,0)),INDEX('SKU明细'!$CH$11:$CH$1309,MATCH("B06-WT-38",'SKU明细'!$A$11:$A$1309,0)),INDEX('SKU明细'!$CH$11:$CH$1309,MATCH("B06-WT-39-N",'SKU明细'!$A$11:$A$1309,0)),INDEX('SKU明细'!$CH$11:$CH$1309,MATCH("B06-WT-40",'SKU明细'!$A$11:$A$1309,0)),INDEX('SKU明细'!$CH$11:$CH$1309,MATCH("B06-WT-40.5",'SKU明细'!$A$11:$A$1309,0)),INDEX('SKU明细'!$CH$11:$CH$1309,MATCH("B06-WT-41-N",'SKU明细'!$A$11:$A$1309,0)),INDEX('SKU明细'!$CH$11:$CH$1309,MATCH("B06-WT-41.5",'SKU明细'!$A$11:$A$1309,0)),INDEX('SKU明细'!$CH$11:$CH$1309,MATCH("B06-WT-42-N",'SKU明细'!$A$11:$A$1309,0)))=8,SUM(INDEX('SKU明细'!$CH$11:$CH$1309,MATCH("B06-WT-37",'SKU明细'!$A$11:$A$1309,0)),INDEX('SKU明细'!$CH$11:$CH$1309,MATCH("B06-WT-38",'SKU明细'!$A$11:$A$1309,0)),INDEX('SKU明细'!$CH$11:$CH$1309,MATCH("B06-WT-39-N",'SKU明细'!$A$11:$A$1309,0)),INDEX('SKU明细'!$CH$11:$CH$1309,MATCH("B06-WT-40",'SKU明细'!$A$11:$A$1309,0)),INDEX('SKU明细'!$CH$11:$CH$1309,MATCH("B06-WT-40.5",'SKU明细'!$A$11:$A$1309,0)),INDEX('SKU明细'!$CH$11:$CH$1309,MATCH("B06-WT-41-N",'SKU明细'!$A$11:$A$1309,0)),INDEX('SKU明细'!$CH$11:$CH$1309,MATCH("B06-WT-41.5",'SKU明细'!$A$11:$A$1309,0)),INDEX('SKU明细'!$CH$11:$CH$1309,MATCH("B06-WT-42-N",'SKU明细'!$A$11:$A$1309,0))),"待核")</x:f>
        <x:v>5.107905867708338</x:v>
      </x:c>
      <x:c r="AF61" s="13" t="n">
        <x:f>IF(COUNT(INDEX('SKU明细'!$CI$11:$CI$1309,MATCH("B06-WT-37",'SKU明细'!$A$11:$A$1309,0)),INDEX('SKU明细'!$CI$11:$CI$1309,MATCH("B06-WT-38",'SKU明细'!$A$11:$A$1309,0)),INDEX('SKU明细'!$CI$11:$CI$1309,MATCH("B06-WT-39-N",'SKU明细'!$A$11:$A$1309,0)),INDEX('SKU明细'!$CI$11:$CI$1309,MATCH("B06-WT-40",'SKU明细'!$A$11:$A$1309,0)),INDEX('SKU明细'!$CI$11:$CI$1309,MATCH("B06-WT-40.5",'SKU明细'!$A$11:$A$1309,0)),INDEX('SKU明细'!$CI$11:$CI$1309,MATCH("B06-WT-41-N",'SKU明细'!$A$11:$A$1309,0)),INDEX('SKU明细'!$CI$11:$CI$1309,MATCH("B06-WT-41.5",'SKU明细'!$A$11:$A$1309,0)),INDEX('SKU明细'!$CI$11:$CI$1309,MATCH("B06-WT-42-N",'SKU明细'!$A$11:$A$1309,0)))=8,SUM(INDEX('SKU明细'!$CI$11:$CI$1309,MATCH("B06-WT-37",'SKU明细'!$A$11:$A$1309,0)),INDEX('SKU明细'!$CI$11:$CI$1309,MATCH("B06-WT-38",'SKU明细'!$A$11:$A$1309,0)),INDEX('SKU明细'!$CI$11:$CI$1309,MATCH("B06-WT-39-N",'SKU明细'!$A$11:$A$1309,0)),INDEX('SKU明细'!$CI$11:$CI$1309,MATCH("B06-WT-40",'SKU明细'!$A$11:$A$1309,0)),INDEX('SKU明细'!$CI$11:$CI$1309,MATCH("B06-WT-40.5",'SKU明细'!$A$11:$A$1309,0)),INDEX('SKU明细'!$CI$11:$CI$1309,MATCH("B06-WT-41-N",'SKU明细'!$A$11:$A$1309,0)),INDEX('SKU明细'!$CI$11:$CI$1309,MATCH("B06-WT-41.5",'SKU明细'!$A$11:$A$1309,0)),INDEX('SKU明细'!$CI$11:$CI$1309,MATCH("B06-WT-42-N",'SKU明细'!$A$11:$A$1309,0))),"待核")</x:f>
        <x:v>22.138575011338887</x:v>
      </x:c>
    </x:row>
    <x:row r="62" ht="40" customHeight="1">
      <x:c r="A62" s="37" t="str">
        <x:v>B07</x:v>
      </x:c>
      <x:c r="B62" s="37" t="str">
        <x:v>艾年</x:v>
      </x:c>
      <x:c r="C62" s="37" t="str">
        <x:v>米色羊京绒</x:v>
      </x:c>
      <x:c r="D62" s="37" t="str">
        <x:v>BG</x:v>
      </x:c>
      <x:c r="E62" s="37" t="str">
        <x:v>B07-BG</x:v>
      </x:c>
      <x:c r="F62" s="37"/>
      <x:c r="G62" s="38" t="str">
        <x:f>"—"</x:f>
        <x:v>—</x:v>
      </x:c>
      <x:c r="H62" s="38" t="n">
        <x:f>IF(COUNT(INDEX('SKU明细'!$D$11:$D$1309,MATCH("B07-BG-37-by",'SKU明细'!$A$11:$A$1309,0)))=0,"待核",IF(COUNT(INDEX('SKU明细'!$D$11:$D$1309,MATCH("B07-BG-37-by",'SKU明细'!$A$11:$A$1309,0)))&lt;1,SUM(INDEX('SKU明细'!$D$11:$D$1309,MATCH("B07-BG-37-by",'SKU明细'!$A$11:$A$1309,0)))&amp;" + 待核",SUM(INDEX('SKU明细'!$D$11:$D$1309,MATCH("B07-BG-37-by",'SKU明细'!$A$11:$A$1309,0)))))</x:f>
        <x:v>0</x:v>
      </x:c>
      <x:c r="I62" s="38" t="n">
        <x:f>IF(COUNT(INDEX('SKU明细'!$D$11:$D$1309,MATCH("B07-BG-37.5",'SKU明细'!$A$11:$A$1309,0)))=0,"待核",IF(COUNT(INDEX('SKU明细'!$D$11:$D$1309,MATCH("B07-BG-37.5",'SKU明细'!$A$11:$A$1309,0)))&lt;1,SUM(INDEX('SKU明细'!$D$11:$D$1309,MATCH("B07-BG-37.5",'SKU明细'!$A$11:$A$1309,0)))&amp;" + 待核",SUM(INDEX('SKU明细'!$D$11:$D$1309,MATCH("B07-BG-37.5",'SKU明细'!$A$11:$A$1309,0)))))</x:f>
        <x:v>0</x:v>
      </x:c>
      <x:c r="J62" s="38" t="n">
        <x:f>IF(COUNT(INDEX('SKU明细'!$D$11:$D$1309,MATCH("B07-BG-38-by",'SKU明细'!$A$11:$A$1309,0)))=0,"待核",IF(COUNT(INDEX('SKU明细'!$D$11:$D$1309,MATCH("B07-BG-38-by",'SKU明细'!$A$11:$A$1309,0)))&lt;1,SUM(INDEX('SKU明细'!$D$11:$D$1309,MATCH("B07-BG-38-by",'SKU明细'!$A$11:$A$1309,0)))&amp;" + 待核",SUM(INDEX('SKU明细'!$D$11:$D$1309,MATCH("B07-BG-38-by",'SKU明细'!$A$11:$A$1309,0)))))</x:f>
        <x:v>0</x:v>
      </x:c>
      <x:c r="K62" s="38" t="n">
        <x:f>IF(COUNT(INDEX('SKU明细'!$D$11:$D$1309,MATCH("B07-BG-38.5",'SKU明细'!$A$11:$A$1309,0)))=0,"待核",IF(COUNT(INDEX('SKU明细'!$D$11:$D$1309,MATCH("B07-BG-38.5",'SKU明细'!$A$11:$A$1309,0)))&lt;1,SUM(INDEX('SKU明细'!$D$11:$D$1309,MATCH("B07-BG-38.5",'SKU明细'!$A$11:$A$1309,0)))&amp;" + 待核",SUM(INDEX('SKU明细'!$D$11:$D$1309,MATCH("B07-BG-38.5",'SKU明细'!$A$11:$A$1309,0)))))</x:f>
        <x:v>0</x:v>
      </x:c>
      <x:c r="L62" s="38" t="n">
        <x:f>IF(COUNT(INDEX('SKU明细'!$D$11:$D$1309,MATCH("B07-BG-39-New",'SKU明细'!$A$11:$A$1309,0)))=0,"待核",IF(COUNT(INDEX('SKU明细'!$D$11:$D$1309,MATCH("B07-BG-39-New",'SKU明细'!$A$11:$A$1309,0)))&lt;1,SUM(INDEX('SKU明细'!$D$11:$D$1309,MATCH("B07-BG-39-New",'SKU明细'!$A$11:$A$1309,0)))&amp;" + 待核",SUM(INDEX('SKU明细'!$D$11:$D$1309,MATCH("B07-BG-39-New",'SKU明细'!$A$11:$A$1309,0)))))</x:f>
        <x:v>0</x:v>
      </x:c>
      <x:c r="M62" s="38" t="n">
        <x:f>IF(COUNT(INDEX('SKU明细'!$D$11:$D$1309,MATCH("B07-BG-39.5",'SKU明细'!$A$11:$A$1309,0)))=0,"待核",IF(COUNT(INDEX('SKU明细'!$D$11:$D$1309,MATCH("B07-BG-39.5",'SKU明细'!$A$11:$A$1309,0)))&lt;1,SUM(INDEX('SKU明细'!$D$11:$D$1309,MATCH("B07-BG-39.5",'SKU明细'!$A$11:$A$1309,0)))&amp;" + 待核",SUM(INDEX('SKU明细'!$D$11:$D$1309,MATCH("B07-BG-39.5",'SKU明细'!$A$11:$A$1309,0)))))</x:f>
        <x:v>0</x:v>
      </x:c>
      <x:c r="N62" s="38" t="n">
        <x:f>IF(COUNT(INDEX('SKU明细'!$D$11:$D$1309,MATCH("B07-BG-40-by",'SKU明细'!$A$11:$A$1309,0)))=0,"待核",IF(COUNT(INDEX('SKU明细'!$D$11:$D$1309,MATCH("B07-BG-40-by",'SKU明细'!$A$11:$A$1309,0)))&lt;1,SUM(INDEX('SKU明细'!$D$11:$D$1309,MATCH("B07-BG-40-by",'SKU明细'!$A$11:$A$1309,0)))&amp;" + 待核",SUM(INDEX('SKU明细'!$D$11:$D$1309,MATCH("B07-BG-40-by",'SKU明细'!$A$11:$A$1309,0)))))</x:f>
        <x:v>0</x:v>
      </x:c>
      <x:c r="O62" s="38" t="n">
        <x:f>IF(COUNT(INDEX('SKU明细'!$D$11:$D$1309,MATCH("B07-BG-40.5",'SKU明细'!$A$11:$A$1309,0)))=0,"待核",IF(COUNT(INDEX('SKU明细'!$D$11:$D$1309,MATCH("B07-BG-40.5",'SKU明细'!$A$11:$A$1309,0)))&lt;1,SUM(INDEX('SKU明细'!$D$11:$D$1309,MATCH("B07-BG-40.5",'SKU明细'!$A$11:$A$1309,0)))&amp;" + 待核",SUM(INDEX('SKU明细'!$D$11:$D$1309,MATCH("B07-BG-40.5",'SKU明细'!$A$11:$A$1309,0)))))</x:f>
        <x:v>0</x:v>
      </x:c>
      <x:c r="P62" s="38" t="n">
        <x:f>IF(COUNT(INDEX('SKU明细'!$D$11:$D$1309,MATCH("B07-BG-41-by",'SKU明细'!$A$11:$A$1309,0)))=0,"待核",IF(COUNT(INDEX('SKU明细'!$D$11:$D$1309,MATCH("B07-BG-41-by",'SKU明细'!$A$11:$A$1309,0)))&lt;1,SUM(INDEX('SKU明细'!$D$11:$D$1309,MATCH("B07-BG-41-by",'SKU明细'!$A$11:$A$1309,0)))&amp;" + 待核",SUM(INDEX('SKU明细'!$D$11:$D$1309,MATCH("B07-BG-41-by",'SKU明细'!$A$11:$A$1309,0)))))</x:f>
        <x:v>0</x:v>
      </x:c>
      <x:c r="Q62" s="38" t="n">
        <x:f>IF(COUNT(INDEX('SKU明细'!$D$11:$D$1309,MATCH("B07-BG-41.5",'SKU明细'!$A$11:$A$1309,0)))=0,"待核",IF(COUNT(INDEX('SKU明细'!$D$11:$D$1309,MATCH("B07-BG-41.5",'SKU明细'!$A$11:$A$1309,0)))&lt;1,SUM(INDEX('SKU明细'!$D$11:$D$1309,MATCH("B07-BG-41.5",'SKU明细'!$A$11:$A$1309,0)))&amp;" + 待核",SUM(INDEX('SKU明细'!$D$11:$D$1309,MATCH("B07-BG-41.5",'SKU明细'!$A$11:$A$1309,0)))))</x:f>
        <x:v>0</x:v>
      </x:c>
      <x:c r="R62" s="38" t="n">
        <x:f>IF(COUNT(INDEX('SKU明细'!$D$11:$D$1309,MATCH("B07-BG-42-by",'SKU明细'!$A$11:$A$1309,0)))=0,"待核",IF(COUNT(INDEX('SKU明细'!$D$11:$D$1309,MATCH("B07-BG-42-by",'SKU明细'!$A$11:$A$1309,0)))&lt;1,SUM(INDEX('SKU明细'!$D$11:$D$1309,MATCH("B07-BG-42-by",'SKU明细'!$A$11:$A$1309,0)))&amp;" + 待核",SUM(INDEX('SKU明细'!$D$11:$D$1309,MATCH("B07-BG-42-by",'SKU明细'!$A$11:$A$1309,0)))))</x:f>
        <x:v>0</x:v>
      </x:c>
      <x:c r="S62" s="38" t="n">
        <x:f>IF(COUNT(INDEX('SKU明细'!$D$11:$D$1309,MATCH("B07-BG-37-by",'SKU明细'!$A$11:$A$1309,0)),INDEX('SKU明细'!$D$11:$D$1309,MATCH("B07-BG-37.5",'SKU明细'!$A$11:$A$1309,0)),INDEX('SKU明细'!$D$11:$D$1309,MATCH("B07-BG-38-by",'SKU明细'!$A$11:$A$1309,0)),INDEX('SKU明细'!$D$11:$D$1309,MATCH("B07-BG-38.5",'SKU明细'!$A$11:$A$1309,0)),INDEX('SKU明细'!$D$11:$D$1309,MATCH("B07-BG-39-New",'SKU明细'!$A$11:$A$1309,0)),INDEX('SKU明细'!$D$11:$D$1309,MATCH("B07-BG-39.5",'SKU明细'!$A$11:$A$1309,0)),INDEX('SKU明细'!$D$11:$D$1309,MATCH("B07-BG-40-by",'SKU明细'!$A$11:$A$1309,0)),INDEX('SKU明细'!$D$11:$D$1309,MATCH("B07-BG-40.5",'SKU明细'!$A$11:$A$1309,0)),INDEX('SKU明细'!$D$11:$D$1309,MATCH("B07-BG-41-by",'SKU明细'!$A$11:$A$1309,0)),INDEX('SKU明细'!$D$11:$D$1309,MATCH("B07-BG-42-by",'SKU明细'!$A$11:$A$1309,0)),INDEX('SKU明细'!$D$11:$D$1309,MATCH("B07-BG-41.5",'SKU明细'!$A$11:$A$1309,0)))=0,"待核",SUM(INDEX('SKU明细'!$D$11:$D$1309,MATCH("B07-BG-37-by",'SKU明细'!$A$11:$A$1309,0)),INDEX('SKU明细'!$D$11:$D$1309,MATCH("B07-BG-37.5",'SKU明细'!$A$11:$A$1309,0)),INDEX('SKU明细'!$D$11:$D$1309,MATCH("B07-BG-38-by",'SKU明细'!$A$11:$A$1309,0)),INDEX('SKU明细'!$D$11:$D$1309,MATCH("B07-BG-38.5",'SKU明细'!$A$11:$A$1309,0)),INDEX('SKU明细'!$D$11:$D$1309,MATCH("B07-BG-39-New",'SKU明细'!$A$11:$A$1309,0)),INDEX('SKU明细'!$D$11:$D$1309,MATCH("B07-BG-39.5",'SKU明细'!$A$11:$A$1309,0)),INDEX('SKU明细'!$D$11:$D$1309,MATCH("B07-BG-40-by",'SKU明细'!$A$11:$A$1309,0)),INDEX('SKU明细'!$D$11:$D$1309,MATCH("B07-BG-40.5",'SKU明细'!$A$11:$A$1309,0)),INDEX('SKU明细'!$D$11:$D$1309,MATCH("B07-BG-41-by",'SKU明细'!$A$11:$A$1309,0)),INDEX('SKU明细'!$D$11:$D$1309,MATCH("B07-BG-42-by",'SKU明细'!$A$11:$A$1309,0)),INDEX('SKU明细'!$D$11:$D$1309,MATCH("B07-BG-41.5",'SKU明细'!$A$11:$A$1309,0))))</x:f>
        <x:v>0</x:v>
      </x:c>
      <x:c r="T62" s="38" t="n">
        <x:f>IF(COUNTIFS($A$9:$A$191,A62,$U$9:$U$191,"&lt;&gt;待核")=0,"待核",SUMIF($A$9:$A$191,A62,$S$9:$S$191))</x:f>
        <x:v>364</x:v>
      </x:c>
      <x:c r="U62" s="37" t="str">
        <x:f>IF(COUNT(INDEX('SKU明细'!$D$11:$D$1309,MATCH("B07-BG-37-by",'SKU明细'!$A$11:$A$1309,0)),INDEX('SKU明细'!$D$11:$D$1309,MATCH("B07-BG-37.5",'SKU明细'!$A$11:$A$1309,0)),INDEX('SKU明细'!$D$11:$D$1309,MATCH("B07-BG-38-by",'SKU明细'!$A$11:$A$1309,0)),INDEX('SKU明细'!$D$11:$D$1309,MATCH("B07-BG-38.5",'SKU明细'!$A$11:$A$1309,0)),INDEX('SKU明细'!$D$11:$D$1309,MATCH("B07-BG-39-New",'SKU明细'!$A$11:$A$1309,0)),INDEX('SKU明细'!$D$11:$D$1309,MATCH("B07-BG-39.5",'SKU明细'!$A$11:$A$1309,0)),INDEX('SKU明细'!$D$11:$D$1309,MATCH("B07-BG-40-by",'SKU明细'!$A$11:$A$1309,0)),INDEX('SKU明细'!$D$11:$D$1309,MATCH("B07-BG-40.5",'SKU明细'!$A$11:$A$1309,0)),INDEX('SKU明细'!$D$11:$D$1309,MATCH("B07-BG-41-by",'SKU明细'!$A$11:$A$1309,0)),INDEX('SKU明细'!$D$11:$D$1309,MATCH("B07-BG-42-by",'SKU明细'!$A$11:$A$1309,0)),INDEX('SKU明细'!$D$11:$D$1309,MATCH("B07-BG-41.5",'SKU明细'!$A$11:$A$1309,0)))=0,"待核",IF(COUNT(INDEX('SKU明细'!$D$11:$D$1309,MATCH("B07-BG-37-by",'SKU明细'!$A$11:$A$1309,0)),INDEX('SKU明细'!$D$11:$D$1309,MATCH("B07-BG-37.5",'SKU明细'!$A$11:$A$1309,0)),INDEX('SKU明细'!$D$11:$D$1309,MATCH("B07-BG-38-by",'SKU明细'!$A$11:$A$1309,0)),INDEX('SKU明细'!$D$11:$D$1309,MATCH("B07-BG-38.5",'SKU明细'!$A$11:$A$1309,0)),INDEX('SKU明细'!$D$11:$D$1309,MATCH("B07-BG-39-New",'SKU明细'!$A$11:$A$1309,0)),INDEX('SKU明细'!$D$11:$D$1309,MATCH("B07-BG-39.5",'SKU明细'!$A$11:$A$1309,0)),INDEX('SKU明细'!$D$11:$D$1309,MATCH("B07-BG-40-by",'SKU明细'!$A$11:$A$1309,0)),INDEX('SKU明细'!$D$11:$D$1309,MATCH("B07-BG-40.5",'SKU明细'!$A$11:$A$1309,0)),INDEX('SKU明细'!$D$11:$D$1309,MATCH("B07-BG-41-by",'SKU明细'!$A$11:$A$1309,0)),INDEX('SKU明细'!$D$11:$D$1309,MATCH("B07-BG-42-by",'SKU明细'!$A$11:$A$1309,0)),INDEX('SKU明细'!$D$11:$D$1309,MATCH("B07-BG-41.5",'SKU明细'!$A$11:$A$1309,0)))&lt;11,"另有待核","已核"))</x:f>
        <x:v>已核</x:v>
      </x:c>
      <x:c r="V62" s="37" t="str">
        <x:v>在售、停售</x:v>
      </x:c>
      <x:c r="W62" s="11" t="n">
        <x:f>IF(COUNT(INDEX('SKU明细'!$BV$11:$BV$1309,MATCH("B07-BG-37-by",'SKU明细'!$A$11:$A$1309,0)),INDEX('SKU明细'!$BV$11:$BV$1309,MATCH("B07-BG-37.5",'SKU明细'!$A$11:$A$1309,0)),INDEX('SKU明细'!$BV$11:$BV$1309,MATCH("B07-BG-38-by",'SKU明细'!$A$11:$A$1309,0)),INDEX('SKU明细'!$BV$11:$BV$1309,MATCH("B07-BG-38.5",'SKU明细'!$A$11:$A$1309,0)),INDEX('SKU明细'!$BV$11:$BV$1309,MATCH("B07-BG-39-New",'SKU明细'!$A$11:$A$1309,0)),INDEX('SKU明细'!$BV$11:$BV$1309,MATCH("B07-BG-39.5",'SKU明细'!$A$11:$A$1309,0)),INDEX('SKU明细'!$BV$11:$BV$1309,MATCH("B07-BG-40-by",'SKU明细'!$A$11:$A$1309,0)),INDEX('SKU明细'!$BV$11:$BV$1309,MATCH("B07-BG-40.5",'SKU明细'!$A$11:$A$1309,0)),INDEX('SKU明细'!$BV$11:$BV$1309,MATCH("B07-BG-41-by",'SKU明细'!$A$11:$A$1309,0)),INDEX('SKU明细'!$BV$11:$BV$1309,MATCH("B07-BG-42-by",'SKU明细'!$A$11:$A$1309,0)),INDEX('SKU明细'!$BV$11:$BV$1309,MATCH("B07-BG-41.5",'SKU明细'!$A$11:$A$1309,0)))=11,SUM(INDEX('SKU明细'!$BV$11:$BV$1309,MATCH("B07-BG-37-by",'SKU明细'!$A$11:$A$1309,0)),INDEX('SKU明细'!$BV$11:$BV$1309,MATCH("B07-BG-37.5",'SKU明细'!$A$11:$A$1309,0)),INDEX('SKU明细'!$BV$11:$BV$1309,MATCH("B07-BG-38-by",'SKU明细'!$A$11:$A$1309,0)),INDEX('SKU明细'!$BV$11:$BV$1309,MATCH("B07-BG-38.5",'SKU明细'!$A$11:$A$1309,0)),INDEX('SKU明细'!$BV$11:$BV$1309,MATCH("B07-BG-39-New",'SKU明细'!$A$11:$A$1309,0)),INDEX('SKU明细'!$BV$11:$BV$1309,MATCH("B07-BG-39.5",'SKU明细'!$A$11:$A$1309,0)),INDEX('SKU明细'!$BV$11:$BV$1309,MATCH("B07-BG-40-by",'SKU明细'!$A$11:$A$1309,0)),INDEX('SKU明细'!$BV$11:$BV$1309,MATCH("B07-BG-40.5",'SKU明细'!$A$11:$A$1309,0)),INDEX('SKU明细'!$BV$11:$BV$1309,MATCH("B07-BG-41-by",'SKU明细'!$A$11:$A$1309,0)),INDEX('SKU明细'!$BV$11:$BV$1309,MATCH("B07-BG-42-by",'SKU明细'!$A$11:$A$1309,0)),INDEX('SKU明细'!$BV$11:$BV$1309,MATCH("B07-BG-41.5",'SKU明细'!$A$11:$A$1309,0))),"待核")</x:f>
        <x:v>3.101936384863938</x:v>
      </x:c>
      <x:c r="X62" s="11" t="n">
        <x:f>INDEX('SKU明细'!$BW$11:$BW$1309,MATCH("B07-BG-37-by",'SKU明细'!$A$11:$A$1309,0))</x:f>
        <x:v>0.7307750238224848</x:v>
      </x:c>
      <x:c r="Y62" s="13" t="n">
        <x:f>IF(COUNT(INDEX('SKU明细'!$BY$11:$BY$1309,MATCH("B07-BG-37-by",'SKU明细'!$A$11:$A$1309,0)),INDEX('SKU明细'!$BY$11:$BY$1309,MATCH("B07-BG-37.5",'SKU明细'!$A$11:$A$1309,0)),INDEX('SKU明细'!$BY$11:$BY$1309,MATCH("B07-BG-38-by",'SKU明细'!$A$11:$A$1309,0)),INDEX('SKU明细'!$BY$11:$BY$1309,MATCH("B07-BG-38.5",'SKU明细'!$A$11:$A$1309,0)),INDEX('SKU明细'!$BY$11:$BY$1309,MATCH("B07-BG-39-New",'SKU明细'!$A$11:$A$1309,0)),INDEX('SKU明细'!$BY$11:$BY$1309,MATCH("B07-BG-39.5",'SKU明细'!$A$11:$A$1309,0)),INDEX('SKU明细'!$BY$11:$BY$1309,MATCH("B07-BG-40-by",'SKU明细'!$A$11:$A$1309,0)),INDEX('SKU明细'!$BY$11:$BY$1309,MATCH("B07-BG-40.5",'SKU明细'!$A$11:$A$1309,0)),INDEX('SKU明细'!$BY$11:$BY$1309,MATCH("B07-BG-41-by",'SKU明细'!$A$11:$A$1309,0)),INDEX('SKU明细'!$BY$11:$BY$1309,MATCH("B07-BG-42-by",'SKU明细'!$A$11:$A$1309,0)),INDEX('SKU明细'!$BY$11:$BY$1309,MATCH("B07-BG-41.5",'SKU明细'!$A$11:$A$1309,0)))=11,SUM(INDEX('SKU明细'!$BY$11:$BY$1309,MATCH("B07-BG-37-by",'SKU明细'!$A$11:$A$1309,0)),INDEX('SKU明细'!$BY$11:$BY$1309,MATCH("B07-BG-37.5",'SKU明细'!$A$11:$A$1309,0)),INDEX('SKU明细'!$BY$11:$BY$1309,MATCH("B07-BG-38-by",'SKU明细'!$A$11:$A$1309,0)),INDEX('SKU明细'!$BY$11:$BY$1309,MATCH("B07-BG-38.5",'SKU明细'!$A$11:$A$1309,0)),INDEX('SKU明细'!$BY$11:$BY$1309,MATCH("B07-BG-39-New",'SKU明细'!$A$11:$A$1309,0)),INDEX('SKU明细'!$BY$11:$BY$1309,MATCH("B07-BG-39.5",'SKU明细'!$A$11:$A$1309,0)),INDEX('SKU明细'!$BY$11:$BY$1309,MATCH("B07-BG-40-by",'SKU明细'!$A$11:$A$1309,0)),INDEX('SKU明细'!$BY$11:$BY$1309,MATCH("B07-BG-40.5",'SKU明细'!$A$11:$A$1309,0)),INDEX('SKU明细'!$BY$11:$BY$1309,MATCH("B07-BG-41-by",'SKU明细'!$A$11:$A$1309,0)),INDEX('SKU明细'!$BY$11:$BY$1309,MATCH("B07-BG-42-by",'SKU明细'!$A$11:$A$1309,0)),INDEX('SKU明细'!$BY$11:$BY$1309,MATCH("B07-BG-41.5",'SKU明细'!$A$11:$A$1309,0))),"待核")</x:f>
        <x:v>27.20181162653732</x:v>
      </x:c>
      <x:c r="Z62" s="11" t="n">
        <x:f>INDEX('SKU明细'!$BZ$11:$BZ$1309,MATCH("B07-BG-37-by",'SKU明细'!$A$11:$A$1309,0))</x:f>
        <x:v>0.9523018155490097</x:v>
      </x:c>
      <x:c r="AA62" s="13" t="n">
        <x:f>IF(COUNT(INDEX('SKU明细'!$CB$11:$CB$1309,MATCH("B07-BG-37-by",'SKU明细'!$A$11:$A$1309,0)),INDEX('SKU明细'!$CB$11:$CB$1309,MATCH("B07-BG-37.5",'SKU明细'!$A$11:$A$1309,0)),INDEX('SKU明细'!$CB$11:$CB$1309,MATCH("B07-BG-38-by",'SKU明细'!$A$11:$A$1309,0)),INDEX('SKU明细'!$CB$11:$CB$1309,MATCH("B07-BG-38.5",'SKU明细'!$A$11:$A$1309,0)),INDEX('SKU明细'!$CB$11:$CB$1309,MATCH("B07-BG-39-New",'SKU明细'!$A$11:$A$1309,0)),INDEX('SKU明细'!$CB$11:$CB$1309,MATCH("B07-BG-39.5",'SKU明细'!$A$11:$A$1309,0)),INDEX('SKU明细'!$CB$11:$CB$1309,MATCH("B07-BG-40-by",'SKU明细'!$A$11:$A$1309,0)),INDEX('SKU明细'!$CB$11:$CB$1309,MATCH("B07-BG-40.5",'SKU明细'!$A$11:$A$1309,0)),INDEX('SKU明细'!$CB$11:$CB$1309,MATCH("B07-BG-41-by",'SKU明细'!$A$11:$A$1309,0)),INDEX('SKU明细'!$CB$11:$CB$1309,MATCH("B07-BG-42-by",'SKU明细'!$A$11:$A$1309,0)),INDEX('SKU明细'!$CB$11:$CB$1309,MATCH("B07-BG-41.5",'SKU明细'!$A$11:$A$1309,0)))=11,SUM(INDEX('SKU明细'!$CB$11:$CB$1309,MATCH("B07-BG-37-by",'SKU明细'!$A$11:$A$1309,0)),INDEX('SKU明细'!$CB$11:$CB$1309,MATCH("B07-BG-37.5",'SKU明细'!$A$11:$A$1309,0)),INDEX('SKU明细'!$CB$11:$CB$1309,MATCH("B07-BG-38-by",'SKU明细'!$A$11:$A$1309,0)),INDEX('SKU明细'!$CB$11:$CB$1309,MATCH("B07-BG-38.5",'SKU明细'!$A$11:$A$1309,0)),INDEX('SKU明细'!$CB$11:$CB$1309,MATCH("B07-BG-39-New",'SKU明细'!$A$11:$A$1309,0)),INDEX('SKU明细'!$CB$11:$CB$1309,MATCH("B07-BG-39.5",'SKU明细'!$A$11:$A$1309,0)),INDEX('SKU明细'!$CB$11:$CB$1309,MATCH("B07-BG-40-by",'SKU明细'!$A$11:$A$1309,0)),INDEX('SKU明细'!$CB$11:$CB$1309,MATCH("B07-BG-40.5",'SKU明细'!$A$11:$A$1309,0)),INDEX('SKU明细'!$CB$11:$CB$1309,MATCH("B07-BG-41-by",'SKU明细'!$A$11:$A$1309,0)),INDEX('SKU明细'!$CB$11:$CB$1309,MATCH("B07-BG-42-by",'SKU明细'!$A$11:$A$1309,0)),INDEX('SKU明细'!$CB$11:$CB$1309,MATCH("B07-BG-41.5",'SKU明细'!$A$11:$A$1309,0))),"待核")</x:f>
        <x:v>88.6193895307038</x:v>
      </x:c>
      <x:c r="AB62" s="11" t="n">
        <x:f>INDEX('SKU明细'!$CC$11:$CC$1309,MATCH("B07-BG-37-by",'SKU明细'!$A$11:$A$1309,0))</x:f>
        <x:v>0.5958545198749097</x:v>
      </x:c>
      <x:c r="AC62" s="13" t="n">
        <x:f>IF(COUNT(INDEX('SKU明细'!$CE$11:$CE$1309,MATCH("B07-BG-37-by",'SKU明细'!$A$11:$A$1309,0)),INDEX('SKU明细'!$CE$11:$CE$1309,MATCH("B07-BG-37.5",'SKU明细'!$A$11:$A$1309,0)),INDEX('SKU明细'!$CE$11:$CE$1309,MATCH("B07-BG-38-by",'SKU明细'!$A$11:$A$1309,0)),INDEX('SKU明细'!$CE$11:$CE$1309,MATCH("B07-BG-38.5",'SKU明细'!$A$11:$A$1309,0)),INDEX('SKU明细'!$CE$11:$CE$1309,MATCH("B07-BG-39-New",'SKU明细'!$A$11:$A$1309,0)),INDEX('SKU明细'!$CE$11:$CE$1309,MATCH("B07-BG-39.5",'SKU明细'!$A$11:$A$1309,0)),INDEX('SKU明细'!$CE$11:$CE$1309,MATCH("B07-BG-40-by",'SKU明细'!$A$11:$A$1309,0)),INDEX('SKU明细'!$CE$11:$CE$1309,MATCH("B07-BG-40.5",'SKU明细'!$A$11:$A$1309,0)),INDEX('SKU明细'!$CE$11:$CE$1309,MATCH("B07-BG-41-by",'SKU明细'!$A$11:$A$1309,0)),INDEX('SKU明细'!$CE$11:$CE$1309,MATCH("B07-BG-42-by",'SKU明细'!$A$11:$A$1309,0)),INDEX('SKU明细'!$CE$11:$CE$1309,MATCH("B07-BG-41.5",'SKU明细'!$A$11:$A$1309,0)))=11,SUM(INDEX('SKU明细'!$CE$11:$CE$1309,MATCH("B07-BG-37-by",'SKU明细'!$A$11:$A$1309,0)),INDEX('SKU明细'!$CE$11:$CE$1309,MATCH("B07-BG-37.5",'SKU明细'!$A$11:$A$1309,0)),INDEX('SKU明细'!$CE$11:$CE$1309,MATCH("B07-BG-38-by",'SKU明细'!$A$11:$A$1309,0)),INDEX('SKU明细'!$CE$11:$CE$1309,MATCH("B07-BG-38.5",'SKU明细'!$A$11:$A$1309,0)),INDEX('SKU明细'!$CE$11:$CE$1309,MATCH("B07-BG-39-New",'SKU明细'!$A$11:$A$1309,0)),INDEX('SKU明细'!$CE$11:$CE$1309,MATCH("B07-BG-39.5",'SKU明细'!$A$11:$A$1309,0)),INDEX('SKU明细'!$CE$11:$CE$1309,MATCH("B07-BG-40-by",'SKU明细'!$A$11:$A$1309,0)),INDEX('SKU明细'!$CE$11:$CE$1309,MATCH("B07-BG-40.5",'SKU明细'!$A$11:$A$1309,0)),INDEX('SKU明细'!$CE$11:$CE$1309,MATCH("B07-BG-41-by",'SKU明细'!$A$11:$A$1309,0)),INDEX('SKU明细'!$CE$11:$CE$1309,MATCH("B07-BG-42-by",'SKU明细'!$A$11:$A$1309,0)),INDEX('SKU明细'!$CE$11:$CE$1309,MATCH("B07-BG-41.5",'SKU明细'!$A$11:$A$1309,0))),"待核")</x:f>
        <x:v>57.297387273854056</x:v>
      </x:c>
      <x:c r="AD62" s="11" t="n">
        <x:f>INDEX('SKU明细'!$CF$11:$CF$1309,MATCH("B07-BG-37-by",'SKU明细'!$A$11:$A$1309,0))</x:f>
        <x:v>1.3264167397065354</x:v>
      </x:c>
      <x:c r="AE62" s="13" t="n">
        <x:f>IF(COUNT(INDEX('SKU明细'!$CH$11:$CH$1309,MATCH("B07-BG-37-by",'SKU明细'!$A$11:$A$1309,0)),INDEX('SKU明细'!$CH$11:$CH$1309,MATCH("B07-BG-37.5",'SKU明细'!$A$11:$A$1309,0)),INDEX('SKU明细'!$CH$11:$CH$1309,MATCH("B07-BG-38-by",'SKU明细'!$A$11:$A$1309,0)),INDEX('SKU明细'!$CH$11:$CH$1309,MATCH("B07-BG-38.5",'SKU明细'!$A$11:$A$1309,0)),INDEX('SKU明细'!$CH$11:$CH$1309,MATCH("B07-BG-39-New",'SKU明细'!$A$11:$A$1309,0)),INDEX('SKU明细'!$CH$11:$CH$1309,MATCH("B07-BG-39.5",'SKU明细'!$A$11:$A$1309,0)),INDEX('SKU明细'!$CH$11:$CH$1309,MATCH("B07-BG-40-by",'SKU明细'!$A$11:$A$1309,0)),INDEX('SKU明细'!$CH$11:$CH$1309,MATCH("B07-BG-40.5",'SKU明细'!$A$11:$A$1309,0)),INDEX('SKU明细'!$CH$11:$CH$1309,MATCH("B07-BG-41-by",'SKU明细'!$A$11:$A$1309,0)),INDEX('SKU明细'!$CH$11:$CH$1309,MATCH("B07-BG-42-by",'SKU明细'!$A$11:$A$1309,0)),INDEX('SKU明细'!$CH$11:$CH$1309,MATCH("B07-BG-41.5",'SKU明细'!$A$11:$A$1309,0)))=11,SUM(INDEX('SKU明细'!$CH$11:$CH$1309,MATCH("B07-BG-37-by",'SKU明细'!$A$11:$A$1309,0)),INDEX('SKU明细'!$CH$11:$CH$1309,MATCH("B07-BG-37.5",'SKU明细'!$A$11:$A$1309,0)),INDEX('SKU明细'!$CH$11:$CH$1309,MATCH("B07-BG-38-by",'SKU明细'!$A$11:$A$1309,0)),INDEX('SKU明细'!$CH$11:$CH$1309,MATCH("B07-BG-38.5",'SKU明细'!$A$11:$A$1309,0)),INDEX('SKU明细'!$CH$11:$CH$1309,MATCH("B07-BG-39-New",'SKU明细'!$A$11:$A$1309,0)),INDEX('SKU明细'!$CH$11:$CH$1309,MATCH("B07-BG-39.5",'SKU明细'!$A$11:$A$1309,0)),INDEX('SKU明细'!$CH$11:$CH$1309,MATCH("B07-BG-40-by",'SKU明细'!$A$11:$A$1309,0)),INDEX('SKU明细'!$CH$11:$CH$1309,MATCH("B07-BG-40.5",'SKU明细'!$A$11:$A$1309,0)),INDEX('SKU明细'!$CH$11:$CH$1309,MATCH("B07-BG-41-by",'SKU明细'!$A$11:$A$1309,0)),INDEX('SKU明细'!$CH$11:$CH$1309,MATCH("B07-BG-42-by",'SKU明细'!$A$11:$A$1309,0)),INDEX('SKU明细'!$CH$11:$CH$1309,MATCH("B07-BG-41.5",'SKU明细'!$A$11:$A$1309,0))),"待核")</x:f>
        <x:v>69.94582588860112</x:v>
      </x:c>
      <x:c r="AF62" s="13" t="n">
        <x:f>IF(COUNT(INDEX('SKU明细'!$CI$11:$CI$1309,MATCH("B07-BG-37-by",'SKU明细'!$A$11:$A$1309,0)),INDEX('SKU明细'!$CI$11:$CI$1309,MATCH("B07-BG-37.5",'SKU明细'!$A$11:$A$1309,0)),INDEX('SKU明细'!$CI$11:$CI$1309,MATCH("B07-BG-38-by",'SKU明细'!$A$11:$A$1309,0)),INDEX('SKU明细'!$CI$11:$CI$1309,MATCH("B07-BG-38.5",'SKU明细'!$A$11:$A$1309,0)),INDEX('SKU明细'!$CI$11:$CI$1309,MATCH("B07-BG-39-New",'SKU明细'!$A$11:$A$1309,0)),INDEX('SKU明细'!$CI$11:$CI$1309,MATCH("B07-BG-39.5",'SKU明细'!$A$11:$A$1309,0)),INDEX('SKU明细'!$CI$11:$CI$1309,MATCH("B07-BG-40-by",'SKU明细'!$A$11:$A$1309,0)),INDEX('SKU明细'!$CI$11:$CI$1309,MATCH("B07-BG-40.5",'SKU明细'!$A$11:$A$1309,0)),INDEX('SKU明细'!$CI$11:$CI$1309,MATCH("B07-BG-41-by",'SKU明细'!$A$11:$A$1309,0)),INDEX('SKU明细'!$CI$11:$CI$1309,MATCH("B07-BG-42-by",'SKU明细'!$A$11:$A$1309,0)),INDEX('SKU明细'!$CI$11:$CI$1309,MATCH("B07-BG-41.5",'SKU明细'!$A$11:$A$1309,0)))=11,SUM(INDEX('SKU明细'!$CI$11:$CI$1309,MATCH("B07-BG-37-by",'SKU明细'!$A$11:$A$1309,0)),INDEX('SKU明细'!$CI$11:$CI$1309,MATCH("B07-BG-37.5",'SKU明细'!$A$11:$A$1309,0)),INDEX('SKU明细'!$CI$11:$CI$1309,MATCH("B07-BG-38-by",'SKU明细'!$A$11:$A$1309,0)),INDEX('SKU明细'!$CI$11:$CI$1309,MATCH("B07-BG-38.5",'SKU明细'!$A$11:$A$1309,0)),INDEX('SKU明细'!$CI$11:$CI$1309,MATCH("B07-BG-39-New",'SKU明细'!$A$11:$A$1309,0)),INDEX('SKU明细'!$CI$11:$CI$1309,MATCH("B07-BG-39.5",'SKU明细'!$A$11:$A$1309,0)),INDEX('SKU明细'!$CI$11:$CI$1309,MATCH("B07-BG-40-by",'SKU明细'!$A$11:$A$1309,0)),INDEX('SKU明细'!$CI$11:$CI$1309,MATCH("B07-BG-40.5",'SKU明细'!$A$11:$A$1309,0)),INDEX('SKU明细'!$CI$11:$CI$1309,MATCH("B07-BG-41-by",'SKU明细'!$A$11:$A$1309,0)),INDEX('SKU明细'!$CI$11:$CI$1309,MATCH("B07-BG-42-by",'SKU明细'!$A$11:$A$1309,0)),INDEX('SKU明细'!$CI$11:$CI$1309,MATCH("B07-BG-41.5",'SKU明细'!$A$11:$A$1309,0))),"待核")</x:f>
        <x:v>243.0644143196963</x:v>
      </x:c>
    </x:row>
    <x:row r="63" ht="40" customHeight="1">
      <x:c r="A63" s="37" t="str">
        <x:v>B07</x:v>
      </x:c>
      <x:c r="B63" s="37" t="str">
        <x:v>艾年</x:v>
      </x:c>
      <x:c r="C63" s="37" t="str">
        <x:v>米色PU</x:v>
      </x:c>
      <x:c r="D63" s="37" t="str">
        <x:v>BGP</x:v>
      </x:c>
      <x:c r="E63" s="37" t="str">
        <x:v>B07-BGP</x:v>
      </x:c>
      <x:c r="F63" s="37"/>
      <x:c r="G63" s="38" t="str">
        <x:f>"—"</x:f>
        <x:v>—</x:v>
      </x:c>
      <x:c r="H63" s="38" t="str">
        <x:f>"—"</x:f>
        <x:v>—</x:v>
      </x:c>
      <x:c r="I63" s="38" t="n">
        <x:f>IF(COUNT(INDEX('SKU明细'!$D$11:$D$1309,MATCH("B07-BGP-37.5",'SKU明细'!$A$11:$A$1309,0)))=0,"待核",IF(COUNT(INDEX('SKU明细'!$D$11:$D$1309,MATCH("B07-BGP-37.5",'SKU明细'!$A$11:$A$1309,0)))&lt;1,SUM(INDEX('SKU明细'!$D$11:$D$1309,MATCH("B07-BGP-37.5",'SKU明细'!$A$11:$A$1309,0)))&amp;" + 待核",SUM(INDEX('SKU明细'!$D$11:$D$1309,MATCH("B07-BGP-37.5",'SKU明细'!$A$11:$A$1309,0)))))</x:f>
        <x:v>0</x:v>
      </x:c>
      <x:c r="J63" s="38" t="n">
        <x:f>IF(COUNT(INDEX('SKU明细'!$D$11:$D$1309,MATCH("B07-BGP-38-by",'SKU明细'!$A$11:$A$1309,0)))=0,"待核",IF(COUNT(INDEX('SKU明细'!$D$11:$D$1309,MATCH("B07-BGP-38-by",'SKU明细'!$A$11:$A$1309,0)))&lt;1,SUM(INDEX('SKU明细'!$D$11:$D$1309,MATCH("B07-BGP-38-by",'SKU明细'!$A$11:$A$1309,0)))&amp;" + 待核",SUM(INDEX('SKU明细'!$D$11:$D$1309,MATCH("B07-BGP-38-by",'SKU明细'!$A$11:$A$1309,0)))))</x:f>
        <x:v>0</x:v>
      </x:c>
      <x:c r="K63" s="38" t="n">
        <x:f>IF(COUNT(INDEX('SKU明细'!$D$11:$D$1309,MATCH("B07-BGP-38.5",'SKU明细'!$A$11:$A$1309,0)))=0,"待核",IF(COUNT(INDEX('SKU明细'!$D$11:$D$1309,MATCH("B07-BGP-38.5",'SKU明细'!$A$11:$A$1309,0)))&lt;1,SUM(INDEX('SKU明细'!$D$11:$D$1309,MATCH("B07-BGP-38.5",'SKU明细'!$A$11:$A$1309,0)))&amp;" + 待核",SUM(INDEX('SKU明细'!$D$11:$D$1309,MATCH("B07-BGP-38.5",'SKU明细'!$A$11:$A$1309,0)))))</x:f>
        <x:v>0</x:v>
      </x:c>
      <x:c r="L63" s="38" t="n">
        <x:f>IF(COUNT(INDEX('SKU明细'!$D$11:$D$1309,MATCH("B07-BGP-39-by",'SKU明细'!$A$11:$A$1309,0)))=0,"待核",IF(COUNT(INDEX('SKU明细'!$D$11:$D$1309,MATCH("B07-BGP-39-by",'SKU明细'!$A$11:$A$1309,0)))&lt;1,SUM(INDEX('SKU明细'!$D$11:$D$1309,MATCH("B07-BGP-39-by",'SKU明细'!$A$11:$A$1309,0)))&amp;" + 待核",SUM(INDEX('SKU明细'!$D$11:$D$1309,MATCH("B07-BGP-39-by",'SKU明细'!$A$11:$A$1309,0)))))</x:f>
        <x:v>0</x:v>
      </x:c>
      <x:c r="M63" s="38" t="n">
        <x:f>IF(COUNT(INDEX('SKU明细'!$D$11:$D$1309,MATCH("B07-BGP-39.5",'SKU明细'!$A$11:$A$1309,0)))=0,"待核",IF(COUNT(INDEX('SKU明细'!$D$11:$D$1309,MATCH("B07-BGP-39.5",'SKU明细'!$A$11:$A$1309,0)))&lt;1,SUM(INDEX('SKU明细'!$D$11:$D$1309,MATCH("B07-BGP-39.5",'SKU明细'!$A$11:$A$1309,0)))&amp;" + 待核",SUM(INDEX('SKU明细'!$D$11:$D$1309,MATCH("B07-BGP-39.5",'SKU明细'!$A$11:$A$1309,0)))))</x:f>
        <x:v>0</x:v>
      </x:c>
      <x:c r="N63" s="38" t="n">
        <x:f>IF(COUNT(INDEX('SKU明细'!$D$11:$D$1309,MATCH("B07-BGP-40-New",'SKU明细'!$A$11:$A$1309,0)))=0,"待核",IF(COUNT(INDEX('SKU明细'!$D$11:$D$1309,MATCH("B07-BGP-40-New",'SKU明细'!$A$11:$A$1309,0)))&lt;1,SUM(INDEX('SKU明细'!$D$11:$D$1309,MATCH("B07-BGP-40-New",'SKU明细'!$A$11:$A$1309,0)))&amp;" + 待核",SUM(INDEX('SKU明细'!$D$11:$D$1309,MATCH("B07-BGP-40-New",'SKU明细'!$A$11:$A$1309,0)))))</x:f>
        <x:v>0</x:v>
      </x:c>
      <x:c r="O63" s="38" t="n">
        <x:f>IF(COUNT(INDEX('SKU明细'!$D$11:$D$1309,MATCH("B07-BGP-40.5",'SKU明细'!$A$11:$A$1309,0)))=0,"待核",IF(COUNT(INDEX('SKU明细'!$D$11:$D$1309,MATCH("B07-BGP-40.5",'SKU明细'!$A$11:$A$1309,0)))&lt;1,SUM(INDEX('SKU明细'!$D$11:$D$1309,MATCH("B07-BGP-40.5",'SKU明细'!$A$11:$A$1309,0)))&amp;" + 待核",SUM(INDEX('SKU明细'!$D$11:$D$1309,MATCH("B07-BGP-40.5",'SKU明细'!$A$11:$A$1309,0)))))</x:f>
        <x:v>0</x:v>
      </x:c>
      <x:c r="P63" s="38" t="str">
        <x:f>"—"</x:f>
        <x:v>—</x:v>
      </x:c>
      <x:c r="Q63" s="38" t="n">
        <x:f>IF(COUNT(INDEX('SKU明细'!$D$11:$D$1309,MATCH("B07-BGP-41.5",'SKU明细'!$A$11:$A$1309,0)))=0,"待核",IF(COUNT(INDEX('SKU明细'!$D$11:$D$1309,MATCH("B07-BGP-41.5",'SKU明细'!$A$11:$A$1309,0)))&lt;1,SUM(INDEX('SKU明细'!$D$11:$D$1309,MATCH("B07-BGP-41.5",'SKU明细'!$A$11:$A$1309,0)))&amp;" + 待核",SUM(INDEX('SKU明细'!$D$11:$D$1309,MATCH("B07-BGP-41.5",'SKU明细'!$A$11:$A$1309,0)))))</x:f>
        <x:v>0</x:v>
      </x:c>
      <x:c r="R63" s="38" t="str">
        <x:f>"—"</x:f>
        <x:v>—</x:v>
      </x:c>
      <x:c r="S63" s="38" t="n">
        <x:f>IF(COUNT(INDEX('SKU明细'!$D$11:$D$1309,MATCH("B07-BGP-37.5",'SKU明细'!$A$11:$A$1309,0)),INDEX('SKU明细'!$D$11:$D$1309,MATCH("B07-BGP-38-by",'SKU明细'!$A$11:$A$1309,0)),INDEX('SKU明细'!$D$11:$D$1309,MATCH("B07-BGP-38.5",'SKU明细'!$A$11:$A$1309,0)),INDEX('SKU明细'!$D$11:$D$1309,MATCH("B07-BGP-39-by",'SKU明细'!$A$11:$A$1309,0)),INDEX('SKU明细'!$D$11:$D$1309,MATCH("B07-BGP-39.5",'SKU明细'!$A$11:$A$1309,0)),INDEX('SKU明细'!$D$11:$D$1309,MATCH("B07-BGP-40-New",'SKU明细'!$A$11:$A$1309,0)),INDEX('SKU明细'!$D$11:$D$1309,MATCH("B07-BGP-40.5",'SKU明细'!$A$11:$A$1309,0)),INDEX('SKU明细'!$D$11:$D$1309,MATCH("B07-BGP-41.5",'SKU明细'!$A$11:$A$1309,0)))=0,"待核",SUM(INDEX('SKU明细'!$D$11:$D$1309,MATCH("B07-BGP-37.5",'SKU明细'!$A$11:$A$1309,0)),INDEX('SKU明细'!$D$11:$D$1309,MATCH("B07-BGP-38-by",'SKU明细'!$A$11:$A$1309,0)),INDEX('SKU明细'!$D$11:$D$1309,MATCH("B07-BGP-38.5",'SKU明细'!$A$11:$A$1309,0)),INDEX('SKU明细'!$D$11:$D$1309,MATCH("B07-BGP-39-by",'SKU明细'!$A$11:$A$1309,0)),INDEX('SKU明细'!$D$11:$D$1309,MATCH("B07-BGP-39.5",'SKU明细'!$A$11:$A$1309,0)),INDEX('SKU明细'!$D$11:$D$1309,MATCH("B07-BGP-40-New",'SKU明细'!$A$11:$A$1309,0)),INDEX('SKU明细'!$D$11:$D$1309,MATCH("B07-BGP-40.5",'SKU明细'!$A$11:$A$1309,0)),INDEX('SKU明细'!$D$11:$D$1309,MATCH("B07-BGP-41.5",'SKU明细'!$A$11:$A$1309,0))))</x:f>
        <x:v>0</x:v>
      </x:c>
      <x:c r="T63" s="38" t="n">
        <x:f>IF(COUNTIFS($A$9:$A$191,A63,$U$9:$U$191,"&lt;&gt;待核")=0,"待核",SUMIF($A$9:$A$191,A63,$S$9:$S$191))</x:f>
        <x:v>364</x:v>
      </x:c>
      <x:c r="U63" s="37" t="str">
        <x:f>IF(COUNT(INDEX('SKU明细'!$D$11:$D$1309,MATCH("B07-BGP-37.5",'SKU明细'!$A$11:$A$1309,0)),INDEX('SKU明细'!$D$11:$D$1309,MATCH("B07-BGP-38-by",'SKU明细'!$A$11:$A$1309,0)),INDEX('SKU明细'!$D$11:$D$1309,MATCH("B07-BGP-38.5",'SKU明细'!$A$11:$A$1309,0)),INDEX('SKU明细'!$D$11:$D$1309,MATCH("B07-BGP-39-by",'SKU明细'!$A$11:$A$1309,0)),INDEX('SKU明细'!$D$11:$D$1309,MATCH("B07-BGP-39.5",'SKU明细'!$A$11:$A$1309,0)),INDEX('SKU明细'!$D$11:$D$1309,MATCH("B07-BGP-40-New",'SKU明细'!$A$11:$A$1309,0)),INDEX('SKU明细'!$D$11:$D$1309,MATCH("B07-BGP-40.5",'SKU明细'!$A$11:$A$1309,0)),INDEX('SKU明细'!$D$11:$D$1309,MATCH("B07-BGP-41.5",'SKU明细'!$A$11:$A$1309,0)))=0,"待核",IF(COUNT(INDEX('SKU明细'!$D$11:$D$1309,MATCH("B07-BGP-37.5",'SKU明细'!$A$11:$A$1309,0)),INDEX('SKU明细'!$D$11:$D$1309,MATCH("B07-BGP-38-by",'SKU明细'!$A$11:$A$1309,0)),INDEX('SKU明细'!$D$11:$D$1309,MATCH("B07-BGP-38.5",'SKU明细'!$A$11:$A$1309,0)),INDEX('SKU明细'!$D$11:$D$1309,MATCH("B07-BGP-39-by",'SKU明细'!$A$11:$A$1309,0)),INDEX('SKU明细'!$D$11:$D$1309,MATCH("B07-BGP-39.5",'SKU明细'!$A$11:$A$1309,0)),INDEX('SKU明细'!$D$11:$D$1309,MATCH("B07-BGP-40-New",'SKU明细'!$A$11:$A$1309,0)),INDEX('SKU明细'!$D$11:$D$1309,MATCH("B07-BGP-40.5",'SKU明细'!$A$11:$A$1309,0)),INDEX('SKU明细'!$D$11:$D$1309,MATCH("B07-BGP-41.5",'SKU明细'!$A$11:$A$1309,0)))&lt;8,"另有待核","已核"))</x:f>
        <x:v>已核</x:v>
      </x:c>
      <x:c r="V63" s="37" t="str">
        <x:v>在售、停售</x:v>
      </x:c>
      <x:c r="W63" s="11" t="n">
        <x:f>IF(COUNT(INDEX('SKU明细'!$BV$11:$BV$1309,MATCH("B07-BGP-37.5",'SKU明细'!$A$11:$A$1309,0)),INDEX('SKU明细'!$BV$11:$BV$1309,MATCH("B07-BGP-38-by",'SKU明细'!$A$11:$A$1309,0)),INDEX('SKU明细'!$BV$11:$BV$1309,MATCH("B07-BGP-38.5",'SKU明细'!$A$11:$A$1309,0)),INDEX('SKU明细'!$BV$11:$BV$1309,MATCH("B07-BGP-39-by",'SKU明细'!$A$11:$A$1309,0)),INDEX('SKU明细'!$BV$11:$BV$1309,MATCH("B07-BGP-39.5",'SKU明细'!$A$11:$A$1309,0)),INDEX('SKU明细'!$BV$11:$BV$1309,MATCH("B07-BGP-40-New",'SKU明细'!$A$11:$A$1309,0)),INDEX('SKU明细'!$BV$11:$BV$1309,MATCH("B07-BGP-40.5",'SKU明细'!$A$11:$A$1309,0)),INDEX('SKU明细'!$BV$11:$BV$1309,MATCH("B07-BGP-41.5",'SKU明细'!$A$11:$A$1309,0)))=8,SUM(INDEX('SKU明细'!$BV$11:$BV$1309,MATCH("B07-BGP-37.5",'SKU明细'!$A$11:$A$1309,0)),INDEX('SKU明细'!$BV$11:$BV$1309,MATCH("B07-BGP-38-by",'SKU明细'!$A$11:$A$1309,0)),INDEX('SKU明细'!$BV$11:$BV$1309,MATCH("B07-BGP-38.5",'SKU明细'!$A$11:$A$1309,0)),INDEX('SKU明细'!$BV$11:$BV$1309,MATCH("B07-BGP-39-by",'SKU明细'!$A$11:$A$1309,0)),INDEX('SKU明细'!$BV$11:$BV$1309,MATCH("B07-BGP-39.5",'SKU明细'!$A$11:$A$1309,0)),INDEX('SKU明细'!$BV$11:$BV$1309,MATCH("B07-BGP-40-New",'SKU明细'!$A$11:$A$1309,0)),INDEX('SKU明细'!$BV$11:$BV$1309,MATCH("B07-BGP-40.5",'SKU明细'!$A$11:$A$1309,0)),INDEX('SKU明细'!$BV$11:$BV$1309,MATCH("B07-BGP-41.5",'SKU明细'!$A$11:$A$1309,0))),"待核")</x:f>
        <x:v>0.9852937683836746</x:v>
      </x:c>
      <x:c r="X63" s="11" t="n">
        <x:f>INDEX('SKU明细'!$BW$11:$BW$1309,MATCH("B07-BGP-37.5",'SKU明细'!$A$11:$A$1309,0))</x:f>
        <x:v>0.7307750238224848</x:v>
      </x:c>
      <x:c r="Y63" s="13" t="n">
        <x:f>IF(COUNT(INDEX('SKU明细'!$BY$11:$BY$1309,MATCH("B07-BGP-37.5",'SKU明细'!$A$11:$A$1309,0)),INDEX('SKU明细'!$BY$11:$BY$1309,MATCH("B07-BGP-38-by",'SKU明细'!$A$11:$A$1309,0)),INDEX('SKU明细'!$BY$11:$BY$1309,MATCH("B07-BGP-38.5",'SKU明细'!$A$11:$A$1309,0)),INDEX('SKU明细'!$BY$11:$BY$1309,MATCH("B07-BGP-39-by",'SKU明细'!$A$11:$A$1309,0)),INDEX('SKU明细'!$BY$11:$BY$1309,MATCH("B07-BGP-39.5",'SKU明细'!$A$11:$A$1309,0)),INDEX('SKU明细'!$BY$11:$BY$1309,MATCH("B07-BGP-40-New",'SKU明细'!$A$11:$A$1309,0)),INDEX('SKU明细'!$BY$11:$BY$1309,MATCH("B07-BGP-40.5",'SKU明细'!$A$11:$A$1309,0)),INDEX('SKU明细'!$BY$11:$BY$1309,MATCH("B07-BGP-41.5",'SKU明细'!$A$11:$A$1309,0)))=8,SUM(INDEX('SKU明细'!$BY$11:$BY$1309,MATCH("B07-BGP-37.5",'SKU明细'!$A$11:$A$1309,0)),INDEX('SKU明细'!$BY$11:$BY$1309,MATCH("B07-BGP-38-by",'SKU明细'!$A$11:$A$1309,0)),INDEX('SKU明细'!$BY$11:$BY$1309,MATCH("B07-BGP-38.5",'SKU明细'!$A$11:$A$1309,0)),INDEX('SKU明细'!$BY$11:$BY$1309,MATCH("B07-BGP-39-by",'SKU明细'!$A$11:$A$1309,0)),INDEX('SKU明细'!$BY$11:$BY$1309,MATCH("B07-BGP-39.5",'SKU明细'!$A$11:$A$1309,0)),INDEX('SKU明细'!$BY$11:$BY$1309,MATCH("B07-BGP-40-New",'SKU明细'!$A$11:$A$1309,0)),INDEX('SKU明细'!$BY$11:$BY$1309,MATCH("B07-BGP-40.5",'SKU明细'!$A$11:$A$1309,0)),INDEX('SKU明细'!$BY$11:$BY$1309,MATCH("B07-BGP-41.5",'SKU明细'!$A$11:$A$1309,0))),"待核")</x:f>
        <x:v>8.640336924752708</x:v>
      </x:c>
      <x:c r="Z63" s="11" t="n">
        <x:f>INDEX('SKU明细'!$BZ$11:$BZ$1309,MATCH("B07-BGP-37.5",'SKU明细'!$A$11:$A$1309,0))</x:f>
        <x:v>0.9523018155490097</x:v>
      </x:c>
      <x:c r="AA63" s="13" t="n">
        <x:f>IF(COUNT(INDEX('SKU明细'!$CB$11:$CB$1309,MATCH("B07-BGP-37.5",'SKU明细'!$A$11:$A$1309,0)),INDEX('SKU明细'!$CB$11:$CB$1309,MATCH("B07-BGP-38-by",'SKU明细'!$A$11:$A$1309,0)),INDEX('SKU明细'!$CB$11:$CB$1309,MATCH("B07-BGP-38.5",'SKU明细'!$A$11:$A$1309,0)),INDEX('SKU明细'!$CB$11:$CB$1309,MATCH("B07-BGP-39-by",'SKU明细'!$A$11:$A$1309,0)),INDEX('SKU明细'!$CB$11:$CB$1309,MATCH("B07-BGP-39.5",'SKU明细'!$A$11:$A$1309,0)),INDEX('SKU明细'!$CB$11:$CB$1309,MATCH("B07-BGP-40-New",'SKU明细'!$A$11:$A$1309,0)),INDEX('SKU明细'!$CB$11:$CB$1309,MATCH("B07-BGP-40.5",'SKU明细'!$A$11:$A$1309,0)),INDEX('SKU明细'!$CB$11:$CB$1309,MATCH("B07-BGP-41.5",'SKU明细'!$A$11:$A$1309,0)))=8,SUM(INDEX('SKU明细'!$CB$11:$CB$1309,MATCH("B07-BGP-37.5",'SKU明细'!$A$11:$A$1309,0)),INDEX('SKU明细'!$CB$11:$CB$1309,MATCH("B07-BGP-38-by",'SKU明细'!$A$11:$A$1309,0)),INDEX('SKU明细'!$CB$11:$CB$1309,MATCH("B07-BGP-38.5",'SKU明细'!$A$11:$A$1309,0)),INDEX('SKU明细'!$CB$11:$CB$1309,MATCH("B07-BGP-39-by",'SKU明细'!$A$11:$A$1309,0)),INDEX('SKU明细'!$CB$11:$CB$1309,MATCH("B07-BGP-39.5",'SKU明细'!$A$11:$A$1309,0)),INDEX('SKU明细'!$CB$11:$CB$1309,MATCH("B07-BGP-40-New",'SKU明细'!$A$11:$A$1309,0)),INDEX('SKU明细'!$CB$11:$CB$1309,MATCH("B07-BGP-40.5",'SKU明细'!$A$11:$A$1309,0)),INDEX('SKU明细'!$CB$11:$CB$1309,MATCH("B07-BGP-41.5",'SKU明细'!$A$11:$A$1309,0))),"待核")</x:f>
        <x:v>28.148911334426966</x:v>
      </x:c>
      <x:c r="AB63" s="11" t="n">
        <x:f>INDEX('SKU明细'!$CC$11:$CC$1309,MATCH("B07-BGP-37.5",'SKU明细'!$A$11:$A$1309,0))</x:f>
        <x:v>0.5958545198749097</x:v>
      </x:c>
      <x:c r="AC63" s="13" t="n">
        <x:f>IF(COUNT(INDEX('SKU明细'!$CE$11:$CE$1309,MATCH("B07-BGP-37.5",'SKU明细'!$A$11:$A$1309,0)),INDEX('SKU明细'!$CE$11:$CE$1309,MATCH("B07-BGP-38-by",'SKU明细'!$A$11:$A$1309,0)),INDEX('SKU明细'!$CE$11:$CE$1309,MATCH("B07-BGP-38.5",'SKU明细'!$A$11:$A$1309,0)),INDEX('SKU明细'!$CE$11:$CE$1309,MATCH("B07-BGP-39-by",'SKU明细'!$A$11:$A$1309,0)),INDEX('SKU明细'!$CE$11:$CE$1309,MATCH("B07-BGP-39.5",'SKU明细'!$A$11:$A$1309,0)),INDEX('SKU明细'!$CE$11:$CE$1309,MATCH("B07-BGP-40-New",'SKU明细'!$A$11:$A$1309,0)),INDEX('SKU明细'!$CE$11:$CE$1309,MATCH("B07-BGP-40.5",'SKU明细'!$A$11:$A$1309,0)),INDEX('SKU明细'!$CE$11:$CE$1309,MATCH("B07-BGP-41.5",'SKU明细'!$A$11:$A$1309,0)))=8,SUM(INDEX('SKU明细'!$CE$11:$CE$1309,MATCH("B07-BGP-37.5",'SKU明细'!$A$11:$A$1309,0)),INDEX('SKU明细'!$CE$11:$CE$1309,MATCH("B07-BGP-38-by",'SKU明细'!$A$11:$A$1309,0)),INDEX('SKU明细'!$CE$11:$CE$1309,MATCH("B07-BGP-38.5",'SKU明细'!$A$11:$A$1309,0)),INDEX('SKU明细'!$CE$11:$CE$1309,MATCH("B07-BGP-39-by",'SKU明细'!$A$11:$A$1309,0)),INDEX('SKU明细'!$CE$11:$CE$1309,MATCH("B07-BGP-39.5",'SKU明细'!$A$11:$A$1309,0)),INDEX('SKU明细'!$CE$11:$CE$1309,MATCH("B07-BGP-40-New",'SKU明细'!$A$11:$A$1309,0)),INDEX('SKU明细'!$CE$11:$CE$1309,MATCH("B07-BGP-40.5",'SKU明细'!$A$11:$A$1309,0)),INDEX('SKU明细'!$CE$11:$CE$1309,MATCH("B07-BGP-41.5",'SKU明细'!$A$11:$A$1309,0))),"待核")</x:f>
        <x:v>18.199844104175842</x:v>
      </x:c>
      <x:c r="AD63" s="11" t="n">
        <x:f>INDEX('SKU明细'!$CF$11:$CF$1309,MATCH("B07-BGP-37.5",'SKU明细'!$A$11:$A$1309,0))</x:f>
        <x:v>1.3264167397065354</x:v>
      </x:c>
      <x:c r="AE63" s="13" t="n">
        <x:f>IF(COUNT(INDEX('SKU明细'!$CH$11:$CH$1309,MATCH("B07-BGP-37.5",'SKU明细'!$A$11:$A$1309,0)),INDEX('SKU明细'!$CH$11:$CH$1309,MATCH("B07-BGP-38-by",'SKU明细'!$A$11:$A$1309,0)),INDEX('SKU明细'!$CH$11:$CH$1309,MATCH("B07-BGP-38.5",'SKU明细'!$A$11:$A$1309,0)),INDEX('SKU明细'!$CH$11:$CH$1309,MATCH("B07-BGP-39-by",'SKU明细'!$A$11:$A$1309,0)),INDEX('SKU明细'!$CH$11:$CH$1309,MATCH("B07-BGP-39.5",'SKU明细'!$A$11:$A$1309,0)),INDEX('SKU明细'!$CH$11:$CH$1309,MATCH("B07-BGP-40-New",'SKU明细'!$A$11:$A$1309,0)),INDEX('SKU明细'!$CH$11:$CH$1309,MATCH("B07-BGP-40.5",'SKU明细'!$A$11:$A$1309,0)),INDEX('SKU明细'!$CH$11:$CH$1309,MATCH("B07-BGP-41.5",'SKU明细'!$A$11:$A$1309,0)))=8,SUM(INDEX('SKU明细'!$CH$11:$CH$1309,MATCH("B07-BGP-37.5",'SKU明细'!$A$11:$A$1309,0)),INDEX('SKU明细'!$CH$11:$CH$1309,MATCH("B07-BGP-38-by",'SKU明细'!$A$11:$A$1309,0)),INDEX('SKU明细'!$CH$11:$CH$1309,MATCH("B07-BGP-38.5",'SKU明细'!$A$11:$A$1309,0)),INDEX('SKU明细'!$CH$11:$CH$1309,MATCH("B07-BGP-39-by",'SKU明细'!$A$11:$A$1309,0)),INDEX('SKU明细'!$CH$11:$CH$1309,MATCH("B07-BGP-39.5",'SKU明细'!$A$11:$A$1309,0)),INDEX('SKU明细'!$CH$11:$CH$1309,MATCH("B07-BGP-40-New",'SKU明细'!$A$11:$A$1309,0)),INDEX('SKU明细'!$CH$11:$CH$1309,MATCH("B07-BGP-40.5",'SKU明细'!$A$11:$A$1309,0)),INDEX('SKU明细'!$CH$11:$CH$1309,MATCH("B07-BGP-41.5",'SKU明细'!$A$11:$A$1309,0))),"待核")</x:f>
        <x:v>22.217472514514885</x:v>
      </x:c>
      <x:c r="AF63" s="13" t="n">
        <x:f>IF(COUNT(INDEX('SKU明细'!$CI$11:$CI$1309,MATCH("B07-BGP-37.5",'SKU明细'!$A$11:$A$1309,0)),INDEX('SKU明细'!$CI$11:$CI$1309,MATCH("B07-BGP-38-by",'SKU明细'!$A$11:$A$1309,0)),INDEX('SKU明细'!$CI$11:$CI$1309,MATCH("B07-BGP-38.5",'SKU明细'!$A$11:$A$1309,0)),INDEX('SKU明细'!$CI$11:$CI$1309,MATCH("B07-BGP-39-by",'SKU明细'!$A$11:$A$1309,0)),INDEX('SKU明细'!$CI$11:$CI$1309,MATCH("B07-BGP-39.5",'SKU明细'!$A$11:$A$1309,0)),INDEX('SKU明细'!$CI$11:$CI$1309,MATCH("B07-BGP-40-New",'SKU明细'!$A$11:$A$1309,0)),INDEX('SKU明细'!$CI$11:$CI$1309,MATCH("B07-BGP-40.5",'SKU明细'!$A$11:$A$1309,0)),INDEX('SKU明细'!$CI$11:$CI$1309,MATCH("B07-BGP-41.5",'SKU明细'!$A$11:$A$1309,0)))=8,SUM(INDEX('SKU明细'!$CI$11:$CI$1309,MATCH("B07-BGP-37.5",'SKU明细'!$A$11:$A$1309,0)),INDEX('SKU明细'!$CI$11:$CI$1309,MATCH("B07-BGP-38-by",'SKU明细'!$A$11:$A$1309,0)),INDEX('SKU明细'!$CI$11:$CI$1309,MATCH("B07-BGP-38.5",'SKU明细'!$A$11:$A$1309,0)),INDEX('SKU明细'!$CI$11:$CI$1309,MATCH("B07-BGP-39-by",'SKU明细'!$A$11:$A$1309,0)),INDEX('SKU明细'!$CI$11:$CI$1309,MATCH("B07-BGP-39.5",'SKU明细'!$A$11:$A$1309,0)),INDEX('SKU明细'!$CI$11:$CI$1309,MATCH("B07-BGP-40-New",'SKU明细'!$A$11:$A$1309,0)),INDEX('SKU明细'!$CI$11:$CI$1309,MATCH("B07-BGP-40.5",'SKU明细'!$A$11:$A$1309,0)),INDEX('SKU明细'!$CI$11:$CI$1309,MATCH("B07-BGP-41.5",'SKU明细'!$A$11:$A$1309,0))),"待核")</x:f>
        <x:v>77.20656487787039</x:v>
      </x:c>
    </x:row>
    <x:row r="64" ht="40" customHeight="1">
      <x:c r="A64" s="37" t="str">
        <x:v>B07</x:v>
      </x:c>
      <x:c r="B64" s="37" t="str">
        <x:v>艾年</x:v>
      </x:c>
      <x:c r="C64" s="37" t="str">
        <x:v>黑色羊京绒</x:v>
      </x:c>
      <x:c r="D64" s="37" t="str">
        <x:v>BK</x:v>
      </x:c>
      <x:c r="E64" s="37" t="str">
        <x:v>B07-BK</x:v>
      </x:c>
      <x:c r="F64" s="37"/>
      <x:c r="G64" s="38" t="str">
        <x:f>"—"</x:f>
        <x:v>—</x:v>
      </x:c>
      <x:c r="H64" s="38" t="n">
        <x:f>IF(COUNT(INDEX('SKU明细'!$D$11:$D$1309,MATCH("B07-BK-37-by",'SKU明细'!$A$11:$A$1309,0)))=0,"待核",IF(COUNT(INDEX('SKU明细'!$D$11:$D$1309,MATCH("B07-BK-37-by",'SKU明细'!$A$11:$A$1309,0)))&lt;1,SUM(INDEX('SKU明细'!$D$11:$D$1309,MATCH("B07-BK-37-by",'SKU明细'!$A$11:$A$1309,0)))&amp;" + 待核",SUM(INDEX('SKU明细'!$D$11:$D$1309,MATCH("B07-BK-37-by",'SKU明细'!$A$11:$A$1309,0)))))</x:f>
        <x:v>19</x:v>
      </x:c>
      <x:c r="I64" s="38" t="n">
        <x:f>IF(COUNT(INDEX('SKU明细'!$D$11:$D$1309,MATCH("B07-BK-37.5",'SKU明细'!$A$11:$A$1309,0)))=0,"待核",IF(COUNT(INDEX('SKU明细'!$D$11:$D$1309,MATCH("B07-BK-37.5",'SKU明细'!$A$11:$A$1309,0)))&lt;1,SUM(INDEX('SKU明细'!$D$11:$D$1309,MATCH("B07-BK-37.5",'SKU明细'!$A$11:$A$1309,0)))&amp;" + 待核",SUM(INDEX('SKU明细'!$D$11:$D$1309,MATCH("B07-BK-37.5",'SKU明细'!$A$11:$A$1309,0)))))</x:f>
        <x:v>4</x:v>
      </x:c>
      <x:c r="J64" s="38" t="n">
        <x:f>IF(COUNT(INDEX('SKU明细'!$D$11:$D$1309,MATCH("B07-BK-38-New",'SKU明细'!$A$11:$A$1309,0)))=0,"待核",IF(COUNT(INDEX('SKU明细'!$D$11:$D$1309,MATCH("B07-BK-38-New",'SKU明细'!$A$11:$A$1309,0)))&lt;1,SUM(INDEX('SKU明细'!$D$11:$D$1309,MATCH("B07-BK-38-New",'SKU明细'!$A$11:$A$1309,0)))&amp;" + 待核",SUM(INDEX('SKU明细'!$D$11:$D$1309,MATCH("B07-BK-38-New",'SKU明细'!$A$11:$A$1309,0)))))</x:f>
        <x:v>0</x:v>
      </x:c>
      <x:c r="K64" s="38" t="n">
        <x:f>IF(COUNT(INDEX('SKU明细'!$D$11:$D$1309,MATCH("B07-BK-38.5",'SKU明细'!$A$11:$A$1309,0)))=0,"待核",IF(COUNT(INDEX('SKU明细'!$D$11:$D$1309,MATCH("B07-BK-38.5",'SKU明细'!$A$11:$A$1309,0)))&lt;1,SUM(INDEX('SKU明细'!$D$11:$D$1309,MATCH("B07-BK-38.5",'SKU明细'!$A$11:$A$1309,0)))&amp;" + 待核",SUM(INDEX('SKU明细'!$D$11:$D$1309,MATCH("B07-BK-38.5",'SKU明细'!$A$11:$A$1309,0)))))</x:f>
        <x:v>0</x:v>
      </x:c>
      <x:c r="L64" s="38" t="n">
        <x:f>IF(COUNT(INDEX('SKU明细'!$D$11:$D$1309,MATCH("B07-BK-39-New",'SKU明细'!$A$11:$A$1309,0)))=0,"待核",IF(COUNT(INDEX('SKU明细'!$D$11:$D$1309,MATCH("B07-BK-39-New",'SKU明细'!$A$11:$A$1309,0)))&lt;1,SUM(INDEX('SKU明细'!$D$11:$D$1309,MATCH("B07-BK-39-New",'SKU明细'!$A$11:$A$1309,0)))&amp;" + 待核",SUM(INDEX('SKU明细'!$D$11:$D$1309,MATCH("B07-BK-39-New",'SKU明细'!$A$11:$A$1309,0)))))</x:f>
        <x:v>0</x:v>
      </x:c>
      <x:c r="M64" s="38" t="n">
        <x:f>IF(COUNT(INDEX('SKU明细'!$D$11:$D$1309,MATCH("B07-BK-39.5",'SKU明细'!$A$11:$A$1309,0)))=0,"待核",IF(COUNT(INDEX('SKU明细'!$D$11:$D$1309,MATCH("B07-BK-39.5",'SKU明细'!$A$11:$A$1309,0)))&lt;1,SUM(INDEX('SKU明细'!$D$11:$D$1309,MATCH("B07-BK-39.5",'SKU明细'!$A$11:$A$1309,0)))&amp;" + 待核",SUM(INDEX('SKU明细'!$D$11:$D$1309,MATCH("B07-BK-39.5",'SKU明细'!$A$11:$A$1309,0)))))</x:f>
        <x:v>0</x:v>
      </x:c>
      <x:c r="N64" s="38" t="n">
        <x:f>IF(COUNT(INDEX('SKU明细'!$D$11:$D$1309,MATCH("B07-BK-40-New",'SKU明细'!$A$11:$A$1309,0)))=0,"待核",IF(COUNT(INDEX('SKU明细'!$D$11:$D$1309,MATCH("B07-BK-40-New",'SKU明细'!$A$11:$A$1309,0)))&lt;1,SUM(INDEX('SKU明细'!$D$11:$D$1309,MATCH("B07-BK-40-New",'SKU明细'!$A$11:$A$1309,0)))&amp;" + 待核",SUM(INDEX('SKU明细'!$D$11:$D$1309,MATCH("B07-BK-40-New",'SKU明细'!$A$11:$A$1309,0)))))</x:f>
        <x:v>41</x:v>
      </x:c>
      <x:c r="O64" s="38" t="n">
        <x:f>IF(COUNT(INDEX('SKU明细'!$D$11:$D$1309,MATCH("B07-BK-40.5",'SKU明细'!$A$11:$A$1309,0)))=0,"待核",IF(COUNT(INDEX('SKU明细'!$D$11:$D$1309,MATCH("B07-BK-40.5",'SKU明细'!$A$11:$A$1309,0)))&lt;1,SUM(INDEX('SKU明细'!$D$11:$D$1309,MATCH("B07-BK-40.5",'SKU明细'!$A$11:$A$1309,0)))&amp;" + 待核",SUM(INDEX('SKU明细'!$D$11:$D$1309,MATCH("B07-BK-40.5",'SKU明细'!$A$11:$A$1309,0)))))</x:f>
        <x:v>19</x:v>
      </x:c>
      <x:c r="P64" s="38" t="str">
        <x:f>"—"</x:f>
        <x:v>—</x:v>
      </x:c>
      <x:c r="Q64" s="38" t="n">
        <x:f>IF(COUNT(INDEX('SKU明细'!$D$11:$D$1309,MATCH("B07-BK-41.5",'SKU明细'!$A$11:$A$1309,0)))=0,"待核",IF(COUNT(INDEX('SKU明细'!$D$11:$D$1309,MATCH("B07-BK-41.5",'SKU明细'!$A$11:$A$1309,0)))&lt;1,SUM(INDEX('SKU明细'!$D$11:$D$1309,MATCH("B07-BK-41.5",'SKU明细'!$A$11:$A$1309,0)))&amp;" + 待核",SUM(INDEX('SKU明细'!$D$11:$D$1309,MATCH("B07-BK-41.5",'SKU明细'!$A$11:$A$1309,0)))))</x:f>
        <x:v>0</x:v>
      </x:c>
      <x:c r="R64" s="38" t="str">
        <x:f>"—"</x:f>
        <x:v>—</x:v>
      </x:c>
      <x:c r="S64" s="38" t="n">
        <x:f>IF(COUNT(INDEX('SKU明细'!$D$11:$D$1309,MATCH("B07-BK-37-by",'SKU明细'!$A$11:$A$1309,0)),INDEX('SKU明细'!$D$11:$D$1309,MATCH("B07-BK-37.5",'SKU明细'!$A$11:$A$1309,0)),INDEX('SKU明细'!$D$11:$D$1309,MATCH("B07-BK-38-New",'SKU明细'!$A$11:$A$1309,0)),INDEX('SKU明细'!$D$11:$D$1309,MATCH("B07-BK-38.5",'SKU明细'!$A$11:$A$1309,0)),INDEX('SKU明细'!$D$11:$D$1309,MATCH("B07-BK-39-New",'SKU明细'!$A$11:$A$1309,0)),INDEX('SKU明细'!$D$11:$D$1309,MATCH("B07-BK-39.5",'SKU明细'!$A$11:$A$1309,0)),INDEX('SKU明细'!$D$11:$D$1309,MATCH("B07-BK-40-New",'SKU明细'!$A$11:$A$1309,0)),INDEX('SKU明细'!$D$11:$D$1309,MATCH("B07-BK-40.5",'SKU明细'!$A$11:$A$1309,0)),INDEX('SKU明细'!$D$11:$D$1309,MATCH("B07-BK-41.5",'SKU明细'!$A$11:$A$1309,0)))=0,"待核",SUM(INDEX('SKU明细'!$D$11:$D$1309,MATCH("B07-BK-37-by",'SKU明细'!$A$11:$A$1309,0)),INDEX('SKU明细'!$D$11:$D$1309,MATCH("B07-BK-37.5",'SKU明细'!$A$11:$A$1309,0)),INDEX('SKU明细'!$D$11:$D$1309,MATCH("B07-BK-38-New",'SKU明细'!$A$11:$A$1309,0)),INDEX('SKU明细'!$D$11:$D$1309,MATCH("B07-BK-38.5",'SKU明细'!$A$11:$A$1309,0)),INDEX('SKU明细'!$D$11:$D$1309,MATCH("B07-BK-39-New",'SKU明细'!$A$11:$A$1309,0)),INDEX('SKU明细'!$D$11:$D$1309,MATCH("B07-BK-39.5",'SKU明细'!$A$11:$A$1309,0)),INDEX('SKU明细'!$D$11:$D$1309,MATCH("B07-BK-40-New",'SKU明细'!$A$11:$A$1309,0)),INDEX('SKU明细'!$D$11:$D$1309,MATCH("B07-BK-40.5",'SKU明细'!$A$11:$A$1309,0)),INDEX('SKU明细'!$D$11:$D$1309,MATCH("B07-BK-41.5",'SKU明细'!$A$11:$A$1309,0))))</x:f>
        <x:v>83</x:v>
      </x:c>
      <x:c r="T64" s="38" t="n">
        <x:f>IF(COUNTIFS($A$9:$A$191,A64,$U$9:$U$191,"&lt;&gt;待核")=0,"待核",SUMIF($A$9:$A$191,A64,$S$9:$S$191))</x:f>
        <x:v>364</x:v>
      </x:c>
      <x:c r="U64" s="37" t="str">
        <x:f>IF(COUNT(INDEX('SKU明细'!$D$11:$D$1309,MATCH("B07-BK-37-by",'SKU明细'!$A$11:$A$1309,0)),INDEX('SKU明细'!$D$11:$D$1309,MATCH("B07-BK-37.5",'SKU明细'!$A$11:$A$1309,0)),INDEX('SKU明细'!$D$11:$D$1309,MATCH("B07-BK-38-New",'SKU明细'!$A$11:$A$1309,0)),INDEX('SKU明细'!$D$11:$D$1309,MATCH("B07-BK-38.5",'SKU明细'!$A$11:$A$1309,0)),INDEX('SKU明细'!$D$11:$D$1309,MATCH("B07-BK-39-New",'SKU明细'!$A$11:$A$1309,0)),INDEX('SKU明细'!$D$11:$D$1309,MATCH("B07-BK-39.5",'SKU明细'!$A$11:$A$1309,0)),INDEX('SKU明细'!$D$11:$D$1309,MATCH("B07-BK-40-New",'SKU明细'!$A$11:$A$1309,0)),INDEX('SKU明细'!$D$11:$D$1309,MATCH("B07-BK-40.5",'SKU明细'!$A$11:$A$1309,0)),INDEX('SKU明细'!$D$11:$D$1309,MATCH("B07-BK-41.5",'SKU明细'!$A$11:$A$1309,0)))=0,"待核",IF(COUNT(INDEX('SKU明细'!$D$11:$D$1309,MATCH("B07-BK-37-by",'SKU明细'!$A$11:$A$1309,0)),INDEX('SKU明细'!$D$11:$D$1309,MATCH("B07-BK-37.5",'SKU明细'!$A$11:$A$1309,0)),INDEX('SKU明细'!$D$11:$D$1309,MATCH("B07-BK-38-New",'SKU明细'!$A$11:$A$1309,0)),INDEX('SKU明细'!$D$11:$D$1309,MATCH("B07-BK-38.5",'SKU明细'!$A$11:$A$1309,0)),INDEX('SKU明细'!$D$11:$D$1309,MATCH("B07-BK-39-New",'SKU明细'!$A$11:$A$1309,0)),INDEX('SKU明细'!$D$11:$D$1309,MATCH("B07-BK-39.5",'SKU明细'!$A$11:$A$1309,0)),INDEX('SKU明细'!$D$11:$D$1309,MATCH("B07-BK-40-New",'SKU明细'!$A$11:$A$1309,0)),INDEX('SKU明细'!$D$11:$D$1309,MATCH("B07-BK-40.5",'SKU明细'!$A$11:$A$1309,0)),INDEX('SKU明细'!$D$11:$D$1309,MATCH("B07-BK-41.5",'SKU明细'!$A$11:$A$1309,0)))&lt;9,"另有待核","已核"))</x:f>
        <x:v>已核</x:v>
      </x:c>
      <x:c r="V64" s="37" t="str">
        <x:v>在售</x:v>
      </x:c>
      <x:c r="W64" s="11" t="n">
        <x:f>IF(COUNT(INDEX('SKU明细'!$BV$11:$BV$1309,MATCH("B07-BK-37-by",'SKU明细'!$A$11:$A$1309,0)),INDEX('SKU明细'!$BV$11:$BV$1309,MATCH("B07-BK-37.5",'SKU明细'!$A$11:$A$1309,0)),INDEX('SKU明细'!$BV$11:$BV$1309,MATCH("B07-BK-38-New",'SKU明细'!$A$11:$A$1309,0)),INDEX('SKU明细'!$BV$11:$BV$1309,MATCH("B07-BK-38.5",'SKU明细'!$A$11:$A$1309,0)),INDEX('SKU明细'!$BV$11:$BV$1309,MATCH("B07-BK-39-New",'SKU明细'!$A$11:$A$1309,0)),INDEX('SKU明细'!$BV$11:$BV$1309,MATCH("B07-BK-39.5",'SKU明细'!$A$11:$A$1309,0)),INDEX('SKU明细'!$BV$11:$BV$1309,MATCH("B07-BK-40-New",'SKU明细'!$A$11:$A$1309,0)),INDEX('SKU明细'!$BV$11:$BV$1309,MATCH("B07-BK-40.5",'SKU明细'!$A$11:$A$1309,0)),INDEX('SKU明细'!$BV$11:$BV$1309,MATCH("B07-BK-41.5",'SKU明细'!$A$11:$A$1309,0)))=9,SUM(INDEX('SKU明细'!$BV$11:$BV$1309,MATCH("B07-BK-37-by",'SKU明细'!$A$11:$A$1309,0)),INDEX('SKU明细'!$BV$11:$BV$1309,MATCH("B07-BK-37.5",'SKU明细'!$A$11:$A$1309,0)),INDEX('SKU明细'!$BV$11:$BV$1309,MATCH("B07-BK-38-New",'SKU明细'!$A$11:$A$1309,0)),INDEX('SKU明细'!$BV$11:$BV$1309,MATCH("B07-BK-38.5",'SKU明细'!$A$11:$A$1309,0)),INDEX('SKU明细'!$BV$11:$BV$1309,MATCH("B07-BK-39-New",'SKU明细'!$A$11:$A$1309,0)),INDEX('SKU明细'!$BV$11:$BV$1309,MATCH("B07-BK-39.5",'SKU明细'!$A$11:$A$1309,0)),INDEX('SKU明细'!$BV$11:$BV$1309,MATCH("B07-BK-40-New",'SKU明细'!$A$11:$A$1309,0)),INDEX('SKU明细'!$BV$11:$BV$1309,MATCH("B07-BK-40.5",'SKU明细'!$A$11:$A$1309,0)),INDEX('SKU明细'!$BV$11:$BV$1309,MATCH("B07-BK-41.5",'SKU明细'!$A$11:$A$1309,0))),"待核")</x:f>
        <x:v>8.512563870045632</x:v>
      </x:c>
      <x:c r="X64" s="11" t="n">
        <x:f>INDEX('SKU明细'!$BW$11:$BW$1309,MATCH("B07-BK-37-by",'SKU明细'!$A$11:$A$1309,0))</x:f>
        <x:v>0.7307750238224848</x:v>
      </x:c>
      <x:c r="Y64" s="13" t="n">
        <x:f>IF(COUNT(INDEX('SKU明细'!$BY$11:$BY$1309,MATCH("B07-BK-37-by",'SKU明细'!$A$11:$A$1309,0)),INDEX('SKU明细'!$BY$11:$BY$1309,MATCH("B07-BK-37.5",'SKU明细'!$A$11:$A$1309,0)),INDEX('SKU明细'!$BY$11:$BY$1309,MATCH("B07-BK-38-New",'SKU明细'!$A$11:$A$1309,0)),INDEX('SKU明细'!$BY$11:$BY$1309,MATCH("B07-BK-38.5",'SKU明细'!$A$11:$A$1309,0)),INDEX('SKU明细'!$BY$11:$BY$1309,MATCH("B07-BK-39-New",'SKU明细'!$A$11:$A$1309,0)),INDEX('SKU明细'!$BY$11:$BY$1309,MATCH("B07-BK-39.5",'SKU明细'!$A$11:$A$1309,0)),INDEX('SKU明细'!$BY$11:$BY$1309,MATCH("B07-BK-40-New",'SKU明细'!$A$11:$A$1309,0)),INDEX('SKU明细'!$BY$11:$BY$1309,MATCH("B07-BK-40.5",'SKU明细'!$A$11:$A$1309,0)),INDEX('SKU明细'!$BY$11:$BY$1309,MATCH("B07-BK-41.5",'SKU明细'!$A$11:$A$1309,0)))=9,SUM(INDEX('SKU明细'!$BY$11:$BY$1309,MATCH("B07-BK-37-by",'SKU明细'!$A$11:$A$1309,0)),INDEX('SKU明细'!$BY$11:$BY$1309,MATCH("B07-BK-37.5",'SKU明细'!$A$11:$A$1309,0)),INDEX('SKU明细'!$BY$11:$BY$1309,MATCH("B07-BK-38-New",'SKU明细'!$A$11:$A$1309,0)),INDEX('SKU明细'!$BY$11:$BY$1309,MATCH("B07-BK-38.5",'SKU明细'!$A$11:$A$1309,0)),INDEX('SKU明细'!$BY$11:$BY$1309,MATCH("B07-BK-39-New",'SKU明细'!$A$11:$A$1309,0)),INDEX('SKU明细'!$BY$11:$BY$1309,MATCH("B07-BK-39.5",'SKU明细'!$A$11:$A$1309,0)),INDEX('SKU明细'!$BY$11:$BY$1309,MATCH("B07-BK-40-New",'SKU明细'!$A$11:$A$1309,0)),INDEX('SKU明细'!$BY$11:$BY$1309,MATCH("B07-BK-40.5",'SKU明细'!$A$11:$A$1309,0)),INDEX('SKU明细'!$BY$11:$BY$1309,MATCH("B07-BK-41.5",'SKU明细'!$A$11:$A$1309,0))),"待核")</x:f>
        <x:v>74.64922877907622</x:v>
      </x:c>
      <x:c r="Z64" s="11" t="n">
        <x:f>INDEX('SKU明细'!$BZ$11:$BZ$1309,MATCH("B07-BK-37-by",'SKU明细'!$A$11:$A$1309,0))</x:f>
        <x:v>0.9523018155490097</x:v>
      </x:c>
      <x:c r="AA64" s="13" t="n">
        <x:f>IF(COUNT(INDEX('SKU明细'!$CB$11:$CB$1309,MATCH("B07-BK-37-by",'SKU明细'!$A$11:$A$1309,0)),INDEX('SKU明细'!$CB$11:$CB$1309,MATCH("B07-BK-37.5",'SKU明细'!$A$11:$A$1309,0)),INDEX('SKU明细'!$CB$11:$CB$1309,MATCH("B07-BK-38-New",'SKU明细'!$A$11:$A$1309,0)),INDEX('SKU明细'!$CB$11:$CB$1309,MATCH("B07-BK-38.5",'SKU明细'!$A$11:$A$1309,0)),INDEX('SKU明细'!$CB$11:$CB$1309,MATCH("B07-BK-39-New",'SKU明细'!$A$11:$A$1309,0)),INDEX('SKU明细'!$CB$11:$CB$1309,MATCH("B07-BK-39.5",'SKU明细'!$A$11:$A$1309,0)),INDEX('SKU明细'!$CB$11:$CB$1309,MATCH("B07-BK-40-New",'SKU明细'!$A$11:$A$1309,0)),INDEX('SKU明细'!$CB$11:$CB$1309,MATCH("B07-BK-40.5",'SKU明细'!$A$11:$A$1309,0)),INDEX('SKU明细'!$CB$11:$CB$1309,MATCH("B07-BK-41.5",'SKU明细'!$A$11:$A$1309,0)))=9,SUM(INDEX('SKU明细'!$CB$11:$CB$1309,MATCH("B07-BK-37-by",'SKU明细'!$A$11:$A$1309,0)),INDEX('SKU明细'!$CB$11:$CB$1309,MATCH("B07-BK-37.5",'SKU明细'!$A$11:$A$1309,0)),INDEX('SKU明细'!$CB$11:$CB$1309,MATCH("B07-BK-38-New",'SKU明细'!$A$11:$A$1309,0)),INDEX('SKU明细'!$CB$11:$CB$1309,MATCH("B07-BK-38.5",'SKU明细'!$A$11:$A$1309,0)),INDEX('SKU明细'!$CB$11:$CB$1309,MATCH("B07-BK-39-New",'SKU明细'!$A$11:$A$1309,0)),INDEX('SKU明细'!$CB$11:$CB$1309,MATCH("B07-BK-39.5",'SKU明细'!$A$11:$A$1309,0)),INDEX('SKU明细'!$CB$11:$CB$1309,MATCH("B07-BK-40-New",'SKU明细'!$A$11:$A$1309,0)),INDEX('SKU明细'!$CB$11:$CB$1309,MATCH("B07-BK-40.5",'SKU明细'!$A$11:$A$1309,0)),INDEX('SKU明细'!$CB$11:$CB$1309,MATCH("B07-BK-41.5",'SKU明细'!$A$11:$A$1309,0))),"待核")</x:f>
        <x:v>243.1959008526408</x:v>
      </x:c>
      <x:c r="AB64" s="11" t="n">
        <x:f>INDEX('SKU明细'!$CC$11:$CC$1309,MATCH("B07-BK-37-by",'SKU明细'!$A$11:$A$1309,0))</x:f>
        <x:v>0.5958545198749097</x:v>
      </x:c>
      <x:c r="AC64" s="13" t="n">
        <x:f>IF(COUNT(INDEX('SKU明细'!$CE$11:$CE$1309,MATCH("B07-BK-37-by",'SKU明细'!$A$11:$A$1309,0)),INDEX('SKU明细'!$CE$11:$CE$1309,MATCH("B07-BK-37.5",'SKU明细'!$A$11:$A$1309,0)),INDEX('SKU明细'!$CE$11:$CE$1309,MATCH("B07-BK-38-New",'SKU明细'!$A$11:$A$1309,0)),INDEX('SKU明细'!$CE$11:$CE$1309,MATCH("B07-BK-38.5",'SKU明细'!$A$11:$A$1309,0)),INDEX('SKU明细'!$CE$11:$CE$1309,MATCH("B07-BK-39-New",'SKU明细'!$A$11:$A$1309,0)),INDEX('SKU明细'!$CE$11:$CE$1309,MATCH("B07-BK-39.5",'SKU明细'!$A$11:$A$1309,0)),INDEX('SKU明细'!$CE$11:$CE$1309,MATCH("B07-BK-40-New",'SKU明细'!$A$11:$A$1309,0)),INDEX('SKU明细'!$CE$11:$CE$1309,MATCH("B07-BK-40.5",'SKU明细'!$A$11:$A$1309,0)),INDEX('SKU明细'!$CE$11:$CE$1309,MATCH("B07-BK-41.5",'SKU明细'!$A$11:$A$1309,0)))=9,SUM(INDEX('SKU明细'!$CE$11:$CE$1309,MATCH("B07-BK-37-by",'SKU明细'!$A$11:$A$1309,0)),INDEX('SKU明细'!$CE$11:$CE$1309,MATCH("B07-BK-37.5",'SKU明细'!$A$11:$A$1309,0)),INDEX('SKU明细'!$CE$11:$CE$1309,MATCH("B07-BK-38-New",'SKU明细'!$A$11:$A$1309,0)),INDEX('SKU明细'!$CE$11:$CE$1309,MATCH("B07-BK-38.5",'SKU明细'!$A$11:$A$1309,0)),INDEX('SKU明细'!$CE$11:$CE$1309,MATCH("B07-BK-39-New",'SKU明细'!$A$11:$A$1309,0)),INDEX('SKU明细'!$CE$11:$CE$1309,MATCH("B07-BK-39.5",'SKU明细'!$A$11:$A$1309,0)),INDEX('SKU明细'!$CE$11:$CE$1309,MATCH("B07-BK-40-New",'SKU明细'!$A$11:$A$1309,0)),INDEX('SKU明细'!$CE$11:$CE$1309,MATCH("B07-BK-40.5",'SKU明细'!$A$11:$A$1309,0)),INDEX('SKU明细'!$CE$11:$CE$1309,MATCH("B07-BK-41.5",'SKU明细'!$A$11:$A$1309,0))),"待核")</x:f>
        <x:v>157.2397393884068</x:v>
      </x:c>
      <x:c r="AD64" s="11" t="n">
        <x:f>INDEX('SKU明细'!$CF$11:$CF$1309,MATCH("B07-BK-37-by",'SKU明细'!$A$11:$A$1309,0))</x:f>
        <x:v>1.3264167397065354</x:v>
      </x:c>
      <x:c r="AE64" s="13" t="n">
        <x:f>IF(COUNT(INDEX('SKU明细'!$CH$11:$CH$1309,MATCH("B07-BK-37-by",'SKU明细'!$A$11:$A$1309,0)),INDEX('SKU明细'!$CH$11:$CH$1309,MATCH("B07-BK-37.5",'SKU明细'!$A$11:$A$1309,0)),INDEX('SKU明细'!$CH$11:$CH$1309,MATCH("B07-BK-38-New",'SKU明细'!$A$11:$A$1309,0)),INDEX('SKU明细'!$CH$11:$CH$1309,MATCH("B07-BK-38.5",'SKU明细'!$A$11:$A$1309,0)),INDEX('SKU明细'!$CH$11:$CH$1309,MATCH("B07-BK-39-New",'SKU明细'!$A$11:$A$1309,0)),INDEX('SKU明细'!$CH$11:$CH$1309,MATCH("B07-BK-39.5",'SKU明细'!$A$11:$A$1309,0)),INDEX('SKU明细'!$CH$11:$CH$1309,MATCH("B07-BK-40-New",'SKU明细'!$A$11:$A$1309,0)),INDEX('SKU明细'!$CH$11:$CH$1309,MATCH("B07-BK-40.5",'SKU明细'!$A$11:$A$1309,0)),INDEX('SKU明细'!$CH$11:$CH$1309,MATCH("B07-BK-41.5",'SKU明细'!$A$11:$A$1309,0)))=9,SUM(INDEX('SKU明细'!$CH$11:$CH$1309,MATCH("B07-BK-37-by",'SKU明细'!$A$11:$A$1309,0)),INDEX('SKU明细'!$CH$11:$CH$1309,MATCH("B07-BK-37.5",'SKU明细'!$A$11:$A$1309,0)),INDEX('SKU明细'!$CH$11:$CH$1309,MATCH("B07-BK-38-New",'SKU明细'!$A$11:$A$1309,0)),INDEX('SKU明细'!$CH$11:$CH$1309,MATCH("B07-BK-38.5",'SKU明细'!$A$11:$A$1309,0)),INDEX('SKU明细'!$CH$11:$CH$1309,MATCH("B07-BK-39-New",'SKU明细'!$A$11:$A$1309,0)),INDEX('SKU明细'!$CH$11:$CH$1309,MATCH("B07-BK-39.5",'SKU明细'!$A$11:$A$1309,0)),INDEX('SKU明细'!$CH$11:$CH$1309,MATCH("B07-BK-40-New",'SKU明细'!$A$11:$A$1309,0)),INDEX('SKU明细'!$CH$11:$CH$1309,MATCH("B07-BK-40.5",'SKU明细'!$A$11:$A$1309,0)),INDEX('SKU明细'!$CH$11:$CH$1309,MATCH("B07-BK-41.5",'SKU明细'!$A$11:$A$1309,0))),"待核")</x:f>
        <x:v>191.95052265584275</x:v>
      </x:c>
      <x:c r="AF64" s="13" t="n">
        <x:f>IF(COUNT(INDEX('SKU明细'!$CI$11:$CI$1309,MATCH("B07-BK-37-by",'SKU明细'!$A$11:$A$1309,0)),INDEX('SKU明细'!$CI$11:$CI$1309,MATCH("B07-BK-37.5",'SKU明细'!$A$11:$A$1309,0)),INDEX('SKU明细'!$CI$11:$CI$1309,MATCH("B07-BK-38-New",'SKU明细'!$A$11:$A$1309,0)),INDEX('SKU明细'!$CI$11:$CI$1309,MATCH("B07-BK-38.5",'SKU明细'!$A$11:$A$1309,0)),INDEX('SKU明细'!$CI$11:$CI$1309,MATCH("B07-BK-39-New",'SKU明细'!$A$11:$A$1309,0)),INDEX('SKU明细'!$CI$11:$CI$1309,MATCH("B07-BK-39.5",'SKU明细'!$A$11:$A$1309,0)),INDEX('SKU明细'!$CI$11:$CI$1309,MATCH("B07-BK-40-New",'SKU明细'!$A$11:$A$1309,0)),INDEX('SKU明细'!$CI$11:$CI$1309,MATCH("B07-BK-40.5",'SKU明细'!$A$11:$A$1309,0)),INDEX('SKU明细'!$CI$11:$CI$1309,MATCH("B07-BK-41.5",'SKU明细'!$A$11:$A$1309,0)))=9,SUM(INDEX('SKU明细'!$CI$11:$CI$1309,MATCH("B07-BK-37-by",'SKU明细'!$A$11:$A$1309,0)),INDEX('SKU明细'!$CI$11:$CI$1309,MATCH("B07-BK-37.5",'SKU明细'!$A$11:$A$1309,0)),INDEX('SKU明细'!$CI$11:$CI$1309,MATCH("B07-BK-38-New",'SKU明细'!$A$11:$A$1309,0)),INDEX('SKU明细'!$CI$11:$CI$1309,MATCH("B07-BK-38.5",'SKU明细'!$A$11:$A$1309,0)),INDEX('SKU明细'!$CI$11:$CI$1309,MATCH("B07-BK-39-New",'SKU明细'!$A$11:$A$1309,0)),INDEX('SKU明细'!$CI$11:$CI$1309,MATCH("B07-BK-39.5",'SKU明细'!$A$11:$A$1309,0)),INDEX('SKU明细'!$CI$11:$CI$1309,MATCH("B07-BK-40-New",'SKU明细'!$A$11:$A$1309,0)),INDEX('SKU明细'!$CI$11:$CI$1309,MATCH("B07-BK-40.5",'SKU明细'!$A$11:$A$1309,0)),INDEX('SKU明细'!$CI$11:$CI$1309,MATCH("B07-BK-41.5",'SKU明细'!$A$11:$A$1309,0))),"待核")</x:f>
        <x:v>667.0353916759667</x:v>
      </x:c>
    </x:row>
    <x:row r="65" ht="40" customHeight="1">
      <x:c r="A65" s="37" t="str">
        <x:v>B07</x:v>
      </x:c>
      <x:c r="B65" s="37" t="str">
        <x:v>艾年</x:v>
      </x:c>
      <x:c r="C65" s="37" t="str">
        <x:v>黑色色织提花</x:v>
      </x:c>
      <x:c r="D65" s="37" t="str">
        <x:v>BK-I</x:v>
      </x:c>
      <x:c r="E65" s="37" t="str">
        <x:v>B07-BK-I-0</x:v>
      </x:c>
      <x:c r="F65" s="37"/>
      <x:c r="G65" s="38" t="str">
        <x:f>"—"</x:f>
        <x:v>—</x:v>
      </x:c>
      <x:c r="H65" s="38" t="str">
        <x:f>"—"</x:f>
        <x:v>—</x:v>
      </x:c>
      <x:c r="I65" s="38" t="n">
        <x:f>IF(COUNT(INDEX('SKU明细'!$D$11:$D$1309,MATCH("B07-BK-I-0-37.5",'SKU明细'!$A$11:$A$1309,0)))=0,"待核",IF(COUNT(INDEX('SKU明细'!$D$11:$D$1309,MATCH("B07-BK-I-0-37.5",'SKU明细'!$A$11:$A$1309,0)))&lt;1,SUM(INDEX('SKU明细'!$D$11:$D$1309,MATCH("B07-BK-I-0-37.5",'SKU明细'!$A$11:$A$1309,0)))&amp;" + 待核",SUM(INDEX('SKU明细'!$D$11:$D$1309,MATCH("B07-BK-I-0-37.5",'SKU明细'!$A$11:$A$1309,0)))))</x:f>
        <x:v>0</x:v>
      </x:c>
      <x:c r="J65" s="38" t="str">
        <x:f>"—"</x:f>
        <x:v>—</x:v>
      </x:c>
      <x:c r="K65" s="38" t="str">
        <x:f>"—"</x:f>
        <x:v>—</x:v>
      </x:c>
      <x:c r="L65" s="38" t="n">
        <x:f>IF(COUNT(INDEX('SKU明细'!$D$11:$D$1309,MATCH("B07-BK-I-0-39",'SKU明细'!$A$11:$A$1309,0)))=0,"待核",IF(COUNT(INDEX('SKU明细'!$D$11:$D$1309,MATCH("B07-BK-I-0-39",'SKU明细'!$A$11:$A$1309,0)))&lt;1,SUM(INDEX('SKU明细'!$D$11:$D$1309,MATCH("B07-BK-I-0-39",'SKU明细'!$A$11:$A$1309,0)))&amp;" + 待核",SUM(INDEX('SKU明细'!$D$11:$D$1309,MATCH("B07-BK-I-0-39",'SKU明细'!$A$11:$A$1309,0)))))</x:f>
        <x:v>0</x:v>
      </x:c>
      <x:c r="M65" s="38" t="n">
        <x:f>IF(COUNT(INDEX('SKU明细'!$D$11:$D$1309,MATCH("B07-BK-I-0-39.5",'SKU明细'!$A$11:$A$1309,0)))=0,"待核",IF(COUNT(INDEX('SKU明细'!$D$11:$D$1309,MATCH("B07-BK-I-0-39.5",'SKU明细'!$A$11:$A$1309,0)))&lt;1,SUM(INDEX('SKU明细'!$D$11:$D$1309,MATCH("B07-BK-I-0-39.5",'SKU明细'!$A$11:$A$1309,0)))&amp;" + 待核",SUM(INDEX('SKU明细'!$D$11:$D$1309,MATCH("B07-BK-I-0-39.5",'SKU明细'!$A$11:$A$1309,0)))))</x:f>
        <x:v>0</x:v>
      </x:c>
      <x:c r="N65" s="38" t="str">
        <x:f>"—"</x:f>
        <x:v>—</x:v>
      </x:c>
      <x:c r="O65" s="38" t="str">
        <x:f>"—"</x:f>
        <x:v>—</x:v>
      </x:c>
      <x:c r="P65" s="38" t="n">
        <x:f>IF(COUNT(INDEX('SKU明细'!$D$11:$D$1309,MATCH("B07-BK-I-0-41",'SKU明细'!$A$11:$A$1309,0)))=0,"待核",IF(COUNT(INDEX('SKU明细'!$D$11:$D$1309,MATCH("B07-BK-I-0-41",'SKU明细'!$A$11:$A$1309,0)))&lt;1,SUM(INDEX('SKU明细'!$D$11:$D$1309,MATCH("B07-BK-I-0-41",'SKU明细'!$A$11:$A$1309,0)))&amp;" + 待核",SUM(INDEX('SKU明细'!$D$11:$D$1309,MATCH("B07-BK-I-0-41",'SKU明细'!$A$11:$A$1309,0)))))</x:f>
        <x:v>0</x:v>
      </x:c>
      <x:c r="Q65" s="38" t="n">
        <x:f>IF(COUNT(INDEX('SKU明细'!$D$11:$D$1309,MATCH("B07-BK-I-0-41.5",'SKU明细'!$A$11:$A$1309,0)))=0,"待核",IF(COUNT(INDEX('SKU明细'!$D$11:$D$1309,MATCH("B07-BK-I-0-41.5",'SKU明细'!$A$11:$A$1309,0)))&lt;1,SUM(INDEX('SKU明细'!$D$11:$D$1309,MATCH("B07-BK-I-0-41.5",'SKU明细'!$A$11:$A$1309,0)))&amp;" + 待核",SUM(INDEX('SKU明细'!$D$11:$D$1309,MATCH("B07-BK-I-0-41.5",'SKU明细'!$A$11:$A$1309,0)))))</x:f>
        <x:v>0</x:v>
      </x:c>
      <x:c r="R65" s="38" t="str">
        <x:f>"—"</x:f>
        <x:v>—</x:v>
      </x:c>
      <x:c r="S65" s="38" t="n">
        <x:f>IF(COUNT(INDEX('SKU明细'!$D$11:$D$1309,MATCH("B07-BK-I-0-37.5",'SKU明细'!$A$11:$A$1309,0)),INDEX('SKU明细'!$D$11:$D$1309,MATCH("B07-BK-I-0-39",'SKU明细'!$A$11:$A$1309,0)),INDEX('SKU明细'!$D$11:$D$1309,MATCH("B07-BK-I-0-39.5",'SKU明细'!$A$11:$A$1309,0)),INDEX('SKU明细'!$D$11:$D$1309,MATCH("B07-BK-I-0-41",'SKU明细'!$A$11:$A$1309,0)),INDEX('SKU明细'!$D$11:$D$1309,MATCH("B07-BK-I-0-41.5",'SKU明细'!$A$11:$A$1309,0)))=0,"待核",SUM(INDEX('SKU明细'!$D$11:$D$1309,MATCH("B07-BK-I-0-37.5",'SKU明细'!$A$11:$A$1309,0)),INDEX('SKU明细'!$D$11:$D$1309,MATCH("B07-BK-I-0-39",'SKU明细'!$A$11:$A$1309,0)),INDEX('SKU明细'!$D$11:$D$1309,MATCH("B07-BK-I-0-39.5",'SKU明细'!$A$11:$A$1309,0)),INDEX('SKU明细'!$D$11:$D$1309,MATCH("B07-BK-I-0-41",'SKU明细'!$A$11:$A$1309,0)),INDEX('SKU明细'!$D$11:$D$1309,MATCH("B07-BK-I-0-41.5",'SKU明细'!$A$11:$A$1309,0))))</x:f>
        <x:v>0</x:v>
      </x:c>
      <x:c r="T65" s="38" t="n">
        <x:f>IF(COUNTIFS($A$9:$A$191,A65,$U$9:$U$191,"&lt;&gt;待核")=0,"待核",SUMIF($A$9:$A$191,A65,$S$9:$S$191))</x:f>
        <x:v>364</x:v>
      </x:c>
      <x:c r="U65" s="37" t="str">
        <x:f>IF(COUNT(INDEX('SKU明细'!$D$11:$D$1309,MATCH("B07-BK-I-0-37.5",'SKU明细'!$A$11:$A$1309,0)),INDEX('SKU明细'!$D$11:$D$1309,MATCH("B07-BK-I-0-39",'SKU明细'!$A$11:$A$1309,0)),INDEX('SKU明细'!$D$11:$D$1309,MATCH("B07-BK-I-0-39.5",'SKU明细'!$A$11:$A$1309,0)),INDEX('SKU明细'!$D$11:$D$1309,MATCH("B07-BK-I-0-41",'SKU明细'!$A$11:$A$1309,0)),INDEX('SKU明细'!$D$11:$D$1309,MATCH("B07-BK-I-0-41.5",'SKU明细'!$A$11:$A$1309,0)))=0,"待核",IF(COUNT(INDEX('SKU明细'!$D$11:$D$1309,MATCH("B07-BK-I-0-37.5",'SKU明细'!$A$11:$A$1309,0)),INDEX('SKU明细'!$D$11:$D$1309,MATCH("B07-BK-I-0-39",'SKU明细'!$A$11:$A$1309,0)),INDEX('SKU明细'!$D$11:$D$1309,MATCH("B07-BK-I-0-39.5",'SKU明细'!$A$11:$A$1309,0)),INDEX('SKU明细'!$D$11:$D$1309,MATCH("B07-BK-I-0-41",'SKU明细'!$A$11:$A$1309,0)),INDEX('SKU明细'!$D$11:$D$1309,MATCH("B07-BK-I-0-41.5",'SKU明细'!$A$11:$A$1309,0)))&lt;5,"另有待核","已核"))</x:f>
        <x:v>已核</x:v>
      </x:c>
      <x:c r="V65" s="37" t="str">
        <x:v>在售、停售</x:v>
      </x:c>
      <x:c r="W65" s="11" t="n">
        <x:f>IF(COUNT(INDEX('SKU明细'!$BV$11:$BV$1309,MATCH("B07-BK-I-0-37.5",'SKU明细'!$A$11:$A$1309,0)),INDEX('SKU明细'!$BV$11:$BV$1309,MATCH("B07-BK-I-0-39",'SKU明细'!$A$11:$A$1309,0)),INDEX('SKU明细'!$BV$11:$BV$1309,MATCH("B07-BK-I-0-39.5",'SKU明细'!$A$11:$A$1309,0)),INDEX('SKU明细'!$BV$11:$BV$1309,MATCH("B07-BK-I-0-41",'SKU明细'!$A$11:$A$1309,0)),INDEX('SKU明细'!$BV$11:$BV$1309,MATCH("B07-BK-I-0-41.5",'SKU明细'!$A$11:$A$1309,0)))=5,SUM(INDEX('SKU明细'!$BV$11:$BV$1309,MATCH("B07-BK-I-0-37.5",'SKU明细'!$A$11:$A$1309,0)),INDEX('SKU明细'!$BV$11:$BV$1309,MATCH("B07-BK-I-0-39",'SKU明细'!$A$11:$A$1309,0)),INDEX('SKU明细'!$BV$11:$BV$1309,MATCH("B07-BK-I-0-39.5",'SKU明细'!$A$11:$A$1309,0)),INDEX('SKU明细'!$BV$11:$BV$1309,MATCH("B07-BK-I-0-41",'SKU明细'!$A$11:$A$1309,0)),INDEX('SKU明细'!$BV$11:$BV$1309,MATCH("B07-BK-I-0-41.5",'SKU明细'!$A$11:$A$1309,0))),"待核")</x:f>
        <x:v>0.3354727951240854</x:v>
      </x:c>
      <x:c r="X65" s="11" t="n">
        <x:f>INDEX('SKU明细'!$BW$11:$BW$1309,MATCH("B07-BK-I-0-37.5",'SKU明细'!$A$11:$A$1309,0))</x:f>
        <x:v>0.7307750238224848</x:v>
      </x:c>
      <x:c r="Y65" s="13" t="n">
        <x:f>IF(COUNT(INDEX('SKU明细'!$BY$11:$BY$1309,MATCH("B07-BK-I-0-37.5",'SKU明细'!$A$11:$A$1309,0)),INDEX('SKU明细'!$BY$11:$BY$1309,MATCH("B07-BK-I-0-39",'SKU明细'!$A$11:$A$1309,0)),INDEX('SKU明细'!$BY$11:$BY$1309,MATCH("B07-BK-I-0-39.5",'SKU明细'!$A$11:$A$1309,0)),INDEX('SKU明细'!$BY$11:$BY$1309,MATCH("B07-BK-I-0-41",'SKU明细'!$A$11:$A$1309,0)),INDEX('SKU明细'!$BY$11:$BY$1309,MATCH("B07-BK-I-0-41.5",'SKU明细'!$A$11:$A$1309,0)))=5,SUM(INDEX('SKU明细'!$BY$11:$BY$1309,MATCH("B07-BK-I-0-37.5",'SKU明细'!$A$11:$A$1309,0)),INDEX('SKU明细'!$BY$11:$BY$1309,MATCH("B07-BK-I-0-39",'SKU明细'!$A$11:$A$1309,0)),INDEX('SKU明细'!$BY$11:$BY$1309,MATCH("B07-BK-I-0-39.5",'SKU明细'!$A$11:$A$1309,0)),INDEX('SKU明细'!$BY$11:$BY$1309,MATCH("B07-BK-I-0-41",'SKU明细'!$A$11:$A$1309,0)),INDEX('SKU明细'!$BY$11:$BY$1309,MATCH("B07-BK-I-0-41.5",'SKU明细'!$A$11:$A$1309,0))),"待核")</x:f>
        <x:v>2.941861678183189</x:v>
      </x:c>
      <x:c r="Z65" s="11" t="n">
        <x:f>INDEX('SKU明细'!$BZ$11:$BZ$1309,MATCH("B07-BK-I-0-37.5",'SKU明细'!$A$11:$A$1309,0))</x:f>
        <x:v>0.9523018155490097</x:v>
      </x:c>
      <x:c r="AA65" s="13" t="n">
        <x:f>IF(COUNT(INDEX('SKU明细'!$CB$11:$CB$1309,MATCH("B07-BK-I-0-37.5",'SKU明细'!$A$11:$A$1309,0)),INDEX('SKU明细'!$CB$11:$CB$1309,MATCH("B07-BK-I-0-39",'SKU明细'!$A$11:$A$1309,0)),INDEX('SKU明细'!$CB$11:$CB$1309,MATCH("B07-BK-I-0-39.5",'SKU明细'!$A$11:$A$1309,0)),INDEX('SKU明细'!$CB$11:$CB$1309,MATCH("B07-BK-I-0-41",'SKU明细'!$A$11:$A$1309,0)),INDEX('SKU明细'!$CB$11:$CB$1309,MATCH("B07-BK-I-0-41.5",'SKU明细'!$A$11:$A$1309,0)))=5,SUM(INDEX('SKU明细'!$CB$11:$CB$1309,MATCH("B07-BK-I-0-37.5",'SKU明细'!$A$11:$A$1309,0)),INDEX('SKU明细'!$CB$11:$CB$1309,MATCH("B07-BK-I-0-39",'SKU明细'!$A$11:$A$1309,0)),INDEX('SKU明细'!$CB$11:$CB$1309,MATCH("B07-BK-I-0-39.5",'SKU明细'!$A$11:$A$1309,0)),INDEX('SKU明细'!$CB$11:$CB$1309,MATCH("B07-BK-I-0-41",'SKU明细'!$A$11:$A$1309,0)),INDEX('SKU明细'!$CB$11:$CB$1309,MATCH("B07-BK-I-0-41.5",'SKU明细'!$A$11:$A$1309,0))),"待核")</x:f>
        <x:v>9.584140555919026</x:v>
      </x:c>
      <x:c r="AB65" s="11" t="n">
        <x:f>INDEX('SKU明细'!$CC$11:$CC$1309,MATCH("B07-BK-I-0-37.5",'SKU明细'!$A$11:$A$1309,0))</x:f>
        <x:v>0.5958545198749097</x:v>
      </x:c>
      <x:c r="AC65" s="13" t="n">
        <x:f>IF(COUNT(INDEX('SKU明细'!$CE$11:$CE$1309,MATCH("B07-BK-I-0-37.5",'SKU明细'!$A$11:$A$1309,0)),INDEX('SKU明细'!$CE$11:$CE$1309,MATCH("B07-BK-I-0-39",'SKU明细'!$A$11:$A$1309,0)),INDEX('SKU明细'!$CE$11:$CE$1309,MATCH("B07-BK-I-0-39.5",'SKU明细'!$A$11:$A$1309,0)),INDEX('SKU明细'!$CE$11:$CE$1309,MATCH("B07-BK-I-0-41",'SKU明细'!$A$11:$A$1309,0)),INDEX('SKU明细'!$CE$11:$CE$1309,MATCH("B07-BK-I-0-41.5",'SKU明细'!$A$11:$A$1309,0)))=5,SUM(INDEX('SKU明细'!$CE$11:$CE$1309,MATCH("B07-BK-I-0-37.5",'SKU明细'!$A$11:$A$1309,0)),INDEX('SKU明细'!$CE$11:$CE$1309,MATCH("B07-BK-I-0-39",'SKU明细'!$A$11:$A$1309,0)),INDEX('SKU明细'!$CE$11:$CE$1309,MATCH("B07-BK-I-0-39.5",'SKU明细'!$A$11:$A$1309,0)),INDEX('SKU明细'!$CE$11:$CE$1309,MATCH("B07-BK-I-0-41",'SKU明细'!$A$11:$A$1309,0)),INDEX('SKU明细'!$CE$11:$CE$1309,MATCH("B07-BK-I-0-41.5",'SKU明细'!$A$11:$A$1309,0))),"待核")</x:f>
        <x:v>6.196682419362431</x:v>
      </x:c>
      <x:c r="AD65" s="11" t="n">
        <x:f>INDEX('SKU明细'!$CF$11:$CF$1309,MATCH("B07-BK-I-0-37.5",'SKU明细'!$A$11:$A$1309,0))</x:f>
        <x:v>1.3264167397065354</x:v>
      </x:c>
      <x:c r="AE65" s="13" t="n">
        <x:f>IF(COUNT(INDEX('SKU明细'!$CH$11:$CH$1309,MATCH("B07-BK-I-0-37.5",'SKU明细'!$A$11:$A$1309,0)),INDEX('SKU明细'!$CH$11:$CH$1309,MATCH("B07-BK-I-0-39",'SKU明细'!$A$11:$A$1309,0)),INDEX('SKU明细'!$CH$11:$CH$1309,MATCH("B07-BK-I-0-39.5",'SKU明细'!$A$11:$A$1309,0)),INDEX('SKU明细'!$CH$11:$CH$1309,MATCH("B07-BK-I-0-41",'SKU明细'!$A$11:$A$1309,0)),INDEX('SKU明细'!$CH$11:$CH$1309,MATCH("B07-BK-I-0-41.5",'SKU明细'!$A$11:$A$1309,0)))=5,SUM(INDEX('SKU明细'!$CH$11:$CH$1309,MATCH("B07-BK-I-0-37.5",'SKU明细'!$A$11:$A$1309,0)),INDEX('SKU明细'!$CH$11:$CH$1309,MATCH("B07-BK-I-0-39",'SKU明细'!$A$11:$A$1309,0)),INDEX('SKU明细'!$CH$11:$CH$1309,MATCH("B07-BK-I-0-39.5",'SKU明细'!$A$11:$A$1309,0)),INDEX('SKU明细'!$CH$11:$CH$1309,MATCH("B07-BK-I-0-41",'SKU明细'!$A$11:$A$1309,0)),INDEX('SKU明细'!$CH$11:$CH$1309,MATCH("B07-BK-I-0-41.5",'SKU明细'!$A$11:$A$1309,0))),"待核")</x:f>
        <x:v>7.564604429868375</x:v>
      </x:c>
      <x:c r="AF65" s="13" t="n">
        <x:f>IF(COUNT(INDEX('SKU明细'!$CI$11:$CI$1309,MATCH("B07-BK-I-0-37.5",'SKU明细'!$A$11:$A$1309,0)),INDEX('SKU明细'!$CI$11:$CI$1309,MATCH("B07-BK-I-0-39",'SKU明细'!$A$11:$A$1309,0)),INDEX('SKU明细'!$CI$11:$CI$1309,MATCH("B07-BK-I-0-39.5",'SKU明细'!$A$11:$A$1309,0)),INDEX('SKU明细'!$CI$11:$CI$1309,MATCH("B07-BK-I-0-41",'SKU明细'!$A$11:$A$1309,0)),INDEX('SKU明细'!$CI$11:$CI$1309,MATCH("B07-BK-I-0-41.5",'SKU明细'!$A$11:$A$1309,0)))=5,SUM(INDEX('SKU明细'!$CI$11:$CI$1309,MATCH("B07-BK-I-0-37.5",'SKU明细'!$A$11:$A$1309,0)),INDEX('SKU明细'!$CI$11:$CI$1309,MATCH("B07-BK-I-0-39",'SKU明细'!$A$11:$A$1309,0)),INDEX('SKU明细'!$CI$11:$CI$1309,MATCH("B07-BK-I-0-39.5",'SKU明细'!$A$11:$A$1309,0)),INDEX('SKU明细'!$CI$11:$CI$1309,MATCH("B07-BK-I-0-41",'SKU明细'!$A$11:$A$1309,0)),INDEX('SKU明细'!$CI$11:$CI$1309,MATCH("B07-BK-I-0-41.5",'SKU明细'!$A$11:$A$1309,0))),"待核")</x:f>
        <x:v>26.287289083333025</x:v>
      </x:c>
    </x:row>
    <x:row r="66" ht="40" customHeight="1">
      <x:c r="A66" s="37" t="str">
        <x:v>B07</x:v>
      </x:c>
      <x:c r="B66" s="37" t="str">
        <x:v>艾年</x:v>
      </x:c>
      <x:c r="C66" s="37" t="str">
        <x:v>米色PU</x:v>
      </x:c>
      <x:c r="D66" s="37" t="str">
        <x:v>BK-I</x:v>
      </x:c>
      <x:c r="E66" s="37" t="str">
        <x:v>B07-BK-I-0</x:v>
      </x:c>
      <x:c r="F66" s="37"/>
      <x:c r="G66" s="38" t="str">
        <x:f>"—"</x:f>
        <x:v>—</x:v>
      </x:c>
      <x:c r="H66" s="38" t="str">
        <x:f>"—"</x:f>
        <x:v>—</x:v>
      </x:c>
      <x:c r="I66" s="38" t="str">
        <x:f>"—"</x:f>
        <x:v>—</x:v>
      </x:c>
      <x:c r="J66" s="38" t="str">
        <x:f>"—"</x:f>
        <x:v>—</x:v>
      </x:c>
      <x:c r="K66" s="38" t="str">
        <x:f>"—"</x:f>
        <x:v>—</x:v>
      </x:c>
      <x:c r="L66" s="38" t="str">
        <x:f>"—"</x:f>
        <x:v>—</x:v>
      </x:c>
      <x:c r="M66" s="38" t="str">
        <x:f>"—"</x:f>
        <x:v>—</x:v>
      </x:c>
      <x:c r="N66" s="38" t="n">
        <x:f>IF(COUNT(INDEX('SKU明细'!$D$11:$D$1309,MATCH("B07-BK-I-0-40",'SKU明细'!$A$11:$A$1309,0)))=0,"待核",IF(COUNT(INDEX('SKU明细'!$D$11:$D$1309,MATCH("B07-BK-I-0-40",'SKU明细'!$A$11:$A$1309,0)))&lt;1,SUM(INDEX('SKU明细'!$D$11:$D$1309,MATCH("B07-BK-I-0-40",'SKU明细'!$A$11:$A$1309,0)))&amp;" + 待核",SUM(INDEX('SKU明细'!$D$11:$D$1309,MATCH("B07-BK-I-0-40",'SKU明细'!$A$11:$A$1309,0)))))</x:f>
        <x:v>0</x:v>
      </x:c>
      <x:c r="O66" s="38" t="str">
        <x:f>"—"</x:f>
        <x:v>—</x:v>
      </x:c>
      <x:c r="P66" s="38" t="str">
        <x:f>"—"</x:f>
        <x:v>—</x:v>
      </x:c>
      <x:c r="Q66" s="38" t="str">
        <x:f>"—"</x:f>
        <x:v>—</x:v>
      </x:c>
      <x:c r="R66" s="38" t="str">
        <x:f>"—"</x:f>
        <x:v>—</x:v>
      </x:c>
      <x:c r="S66" s="38" t="n">
        <x:f>IF(COUNT(INDEX('SKU明细'!$D$11:$D$1309,MATCH("B07-BK-I-0-40",'SKU明细'!$A$11:$A$1309,0)))=0,"待核",SUM(INDEX('SKU明细'!$D$11:$D$1309,MATCH("B07-BK-I-0-40",'SKU明细'!$A$11:$A$1309,0))))</x:f>
        <x:v>0</x:v>
      </x:c>
      <x:c r="T66" s="38" t="n">
        <x:f>IF(COUNTIFS($A$9:$A$191,A66,$U$9:$U$191,"&lt;&gt;待核")=0,"待核",SUMIF($A$9:$A$191,A66,$S$9:$S$191))</x:f>
        <x:v>364</x:v>
      </x:c>
      <x:c r="U66" s="37" t="str">
        <x:f>IF(COUNT(INDEX('SKU明细'!$D$11:$D$1309,MATCH("B07-BK-I-0-40",'SKU明细'!$A$11:$A$1309,0)))=0,"待核",IF(COUNT(INDEX('SKU明细'!$D$11:$D$1309,MATCH("B07-BK-I-0-40",'SKU明细'!$A$11:$A$1309,0)))&lt;1,"另有待核","已核"))</x:f>
        <x:v>已核</x:v>
      </x:c>
      <x:c r="V66" s="37" t="str">
        <x:v>在售</x:v>
      </x:c>
      <x:c r="W66" s="11" t="n">
        <x:f>IF(COUNT(INDEX('SKU明细'!$BV$11:$BV$1309,MATCH("B07-BK-I-0-40",'SKU明细'!$A$11:$A$1309,0)))=1,SUM(INDEX('SKU明细'!$BV$11:$BV$1309,MATCH("B07-BK-I-0-40",'SKU明细'!$A$11:$A$1309,0))),"待核")</x:f>
        <x:v>0</x:v>
      </x:c>
      <x:c r="X66" s="11" t="n">
        <x:f>INDEX('SKU明细'!$BW$11:$BW$1309,MATCH("B07-BK-I-0-40",'SKU明细'!$A$11:$A$1309,0))</x:f>
        <x:v>0.7307750238224848</x:v>
      </x:c>
      <x:c r="Y66" s="13" t="n">
        <x:f>IF(COUNT(INDEX('SKU明细'!$BY$11:$BY$1309,MATCH("B07-BK-I-0-40",'SKU明细'!$A$11:$A$1309,0)))=1,SUM(INDEX('SKU明细'!$BY$11:$BY$1309,MATCH("B07-BK-I-0-40",'SKU明细'!$A$11:$A$1309,0))),"待核")</x:f>
        <x:v>0</x:v>
      </x:c>
      <x:c r="Z66" s="11" t="n">
        <x:f>INDEX('SKU明细'!$BZ$11:$BZ$1309,MATCH("B07-BK-I-0-40",'SKU明细'!$A$11:$A$1309,0))</x:f>
        <x:v>0.9523018155490097</x:v>
      </x:c>
      <x:c r="AA66" s="13" t="n">
        <x:f>IF(COUNT(INDEX('SKU明细'!$CB$11:$CB$1309,MATCH("B07-BK-I-0-40",'SKU明细'!$A$11:$A$1309,0)))=1,SUM(INDEX('SKU明细'!$CB$11:$CB$1309,MATCH("B07-BK-I-0-40",'SKU明细'!$A$11:$A$1309,0))),"待核")</x:f>
        <x:v>0</x:v>
      </x:c>
      <x:c r="AB66" s="11" t="n">
        <x:f>INDEX('SKU明细'!$CC$11:$CC$1309,MATCH("B07-BK-I-0-40",'SKU明细'!$A$11:$A$1309,0))</x:f>
        <x:v>0.5958545198749097</x:v>
      </x:c>
      <x:c r="AC66" s="13" t="n">
        <x:f>IF(COUNT(INDEX('SKU明细'!$CE$11:$CE$1309,MATCH("B07-BK-I-0-40",'SKU明细'!$A$11:$A$1309,0)))=1,SUM(INDEX('SKU明细'!$CE$11:$CE$1309,MATCH("B07-BK-I-0-40",'SKU明细'!$A$11:$A$1309,0))),"待核")</x:f>
        <x:v>0</x:v>
      </x:c>
      <x:c r="AD66" s="11" t="n">
        <x:f>INDEX('SKU明细'!$CF$11:$CF$1309,MATCH("B07-BK-I-0-40",'SKU明细'!$A$11:$A$1309,0))</x:f>
        <x:v>1.3264167397065354</x:v>
      </x:c>
      <x:c r="AE66" s="13" t="n">
        <x:f>IF(COUNT(INDEX('SKU明细'!$CH$11:$CH$1309,MATCH("B07-BK-I-0-40",'SKU明细'!$A$11:$A$1309,0)))=1,SUM(INDEX('SKU明细'!$CH$11:$CH$1309,MATCH("B07-BK-I-0-40",'SKU明细'!$A$11:$A$1309,0))),"待核")</x:f>
        <x:v>0</x:v>
      </x:c>
      <x:c r="AF66" s="13" t="n">
        <x:f>IF(COUNT(INDEX('SKU明细'!$CI$11:$CI$1309,MATCH("B07-BK-I-0-40",'SKU明细'!$A$11:$A$1309,0)))=1,SUM(INDEX('SKU明细'!$CI$11:$CI$1309,MATCH("B07-BK-I-0-40",'SKU明细'!$A$11:$A$1309,0))),"待核")</x:f>
        <x:v>0</x:v>
      </x:c>
    </x:row>
    <x:row r="67" ht="40" customHeight="1">
      <x:c r="A67" s="37" t="str">
        <x:v>B07</x:v>
      </x:c>
      <x:c r="B67" s="37" t="str">
        <x:v>艾年</x:v>
      </x:c>
      <x:c r="C67" s="37" t="str">
        <x:v>黑色天鹅绒</x:v>
      </x:c>
      <x:c r="D67" s="37" t="str">
        <x:v>BK-V</x:v>
      </x:c>
      <x:c r="E67" s="37" t="str">
        <x:v>B07-BK-V-0</x:v>
      </x:c>
      <x:c r="F67" s="37"/>
      <x:c r="G67" s="38" t="str">
        <x:f>"—"</x:f>
        <x:v>—</x:v>
      </x:c>
      <x:c r="H67" s="38" t="n">
        <x:f>IF(COUNT(INDEX('SKU明细'!$D$11:$D$1309,MATCH("B07-BK-V-0-37",'SKU明细'!$A$11:$A$1309,0)))=0,"待核",IF(COUNT(INDEX('SKU明细'!$D$11:$D$1309,MATCH("B07-BK-V-0-37",'SKU明细'!$A$11:$A$1309,0)))&lt;1,SUM(INDEX('SKU明细'!$D$11:$D$1309,MATCH("B07-BK-V-0-37",'SKU明细'!$A$11:$A$1309,0)))&amp;" + 待核",SUM(INDEX('SKU明细'!$D$11:$D$1309,MATCH("B07-BK-V-0-37",'SKU明细'!$A$11:$A$1309,0)))))</x:f>
        <x:v>0</x:v>
      </x:c>
      <x:c r="I67" s="38" t="n">
        <x:f>IF(COUNT(INDEX('SKU明细'!$D$11:$D$1309,MATCH("B07-BK-V-0-37.5",'SKU明细'!$A$11:$A$1309,0)))=0,"待核",IF(COUNT(INDEX('SKU明细'!$D$11:$D$1309,MATCH("B07-BK-V-0-37.5",'SKU明细'!$A$11:$A$1309,0)))&lt;1,SUM(INDEX('SKU明细'!$D$11:$D$1309,MATCH("B07-BK-V-0-37.5",'SKU明细'!$A$11:$A$1309,0)))&amp;" + 待核",SUM(INDEX('SKU明细'!$D$11:$D$1309,MATCH("B07-BK-V-0-37.5",'SKU明细'!$A$11:$A$1309,0)))))</x:f>
        <x:v>0</x:v>
      </x:c>
      <x:c r="J67" s="38" t="n">
        <x:f>IF(COUNT(INDEX('SKU明细'!$D$11:$D$1309,MATCH("B07-BK-V-0-38",'SKU明细'!$A$11:$A$1309,0)))=0,"待核",IF(COUNT(INDEX('SKU明细'!$D$11:$D$1309,MATCH("B07-BK-V-0-38",'SKU明细'!$A$11:$A$1309,0)))&lt;1,SUM(INDEX('SKU明细'!$D$11:$D$1309,MATCH("B07-BK-V-0-38",'SKU明细'!$A$11:$A$1309,0)))&amp;" + 待核",SUM(INDEX('SKU明细'!$D$11:$D$1309,MATCH("B07-BK-V-0-38",'SKU明细'!$A$11:$A$1309,0)))))</x:f>
        <x:v>0</x:v>
      </x:c>
      <x:c r="K67" s="38" t="n">
        <x:f>IF(COUNT(INDEX('SKU明细'!$D$11:$D$1309,MATCH("B07-BK-V-0-38.5",'SKU明细'!$A$11:$A$1309,0)))=0,"待核",IF(COUNT(INDEX('SKU明细'!$D$11:$D$1309,MATCH("B07-BK-V-0-38.5",'SKU明细'!$A$11:$A$1309,0)))&lt;1,SUM(INDEX('SKU明细'!$D$11:$D$1309,MATCH("B07-BK-V-0-38.5",'SKU明细'!$A$11:$A$1309,0)))&amp;" + 待核",SUM(INDEX('SKU明细'!$D$11:$D$1309,MATCH("B07-BK-V-0-38.5",'SKU明细'!$A$11:$A$1309,0)))))</x:f>
        <x:v>0</x:v>
      </x:c>
      <x:c r="L67" s="38" t="n">
        <x:f>IF(COUNT(INDEX('SKU明细'!$D$11:$D$1309,MATCH("B07-BK-V-0-39",'SKU明细'!$A$11:$A$1309,0)))=0,"待核",IF(COUNT(INDEX('SKU明细'!$D$11:$D$1309,MATCH("B07-BK-V-0-39",'SKU明细'!$A$11:$A$1309,0)))&lt;1,SUM(INDEX('SKU明细'!$D$11:$D$1309,MATCH("B07-BK-V-0-39",'SKU明细'!$A$11:$A$1309,0)))&amp;" + 待核",SUM(INDEX('SKU明细'!$D$11:$D$1309,MATCH("B07-BK-V-0-39",'SKU明细'!$A$11:$A$1309,0)))))</x:f>
        <x:v>0</x:v>
      </x:c>
      <x:c r="M67" s="38" t="n">
        <x:f>IF(COUNT(INDEX('SKU明细'!$D$11:$D$1309,MATCH("B07-BK-V-0-39.5",'SKU明细'!$A$11:$A$1309,0)))=0,"待核",IF(COUNT(INDEX('SKU明细'!$D$11:$D$1309,MATCH("B07-BK-V-0-39.5",'SKU明细'!$A$11:$A$1309,0)))&lt;1,SUM(INDEX('SKU明细'!$D$11:$D$1309,MATCH("B07-BK-V-0-39.5",'SKU明细'!$A$11:$A$1309,0)))&amp;" + 待核",SUM(INDEX('SKU明细'!$D$11:$D$1309,MATCH("B07-BK-V-0-39.5",'SKU明细'!$A$11:$A$1309,0)))))</x:f>
        <x:v>0</x:v>
      </x:c>
      <x:c r="N67" s="38" t="n">
        <x:f>IF(COUNT(INDEX('SKU明细'!$D$11:$D$1309,MATCH("B07-BK-V-0-40",'SKU明细'!$A$11:$A$1309,0)))=0,"待核",IF(COUNT(INDEX('SKU明细'!$D$11:$D$1309,MATCH("B07-BK-V-0-40",'SKU明细'!$A$11:$A$1309,0)))&lt;1,SUM(INDEX('SKU明细'!$D$11:$D$1309,MATCH("B07-BK-V-0-40",'SKU明细'!$A$11:$A$1309,0)))&amp;" + 待核",SUM(INDEX('SKU明细'!$D$11:$D$1309,MATCH("B07-BK-V-0-40",'SKU明细'!$A$11:$A$1309,0)))))</x:f>
        <x:v>0</x:v>
      </x:c>
      <x:c r="O67" s="38" t="n">
        <x:f>IF(COUNT(INDEX('SKU明细'!$D$11:$D$1309,MATCH("B07-BK-V-0-40.5",'SKU明细'!$A$11:$A$1309,0)))=0,"待核",IF(COUNT(INDEX('SKU明细'!$D$11:$D$1309,MATCH("B07-BK-V-0-40.5",'SKU明细'!$A$11:$A$1309,0)))&lt;1,SUM(INDEX('SKU明细'!$D$11:$D$1309,MATCH("B07-BK-V-0-40.5",'SKU明细'!$A$11:$A$1309,0)))&amp;" + 待核",SUM(INDEX('SKU明细'!$D$11:$D$1309,MATCH("B07-BK-V-0-40.5",'SKU明细'!$A$11:$A$1309,0)))))</x:f>
        <x:v>0</x:v>
      </x:c>
      <x:c r="P67" s="38" t="n">
        <x:f>IF(COUNT(INDEX('SKU明细'!$D$11:$D$1309,MATCH("B07-BK-V-0-41",'SKU明细'!$A$11:$A$1309,0)))=0,"待核",IF(COUNT(INDEX('SKU明细'!$D$11:$D$1309,MATCH("B07-BK-V-0-41",'SKU明细'!$A$11:$A$1309,0)))&lt;1,SUM(INDEX('SKU明细'!$D$11:$D$1309,MATCH("B07-BK-V-0-41",'SKU明细'!$A$11:$A$1309,0)))&amp;" + 待核",SUM(INDEX('SKU明细'!$D$11:$D$1309,MATCH("B07-BK-V-0-41",'SKU明细'!$A$11:$A$1309,0)))))</x:f>
        <x:v>0</x:v>
      </x:c>
      <x:c r="Q67" s="38" t="n">
        <x:f>IF(COUNT(INDEX('SKU明细'!$D$11:$D$1309,MATCH("B07-BK-V-0-41.5",'SKU明细'!$A$11:$A$1309,0)))=0,"待核",IF(COUNT(INDEX('SKU明细'!$D$11:$D$1309,MATCH("B07-BK-V-0-41.5",'SKU明细'!$A$11:$A$1309,0)))&lt;1,SUM(INDEX('SKU明细'!$D$11:$D$1309,MATCH("B07-BK-V-0-41.5",'SKU明细'!$A$11:$A$1309,0)))&amp;" + 待核",SUM(INDEX('SKU明细'!$D$11:$D$1309,MATCH("B07-BK-V-0-41.5",'SKU明细'!$A$11:$A$1309,0)))))</x:f>
        <x:v>0</x:v>
      </x:c>
      <x:c r="R67" s="38" t="n">
        <x:f>IF(COUNT(INDEX('SKU明细'!$D$11:$D$1309,MATCH("B07-BK-V-0-42",'SKU明细'!$A$11:$A$1309,0)))=0,"待核",IF(COUNT(INDEX('SKU明细'!$D$11:$D$1309,MATCH("B07-BK-V-0-42",'SKU明细'!$A$11:$A$1309,0)))&lt;1,SUM(INDEX('SKU明细'!$D$11:$D$1309,MATCH("B07-BK-V-0-42",'SKU明细'!$A$11:$A$1309,0)))&amp;" + 待核",SUM(INDEX('SKU明细'!$D$11:$D$1309,MATCH("B07-BK-V-0-42",'SKU明细'!$A$11:$A$1309,0)))))</x:f>
        <x:v>10</x:v>
      </x:c>
      <x:c r="S67" s="38" t="n">
        <x:f>IF(COUNT(INDEX('SKU明细'!$D$11:$D$1309,MATCH("B07-BK-V-0-37",'SKU明细'!$A$11:$A$1309,0)),INDEX('SKU明细'!$D$11:$D$1309,MATCH("B07-BK-V-0-37.5",'SKU明细'!$A$11:$A$1309,0)),INDEX('SKU明细'!$D$11:$D$1309,MATCH("B07-BK-V-0-38",'SKU明细'!$A$11:$A$1309,0)),INDEX('SKU明细'!$D$11:$D$1309,MATCH("B07-BK-V-0-38.5",'SKU明细'!$A$11:$A$1309,0)),INDEX('SKU明细'!$D$11:$D$1309,MATCH("B07-BK-V-0-39",'SKU明细'!$A$11:$A$1309,0)),INDEX('SKU明细'!$D$11:$D$1309,MATCH("B07-BK-V-0-39.5",'SKU明细'!$A$11:$A$1309,0)),INDEX('SKU明细'!$D$11:$D$1309,MATCH("B07-BK-V-0-40",'SKU明细'!$A$11:$A$1309,0)),INDEX('SKU明细'!$D$11:$D$1309,MATCH("B07-BK-V-0-40.5",'SKU明细'!$A$11:$A$1309,0)),INDEX('SKU明细'!$D$11:$D$1309,MATCH("B07-BK-V-0-41",'SKU明细'!$A$11:$A$1309,0)),INDEX('SKU明细'!$D$11:$D$1309,MATCH("B07-BK-V-0-41.5",'SKU明细'!$A$11:$A$1309,0)),INDEX('SKU明细'!$D$11:$D$1309,MATCH("B07-BK-V-0-42",'SKU明细'!$A$11:$A$1309,0)))=0,"待核",SUM(INDEX('SKU明细'!$D$11:$D$1309,MATCH("B07-BK-V-0-37",'SKU明细'!$A$11:$A$1309,0)),INDEX('SKU明细'!$D$11:$D$1309,MATCH("B07-BK-V-0-37.5",'SKU明细'!$A$11:$A$1309,0)),INDEX('SKU明细'!$D$11:$D$1309,MATCH("B07-BK-V-0-38",'SKU明细'!$A$11:$A$1309,0)),INDEX('SKU明细'!$D$11:$D$1309,MATCH("B07-BK-V-0-38.5",'SKU明细'!$A$11:$A$1309,0)),INDEX('SKU明细'!$D$11:$D$1309,MATCH("B07-BK-V-0-39",'SKU明细'!$A$11:$A$1309,0)),INDEX('SKU明细'!$D$11:$D$1309,MATCH("B07-BK-V-0-39.5",'SKU明细'!$A$11:$A$1309,0)),INDEX('SKU明细'!$D$11:$D$1309,MATCH("B07-BK-V-0-40",'SKU明细'!$A$11:$A$1309,0)),INDEX('SKU明细'!$D$11:$D$1309,MATCH("B07-BK-V-0-40.5",'SKU明细'!$A$11:$A$1309,0)),INDEX('SKU明细'!$D$11:$D$1309,MATCH("B07-BK-V-0-41",'SKU明细'!$A$11:$A$1309,0)),INDEX('SKU明细'!$D$11:$D$1309,MATCH("B07-BK-V-0-41.5",'SKU明细'!$A$11:$A$1309,0)),INDEX('SKU明细'!$D$11:$D$1309,MATCH("B07-BK-V-0-42",'SKU明细'!$A$11:$A$1309,0))))</x:f>
        <x:v>10</x:v>
      </x:c>
      <x:c r="T67" s="38" t="n">
        <x:f>IF(COUNTIFS($A$9:$A$191,A67,$U$9:$U$191,"&lt;&gt;待核")=0,"待核",SUMIF($A$9:$A$191,A67,$S$9:$S$191))</x:f>
        <x:v>364</x:v>
      </x:c>
      <x:c r="U67" s="37" t="str">
        <x:f>IF(COUNT(INDEX('SKU明细'!$D$11:$D$1309,MATCH("B07-BK-V-0-37",'SKU明细'!$A$11:$A$1309,0)),INDEX('SKU明细'!$D$11:$D$1309,MATCH("B07-BK-V-0-37.5",'SKU明细'!$A$11:$A$1309,0)),INDEX('SKU明细'!$D$11:$D$1309,MATCH("B07-BK-V-0-38",'SKU明细'!$A$11:$A$1309,0)),INDEX('SKU明细'!$D$11:$D$1309,MATCH("B07-BK-V-0-38.5",'SKU明细'!$A$11:$A$1309,0)),INDEX('SKU明细'!$D$11:$D$1309,MATCH("B07-BK-V-0-39",'SKU明细'!$A$11:$A$1309,0)),INDEX('SKU明细'!$D$11:$D$1309,MATCH("B07-BK-V-0-39.5",'SKU明细'!$A$11:$A$1309,0)),INDEX('SKU明细'!$D$11:$D$1309,MATCH("B07-BK-V-0-40",'SKU明细'!$A$11:$A$1309,0)),INDEX('SKU明细'!$D$11:$D$1309,MATCH("B07-BK-V-0-40.5",'SKU明细'!$A$11:$A$1309,0)),INDEX('SKU明细'!$D$11:$D$1309,MATCH("B07-BK-V-0-41",'SKU明细'!$A$11:$A$1309,0)),INDEX('SKU明细'!$D$11:$D$1309,MATCH("B07-BK-V-0-41.5",'SKU明细'!$A$11:$A$1309,0)),INDEX('SKU明细'!$D$11:$D$1309,MATCH("B07-BK-V-0-42",'SKU明细'!$A$11:$A$1309,0)))=0,"待核",IF(COUNT(INDEX('SKU明细'!$D$11:$D$1309,MATCH("B07-BK-V-0-37",'SKU明细'!$A$11:$A$1309,0)),INDEX('SKU明细'!$D$11:$D$1309,MATCH("B07-BK-V-0-37.5",'SKU明细'!$A$11:$A$1309,0)),INDEX('SKU明细'!$D$11:$D$1309,MATCH("B07-BK-V-0-38",'SKU明细'!$A$11:$A$1309,0)),INDEX('SKU明细'!$D$11:$D$1309,MATCH("B07-BK-V-0-38.5",'SKU明细'!$A$11:$A$1309,0)),INDEX('SKU明细'!$D$11:$D$1309,MATCH("B07-BK-V-0-39",'SKU明细'!$A$11:$A$1309,0)),INDEX('SKU明细'!$D$11:$D$1309,MATCH("B07-BK-V-0-39.5",'SKU明细'!$A$11:$A$1309,0)),INDEX('SKU明细'!$D$11:$D$1309,MATCH("B07-BK-V-0-40",'SKU明细'!$A$11:$A$1309,0)),INDEX('SKU明细'!$D$11:$D$1309,MATCH("B07-BK-V-0-40.5",'SKU明细'!$A$11:$A$1309,0)),INDEX('SKU明细'!$D$11:$D$1309,MATCH("B07-BK-V-0-41",'SKU明细'!$A$11:$A$1309,0)),INDEX('SKU明细'!$D$11:$D$1309,MATCH("B07-BK-V-0-41.5",'SKU明细'!$A$11:$A$1309,0)),INDEX('SKU明细'!$D$11:$D$1309,MATCH("B07-BK-V-0-42",'SKU明细'!$A$11:$A$1309,0)))&lt;11,"另有待核","已核"))</x:f>
        <x:v>已核</x:v>
      </x:c>
      <x:c r="V67" s="37" t="str">
        <x:v>在售、停售</x:v>
      </x:c>
      <x:c r="W67" s="11" t="n">
        <x:f>IF(COUNT(INDEX('SKU明细'!$BV$11:$BV$1309,MATCH("B07-BK-V-0-37",'SKU明细'!$A$11:$A$1309,0)),INDEX('SKU明细'!$BV$11:$BV$1309,MATCH("B07-BK-V-0-37.5",'SKU明细'!$A$11:$A$1309,0)),INDEX('SKU明细'!$BV$11:$BV$1309,MATCH("B07-BK-V-0-38",'SKU明细'!$A$11:$A$1309,0)),INDEX('SKU明细'!$BV$11:$BV$1309,MATCH("B07-BK-V-0-38.5",'SKU明细'!$A$11:$A$1309,0)),INDEX('SKU明细'!$BV$11:$BV$1309,MATCH("B07-BK-V-0-39",'SKU明细'!$A$11:$A$1309,0)),INDEX('SKU明细'!$BV$11:$BV$1309,MATCH("B07-BK-V-0-39.5",'SKU明细'!$A$11:$A$1309,0)),INDEX('SKU明细'!$BV$11:$BV$1309,MATCH("B07-BK-V-0-40",'SKU明细'!$A$11:$A$1309,0)),INDEX('SKU明细'!$BV$11:$BV$1309,MATCH("B07-BK-V-0-40.5",'SKU明细'!$A$11:$A$1309,0)),INDEX('SKU明细'!$BV$11:$BV$1309,MATCH("B07-BK-V-0-41",'SKU明细'!$A$11:$A$1309,0)),INDEX('SKU明细'!$BV$11:$BV$1309,MATCH("B07-BK-V-0-41.5",'SKU明细'!$A$11:$A$1309,0)),INDEX('SKU明细'!$BV$11:$BV$1309,MATCH("B07-BK-V-0-42",'SKU明细'!$A$11:$A$1309,0)))=11,SUM(INDEX('SKU明细'!$BV$11:$BV$1309,MATCH("B07-BK-V-0-37",'SKU明细'!$A$11:$A$1309,0)),INDEX('SKU明细'!$BV$11:$BV$1309,MATCH("B07-BK-V-0-37.5",'SKU明细'!$A$11:$A$1309,0)),INDEX('SKU明细'!$BV$11:$BV$1309,MATCH("B07-BK-V-0-38",'SKU明细'!$A$11:$A$1309,0)),INDEX('SKU明细'!$BV$11:$BV$1309,MATCH("B07-BK-V-0-38.5",'SKU明细'!$A$11:$A$1309,0)),INDEX('SKU明细'!$BV$11:$BV$1309,MATCH("B07-BK-V-0-39",'SKU明细'!$A$11:$A$1309,0)),INDEX('SKU明细'!$BV$11:$BV$1309,MATCH("B07-BK-V-0-39.5",'SKU明细'!$A$11:$A$1309,0)),INDEX('SKU明细'!$BV$11:$BV$1309,MATCH("B07-BK-V-0-40",'SKU明细'!$A$11:$A$1309,0)),INDEX('SKU明细'!$BV$11:$BV$1309,MATCH("B07-BK-V-0-40.5",'SKU明细'!$A$11:$A$1309,0)),INDEX('SKU明细'!$BV$11:$BV$1309,MATCH("B07-BK-V-0-41",'SKU明细'!$A$11:$A$1309,0)),INDEX('SKU明细'!$BV$11:$BV$1309,MATCH("B07-BK-V-0-41.5",'SKU明细'!$A$11:$A$1309,0)),INDEX('SKU明细'!$BV$11:$BV$1309,MATCH("B07-BK-V-0-42",'SKU明细'!$A$11:$A$1309,0))),"待核")</x:f>
        <x:v>1.730403592504889</x:v>
      </x:c>
      <x:c r="X67" s="11" t="n">
        <x:f>INDEX('SKU明细'!$BW$11:$BW$1309,MATCH("B07-BK-V-0-37",'SKU明细'!$A$11:$A$1309,0))</x:f>
        <x:v>0.7307750238224848</x:v>
      </x:c>
      <x:c r="Y67" s="13" t="n">
        <x:f>IF(COUNT(INDEX('SKU明细'!$BY$11:$BY$1309,MATCH("B07-BK-V-0-37",'SKU明细'!$A$11:$A$1309,0)),INDEX('SKU明细'!$BY$11:$BY$1309,MATCH("B07-BK-V-0-37.5",'SKU明细'!$A$11:$A$1309,0)),INDEX('SKU明细'!$BY$11:$BY$1309,MATCH("B07-BK-V-0-38",'SKU明细'!$A$11:$A$1309,0)),INDEX('SKU明细'!$BY$11:$BY$1309,MATCH("B07-BK-V-0-38.5",'SKU明细'!$A$11:$A$1309,0)),INDEX('SKU明细'!$BY$11:$BY$1309,MATCH("B07-BK-V-0-39",'SKU明细'!$A$11:$A$1309,0)),INDEX('SKU明细'!$BY$11:$BY$1309,MATCH("B07-BK-V-0-39.5",'SKU明细'!$A$11:$A$1309,0)),INDEX('SKU明细'!$BY$11:$BY$1309,MATCH("B07-BK-V-0-40",'SKU明细'!$A$11:$A$1309,0)),INDEX('SKU明细'!$BY$11:$BY$1309,MATCH("B07-BK-V-0-40.5",'SKU明细'!$A$11:$A$1309,0)),INDEX('SKU明细'!$BY$11:$BY$1309,MATCH("B07-BK-V-0-41",'SKU明细'!$A$11:$A$1309,0)),INDEX('SKU明细'!$BY$11:$BY$1309,MATCH("B07-BK-V-0-41.5",'SKU明细'!$A$11:$A$1309,0)),INDEX('SKU明细'!$BY$11:$BY$1309,MATCH("B07-BK-V-0-42",'SKU明细'!$A$11:$A$1309,0)))=11,SUM(INDEX('SKU明细'!$BY$11:$BY$1309,MATCH("B07-BK-V-0-37",'SKU明细'!$A$11:$A$1309,0)),INDEX('SKU明细'!$BY$11:$BY$1309,MATCH("B07-BK-V-0-37.5",'SKU明细'!$A$11:$A$1309,0)),INDEX('SKU明细'!$BY$11:$BY$1309,MATCH("B07-BK-V-0-38",'SKU明细'!$A$11:$A$1309,0)),INDEX('SKU明细'!$BY$11:$BY$1309,MATCH("B07-BK-V-0-38.5",'SKU明细'!$A$11:$A$1309,0)),INDEX('SKU明细'!$BY$11:$BY$1309,MATCH("B07-BK-V-0-39",'SKU明细'!$A$11:$A$1309,0)),INDEX('SKU明细'!$BY$11:$BY$1309,MATCH("B07-BK-V-0-39.5",'SKU明细'!$A$11:$A$1309,0)),INDEX('SKU明细'!$BY$11:$BY$1309,MATCH("B07-BK-V-0-40",'SKU明细'!$A$11:$A$1309,0)),INDEX('SKU明细'!$BY$11:$BY$1309,MATCH("B07-BK-V-0-40.5",'SKU明细'!$A$11:$A$1309,0)),INDEX('SKU明细'!$BY$11:$BY$1309,MATCH("B07-BK-V-0-41",'SKU明细'!$A$11:$A$1309,0)),INDEX('SKU明细'!$BY$11:$BY$1309,MATCH("B07-BK-V-0-41.5",'SKU明细'!$A$11:$A$1309,0)),INDEX('SKU明细'!$BY$11:$BY$1309,MATCH("B07-BK-V-0-42",'SKU明细'!$A$11:$A$1309,0))),"待核")</x:f>
        <x:v>15.174428718423282</x:v>
      </x:c>
      <x:c r="Z67" s="11" t="n">
        <x:f>INDEX('SKU明细'!$BZ$11:$BZ$1309,MATCH("B07-BK-V-0-37",'SKU明细'!$A$11:$A$1309,0))</x:f>
        <x:v>0.9523018155490097</x:v>
      </x:c>
      <x:c r="AA67" s="13" t="n">
        <x:f>IF(COUNT(INDEX('SKU明细'!$CB$11:$CB$1309,MATCH("B07-BK-V-0-37",'SKU明细'!$A$11:$A$1309,0)),INDEX('SKU明细'!$CB$11:$CB$1309,MATCH("B07-BK-V-0-37.5",'SKU明细'!$A$11:$A$1309,0)),INDEX('SKU明细'!$CB$11:$CB$1309,MATCH("B07-BK-V-0-38",'SKU明细'!$A$11:$A$1309,0)),INDEX('SKU明细'!$CB$11:$CB$1309,MATCH("B07-BK-V-0-38.5",'SKU明细'!$A$11:$A$1309,0)),INDEX('SKU明细'!$CB$11:$CB$1309,MATCH("B07-BK-V-0-39",'SKU明细'!$A$11:$A$1309,0)),INDEX('SKU明细'!$CB$11:$CB$1309,MATCH("B07-BK-V-0-39.5",'SKU明细'!$A$11:$A$1309,0)),INDEX('SKU明细'!$CB$11:$CB$1309,MATCH("B07-BK-V-0-40",'SKU明细'!$A$11:$A$1309,0)),INDEX('SKU明细'!$CB$11:$CB$1309,MATCH("B07-BK-V-0-40.5",'SKU明细'!$A$11:$A$1309,0)),INDEX('SKU明细'!$CB$11:$CB$1309,MATCH("B07-BK-V-0-41",'SKU明细'!$A$11:$A$1309,0)),INDEX('SKU明细'!$CB$11:$CB$1309,MATCH("B07-BK-V-0-41.5",'SKU明细'!$A$11:$A$1309,0)),INDEX('SKU明细'!$CB$11:$CB$1309,MATCH("B07-BK-V-0-42",'SKU明细'!$A$11:$A$1309,0)))=11,SUM(INDEX('SKU明细'!$CB$11:$CB$1309,MATCH("B07-BK-V-0-37",'SKU明细'!$A$11:$A$1309,0)),INDEX('SKU明细'!$CB$11:$CB$1309,MATCH("B07-BK-V-0-37.5",'SKU明细'!$A$11:$A$1309,0)),INDEX('SKU明细'!$CB$11:$CB$1309,MATCH("B07-BK-V-0-38",'SKU明细'!$A$11:$A$1309,0)),INDEX('SKU明细'!$CB$11:$CB$1309,MATCH("B07-BK-V-0-38.5",'SKU明细'!$A$11:$A$1309,0)),INDEX('SKU明细'!$CB$11:$CB$1309,MATCH("B07-BK-V-0-39",'SKU明细'!$A$11:$A$1309,0)),INDEX('SKU明细'!$CB$11:$CB$1309,MATCH("B07-BK-V-0-39.5",'SKU明细'!$A$11:$A$1309,0)),INDEX('SKU明细'!$CB$11:$CB$1309,MATCH("B07-BK-V-0-40",'SKU明细'!$A$11:$A$1309,0)),INDEX('SKU明细'!$CB$11:$CB$1309,MATCH("B07-BK-V-0-40.5",'SKU明细'!$A$11:$A$1309,0)),INDEX('SKU明细'!$CB$11:$CB$1309,MATCH("B07-BK-V-0-41",'SKU明细'!$A$11:$A$1309,0)),INDEX('SKU明细'!$CB$11:$CB$1309,MATCH("B07-BK-V-0-41.5",'SKU明细'!$A$11:$A$1309,0)),INDEX('SKU明细'!$CB$11:$CB$1309,MATCH("B07-BK-V-0-42",'SKU明细'!$A$11:$A$1309,0))),"待核")</x:f>
        <x:v>49.43599448324804</x:v>
      </x:c>
      <x:c r="AB67" s="11" t="n">
        <x:f>INDEX('SKU明细'!$CC$11:$CC$1309,MATCH("B07-BK-V-0-37",'SKU明细'!$A$11:$A$1309,0))</x:f>
        <x:v>0.5958545198749097</x:v>
      </x:c>
      <x:c r="AC67" s="13" t="n">
        <x:f>IF(COUNT(INDEX('SKU明细'!$CE$11:$CE$1309,MATCH("B07-BK-V-0-37",'SKU明细'!$A$11:$A$1309,0)),INDEX('SKU明细'!$CE$11:$CE$1309,MATCH("B07-BK-V-0-37.5",'SKU明细'!$A$11:$A$1309,0)),INDEX('SKU明细'!$CE$11:$CE$1309,MATCH("B07-BK-V-0-38",'SKU明细'!$A$11:$A$1309,0)),INDEX('SKU明细'!$CE$11:$CE$1309,MATCH("B07-BK-V-0-38.5",'SKU明细'!$A$11:$A$1309,0)),INDEX('SKU明细'!$CE$11:$CE$1309,MATCH("B07-BK-V-0-39",'SKU明细'!$A$11:$A$1309,0)),INDEX('SKU明细'!$CE$11:$CE$1309,MATCH("B07-BK-V-0-39.5",'SKU明细'!$A$11:$A$1309,0)),INDEX('SKU明细'!$CE$11:$CE$1309,MATCH("B07-BK-V-0-40",'SKU明细'!$A$11:$A$1309,0)),INDEX('SKU明细'!$CE$11:$CE$1309,MATCH("B07-BK-V-0-40.5",'SKU明细'!$A$11:$A$1309,0)),INDEX('SKU明细'!$CE$11:$CE$1309,MATCH("B07-BK-V-0-41",'SKU明细'!$A$11:$A$1309,0)),INDEX('SKU明细'!$CE$11:$CE$1309,MATCH("B07-BK-V-0-41.5",'SKU明细'!$A$11:$A$1309,0)),INDEX('SKU明细'!$CE$11:$CE$1309,MATCH("B07-BK-V-0-42",'SKU明细'!$A$11:$A$1309,0)))=11,SUM(INDEX('SKU明细'!$CE$11:$CE$1309,MATCH("B07-BK-V-0-37",'SKU明细'!$A$11:$A$1309,0)),INDEX('SKU明细'!$CE$11:$CE$1309,MATCH("B07-BK-V-0-37.5",'SKU明细'!$A$11:$A$1309,0)),INDEX('SKU明细'!$CE$11:$CE$1309,MATCH("B07-BK-V-0-38",'SKU明细'!$A$11:$A$1309,0)),INDEX('SKU明细'!$CE$11:$CE$1309,MATCH("B07-BK-V-0-38.5",'SKU明细'!$A$11:$A$1309,0)),INDEX('SKU明细'!$CE$11:$CE$1309,MATCH("B07-BK-V-0-39",'SKU明细'!$A$11:$A$1309,0)),INDEX('SKU明细'!$CE$11:$CE$1309,MATCH("B07-BK-V-0-39.5",'SKU明细'!$A$11:$A$1309,0)),INDEX('SKU明细'!$CE$11:$CE$1309,MATCH("B07-BK-V-0-40",'SKU明细'!$A$11:$A$1309,0)),INDEX('SKU明细'!$CE$11:$CE$1309,MATCH("B07-BK-V-0-40.5",'SKU明细'!$A$11:$A$1309,0)),INDEX('SKU明细'!$CE$11:$CE$1309,MATCH("B07-BK-V-0-41",'SKU明细'!$A$11:$A$1309,0)),INDEX('SKU明细'!$CE$11:$CE$1309,MATCH("B07-BK-V-0-41.5",'SKU明细'!$A$11:$A$1309,0)),INDEX('SKU明细'!$CE$11:$CE$1309,MATCH("B07-BK-V-0-42",'SKU明细'!$A$11:$A$1309,0))),"待核")</x:f>
        <x:v>31.963132855856408</x:v>
      </x:c>
      <x:c r="AD67" s="11" t="n">
        <x:f>INDEX('SKU明细'!$CF$11:$CF$1309,MATCH("B07-BK-V-0-37",'SKU明细'!$A$11:$A$1309,0))</x:f>
        <x:v>1.3264167397065354</x:v>
      </x:c>
      <x:c r="AE67" s="13" t="n">
        <x:f>IF(COUNT(INDEX('SKU明细'!$CH$11:$CH$1309,MATCH("B07-BK-V-0-37",'SKU明细'!$A$11:$A$1309,0)),INDEX('SKU明细'!$CH$11:$CH$1309,MATCH("B07-BK-V-0-37.5",'SKU明细'!$A$11:$A$1309,0)),INDEX('SKU明细'!$CH$11:$CH$1309,MATCH("B07-BK-V-0-38",'SKU明细'!$A$11:$A$1309,0)),INDEX('SKU明细'!$CH$11:$CH$1309,MATCH("B07-BK-V-0-38.5",'SKU明细'!$A$11:$A$1309,0)),INDEX('SKU明细'!$CH$11:$CH$1309,MATCH("B07-BK-V-0-39",'SKU明细'!$A$11:$A$1309,0)),INDEX('SKU明细'!$CH$11:$CH$1309,MATCH("B07-BK-V-0-39.5",'SKU明细'!$A$11:$A$1309,0)),INDEX('SKU明细'!$CH$11:$CH$1309,MATCH("B07-BK-V-0-40",'SKU明细'!$A$11:$A$1309,0)),INDEX('SKU明细'!$CH$11:$CH$1309,MATCH("B07-BK-V-0-40.5",'SKU明细'!$A$11:$A$1309,0)),INDEX('SKU明细'!$CH$11:$CH$1309,MATCH("B07-BK-V-0-41",'SKU明细'!$A$11:$A$1309,0)),INDEX('SKU明细'!$CH$11:$CH$1309,MATCH("B07-BK-V-0-41.5",'SKU明细'!$A$11:$A$1309,0)),INDEX('SKU明细'!$CH$11:$CH$1309,MATCH("B07-BK-V-0-42",'SKU明细'!$A$11:$A$1309,0)))=11,SUM(INDEX('SKU明细'!$CH$11:$CH$1309,MATCH("B07-BK-V-0-37",'SKU明细'!$A$11:$A$1309,0)),INDEX('SKU明细'!$CH$11:$CH$1309,MATCH("B07-BK-V-0-37.5",'SKU明细'!$A$11:$A$1309,0)),INDEX('SKU明细'!$CH$11:$CH$1309,MATCH("B07-BK-V-0-38",'SKU明细'!$A$11:$A$1309,0)),INDEX('SKU明细'!$CH$11:$CH$1309,MATCH("B07-BK-V-0-38.5",'SKU明细'!$A$11:$A$1309,0)),INDEX('SKU明细'!$CH$11:$CH$1309,MATCH("B07-BK-V-0-39",'SKU明细'!$A$11:$A$1309,0)),INDEX('SKU明细'!$CH$11:$CH$1309,MATCH("B07-BK-V-0-39.5",'SKU明细'!$A$11:$A$1309,0)),INDEX('SKU明细'!$CH$11:$CH$1309,MATCH("B07-BK-V-0-40",'SKU明细'!$A$11:$A$1309,0)),INDEX('SKU明细'!$CH$11:$CH$1309,MATCH("B07-BK-V-0-40.5",'SKU明细'!$A$11:$A$1309,0)),INDEX('SKU明细'!$CH$11:$CH$1309,MATCH("B07-BK-V-0-41",'SKU明细'!$A$11:$A$1309,0)),INDEX('SKU明细'!$CH$11:$CH$1309,MATCH("B07-BK-V-0-41.5",'SKU明细'!$A$11:$A$1309,0)),INDEX('SKU明细'!$CH$11:$CH$1309,MATCH("B07-BK-V-0-42",'SKU明细'!$A$11:$A$1309,0))),"待核")</x:f>
        <x:v>39.019016956295786</x:v>
      </x:c>
      <x:c r="AF67" s="13" t="n">
        <x:f>IF(COUNT(INDEX('SKU明细'!$CI$11:$CI$1309,MATCH("B07-BK-V-0-37",'SKU明细'!$A$11:$A$1309,0)),INDEX('SKU明细'!$CI$11:$CI$1309,MATCH("B07-BK-V-0-37.5",'SKU明细'!$A$11:$A$1309,0)),INDEX('SKU明细'!$CI$11:$CI$1309,MATCH("B07-BK-V-0-38",'SKU明细'!$A$11:$A$1309,0)),INDEX('SKU明细'!$CI$11:$CI$1309,MATCH("B07-BK-V-0-38.5",'SKU明细'!$A$11:$A$1309,0)),INDEX('SKU明细'!$CI$11:$CI$1309,MATCH("B07-BK-V-0-39",'SKU明细'!$A$11:$A$1309,0)),INDEX('SKU明细'!$CI$11:$CI$1309,MATCH("B07-BK-V-0-39.5",'SKU明细'!$A$11:$A$1309,0)),INDEX('SKU明细'!$CI$11:$CI$1309,MATCH("B07-BK-V-0-40",'SKU明细'!$A$11:$A$1309,0)),INDEX('SKU明细'!$CI$11:$CI$1309,MATCH("B07-BK-V-0-40.5",'SKU明细'!$A$11:$A$1309,0)),INDEX('SKU明细'!$CI$11:$CI$1309,MATCH("B07-BK-V-0-41",'SKU明细'!$A$11:$A$1309,0)),INDEX('SKU明细'!$CI$11:$CI$1309,MATCH("B07-BK-V-0-41.5",'SKU明细'!$A$11:$A$1309,0)),INDEX('SKU明细'!$CI$11:$CI$1309,MATCH("B07-BK-V-0-42",'SKU明细'!$A$11:$A$1309,0)))=11,SUM(INDEX('SKU明细'!$CI$11:$CI$1309,MATCH("B07-BK-V-0-37",'SKU明细'!$A$11:$A$1309,0)),INDEX('SKU明细'!$CI$11:$CI$1309,MATCH("B07-BK-V-0-37.5",'SKU明细'!$A$11:$A$1309,0)),INDEX('SKU明细'!$CI$11:$CI$1309,MATCH("B07-BK-V-0-38",'SKU明细'!$A$11:$A$1309,0)),INDEX('SKU明细'!$CI$11:$CI$1309,MATCH("B07-BK-V-0-38.5",'SKU明细'!$A$11:$A$1309,0)),INDEX('SKU明细'!$CI$11:$CI$1309,MATCH("B07-BK-V-0-39",'SKU明细'!$A$11:$A$1309,0)),INDEX('SKU明细'!$CI$11:$CI$1309,MATCH("B07-BK-V-0-39.5",'SKU明细'!$A$11:$A$1309,0)),INDEX('SKU明细'!$CI$11:$CI$1309,MATCH("B07-BK-V-0-40",'SKU明细'!$A$11:$A$1309,0)),INDEX('SKU明细'!$CI$11:$CI$1309,MATCH("B07-BK-V-0-40.5",'SKU明细'!$A$11:$A$1309,0)),INDEX('SKU明细'!$CI$11:$CI$1309,MATCH("B07-BK-V-0-41",'SKU明细'!$A$11:$A$1309,0)),INDEX('SKU明细'!$CI$11:$CI$1309,MATCH("B07-BK-V-0-41.5",'SKU明细'!$A$11:$A$1309,0)),INDEX('SKU明细'!$CI$11:$CI$1309,MATCH("B07-BK-V-0-42",'SKU明细'!$A$11:$A$1309,0))),"待核")</x:f>
        <x:v>135.5925730138235</x:v>
      </x:c>
    </x:row>
    <x:row r="68" ht="40" customHeight="1">
      <x:c r="A68" s="37" t="str">
        <x:v>B07</x:v>
      </x:c>
      <x:c r="B68" s="37" t="str">
        <x:v>艾年</x:v>
      </x:c>
      <x:c r="C68" s="37" t="str">
        <x:v>黑色镜面PU</x:v>
      </x:c>
      <x:c r="D68" s="37" t="str">
        <x:v>BK-Z</x:v>
      </x:c>
      <x:c r="E68" s="37" t="str">
        <x:v>B07-BK-Z-0</x:v>
      </x:c>
      <x:c r="F68" s="37"/>
      <x:c r="G68" s="38" t="str">
        <x:f>"—"</x:f>
        <x:v>—</x:v>
      </x:c>
      <x:c r="H68" s="38" t="n">
        <x:f>IF(COUNT(INDEX('SKU明细'!$D$11:$D$1309,MATCH("B07-BK-Z-0-37",'SKU明细'!$A$11:$A$1309,0)))=0,"待核",IF(COUNT(INDEX('SKU明细'!$D$11:$D$1309,MATCH("B07-BK-Z-0-37",'SKU明细'!$A$11:$A$1309,0)))&lt;1,SUM(INDEX('SKU明细'!$D$11:$D$1309,MATCH("B07-BK-Z-0-37",'SKU明细'!$A$11:$A$1309,0)))&amp;" + 待核",SUM(INDEX('SKU明细'!$D$11:$D$1309,MATCH("B07-BK-Z-0-37",'SKU明细'!$A$11:$A$1309,0)))))</x:f>
        <x:v>0</x:v>
      </x:c>
      <x:c r="I68" s="38" t="n">
        <x:f>IF(COUNT(INDEX('SKU明细'!$D$11:$D$1309,MATCH("B07-BK-Z-0-37.5",'SKU明细'!$A$11:$A$1309,0)))=0,"待核",IF(COUNT(INDEX('SKU明细'!$D$11:$D$1309,MATCH("B07-BK-Z-0-37.5",'SKU明细'!$A$11:$A$1309,0)))&lt;1,SUM(INDEX('SKU明细'!$D$11:$D$1309,MATCH("B07-BK-Z-0-37.5",'SKU明细'!$A$11:$A$1309,0)))&amp;" + 待核",SUM(INDEX('SKU明细'!$D$11:$D$1309,MATCH("B07-BK-Z-0-37.5",'SKU明细'!$A$11:$A$1309,0)))))</x:f>
        <x:v>0</x:v>
      </x:c>
      <x:c r="J68" s="38" t="n">
        <x:f>IF(COUNT(INDEX('SKU明细'!$D$11:$D$1309,MATCH("B07-BK-Z-0-38",'SKU明细'!$A$11:$A$1309,0)))=0,"待核",IF(COUNT(INDEX('SKU明细'!$D$11:$D$1309,MATCH("B07-BK-Z-0-38",'SKU明细'!$A$11:$A$1309,0)))&lt;1,SUM(INDEX('SKU明细'!$D$11:$D$1309,MATCH("B07-BK-Z-0-38",'SKU明细'!$A$11:$A$1309,0)))&amp;" + 待核",SUM(INDEX('SKU明细'!$D$11:$D$1309,MATCH("B07-BK-Z-0-38",'SKU明细'!$A$11:$A$1309,0)))))</x:f>
        <x:v>0</x:v>
      </x:c>
      <x:c r="K68" s="38" t="n">
        <x:f>IF(COUNT(INDEX('SKU明细'!$D$11:$D$1309,MATCH("B07-BK-Z-0-38.5",'SKU明细'!$A$11:$A$1309,0)))=0,"待核",IF(COUNT(INDEX('SKU明细'!$D$11:$D$1309,MATCH("B07-BK-Z-0-38.5",'SKU明细'!$A$11:$A$1309,0)))&lt;1,SUM(INDEX('SKU明细'!$D$11:$D$1309,MATCH("B07-BK-Z-0-38.5",'SKU明细'!$A$11:$A$1309,0)))&amp;" + 待核",SUM(INDEX('SKU明细'!$D$11:$D$1309,MATCH("B07-BK-Z-0-38.5",'SKU明细'!$A$11:$A$1309,0)))))</x:f>
        <x:v>0</x:v>
      </x:c>
      <x:c r="L68" s="38" t="n">
        <x:f>IF(COUNT(INDEX('SKU明细'!$D$11:$D$1309,MATCH("B07-BK-Z-0-39",'SKU明细'!$A$11:$A$1309,0)))=0,"待核",IF(COUNT(INDEX('SKU明细'!$D$11:$D$1309,MATCH("B07-BK-Z-0-39",'SKU明细'!$A$11:$A$1309,0)))&lt;1,SUM(INDEX('SKU明细'!$D$11:$D$1309,MATCH("B07-BK-Z-0-39",'SKU明细'!$A$11:$A$1309,0)))&amp;" + 待核",SUM(INDEX('SKU明细'!$D$11:$D$1309,MATCH("B07-BK-Z-0-39",'SKU明细'!$A$11:$A$1309,0)))))</x:f>
        <x:v>0</x:v>
      </x:c>
      <x:c r="M68" s="38" t="n">
        <x:f>IF(COUNT(INDEX('SKU明细'!$D$11:$D$1309,MATCH("B07-BK-Z-0-39.5",'SKU明细'!$A$11:$A$1309,0)))=0,"待核",IF(COUNT(INDEX('SKU明细'!$D$11:$D$1309,MATCH("B07-BK-Z-0-39.5",'SKU明细'!$A$11:$A$1309,0)))&lt;1,SUM(INDEX('SKU明细'!$D$11:$D$1309,MATCH("B07-BK-Z-0-39.5",'SKU明细'!$A$11:$A$1309,0)))&amp;" + 待核",SUM(INDEX('SKU明细'!$D$11:$D$1309,MATCH("B07-BK-Z-0-39.5",'SKU明细'!$A$11:$A$1309,0)))))</x:f>
        <x:v>0</x:v>
      </x:c>
      <x:c r="N68" s="38" t="n">
        <x:f>IF(COUNT(INDEX('SKU明细'!$D$11:$D$1309,MATCH("B07-BK-Z-0-40",'SKU明细'!$A$11:$A$1309,0)))=0,"待核",IF(COUNT(INDEX('SKU明细'!$D$11:$D$1309,MATCH("B07-BK-Z-0-40",'SKU明细'!$A$11:$A$1309,0)))&lt;1,SUM(INDEX('SKU明细'!$D$11:$D$1309,MATCH("B07-BK-Z-0-40",'SKU明细'!$A$11:$A$1309,0)))&amp;" + 待核",SUM(INDEX('SKU明细'!$D$11:$D$1309,MATCH("B07-BK-Z-0-40",'SKU明细'!$A$11:$A$1309,0)))))</x:f>
        <x:v>0</x:v>
      </x:c>
      <x:c r="O68" s="38" t="n">
        <x:f>IF(COUNT(INDEX('SKU明细'!$D$11:$D$1309,MATCH("B07-BK-Z-0-40.5",'SKU明细'!$A$11:$A$1309,0)))=0,"待核",IF(COUNT(INDEX('SKU明细'!$D$11:$D$1309,MATCH("B07-BK-Z-0-40.5",'SKU明细'!$A$11:$A$1309,0)))&lt;1,SUM(INDEX('SKU明细'!$D$11:$D$1309,MATCH("B07-BK-Z-0-40.5",'SKU明细'!$A$11:$A$1309,0)))&amp;" + 待核",SUM(INDEX('SKU明细'!$D$11:$D$1309,MATCH("B07-BK-Z-0-40.5",'SKU明细'!$A$11:$A$1309,0)))))</x:f>
        <x:v>0</x:v>
      </x:c>
      <x:c r="P68" s="38" t="n">
        <x:f>IF(COUNT(INDEX('SKU明细'!$D$11:$D$1309,MATCH("B07-BK-Z-0-41",'SKU明细'!$A$11:$A$1309,0)))=0,"待核",IF(COUNT(INDEX('SKU明细'!$D$11:$D$1309,MATCH("B07-BK-Z-0-41",'SKU明细'!$A$11:$A$1309,0)))&lt;1,SUM(INDEX('SKU明细'!$D$11:$D$1309,MATCH("B07-BK-Z-0-41",'SKU明细'!$A$11:$A$1309,0)))&amp;" + 待核",SUM(INDEX('SKU明细'!$D$11:$D$1309,MATCH("B07-BK-Z-0-41",'SKU明细'!$A$11:$A$1309,0)))))</x:f>
        <x:v>0</x:v>
      </x:c>
      <x:c r="Q68" s="38" t="n">
        <x:f>IF(COUNT(INDEX('SKU明细'!$D$11:$D$1309,MATCH("B07-BK-Z-0-41.5",'SKU明细'!$A$11:$A$1309,0)))=0,"待核",IF(COUNT(INDEX('SKU明细'!$D$11:$D$1309,MATCH("B07-BK-Z-0-41.5",'SKU明细'!$A$11:$A$1309,0)))&lt;1,SUM(INDEX('SKU明细'!$D$11:$D$1309,MATCH("B07-BK-Z-0-41.5",'SKU明细'!$A$11:$A$1309,0)))&amp;" + 待核",SUM(INDEX('SKU明细'!$D$11:$D$1309,MATCH("B07-BK-Z-0-41.5",'SKU明细'!$A$11:$A$1309,0)))))</x:f>
        <x:v>0</x:v>
      </x:c>
      <x:c r="R68" s="38" t="n">
        <x:f>IF(COUNT(INDEX('SKU明细'!$D$11:$D$1309,MATCH("B07-BK-Z-0-42",'SKU明细'!$A$11:$A$1309,0)))=0,"待核",IF(COUNT(INDEX('SKU明细'!$D$11:$D$1309,MATCH("B07-BK-Z-0-42",'SKU明细'!$A$11:$A$1309,0)))&lt;1,SUM(INDEX('SKU明细'!$D$11:$D$1309,MATCH("B07-BK-Z-0-42",'SKU明细'!$A$11:$A$1309,0)))&amp;" + 待核",SUM(INDEX('SKU明细'!$D$11:$D$1309,MATCH("B07-BK-Z-0-42",'SKU明细'!$A$11:$A$1309,0)))))</x:f>
        <x:v>0</x:v>
      </x:c>
      <x:c r="S68" s="38" t="n">
        <x:f>IF(COUNT(INDEX('SKU明细'!$D$11:$D$1309,MATCH("B07-BK-Z-0-37",'SKU明细'!$A$11:$A$1309,0)),INDEX('SKU明细'!$D$11:$D$1309,MATCH("B07-BK-Z-0-37.5",'SKU明细'!$A$11:$A$1309,0)),INDEX('SKU明细'!$D$11:$D$1309,MATCH("B07-BK-Z-0-38",'SKU明细'!$A$11:$A$1309,0)),INDEX('SKU明细'!$D$11:$D$1309,MATCH("B07-BK-Z-0-38.5",'SKU明细'!$A$11:$A$1309,0)),INDEX('SKU明细'!$D$11:$D$1309,MATCH("B07-BK-Z-0-39",'SKU明细'!$A$11:$A$1309,0)),INDEX('SKU明细'!$D$11:$D$1309,MATCH("B07-BK-Z-0-39.5",'SKU明细'!$A$11:$A$1309,0)),INDEX('SKU明细'!$D$11:$D$1309,MATCH("B07-BK-Z-0-40",'SKU明细'!$A$11:$A$1309,0)),INDEX('SKU明细'!$D$11:$D$1309,MATCH("B07-BK-Z-0-40.5",'SKU明细'!$A$11:$A$1309,0)),INDEX('SKU明细'!$D$11:$D$1309,MATCH("B07-BK-Z-0-41",'SKU明细'!$A$11:$A$1309,0)),INDEX('SKU明细'!$D$11:$D$1309,MATCH("B07-BK-Z-0-41.5",'SKU明细'!$A$11:$A$1309,0)),INDEX('SKU明细'!$D$11:$D$1309,MATCH("B07-BK-Z-0-42",'SKU明细'!$A$11:$A$1309,0)))=0,"待核",SUM(INDEX('SKU明细'!$D$11:$D$1309,MATCH("B07-BK-Z-0-37",'SKU明细'!$A$11:$A$1309,0)),INDEX('SKU明细'!$D$11:$D$1309,MATCH("B07-BK-Z-0-37.5",'SKU明细'!$A$11:$A$1309,0)),INDEX('SKU明细'!$D$11:$D$1309,MATCH("B07-BK-Z-0-38",'SKU明细'!$A$11:$A$1309,0)),INDEX('SKU明细'!$D$11:$D$1309,MATCH("B07-BK-Z-0-38.5",'SKU明细'!$A$11:$A$1309,0)),INDEX('SKU明细'!$D$11:$D$1309,MATCH("B07-BK-Z-0-39",'SKU明细'!$A$11:$A$1309,0)),INDEX('SKU明细'!$D$11:$D$1309,MATCH("B07-BK-Z-0-39.5",'SKU明细'!$A$11:$A$1309,0)),INDEX('SKU明细'!$D$11:$D$1309,MATCH("B07-BK-Z-0-40",'SKU明细'!$A$11:$A$1309,0)),INDEX('SKU明细'!$D$11:$D$1309,MATCH("B07-BK-Z-0-40.5",'SKU明细'!$A$11:$A$1309,0)),INDEX('SKU明细'!$D$11:$D$1309,MATCH("B07-BK-Z-0-41",'SKU明细'!$A$11:$A$1309,0)),INDEX('SKU明细'!$D$11:$D$1309,MATCH("B07-BK-Z-0-41.5",'SKU明细'!$A$11:$A$1309,0)),INDEX('SKU明细'!$D$11:$D$1309,MATCH("B07-BK-Z-0-42",'SKU明细'!$A$11:$A$1309,0))))</x:f>
        <x:v>0</x:v>
      </x:c>
      <x:c r="T68" s="38" t="n">
        <x:f>IF(COUNTIFS($A$9:$A$191,A68,$U$9:$U$191,"&lt;&gt;待核")=0,"待核",SUMIF($A$9:$A$191,A68,$S$9:$S$191))</x:f>
        <x:v>364</x:v>
      </x:c>
      <x:c r="U68" s="37" t="str">
        <x:f>IF(COUNT(INDEX('SKU明细'!$D$11:$D$1309,MATCH("B07-BK-Z-0-37",'SKU明细'!$A$11:$A$1309,0)),INDEX('SKU明细'!$D$11:$D$1309,MATCH("B07-BK-Z-0-37.5",'SKU明细'!$A$11:$A$1309,0)),INDEX('SKU明细'!$D$11:$D$1309,MATCH("B07-BK-Z-0-38",'SKU明细'!$A$11:$A$1309,0)),INDEX('SKU明细'!$D$11:$D$1309,MATCH("B07-BK-Z-0-38.5",'SKU明细'!$A$11:$A$1309,0)),INDEX('SKU明细'!$D$11:$D$1309,MATCH("B07-BK-Z-0-39",'SKU明细'!$A$11:$A$1309,0)),INDEX('SKU明细'!$D$11:$D$1309,MATCH("B07-BK-Z-0-39.5",'SKU明细'!$A$11:$A$1309,0)),INDEX('SKU明细'!$D$11:$D$1309,MATCH("B07-BK-Z-0-40",'SKU明细'!$A$11:$A$1309,0)),INDEX('SKU明细'!$D$11:$D$1309,MATCH("B07-BK-Z-0-40.5",'SKU明细'!$A$11:$A$1309,0)),INDEX('SKU明细'!$D$11:$D$1309,MATCH("B07-BK-Z-0-41",'SKU明细'!$A$11:$A$1309,0)),INDEX('SKU明细'!$D$11:$D$1309,MATCH("B07-BK-Z-0-41.5",'SKU明细'!$A$11:$A$1309,0)),INDEX('SKU明细'!$D$11:$D$1309,MATCH("B07-BK-Z-0-42",'SKU明细'!$A$11:$A$1309,0)))=0,"待核",IF(COUNT(INDEX('SKU明细'!$D$11:$D$1309,MATCH("B07-BK-Z-0-37",'SKU明细'!$A$11:$A$1309,0)),INDEX('SKU明细'!$D$11:$D$1309,MATCH("B07-BK-Z-0-37.5",'SKU明细'!$A$11:$A$1309,0)),INDEX('SKU明细'!$D$11:$D$1309,MATCH("B07-BK-Z-0-38",'SKU明细'!$A$11:$A$1309,0)),INDEX('SKU明细'!$D$11:$D$1309,MATCH("B07-BK-Z-0-38.5",'SKU明细'!$A$11:$A$1309,0)),INDEX('SKU明细'!$D$11:$D$1309,MATCH("B07-BK-Z-0-39",'SKU明细'!$A$11:$A$1309,0)),INDEX('SKU明细'!$D$11:$D$1309,MATCH("B07-BK-Z-0-39.5",'SKU明细'!$A$11:$A$1309,0)),INDEX('SKU明细'!$D$11:$D$1309,MATCH("B07-BK-Z-0-40",'SKU明细'!$A$11:$A$1309,0)),INDEX('SKU明细'!$D$11:$D$1309,MATCH("B07-BK-Z-0-40.5",'SKU明细'!$A$11:$A$1309,0)),INDEX('SKU明细'!$D$11:$D$1309,MATCH("B07-BK-Z-0-41",'SKU明细'!$A$11:$A$1309,0)),INDEX('SKU明细'!$D$11:$D$1309,MATCH("B07-BK-Z-0-41.5",'SKU明细'!$A$11:$A$1309,0)),INDEX('SKU明细'!$D$11:$D$1309,MATCH("B07-BK-Z-0-42",'SKU明细'!$A$11:$A$1309,0)))&lt;11,"另有待核","已核"))</x:f>
        <x:v>已核</x:v>
      </x:c>
      <x:c r="V68" s="37" t="str">
        <x:v>在售、停售</x:v>
      </x:c>
      <x:c r="W68" s="11" t="n">
        <x:f>IF(COUNT(INDEX('SKU明细'!$BV$11:$BV$1309,MATCH("B07-BK-Z-0-37",'SKU明细'!$A$11:$A$1309,0)),INDEX('SKU明细'!$BV$11:$BV$1309,MATCH("B07-BK-Z-0-37.5",'SKU明细'!$A$11:$A$1309,0)),INDEX('SKU明细'!$BV$11:$BV$1309,MATCH("B07-BK-Z-0-38",'SKU明细'!$A$11:$A$1309,0)),INDEX('SKU明细'!$BV$11:$BV$1309,MATCH("B07-BK-Z-0-38.5",'SKU明细'!$A$11:$A$1309,0)),INDEX('SKU明细'!$BV$11:$BV$1309,MATCH("B07-BK-Z-0-39",'SKU明细'!$A$11:$A$1309,0)),INDEX('SKU明细'!$BV$11:$BV$1309,MATCH("B07-BK-Z-0-39.5",'SKU明细'!$A$11:$A$1309,0)),INDEX('SKU明细'!$BV$11:$BV$1309,MATCH("B07-BK-Z-0-40",'SKU明细'!$A$11:$A$1309,0)),INDEX('SKU明细'!$BV$11:$BV$1309,MATCH("B07-BK-Z-0-40.5",'SKU明细'!$A$11:$A$1309,0)),INDEX('SKU明细'!$BV$11:$BV$1309,MATCH("B07-BK-Z-0-41",'SKU明细'!$A$11:$A$1309,0)),INDEX('SKU明细'!$BV$11:$BV$1309,MATCH("B07-BK-Z-0-41.5",'SKU明细'!$A$11:$A$1309,0)),INDEX('SKU明细'!$BV$11:$BV$1309,MATCH("B07-BK-Z-0-42",'SKU明细'!$A$11:$A$1309,0)))=11,SUM(INDEX('SKU明细'!$BV$11:$BV$1309,MATCH("B07-BK-Z-0-37",'SKU明细'!$A$11:$A$1309,0)),INDEX('SKU明细'!$BV$11:$BV$1309,MATCH("B07-BK-Z-0-37.5",'SKU明细'!$A$11:$A$1309,0)),INDEX('SKU明细'!$BV$11:$BV$1309,MATCH("B07-BK-Z-0-38",'SKU明细'!$A$11:$A$1309,0)),INDEX('SKU明细'!$BV$11:$BV$1309,MATCH("B07-BK-Z-0-38.5",'SKU明细'!$A$11:$A$1309,0)),INDEX('SKU明细'!$BV$11:$BV$1309,MATCH("B07-BK-Z-0-39",'SKU明细'!$A$11:$A$1309,0)),INDEX('SKU明细'!$BV$11:$BV$1309,MATCH("B07-BK-Z-0-39.5",'SKU明细'!$A$11:$A$1309,0)),INDEX('SKU明细'!$BV$11:$BV$1309,MATCH("B07-BK-Z-0-40",'SKU明细'!$A$11:$A$1309,0)),INDEX('SKU明细'!$BV$11:$BV$1309,MATCH("B07-BK-Z-0-40.5",'SKU明细'!$A$11:$A$1309,0)),INDEX('SKU明细'!$BV$11:$BV$1309,MATCH("B07-BK-Z-0-41",'SKU明细'!$A$11:$A$1309,0)),INDEX('SKU明细'!$BV$11:$BV$1309,MATCH("B07-BK-Z-0-41.5",'SKU明细'!$A$11:$A$1309,0)),INDEX('SKU明细'!$BV$11:$BV$1309,MATCH("B07-BK-Z-0-42",'SKU明细'!$A$11:$A$1309,0))),"待核")</x:f>
        <x:v>1.3509310627577813</x:v>
      </x:c>
      <x:c r="X68" s="11" t="n">
        <x:f>INDEX('SKU明细'!$BW$11:$BW$1309,MATCH("B07-BK-Z-0-37",'SKU明细'!$A$11:$A$1309,0))</x:f>
        <x:v>0.7307750238224848</x:v>
      </x:c>
      <x:c r="Y68" s="13" t="n">
        <x:f>IF(COUNT(INDEX('SKU明细'!$BY$11:$BY$1309,MATCH("B07-BK-Z-0-37",'SKU明细'!$A$11:$A$1309,0)),INDEX('SKU明细'!$BY$11:$BY$1309,MATCH("B07-BK-Z-0-37.5",'SKU明细'!$A$11:$A$1309,0)),INDEX('SKU明细'!$BY$11:$BY$1309,MATCH("B07-BK-Z-0-38",'SKU明细'!$A$11:$A$1309,0)),INDEX('SKU明细'!$BY$11:$BY$1309,MATCH("B07-BK-Z-0-38.5",'SKU明细'!$A$11:$A$1309,0)),INDEX('SKU明细'!$BY$11:$BY$1309,MATCH("B07-BK-Z-0-39",'SKU明细'!$A$11:$A$1309,0)),INDEX('SKU明细'!$BY$11:$BY$1309,MATCH("B07-BK-Z-0-39.5",'SKU明细'!$A$11:$A$1309,0)),INDEX('SKU明细'!$BY$11:$BY$1309,MATCH("B07-BK-Z-0-40",'SKU明细'!$A$11:$A$1309,0)),INDEX('SKU明细'!$BY$11:$BY$1309,MATCH("B07-BK-Z-0-40.5",'SKU明细'!$A$11:$A$1309,0)),INDEX('SKU明细'!$BY$11:$BY$1309,MATCH("B07-BK-Z-0-41",'SKU明细'!$A$11:$A$1309,0)),INDEX('SKU明细'!$BY$11:$BY$1309,MATCH("B07-BK-Z-0-41.5",'SKU明细'!$A$11:$A$1309,0)),INDEX('SKU明细'!$BY$11:$BY$1309,MATCH("B07-BK-Z-0-42",'SKU明细'!$A$11:$A$1309,0)))=11,SUM(INDEX('SKU明细'!$BY$11:$BY$1309,MATCH("B07-BK-Z-0-37",'SKU明细'!$A$11:$A$1309,0)),INDEX('SKU明细'!$BY$11:$BY$1309,MATCH("B07-BK-Z-0-37.5",'SKU明细'!$A$11:$A$1309,0)),INDEX('SKU明细'!$BY$11:$BY$1309,MATCH("B07-BK-Z-0-38",'SKU明细'!$A$11:$A$1309,0)),INDEX('SKU明细'!$BY$11:$BY$1309,MATCH("B07-BK-Z-0-38.5",'SKU明细'!$A$11:$A$1309,0)),INDEX('SKU明细'!$BY$11:$BY$1309,MATCH("B07-BK-Z-0-39",'SKU明细'!$A$11:$A$1309,0)),INDEX('SKU明细'!$BY$11:$BY$1309,MATCH("B07-BK-Z-0-39.5",'SKU明细'!$A$11:$A$1309,0)),INDEX('SKU明细'!$BY$11:$BY$1309,MATCH("B07-BK-Z-0-40",'SKU明细'!$A$11:$A$1309,0)),INDEX('SKU明细'!$BY$11:$BY$1309,MATCH("B07-BK-Z-0-40.5",'SKU明细'!$A$11:$A$1309,0)),INDEX('SKU明细'!$BY$11:$BY$1309,MATCH("B07-BK-Z-0-41",'SKU明细'!$A$11:$A$1309,0)),INDEX('SKU明细'!$BY$11:$BY$1309,MATCH("B07-BK-Z-0-41.5",'SKU明细'!$A$11:$A$1309,0)),INDEX('SKU明细'!$BY$11:$BY$1309,MATCH("B07-BK-Z-0-42",'SKU明细'!$A$11:$A$1309,0))),"待核")</x:f>
        <x:v>11.846720154832232</x:v>
      </x:c>
      <x:c r="Z68" s="11" t="n">
        <x:f>INDEX('SKU明细'!$BZ$11:$BZ$1309,MATCH("B07-BK-Z-0-37",'SKU明细'!$A$11:$A$1309,0))</x:f>
        <x:v>0.9523018155490097</x:v>
      </x:c>
      <x:c r="AA68" s="13" t="n">
        <x:f>IF(COUNT(INDEX('SKU明细'!$CB$11:$CB$1309,MATCH("B07-BK-Z-0-37",'SKU明细'!$A$11:$A$1309,0)),INDEX('SKU明细'!$CB$11:$CB$1309,MATCH("B07-BK-Z-0-37.5",'SKU明细'!$A$11:$A$1309,0)),INDEX('SKU明细'!$CB$11:$CB$1309,MATCH("B07-BK-Z-0-38",'SKU明细'!$A$11:$A$1309,0)),INDEX('SKU明细'!$CB$11:$CB$1309,MATCH("B07-BK-Z-0-38.5",'SKU明细'!$A$11:$A$1309,0)),INDEX('SKU明细'!$CB$11:$CB$1309,MATCH("B07-BK-Z-0-39",'SKU明细'!$A$11:$A$1309,0)),INDEX('SKU明细'!$CB$11:$CB$1309,MATCH("B07-BK-Z-0-39.5",'SKU明细'!$A$11:$A$1309,0)),INDEX('SKU明细'!$CB$11:$CB$1309,MATCH("B07-BK-Z-0-40",'SKU明细'!$A$11:$A$1309,0)),INDEX('SKU明细'!$CB$11:$CB$1309,MATCH("B07-BK-Z-0-40.5",'SKU明细'!$A$11:$A$1309,0)),INDEX('SKU明细'!$CB$11:$CB$1309,MATCH("B07-BK-Z-0-41",'SKU明细'!$A$11:$A$1309,0)),INDEX('SKU明细'!$CB$11:$CB$1309,MATCH("B07-BK-Z-0-41.5",'SKU明细'!$A$11:$A$1309,0)),INDEX('SKU明细'!$CB$11:$CB$1309,MATCH("B07-BK-Z-0-42",'SKU明细'!$A$11:$A$1309,0)))=11,SUM(INDEX('SKU明细'!$CB$11:$CB$1309,MATCH("B07-BK-Z-0-37",'SKU明细'!$A$11:$A$1309,0)),INDEX('SKU明细'!$CB$11:$CB$1309,MATCH("B07-BK-Z-0-37.5",'SKU明细'!$A$11:$A$1309,0)),INDEX('SKU明细'!$CB$11:$CB$1309,MATCH("B07-BK-Z-0-38",'SKU明细'!$A$11:$A$1309,0)),INDEX('SKU明细'!$CB$11:$CB$1309,MATCH("B07-BK-Z-0-38.5",'SKU明细'!$A$11:$A$1309,0)),INDEX('SKU明细'!$CB$11:$CB$1309,MATCH("B07-BK-Z-0-39",'SKU明细'!$A$11:$A$1309,0)),INDEX('SKU明细'!$CB$11:$CB$1309,MATCH("B07-BK-Z-0-39.5",'SKU明细'!$A$11:$A$1309,0)),INDEX('SKU明细'!$CB$11:$CB$1309,MATCH("B07-BK-Z-0-40",'SKU明细'!$A$11:$A$1309,0)),INDEX('SKU明细'!$CB$11:$CB$1309,MATCH("B07-BK-Z-0-40.5",'SKU明细'!$A$11:$A$1309,0)),INDEX('SKU明细'!$CB$11:$CB$1309,MATCH("B07-BK-Z-0-41",'SKU明细'!$A$11:$A$1309,0)),INDEX('SKU明细'!$CB$11:$CB$1309,MATCH("B07-BK-Z-0-41.5",'SKU明细'!$A$11:$A$1309,0)),INDEX('SKU明细'!$CB$11:$CB$1309,MATCH("B07-BK-Z-0-42",'SKU明细'!$A$11:$A$1309,0))),"待核")</x:f>
        <x:v>38.59482311237365</x:v>
      </x:c>
      <x:c r="AB68" s="11" t="n">
        <x:f>INDEX('SKU明细'!$CC$11:$CC$1309,MATCH("B07-BK-Z-0-37",'SKU明细'!$A$11:$A$1309,0))</x:f>
        <x:v>0.5958545198749097</x:v>
      </x:c>
      <x:c r="AC68" s="13" t="n">
        <x:f>IF(COUNT(INDEX('SKU明细'!$CE$11:$CE$1309,MATCH("B07-BK-Z-0-37",'SKU明细'!$A$11:$A$1309,0)),INDEX('SKU明细'!$CE$11:$CE$1309,MATCH("B07-BK-Z-0-37.5",'SKU明细'!$A$11:$A$1309,0)),INDEX('SKU明细'!$CE$11:$CE$1309,MATCH("B07-BK-Z-0-38",'SKU明细'!$A$11:$A$1309,0)),INDEX('SKU明细'!$CE$11:$CE$1309,MATCH("B07-BK-Z-0-38.5",'SKU明细'!$A$11:$A$1309,0)),INDEX('SKU明细'!$CE$11:$CE$1309,MATCH("B07-BK-Z-0-39",'SKU明细'!$A$11:$A$1309,0)),INDEX('SKU明细'!$CE$11:$CE$1309,MATCH("B07-BK-Z-0-39.5",'SKU明细'!$A$11:$A$1309,0)),INDEX('SKU明细'!$CE$11:$CE$1309,MATCH("B07-BK-Z-0-40",'SKU明细'!$A$11:$A$1309,0)),INDEX('SKU明细'!$CE$11:$CE$1309,MATCH("B07-BK-Z-0-40.5",'SKU明细'!$A$11:$A$1309,0)),INDEX('SKU明细'!$CE$11:$CE$1309,MATCH("B07-BK-Z-0-41",'SKU明细'!$A$11:$A$1309,0)),INDEX('SKU明细'!$CE$11:$CE$1309,MATCH("B07-BK-Z-0-41.5",'SKU明细'!$A$11:$A$1309,0)),INDEX('SKU明细'!$CE$11:$CE$1309,MATCH("B07-BK-Z-0-42",'SKU明细'!$A$11:$A$1309,0)))=11,SUM(INDEX('SKU明细'!$CE$11:$CE$1309,MATCH("B07-BK-Z-0-37",'SKU明细'!$A$11:$A$1309,0)),INDEX('SKU明细'!$CE$11:$CE$1309,MATCH("B07-BK-Z-0-37.5",'SKU明细'!$A$11:$A$1309,0)),INDEX('SKU明细'!$CE$11:$CE$1309,MATCH("B07-BK-Z-0-38",'SKU明细'!$A$11:$A$1309,0)),INDEX('SKU明细'!$CE$11:$CE$1309,MATCH("B07-BK-Z-0-38.5",'SKU明细'!$A$11:$A$1309,0)),INDEX('SKU明细'!$CE$11:$CE$1309,MATCH("B07-BK-Z-0-39",'SKU明细'!$A$11:$A$1309,0)),INDEX('SKU明细'!$CE$11:$CE$1309,MATCH("B07-BK-Z-0-39.5",'SKU明细'!$A$11:$A$1309,0)),INDEX('SKU明细'!$CE$11:$CE$1309,MATCH("B07-BK-Z-0-40",'SKU明细'!$A$11:$A$1309,0)),INDEX('SKU明细'!$CE$11:$CE$1309,MATCH("B07-BK-Z-0-40.5",'SKU明细'!$A$11:$A$1309,0)),INDEX('SKU明细'!$CE$11:$CE$1309,MATCH("B07-BK-Z-0-41",'SKU明细'!$A$11:$A$1309,0)),INDEX('SKU明细'!$CE$11:$CE$1309,MATCH("B07-BK-Z-0-41.5",'SKU明细'!$A$11:$A$1309,0)),INDEX('SKU明细'!$CE$11:$CE$1309,MATCH("B07-BK-Z-0-42",'SKU明细'!$A$11:$A$1309,0))),"待核")</x:f>
        <x:v>24.95370977329282</x:v>
      </x:c>
      <x:c r="AD68" s="11" t="n">
        <x:f>INDEX('SKU明细'!$CF$11:$CF$1309,MATCH("B07-BK-Z-0-37",'SKU明细'!$A$11:$A$1309,0))</x:f>
        <x:v>1.3264167397065354</x:v>
      </x:c>
      <x:c r="AE68" s="13" t="n">
        <x:f>IF(COUNT(INDEX('SKU明细'!$CH$11:$CH$1309,MATCH("B07-BK-Z-0-37",'SKU明细'!$A$11:$A$1309,0)),INDEX('SKU明细'!$CH$11:$CH$1309,MATCH("B07-BK-Z-0-37.5",'SKU明细'!$A$11:$A$1309,0)),INDEX('SKU明细'!$CH$11:$CH$1309,MATCH("B07-BK-Z-0-38",'SKU明细'!$A$11:$A$1309,0)),INDEX('SKU明细'!$CH$11:$CH$1309,MATCH("B07-BK-Z-0-38.5",'SKU明细'!$A$11:$A$1309,0)),INDEX('SKU明细'!$CH$11:$CH$1309,MATCH("B07-BK-Z-0-39",'SKU明细'!$A$11:$A$1309,0)),INDEX('SKU明细'!$CH$11:$CH$1309,MATCH("B07-BK-Z-0-39.5",'SKU明细'!$A$11:$A$1309,0)),INDEX('SKU明细'!$CH$11:$CH$1309,MATCH("B07-BK-Z-0-40",'SKU明细'!$A$11:$A$1309,0)),INDEX('SKU明细'!$CH$11:$CH$1309,MATCH("B07-BK-Z-0-40.5",'SKU明细'!$A$11:$A$1309,0)),INDEX('SKU明细'!$CH$11:$CH$1309,MATCH("B07-BK-Z-0-41",'SKU明细'!$A$11:$A$1309,0)),INDEX('SKU明细'!$CH$11:$CH$1309,MATCH("B07-BK-Z-0-41.5",'SKU明细'!$A$11:$A$1309,0)),INDEX('SKU明细'!$CH$11:$CH$1309,MATCH("B07-BK-Z-0-42",'SKU明细'!$A$11:$A$1309,0)))=11,SUM(INDEX('SKU明细'!$CH$11:$CH$1309,MATCH("B07-BK-Z-0-37",'SKU明细'!$A$11:$A$1309,0)),INDEX('SKU明细'!$CH$11:$CH$1309,MATCH("B07-BK-Z-0-37.5",'SKU明细'!$A$11:$A$1309,0)),INDEX('SKU明细'!$CH$11:$CH$1309,MATCH("B07-BK-Z-0-38",'SKU明细'!$A$11:$A$1309,0)),INDEX('SKU明细'!$CH$11:$CH$1309,MATCH("B07-BK-Z-0-38.5",'SKU明细'!$A$11:$A$1309,0)),INDEX('SKU明细'!$CH$11:$CH$1309,MATCH("B07-BK-Z-0-39",'SKU明细'!$A$11:$A$1309,0)),INDEX('SKU明细'!$CH$11:$CH$1309,MATCH("B07-BK-Z-0-39.5",'SKU明细'!$A$11:$A$1309,0)),INDEX('SKU明细'!$CH$11:$CH$1309,MATCH("B07-BK-Z-0-40",'SKU明细'!$A$11:$A$1309,0)),INDEX('SKU明细'!$CH$11:$CH$1309,MATCH("B07-BK-Z-0-40.5",'SKU明细'!$A$11:$A$1309,0)),INDEX('SKU明细'!$CH$11:$CH$1309,MATCH("B07-BK-Z-0-41",'SKU明细'!$A$11:$A$1309,0)),INDEX('SKU明细'!$CH$11:$CH$1309,MATCH("B07-BK-Z-0-41.5",'SKU明细'!$A$11:$A$1309,0)),INDEX('SKU明细'!$CH$11:$CH$1309,MATCH("B07-BK-Z-0-42",'SKU明细'!$A$11:$A$1309,0))),"待核")</x:f>
        <x:v>30.462258789134847</x:v>
      </x:c>
      <x:c r="AF68" s="13" t="n">
        <x:f>IF(COUNT(INDEX('SKU明细'!$CI$11:$CI$1309,MATCH("B07-BK-Z-0-37",'SKU明细'!$A$11:$A$1309,0)),INDEX('SKU明细'!$CI$11:$CI$1309,MATCH("B07-BK-Z-0-37.5",'SKU明细'!$A$11:$A$1309,0)),INDEX('SKU明细'!$CI$11:$CI$1309,MATCH("B07-BK-Z-0-38",'SKU明细'!$A$11:$A$1309,0)),INDEX('SKU明细'!$CI$11:$CI$1309,MATCH("B07-BK-Z-0-38.5",'SKU明细'!$A$11:$A$1309,0)),INDEX('SKU明细'!$CI$11:$CI$1309,MATCH("B07-BK-Z-0-39",'SKU明细'!$A$11:$A$1309,0)),INDEX('SKU明细'!$CI$11:$CI$1309,MATCH("B07-BK-Z-0-39.5",'SKU明细'!$A$11:$A$1309,0)),INDEX('SKU明细'!$CI$11:$CI$1309,MATCH("B07-BK-Z-0-40",'SKU明细'!$A$11:$A$1309,0)),INDEX('SKU明细'!$CI$11:$CI$1309,MATCH("B07-BK-Z-0-40.5",'SKU明细'!$A$11:$A$1309,0)),INDEX('SKU明细'!$CI$11:$CI$1309,MATCH("B07-BK-Z-0-41",'SKU明细'!$A$11:$A$1309,0)),INDEX('SKU明细'!$CI$11:$CI$1309,MATCH("B07-BK-Z-0-41.5",'SKU明细'!$A$11:$A$1309,0)),INDEX('SKU明细'!$CI$11:$CI$1309,MATCH("B07-BK-Z-0-42",'SKU明细'!$A$11:$A$1309,0)))=11,SUM(INDEX('SKU明细'!$CI$11:$CI$1309,MATCH("B07-BK-Z-0-37",'SKU明细'!$A$11:$A$1309,0)),INDEX('SKU明细'!$CI$11:$CI$1309,MATCH("B07-BK-Z-0-37.5",'SKU明细'!$A$11:$A$1309,0)),INDEX('SKU明细'!$CI$11:$CI$1309,MATCH("B07-BK-Z-0-38",'SKU明细'!$A$11:$A$1309,0)),INDEX('SKU明细'!$CI$11:$CI$1309,MATCH("B07-BK-Z-0-38.5",'SKU明细'!$A$11:$A$1309,0)),INDEX('SKU明细'!$CI$11:$CI$1309,MATCH("B07-BK-Z-0-39",'SKU明细'!$A$11:$A$1309,0)),INDEX('SKU明细'!$CI$11:$CI$1309,MATCH("B07-BK-Z-0-39.5",'SKU明细'!$A$11:$A$1309,0)),INDEX('SKU明细'!$CI$11:$CI$1309,MATCH("B07-BK-Z-0-40",'SKU明细'!$A$11:$A$1309,0)),INDEX('SKU明细'!$CI$11:$CI$1309,MATCH("B07-BK-Z-0-40.5",'SKU明细'!$A$11:$A$1309,0)),INDEX('SKU明细'!$CI$11:$CI$1309,MATCH("B07-BK-Z-0-41",'SKU明细'!$A$11:$A$1309,0)),INDEX('SKU明细'!$CI$11:$CI$1309,MATCH("B07-BK-Z-0-41.5",'SKU明细'!$A$11:$A$1309,0)),INDEX('SKU明细'!$CI$11:$CI$1309,MATCH("B07-BK-Z-0-42",'SKU明细'!$A$11:$A$1309,0))),"待核")</x:f>
        <x:v>105.85751182963355</x:v>
      </x:c>
    </x:row>
    <x:row r="69" ht="40" customHeight="1">
      <x:c r="A69" s="37" t="str">
        <x:v>B07</x:v>
      </x:c>
      <x:c r="B69" s="37" t="str">
        <x:v>艾年</x:v>
      </x:c>
      <x:c r="C69" s="37" t="str">
        <x:v>黑色PU</x:v>
      </x:c>
      <x:c r="D69" s="37" t="str">
        <x:v>BKP</x:v>
      </x:c>
      <x:c r="E69" s="37" t="str">
        <x:v>B07-BKP</x:v>
      </x:c>
      <x:c r="F69" s="37"/>
      <x:c r="G69" s="38" t="str">
        <x:f>"—"</x:f>
        <x:v>—</x:v>
      </x:c>
      <x:c r="H69" s="38" t="n">
        <x:f>IF(COUNT(INDEX('SKU明细'!$D$11:$D$1309,MATCH("B07-BKP-37-New",'SKU明细'!$A$11:$A$1309,0)))=0,"待核",IF(COUNT(INDEX('SKU明细'!$D$11:$D$1309,MATCH("B07-BKP-37-New",'SKU明细'!$A$11:$A$1309,0)))&lt;1,SUM(INDEX('SKU明细'!$D$11:$D$1309,MATCH("B07-BKP-37-New",'SKU明细'!$A$11:$A$1309,0)))&amp;" + 待核",SUM(INDEX('SKU明细'!$D$11:$D$1309,MATCH("B07-BKP-37-New",'SKU明细'!$A$11:$A$1309,0)))))</x:f>
        <x:v>0</x:v>
      </x:c>
      <x:c r="I69" s="38" t="n">
        <x:f>IF(COUNT(INDEX('SKU明细'!$D$11:$D$1309,MATCH("B07-BKP-37.5",'SKU明细'!$A$11:$A$1309,0)))=0,"待核",IF(COUNT(INDEX('SKU明细'!$D$11:$D$1309,MATCH("B07-BKP-37.5",'SKU明细'!$A$11:$A$1309,0)))&lt;1,SUM(INDEX('SKU明细'!$D$11:$D$1309,MATCH("B07-BKP-37.5",'SKU明细'!$A$11:$A$1309,0)))&amp;" + 待核",SUM(INDEX('SKU明细'!$D$11:$D$1309,MATCH("B07-BKP-37.5",'SKU明细'!$A$11:$A$1309,0)))))</x:f>
        <x:v>0</x:v>
      </x:c>
      <x:c r="J69" s="38" t="n">
        <x:f>IF(COUNT(INDEX('SKU明细'!$D$11:$D$1309,MATCH("B07-BKP-38-by",'SKU明细'!$A$11:$A$1309,0)))=0,"待核",IF(COUNT(INDEX('SKU明细'!$D$11:$D$1309,MATCH("B07-BKP-38-by",'SKU明细'!$A$11:$A$1309,0)))&lt;1,SUM(INDEX('SKU明细'!$D$11:$D$1309,MATCH("B07-BKP-38-by",'SKU明细'!$A$11:$A$1309,0)))&amp;" + 待核",SUM(INDEX('SKU明细'!$D$11:$D$1309,MATCH("B07-BKP-38-by",'SKU明细'!$A$11:$A$1309,0)))))</x:f>
        <x:v>0</x:v>
      </x:c>
      <x:c r="K69" s="38" t="str">
        <x:f>"—"</x:f>
        <x:v>—</x:v>
      </x:c>
      <x:c r="L69" s="38" t="n">
        <x:f>IF(COUNT(INDEX('SKU明细'!$D$11:$D$1309,MATCH("B07-BKP-39-New",'SKU明细'!$A$11:$A$1309,0)))=0,"待核",IF(COUNT(INDEX('SKU明细'!$D$11:$D$1309,MATCH("B07-BKP-39-New",'SKU明细'!$A$11:$A$1309,0)))&lt;1,SUM(INDEX('SKU明细'!$D$11:$D$1309,MATCH("B07-BKP-39-New",'SKU明细'!$A$11:$A$1309,0)))&amp;" + 待核",SUM(INDEX('SKU明细'!$D$11:$D$1309,MATCH("B07-BKP-39-New",'SKU明细'!$A$11:$A$1309,0)))))</x:f>
        <x:v>0</x:v>
      </x:c>
      <x:c r="M69" s="38" t="n">
        <x:f>IF(COUNT(INDEX('SKU明细'!$D$11:$D$1309,MATCH("B07-BKP-39.5",'SKU明细'!$A$11:$A$1309,0)))=0,"待核",IF(COUNT(INDEX('SKU明细'!$D$11:$D$1309,MATCH("B07-BKP-39.5",'SKU明细'!$A$11:$A$1309,0)))&lt;1,SUM(INDEX('SKU明细'!$D$11:$D$1309,MATCH("B07-BKP-39.5",'SKU明细'!$A$11:$A$1309,0)))&amp;" + 待核",SUM(INDEX('SKU明细'!$D$11:$D$1309,MATCH("B07-BKP-39.5",'SKU明细'!$A$11:$A$1309,0)))))</x:f>
        <x:v>24</x:v>
      </x:c>
      <x:c r="N69" s="38" t="n">
        <x:f>IF(COUNT(INDEX('SKU明细'!$D$11:$D$1309,MATCH("B07-BKP-40-New",'SKU明细'!$A$11:$A$1309,0)))=0,"待核",IF(COUNT(INDEX('SKU明细'!$D$11:$D$1309,MATCH("B07-BKP-40-New",'SKU明细'!$A$11:$A$1309,0)))&lt;1,SUM(INDEX('SKU明细'!$D$11:$D$1309,MATCH("B07-BKP-40-New",'SKU明细'!$A$11:$A$1309,0)))&amp;" + 待核",SUM(INDEX('SKU明细'!$D$11:$D$1309,MATCH("B07-BKP-40-New",'SKU明细'!$A$11:$A$1309,0)))))</x:f>
        <x:v>9</x:v>
      </x:c>
      <x:c r="O69" s="38" t="str">
        <x:f>"—"</x:f>
        <x:v>—</x:v>
      </x:c>
      <x:c r="P69" s="38" t="n">
        <x:f>IF(COUNT(INDEX('SKU明细'!$D$11:$D$1309,MATCH("B07-BKP-41-by",'SKU明细'!$A$11:$A$1309,0)))=0,"待核",IF(COUNT(INDEX('SKU明细'!$D$11:$D$1309,MATCH("B07-BKP-41-by",'SKU明细'!$A$11:$A$1309,0)))&lt;1,SUM(INDEX('SKU明细'!$D$11:$D$1309,MATCH("B07-BKP-41-by",'SKU明细'!$A$11:$A$1309,0)))&amp;" + 待核",SUM(INDEX('SKU明细'!$D$11:$D$1309,MATCH("B07-BKP-41-by",'SKU明细'!$A$11:$A$1309,0)))))</x:f>
        <x:v>0</x:v>
      </x:c>
      <x:c r="Q69" s="38" t="n">
        <x:f>IF(COUNT(INDEX('SKU明细'!$D$11:$D$1309,MATCH("B07-BKP-41.5",'SKU明细'!$A$11:$A$1309,0)))=0,"待核",IF(COUNT(INDEX('SKU明细'!$D$11:$D$1309,MATCH("B07-BKP-41.5",'SKU明细'!$A$11:$A$1309,0)))&lt;1,SUM(INDEX('SKU明细'!$D$11:$D$1309,MATCH("B07-BKP-41.5",'SKU明细'!$A$11:$A$1309,0)))&amp;" + 待核",SUM(INDEX('SKU明细'!$D$11:$D$1309,MATCH("B07-BKP-41.5",'SKU明细'!$A$11:$A$1309,0)))))</x:f>
        <x:v>0</x:v>
      </x:c>
      <x:c r="R69" s="38" t="n">
        <x:f>IF(COUNT(INDEX('SKU明细'!$D$11:$D$1309,MATCH("B07-BKP-42-New",'SKU明细'!$A$11:$A$1309,0)))=0,"待核",IF(COUNT(INDEX('SKU明细'!$D$11:$D$1309,MATCH("B07-BKP-42-New",'SKU明细'!$A$11:$A$1309,0)))&lt;1,SUM(INDEX('SKU明细'!$D$11:$D$1309,MATCH("B07-BKP-42-New",'SKU明细'!$A$11:$A$1309,0)))&amp;" + 待核",SUM(INDEX('SKU明细'!$D$11:$D$1309,MATCH("B07-BKP-42-New",'SKU明细'!$A$11:$A$1309,0)))))</x:f>
        <x:v>0</x:v>
      </x:c>
      <x:c r="S69" s="38" t="n">
        <x:f>IF(COUNT(INDEX('SKU明细'!$D$11:$D$1309,MATCH("B07-BKP-37-New",'SKU明细'!$A$11:$A$1309,0)),INDEX('SKU明细'!$D$11:$D$1309,MATCH("B07-BKP-37.5",'SKU明细'!$A$11:$A$1309,0)),INDEX('SKU明细'!$D$11:$D$1309,MATCH("B07-BKP-38-by",'SKU明细'!$A$11:$A$1309,0)),INDEX('SKU明细'!$D$11:$D$1309,MATCH("B07-BKP-39-New",'SKU明细'!$A$11:$A$1309,0)),INDEX('SKU明细'!$D$11:$D$1309,MATCH("B07-BKP-39.5",'SKU明细'!$A$11:$A$1309,0)),INDEX('SKU明细'!$D$11:$D$1309,MATCH("B07-BKP-40-New",'SKU明细'!$A$11:$A$1309,0)),INDEX('SKU明细'!$D$11:$D$1309,MATCH("B07-BKP-41-by",'SKU明细'!$A$11:$A$1309,0)),INDEX('SKU明细'!$D$11:$D$1309,MATCH("B07-BKP-41.5",'SKU明细'!$A$11:$A$1309,0)),INDEX('SKU明细'!$D$11:$D$1309,MATCH("B07-BKP-42-New",'SKU明细'!$A$11:$A$1309,0)))=0,"待核",SUM(INDEX('SKU明细'!$D$11:$D$1309,MATCH("B07-BKP-37-New",'SKU明细'!$A$11:$A$1309,0)),INDEX('SKU明细'!$D$11:$D$1309,MATCH("B07-BKP-37.5",'SKU明细'!$A$11:$A$1309,0)),INDEX('SKU明细'!$D$11:$D$1309,MATCH("B07-BKP-38-by",'SKU明细'!$A$11:$A$1309,0)),INDEX('SKU明细'!$D$11:$D$1309,MATCH("B07-BKP-39-New",'SKU明细'!$A$11:$A$1309,0)),INDEX('SKU明细'!$D$11:$D$1309,MATCH("B07-BKP-39.5",'SKU明细'!$A$11:$A$1309,0)),INDEX('SKU明细'!$D$11:$D$1309,MATCH("B07-BKP-40-New",'SKU明细'!$A$11:$A$1309,0)),INDEX('SKU明细'!$D$11:$D$1309,MATCH("B07-BKP-41-by",'SKU明细'!$A$11:$A$1309,0)),INDEX('SKU明细'!$D$11:$D$1309,MATCH("B07-BKP-41.5",'SKU明细'!$A$11:$A$1309,0)),INDEX('SKU明细'!$D$11:$D$1309,MATCH("B07-BKP-42-New",'SKU明细'!$A$11:$A$1309,0))))</x:f>
        <x:v>33</x:v>
      </x:c>
      <x:c r="T69" s="38" t="n">
        <x:f>IF(COUNTIFS($A$9:$A$191,A69,$U$9:$U$191,"&lt;&gt;待核")=0,"待核",SUMIF($A$9:$A$191,A69,$S$9:$S$191))</x:f>
        <x:v>364</x:v>
      </x:c>
      <x:c r="U69" s="37" t="str">
        <x:f>IF(COUNT(INDEX('SKU明细'!$D$11:$D$1309,MATCH("B07-BKP-37-New",'SKU明细'!$A$11:$A$1309,0)),INDEX('SKU明细'!$D$11:$D$1309,MATCH("B07-BKP-37.5",'SKU明细'!$A$11:$A$1309,0)),INDEX('SKU明细'!$D$11:$D$1309,MATCH("B07-BKP-38-by",'SKU明细'!$A$11:$A$1309,0)),INDEX('SKU明细'!$D$11:$D$1309,MATCH("B07-BKP-39-New",'SKU明细'!$A$11:$A$1309,0)),INDEX('SKU明细'!$D$11:$D$1309,MATCH("B07-BKP-39.5",'SKU明细'!$A$11:$A$1309,0)),INDEX('SKU明细'!$D$11:$D$1309,MATCH("B07-BKP-40-New",'SKU明细'!$A$11:$A$1309,0)),INDEX('SKU明细'!$D$11:$D$1309,MATCH("B07-BKP-41-by",'SKU明细'!$A$11:$A$1309,0)),INDEX('SKU明细'!$D$11:$D$1309,MATCH("B07-BKP-41.5",'SKU明细'!$A$11:$A$1309,0)),INDEX('SKU明细'!$D$11:$D$1309,MATCH("B07-BKP-42-New",'SKU明细'!$A$11:$A$1309,0)))=0,"待核",IF(COUNT(INDEX('SKU明细'!$D$11:$D$1309,MATCH("B07-BKP-37-New",'SKU明细'!$A$11:$A$1309,0)),INDEX('SKU明细'!$D$11:$D$1309,MATCH("B07-BKP-37.5",'SKU明细'!$A$11:$A$1309,0)),INDEX('SKU明细'!$D$11:$D$1309,MATCH("B07-BKP-38-by",'SKU明细'!$A$11:$A$1309,0)),INDEX('SKU明细'!$D$11:$D$1309,MATCH("B07-BKP-39-New",'SKU明细'!$A$11:$A$1309,0)),INDEX('SKU明细'!$D$11:$D$1309,MATCH("B07-BKP-39.5",'SKU明细'!$A$11:$A$1309,0)),INDEX('SKU明细'!$D$11:$D$1309,MATCH("B07-BKP-40-New",'SKU明细'!$A$11:$A$1309,0)),INDEX('SKU明细'!$D$11:$D$1309,MATCH("B07-BKP-41-by",'SKU明细'!$A$11:$A$1309,0)),INDEX('SKU明细'!$D$11:$D$1309,MATCH("B07-BKP-41.5",'SKU明细'!$A$11:$A$1309,0)),INDEX('SKU明细'!$D$11:$D$1309,MATCH("B07-BKP-42-New",'SKU明细'!$A$11:$A$1309,0)))&lt;9,"另有待核","已核"))</x:f>
        <x:v>已核</x:v>
      </x:c>
      <x:c r="V69" s="37" t="str">
        <x:v>在售、停售</x:v>
      </x:c>
      <x:c r="W69" s="11" t="n">
        <x:f>IF(COUNT(INDEX('SKU明细'!$BV$11:$BV$1309,MATCH("B07-BKP-37-New",'SKU明细'!$A$11:$A$1309,0)),INDEX('SKU明细'!$BV$11:$BV$1309,MATCH("B07-BKP-37.5",'SKU明细'!$A$11:$A$1309,0)),INDEX('SKU明细'!$BV$11:$BV$1309,MATCH("B07-BKP-38-by",'SKU明细'!$A$11:$A$1309,0)),INDEX('SKU明细'!$BV$11:$BV$1309,MATCH("B07-BKP-39-New",'SKU明细'!$A$11:$A$1309,0)),INDEX('SKU明细'!$BV$11:$BV$1309,MATCH("B07-BKP-39.5",'SKU明细'!$A$11:$A$1309,0)),INDEX('SKU明细'!$BV$11:$BV$1309,MATCH("B07-BKP-40-New",'SKU明细'!$A$11:$A$1309,0)),INDEX('SKU明细'!$BV$11:$BV$1309,MATCH("B07-BKP-41-by",'SKU明细'!$A$11:$A$1309,0)),INDEX('SKU明细'!$BV$11:$BV$1309,MATCH("B07-BKP-41.5",'SKU明细'!$A$11:$A$1309,0)),INDEX('SKU明细'!$BV$11:$BV$1309,MATCH("B07-BKP-42-New",'SKU明细'!$A$11:$A$1309,0)))=9,SUM(INDEX('SKU明细'!$BV$11:$BV$1309,MATCH("B07-BKP-37-New",'SKU明细'!$A$11:$A$1309,0)),INDEX('SKU明细'!$BV$11:$BV$1309,MATCH("B07-BKP-37.5",'SKU明细'!$A$11:$A$1309,0)),INDEX('SKU明细'!$BV$11:$BV$1309,MATCH("B07-BKP-38-by",'SKU明细'!$A$11:$A$1309,0)),INDEX('SKU明细'!$BV$11:$BV$1309,MATCH("B07-BKP-39-New",'SKU明细'!$A$11:$A$1309,0)),INDEX('SKU明细'!$BV$11:$BV$1309,MATCH("B07-BKP-39.5",'SKU明细'!$A$11:$A$1309,0)),INDEX('SKU明细'!$BV$11:$BV$1309,MATCH("B07-BKP-40-New",'SKU明细'!$A$11:$A$1309,0)),INDEX('SKU明细'!$BV$11:$BV$1309,MATCH("B07-BKP-41-by",'SKU明细'!$A$11:$A$1309,0)),INDEX('SKU明细'!$BV$11:$BV$1309,MATCH("B07-BKP-41.5",'SKU明细'!$A$11:$A$1309,0)),INDEX('SKU明细'!$BV$11:$BV$1309,MATCH("B07-BKP-42-New",'SKU明细'!$A$11:$A$1309,0))),"待核")</x:f>
        <x:v>1.945261058745066</x:v>
      </x:c>
      <x:c r="X69" s="11" t="n">
        <x:f>INDEX('SKU明细'!$BW$11:$BW$1309,MATCH("B07-BKP-37-New",'SKU明细'!$A$11:$A$1309,0))</x:f>
        <x:v>0.7307750238224848</x:v>
      </x:c>
      <x:c r="Y69" s="13" t="n">
        <x:f>IF(COUNT(INDEX('SKU明细'!$BY$11:$BY$1309,MATCH("B07-BKP-37-New",'SKU明细'!$A$11:$A$1309,0)),INDEX('SKU明细'!$BY$11:$BY$1309,MATCH("B07-BKP-37.5",'SKU明细'!$A$11:$A$1309,0)),INDEX('SKU明细'!$BY$11:$BY$1309,MATCH("B07-BKP-38-by",'SKU明细'!$A$11:$A$1309,0)),INDEX('SKU明细'!$BY$11:$BY$1309,MATCH("B07-BKP-39-New",'SKU明细'!$A$11:$A$1309,0)),INDEX('SKU明细'!$BY$11:$BY$1309,MATCH("B07-BKP-39.5",'SKU明细'!$A$11:$A$1309,0)),INDEX('SKU明细'!$BY$11:$BY$1309,MATCH("B07-BKP-40-New",'SKU明细'!$A$11:$A$1309,0)),INDEX('SKU明细'!$BY$11:$BY$1309,MATCH("B07-BKP-41-by",'SKU明细'!$A$11:$A$1309,0)),INDEX('SKU明细'!$BY$11:$BY$1309,MATCH("B07-BKP-41.5",'SKU明细'!$A$11:$A$1309,0)),INDEX('SKU明细'!$BY$11:$BY$1309,MATCH("B07-BKP-42-New",'SKU明细'!$A$11:$A$1309,0)))=9,SUM(INDEX('SKU明细'!$BY$11:$BY$1309,MATCH("B07-BKP-37-New",'SKU明细'!$A$11:$A$1309,0)),INDEX('SKU明细'!$BY$11:$BY$1309,MATCH("B07-BKP-37.5",'SKU明细'!$A$11:$A$1309,0)),INDEX('SKU明细'!$BY$11:$BY$1309,MATCH("B07-BKP-38-by",'SKU明细'!$A$11:$A$1309,0)),INDEX('SKU明细'!$BY$11:$BY$1309,MATCH("B07-BKP-39-New",'SKU明细'!$A$11:$A$1309,0)),INDEX('SKU明细'!$BY$11:$BY$1309,MATCH("B07-BKP-39.5",'SKU明细'!$A$11:$A$1309,0)),INDEX('SKU明细'!$BY$11:$BY$1309,MATCH("B07-BKP-40-New",'SKU明细'!$A$11:$A$1309,0)),INDEX('SKU明细'!$BY$11:$BY$1309,MATCH("B07-BKP-41-by",'SKU明细'!$A$11:$A$1309,0)),INDEX('SKU明细'!$BY$11:$BY$1309,MATCH("B07-BKP-41.5",'SKU明细'!$A$11:$A$1309,0)),INDEX('SKU明细'!$BY$11:$BY$1309,MATCH("B07-BKP-42-New",'SKU明细'!$A$11:$A$1309,0))),"待核")</x:f>
        <x:v>17.05857835854453</x:v>
      </x:c>
      <x:c r="Z69" s="11" t="n">
        <x:f>INDEX('SKU明细'!$BZ$11:$BZ$1309,MATCH("B07-BKP-37-New",'SKU明细'!$A$11:$A$1309,0))</x:f>
        <x:v>0.9523018155490097</x:v>
      </x:c>
      <x:c r="AA69" s="13" t="n">
        <x:f>IF(COUNT(INDEX('SKU明细'!$CB$11:$CB$1309,MATCH("B07-BKP-37-New",'SKU明细'!$A$11:$A$1309,0)),INDEX('SKU明细'!$CB$11:$CB$1309,MATCH("B07-BKP-37.5",'SKU明细'!$A$11:$A$1309,0)),INDEX('SKU明细'!$CB$11:$CB$1309,MATCH("B07-BKP-38-by",'SKU明细'!$A$11:$A$1309,0)),INDEX('SKU明细'!$CB$11:$CB$1309,MATCH("B07-BKP-39-New",'SKU明细'!$A$11:$A$1309,0)),INDEX('SKU明细'!$CB$11:$CB$1309,MATCH("B07-BKP-39.5",'SKU明细'!$A$11:$A$1309,0)),INDEX('SKU明细'!$CB$11:$CB$1309,MATCH("B07-BKP-40-New",'SKU明细'!$A$11:$A$1309,0)),INDEX('SKU明细'!$CB$11:$CB$1309,MATCH("B07-BKP-41-by",'SKU明细'!$A$11:$A$1309,0)),INDEX('SKU明细'!$CB$11:$CB$1309,MATCH("B07-BKP-41.5",'SKU明细'!$A$11:$A$1309,0)),INDEX('SKU明细'!$CB$11:$CB$1309,MATCH("B07-BKP-42-New",'SKU明细'!$A$11:$A$1309,0)))=9,SUM(INDEX('SKU明细'!$CB$11:$CB$1309,MATCH("B07-BKP-37-New",'SKU明细'!$A$11:$A$1309,0)),INDEX('SKU明细'!$CB$11:$CB$1309,MATCH("B07-BKP-37.5",'SKU明细'!$A$11:$A$1309,0)),INDEX('SKU明细'!$CB$11:$CB$1309,MATCH("B07-BKP-38-by",'SKU明细'!$A$11:$A$1309,0)),INDEX('SKU明细'!$CB$11:$CB$1309,MATCH("B07-BKP-39-New",'SKU明细'!$A$11:$A$1309,0)),INDEX('SKU明细'!$CB$11:$CB$1309,MATCH("B07-BKP-39.5",'SKU明细'!$A$11:$A$1309,0)),INDEX('SKU明细'!$CB$11:$CB$1309,MATCH("B07-BKP-40-New",'SKU明细'!$A$11:$A$1309,0)),INDEX('SKU明细'!$CB$11:$CB$1309,MATCH("B07-BKP-41-by",'SKU明细'!$A$11:$A$1309,0)),INDEX('SKU明细'!$CB$11:$CB$1309,MATCH("B07-BKP-41.5",'SKU明细'!$A$11:$A$1309,0)),INDEX('SKU明细'!$CB$11:$CB$1309,MATCH("B07-BKP-42-New",'SKU明细'!$A$11:$A$1309,0))),"待核")</x:f>
        <x:v>55.57426913879146</x:v>
      </x:c>
      <x:c r="AB69" s="11" t="n">
        <x:f>INDEX('SKU明细'!$CC$11:$CC$1309,MATCH("B07-BKP-37-New",'SKU明细'!$A$11:$A$1309,0))</x:f>
        <x:v>0.5958545198749097</x:v>
      </x:c>
      <x:c r="AC69" s="13" t="n">
        <x:f>IF(COUNT(INDEX('SKU明细'!$CE$11:$CE$1309,MATCH("B07-BKP-37-New",'SKU明细'!$A$11:$A$1309,0)),INDEX('SKU明细'!$CE$11:$CE$1309,MATCH("B07-BKP-37.5",'SKU明细'!$A$11:$A$1309,0)),INDEX('SKU明细'!$CE$11:$CE$1309,MATCH("B07-BKP-38-by",'SKU明细'!$A$11:$A$1309,0)),INDEX('SKU明细'!$CE$11:$CE$1309,MATCH("B07-BKP-39-New",'SKU明细'!$A$11:$A$1309,0)),INDEX('SKU明细'!$CE$11:$CE$1309,MATCH("B07-BKP-39.5",'SKU明细'!$A$11:$A$1309,0)),INDEX('SKU明细'!$CE$11:$CE$1309,MATCH("B07-BKP-40-New",'SKU明细'!$A$11:$A$1309,0)),INDEX('SKU明细'!$CE$11:$CE$1309,MATCH("B07-BKP-41-by",'SKU明细'!$A$11:$A$1309,0)),INDEX('SKU明细'!$CE$11:$CE$1309,MATCH("B07-BKP-41.5",'SKU明细'!$A$11:$A$1309,0)),INDEX('SKU明细'!$CE$11:$CE$1309,MATCH("B07-BKP-42-New",'SKU明细'!$A$11:$A$1309,0)))=9,SUM(INDEX('SKU明细'!$CE$11:$CE$1309,MATCH("B07-BKP-37-New",'SKU明细'!$A$11:$A$1309,0)),INDEX('SKU明细'!$CE$11:$CE$1309,MATCH("B07-BKP-37.5",'SKU明细'!$A$11:$A$1309,0)),INDEX('SKU明细'!$CE$11:$CE$1309,MATCH("B07-BKP-38-by",'SKU明细'!$A$11:$A$1309,0)),INDEX('SKU明细'!$CE$11:$CE$1309,MATCH("B07-BKP-39-New",'SKU明细'!$A$11:$A$1309,0)),INDEX('SKU明细'!$CE$11:$CE$1309,MATCH("B07-BKP-39.5",'SKU明细'!$A$11:$A$1309,0)),INDEX('SKU明细'!$CE$11:$CE$1309,MATCH("B07-BKP-40-New",'SKU明细'!$A$11:$A$1309,0)),INDEX('SKU明细'!$CE$11:$CE$1309,MATCH("B07-BKP-41-by",'SKU明细'!$A$11:$A$1309,0)),INDEX('SKU明细'!$CE$11:$CE$1309,MATCH("B07-BKP-41.5",'SKU明细'!$A$11:$A$1309,0)),INDEX('SKU明细'!$CE$11:$CE$1309,MATCH("B07-BKP-42-New",'SKU明细'!$A$11:$A$1309,0))),"待核")</x:f>
        <x:v>35.931870419886884</x:v>
      </x:c>
      <x:c r="AD69" s="11" t="n">
        <x:f>INDEX('SKU明细'!$CF$11:$CF$1309,MATCH("B07-BKP-37-New",'SKU明细'!$A$11:$A$1309,0))</x:f>
        <x:v>1.3264167397065354</x:v>
      </x:c>
      <x:c r="AE69" s="13" t="n">
        <x:f>IF(COUNT(INDEX('SKU明细'!$CH$11:$CH$1309,MATCH("B07-BKP-37-New",'SKU明细'!$A$11:$A$1309,0)),INDEX('SKU明细'!$CH$11:$CH$1309,MATCH("B07-BKP-37.5",'SKU明细'!$A$11:$A$1309,0)),INDEX('SKU明细'!$CH$11:$CH$1309,MATCH("B07-BKP-38-by",'SKU明细'!$A$11:$A$1309,0)),INDEX('SKU明细'!$CH$11:$CH$1309,MATCH("B07-BKP-39-New",'SKU明细'!$A$11:$A$1309,0)),INDEX('SKU明细'!$CH$11:$CH$1309,MATCH("B07-BKP-39.5",'SKU明细'!$A$11:$A$1309,0)),INDEX('SKU明细'!$CH$11:$CH$1309,MATCH("B07-BKP-40-New",'SKU明细'!$A$11:$A$1309,0)),INDEX('SKU明细'!$CH$11:$CH$1309,MATCH("B07-BKP-41-by",'SKU明细'!$A$11:$A$1309,0)),INDEX('SKU明细'!$CH$11:$CH$1309,MATCH("B07-BKP-41.5",'SKU明细'!$A$11:$A$1309,0)),INDEX('SKU明细'!$CH$11:$CH$1309,MATCH("B07-BKP-42-New",'SKU明细'!$A$11:$A$1309,0)))=9,SUM(INDEX('SKU明细'!$CH$11:$CH$1309,MATCH("B07-BKP-37-New",'SKU明细'!$A$11:$A$1309,0)),INDEX('SKU明细'!$CH$11:$CH$1309,MATCH("B07-BKP-37.5",'SKU明细'!$A$11:$A$1309,0)),INDEX('SKU明细'!$CH$11:$CH$1309,MATCH("B07-BKP-38-by",'SKU明细'!$A$11:$A$1309,0)),INDEX('SKU明细'!$CH$11:$CH$1309,MATCH("B07-BKP-39-New",'SKU明细'!$A$11:$A$1309,0)),INDEX('SKU明细'!$CH$11:$CH$1309,MATCH("B07-BKP-39.5",'SKU明细'!$A$11:$A$1309,0)),INDEX('SKU明细'!$CH$11:$CH$1309,MATCH("B07-BKP-40-New",'SKU明细'!$A$11:$A$1309,0)),INDEX('SKU明细'!$CH$11:$CH$1309,MATCH("B07-BKP-41-by",'SKU明细'!$A$11:$A$1309,0)),INDEX('SKU明细'!$CH$11:$CH$1309,MATCH("B07-BKP-41.5",'SKU明细'!$A$11:$A$1309,0)),INDEX('SKU明细'!$CH$11:$CH$1309,MATCH("B07-BKP-42-New",'SKU明细'!$A$11:$A$1309,0))),"待核")</x:f>
        <x:v>43.86385613411813</x:v>
      </x:c>
      <x:c r="AF69" s="13" t="n">
        <x:f>IF(COUNT(INDEX('SKU明细'!$CI$11:$CI$1309,MATCH("B07-BKP-37-New",'SKU明细'!$A$11:$A$1309,0)),INDEX('SKU明细'!$CI$11:$CI$1309,MATCH("B07-BKP-37.5",'SKU明细'!$A$11:$A$1309,0)),INDEX('SKU明细'!$CI$11:$CI$1309,MATCH("B07-BKP-38-by",'SKU明细'!$A$11:$A$1309,0)),INDEX('SKU明细'!$CI$11:$CI$1309,MATCH("B07-BKP-39-New",'SKU明细'!$A$11:$A$1309,0)),INDEX('SKU明细'!$CI$11:$CI$1309,MATCH("B07-BKP-39.5",'SKU明细'!$A$11:$A$1309,0)),INDEX('SKU明细'!$CI$11:$CI$1309,MATCH("B07-BKP-40-New",'SKU明细'!$A$11:$A$1309,0)),INDEX('SKU明细'!$CI$11:$CI$1309,MATCH("B07-BKP-41-by",'SKU明细'!$A$11:$A$1309,0)),INDEX('SKU明细'!$CI$11:$CI$1309,MATCH("B07-BKP-41.5",'SKU明细'!$A$11:$A$1309,0)),INDEX('SKU明细'!$CI$11:$CI$1309,MATCH("B07-BKP-42-New",'SKU明细'!$A$11:$A$1309,0)))=9,SUM(INDEX('SKU明细'!$CI$11:$CI$1309,MATCH("B07-BKP-37-New",'SKU明细'!$A$11:$A$1309,0)),INDEX('SKU明细'!$CI$11:$CI$1309,MATCH("B07-BKP-37.5",'SKU明细'!$A$11:$A$1309,0)),INDEX('SKU明细'!$CI$11:$CI$1309,MATCH("B07-BKP-38-by",'SKU明细'!$A$11:$A$1309,0)),INDEX('SKU明细'!$CI$11:$CI$1309,MATCH("B07-BKP-39-New",'SKU明细'!$A$11:$A$1309,0)),INDEX('SKU明细'!$CI$11:$CI$1309,MATCH("B07-BKP-39.5",'SKU明细'!$A$11:$A$1309,0)),INDEX('SKU明细'!$CI$11:$CI$1309,MATCH("B07-BKP-40-New",'SKU明细'!$A$11:$A$1309,0)),INDEX('SKU明细'!$CI$11:$CI$1309,MATCH("B07-BKP-41-by",'SKU明细'!$A$11:$A$1309,0)),INDEX('SKU明细'!$CI$11:$CI$1309,MATCH("B07-BKP-41.5",'SKU明细'!$A$11:$A$1309,0)),INDEX('SKU明细'!$CI$11:$CI$1309,MATCH("B07-BKP-42-New",'SKU明细'!$A$11:$A$1309,0))),"待核")</x:f>
        <x:v>152.42857405134095</x:v>
      </x:c>
    </x:row>
    <x:row r="70" ht="40" customHeight="1">
      <x:c r="A70" s="37" t="str">
        <x:v>B07</x:v>
      </x:c>
      <x:c r="B70" s="37" t="str">
        <x:v>艾年</x:v>
      </x:c>
      <x:c r="C70" s="37" t="str">
        <x:v>咖色PU</x:v>
      </x:c>
      <x:c r="D70" s="37" t="str">
        <x:v>CF</x:v>
      </x:c>
      <x:c r="E70" s="37" t="str">
        <x:v>B07-CF</x:v>
      </x:c>
      <x:c r="F70" s="37"/>
      <x:c r="G70" s="38" t="str">
        <x:f>"—"</x:f>
        <x:v>—</x:v>
      </x:c>
      <x:c r="H70" s="38" t="n">
        <x:f>IF(COUNT(INDEX('SKU明细'!$D$11:$D$1309,MATCH("B07-CF-37",'SKU明细'!$A$11:$A$1309,0)))=0,"待核",IF(COUNT(INDEX('SKU明细'!$D$11:$D$1309,MATCH("B07-CF-37",'SKU明细'!$A$11:$A$1309,0)))&lt;1,SUM(INDEX('SKU明细'!$D$11:$D$1309,MATCH("B07-CF-37",'SKU明细'!$A$11:$A$1309,0)))&amp;" + 待核",SUM(INDEX('SKU明细'!$D$11:$D$1309,MATCH("B07-CF-37",'SKU明细'!$A$11:$A$1309,0)))))</x:f>
        <x:v>0</x:v>
      </x:c>
      <x:c r="I70" s="38" t="n">
        <x:f>IF(COUNT(INDEX('SKU明细'!$D$11:$D$1309,MATCH("B07-CF-37.5",'SKU明细'!$A$11:$A$1309,0)))=0,"待核",IF(COUNT(INDEX('SKU明细'!$D$11:$D$1309,MATCH("B07-CF-37.5",'SKU明细'!$A$11:$A$1309,0)))&lt;1,SUM(INDEX('SKU明细'!$D$11:$D$1309,MATCH("B07-CF-37.5",'SKU明细'!$A$11:$A$1309,0)))&amp;" + 待核",SUM(INDEX('SKU明细'!$D$11:$D$1309,MATCH("B07-CF-37.5",'SKU明细'!$A$11:$A$1309,0)))))</x:f>
        <x:v>0</x:v>
      </x:c>
      <x:c r="J70" s="38" t="n">
        <x:f>IF(COUNT(INDEX('SKU明细'!$D$11:$D$1309,MATCH("B07-CF-38",'SKU明细'!$A$11:$A$1309,0)))=0,"待核",IF(COUNT(INDEX('SKU明细'!$D$11:$D$1309,MATCH("B07-CF-38",'SKU明细'!$A$11:$A$1309,0)))&lt;1,SUM(INDEX('SKU明细'!$D$11:$D$1309,MATCH("B07-CF-38",'SKU明细'!$A$11:$A$1309,0)))&amp;" + 待核",SUM(INDEX('SKU明细'!$D$11:$D$1309,MATCH("B07-CF-38",'SKU明细'!$A$11:$A$1309,0)))))</x:f>
        <x:v>0</x:v>
      </x:c>
      <x:c r="K70" s="38" t="str">
        <x:f>"—"</x:f>
        <x:v>—</x:v>
      </x:c>
      <x:c r="L70" s="38" t="n">
        <x:f>IF(COUNT(INDEX('SKU明细'!$D$11:$D$1309,MATCH("B07-CF-39",'SKU明细'!$A$11:$A$1309,0)))=0,"待核",IF(COUNT(INDEX('SKU明细'!$D$11:$D$1309,MATCH("B07-CF-39",'SKU明细'!$A$11:$A$1309,0)))&lt;1,SUM(INDEX('SKU明细'!$D$11:$D$1309,MATCH("B07-CF-39",'SKU明细'!$A$11:$A$1309,0)))&amp;" + 待核",SUM(INDEX('SKU明细'!$D$11:$D$1309,MATCH("B07-CF-39",'SKU明细'!$A$11:$A$1309,0)))))</x:f>
        <x:v>0</x:v>
      </x:c>
      <x:c r="M70" s="38" t="n">
        <x:f>IF(COUNT(INDEX('SKU明细'!$D$11:$D$1309,MATCH("B07-CF-39.5",'SKU明细'!$A$11:$A$1309,0)))=0,"待核",IF(COUNT(INDEX('SKU明细'!$D$11:$D$1309,MATCH("B07-CF-39.5",'SKU明细'!$A$11:$A$1309,0)))&lt;1,SUM(INDEX('SKU明细'!$D$11:$D$1309,MATCH("B07-CF-39.5",'SKU明细'!$A$11:$A$1309,0)))&amp;" + 待核",SUM(INDEX('SKU明细'!$D$11:$D$1309,MATCH("B07-CF-39.5",'SKU明细'!$A$11:$A$1309,0)))))</x:f>
        <x:v>0</x:v>
      </x:c>
      <x:c r="N70" s="38" t="n">
        <x:f>IF(COUNT(INDEX('SKU明细'!$D$11:$D$1309,MATCH("B07-CF-40",'SKU明细'!$A$11:$A$1309,0)))=0,"待核",IF(COUNT(INDEX('SKU明细'!$D$11:$D$1309,MATCH("B07-CF-40",'SKU明细'!$A$11:$A$1309,0)))&lt;1,SUM(INDEX('SKU明细'!$D$11:$D$1309,MATCH("B07-CF-40",'SKU明细'!$A$11:$A$1309,0)))&amp;" + 待核",SUM(INDEX('SKU明细'!$D$11:$D$1309,MATCH("B07-CF-40",'SKU明细'!$A$11:$A$1309,0)))))</x:f>
        <x:v>0</x:v>
      </x:c>
      <x:c r="O70" s="38" t="n">
        <x:f>IF(COUNT(INDEX('SKU明细'!$D$11:$D$1309,MATCH("B07-CF-40.5",'SKU明细'!$A$11:$A$1309,0)))=0,"待核",IF(COUNT(INDEX('SKU明细'!$D$11:$D$1309,MATCH("B07-CF-40.5",'SKU明细'!$A$11:$A$1309,0)))&lt;1,SUM(INDEX('SKU明细'!$D$11:$D$1309,MATCH("B07-CF-40.5",'SKU明细'!$A$11:$A$1309,0)))&amp;" + 待核",SUM(INDEX('SKU明细'!$D$11:$D$1309,MATCH("B07-CF-40.5",'SKU明细'!$A$11:$A$1309,0)))))</x:f>
        <x:v>0</x:v>
      </x:c>
      <x:c r="P70" s="38" t="n">
        <x:f>IF(COUNT(INDEX('SKU明细'!$D$11:$D$1309,MATCH("B07-CF-41",'SKU明细'!$A$11:$A$1309,0)))=0,"待核",IF(COUNT(INDEX('SKU明细'!$D$11:$D$1309,MATCH("B07-CF-41",'SKU明细'!$A$11:$A$1309,0)))&lt;1,SUM(INDEX('SKU明细'!$D$11:$D$1309,MATCH("B07-CF-41",'SKU明细'!$A$11:$A$1309,0)))&amp;" + 待核",SUM(INDEX('SKU明细'!$D$11:$D$1309,MATCH("B07-CF-41",'SKU明细'!$A$11:$A$1309,0)))))</x:f>
        <x:v>0</x:v>
      </x:c>
      <x:c r="Q70" s="38" t="n">
        <x:f>IF(COUNT(INDEX('SKU明细'!$D$11:$D$1309,MATCH("B07-CF-41.5",'SKU明细'!$A$11:$A$1309,0)))=0,"待核",IF(COUNT(INDEX('SKU明细'!$D$11:$D$1309,MATCH("B07-CF-41.5",'SKU明细'!$A$11:$A$1309,0)))&lt;1,SUM(INDEX('SKU明细'!$D$11:$D$1309,MATCH("B07-CF-41.5",'SKU明细'!$A$11:$A$1309,0)))&amp;" + 待核",SUM(INDEX('SKU明细'!$D$11:$D$1309,MATCH("B07-CF-41.5",'SKU明细'!$A$11:$A$1309,0)))))</x:f>
        <x:v>0</x:v>
      </x:c>
      <x:c r="R70" s="38" t="n">
        <x:f>IF(COUNT(INDEX('SKU明细'!$D$11:$D$1309,MATCH("B07-CF-42",'SKU明细'!$A$11:$A$1309,0)))=0,"待核",IF(COUNT(INDEX('SKU明细'!$D$11:$D$1309,MATCH("B07-CF-42",'SKU明细'!$A$11:$A$1309,0)))&lt;1,SUM(INDEX('SKU明细'!$D$11:$D$1309,MATCH("B07-CF-42",'SKU明细'!$A$11:$A$1309,0)))&amp;" + 待核",SUM(INDEX('SKU明细'!$D$11:$D$1309,MATCH("B07-CF-42",'SKU明细'!$A$11:$A$1309,0)))))</x:f>
        <x:v>0</x:v>
      </x:c>
      <x:c r="S70" s="38" t="n">
        <x:f>IF(COUNT(INDEX('SKU明细'!$D$11:$D$1309,MATCH("B07-CF-37",'SKU明细'!$A$11:$A$1309,0)),INDEX('SKU明细'!$D$11:$D$1309,MATCH("B07-CF-37.5",'SKU明细'!$A$11:$A$1309,0)),INDEX('SKU明细'!$D$11:$D$1309,MATCH("B07-CF-38",'SKU明细'!$A$11:$A$1309,0)),INDEX('SKU明细'!$D$11:$D$1309,MATCH("B07-CF-39",'SKU明细'!$A$11:$A$1309,0)),INDEX('SKU明细'!$D$11:$D$1309,MATCH("B07-CF-39.5",'SKU明细'!$A$11:$A$1309,0)),INDEX('SKU明细'!$D$11:$D$1309,MATCH("B07-CF-40",'SKU明细'!$A$11:$A$1309,0)),INDEX('SKU明细'!$D$11:$D$1309,MATCH("B07-CF-40.5",'SKU明细'!$A$11:$A$1309,0)),INDEX('SKU明细'!$D$11:$D$1309,MATCH("B07-CF-41",'SKU明细'!$A$11:$A$1309,0)),INDEX('SKU明细'!$D$11:$D$1309,MATCH("B07-CF-41.5",'SKU明细'!$A$11:$A$1309,0)),INDEX('SKU明细'!$D$11:$D$1309,MATCH("B07-CF-42",'SKU明细'!$A$11:$A$1309,0)))=0,"待核",SUM(INDEX('SKU明细'!$D$11:$D$1309,MATCH("B07-CF-37",'SKU明细'!$A$11:$A$1309,0)),INDEX('SKU明细'!$D$11:$D$1309,MATCH("B07-CF-37.5",'SKU明细'!$A$11:$A$1309,0)),INDEX('SKU明细'!$D$11:$D$1309,MATCH("B07-CF-38",'SKU明细'!$A$11:$A$1309,0)),INDEX('SKU明细'!$D$11:$D$1309,MATCH("B07-CF-39",'SKU明细'!$A$11:$A$1309,0)),INDEX('SKU明细'!$D$11:$D$1309,MATCH("B07-CF-39.5",'SKU明细'!$A$11:$A$1309,0)),INDEX('SKU明细'!$D$11:$D$1309,MATCH("B07-CF-40",'SKU明细'!$A$11:$A$1309,0)),INDEX('SKU明细'!$D$11:$D$1309,MATCH("B07-CF-40.5",'SKU明细'!$A$11:$A$1309,0)),INDEX('SKU明细'!$D$11:$D$1309,MATCH("B07-CF-41",'SKU明细'!$A$11:$A$1309,0)),INDEX('SKU明细'!$D$11:$D$1309,MATCH("B07-CF-41.5",'SKU明细'!$A$11:$A$1309,0)),INDEX('SKU明细'!$D$11:$D$1309,MATCH("B07-CF-42",'SKU明细'!$A$11:$A$1309,0))))</x:f>
        <x:v>0</x:v>
      </x:c>
      <x:c r="T70" s="38" t="n">
        <x:f>IF(COUNTIFS($A$9:$A$191,A70,$U$9:$U$191,"&lt;&gt;待核")=0,"待核",SUMIF($A$9:$A$191,A70,$S$9:$S$191))</x:f>
        <x:v>364</x:v>
      </x:c>
      <x:c r="U70" s="37" t="str">
        <x:f>IF(COUNT(INDEX('SKU明细'!$D$11:$D$1309,MATCH("B07-CF-37",'SKU明细'!$A$11:$A$1309,0)),INDEX('SKU明细'!$D$11:$D$1309,MATCH("B07-CF-37.5",'SKU明细'!$A$11:$A$1309,0)),INDEX('SKU明细'!$D$11:$D$1309,MATCH("B07-CF-38",'SKU明细'!$A$11:$A$1309,0)),INDEX('SKU明细'!$D$11:$D$1309,MATCH("B07-CF-39",'SKU明细'!$A$11:$A$1309,0)),INDEX('SKU明细'!$D$11:$D$1309,MATCH("B07-CF-39.5",'SKU明细'!$A$11:$A$1309,0)),INDEX('SKU明细'!$D$11:$D$1309,MATCH("B07-CF-40",'SKU明细'!$A$11:$A$1309,0)),INDEX('SKU明细'!$D$11:$D$1309,MATCH("B07-CF-40.5",'SKU明细'!$A$11:$A$1309,0)),INDEX('SKU明细'!$D$11:$D$1309,MATCH("B07-CF-41",'SKU明细'!$A$11:$A$1309,0)),INDEX('SKU明细'!$D$11:$D$1309,MATCH("B07-CF-41.5",'SKU明细'!$A$11:$A$1309,0)),INDEX('SKU明细'!$D$11:$D$1309,MATCH("B07-CF-42",'SKU明细'!$A$11:$A$1309,0)))=0,"待核",IF(COUNT(INDEX('SKU明细'!$D$11:$D$1309,MATCH("B07-CF-37",'SKU明细'!$A$11:$A$1309,0)),INDEX('SKU明细'!$D$11:$D$1309,MATCH("B07-CF-37.5",'SKU明细'!$A$11:$A$1309,0)),INDEX('SKU明细'!$D$11:$D$1309,MATCH("B07-CF-38",'SKU明细'!$A$11:$A$1309,0)),INDEX('SKU明细'!$D$11:$D$1309,MATCH("B07-CF-39",'SKU明细'!$A$11:$A$1309,0)),INDEX('SKU明细'!$D$11:$D$1309,MATCH("B07-CF-39.5",'SKU明细'!$A$11:$A$1309,0)),INDEX('SKU明细'!$D$11:$D$1309,MATCH("B07-CF-40",'SKU明细'!$A$11:$A$1309,0)),INDEX('SKU明细'!$D$11:$D$1309,MATCH("B07-CF-40.5",'SKU明细'!$A$11:$A$1309,0)),INDEX('SKU明细'!$D$11:$D$1309,MATCH("B07-CF-41",'SKU明细'!$A$11:$A$1309,0)),INDEX('SKU明细'!$D$11:$D$1309,MATCH("B07-CF-41.5",'SKU明细'!$A$11:$A$1309,0)),INDEX('SKU明细'!$D$11:$D$1309,MATCH("B07-CF-42",'SKU明细'!$A$11:$A$1309,0)))&lt;10,"另有待核","已核"))</x:f>
        <x:v>已核</x:v>
      </x:c>
      <x:c r="V70" s="37" t="str">
        <x:v>在售</x:v>
      </x:c>
      <x:c r="W70" s="11" t="n">
        <x:f>IF(COUNT(INDEX('SKU明细'!$BV$11:$BV$1309,MATCH("B07-CF-37",'SKU明细'!$A$11:$A$1309,0)),INDEX('SKU明细'!$BV$11:$BV$1309,MATCH("B07-CF-37.5",'SKU明细'!$A$11:$A$1309,0)),INDEX('SKU明细'!$BV$11:$BV$1309,MATCH("B07-CF-38",'SKU明细'!$A$11:$A$1309,0)),INDEX('SKU明细'!$BV$11:$BV$1309,MATCH("B07-CF-39",'SKU明细'!$A$11:$A$1309,0)),INDEX('SKU明细'!$BV$11:$BV$1309,MATCH("B07-CF-39.5",'SKU明细'!$A$11:$A$1309,0)),INDEX('SKU明细'!$BV$11:$BV$1309,MATCH("B07-CF-40",'SKU明细'!$A$11:$A$1309,0)),INDEX('SKU明细'!$BV$11:$BV$1309,MATCH("B07-CF-40.5",'SKU明细'!$A$11:$A$1309,0)),INDEX('SKU明细'!$BV$11:$BV$1309,MATCH("B07-CF-41",'SKU明细'!$A$11:$A$1309,0)),INDEX('SKU明细'!$BV$11:$BV$1309,MATCH("B07-CF-41.5",'SKU明细'!$A$11:$A$1309,0)),INDEX('SKU明细'!$BV$11:$BV$1309,MATCH("B07-CF-42",'SKU明细'!$A$11:$A$1309,0)))=10,SUM(INDEX('SKU明细'!$BV$11:$BV$1309,MATCH("B07-CF-37",'SKU明细'!$A$11:$A$1309,0)),INDEX('SKU明细'!$BV$11:$BV$1309,MATCH("B07-CF-37.5",'SKU明细'!$A$11:$A$1309,0)),INDEX('SKU明细'!$BV$11:$BV$1309,MATCH("B07-CF-38",'SKU明细'!$A$11:$A$1309,0)),INDEX('SKU明细'!$BV$11:$BV$1309,MATCH("B07-CF-39",'SKU明细'!$A$11:$A$1309,0)),INDEX('SKU明细'!$BV$11:$BV$1309,MATCH("B07-CF-39.5",'SKU明细'!$A$11:$A$1309,0)),INDEX('SKU明细'!$BV$11:$BV$1309,MATCH("B07-CF-40",'SKU明细'!$A$11:$A$1309,0)),INDEX('SKU明细'!$BV$11:$BV$1309,MATCH("B07-CF-40.5",'SKU明细'!$A$11:$A$1309,0)),INDEX('SKU明细'!$BV$11:$BV$1309,MATCH("B07-CF-41",'SKU明细'!$A$11:$A$1309,0)),INDEX('SKU明细'!$BV$11:$BV$1309,MATCH("B07-CF-41.5",'SKU明细'!$A$11:$A$1309,0)),INDEX('SKU明细'!$BV$11:$BV$1309,MATCH("B07-CF-42",'SKU明细'!$A$11:$A$1309,0))),"待核")</x:f>
        <x:v>0.6473191341094234</x:v>
      </x:c>
      <x:c r="X70" s="11" t="n">
        <x:f>INDEX('SKU明细'!$BW$11:$BW$1309,MATCH("B07-CF-37",'SKU明细'!$A$11:$A$1309,0))</x:f>
        <x:v>0.7307750238224848</x:v>
      </x:c>
      <x:c r="Y70" s="13" t="n">
        <x:f>IF(COUNT(INDEX('SKU明细'!$BY$11:$BY$1309,MATCH("B07-CF-37",'SKU明细'!$A$11:$A$1309,0)),INDEX('SKU明细'!$BY$11:$BY$1309,MATCH("B07-CF-37.5",'SKU明细'!$A$11:$A$1309,0)),INDEX('SKU明细'!$BY$11:$BY$1309,MATCH("B07-CF-38",'SKU明细'!$A$11:$A$1309,0)),INDEX('SKU明细'!$BY$11:$BY$1309,MATCH("B07-CF-39",'SKU明细'!$A$11:$A$1309,0)),INDEX('SKU明细'!$BY$11:$BY$1309,MATCH("B07-CF-39.5",'SKU明细'!$A$11:$A$1309,0)),INDEX('SKU明细'!$BY$11:$BY$1309,MATCH("B07-CF-40",'SKU明细'!$A$11:$A$1309,0)),INDEX('SKU明细'!$BY$11:$BY$1309,MATCH("B07-CF-40.5",'SKU明细'!$A$11:$A$1309,0)),INDEX('SKU明细'!$BY$11:$BY$1309,MATCH("B07-CF-41",'SKU明细'!$A$11:$A$1309,0)),INDEX('SKU明细'!$BY$11:$BY$1309,MATCH("B07-CF-41.5",'SKU明细'!$A$11:$A$1309,0)),INDEX('SKU明细'!$BY$11:$BY$1309,MATCH("B07-CF-42",'SKU明细'!$A$11:$A$1309,0)))=10,SUM(INDEX('SKU明细'!$BY$11:$BY$1309,MATCH("B07-CF-37",'SKU明细'!$A$11:$A$1309,0)),INDEX('SKU明细'!$BY$11:$BY$1309,MATCH("B07-CF-37.5",'SKU明细'!$A$11:$A$1309,0)),INDEX('SKU明细'!$BY$11:$BY$1309,MATCH("B07-CF-38",'SKU明细'!$A$11:$A$1309,0)),INDEX('SKU明细'!$BY$11:$BY$1309,MATCH("B07-CF-39",'SKU明细'!$A$11:$A$1309,0)),INDEX('SKU明细'!$BY$11:$BY$1309,MATCH("B07-CF-39.5",'SKU明细'!$A$11:$A$1309,0)),INDEX('SKU明细'!$BY$11:$BY$1309,MATCH("B07-CF-40",'SKU明细'!$A$11:$A$1309,0)),INDEX('SKU明细'!$BY$11:$BY$1309,MATCH("B07-CF-40.5",'SKU明细'!$A$11:$A$1309,0)),INDEX('SKU明细'!$BY$11:$BY$1309,MATCH("B07-CF-41",'SKU明细'!$A$11:$A$1309,0)),INDEX('SKU明细'!$BY$11:$BY$1309,MATCH("B07-CF-41.5",'SKU明细'!$A$11:$A$1309,0)),INDEX('SKU明细'!$BY$11:$BY$1309,MATCH("B07-CF-42",'SKU明细'!$A$11:$A$1309,0))),"待核")</x:f>
        <x:v>5.676535867794771</x:v>
      </x:c>
      <x:c r="Z70" s="11" t="n">
        <x:f>INDEX('SKU明细'!$BZ$11:$BZ$1309,MATCH("B07-CF-37",'SKU明细'!$A$11:$A$1309,0))</x:f>
        <x:v>0.9523018155490097</x:v>
      </x:c>
      <x:c r="AA70" s="13" t="n">
        <x:f>IF(COUNT(INDEX('SKU明细'!$CB$11:$CB$1309,MATCH("B07-CF-37",'SKU明细'!$A$11:$A$1309,0)),INDEX('SKU明细'!$CB$11:$CB$1309,MATCH("B07-CF-37.5",'SKU明细'!$A$11:$A$1309,0)),INDEX('SKU明细'!$CB$11:$CB$1309,MATCH("B07-CF-38",'SKU明细'!$A$11:$A$1309,0)),INDEX('SKU明细'!$CB$11:$CB$1309,MATCH("B07-CF-39",'SKU明细'!$A$11:$A$1309,0)),INDEX('SKU明细'!$CB$11:$CB$1309,MATCH("B07-CF-39.5",'SKU明细'!$A$11:$A$1309,0)),INDEX('SKU明细'!$CB$11:$CB$1309,MATCH("B07-CF-40",'SKU明细'!$A$11:$A$1309,0)),INDEX('SKU明细'!$CB$11:$CB$1309,MATCH("B07-CF-40.5",'SKU明细'!$A$11:$A$1309,0)),INDEX('SKU明细'!$CB$11:$CB$1309,MATCH("B07-CF-41",'SKU明细'!$A$11:$A$1309,0)),INDEX('SKU明细'!$CB$11:$CB$1309,MATCH("B07-CF-41.5",'SKU明细'!$A$11:$A$1309,0)),INDEX('SKU明细'!$CB$11:$CB$1309,MATCH("B07-CF-42",'SKU明细'!$A$11:$A$1309,0)))=10,SUM(INDEX('SKU明细'!$CB$11:$CB$1309,MATCH("B07-CF-37",'SKU明细'!$A$11:$A$1309,0)),INDEX('SKU明细'!$CB$11:$CB$1309,MATCH("B07-CF-37.5",'SKU明细'!$A$11:$A$1309,0)),INDEX('SKU明细'!$CB$11:$CB$1309,MATCH("B07-CF-38",'SKU明细'!$A$11:$A$1309,0)),INDEX('SKU明细'!$CB$11:$CB$1309,MATCH("B07-CF-39",'SKU明细'!$A$11:$A$1309,0)),INDEX('SKU明细'!$CB$11:$CB$1309,MATCH("B07-CF-39.5",'SKU明细'!$A$11:$A$1309,0)),INDEX('SKU明细'!$CB$11:$CB$1309,MATCH("B07-CF-40",'SKU明细'!$A$11:$A$1309,0)),INDEX('SKU明细'!$CB$11:$CB$1309,MATCH("B07-CF-40.5",'SKU明细'!$A$11:$A$1309,0)),INDEX('SKU明细'!$CB$11:$CB$1309,MATCH("B07-CF-41",'SKU明细'!$A$11:$A$1309,0)),INDEX('SKU明细'!$CB$11:$CB$1309,MATCH("B07-CF-41.5",'SKU明细'!$A$11:$A$1309,0)),INDEX('SKU明细'!$CB$11:$CB$1309,MATCH("B07-CF-42",'SKU明细'!$A$11:$A$1309,0))),"待核")</x:f>
        <x:v>18.493295599560508</x:v>
      </x:c>
      <x:c r="AB70" s="11" t="n">
        <x:f>INDEX('SKU明细'!$CC$11:$CC$1309,MATCH("B07-CF-37",'SKU明细'!$A$11:$A$1309,0))</x:f>
        <x:v>0.5958545198749097</x:v>
      </x:c>
      <x:c r="AC70" s="13" t="n">
        <x:f>IF(COUNT(INDEX('SKU明细'!$CE$11:$CE$1309,MATCH("B07-CF-37",'SKU明细'!$A$11:$A$1309,0)),INDEX('SKU明细'!$CE$11:$CE$1309,MATCH("B07-CF-37.5",'SKU明细'!$A$11:$A$1309,0)),INDEX('SKU明细'!$CE$11:$CE$1309,MATCH("B07-CF-38",'SKU明细'!$A$11:$A$1309,0)),INDEX('SKU明细'!$CE$11:$CE$1309,MATCH("B07-CF-39",'SKU明细'!$A$11:$A$1309,0)),INDEX('SKU明细'!$CE$11:$CE$1309,MATCH("B07-CF-39.5",'SKU明细'!$A$11:$A$1309,0)),INDEX('SKU明细'!$CE$11:$CE$1309,MATCH("B07-CF-40",'SKU明细'!$A$11:$A$1309,0)),INDEX('SKU明细'!$CE$11:$CE$1309,MATCH("B07-CF-40.5",'SKU明细'!$A$11:$A$1309,0)),INDEX('SKU明细'!$CE$11:$CE$1309,MATCH("B07-CF-41",'SKU明细'!$A$11:$A$1309,0)),INDEX('SKU明细'!$CE$11:$CE$1309,MATCH("B07-CF-41.5",'SKU明细'!$A$11:$A$1309,0)),INDEX('SKU明细'!$CE$11:$CE$1309,MATCH("B07-CF-42",'SKU明细'!$A$11:$A$1309,0)))=10,SUM(INDEX('SKU明细'!$CE$11:$CE$1309,MATCH("B07-CF-37",'SKU明细'!$A$11:$A$1309,0)),INDEX('SKU明细'!$CE$11:$CE$1309,MATCH("B07-CF-37.5",'SKU明细'!$A$11:$A$1309,0)),INDEX('SKU明细'!$CE$11:$CE$1309,MATCH("B07-CF-38",'SKU明细'!$A$11:$A$1309,0)),INDEX('SKU明细'!$CE$11:$CE$1309,MATCH("B07-CF-39",'SKU明细'!$A$11:$A$1309,0)),INDEX('SKU明细'!$CE$11:$CE$1309,MATCH("B07-CF-39.5",'SKU明细'!$A$11:$A$1309,0)),INDEX('SKU明细'!$CE$11:$CE$1309,MATCH("B07-CF-40",'SKU明细'!$A$11:$A$1309,0)),INDEX('SKU明细'!$CE$11:$CE$1309,MATCH("B07-CF-40.5",'SKU明细'!$A$11:$A$1309,0)),INDEX('SKU明细'!$CE$11:$CE$1309,MATCH("B07-CF-41",'SKU明细'!$A$11:$A$1309,0)),INDEX('SKU明细'!$CE$11:$CE$1309,MATCH("B07-CF-41.5",'SKU明细'!$A$11:$A$1309,0)),INDEX('SKU明细'!$CE$11:$CE$1309,MATCH("B07-CF-42",'SKU明细'!$A$11:$A$1309,0))),"待核")</x:f>
        <x:v>11.956948987678995</x:v>
      </x:c>
      <x:c r="AD70" s="11" t="n">
        <x:f>INDEX('SKU明细'!$CF$11:$CF$1309,MATCH("B07-CF-37",'SKU明细'!$A$11:$A$1309,0))</x:f>
        <x:v>1.3264167397065354</x:v>
      </x:c>
      <x:c r="AE70" s="13" t="n">
        <x:f>IF(COUNT(INDEX('SKU明细'!$CH$11:$CH$1309,MATCH("B07-CF-37",'SKU明细'!$A$11:$A$1309,0)),INDEX('SKU明细'!$CH$11:$CH$1309,MATCH("B07-CF-37.5",'SKU明细'!$A$11:$A$1309,0)),INDEX('SKU明细'!$CH$11:$CH$1309,MATCH("B07-CF-38",'SKU明细'!$A$11:$A$1309,0)),INDEX('SKU明细'!$CH$11:$CH$1309,MATCH("B07-CF-39",'SKU明细'!$A$11:$A$1309,0)),INDEX('SKU明细'!$CH$11:$CH$1309,MATCH("B07-CF-39.5",'SKU明细'!$A$11:$A$1309,0)),INDEX('SKU明细'!$CH$11:$CH$1309,MATCH("B07-CF-40",'SKU明细'!$A$11:$A$1309,0)),INDEX('SKU明细'!$CH$11:$CH$1309,MATCH("B07-CF-40.5",'SKU明细'!$A$11:$A$1309,0)),INDEX('SKU明细'!$CH$11:$CH$1309,MATCH("B07-CF-41",'SKU明细'!$A$11:$A$1309,0)),INDEX('SKU明细'!$CH$11:$CH$1309,MATCH("B07-CF-41.5",'SKU明细'!$A$11:$A$1309,0)),INDEX('SKU明细'!$CH$11:$CH$1309,MATCH("B07-CF-42",'SKU明细'!$A$11:$A$1309,0)))=10,SUM(INDEX('SKU明细'!$CH$11:$CH$1309,MATCH("B07-CF-37",'SKU明细'!$A$11:$A$1309,0)),INDEX('SKU明细'!$CH$11:$CH$1309,MATCH("B07-CF-37.5",'SKU明细'!$A$11:$A$1309,0)),INDEX('SKU明细'!$CH$11:$CH$1309,MATCH("B07-CF-38",'SKU明细'!$A$11:$A$1309,0)),INDEX('SKU明细'!$CH$11:$CH$1309,MATCH("B07-CF-39",'SKU明细'!$A$11:$A$1309,0)),INDEX('SKU明细'!$CH$11:$CH$1309,MATCH("B07-CF-39.5",'SKU明细'!$A$11:$A$1309,0)),INDEX('SKU明细'!$CH$11:$CH$1309,MATCH("B07-CF-40",'SKU明细'!$A$11:$A$1309,0)),INDEX('SKU明细'!$CH$11:$CH$1309,MATCH("B07-CF-40.5",'SKU明细'!$A$11:$A$1309,0)),INDEX('SKU明细'!$CH$11:$CH$1309,MATCH("B07-CF-41",'SKU明细'!$A$11:$A$1309,0)),INDEX('SKU明细'!$CH$11:$CH$1309,MATCH("B07-CF-41.5",'SKU明细'!$A$11:$A$1309,0)),INDEX('SKU明细'!$CH$11:$CH$1309,MATCH("B07-CF-42",'SKU明细'!$A$11:$A$1309,0))),"待核")</x:f>
        <x:v>14.596453902056343</x:v>
      </x:c>
      <x:c r="AF70" s="13" t="n">
        <x:f>IF(COUNT(INDEX('SKU明细'!$CI$11:$CI$1309,MATCH("B07-CF-37",'SKU明细'!$A$11:$A$1309,0)),INDEX('SKU明细'!$CI$11:$CI$1309,MATCH("B07-CF-37.5",'SKU明细'!$A$11:$A$1309,0)),INDEX('SKU明细'!$CI$11:$CI$1309,MATCH("B07-CF-38",'SKU明细'!$A$11:$A$1309,0)),INDEX('SKU明细'!$CI$11:$CI$1309,MATCH("B07-CF-39",'SKU明细'!$A$11:$A$1309,0)),INDEX('SKU明细'!$CI$11:$CI$1309,MATCH("B07-CF-39.5",'SKU明细'!$A$11:$A$1309,0)),INDEX('SKU明细'!$CI$11:$CI$1309,MATCH("B07-CF-40",'SKU明细'!$A$11:$A$1309,0)),INDEX('SKU明细'!$CI$11:$CI$1309,MATCH("B07-CF-40.5",'SKU明细'!$A$11:$A$1309,0)),INDEX('SKU明细'!$CI$11:$CI$1309,MATCH("B07-CF-41",'SKU明细'!$A$11:$A$1309,0)),INDEX('SKU明细'!$CI$11:$CI$1309,MATCH("B07-CF-41.5",'SKU明细'!$A$11:$A$1309,0)),INDEX('SKU明细'!$CI$11:$CI$1309,MATCH("B07-CF-42",'SKU明细'!$A$11:$A$1309,0)))=10,SUM(INDEX('SKU明细'!$CI$11:$CI$1309,MATCH("B07-CF-37",'SKU明细'!$A$11:$A$1309,0)),INDEX('SKU明细'!$CI$11:$CI$1309,MATCH("B07-CF-37.5",'SKU明细'!$A$11:$A$1309,0)),INDEX('SKU明细'!$CI$11:$CI$1309,MATCH("B07-CF-38",'SKU明细'!$A$11:$A$1309,0)),INDEX('SKU明细'!$CI$11:$CI$1309,MATCH("B07-CF-39",'SKU明细'!$A$11:$A$1309,0)),INDEX('SKU明细'!$CI$11:$CI$1309,MATCH("B07-CF-39.5",'SKU明细'!$A$11:$A$1309,0)),INDEX('SKU明细'!$CI$11:$CI$1309,MATCH("B07-CF-40",'SKU明细'!$A$11:$A$1309,0)),INDEX('SKU明细'!$CI$11:$CI$1309,MATCH("B07-CF-40.5",'SKU明细'!$A$11:$A$1309,0)),INDEX('SKU明细'!$CI$11:$CI$1309,MATCH("B07-CF-41",'SKU明细'!$A$11:$A$1309,0)),INDEX('SKU明细'!$CI$11:$CI$1309,MATCH("B07-CF-41.5",'SKU明细'!$A$11:$A$1309,0)),INDEX('SKU明细'!$CI$11:$CI$1309,MATCH("B07-CF-42",'SKU明细'!$A$11:$A$1309,0))),"待核")</x:f>
        <x:v>50.723234357090625</x:v>
      </x:c>
    </x:row>
    <x:row r="71" ht="40" customHeight="1">
      <x:c r="A71" s="37" t="str">
        <x:v>B07</x:v>
      </x:c>
      <x:c r="B71" s="37" t="str">
        <x:v>艾年</x:v>
      </x:c>
      <x:c r="C71" s="37" t="str">
        <x:v>灰色羊京绒</x:v>
      </x:c>
      <x:c r="D71" s="37" t="str">
        <x:v>GY</x:v>
      </x:c>
      <x:c r="E71" s="37" t="str">
        <x:v>B07-GY</x:v>
      </x:c>
      <x:c r="F71" s="37"/>
      <x:c r="G71" s="38" t="str">
        <x:f>"—"</x:f>
        <x:v>—</x:v>
      </x:c>
      <x:c r="H71" s="38" t="n">
        <x:f>IF(COUNT(INDEX('SKU明细'!$D$11:$D$1309,MATCH("B07-GY-37-by",'SKU明细'!$A$11:$A$1309,0)))=0,"待核",IF(COUNT(INDEX('SKU明细'!$D$11:$D$1309,MATCH("B07-GY-37-by",'SKU明细'!$A$11:$A$1309,0)))&lt;1,SUM(INDEX('SKU明细'!$D$11:$D$1309,MATCH("B07-GY-37-by",'SKU明细'!$A$11:$A$1309,0)))&amp;" + 待核",SUM(INDEX('SKU明细'!$D$11:$D$1309,MATCH("B07-GY-37-by",'SKU明细'!$A$11:$A$1309,0)))))</x:f>
        <x:v>0</x:v>
      </x:c>
      <x:c r="I71" s="38" t="str">
        <x:f>"—"</x:f>
        <x:v>—</x:v>
      </x:c>
      <x:c r="J71" s="38" t="str">
        <x:f>"—"</x:f>
        <x:v>—</x:v>
      </x:c>
      <x:c r="K71" s="38" t="n">
        <x:f>IF(COUNT(INDEX('SKU明细'!$D$11:$D$1309,MATCH("B07-GY-38.5",'SKU明细'!$A$11:$A$1309,0)))=0,"待核",IF(COUNT(INDEX('SKU明细'!$D$11:$D$1309,MATCH("B07-GY-38.5",'SKU明细'!$A$11:$A$1309,0)))&lt;1,SUM(INDEX('SKU明细'!$D$11:$D$1309,MATCH("B07-GY-38.5",'SKU明细'!$A$11:$A$1309,0)))&amp;" + 待核",SUM(INDEX('SKU明细'!$D$11:$D$1309,MATCH("B07-GY-38.5",'SKU明细'!$A$11:$A$1309,0)))))</x:f>
        <x:v>0</x:v>
      </x:c>
      <x:c r="L71" s="38" t="str">
        <x:f>IF(COUNT(INDEX('SKU明细'!$D$11:$D$1309,MATCH("B07-GY-39-New",'SKU明细'!$A$11:$A$1309,0)))=0,"待核",IF(COUNT(INDEX('SKU明细'!$D$11:$D$1309,MATCH("B07-GY-39-New",'SKU明细'!$A$11:$A$1309,0)))&lt;1,SUM(INDEX('SKU明细'!$D$11:$D$1309,MATCH("B07-GY-39-New",'SKU明细'!$A$11:$A$1309,0)))&amp;" + 待核",SUM(INDEX('SKU明细'!$D$11:$D$1309,MATCH("B07-GY-39-New",'SKU明细'!$A$11:$A$1309,0)))))</x:f>
        <x:v>待核</x:v>
      </x:c>
      <x:c r="M71" s="38" t="n">
        <x:f>IF(COUNT(INDEX('SKU明细'!$D$11:$D$1309,MATCH("B07-GY-39.5",'SKU明细'!$A$11:$A$1309,0)))=0,"待核",IF(COUNT(INDEX('SKU明细'!$D$11:$D$1309,MATCH("B07-GY-39.5",'SKU明细'!$A$11:$A$1309,0)))&lt;1,SUM(INDEX('SKU明细'!$D$11:$D$1309,MATCH("B07-GY-39.5",'SKU明细'!$A$11:$A$1309,0)))&amp;" + 待核",SUM(INDEX('SKU明细'!$D$11:$D$1309,MATCH("B07-GY-39.5",'SKU明细'!$A$11:$A$1309,0)))))</x:f>
        <x:v>0</x:v>
      </x:c>
      <x:c r="N71" s="38" t="str">
        <x:f>"—"</x:f>
        <x:v>—</x:v>
      </x:c>
      <x:c r="O71" s="38" t="n">
        <x:f>IF(COUNT(INDEX('SKU明细'!$D$11:$D$1309,MATCH("B07-GY-40.5",'SKU明细'!$A$11:$A$1309,0)))=0,"待核",IF(COUNT(INDEX('SKU明细'!$D$11:$D$1309,MATCH("B07-GY-40.5",'SKU明细'!$A$11:$A$1309,0)))&lt;1,SUM(INDEX('SKU明细'!$D$11:$D$1309,MATCH("B07-GY-40.5",'SKU明细'!$A$11:$A$1309,0)))&amp;" + 待核",SUM(INDEX('SKU明细'!$D$11:$D$1309,MATCH("B07-GY-40.5",'SKU明细'!$A$11:$A$1309,0)))))</x:f>
        <x:v>0</x:v>
      </x:c>
      <x:c r="P71" s="38" t="str">
        <x:f>"—"</x:f>
        <x:v>—</x:v>
      </x:c>
      <x:c r="Q71" s="38" t="n">
        <x:f>IF(COUNT(INDEX('SKU明细'!$D$11:$D$1309,MATCH("B07-GY-41.5",'SKU明细'!$A$11:$A$1309,0)))=0,"待核",IF(COUNT(INDEX('SKU明细'!$D$11:$D$1309,MATCH("B07-GY-41.5",'SKU明细'!$A$11:$A$1309,0)))&lt;1,SUM(INDEX('SKU明细'!$D$11:$D$1309,MATCH("B07-GY-41.5",'SKU明细'!$A$11:$A$1309,0)))&amp;" + 待核",SUM(INDEX('SKU明细'!$D$11:$D$1309,MATCH("B07-GY-41.5",'SKU明细'!$A$11:$A$1309,0)))))</x:f>
        <x:v>0</x:v>
      </x:c>
      <x:c r="R71" s="38" t="str">
        <x:f>"—"</x:f>
        <x:v>—</x:v>
      </x:c>
      <x:c r="S71" s="38" t="n">
        <x:f>IF(COUNT(INDEX('SKU明细'!$D$11:$D$1309,MATCH("B07-GY-39-New",'SKU明细'!$A$11:$A$1309,0)),INDEX('SKU明细'!$D$11:$D$1309,MATCH("B07-GY-37-by",'SKU明细'!$A$11:$A$1309,0)),INDEX('SKU明细'!$D$11:$D$1309,MATCH("B07-GY-38.5",'SKU明细'!$A$11:$A$1309,0)),INDEX('SKU明细'!$D$11:$D$1309,MATCH("B07-GY-39.5",'SKU明细'!$A$11:$A$1309,0)),INDEX('SKU明细'!$D$11:$D$1309,MATCH("B07-GY-40.5",'SKU明细'!$A$11:$A$1309,0)),INDEX('SKU明细'!$D$11:$D$1309,MATCH("B07-GY-41.5",'SKU明细'!$A$11:$A$1309,0)))=0,"待核",SUM(INDEX('SKU明细'!$D$11:$D$1309,MATCH("B07-GY-39-New",'SKU明细'!$A$11:$A$1309,0)),INDEX('SKU明细'!$D$11:$D$1309,MATCH("B07-GY-37-by",'SKU明细'!$A$11:$A$1309,0)),INDEX('SKU明细'!$D$11:$D$1309,MATCH("B07-GY-38.5",'SKU明细'!$A$11:$A$1309,0)),INDEX('SKU明细'!$D$11:$D$1309,MATCH("B07-GY-39.5",'SKU明细'!$A$11:$A$1309,0)),INDEX('SKU明细'!$D$11:$D$1309,MATCH("B07-GY-40.5",'SKU明细'!$A$11:$A$1309,0)),INDEX('SKU明细'!$D$11:$D$1309,MATCH("B07-GY-41.5",'SKU明细'!$A$11:$A$1309,0))))</x:f>
        <x:v>0</x:v>
      </x:c>
      <x:c r="T71" s="38" t="n">
        <x:f>IF(COUNTIFS($A$9:$A$191,A71,$U$9:$U$191,"&lt;&gt;待核")=0,"待核",SUMIF($A$9:$A$191,A71,$S$9:$S$191))</x:f>
        <x:v>364</x:v>
      </x:c>
      <x:c r="U71" s="37" t="str">
        <x:f>IF(COUNT(INDEX('SKU明细'!$D$11:$D$1309,MATCH("B07-GY-39-New",'SKU明细'!$A$11:$A$1309,0)),INDEX('SKU明细'!$D$11:$D$1309,MATCH("B07-GY-37-by",'SKU明细'!$A$11:$A$1309,0)),INDEX('SKU明细'!$D$11:$D$1309,MATCH("B07-GY-38.5",'SKU明细'!$A$11:$A$1309,0)),INDEX('SKU明细'!$D$11:$D$1309,MATCH("B07-GY-39.5",'SKU明细'!$A$11:$A$1309,0)),INDEX('SKU明细'!$D$11:$D$1309,MATCH("B07-GY-40.5",'SKU明细'!$A$11:$A$1309,0)),INDEX('SKU明细'!$D$11:$D$1309,MATCH("B07-GY-41.5",'SKU明细'!$A$11:$A$1309,0)))=0,"待核",IF(COUNT(INDEX('SKU明细'!$D$11:$D$1309,MATCH("B07-GY-39-New",'SKU明细'!$A$11:$A$1309,0)),INDEX('SKU明细'!$D$11:$D$1309,MATCH("B07-GY-37-by",'SKU明细'!$A$11:$A$1309,0)),INDEX('SKU明细'!$D$11:$D$1309,MATCH("B07-GY-38.5",'SKU明细'!$A$11:$A$1309,0)),INDEX('SKU明细'!$D$11:$D$1309,MATCH("B07-GY-39.5",'SKU明细'!$A$11:$A$1309,0)),INDEX('SKU明细'!$D$11:$D$1309,MATCH("B07-GY-40.5",'SKU明细'!$A$11:$A$1309,0)),INDEX('SKU明细'!$D$11:$D$1309,MATCH("B07-GY-41.5",'SKU明细'!$A$11:$A$1309,0)))&lt;6,"另有待核","已核"))</x:f>
        <x:v>另有待核</x:v>
      </x:c>
      <x:c r="V71" s="37" t="str">
        <x:v>停售、在售</x:v>
      </x:c>
      <x:c r="W71" s="11" t="n">
        <x:f>IF(COUNT(INDEX('SKU明细'!$BV$11:$BV$1309,MATCH("B07-GY-39-New",'SKU明细'!$A$11:$A$1309,0)),INDEX('SKU明细'!$BV$11:$BV$1309,MATCH("B07-GY-37-by",'SKU明细'!$A$11:$A$1309,0)),INDEX('SKU明细'!$BV$11:$BV$1309,MATCH("B07-GY-38.5",'SKU明细'!$A$11:$A$1309,0)),INDEX('SKU明细'!$BV$11:$BV$1309,MATCH("B07-GY-39.5",'SKU明细'!$A$11:$A$1309,0)),INDEX('SKU明细'!$BV$11:$BV$1309,MATCH("B07-GY-40.5",'SKU明细'!$A$11:$A$1309,0)),INDEX('SKU明细'!$BV$11:$BV$1309,MATCH("B07-GY-41.5",'SKU明细'!$A$11:$A$1309,0)))=6,SUM(INDEX('SKU明细'!$BV$11:$BV$1309,MATCH("B07-GY-39-New",'SKU明细'!$A$11:$A$1309,0)),INDEX('SKU明细'!$BV$11:$BV$1309,MATCH("B07-GY-37-by",'SKU明细'!$A$11:$A$1309,0)),INDEX('SKU明细'!$BV$11:$BV$1309,MATCH("B07-GY-38.5",'SKU明细'!$A$11:$A$1309,0)),INDEX('SKU明细'!$BV$11:$BV$1309,MATCH("B07-GY-39.5",'SKU明细'!$A$11:$A$1309,0)),INDEX('SKU明细'!$BV$11:$BV$1309,MATCH("B07-GY-40.5",'SKU明细'!$A$11:$A$1309,0)),INDEX('SKU明细'!$BV$11:$BV$1309,MATCH("B07-GY-41.5",'SKU明细'!$A$11:$A$1309,0))),"待核")</x:f>
        <x:v>0.13601543709405303</x:v>
      </x:c>
      <x:c r="X71" s="11" t="n">
        <x:f>INDEX('SKU明细'!$BW$11:$BW$1309,MATCH("B07-GY-39-New",'SKU明细'!$A$11:$A$1309,0))</x:f>
        <x:v>0.7307750238224848</x:v>
      </x:c>
      <x:c r="Y71" s="13" t="n">
        <x:f>IF(COUNT(INDEX('SKU明细'!$BY$11:$BY$1309,MATCH("B07-GY-39-New",'SKU明细'!$A$11:$A$1309,0)),INDEX('SKU明细'!$BY$11:$BY$1309,MATCH("B07-GY-37-by",'SKU明细'!$A$11:$A$1309,0)),INDEX('SKU明细'!$BY$11:$BY$1309,MATCH("B07-GY-38.5",'SKU明细'!$A$11:$A$1309,0)),INDEX('SKU明细'!$BY$11:$BY$1309,MATCH("B07-GY-39.5",'SKU明细'!$A$11:$A$1309,0)),INDEX('SKU明细'!$BY$11:$BY$1309,MATCH("B07-GY-40.5",'SKU明细'!$A$11:$A$1309,0)),INDEX('SKU明细'!$BY$11:$BY$1309,MATCH("B07-GY-41.5",'SKU明细'!$A$11:$A$1309,0)))=6,SUM(INDEX('SKU明细'!$BY$11:$BY$1309,MATCH("B07-GY-39-New",'SKU明细'!$A$11:$A$1309,0)),INDEX('SKU明细'!$BY$11:$BY$1309,MATCH("B07-GY-37-by",'SKU明细'!$A$11:$A$1309,0)),INDEX('SKU明细'!$BY$11:$BY$1309,MATCH("B07-GY-38.5",'SKU明细'!$A$11:$A$1309,0)),INDEX('SKU明细'!$BY$11:$BY$1309,MATCH("B07-GY-39.5",'SKU明细'!$A$11:$A$1309,0)),INDEX('SKU明细'!$BY$11:$BY$1309,MATCH("B07-GY-40.5",'SKU明细'!$A$11:$A$1309,0)),INDEX('SKU明细'!$BY$11:$BY$1309,MATCH("B07-GY-41.5",'SKU明细'!$A$11:$A$1309,0))),"待核")</x:f>
        <x:v>1.1927602113915876</x:v>
      </x:c>
      <x:c r="Z71" s="11" t="n">
        <x:f>INDEX('SKU明细'!$BZ$11:$BZ$1309,MATCH("B07-GY-39-New",'SKU明细'!$A$11:$A$1309,0))</x:f>
        <x:v>0.9523018155490097</x:v>
      </x:c>
      <x:c r="AA71" s="13" t="n">
        <x:f>IF(COUNT(INDEX('SKU明细'!$CB$11:$CB$1309,MATCH("B07-GY-39-New",'SKU明细'!$A$11:$A$1309,0)),INDEX('SKU明细'!$CB$11:$CB$1309,MATCH("B07-GY-37-by",'SKU明细'!$A$11:$A$1309,0)),INDEX('SKU明细'!$CB$11:$CB$1309,MATCH("B07-GY-38.5",'SKU明细'!$A$11:$A$1309,0)),INDEX('SKU明细'!$CB$11:$CB$1309,MATCH("B07-GY-39.5",'SKU明细'!$A$11:$A$1309,0)),INDEX('SKU明细'!$CB$11:$CB$1309,MATCH("B07-GY-40.5",'SKU明细'!$A$11:$A$1309,0)),INDEX('SKU明细'!$CB$11:$CB$1309,MATCH("B07-GY-41.5",'SKU明细'!$A$11:$A$1309,0)))=6,SUM(INDEX('SKU明细'!$CB$11:$CB$1309,MATCH("B07-GY-39-New",'SKU明细'!$A$11:$A$1309,0)),INDEX('SKU明细'!$CB$11:$CB$1309,MATCH("B07-GY-37-by",'SKU明细'!$A$11:$A$1309,0)),INDEX('SKU明细'!$CB$11:$CB$1309,MATCH("B07-GY-38.5",'SKU明细'!$A$11:$A$1309,0)),INDEX('SKU明细'!$CB$11:$CB$1309,MATCH("B07-GY-39.5",'SKU明细'!$A$11:$A$1309,0)),INDEX('SKU明细'!$CB$11:$CB$1309,MATCH("B07-GY-40.5",'SKU明细'!$A$11:$A$1309,0)),INDEX('SKU明细'!$CB$11:$CB$1309,MATCH("B07-GY-41.5",'SKU明细'!$A$11:$A$1309,0))),"待核")</x:f>
        <x:v>3.885832430620765</x:v>
      </x:c>
      <x:c r="AB71" s="11" t="n">
        <x:f>INDEX('SKU明细'!$CC$11:$CC$1309,MATCH("B07-GY-39-New",'SKU明细'!$A$11:$A$1309,0))</x:f>
        <x:v>0.5958545198749097</x:v>
      </x:c>
      <x:c r="AC71" s="13" t="n">
        <x:f>IF(COUNT(INDEX('SKU明细'!$CE$11:$CE$1309,MATCH("B07-GY-39-New",'SKU明细'!$A$11:$A$1309,0)),INDEX('SKU明细'!$CE$11:$CE$1309,MATCH("B07-GY-37-by",'SKU明细'!$A$11:$A$1309,0)),INDEX('SKU明细'!$CE$11:$CE$1309,MATCH("B07-GY-38.5",'SKU明细'!$A$11:$A$1309,0)),INDEX('SKU明细'!$CE$11:$CE$1309,MATCH("B07-GY-39.5",'SKU明细'!$A$11:$A$1309,0)),INDEX('SKU明细'!$CE$11:$CE$1309,MATCH("B07-GY-40.5",'SKU明细'!$A$11:$A$1309,0)),INDEX('SKU明细'!$CE$11:$CE$1309,MATCH("B07-GY-41.5",'SKU明细'!$A$11:$A$1309,0)))=6,SUM(INDEX('SKU明细'!$CE$11:$CE$1309,MATCH("B07-GY-39-New",'SKU明细'!$A$11:$A$1309,0)),INDEX('SKU明细'!$CE$11:$CE$1309,MATCH("B07-GY-37-by",'SKU明细'!$A$11:$A$1309,0)),INDEX('SKU明细'!$CE$11:$CE$1309,MATCH("B07-GY-38.5",'SKU明细'!$A$11:$A$1309,0)),INDEX('SKU明细'!$CE$11:$CE$1309,MATCH("B07-GY-39.5",'SKU明细'!$A$11:$A$1309,0)),INDEX('SKU明细'!$CE$11:$CE$1309,MATCH("B07-GY-40.5",'SKU明细'!$A$11:$A$1309,0)),INDEX('SKU明细'!$CE$11:$CE$1309,MATCH("B07-GY-41.5",'SKU明细'!$A$11:$A$1309,0))),"待核")</x:f>
        <x:v>2.512407801922842</x:v>
      </x:c>
      <x:c r="AD71" s="11" t="n">
        <x:f>INDEX('SKU明细'!$CF$11:$CF$1309,MATCH("B07-GY-39-New",'SKU明细'!$A$11:$A$1309,0))</x:f>
        <x:v>1.3264167397065354</x:v>
      </x:c>
      <x:c r="AE71" s="13" t="n">
        <x:f>IF(COUNT(INDEX('SKU明细'!$CH$11:$CH$1309,MATCH("B07-GY-39-New",'SKU明细'!$A$11:$A$1309,0)),INDEX('SKU明细'!$CH$11:$CH$1309,MATCH("B07-GY-37-by",'SKU明细'!$A$11:$A$1309,0)),INDEX('SKU明细'!$CH$11:$CH$1309,MATCH("B07-GY-38.5",'SKU明细'!$A$11:$A$1309,0)),INDEX('SKU明细'!$CH$11:$CH$1309,MATCH("B07-GY-39.5",'SKU明细'!$A$11:$A$1309,0)),INDEX('SKU明细'!$CH$11:$CH$1309,MATCH("B07-GY-40.5",'SKU明细'!$A$11:$A$1309,0)),INDEX('SKU明细'!$CH$11:$CH$1309,MATCH("B07-GY-41.5",'SKU明细'!$A$11:$A$1309,0)))=6,SUM(INDEX('SKU明细'!$CH$11:$CH$1309,MATCH("B07-GY-39-New",'SKU明细'!$A$11:$A$1309,0)),INDEX('SKU明细'!$CH$11:$CH$1309,MATCH("B07-GY-37-by",'SKU明细'!$A$11:$A$1309,0)),INDEX('SKU明细'!$CH$11:$CH$1309,MATCH("B07-GY-38.5",'SKU明细'!$A$11:$A$1309,0)),INDEX('SKU明细'!$CH$11:$CH$1309,MATCH("B07-GY-39.5",'SKU明细'!$A$11:$A$1309,0)),INDEX('SKU明细'!$CH$11:$CH$1309,MATCH("B07-GY-40.5",'SKU明细'!$A$11:$A$1309,0)),INDEX('SKU明细'!$CH$11:$CH$1309,MATCH("B07-GY-41.5",'SKU明细'!$A$11:$A$1309,0))),"待核")</x:f>
        <x:v>3.0670235945409043</x:v>
      </x:c>
      <x:c r="AF71" s="13" t="n">
        <x:f>IF(COUNT(INDEX('SKU明细'!$CI$11:$CI$1309,MATCH("B07-GY-39-New",'SKU明细'!$A$11:$A$1309,0)),INDEX('SKU明细'!$CI$11:$CI$1309,MATCH("B07-GY-37-by",'SKU明细'!$A$11:$A$1309,0)),INDEX('SKU明细'!$CI$11:$CI$1309,MATCH("B07-GY-38.5",'SKU明细'!$A$11:$A$1309,0)),INDEX('SKU明细'!$CI$11:$CI$1309,MATCH("B07-GY-39.5",'SKU明细'!$A$11:$A$1309,0)),INDEX('SKU明细'!$CI$11:$CI$1309,MATCH("B07-GY-40.5",'SKU明细'!$A$11:$A$1309,0)),INDEX('SKU明细'!$CI$11:$CI$1309,MATCH("B07-GY-41.5",'SKU明细'!$A$11:$A$1309,0)))=6,SUM(INDEX('SKU明细'!$CI$11:$CI$1309,MATCH("B07-GY-39-New",'SKU明细'!$A$11:$A$1309,0)),INDEX('SKU明细'!$CI$11:$CI$1309,MATCH("B07-GY-37-by",'SKU明细'!$A$11:$A$1309,0)),INDEX('SKU明细'!$CI$11:$CI$1309,MATCH("B07-GY-38.5",'SKU明细'!$A$11:$A$1309,0)),INDEX('SKU明细'!$CI$11:$CI$1309,MATCH("B07-GY-39.5",'SKU明细'!$A$11:$A$1309,0)),INDEX('SKU明细'!$CI$11:$CI$1309,MATCH("B07-GY-40.5",'SKU明细'!$A$11:$A$1309,0)),INDEX('SKU明细'!$CI$11:$CI$1309,MATCH("B07-GY-41.5",'SKU明细'!$A$11:$A$1309,0))),"待核")</x:f>
        <x:v>10.6580240384761</x:v>
      </x:c>
    </x:row>
    <x:row r="72" ht="40" customHeight="1">
      <x:c r="A72" s="37" t="str">
        <x:v>B07</x:v>
      </x:c>
      <x:c r="B72" s="37" t="str">
        <x:v>艾年</x:v>
      </x:c>
      <x:c r="C72" s="37" t="str">
        <x:v>米白色PU</x:v>
      </x:c>
      <x:c r="D72" s="37" t="str">
        <x:v>IV-P</x:v>
      </x:c>
      <x:c r="E72" s="37" t="str">
        <x:v>B07-IV-P</x:v>
      </x:c>
      <x:c r="F72" s="37"/>
      <x:c r="G72" s="38" t="str">
        <x:f>"—"</x:f>
        <x:v>—</x:v>
      </x:c>
      <x:c r="H72" s="38" t="n">
        <x:f>IF(COUNT(INDEX('SKU明细'!$D$11:$D$1309,MATCH("B07-IV-P-37",'SKU明细'!$A$11:$A$1309,0)))=0,"待核",IF(COUNT(INDEX('SKU明细'!$D$11:$D$1309,MATCH("B07-IV-P-37",'SKU明细'!$A$11:$A$1309,0)))&lt;1,SUM(INDEX('SKU明细'!$D$11:$D$1309,MATCH("B07-IV-P-37",'SKU明细'!$A$11:$A$1309,0)))&amp;" + 待核",SUM(INDEX('SKU明细'!$D$11:$D$1309,MATCH("B07-IV-P-37",'SKU明细'!$A$11:$A$1309,0)))))</x:f>
        <x:v>0</x:v>
      </x:c>
      <x:c r="I72" s="38" t="n">
        <x:f>IF(COUNT(INDEX('SKU明细'!$D$11:$D$1309,MATCH("B07-IV-P-37.5",'SKU明细'!$A$11:$A$1309,0)))=0,"待核",IF(COUNT(INDEX('SKU明细'!$D$11:$D$1309,MATCH("B07-IV-P-37.5",'SKU明细'!$A$11:$A$1309,0)))&lt;1,SUM(INDEX('SKU明细'!$D$11:$D$1309,MATCH("B07-IV-P-37.5",'SKU明细'!$A$11:$A$1309,0)))&amp;" + 待核",SUM(INDEX('SKU明细'!$D$11:$D$1309,MATCH("B07-IV-P-37.5",'SKU明细'!$A$11:$A$1309,0)))))</x:f>
        <x:v>0</x:v>
      </x:c>
      <x:c r="J72" s="38" t="n">
        <x:f>IF(COUNT(INDEX('SKU明细'!$D$11:$D$1309,MATCH("B07-IV-P-38",'SKU明细'!$A$11:$A$1309,0)))=0,"待核",IF(COUNT(INDEX('SKU明细'!$D$11:$D$1309,MATCH("B07-IV-P-38",'SKU明细'!$A$11:$A$1309,0)))&lt;1,SUM(INDEX('SKU明细'!$D$11:$D$1309,MATCH("B07-IV-P-38",'SKU明细'!$A$11:$A$1309,0)))&amp;" + 待核",SUM(INDEX('SKU明细'!$D$11:$D$1309,MATCH("B07-IV-P-38",'SKU明细'!$A$11:$A$1309,0)))))</x:f>
        <x:v>0</x:v>
      </x:c>
      <x:c r="K72" s="38" t="str">
        <x:f>"—"</x:f>
        <x:v>—</x:v>
      </x:c>
      <x:c r="L72" s="38" t="n">
        <x:f>IF(COUNT(INDEX('SKU明细'!$D$11:$D$1309,MATCH("B07-IV-P-39",'SKU明细'!$A$11:$A$1309,0)))=0,"待核",IF(COUNT(INDEX('SKU明细'!$D$11:$D$1309,MATCH("B07-IV-P-39",'SKU明细'!$A$11:$A$1309,0)))&lt;1,SUM(INDEX('SKU明细'!$D$11:$D$1309,MATCH("B07-IV-P-39",'SKU明细'!$A$11:$A$1309,0)))&amp;" + 待核",SUM(INDEX('SKU明细'!$D$11:$D$1309,MATCH("B07-IV-P-39",'SKU明细'!$A$11:$A$1309,0)))))</x:f>
        <x:v>0</x:v>
      </x:c>
      <x:c r="M72" s="38" t="n">
        <x:f>IF(COUNT(INDEX('SKU明细'!$D$11:$D$1309,MATCH("B07-IV-P-39.5",'SKU明细'!$A$11:$A$1309,0)))=0,"待核",IF(COUNT(INDEX('SKU明细'!$D$11:$D$1309,MATCH("B07-IV-P-39.5",'SKU明细'!$A$11:$A$1309,0)))&lt;1,SUM(INDEX('SKU明细'!$D$11:$D$1309,MATCH("B07-IV-P-39.5",'SKU明细'!$A$11:$A$1309,0)))&amp;" + 待核",SUM(INDEX('SKU明细'!$D$11:$D$1309,MATCH("B07-IV-P-39.5",'SKU明细'!$A$11:$A$1309,0)))))</x:f>
        <x:v>0</x:v>
      </x:c>
      <x:c r="N72" s="38" t="n">
        <x:f>IF(COUNT(INDEX('SKU明细'!$D$11:$D$1309,MATCH("B07-IV-P-40",'SKU明细'!$A$11:$A$1309,0)))=0,"待核",IF(COUNT(INDEX('SKU明细'!$D$11:$D$1309,MATCH("B07-IV-P-40",'SKU明细'!$A$11:$A$1309,0)))&lt;1,SUM(INDEX('SKU明细'!$D$11:$D$1309,MATCH("B07-IV-P-40",'SKU明细'!$A$11:$A$1309,0)))&amp;" + 待核",SUM(INDEX('SKU明细'!$D$11:$D$1309,MATCH("B07-IV-P-40",'SKU明细'!$A$11:$A$1309,0)))))</x:f>
        <x:v>3</x:v>
      </x:c>
      <x:c r="O72" s="38" t="n">
        <x:f>IF(COUNT(INDEX('SKU明细'!$D$11:$D$1309,MATCH("B07-IV-P-40.5",'SKU明细'!$A$11:$A$1309,0)))=0,"待核",IF(COUNT(INDEX('SKU明细'!$D$11:$D$1309,MATCH("B07-IV-P-40.5",'SKU明细'!$A$11:$A$1309,0)))&lt;1,SUM(INDEX('SKU明细'!$D$11:$D$1309,MATCH("B07-IV-P-40.5",'SKU明细'!$A$11:$A$1309,0)))&amp;" + 待核",SUM(INDEX('SKU明细'!$D$11:$D$1309,MATCH("B07-IV-P-40.5",'SKU明细'!$A$11:$A$1309,0)))))</x:f>
        <x:v>0</x:v>
      </x:c>
      <x:c r="P72" s="38" t="n">
        <x:f>IF(COUNT(INDEX('SKU明细'!$D$11:$D$1309,MATCH("B07-IV-P-41",'SKU明细'!$A$11:$A$1309,0)))=0,"待核",IF(COUNT(INDEX('SKU明细'!$D$11:$D$1309,MATCH("B07-IV-P-41",'SKU明细'!$A$11:$A$1309,0)))&lt;1,SUM(INDEX('SKU明细'!$D$11:$D$1309,MATCH("B07-IV-P-41",'SKU明细'!$A$11:$A$1309,0)))&amp;" + 待核",SUM(INDEX('SKU明细'!$D$11:$D$1309,MATCH("B07-IV-P-41",'SKU明细'!$A$11:$A$1309,0)))))</x:f>
        <x:v>1</x:v>
      </x:c>
      <x:c r="Q72" s="38" t="n">
        <x:f>IF(COUNT(INDEX('SKU明细'!$D$11:$D$1309,MATCH("B07-IV-P-41.5",'SKU明细'!$A$11:$A$1309,0)))=0,"待核",IF(COUNT(INDEX('SKU明细'!$D$11:$D$1309,MATCH("B07-IV-P-41.5",'SKU明细'!$A$11:$A$1309,0)))&lt;1,SUM(INDEX('SKU明细'!$D$11:$D$1309,MATCH("B07-IV-P-41.5",'SKU明细'!$A$11:$A$1309,0)))&amp;" + 待核",SUM(INDEX('SKU明细'!$D$11:$D$1309,MATCH("B07-IV-P-41.5",'SKU明细'!$A$11:$A$1309,0)))))</x:f>
        <x:v>0</x:v>
      </x:c>
      <x:c r="R72" s="38" t="n">
        <x:f>IF(COUNT(INDEX('SKU明细'!$D$11:$D$1309,MATCH("B07-IV-P-42",'SKU明细'!$A$11:$A$1309,0)))=0,"待核",IF(COUNT(INDEX('SKU明细'!$D$11:$D$1309,MATCH("B07-IV-P-42",'SKU明细'!$A$11:$A$1309,0)))&lt;1,SUM(INDEX('SKU明细'!$D$11:$D$1309,MATCH("B07-IV-P-42",'SKU明细'!$A$11:$A$1309,0)))&amp;" + 待核",SUM(INDEX('SKU明细'!$D$11:$D$1309,MATCH("B07-IV-P-42",'SKU明细'!$A$11:$A$1309,0)))))</x:f>
        <x:v>0</x:v>
      </x:c>
      <x:c r="S72" s="38" t="n">
        <x:f>IF(COUNT(INDEX('SKU明细'!$D$11:$D$1309,MATCH("B07-IV-P-37",'SKU明细'!$A$11:$A$1309,0)),INDEX('SKU明细'!$D$11:$D$1309,MATCH("B07-IV-P-37.5",'SKU明细'!$A$11:$A$1309,0)),INDEX('SKU明细'!$D$11:$D$1309,MATCH("B07-IV-P-38",'SKU明细'!$A$11:$A$1309,0)),INDEX('SKU明细'!$D$11:$D$1309,MATCH("B07-IV-P-39",'SKU明细'!$A$11:$A$1309,0)),INDEX('SKU明细'!$D$11:$D$1309,MATCH("B07-IV-P-39.5",'SKU明细'!$A$11:$A$1309,0)),INDEX('SKU明细'!$D$11:$D$1309,MATCH("B07-IV-P-40",'SKU明细'!$A$11:$A$1309,0)),INDEX('SKU明细'!$D$11:$D$1309,MATCH("B07-IV-P-40.5",'SKU明细'!$A$11:$A$1309,0)),INDEX('SKU明细'!$D$11:$D$1309,MATCH("B07-IV-P-41",'SKU明细'!$A$11:$A$1309,0)),INDEX('SKU明细'!$D$11:$D$1309,MATCH("B07-IV-P-41.5",'SKU明细'!$A$11:$A$1309,0)),INDEX('SKU明细'!$D$11:$D$1309,MATCH("B07-IV-P-42",'SKU明细'!$A$11:$A$1309,0)))=0,"待核",SUM(INDEX('SKU明细'!$D$11:$D$1309,MATCH("B07-IV-P-37",'SKU明细'!$A$11:$A$1309,0)),INDEX('SKU明细'!$D$11:$D$1309,MATCH("B07-IV-P-37.5",'SKU明细'!$A$11:$A$1309,0)),INDEX('SKU明细'!$D$11:$D$1309,MATCH("B07-IV-P-38",'SKU明细'!$A$11:$A$1309,0)),INDEX('SKU明细'!$D$11:$D$1309,MATCH("B07-IV-P-39",'SKU明细'!$A$11:$A$1309,0)),INDEX('SKU明细'!$D$11:$D$1309,MATCH("B07-IV-P-39.5",'SKU明细'!$A$11:$A$1309,0)),INDEX('SKU明细'!$D$11:$D$1309,MATCH("B07-IV-P-40",'SKU明细'!$A$11:$A$1309,0)),INDEX('SKU明细'!$D$11:$D$1309,MATCH("B07-IV-P-40.5",'SKU明细'!$A$11:$A$1309,0)),INDEX('SKU明细'!$D$11:$D$1309,MATCH("B07-IV-P-41",'SKU明细'!$A$11:$A$1309,0)),INDEX('SKU明细'!$D$11:$D$1309,MATCH("B07-IV-P-41.5",'SKU明细'!$A$11:$A$1309,0)),INDEX('SKU明细'!$D$11:$D$1309,MATCH("B07-IV-P-42",'SKU明细'!$A$11:$A$1309,0))))</x:f>
        <x:v>4</x:v>
      </x:c>
      <x:c r="T72" s="38" t="n">
        <x:f>IF(COUNTIFS($A$9:$A$191,A72,$U$9:$U$191,"&lt;&gt;待核")=0,"待核",SUMIF($A$9:$A$191,A72,$S$9:$S$191))</x:f>
        <x:v>364</x:v>
      </x:c>
      <x:c r="U72" s="37" t="str">
        <x:f>IF(COUNT(INDEX('SKU明细'!$D$11:$D$1309,MATCH("B07-IV-P-37",'SKU明细'!$A$11:$A$1309,0)),INDEX('SKU明细'!$D$11:$D$1309,MATCH("B07-IV-P-37.5",'SKU明细'!$A$11:$A$1309,0)),INDEX('SKU明细'!$D$11:$D$1309,MATCH("B07-IV-P-38",'SKU明细'!$A$11:$A$1309,0)),INDEX('SKU明细'!$D$11:$D$1309,MATCH("B07-IV-P-39",'SKU明细'!$A$11:$A$1309,0)),INDEX('SKU明细'!$D$11:$D$1309,MATCH("B07-IV-P-39.5",'SKU明细'!$A$11:$A$1309,0)),INDEX('SKU明细'!$D$11:$D$1309,MATCH("B07-IV-P-40",'SKU明细'!$A$11:$A$1309,0)),INDEX('SKU明细'!$D$11:$D$1309,MATCH("B07-IV-P-40.5",'SKU明细'!$A$11:$A$1309,0)),INDEX('SKU明细'!$D$11:$D$1309,MATCH("B07-IV-P-41",'SKU明细'!$A$11:$A$1309,0)),INDEX('SKU明细'!$D$11:$D$1309,MATCH("B07-IV-P-41.5",'SKU明细'!$A$11:$A$1309,0)),INDEX('SKU明细'!$D$11:$D$1309,MATCH("B07-IV-P-42",'SKU明细'!$A$11:$A$1309,0)))=0,"待核",IF(COUNT(INDEX('SKU明细'!$D$11:$D$1309,MATCH("B07-IV-P-37",'SKU明细'!$A$11:$A$1309,0)),INDEX('SKU明细'!$D$11:$D$1309,MATCH("B07-IV-P-37.5",'SKU明细'!$A$11:$A$1309,0)),INDEX('SKU明细'!$D$11:$D$1309,MATCH("B07-IV-P-38",'SKU明细'!$A$11:$A$1309,0)),INDEX('SKU明细'!$D$11:$D$1309,MATCH("B07-IV-P-39",'SKU明细'!$A$11:$A$1309,0)),INDEX('SKU明细'!$D$11:$D$1309,MATCH("B07-IV-P-39.5",'SKU明细'!$A$11:$A$1309,0)),INDEX('SKU明细'!$D$11:$D$1309,MATCH("B07-IV-P-40",'SKU明细'!$A$11:$A$1309,0)),INDEX('SKU明细'!$D$11:$D$1309,MATCH("B07-IV-P-40.5",'SKU明细'!$A$11:$A$1309,0)),INDEX('SKU明细'!$D$11:$D$1309,MATCH("B07-IV-P-41",'SKU明细'!$A$11:$A$1309,0)),INDEX('SKU明细'!$D$11:$D$1309,MATCH("B07-IV-P-41.5",'SKU明细'!$A$11:$A$1309,0)),INDEX('SKU明细'!$D$11:$D$1309,MATCH("B07-IV-P-42",'SKU明细'!$A$11:$A$1309,0)))&lt;10,"另有待核","已核"))</x:f>
        <x:v>已核</x:v>
      </x:c>
      <x:c r="V72" s="37" t="str">
        <x:v>在售、停售</x:v>
      </x:c>
      <x:c r="W72" s="11" t="n">
        <x:f>IF(COUNT(INDEX('SKU明细'!$BV$11:$BV$1309,MATCH("B07-IV-P-37",'SKU明细'!$A$11:$A$1309,0)),INDEX('SKU明细'!$BV$11:$BV$1309,MATCH("B07-IV-P-37.5",'SKU明细'!$A$11:$A$1309,0)),INDEX('SKU明细'!$BV$11:$BV$1309,MATCH("B07-IV-P-38",'SKU明细'!$A$11:$A$1309,0)),INDEX('SKU明细'!$BV$11:$BV$1309,MATCH("B07-IV-P-39",'SKU明细'!$A$11:$A$1309,0)),INDEX('SKU明细'!$BV$11:$BV$1309,MATCH("B07-IV-P-39.5",'SKU明细'!$A$11:$A$1309,0)),INDEX('SKU明细'!$BV$11:$BV$1309,MATCH("B07-IV-P-40",'SKU明细'!$A$11:$A$1309,0)),INDEX('SKU明细'!$BV$11:$BV$1309,MATCH("B07-IV-P-40.5",'SKU明细'!$A$11:$A$1309,0)),INDEX('SKU明细'!$BV$11:$BV$1309,MATCH("B07-IV-P-41",'SKU明细'!$A$11:$A$1309,0)),INDEX('SKU明细'!$BV$11:$BV$1309,MATCH("B07-IV-P-41.5",'SKU明细'!$A$11:$A$1309,0)),INDEX('SKU明细'!$BV$11:$BV$1309,MATCH("B07-IV-P-42",'SKU明细'!$A$11:$A$1309,0)))=10,SUM(INDEX('SKU明细'!$BV$11:$BV$1309,MATCH("B07-IV-P-37",'SKU明细'!$A$11:$A$1309,0)),INDEX('SKU明细'!$BV$11:$BV$1309,MATCH("B07-IV-P-37.5",'SKU明细'!$A$11:$A$1309,0)),INDEX('SKU明细'!$BV$11:$BV$1309,MATCH("B07-IV-P-38",'SKU明细'!$A$11:$A$1309,0)),INDEX('SKU明细'!$BV$11:$BV$1309,MATCH("B07-IV-P-39",'SKU明细'!$A$11:$A$1309,0)),INDEX('SKU明细'!$BV$11:$BV$1309,MATCH("B07-IV-P-39.5",'SKU明细'!$A$11:$A$1309,0)),INDEX('SKU明细'!$BV$11:$BV$1309,MATCH("B07-IV-P-40",'SKU明细'!$A$11:$A$1309,0)),INDEX('SKU明细'!$BV$11:$BV$1309,MATCH("B07-IV-P-40.5",'SKU明细'!$A$11:$A$1309,0)),INDEX('SKU明细'!$BV$11:$BV$1309,MATCH("B07-IV-P-41",'SKU明细'!$A$11:$A$1309,0)),INDEX('SKU明细'!$BV$11:$BV$1309,MATCH("B07-IV-P-41.5",'SKU明细'!$A$11:$A$1309,0)),INDEX('SKU明细'!$BV$11:$BV$1309,MATCH("B07-IV-P-42",'SKU明细'!$A$11:$A$1309,0))),"待核")</x:f>
        <x:v>0.313323126299849</x:v>
      </x:c>
      <x:c r="X72" s="11" t="n">
        <x:f>INDEX('SKU明细'!$BW$11:$BW$1309,MATCH("B07-IV-P-37",'SKU明细'!$A$11:$A$1309,0))</x:f>
        <x:v>0.7307750238224848</x:v>
      </x:c>
      <x:c r="Y72" s="13" t="n">
        <x:f>IF(COUNT(INDEX('SKU明细'!$BY$11:$BY$1309,MATCH("B07-IV-P-37",'SKU明细'!$A$11:$A$1309,0)),INDEX('SKU明细'!$BY$11:$BY$1309,MATCH("B07-IV-P-37.5",'SKU明细'!$A$11:$A$1309,0)),INDEX('SKU明细'!$BY$11:$BY$1309,MATCH("B07-IV-P-38",'SKU明细'!$A$11:$A$1309,0)),INDEX('SKU明细'!$BY$11:$BY$1309,MATCH("B07-IV-P-39",'SKU明细'!$A$11:$A$1309,0)),INDEX('SKU明细'!$BY$11:$BY$1309,MATCH("B07-IV-P-39.5",'SKU明细'!$A$11:$A$1309,0)),INDEX('SKU明细'!$BY$11:$BY$1309,MATCH("B07-IV-P-40",'SKU明细'!$A$11:$A$1309,0)),INDEX('SKU明细'!$BY$11:$BY$1309,MATCH("B07-IV-P-40.5",'SKU明细'!$A$11:$A$1309,0)),INDEX('SKU明细'!$BY$11:$BY$1309,MATCH("B07-IV-P-41",'SKU明细'!$A$11:$A$1309,0)),INDEX('SKU明细'!$BY$11:$BY$1309,MATCH("B07-IV-P-41.5",'SKU明细'!$A$11:$A$1309,0)),INDEX('SKU明细'!$BY$11:$BY$1309,MATCH("B07-IV-P-42",'SKU明细'!$A$11:$A$1309,0)))=10,SUM(INDEX('SKU明细'!$BY$11:$BY$1309,MATCH("B07-IV-P-37",'SKU明细'!$A$11:$A$1309,0)),INDEX('SKU明细'!$BY$11:$BY$1309,MATCH("B07-IV-P-37.5",'SKU明细'!$A$11:$A$1309,0)),INDEX('SKU明细'!$BY$11:$BY$1309,MATCH("B07-IV-P-38",'SKU明细'!$A$11:$A$1309,0)),INDEX('SKU明细'!$BY$11:$BY$1309,MATCH("B07-IV-P-39",'SKU明细'!$A$11:$A$1309,0)),INDEX('SKU明细'!$BY$11:$BY$1309,MATCH("B07-IV-P-39.5",'SKU明细'!$A$11:$A$1309,0)),INDEX('SKU明细'!$BY$11:$BY$1309,MATCH("B07-IV-P-40",'SKU明细'!$A$11:$A$1309,0)),INDEX('SKU明细'!$BY$11:$BY$1309,MATCH("B07-IV-P-40.5",'SKU明细'!$A$11:$A$1309,0)),INDEX('SKU明细'!$BY$11:$BY$1309,MATCH("B07-IV-P-41",'SKU明细'!$A$11:$A$1309,0)),INDEX('SKU明细'!$BY$11:$BY$1309,MATCH("B07-IV-P-41.5",'SKU明细'!$A$11:$A$1309,0)),INDEX('SKU明细'!$BY$11:$BY$1309,MATCH("B07-IV-P-42",'SKU明细'!$A$11:$A$1309,0))),"待核")</x:f>
        <x:v>2.747624581030891</x:v>
      </x:c>
      <x:c r="Z72" s="11" t="n">
        <x:f>INDEX('SKU明细'!$BZ$11:$BZ$1309,MATCH("B07-IV-P-37",'SKU明细'!$A$11:$A$1309,0))</x:f>
        <x:v>0.9523018155490097</x:v>
      </x:c>
      <x:c r="AA72" s="13" t="n">
        <x:f>IF(COUNT(INDEX('SKU明细'!$CB$11:$CB$1309,MATCH("B07-IV-P-37",'SKU明细'!$A$11:$A$1309,0)),INDEX('SKU明细'!$CB$11:$CB$1309,MATCH("B07-IV-P-37.5",'SKU明细'!$A$11:$A$1309,0)),INDEX('SKU明细'!$CB$11:$CB$1309,MATCH("B07-IV-P-38",'SKU明细'!$A$11:$A$1309,0)),INDEX('SKU明细'!$CB$11:$CB$1309,MATCH("B07-IV-P-39",'SKU明细'!$A$11:$A$1309,0)),INDEX('SKU明细'!$CB$11:$CB$1309,MATCH("B07-IV-P-39.5",'SKU明细'!$A$11:$A$1309,0)),INDEX('SKU明细'!$CB$11:$CB$1309,MATCH("B07-IV-P-40",'SKU明细'!$A$11:$A$1309,0)),INDEX('SKU明细'!$CB$11:$CB$1309,MATCH("B07-IV-P-40.5",'SKU明细'!$A$11:$A$1309,0)),INDEX('SKU明细'!$CB$11:$CB$1309,MATCH("B07-IV-P-41",'SKU明细'!$A$11:$A$1309,0)),INDEX('SKU明细'!$CB$11:$CB$1309,MATCH("B07-IV-P-41.5",'SKU明细'!$A$11:$A$1309,0)),INDEX('SKU明细'!$CB$11:$CB$1309,MATCH("B07-IV-P-42",'SKU明细'!$A$11:$A$1309,0)))=10,SUM(INDEX('SKU明细'!$CB$11:$CB$1309,MATCH("B07-IV-P-37",'SKU明细'!$A$11:$A$1309,0)),INDEX('SKU明细'!$CB$11:$CB$1309,MATCH("B07-IV-P-37.5",'SKU明细'!$A$11:$A$1309,0)),INDEX('SKU明细'!$CB$11:$CB$1309,MATCH("B07-IV-P-38",'SKU明细'!$A$11:$A$1309,0)),INDEX('SKU明细'!$CB$11:$CB$1309,MATCH("B07-IV-P-39",'SKU明细'!$A$11:$A$1309,0)),INDEX('SKU明细'!$CB$11:$CB$1309,MATCH("B07-IV-P-39.5",'SKU明细'!$A$11:$A$1309,0)),INDEX('SKU明细'!$CB$11:$CB$1309,MATCH("B07-IV-P-40",'SKU明细'!$A$11:$A$1309,0)),INDEX('SKU明细'!$CB$11:$CB$1309,MATCH("B07-IV-P-40.5",'SKU明细'!$A$11:$A$1309,0)),INDEX('SKU明细'!$CB$11:$CB$1309,MATCH("B07-IV-P-41",'SKU明细'!$A$11:$A$1309,0)),INDEX('SKU明细'!$CB$11:$CB$1309,MATCH("B07-IV-P-41.5",'SKU明细'!$A$11:$A$1309,0)),INDEX('SKU明细'!$CB$11:$CB$1309,MATCH("B07-IV-P-42",'SKU明细'!$A$11:$A$1309,0))),"待核")</x:f>
        <x:v>8.951345460865134</x:v>
      </x:c>
      <x:c r="AB72" s="11" t="n">
        <x:f>INDEX('SKU明细'!$CC$11:$CC$1309,MATCH("B07-IV-P-37",'SKU明细'!$A$11:$A$1309,0))</x:f>
        <x:v>0.5958545198749097</x:v>
      </x:c>
      <x:c r="AC72" s="13" t="n">
        <x:f>IF(COUNT(INDEX('SKU明细'!$CE$11:$CE$1309,MATCH("B07-IV-P-37",'SKU明细'!$A$11:$A$1309,0)),INDEX('SKU明细'!$CE$11:$CE$1309,MATCH("B07-IV-P-37.5",'SKU明细'!$A$11:$A$1309,0)),INDEX('SKU明细'!$CE$11:$CE$1309,MATCH("B07-IV-P-38",'SKU明细'!$A$11:$A$1309,0)),INDEX('SKU明细'!$CE$11:$CE$1309,MATCH("B07-IV-P-39",'SKU明细'!$A$11:$A$1309,0)),INDEX('SKU明细'!$CE$11:$CE$1309,MATCH("B07-IV-P-39.5",'SKU明细'!$A$11:$A$1309,0)),INDEX('SKU明细'!$CE$11:$CE$1309,MATCH("B07-IV-P-40",'SKU明细'!$A$11:$A$1309,0)),INDEX('SKU明细'!$CE$11:$CE$1309,MATCH("B07-IV-P-40.5",'SKU明细'!$A$11:$A$1309,0)),INDEX('SKU明细'!$CE$11:$CE$1309,MATCH("B07-IV-P-41",'SKU明细'!$A$11:$A$1309,0)),INDEX('SKU明细'!$CE$11:$CE$1309,MATCH("B07-IV-P-41.5",'SKU明细'!$A$11:$A$1309,0)),INDEX('SKU明细'!$CE$11:$CE$1309,MATCH("B07-IV-P-42",'SKU明细'!$A$11:$A$1309,0)))=10,SUM(INDEX('SKU明细'!$CE$11:$CE$1309,MATCH("B07-IV-P-37",'SKU明细'!$A$11:$A$1309,0)),INDEX('SKU明细'!$CE$11:$CE$1309,MATCH("B07-IV-P-37.5",'SKU明细'!$A$11:$A$1309,0)),INDEX('SKU明细'!$CE$11:$CE$1309,MATCH("B07-IV-P-38",'SKU明细'!$A$11:$A$1309,0)),INDEX('SKU明细'!$CE$11:$CE$1309,MATCH("B07-IV-P-39",'SKU明细'!$A$11:$A$1309,0)),INDEX('SKU明细'!$CE$11:$CE$1309,MATCH("B07-IV-P-39.5",'SKU明细'!$A$11:$A$1309,0)),INDEX('SKU明细'!$CE$11:$CE$1309,MATCH("B07-IV-P-40",'SKU明细'!$A$11:$A$1309,0)),INDEX('SKU明细'!$CE$11:$CE$1309,MATCH("B07-IV-P-40.5",'SKU明细'!$A$11:$A$1309,0)),INDEX('SKU明细'!$CE$11:$CE$1309,MATCH("B07-IV-P-41",'SKU明细'!$A$11:$A$1309,0)),INDEX('SKU明细'!$CE$11:$CE$1309,MATCH("B07-IV-P-41.5",'SKU明细'!$A$11:$A$1309,0)),INDEX('SKU明细'!$CE$11:$CE$1309,MATCH("B07-IV-P-42",'SKU明细'!$A$11:$A$1309,0))),"待核")</x:f>
        <x:v>5.787545030600168</x:v>
      </x:c>
      <x:c r="AD72" s="11" t="n">
        <x:f>INDEX('SKU明细'!$CF$11:$CF$1309,MATCH("B07-IV-P-37",'SKU明细'!$A$11:$A$1309,0))</x:f>
        <x:v>1.3264167397065354</x:v>
      </x:c>
      <x:c r="AE72" s="13" t="n">
        <x:f>IF(COUNT(INDEX('SKU明细'!$CH$11:$CH$1309,MATCH("B07-IV-P-37",'SKU明细'!$A$11:$A$1309,0)),INDEX('SKU明细'!$CH$11:$CH$1309,MATCH("B07-IV-P-37.5",'SKU明细'!$A$11:$A$1309,0)),INDEX('SKU明细'!$CH$11:$CH$1309,MATCH("B07-IV-P-38",'SKU明细'!$A$11:$A$1309,0)),INDEX('SKU明细'!$CH$11:$CH$1309,MATCH("B07-IV-P-39",'SKU明细'!$A$11:$A$1309,0)),INDEX('SKU明细'!$CH$11:$CH$1309,MATCH("B07-IV-P-39.5",'SKU明细'!$A$11:$A$1309,0)),INDEX('SKU明细'!$CH$11:$CH$1309,MATCH("B07-IV-P-40",'SKU明细'!$A$11:$A$1309,0)),INDEX('SKU明细'!$CH$11:$CH$1309,MATCH("B07-IV-P-40.5",'SKU明细'!$A$11:$A$1309,0)),INDEX('SKU明细'!$CH$11:$CH$1309,MATCH("B07-IV-P-41",'SKU明细'!$A$11:$A$1309,0)),INDEX('SKU明细'!$CH$11:$CH$1309,MATCH("B07-IV-P-41.5",'SKU明细'!$A$11:$A$1309,0)),INDEX('SKU明细'!$CH$11:$CH$1309,MATCH("B07-IV-P-42",'SKU明细'!$A$11:$A$1309,0)))=10,SUM(INDEX('SKU明细'!$CH$11:$CH$1309,MATCH("B07-IV-P-37",'SKU明细'!$A$11:$A$1309,0)),INDEX('SKU明细'!$CH$11:$CH$1309,MATCH("B07-IV-P-37.5",'SKU明细'!$A$11:$A$1309,0)),INDEX('SKU明细'!$CH$11:$CH$1309,MATCH("B07-IV-P-38",'SKU明细'!$A$11:$A$1309,0)),INDEX('SKU明细'!$CH$11:$CH$1309,MATCH("B07-IV-P-39",'SKU明细'!$A$11:$A$1309,0)),INDEX('SKU明细'!$CH$11:$CH$1309,MATCH("B07-IV-P-39.5",'SKU明细'!$A$11:$A$1309,0)),INDEX('SKU明细'!$CH$11:$CH$1309,MATCH("B07-IV-P-40",'SKU明细'!$A$11:$A$1309,0)),INDEX('SKU明细'!$CH$11:$CH$1309,MATCH("B07-IV-P-40.5",'SKU明细'!$A$11:$A$1309,0)),INDEX('SKU明细'!$CH$11:$CH$1309,MATCH("B07-IV-P-41",'SKU明细'!$A$11:$A$1309,0)),INDEX('SKU明细'!$CH$11:$CH$1309,MATCH("B07-IV-P-41.5",'SKU明细'!$A$11:$A$1309,0)),INDEX('SKU明细'!$CH$11:$CH$1309,MATCH("B07-IV-P-42",'SKU明细'!$A$11:$A$1309,0))),"待核")</x:f>
        <x:v>7.065149674242181</x:v>
      </x:c>
      <x:c r="AF72" s="13" t="n">
        <x:f>IF(COUNT(INDEX('SKU明细'!$CI$11:$CI$1309,MATCH("B07-IV-P-37",'SKU明细'!$A$11:$A$1309,0)),INDEX('SKU明细'!$CI$11:$CI$1309,MATCH("B07-IV-P-37.5",'SKU明细'!$A$11:$A$1309,0)),INDEX('SKU明细'!$CI$11:$CI$1309,MATCH("B07-IV-P-38",'SKU明细'!$A$11:$A$1309,0)),INDEX('SKU明细'!$CI$11:$CI$1309,MATCH("B07-IV-P-39",'SKU明细'!$A$11:$A$1309,0)),INDEX('SKU明细'!$CI$11:$CI$1309,MATCH("B07-IV-P-39.5",'SKU明细'!$A$11:$A$1309,0)),INDEX('SKU明细'!$CI$11:$CI$1309,MATCH("B07-IV-P-40",'SKU明细'!$A$11:$A$1309,0)),INDEX('SKU明细'!$CI$11:$CI$1309,MATCH("B07-IV-P-40.5",'SKU明细'!$A$11:$A$1309,0)),INDEX('SKU明细'!$CI$11:$CI$1309,MATCH("B07-IV-P-41",'SKU明细'!$A$11:$A$1309,0)),INDEX('SKU明细'!$CI$11:$CI$1309,MATCH("B07-IV-P-41.5",'SKU明细'!$A$11:$A$1309,0)),INDEX('SKU明细'!$CI$11:$CI$1309,MATCH("B07-IV-P-42",'SKU明细'!$A$11:$A$1309,0)))=10,SUM(INDEX('SKU明细'!$CI$11:$CI$1309,MATCH("B07-IV-P-37",'SKU明细'!$A$11:$A$1309,0)),INDEX('SKU明细'!$CI$11:$CI$1309,MATCH("B07-IV-P-37.5",'SKU明细'!$A$11:$A$1309,0)),INDEX('SKU明细'!$CI$11:$CI$1309,MATCH("B07-IV-P-38",'SKU明细'!$A$11:$A$1309,0)),INDEX('SKU明细'!$CI$11:$CI$1309,MATCH("B07-IV-P-39",'SKU明细'!$A$11:$A$1309,0)),INDEX('SKU明细'!$CI$11:$CI$1309,MATCH("B07-IV-P-39.5",'SKU明细'!$A$11:$A$1309,0)),INDEX('SKU明细'!$CI$11:$CI$1309,MATCH("B07-IV-P-40",'SKU明细'!$A$11:$A$1309,0)),INDEX('SKU明细'!$CI$11:$CI$1309,MATCH("B07-IV-P-40.5",'SKU明细'!$A$11:$A$1309,0)),INDEX('SKU明细'!$CI$11:$CI$1309,MATCH("B07-IV-P-41",'SKU明细'!$A$11:$A$1309,0)),INDEX('SKU明细'!$CI$11:$CI$1309,MATCH("B07-IV-P-41.5",'SKU明细'!$A$11:$A$1309,0)),INDEX('SKU明细'!$CI$11:$CI$1309,MATCH("B07-IV-P-42",'SKU明细'!$A$11:$A$1309,0))),"待核")</x:f>
        <x:v>24.55166474673838</x:v>
      </x:c>
    </x:row>
    <x:row r="73" ht="40" customHeight="1">
      <x:c r="A73" s="37" t="str">
        <x:v>B07</x:v>
      </x:c>
      <x:c r="B73" s="37" t="str">
        <x:v>艾年</x:v>
      </x:c>
      <x:c r="C73" s="37" t="str">
        <x:v>豹纹羊京绒</x:v>
      </x:c>
      <x:c r="D73" s="37" t="str">
        <x:v>LP</x:v>
      </x:c>
      <x:c r="E73" s="37" t="str">
        <x:v>B07-LP</x:v>
      </x:c>
      <x:c r="F73" s="37"/>
      <x:c r="G73" s="38" t="str">
        <x:f>"—"</x:f>
        <x:v>—</x:v>
      </x:c>
      <x:c r="H73" s="38" t="n">
        <x:f>IF(COUNT(INDEX('SKU明细'!$D$11:$D$1309,MATCH("B07-LP-37-by",'SKU明细'!$A$11:$A$1309,0)))=0,"待核",IF(COUNT(INDEX('SKU明细'!$D$11:$D$1309,MATCH("B07-LP-37-by",'SKU明细'!$A$11:$A$1309,0)))&lt;1,SUM(INDEX('SKU明细'!$D$11:$D$1309,MATCH("B07-LP-37-by",'SKU明细'!$A$11:$A$1309,0)))&amp;" + 待核",SUM(INDEX('SKU明细'!$D$11:$D$1309,MATCH("B07-LP-37-by",'SKU明细'!$A$11:$A$1309,0)))))</x:f>
        <x:v>5</x:v>
      </x:c>
      <x:c r="I73" s="38" t="n">
        <x:f>IF(COUNT(INDEX('SKU明细'!$D$11:$D$1309,MATCH("B07-LP-37.5",'SKU明细'!$A$11:$A$1309,0)))=0,"待核",IF(COUNT(INDEX('SKU明细'!$D$11:$D$1309,MATCH("B07-LP-37.5",'SKU明细'!$A$11:$A$1309,0)))&lt;1,SUM(INDEX('SKU明细'!$D$11:$D$1309,MATCH("B07-LP-37.5",'SKU明细'!$A$11:$A$1309,0)))&amp;" + 待核",SUM(INDEX('SKU明细'!$D$11:$D$1309,MATCH("B07-LP-37.5",'SKU明细'!$A$11:$A$1309,0)))))</x:f>
        <x:v>13</x:v>
      </x:c>
      <x:c r="J73" s="38" t="n">
        <x:f>IF(COUNT(INDEX('SKU明细'!$D$11:$D$1309,MATCH("B07-LP-38-by",'SKU明细'!$A$11:$A$1309,0)))=0,"待核",IF(COUNT(INDEX('SKU明细'!$D$11:$D$1309,MATCH("B07-LP-38-by",'SKU明细'!$A$11:$A$1309,0)))&lt;1,SUM(INDEX('SKU明细'!$D$11:$D$1309,MATCH("B07-LP-38-by",'SKU明细'!$A$11:$A$1309,0)))&amp;" + 待核",SUM(INDEX('SKU明细'!$D$11:$D$1309,MATCH("B07-LP-38-by",'SKU明细'!$A$11:$A$1309,0)))))</x:f>
        <x:v>1</x:v>
      </x:c>
      <x:c r="K73" s="38" t="n">
        <x:f>IF(COUNT(INDEX('SKU明细'!$D$11:$D$1309,MATCH("B07-LP-38.5",'SKU明细'!$A$11:$A$1309,0)))=0,"待核",IF(COUNT(INDEX('SKU明细'!$D$11:$D$1309,MATCH("B07-LP-38.5",'SKU明细'!$A$11:$A$1309,0)))&lt;1,SUM(INDEX('SKU明细'!$D$11:$D$1309,MATCH("B07-LP-38.5",'SKU明细'!$A$11:$A$1309,0)))&amp;" + 待核",SUM(INDEX('SKU明细'!$D$11:$D$1309,MATCH("B07-LP-38.5",'SKU明细'!$A$11:$A$1309,0)))))</x:f>
        <x:v>23</x:v>
      </x:c>
      <x:c r="L73" s="38" t="n">
        <x:f>IF(COUNT(INDEX('SKU明细'!$D$11:$D$1309,MATCH("B07-LP-39-by",'SKU明细'!$A$11:$A$1309,0)))=0,"待核",IF(COUNT(INDEX('SKU明细'!$D$11:$D$1309,MATCH("B07-LP-39-by",'SKU明细'!$A$11:$A$1309,0)))&lt;1,SUM(INDEX('SKU明细'!$D$11:$D$1309,MATCH("B07-LP-39-by",'SKU明细'!$A$11:$A$1309,0)))&amp;" + 待核",SUM(INDEX('SKU明细'!$D$11:$D$1309,MATCH("B07-LP-39-by",'SKU明细'!$A$11:$A$1309,0)))))</x:f>
        <x:v>27</x:v>
      </x:c>
      <x:c r="M73" s="38" t="n">
        <x:f>IF(COUNT(INDEX('SKU明细'!$D$11:$D$1309,MATCH("B07-LP-39.5",'SKU明细'!$A$11:$A$1309,0)))=0,"待核",IF(COUNT(INDEX('SKU明细'!$D$11:$D$1309,MATCH("B07-LP-39.5",'SKU明细'!$A$11:$A$1309,0)))&lt;1,SUM(INDEX('SKU明细'!$D$11:$D$1309,MATCH("B07-LP-39.5",'SKU明细'!$A$11:$A$1309,0)))&amp;" + 待核",SUM(INDEX('SKU明细'!$D$11:$D$1309,MATCH("B07-LP-39.5",'SKU明细'!$A$11:$A$1309,0)))))</x:f>
        <x:v>0</x:v>
      </x:c>
      <x:c r="N73" s="38" t="str">
        <x:f>"—"</x:f>
        <x:v>—</x:v>
      </x:c>
      <x:c r="O73" s="38" t="str">
        <x:f>"—"</x:f>
        <x:v>—</x:v>
      </x:c>
      <x:c r="P73" s="38" t="str">
        <x:f>"—"</x:f>
        <x:v>—</x:v>
      </x:c>
      <x:c r="Q73" s="38" t="str">
        <x:f>"—"</x:f>
        <x:v>—</x:v>
      </x:c>
      <x:c r="R73" s="38" t="n">
        <x:f>IF(COUNT(INDEX('SKU明细'!$D$11:$D$1309,MATCH("B07-LP-42-by",'SKU明细'!$A$11:$A$1309,0)))=0,"待核",IF(COUNT(INDEX('SKU明细'!$D$11:$D$1309,MATCH("B07-LP-42-by",'SKU明细'!$A$11:$A$1309,0)))&lt;1,SUM(INDEX('SKU明细'!$D$11:$D$1309,MATCH("B07-LP-42-by",'SKU明细'!$A$11:$A$1309,0)))&amp;" + 待核",SUM(INDEX('SKU明细'!$D$11:$D$1309,MATCH("B07-LP-42-by",'SKU明细'!$A$11:$A$1309,0)))))</x:f>
        <x:v>0</x:v>
      </x:c>
      <x:c r="S73" s="38" t="n">
        <x:f>IF(COUNT(INDEX('SKU明细'!$D$11:$D$1309,MATCH("B07-LP-37-by",'SKU明细'!$A$11:$A$1309,0)),INDEX('SKU明细'!$D$11:$D$1309,MATCH("B07-LP-37.5",'SKU明细'!$A$11:$A$1309,0)),INDEX('SKU明细'!$D$11:$D$1309,MATCH("B07-LP-38-by",'SKU明细'!$A$11:$A$1309,0)),INDEX('SKU明细'!$D$11:$D$1309,MATCH("B07-LP-38.5",'SKU明细'!$A$11:$A$1309,0)),INDEX('SKU明细'!$D$11:$D$1309,MATCH("B07-LP-39-by",'SKU明细'!$A$11:$A$1309,0)),INDEX('SKU明细'!$D$11:$D$1309,MATCH("B07-LP-39.5",'SKU明细'!$A$11:$A$1309,0)),INDEX('SKU明细'!$D$11:$D$1309,MATCH("B07-LP-42-by",'SKU明细'!$A$11:$A$1309,0)))=0,"待核",SUM(INDEX('SKU明细'!$D$11:$D$1309,MATCH("B07-LP-37-by",'SKU明细'!$A$11:$A$1309,0)),INDEX('SKU明细'!$D$11:$D$1309,MATCH("B07-LP-37.5",'SKU明细'!$A$11:$A$1309,0)),INDEX('SKU明细'!$D$11:$D$1309,MATCH("B07-LP-38-by",'SKU明细'!$A$11:$A$1309,0)),INDEX('SKU明细'!$D$11:$D$1309,MATCH("B07-LP-38.5",'SKU明细'!$A$11:$A$1309,0)),INDEX('SKU明细'!$D$11:$D$1309,MATCH("B07-LP-39-by",'SKU明细'!$A$11:$A$1309,0)),INDEX('SKU明细'!$D$11:$D$1309,MATCH("B07-LP-39.5",'SKU明细'!$A$11:$A$1309,0)),INDEX('SKU明细'!$D$11:$D$1309,MATCH("B07-LP-42-by",'SKU明细'!$A$11:$A$1309,0))))</x:f>
        <x:v>69</x:v>
      </x:c>
      <x:c r="T73" s="38" t="n">
        <x:f>IF(COUNTIFS($A$9:$A$191,A73,$U$9:$U$191,"&lt;&gt;待核")=0,"待核",SUMIF($A$9:$A$191,A73,$S$9:$S$191))</x:f>
        <x:v>364</x:v>
      </x:c>
      <x:c r="U73" s="37" t="str">
        <x:f>IF(COUNT(INDEX('SKU明细'!$D$11:$D$1309,MATCH("B07-LP-37-by",'SKU明细'!$A$11:$A$1309,0)),INDEX('SKU明细'!$D$11:$D$1309,MATCH("B07-LP-37.5",'SKU明细'!$A$11:$A$1309,0)),INDEX('SKU明细'!$D$11:$D$1309,MATCH("B07-LP-38-by",'SKU明细'!$A$11:$A$1309,0)),INDEX('SKU明细'!$D$11:$D$1309,MATCH("B07-LP-38.5",'SKU明细'!$A$11:$A$1309,0)),INDEX('SKU明细'!$D$11:$D$1309,MATCH("B07-LP-39-by",'SKU明细'!$A$11:$A$1309,0)),INDEX('SKU明细'!$D$11:$D$1309,MATCH("B07-LP-39.5",'SKU明细'!$A$11:$A$1309,0)),INDEX('SKU明细'!$D$11:$D$1309,MATCH("B07-LP-42-by",'SKU明细'!$A$11:$A$1309,0)))=0,"待核",IF(COUNT(INDEX('SKU明细'!$D$11:$D$1309,MATCH("B07-LP-37-by",'SKU明细'!$A$11:$A$1309,0)),INDEX('SKU明细'!$D$11:$D$1309,MATCH("B07-LP-37.5",'SKU明细'!$A$11:$A$1309,0)),INDEX('SKU明细'!$D$11:$D$1309,MATCH("B07-LP-38-by",'SKU明细'!$A$11:$A$1309,0)),INDEX('SKU明细'!$D$11:$D$1309,MATCH("B07-LP-38.5",'SKU明细'!$A$11:$A$1309,0)),INDEX('SKU明细'!$D$11:$D$1309,MATCH("B07-LP-39-by",'SKU明细'!$A$11:$A$1309,0)),INDEX('SKU明细'!$D$11:$D$1309,MATCH("B07-LP-39.5",'SKU明细'!$A$11:$A$1309,0)),INDEX('SKU明细'!$D$11:$D$1309,MATCH("B07-LP-42-by",'SKU明细'!$A$11:$A$1309,0)))&lt;7,"另有待核","已核"))</x:f>
        <x:v>已核</x:v>
      </x:c>
      <x:c r="V73" s="37" t="str">
        <x:v>在售、停售</x:v>
      </x:c>
      <x:c r="W73" s="11" t="n">
        <x:f>IF(COUNT(INDEX('SKU明细'!$BV$11:$BV$1309,MATCH("B07-LP-37-by",'SKU明细'!$A$11:$A$1309,0)),INDEX('SKU明细'!$BV$11:$BV$1309,MATCH("B07-LP-37.5",'SKU明细'!$A$11:$A$1309,0)),INDEX('SKU明细'!$BV$11:$BV$1309,MATCH("B07-LP-38-by",'SKU明细'!$A$11:$A$1309,0)),INDEX('SKU明细'!$BV$11:$BV$1309,MATCH("B07-LP-38.5",'SKU明细'!$A$11:$A$1309,0)),INDEX('SKU明细'!$BV$11:$BV$1309,MATCH("B07-LP-39-by",'SKU明细'!$A$11:$A$1309,0)),INDEX('SKU明细'!$BV$11:$BV$1309,MATCH("B07-LP-39.5",'SKU明细'!$A$11:$A$1309,0)),INDEX('SKU明细'!$BV$11:$BV$1309,MATCH("B07-LP-42-by",'SKU明细'!$A$11:$A$1309,0)))=7,SUM(INDEX('SKU明细'!$BV$11:$BV$1309,MATCH("B07-LP-37-by",'SKU明细'!$A$11:$A$1309,0)),INDEX('SKU明细'!$BV$11:$BV$1309,MATCH("B07-LP-37.5",'SKU明细'!$A$11:$A$1309,0)),INDEX('SKU明细'!$BV$11:$BV$1309,MATCH("B07-LP-38-by",'SKU明细'!$A$11:$A$1309,0)),INDEX('SKU明细'!$BV$11:$BV$1309,MATCH("B07-LP-38.5",'SKU明细'!$A$11:$A$1309,0)),INDEX('SKU明细'!$BV$11:$BV$1309,MATCH("B07-LP-39-by",'SKU明细'!$A$11:$A$1309,0)),INDEX('SKU明细'!$BV$11:$BV$1309,MATCH("B07-LP-39.5",'SKU明细'!$A$11:$A$1309,0)),INDEX('SKU明细'!$BV$11:$BV$1309,MATCH("B07-LP-42-by",'SKU明细'!$A$11:$A$1309,0))),"待核")</x:f>
        <x:v>4.041005834624097</x:v>
      </x:c>
      <x:c r="X73" s="11" t="n">
        <x:f>INDEX('SKU明细'!$BW$11:$BW$1309,MATCH("B07-LP-37-by",'SKU明细'!$A$11:$A$1309,0))</x:f>
        <x:v>0.7307750238224848</x:v>
      </x:c>
      <x:c r="Y73" s="13" t="n">
        <x:f>IF(COUNT(INDEX('SKU明细'!$BY$11:$BY$1309,MATCH("B07-LP-37-by",'SKU明细'!$A$11:$A$1309,0)),INDEX('SKU明细'!$BY$11:$BY$1309,MATCH("B07-LP-37.5",'SKU明细'!$A$11:$A$1309,0)),INDEX('SKU明细'!$BY$11:$BY$1309,MATCH("B07-LP-38-by",'SKU明细'!$A$11:$A$1309,0)),INDEX('SKU明细'!$BY$11:$BY$1309,MATCH("B07-LP-38.5",'SKU明细'!$A$11:$A$1309,0)),INDEX('SKU明细'!$BY$11:$BY$1309,MATCH("B07-LP-39-by",'SKU明细'!$A$11:$A$1309,0)),INDEX('SKU明细'!$BY$11:$BY$1309,MATCH("B07-LP-39.5",'SKU明细'!$A$11:$A$1309,0)),INDEX('SKU明细'!$BY$11:$BY$1309,MATCH("B07-LP-42-by",'SKU明细'!$A$11:$A$1309,0)))=7,SUM(INDEX('SKU明细'!$BY$11:$BY$1309,MATCH("B07-LP-37-by",'SKU明细'!$A$11:$A$1309,0)),INDEX('SKU明细'!$BY$11:$BY$1309,MATCH("B07-LP-37.5",'SKU明细'!$A$11:$A$1309,0)),INDEX('SKU明细'!$BY$11:$BY$1309,MATCH("B07-LP-38-by",'SKU明细'!$A$11:$A$1309,0)),INDEX('SKU明细'!$BY$11:$BY$1309,MATCH("B07-LP-38.5",'SKU明细'!$A$11:$A$1309,0)),INDEX('SKU明细'!$BY$11:$BY$1309,MATCH("B07-LP-39-by",'SKU明细'!$A$11:$A$1309,0)),INDEX('SKU明细'!$BY$11:$BY$1309,MATCH("B07-LP-39.5",'SKU明细'!$A$11:$A$1309,0)),INDEX('SKU明细'!$BY$11:$BY$1309,MATCH("B07-LP-42-by",'SKU明细'!$A$11:$A$1309,0))),"待核")</x:f>
        <x:v>35.4367936207707</x:v>
      </x:c>
      <x:c r="Z73" s="11" t="n">
        <x:f>INDEX('SKU明细'!$BZ$11:$BZ$1309,MATCH("B07-LP-37-by",'SKU明细'!$A$11:$A$1309,0))</x:f>
        <x:v>0.9523018155490097</x:v>
      </x:c>
      <x:c r="AA73" s="13" t="n">
        <x:f>IF(COUNT(INDEX('SKU明细'!$CB$11:$CB$1309,MATCH("B07-LP-37-by",'SKU明细'!$A$11:$A$1309,0)),INDEX('SKU明细'!$CB$11:$CB$1309,MATCH("B07-LP-37.5",'SKU明细'!$A$11:$A$1309,0)),INDEX('SKU明细'!$CB$11:$CB$1309,MATCH("B07-LP-38-by",'SKU明细'!$A$11:$A$1309,0)),INDEX('SKU明细'!$CB$11:$CB$1309,MATCH("B07-LP-38.5",'SKU明细'!$A$11:$A$1309,0)),INDEX('SKU明细'!$CB$11:$CB$1309,MATCH("B07-LP-39-by",'SKU明细'!$A$11:$A$1309,0)),INDEX('SKU明细'!$CB$11:$CB$1309,MATCH("B07-LP-39.5",'SKU明细'!$A$11:$A$1309,0)),INDEX('SKU明细'!$CB$11:$CB$1309,MATCH("B07-LP-42-by",'SKU明细'!$A$11:$A$1309,0)))=7,SUM(INDEX('SKU明细'!$CB$11:$CB$1309,MATCH("B07-LP-37-by",'SKU明细'!$A$11:$A$1309,0)),INDEX('SKU明细'!$CB$11:$CB$1309,MATCH("B07-LP-37.5",'SKU明细'!$A$11:$A$1309,0)),INDEX('SKU明细'!$CB$11:$CB$1309,MATCH("B07-LP-38-by",'SKU明细'!$A$11:$A$1309,0)),INDEX('SKU明细'!$CB$11:$CB$1309,MATCH("B07-LP-38.5",'SKU明细'!$A$11:$A$1309,0)),INDEX('SKU明细'!$CB$11:$CB$1309,MATCH("B07-LP-39-by",'SKU明细'!$A$11:$A$1309,0)),INDEX('SKU明细'!$CB$11:$CB$1309,MATCH("B07-LP-39.5",'SKU明细'!$A$11:$A$1309,0)),INDEX('SKU明细'!$CB$11:$CB$1309,MATCH("B07-LP-42-by",'SKU明细'!$A$11:$A$1309,0))),"待核")</x:f>
        <x:v>115.44771578870007</x:v>
      </x:c>
      <x:c r="AB73" s="11" t="n">
        <x:f>INDEX('SKU明细'!$CC$11:$CC$1309,MATCH("B07-LP-37-by",'SKU明细'!$A$11:$A$1309,0))</x:f>
        <x:v>0.5958545198749097</x:v>
      </x:c>
      <x:c r="AC73" s="13" t="n">
        <x:f>IF(COUNT(INDEX('SKU明细'!$CE$11:$CE$1309,MATCH("B07-LP-37-by",'SKU明细'!$A$11:$A$1309,0)),INDEX('SKU明细'!$CE$11:$CE$1309,MATCH("B07-LP-37.5",'SKU明细'!$A$11:$A$1309,0)),INDEX('SKU明细'!$CE$11:$CE$1309,MATCH("B07-LP-38-by",'SKU明细'!$A$11:$A$1309,0)),INDEX('SKU明细'!$CE$11:$CE$1309,MATCH("B07-LP-38.5",'SKU明细'!$A$11:$A$1309,0)),INDEX('SKU明细'!$CE$11:$CE$1309,MATCH("B07-LP-39-by",'SKU明细'!$A$11:$A$1309,0)),INDEX('SKU明细'!$CE$11:$CE$1309,MATCH("B07-LP-39.5",'SKU明细'!$A$11:$A$1309,0)),INDEX('SKU明细'!$CE$11:$CE$1309,MATCH("B07-LP-42-by",'SKU明细'!$A$11:$A$1309,0)))=7,SUM(INDEX('SKU明细'!$CE$11:$CE$1309,MATCH("B07-LP-37-by",'SKU明细'!$A$11:$A$1309,0)),INDEX('SKU明细'!$CE$11:$CE$1309,MATCH("B07-LP-37.5",'SKU明细'!$A$11:$A$1309,0)),INDEX('SKU明细'!$CE$11:$CE$1309,MATCH("B07-LP-38-by",'SKU明细'!$A$11:$A$1309,0)),INDEX('SKU明细'!$CE$11:$CE$1309,MATCH("B07-LP-38.5",'SKU明细'!$A$11:$A$1309,0)),INDEX('SKU明细'!$CE$11:$CE$1309,MATCH("B07-LP-39-by",'SKU明细'!$A$11:$A$1309,0)),INDEX('SKU明细'!$CE$11:$CE$1309,MATCH("B07-LP-39.5",'SKU明细'!$A$11:$A$1309,0)),INDEX('SKU明细'!$CE$11:$CE$1309,MATCH("B07-LP-42-by",'SKU明细'!$A$11:$A$1309,0))),"待核")</x:f>
        <x:v>74.64339933345116</x:v>
      </x:c>
      <x:c r="AD73" s="11" t="n">
        <x:f>INDEX('SKU明细'!$CF$11:$CF$1309,MATCH("B07-LP-37-by",'SKU明细'!$A$11:$A$1309,0))</x:f>
        <x:v>1.3264167397065354</x:v>
      </x:c>
      <x:c r="AE73" s="13" t="n">
        <x:f>IF(COUNT(INDEX('SKU明细'!$CH$11:$CH$1309,MATCH("B07-LP-37-by",'SKU明细'!$A$11:$A$1309,0)),INDEX('SKU明细'!$CH$11:$CH$1309,MATCH("B07-LP-37.5",'SKU明细'!$A$11:$A$1309,0)),INDEX('SKU明细'!$CH$11:$CH$1309,MATCH("B07-LP-38-by",'SKU明细'!$A$11:$A$1309,0)),INDEX('SKU明细'!$CH$11:$CH$1309,MATCH("B07-LP-38.5",'SKU明细'!$A$11:$A$1309,0)),INDEX('SKU明细'!$CH$11:$CH$1309,MATCH("B07-LP-39-by",'SKU明细'!$A$11:$A$1309,0)),INDEX('SKU明细'!$CH$11:$CH$1309,MATCH("B07-LP-39.5",'SKU明细'!$A$11:$A$1309,0)),INDEX('SKU明细'!$CH$11:$CH$1309,MATCH("B07-LP-42-by",'SKU明细'!$A$11:$A$1309,0)))=7,SUM(INDEX('SKU明细'!$CH$11:$CH$1309,MATCH("B07-LP-37-by",'SKU明细'!$A$11:$A$1309,0)),INDEX('SKU明细'!$CH$11:$CH$1309,MATCH("B07-LP-37.5",'SKU明细'!$A$11:$A$1309,0)),INDEX('SKU明细'!$CH$11:$CH$1309,MATCH("B07-LP-38-by",'SKU明细'!$A$11:$A$1309,0)),INDEX('SKU明细'!$CH$11:$CH$1309,MATCH("B07-LP-38.5",'SKU明细'!$A$11:$A$1309,0)),INDEX('SKU明细'!$CH$11:$CH$1309,MATCH("B07-LP-39-by",'SKU明细'!$A$11:$A$1309,0)),INDEX('SKU明细'!$CH$11:$CH$1309,MATCH("B07-LP-39.5",'SKU明细'!$A$11:$A$1309,0)),INDEX('SKU明细'!$CH$11:$CH$1309,MATCH("B07-LP-42-by",'SKU明细'!$A$11:$A$1309,0))),"待核")</x:f>
        <x:v>91.1209823330521</x:v>
      </x:c>
      <x:c r="AF73" s="13" t="n">
        <x:f>IF(COUNT(INDEX('SKU明细'!$CI$11:$CI$1309,MATCH("B07-LP-37-by",'SKU明细'!$A$11:$A$1309,0)),INDEX('SKU明细'!$CI$11:$CI$1309,MATCH("B07-LP-37.5",'SKU明细'!$A$11:$A$1309,0)),INDEX('SKU明细'!$CI$11:$CI$1309,MATCH("B07-LP-38-by",'SKU明细'!$A$11:$A$1309,0)),INDEX('SKU明细'!$CI$11:$CI$1309,MATCH("B07-LP-38.5",'SKU明细'!$A$11:$A$1309,0)),INDEX('SKU明细'!$CI$11:$CI$1309,MATCH("B07-LP-39-by",'SKU明细'!$A$11:$A$1309,0)),INDEX('SKU明细'!$CI$11:$CI$1309,MATCH("B07-LP-39.5",'SKU明细'!$A$11:$A$1309,0)),INDEX('SKU明细'!$CI$11:$CI$1309,MATCH("B07-LP-42-by",'SKU明细'!$A$11:$A$1309,0)))=7,SUM(INDEX('SKU明细'!$CI$11:$CI$1309,MATCH("B07-LP-37-by",'SKU明细'!$A$11:$A$1309,0)),INDEX('SKU明细'!$CI$11:$CI$1309,MATCH("B07-LP-37.5",'SKU明细'!$A$11:$A$1309,0)),INDEX('SKU明细'!$CI$11:$CI$1309,MATCH("B07-LP-38-by",'SKU明细'!$A$11:$A$1309,0)),INDEX('SKU明细'!$CI$11:$CI$1309,MATCH("B07-LP-38.5",'SKU明细'!$A$11:$A$1309,0)),INDEX('SKU明细'!$CI$11:$CI$1309,MATCH("B07-LP-39-by",'SKU明细'!$A$11:$A$1309,0)),INDEX('SKU明细'!$CI$11:$CI$1309,MATCH("B07-LP-39.5",'SKU明细'!$A$11:$A$1309,0)),INDEX('SKU明细'!$CI$11:$CI$1309,MATCH("B07-LP-42-by",'SKU明细'!$A$11:$A$1309,0))),"待核")</x:f>
        <x:v>316.648891075974</x:v>
      </x:c>
    </x:row>
    <x:row r="74" ht="40" customHeight="1">
      <x:c r="A74" s="37" t="str">
        <x:v>B07</x:v>
      </x:c>
      <x:c r="B74" s="37" t="str">
        <x:v>艾年</x:v>
      </x:c>
      <x:c r="C74" s="37" t="str">
        <x:v>豹纹羊京绒</x:v>
      </x:c>
      <x:c r="D74" s="37" t="str">
        <x:v>LP1</x:v>
      </x:c>
      <x:c r="E74" s="37" t="str">
        <x:v>B07-LP1</x:v>
      </x:c>
      <x:c r="F74" s="37"/>
      <x:c r="G74" s="38" t="str">
        <x:f>"—"</x:f>
        <x:v>—</x:v>
      </x:c>
      <x:c r="H74" s="38" t="str">
        <x:f>"—"</x:f>
        <x:v>—</x:v>
      </x:c>
      <x:c r="I74" s="38" t="str">
        <x:f>"—"</x:f>
        <x:v>—</x:v>
      </x:c>
      <x:c r="J74" s="38" t="str">
        <x:f>"—"</x:f>
        <x:v>—</x:v>
      </x:c>
      <x:c r="K74" s="38" t="str">
        <x:f>"—"</x:f>
        <x:v>—</x:v>
      </x:c>
      <x:c r="L74" s="38" t="str">
        <x:f>"—"</x:f>
        <x:v>—</x:v>
      </x:c>
      <x:c r="M74" s="38" t="str">
        <x:f>"—"</x:f>
        <x:v>—</x:v>
      </x:c>
      <x:c r="N74" s="38" t="n">
        <x:f>IF(COUNT(INDEX('SKU明细'!$D$11:$D$1309,MATCH("B07-LP1-40-by",'SKU明细'!$A$11:$A$1309,0)))=0,"待核",IF(COUNT(INDEX('SKU明细'!$D$11:$D$1309,MATCH("B07-LP1-40-by",'SKU明细'!$A$11:$A$1309,0)))&lt;1,SUM(INDEX('SKU明细'!$D$11:$D$1309,MATCH("B07-LP1-40-by",'SKU明细'!$A$11:$A$1309,0)))&amp;" + 待核",SUM(INDEX('SKU明细'!$D$11:$D$1309,MATCH("B07-LP1-40-by",'SKU明细'!$A$11:$A$1309,0)))))</x:f>
        <x:v>86</x:v>
      </x:c>
      <x:c r="O74" s="38" t="n">
        <x:f>IF(COUNT(INDEX('SKU明细'!$D$11:$D$1309,MATCH("B07-LP1-40.5",'SKU明细'!$A$11:$A$1309,0)))=0,"待核",IF(COUNT(INDEX('SKU明细'!$D$11:$D$1309,MATCH("B07-LP1-40.5",'SKU明细'!$A$11:$A$1309,0)))&lt;1,SUM(INDEX('SKU明细'!$D$11:$D$1309,MATCH("B07-LP1-40.5",'SKU明细'!$A$11:$A$1309,0)))&amp;" + 待核",SUM(INDEX('SKU明细'!$D$11:$D$1309,MATCH("B07-LP1-40.5",'SKU明细'!$A$11:$A$1309,0)))))</x:f>
        <x:v>46</x:v>
      </x:c>
      <x:c r="P74" s="38" t="n">
        <x:f>IF(COUNT(INDEX('SKU明细'!$D$11:$D$1309,MATCH("B07-LP1-41-by",'SKU明细'!$A$11:$A$1309,0)))=0,"待核",IF(COUNT(INDEX('SKU明细'!$D$11:$D$1309,MATCH("B07-LP1-41-by",'SKU明细'!$A$11:$A$1309,0)))&lt;1,SUM(INDEX('SKU明细'!$D$11:$D$1309,MATCH("B07-LP1-41-by",'SKU明细'!$A$11:$A$1309,0)))&amp;" + 待核",SUM(INDEX('SKU明细'!$D$11:$D$1309,MATCH("B07-LP1-41-by",'SKU明细'!$A$11:$A$1309,0)))))</x:f>
        <x:v>6</x:v>
      </x:c>
      <x:c r="Q74" s="38" t="n">
        <x:f>IF(COUNT(INDEX('SKU明细'!$D$11:$D$1309,MATCH("B07-LP1-41.5",'SKU明细'!$A$11:$A$1309,0)))=0,"待核",IF(COUNT(INDEX('SKU明细'!$D$11:$D$1309,MATCH("B07-LP1-41.5",'SKU明细'!$A$11:$A$1309,0)))&lt;1,SUM(INDEX('SKU明细'!$D$11:$D$1309,MATCH("B07-LP1-41.5",'SKU明细'!$A$11:$A$1309,0)))&amp;" + 待核",SUM(INDEX('SKU明细'!$D$11:$D$1309,MATCH("B07-LP1-41.5",'SKU明细'!$A$11:$A$1309,0)))))</x:f>
        <x:v>22</x:v>
      </x:c>
      <x:c r="R74" s="38" t="str">
        <x:f>"—"</x:f>
        <x:v>—</x:v>
      </x:c>
      <x:c r="S74" s="38" t="n">
        <x:f>IF(COUNT(INDEX('SKU明细'!$D$11:$D$1309,MATCH("B07-LP1-40-by",'SKU明细'!$A$11:$A$1309,0)),INDEX('SKU明细'!$D$11:$D$1309,MATCH("B07-LP1-40.5",'SKU明细'!$A$11:$A$1309,0)),INDEX('SKU明细'!$D$11:$D$1309,MATCH("B07-LP1-41-by",'SKU明细'!$A$11:$A$1309,0)),INDEX('SKU明细'!$D$11:$D$1309,MATCH("B07-LP1-41.5",'SKU明细'!$A$11:$A$1309,0)))=0,"待核",SUM(INDEX('SKU明细'!$D$11:$D$1309,MATCH("B07-LP1-40-by",'SKU明细'!$A$11:$A$1309,0)),INDEX('SKU明细'!$D$11:$D$1309,MATCH("B07-LP1-40.5",'SKU明细'!$A$11:$A$1309,0)),INDEX('SKU明细'!$D$11:$D$1309,MATCH("B07-LP1-41-by",'SKU明细'!$A$11:$A$1309,0)),INDEX('SKU明细'!$D$11:$D$1309,MATCH("B07-LP1-41.5",'SKU明细'!$A$11:$A$1309,0))))</x:f>
        <x:v>160</x:v>
      </x:c>
      <x:c r="T74" s="38" t="n">
        <x:f>IF(COUNTIFS($A$9:$A$191,A74,$U$9:$U$191,"&lt;&gt;待核")=0,"待核",SUMIF($A$9:$A$191,A74,$S$9:$S$191))</x:f>
        <x:v>364</x:v>
      </x:c>
      <x:c r="U74" s="37" t="str">
        <x:f>IF(COUNT(INDEX('SKU明细'!$D$11:$D$1309,MATCH("B07-LP1-40-by",'SKU明细'!$A$11:$A$1309,0)),INDEX('SKU明细'!$D$11:$D$1309,MATCH("B07-LP1-40.5",'SKU明细'!$A$11:$A$1309,0)),INDEX('SKU明细'!$D$11:$D$1309,MATCH("B07-LP1-41-by",'SKU明细'!$A$11:$A$1309,0)),INDEX('SKU明细'!$D$11:$D$1309,MATCH("B07-LP1-41.5",'SKU明细'!$A$11:$A$1309,0)))=0,"待核",IF(COUNT(INDEX('SKU明细'!$D$11:$D$1309,MATCH("B07-LP1-40-by",'SKU明细'!$A$11:$A$1309,0)),INDEX('SKU明细'!$D$11:$D$1309,MATCH("B07-LP1-40.5",'SKU明细'!$A$11:$A$1309,0)),INDEX('SKU明细'!$D$11:$D$1309,MATCH("B07-LP1-41-by",'SKU明细'!$A$11:$A$1309,0)),INDEX('SKU明细'!$D$11:$D$1309,MATCH("B07-LP1-41.5",'SKU明细'!$A$11:$A$1309,0)))&lt;4,"另有待核","已核"))</x:f>
        <x:v>已核</x:v>
      </x:c>
      <x:c r="V74" s="37" t="str">
        <x:v>在售</x:v>
      </x:c>
      <x:c r="W74" s="11" t="n">
        <x:f>IF(COUNT(INDEX('SKU明细'!$BV$11:$BV$1309,MATCH("B07-LP1-40-by",'SKU明细'!$A$11:$A$1309,0)),INDEX('SKU明细'!$BV$11:$BV$1309,MATCH("B07-LP1-40.5",'SKU明细'!$A$11:$A$1309,0)),INDEX('SKU明细'!$BV$11:$BV$1309,MATCH("B07-LP1-41-by",'SKU明细'!$A$11:$A$1309,0)),INDEX('SKU明细'!$BV$11:$BV$1309,MATCH("B07-LP1-41.5",'SKU明细'!$A$11:$A$1309,0)))=4,SUM(INDEX('SKU明细'!$BV$11:$BV$1309,MATCH("B07-LP1-40-by",'SKU明细'!$A$11:$A$1309,0)),INDEX('SKU明细'!$BV$11:$BV$1309,MATCH("B07-LP1-40.5",'SKU明细'!$A$11:$A$1309,0)),INDEX('SKU明细'!$BV$11:$BV$1309,MATCH("B07-LP1-41-by",'SKU明细'!$A$11:$A$1309,0)),INDEX('SKU明细'!$BV$11:$BV$1309,MATCH("B07-LP1-41.5",'SKU明细'!$A$11:$A$1309,0))),"待核")</x:f>
        <x:v>2.726882334638689</x:v>
      </x:c>
      <x:c r="X74" s="11" t="n">
        <x:f>INDEX('SKU明细'!$BW$11:$BW$1309,MATCH("B07-LP1-40-by",'SKU明细'!$A$11:$A$1309,0))</x:f>
        <x:v>0.7307750238224848</x:v>
      </x:c>
      <x:c r="Y74" s="13" t="n">
        <x:f>IF(COUNT(INDEX('SKU明细'!$BY$11:$BY$1309,MATCH("B07-LP1-40-by",'SKU明细'!$A$11:$A$1309,0)),INDEX('SKU明细'!$BY$11:$BY$1309,MATCH("B07-LP1-40.5",'SKU明细'!$A$11:$A$1309,0)),INDEX('SKU明细'!$BY$11:$BY$1309,MATCH("B07-LP1-41-by",'SKU明细'!$A$11:$A$1309,0)),INDEX('SKU明细'!$BY$11:$BY$1309,MATCH("B07-LP1-41.5",'SKU明细'!$A$11:$A$1309,0)))=4,SUM(INDEX('SKU明细'!$BY$11:$BY$1309,MATCH("B07-LP1-40-by",'SKU明细'!$A$11:$A$1309,0)),INDEX('SKU明细'!$BY$11:$BY$1309,MATCH("B07-LP1-40.5",'SKU明细'!$A$11:$A$1309,0)),INDEX('SKU明细'!$BY$11:$BY$1309,MATCH("B07-LP1-41-by",'SKU明细'!$A$11:$A$1309,0)),INDEX('SKU明细'!$BY$11:$BY$1309,MATCH("B07-LP1-41.5",'SKU明细'!$A$11:$A$1309,0))),"待核")</x:f>
        <x:v>23.91285003668041</x:v>
      </x:c>
      <x:c r="Z74" s="11" t="n">
        <x:f>INDEX('SKU明细'!$BZ$11:$BZ$1309,MATCH("B07-LP1-40-by",'SKU明细'!$A$11:$A$1309,0))</x:f>
        <x:v>0.9523018155490097</x:v>
      </x:c>
      <x:c r="AA74" s="13" t="n">
        <x:f>IF(COUNT(INDEX('SKU明细'!$CB$11:$CB$1309,MATCH("B07-LP1-40-by",'SKU明细'!$A$11:$A$1309,0)),INDEX('SKU明细'!$CB$11:$CB$1309,MATCH("B07-LP1-40.5",'SKU明细'!$A$11:$A$1309,0)),INDEX('SKU明细'!$CB$11:$CB$1309,MATCH("B07-LP1-41-by",'SKU明细'!$A$11:$A$1309,0)),INDEX('SKU明细'!$CB$11:$CB$1309,MATCH("B07-LP1-41.5",'SKU明细'!$A$11:$A$1309,0)))=4,SUM(INDEX('SKU明细'!$CB$11:$CB$1309,MATCH("B07-LP1-40-by",'SKU明细'!$A$11:$A$1309,0)),INDEX('SKU明细'!$CB$11:$CB$1309,MATCH("B07-LP1-40.5",'SKU明细'!$A$11:$A$1309,0)),INDEX('SKU明细'!$CB$11:$CB$1309,MATCH("B07-LP1-41-by",'SKU明细'!$A$11:$A$1309,0)),INDEX('SKU明细'!$CB$11:$CB$1309,MATCH("B07-LP1-41.5",'SKU明细'!$A$11:$A$1309,0))),"待核")</x:f>
        <x:v>77.90444994194837</x:v>
      </x:c>
      <x:c r="AB74" s="11" t="n">
        <x:f>INDEX('SKU明细'!$CC$11:$CC$1309,MATCH("B07-LP1-40-by",'SKU明细'!$A$11:$A$1309,0))</x:f>
        <x:v>0.5958545198749097</x:v>
      </x:c>
      <x:c r="AC74" s="13" t="n">
        <x:f>IF(COUNT(INDEX('SKU明细'!$CE$11:$CE$1309,MATCH("B07-LP1-40-by",'SKU明细'!$A$11:$A$1309,0)),INDEX('SKU明细'!$CE$11:$CE$1309,MATCH("B07-LP1-40.5",'SKU明细'!$A$11:$A$1309,0)),INDEX('SKU明细'!$CE$11:$CE$1309,MATCH("B07-LP1-41-by",'SKU明细'!$A$11:$A$1309,0)),INDEX('SKU明细'!$CE$11:$CE$1309,MATCH("B07-LP1-41.5",'SKU明细'!$A$11:$A$1309,0)))=4,SUM(INDEX('SKU明细'!$CE$11:$CE$1309,MATCH("B07-LP1-40-by",'SKU明细'!$A$11:$A$1309,0)),INDEX('SKU明细'!$CE$11:$CE$1309,MATCH("B07-LP1-40.5",'SKU明细'!$A$11:$A$1309,0)),INDEX('SKU明细'!$CE$11:$CE$1309,MATCH("B07-LP1-41-by",'SKU明细'!$A$11:$A$1309,0)),INDEX('SKU明细'!$CE$11:$CE$1309,MATCH("B07-LP1-41.5",'SKU明细'!$A$11:$A$1309,0))),"待核")</x:f>
        <x:v>50.36958009210677</x:v>
      </x:c>
      <x:c r="AD74" s="11" t="n">
        <x:f>INDEX('SKU明细'!$CF$11:$CF$1309,MATCH("B07-LP1-40-by",'SKU明细'!$A$11:$A$1309,0))</x:f>
        <x:v>1.3264167397065354</x:v>
      </x:c>
      <x:c r="AE74" s="13" t="n">
        <x:f>IF(COUNT(INDEX('SKU明细'!$CH$11:$CH$1309,MATCH("B07-LP1-40-by",'SKU明细'!$A$11:$A$1309,0)),INDEX('SKU明细'!$CH$11:$CH$1309,MATCH("B07-LP1-40.5",'SKU明细'!$A$11:$A$1309,0)),INDEX('SKU明细'!$CH$11:$CH$1309,MATCH("B07-LP1-41-by",'SKU明细'!$A$11:$A$1309,0)),INDEX('SKU明细'!$CH$11:$CH$1309,MATCH("B07-LP1-41.5",'SKU明细'!$A$11:$A$1309,0)))=4,SUM(INDEX('SKU明细'!$CH$11:$CH$1309,MATCH("B07-LP1-40-by",'SKU明细'!$A$11:$A$1309,0)),INDEX('SKU明细'!$CH$11:$CH$1309,MATCH("B07-LP1-40.5",'SKU明细'!$A$11:$A$1309,0)),INDEX('SKU明细'!$CH$11:$CH$1309,MATCH("B07-LP1-41-by",'SKU明细'!$A$11:$A$1309,0)),INDEX('SKU明细'!$CH$11:$CH$1309,MATCH("B07-LP1-41.5",'SKU明细'!$A$11:$A$1309,0))),"待核")</x:f>
        <x:v>61.48870038987152</x:v>
      </x:c>
      <x:c r="AF74" s="13" t="n">
        <x:f>IF(COUNT(INDEX('SKU明细'!$CI$11:$CI$1309,MATCH("B07-LP1-40-by",'SKU明细'!$A$11:$A$1309,0)),INDEX('SKU明细'!$CI$11:$CI$1309,MATCH("B07-LP1-40.5",'SKU明细'!$A$11:$A$1309,0)),INDEX('SKU明细'!$CI$11:$CI$1309,MATCH("B07-LP1-41-by",'SKU明细'!$A$11:$A$1309,0)),INDEX('SKU明细'!$CI$11:$CI$1309,MATCH("B07-LP1-41.5",'SKU明细'!$A$11:$A$1309,0)))=4,SUM(INDEX('SKU明细'!$CI$11:$CI$1309,MATCH("B07-LP1-40-by",'SKU明细'!$A$11:$A$1309,0)),INDEX('SKU明细'!$CI$11:$CI$1309,MATCH("B07-LP1-40.5",'SKU明细'!$A$11:$A$1309,0)),INDEX('SKU明细'!$CI$11:$CI$1309,MATCH("B07-LP1-41-by",'SKU明细'!$A$11:$A$1309,0)),INDEX('SKU明细'!$CI$11:$CI$1309,MATCH("B07-LP1-41.5",'SKU明细'!$A$11:$A$1309,0))),"待核")</x:f>
        <x:v>213.67558046060708</x:v>
      </x:c>
    </x:row>
    <x:row r="75" ht="40" customHeight="1">
      <x:c r="A75" s="37" t="str">
        <x:v>B07</x:v>
      </x:c>
      <x:c r="B75" s="37" t="str">
        <x:v>艾年</x:v>
      </x:c>
      <x:c r="C75" s="37" t="str">
        <x:v>黄色羊京绒</x:v>
      </x:c>
      <x:c r="D75" s="37" t="str">
        <x:v>MT</x:v>
      </x:c>
      <x:c r="E75" s="37" t="str">
        <x:v>B07-MT</x:v>
      </x:c>
      <x:c r="F75" s="37"/>
      <x:c r="G75" s="38" t="str">
        <x:f>"—"</x:f>
        <x:v>—</x:v>
      </x:c>
      <x:c r="H75" s="38" t="n">
        <x:f>IF(COUNT(INDEX('SKU明细'!$D$11:$D$1309,MATCH("B07-MT-37-by",'SKU明细'!$A$11:$A$1309,0)))=0,"待核",IF(COUNT(INDEX('SKU明细'!$D$11:$D$1309,MATCH("B07-MT-37-by",'SKU明细'!$A$11:$A$1309,0)))&lt;1,SUM(INDEX('SKU明细'!$D$11:$D$1309,MATCH("B07-MT-37-by",'SKU明细'!$A$11:$A$1309,0)))&amp;" + 待核",SUM(INDEX('SKU明细'!$D$11:$D$1309,MATCH("B07-MT-37-by",'SKU明细'!$A$11:$A$1309,0)))))</x:f>
        <x:v>0</x:v>
      </x:c>
      <x:c r="I75" s="38" t="n">
        <x:f>IF(COUNT(INDEX('SKU明细'!$D$11:$D$1309,MATCH("B07-MT-37.5",'SKU明细'!$A$11:$A$1309,0)))=0,"待核",IF(COUNT(INDEX('SKU明细'!$D$11:$D$1309,MATCH("B07-MT-37.5",'SKU明细'!$A$11:$A$1309,0)))&lt;1,SUM(INDEX('SKU明细'!$D$11:$D$1309,MATCH("B07-MT-37.5",'SKU明细'!$A$11:$A$1309,0)))&amp;" + 待核",SUM(INDEX('SKU明细'!$D$11:$D$1309,MATCH("B07-MT-37.5",'SKU明细'!$A$11:$A$1309,0)))))</x:f>
        <x:v>0</x:v>
      </x:c>
      <x:c r="J75" s="38" t="n">
        <x:f>IF(COUNT(INDEX('SKU明细'!$D$11:$D$1309,MATCH("B07-MT-38-New",'SKU明细'!$A$11:$A$1309,0)))=0,"待核",IF(COUNT(INDEX('SKU明细'!$D$11:$D$1309,MATCH("B07-MT-38-New",'SKU明细'!$A$11:$A$1309,0)))&lt;1,SUM(INDEX('SKU明细'!$D$11:$D$1309,MATCH("B07-MT-38-New",'SKU明细'!$A$11:$A$1309,0)))&amp;" + 待核",SUM(INDEX('SKU明细'!$D$11:$D$1309,MATCH("B07-MT-38-New",'SKU明细'!$A$11:$A$1309,0)))))</x:f>
        <x:v>0</x:v>
      </x:c>
      <x:c r="K75" s="38" t="str">
        <x:f>"—"</x:f>
        <x:v>—</x:v>
      </x:c>
      <x:c r="L75" s="38" t="n">
        <x:f>IF(COUNT(INDEX('SKU明细'!$D$11:$D$1309,MATCH("B07-MT-39-by",'SKU明细'!$A$11:$A$1309,0)))=0,"待核",IF(COUNT(INDEX('SKU明细'!$D$11:$D$1309,MATCH("B07-MT-39-by",'SKU明细'!$A$11:$A$1309,0)))&lt;1,SUM(INDEX('SKU明细'!$D$11:$D$1309,MATCH("B07-MT-39-by",'SKU明细'!$A$11:$A$1309,0)))&amp;" + 待核",SUM(INDEX('SKU明细'!$D$11:$D$1309,MATCH("B07-MT-39-by",'SKU明细'!$A$11:$A$1309,0)))))</x:f>
        <x:v>0</x:v>
      </x:c>
      <x:c r="M75" s="38" t="str">
        <x:f>"—"</x:f>
        <x:v>—</x:v>
      </x:c>
      <x:c r="N75" s="38" t="str">
        <x:f>"—"</x:f>
        <x:v>—</x:v>
      </x:c>
      <x:c r="O75" s="38" t="str">
        <x:f>"—"</x:f>
        <x:v>—</x:v>
      </x:c>
      <x:c r="P75" s="38" t="str">
        <x:f>"—"</x:f>
        <x:v>—</x:v>
      </x:c>
      <x:c r="Q75" s="38" t="n">
        <x:f>IF(COUNT(INDEX('SKU明细'!$D$11:$D$1309,MATCH("B07-MT-41.5",'SKU明细'!$A$11:$A$1309,0)))=0,"待核",IF(COUNT(INDEX('SKU明细'!$D$11:$D$1309,MATCH("B07-MT-41.5",'SKU明细'!$A$11:$A$1309,0)))&lt;1,SUM(INDEX('SKU明细'!$D$11:$D$1309,MATCH("B07-MT-41.5",'SKU明细'!$A$11:$A$1309,0)))&amp;" + 待核",SUM(INDEX('SKU明细'!$D$11:$D$1309,MATCH("B07-MT-41.5",'SKU明细'!$A$11:$A$1309,0)))))</x:f>
        <x:v>0</x:v>
      </x:c>
      <x:c r="R75" s="38" t="str">
        <x:f>IF(COUNT(INDEX('SKU明细'!$D$11:$D$1309,MATCH("B07-MT-42-by",'SKU明细'!$A$11:$A$1309,0)))=0,"待核",IF(COUNT(INDEX('SKU明细'!$D$11:$D$1309,MATCH("B07-MT-42-by",'SKU明细'!$A$11:$A$1309,0)))&lt;1,SUM(INDEX('SKU明细'!$D$11:$D$1309,MATCH("B07-MT-42-by",'SKU明细'!$A$11:$A$1309,0)))&amp;" + 待核",SUM(INDEX('SKU明细'!$D$11:$D$1309,MATCH("B07-MT-42-by",'SKU明细'!$A$11:$A$1309,0)))))</x:f>
        <x:v>待核</x:v>
      </x:c>
      <x:c r="S75" s="38" t="n">
        <x:f>IF(COUNT(INDEX('SKU明细'!$D$11:$D$1309,MATCH("B07-MT-37-by",'SKU明细'!$A$11:$A$1309,0)),INDEX('SKU明细'!$D$11:$D$1309,MATCH("B07-MT-37.5",'SKU明细'!$A$11:$A$1309,0)),INDEX('SKU明细'!$D$11:$D$1309,MATCH("B07-MT-38-New",'SKU明细'!$A$11:$A$1309,0)),INDEX('SKU明细'!$D$11:$D$1309,MATCH("B07-MT-39-by",'SKU明细'!$A$11:$A$1309,0)),INDEX('SKU明细'!$D$11:$D$1309,MATCH("B07-MT-41.5",'SKU明细'!$A$11:$A$1309,0)),INDEX('SKU明细'!$D$11:$D$1309,MATCH("B07-MT-42-by",'SKU明细'!$A$11:$A$1309,0)))=0,"待核",SUM(INDEX('SKU明细'!$D$11:$D$1309,MATCH("B07-MT-37-by",'SKU明细'!$A$11:$A$1309,0)),INDEX('SKU明细'!$D$11:$D$1309,MATCH("B07-MT-37.5",'SKU明细'!$A$11:$A$1309,0)),INDEX('SKU明细'!$D$11:$D$1309,MATCH("B07-MT-38-New",'SKU明细'!$A$11:$A$1309,0)),INDEX('SKU明细'!$D$11:$D$1309,MATCH("B07-MT-39-by",'SKU明细'!$A$11:$A$1309,0)),INDEX('SKU明细'!$D$11:$D$1309,MATCH("B07-MT-41.5",'SKU明细'!$A$11:$A$1309,0)),INDEX('SKU明细'!$D$11:$D$1309,MATCH("B07-MT-42-by",'SKU明细'!$A$11:$A$1309,0))))</x:f>
        <x:v>0</x:v>
      </x:c>
      <x:c r="T75" s="38" t="n">
        <x:f>IF(COUNTIFS($A$9:$A$191,A75,$U$9:$U$191,"&lt;&gt;待核")=0,"待核",SUMIF($A$9:$A$191,A75,$S$9:$S$191))</x:f>
        <x:v>364</x:v>
      </x:c>
      <x:c r="U75" s="37" t="str">
        <x:f>IF(COUNT(INDEX('SKU明细'!$D$11:$D$1309,MATCH("B07-MT-37-by",'SKU明细'!$A$11:$A$1309,0)),INDEX('SKU明细'!$D$11:$D$1309,MATCH("B07-MT-37.5",'SKU明细'!$A$11:$A$1309,0)),INDEX('SKU明细'!$D$11:$D$1309,MATCH("B07-MT-38-New",'SKU明细'!$A$11:$A$1309,0)),INDEX('SKU明细'!$D$11:$D$1309,MATCH("B07-MT-39-by",'SKU明细'!$A$11:$A$1309,0)),INDEX('SKU明细'!$D$11:$D$1309,MATCH("B07-MT-41.5",'SKU明细'!$A$11:$A$1309,0)),INDEX('SKU明细'!$D$11:$D$1309,MATCH("B07-MT-42-by",'SKU明细'!$A$11:$A$1309,0)))=0,"待核",IF(COUNT(INDEX('SKU明细'!$D$11:$D$1309,MATCH("B07-MT-37-by",'SKU明细'!$A$11:$A$1309,0)),INDEX('SKU明细'!$D$11:$D$1309,MATCH("B07-MT-37.5",'SKU明细'!$A$11:$A$1309,0)),INDEX('SKU明细'!$D$11:$D$1309,MATCH("B07-MT-38-New",'SKU明细'!$A$11:$A$1309,0)),INDEX('SKU明细'!$D$11:$D$1309,MATCH("B07-MT-39-by",'SKU明细'!$A$11:$A$1309,0)),INDEX('SKU明细'!$D$11:$D$1309,MATCH("B07-MT-41.5",'SKU明细'!$A$11:$A$1309,0)),INDEX('SKU明细'!$D$11:$D$1309,MATCH("B07-MT-42-by",'SKU明细'!$A$11:$A$1309,0)))&lt;6,"另有待核","已核"))</x:f>
        <x:v>另有待核</x:v>
      </x:c>
      <x:c r="V75" s="37" t="str">
        <x:v>在售、停售</x:v>
      </x:c>
      <x:c r="W75" s="11" t="n">
        <x:f>IF(COUNT(INDEX('SKU明细'!$BV$11:$BV$1309,MATCH("B07-MT-37-by",'SKU明细'!$A$11:$A$1309,0)),INDEX('SKU明细'!$BV$11:$BV$1309,MATCH("B07-MT-37.5",'SKU明细'!$A$11:$A$1309,0)),INDEX('SKU明细'!$BV$11:$BV$1309,MATCH("B07-MT-38-New",'SKU明细'!$A$11:$A$1309,0)),INDEX('SKU明细'!$BV$11:$BV$1309,MATCH("B07-MT-39-by",'SKU明细'!$A$11:$A$1309,0)),INDEX('SKU明细'!$BV$11:$BV$1309,MATCH("B07-MT-41.5",'SKU明细'!$A$11:$A$1309,0)),INDEX('SKU明细'!$BV$11:$BV$1309,MATCH("B07-MT-42-by",'SKU明细'!$A$11:$A$1309,0)))=6,SUM(INDEX('SKU明细'!$BV$11:$BV$1309,MATCH("B07-MT-37-by",'SKU明细'!$A$11:$A$1309,0)),INDEX('SKU明细'!$BV$11:$BV$1309,MATCH("B07-MT-37.5",'SKU明细'!$A$11:$A$1309,0)),INDEX('SKU明细'!$BV$11:$BV$1309,MATCH("B07-MT-38-New",'SKU明细'!$A$11:$A$1309,0)),INDEX('SKU明细'!$BV$11:$BV$1309,MATCH("B07-MT-39-by",'SKU明细'!$A$11:$A$1309,0)),INDEX('SKU明细'!$BV$11:$BV$1309,MATCH("B07-MT-41.5",'SKU明细'!$A$11:$A$1309,0)),INDEX('SKU明细'!$BV$11:$BV$1309,MATCH("B07-MT-42-by",'SKU明细'!$A$11:$A$1309,0))),"待核")</x:f>
        <x:v>0.25730301527639027</x:v>
      </x:c>
      <x:c r="X75" s="11" t="n">
        <x:f>INDEX('SKU明细'!$BW$11:$BW$1309,MATCH("B07-MT-37-by",'SKU明细'!$A$11:$A$1309,0))</x:f>
        <x:v>0.7307750238224848</x:v>
      </x:c>
      <x:c r="Y75" s="13" t="n">
        <x:f>IF(COUNT(INDEX('SKU明细'!$BY$11:$BY$1309,MATCH("B07-MT-37-by",'SKU明细'!$A$11:$A$1309,0)),INDEX('SKU明细'!$BY$11:$BY$1309,MATCH("B07-MT-37.5",'SKU明细'!$A$11:$A$1309,0)),INDEX('SKU明细'!$BY$11:$BY$1309,MATCH("B07-MT-38-New",'SKU明细'!$A$11:$A$1309,0)),INDEX('SKU明细'!$BY$11:$BY$1309,MATCH("B07-MT-39-by",'SKU明细'!$A$11:$A$1309,0)),INDEX('SKU明细'!$BY$11:$BY$1309,MATCH("B07-MT-41.5",'SKU明细'!$A$11:$A$1309,0)),INDEX('SKU明细'!$BY$11:$BY$1309,MATCH("B07-MT-42-by",'SKU明细'!$A$11:$A$1309,0)))=6,SUM(INDEX('SKU明细'!$BY$11:$BY$1309,MATCH("B07-MT-37-by",'SKU明细'!$A$11:$A$1309,0)),INDEX('SKU明细'!$BY$11:$BY$1309,MATCH("B07-MT-37.5",'SKU明细'!$A$11:$A$1309,0)),INDEX('SKU明细'!$BY$11:$BY$1309,MATCH("B07-MT-38-New",'SKU明细'!$A$11:$A$1309,0)),INDEX('SKU明细'!$BY$11:$BY$1309,MATCH("B07-MT-39-by",'SKU明细'!$A$11:$A$1309,0)),INDEX('SKU明细'!$BY$11:$BY$1309,MATCH("B07-MT-41.5",'SKU明细'!$A$11:$A$1309,0)),INDEX('SKU明细'!$BY$11:$BY$1309,MATCH("B07-MT-42-by",'SKU明细'!$A$11:$A$1309,0))),"待核")</x:f>
        <x:v>2.2563674054184153</x:v>
      </x:c>
      <x:c r="Z75" s="11" t="n">
        <x:f>INDEX('SKU明细'!$BZ$11:$BZ$1309,MATCH("B07-MT-37-by",'SKU明细'!$A$11:$A$1309,0))</x:f>
        <x:v>0.9523018155490097</x:v>
      </x:c>
      <x:c r="AA75" s="13" t="n">
        <x:f>IF(COUNT(INDEX('SKU明细'!$CB$11:$CB$1309,MATCH("B07-MT-37-by",'SKU明细'!$A$11:$A$1309,0)),INDEX('SKU明细'!$CB$11:$CB$1309,MATCH("B07-MT-37.5",'SKU明细'!$A$11:$A$1309,0)),INDEX('SKU明细'!$CB$11:$CB$1309,MATCH("B07-MT-38-New",'SKU明细'!$A$11:$A$1309,0)),INDEX('SKU明细'!$CB$11:$CB$1309,MATCH("B07-MT-39-by",'SKU明细'!$A$11:$A$1309,0)),INDEX('SKU明细'!$CB$11:$CB$1309,MATCH("B07-MT-41.5",'SKU明细'!$A$11:$A$1309,0)),INDEX('SKU明细'!$CB$11:$CB$1309,MATCH("B07-MT-42-by",'SKU明细'!$A$11:$A$1309,0)))=6,SUM(INDEX('SKU明细'!$CB$11:$CB$1309,MATCH("B07-MT-37-by",'SKU明细'!$A$11:$A$1309,0)),INDEX('SKU明细'!$CB$11:$CB$1309,MATCH("B07-MT-37.5",'SKU明细'!$A$11:$A$1309,0)),INDEX('SKU明细'!$CB$11:$CB$1309,MATCH("B07-MT-38-New",'SKU明细'!$A$11:$A$1309,0)),INDEX('SKU明细'!$CB$11:$CB$1309,MATCH("B07-MT-39-by",'SKU明细'!$A$11:$A$1309,0)),INDEX('SKU明细'!$CB$11:$CB$1309,MATCH("B07-MT-41.5",'SKU明细'!$A$11:$A$1309,0)),INDEX('SKU明细'!$CB$11:$CB$1309,MATCH("B07-MT-42-by",'SKU明细'!$A$11:$A$1309,0))),"待核")</x:f>
        <x:v>7.350903857818231</x:v>
      </x:c>
      <x:c r="AB75" s="11" t="n">
        <x:f>INDEX('SKU明细'!$CC$11:$CC$1309,MATCH("B07-MT-37-by",'SKU明细'!$A$11:$A$1309,0))</x:f>
        <x:v>0.5958545198749097</x:v>
      </x:c>
      <x:c r="AC75" s="13" t="n">
        <x:f>IF(COUNT(INDEX('SKU明细'!$CE$11:$CE$1309,MATCH("B07-MT-37-by",'SKU明细'!$A$11:$A$1309,0)),INDEX('SKU明细'!$CE$11:$CE$1309,MATCH("B07-MT-37.5",'SKU明细'!$A$11:$A$1309,0)),INDEX('SKU明细'!$CE$11:$CE$1309,MATCH("B07-MT-38-New",'SKU明细'!$A$11:$A$1309,0)),INDEX('SKU明细'!$CE$11:$CE$1309,MATCH("B07-MT-39-by",'SKU明细'!$A$11:$A$1309,0)),INDEX('SKU明细'!$CE$11:$CE$1309,MATCH("B07-MT-41.5",'SKU明细'!$A$11:$A$1309,0)),INDEX('SKU明细'!$CE$11:$CE$1309,MATCH("B07-MT-42-by",'SKU明细'!$A$11:$A$1309,0)))=6,SUM(INDEX('SKU明细'!$CE$11:$CE$1309,MATCH("B07-MT-37-by",'SKU明细'!$A$11:$A$1309,0)),INDEX('SKU明细'!$CE$11:$CE$1309,MATCH("B07-MT-37.5",'SKU明细'!$A$11:$A$1309,0)),INDEX('SKU明细'!$CE$11:$CE$1309,MATCH("B07-MT-38-New",'SKU明细'!$A$11:$A$1309,0)),INDEX('SKU明细'!$CE$11:$CE$1309,MATCH("B07-MT-39-by",'SKU明细'!$A$11:$A$1309,0)),INDEX('SKU明细'!$CE$11:$CE$1309,MATCH("B07-MT-41.5",'SKU明细'!$A$11:$A$1309,0)),INDEX('SKU明细'!$CE$11:$CE$1309,MATCH("B07-MT-42-by",'SKU明细'!$A$11:$A$1309,0))),"待核")</x:f>
        <x:v>4.752770103526283</x:v>
      </x:c>
      <x:c r="AD75" s="11" t="n">
        <x:f>INDEX('SKU明细'!$CF$11:$CF$1309,MATCH("B07-MT-37-by",'SKU明细'!$A$11:$A$1309,0))</x:f>
        <x:v>1.3264167397065354</x:v>
      </x:c>
      <x:c r="AE75" s="13" t="n">
        <x:f>IF(COUNT(INDEX('SKU明细'!$CH$11:$CH$1309,MATCH("B07-MT-37-by",'SKU明细'!$A$11:$A$1309,0)),INDEX('SKU明细'!$CH$11:$CH$1309,MATCH("B07-MT-37.5",'SKU明细'!$A$11:$A$1309,0)),INDEX('SKU明细'!$CH$11:$CH$1309,MATCH("B07-MT-38-New",'SKU明细'!$A$11:$A$1309,0)),INDEX('SKU明细'!$CH$11:$CH$1309,MATCH("B07-MT-39-by",'SKU明细'!$A$11:$A$1309,0)),INDEX('SKU明细'!$CH$11:$CH$1309,MATCH("B07-MT-41.5",'SKU明细'!$A$11:$A$1309,0)),INDEX('SKU明细'!$CH$11:$CH$1309,MATCH("B07-MT-42-by",'SKU明细'!$A$11:$A$1309,0)))=6,SUM(INDEX('SKU明细'!$CH$11:$CH$1309,MATCH("B07-MT-37-by",'SKU明细'!$A$11:$A$1309,0)),INDEX('SKU明细'!$CH$11:$CH$1309,MATCH("B07-MT-37.5",'SKU明细'!$A$11:$A$1309,0)),INDEX('SKU明细'!$CH$11:$CH$1309,MATCH("B07-MT-38-New",'SKU明细'!$A$11:$A$1309,0)),INDEX('SKU明细'!$CH$11:$CH$1309,MATCH("B07-MT-39-by",'SKU明细'!$A$11:$A$1309,0)),INDEX('SKU明细'!$CH$11:$CH$1309,MATCH("B07-MT-41.5",'SKU明细'!$A$11:$A$1309,0)),INDEX('SKU明细'!$CH$11:$CH$1309,MATCH("B07-MT-42-by",'SKU明细'!$A$11:$A$1309,0))),"待核")</x:f>
        <x:v>5.801947452872698</x:v>
      </x:c>
      <x:c r="AF75" s="13" t="n">
        <x:f>IF(COUNT(INDEX('SKU明细'!$CI$11:$CI$1309,MATCH("B07-MT-37-by",'SKU明细'!$A$11:$A$1309,0)),INDEX('SKU明细'!$CI$11:$CI$1309,MATCH("B07-MT-37.5",'SKU明细'!$A$11:$A$1309,0)),INDEX('SKU明细'!$CI$11:$CI$1309,MATCH("B07-MT-38-New",'SKU明细'!$A$11:$A$1309,0)),INDEX('SKU明细'!$CI$11:$CI$1309,MATCH("B07-MT-39-by",'SKU明细'!$A$11:$A$1309,0)),INDEX('SKU明细'!$CI$11:$CI$1309,MATCH("B07-MT-41.5",'SKU明细'!$A$11:$A$1309,0)),INDEX('SKU明细'!$CI$11:$CI$1309,MATCH("B07-MT-42-by",'SKU明细'!$A$11:$A$1309,0)))=6,SUM(INDEX('SKU明细'!$CI$11:$CI$1309,MATCH("B07-MT-37-by",'SKU明细'!$A$11:$A$1309,0)),INDEX('SKU明细'!$CI$11:$CI$1309,MATCH("B07-MT-37.5",'SKU明细'!$A$11:$A$1309,0)),INDEX('SKU明细'!$CI$11:$CI$1309,MATCH("B07-MT-38-New",'SKU明细'!$A$11:$A$1309,0)),INDEX('SKU明细'!$CI$11:$CI$1309,MATCH("B07-MT-39-by",'SKU明细'!$A$11:$A$1309,0)),INDEX('SKU明细'!$CI$11:$CI$1309,MATCH("B07-MT-41.5",'SKU明细'!$A$11:$A$1309,0)),INDEX('SKU明细'!$CI$11:$CI$1309,MATCH("B07-MT-42-by",'SKU明细'!$A$11:$A$1309,0))),"待核")</x:f>
        <x:v>20.16198881963563</x:v>
      </x:c>
    </x:row>
    <x:row r="76" ht="40" customHeight="1">
      <x:c r="A76" s="37" t="str">
        <x:v>B07</x:v>
      </x:c>
      <x:c r="B76" s="37" t="str">
        <x:v>艾年</x:v>
      </x:c>
      <x:c r="C76" s="37" t="str">
        <x:v>裸色色织提花</x:v>
      </x:c>
      <x:c r="D76" s="37" t="str">
        <x:v>ND-I</x:v>
      </x:c>
      <x:c r="E76" s="37" t="str">
        <x:v>B07-ND-I-0</x:v>
      </x:c>
      <x:c r="F76" s="37"/>
      <x:c r="G76" s="38" t="str">
        <x:f>"—"</x:f>
        <x:v>—</x:v>
      </x:c>
      <x:c r="H76" s="38" t="n">
        <x:f>IF(COUNT(INDEX('SKU明细'!$D$11:$D$1309,MATCH("B07-ND-I-0-37",'SKU明细'!$A$11:$A$1309,0)))=0,"待核",IF(COUNT(INDEX('SKU明细'!$D$11:$D$1309,MATCH("B07-ND-I-0-37",'SKU明细'!$A$11:$A$1309,0)))&lt;1,SUM(INDEX('SKU明细'!$D$11:$D$1309,MATCH("B07-ND-I-0-37",'SKU明细'!$A$11:$A$1309,0)))&amp;" + 待核",SUM(INDEX('SKU明细'!$D$11:$D$1309,MATCH("B07-ND-I-0-37",'SKU明细'!$A$11:$A$1309,0)))))</x:f>
        <x:v>0</x:v>
      </x:c>
      <x:c r="I76" s="38" t="str">
        <x:f>IF(COUNT(INDEX('SKU明细'!$D$11:$D$1309,MATCH("B07-ND-I-0-37.5",'SKU明细'!$A$11:$A$1309,0)))=0,"待核",IF(COUNT(INDEX('SKU明细'!$D$11:$D$1309,MATCH("B07-ND-I-0-37.5",'SKU明细'!$A$11:$A$1309,0)))&lt;1,SUM(INDEX('SKU明细'!$D$11:$D$1309,MATCH("B07-ND-I-0-37.5",'SKU明细'!$A$11:$A$1309,0)))&amp;" + 待核",SUM(INDEX('SKU明细'!$D$11:$D$1309,MATCH("B07-ND-I-0-37.5",'SKU明细'!$A$11:$A$1309,0)))))</x:f>
        <x:v>待核</x:v>
      </x:c>
      <x:c r="J76" s="38" t="n">
        <x:f>IF(COUNT(INDEX('SKU明细'!$D$11:$D$1309,MATCH("B07-ND-I-0-38",'SKU明细'!$A$11:$A$1309,0)))=0,"待核",IF(COUNT(INDEX('SKU明细'!$D$11:$D$1309,MATCH("B07-ND-I-0-38",'SKU明细'!$A$11:$A$1309,0)))&lt;1,SUM(INDEX('SKU明细'!$D$11:$D$1309,MATCH("B07-ND-I-0-38",'SKU明细'!$A$11:$A$1309,0)))&amp;" + 待核",SUM(INDEX('SKU明细'!$D$11:$D$1309,MATCH("B07-ND-I-0-38",'SKU明细'!$A$11:$A$1309,0)))))</x:f>
        <x:v>0</x:v>
      </x:c>
      <x:c r="K76" s="38" t="str">
        <x:f>"—"</x:f>
        <x:v>—</x:v>
      </x:c>
      <x:c r="L76" s="38" t="str">
        <x:f>"—"</x:f>
        <x:v>—</x:v>
      </x:c>
      <x:c r="M76" s="38" t="n">
        <x:f>IF(COUNT(INDEX('SKU明细'!$D$11:$D$1309,MATCH("B07-ND-I-0-39.5",'SKU明细'!$A$11:$A$1309,0)))=0,"待核",IF(COUNT(INDEX('SKU明细'!$D$11:$D$1309,MATCH("B07-ND-I-0-39.5",'SKU明细'!$A$11:$A$1309,0)))&lt;1,SUM(INDEX('SKU明细'!$D$11:$D$1309,MATCH("B07-ND-I-0-39.5",'SKU明细'!$A$11:$A$1309,0)))&amp;" + 待核",SUM(INDEX('SKU明细'!$D$11:$D$1309,MATCH("B07-ND-I-0-39.5",'SKU明细'!$A$11:$A$1309,0)))))</x:f>
        <x:v>0</x:v>
      </x:c>
      <x:c r="N76" s="38" t="str">
        <x:f>"—"</x:f>
        <x:v>—</x:v>
      </x:c>
      <x:c r="O76" s="38" t="n">
        <x:f>IF(COUNT(INDEX('SKU明细'!$D$11:$D$1309,MATCH("B07-ND-I-0-40.5",'SKU明细'!$A$11:$A$1309,0)))=0,"待核",IF(COUNT(INDEX('SKU明细'!$D$11:$D$1309,MATCH("B07-ND-I-0-40.5",'SKU明细'!$A$11:$A$1309,0)))&lt;1,SUM(INDEX('SKU明细'!$D$11:$D$1309,MATCH("B07-ND-I-0-40.5",'SKU明细'!$A$11:$A$1309,0)))&amp;" + 待核",SUM(INDEX('SKU明细'!$D$11:$D$1309,MATCH("B07-ND-I-0-40.5",'SKU明细'!$A$11:$A$1309,0)))))</x:f>
        <x:v>0</x:v>
      </x:c>
      <x:c r="P76" s="38" t="n">
        <x:f>IF(COUNT(INDEX('SKU明细'!$D$11:$D$1309,MATCH("B07-ND-I-0-41",'SKU明细'!$A$11:$A$1309,0)))=0,"待核",IF(COUNT(INDEX('SKU明细'!$D$11:$D$1309,MATCH("B07-ND-I-0-41",'SKU明细'!$A$11:$A$1309,0)))&lt;1,SUM(INDEX('SKU明细'!$D$11:$D$1309,MATCH("B07-ND-I-0-41",'SKU明细'!$A$11:$A$1309,0)))&amp;" + 待核",SUM(INDEX('SKU明细'!$D$11:$D$1309,MATCH("B07-ND-I-0-41",'SKU明细'!$A$11:$A$1309,0)))))</x:f>
        <x:v>0</x:v>
      </x:c>
      <x:c r="Q76" s="38" t="str">
        <x:f>"—"</x:f>
        <x:v>—</x:v>
      </x:c>
      <x:c r="R76" s="38" t="str">
        <x:f>"—"</x:f>
        <x:v>—</x:v>
      </x:c>
      <x:c r="S76" s="38" t="n">
        <x:f>IF(COUNT(INDEX('SKU明细'!$D$11:$D$1309,MATCH("B07-ND-I-0-37",'SKU明细'!$A$11:$A$1309,0)),INDEX('SKU明细'!$D$11:$D$1309,MATCH("B07-ND-I-0-37.5",'SKU明细'!$A$11:$A$1309,0)),INDEX('SKU明细'!$D$11:$D$1309,MATCH("B07-ND-I-0-38",'SKU明细'!$A$11:$A$1309,0)),INDEX('SKU明细'!$D$11:$D$1309,MATCH("B07-ND-I-0-39.5",'SKU明细'!$A$11:$A$1309,0)),INDEX('SKU明细'!$D$11:$D$1309,MATCH("B07-ND-I-0-40.5",'SKU明细'!$A$11:$A$1309,0)),INDEX('SKU明细'!$D$11:$D$1309,MATCH("B07-ND-I-0-41",'SKU明细'!$A$11:$A$1309,0)))=0,"待核",SUM(INDEX('SKU明细'!$D$11:$D$1309,MATCH("B07-ND-I-0-37",'SKU明细'!$A$11:$A$1309,0)),INDEX('SKU明细'!$D$11:$D$1309,MATCH("B07-ND-I-0-37.5",'SKU明细'!$A$11:$A$1309,0)),INDEX('SKU明细'!$D$11:$D$1309,MATCH("B07-ND-I-0-38",'SKU明细'!$A$11:$A$1309,0)),INDEX('SKU明细'!$D$11:$D$1309,MATCH("B07-ND-I-0-39.5",'SKU明细'!$A$11:$A$1309,0)),INDEX('SKU明细'!$D$11:$D$1309,MATCH("B07-ND-I-0-40.5",'SKU明细'!$A$11:$A$1309,0)),INDEX('SKU明细'!$D$11:$D$1309,MATCH("B07-ND-I-0-41",'SKU明细'!$A$11:$A$1309,0))))</x:f>
        <x:v>0</x:v>
      </x:c>
      <x:c r="T76" s="38" t="n">
        <x:f>IF(COUNTIFS($A$9:$A$191,A76,$U$9:$U$191,"&lt;&gt;待核")=0,"待核",SUMIF($A$9:$A$191,A76,$S$9:$S$191))</x:f>
        <x:v>364</x:v>
      </x:c>
      <x:c r="U76" s="37" t="str">
        <x:f>IF(COUNT(INDEX('SKU明细'!$D$11:$D$1309,MATCH("B07-ND-I-0-37",'SKU明细'!$A$11:$A$1309,0)),INDEX('SKU明细'!$D$11:$D$1309,MATCH("B07-ND-I-0-37.5",'SKU明细'!$A$11:$A$1309,0)),INDEX('SKU明细'!$D$11:$D$1309,MATCH("B07-ND-I-0-38",'SKU明细'!$A$11:$A$1309,0)),INDEX('SKU明细'!$D$11:$D$1309,MATCH("B07-ND-I-0-39.5",'SKU明细'!$A$11:$A$1309,0)),INDEX('SKU明细'!$D$11:$D$1309,MATCH("B07-ND-I-0-40.5",'SKU明细'!$A$11:$A$1309,0)),INDEX('SKU明细'!$D$11:$D$1309,MATCH("B07-ND-I-0-41",'SKU明细'!$A$11:$A$1309,0)))=0,"待核",IF(COUNT(INDEX('SKU明细'!$D$11:$D$1309,MATCH("B07-ND-I-0-37",'SKU明细'!$A$11:$A$1309,0)),INDEX('SKU明细'!$D$11:$D$1309,MATCH("B07-ND-I-0-37.5",'SKU明细'!$A$11:$A$1309,0)),INDEX('SKU明细'!$D$11:$D$1309,MATCH("B07-ND-I-0-38",'SKU明细'!$A$11:$A$1309,0)),INDEX('SKU明细'!$D$11:$D$1309,MATCH("B07-ND-I-0-39.5",'SKU明细'!$A$11:$A$1309,0)),INDEX('SKU明细'!$D$11:$D$1309,MATCH("B07-ND-I-0-40.5",'SKU明细'!$A$11:$A$1309,0)),INDEX('SKU明细'!$D$11:$D$1309,MATCH("B07-ND-I-0-41",'SKU明细'!$A$11:$A$1309,0)))&lt;6,"另有待核","已核"))</x:f>
        <x:v>另有待核</x:v>
      </x:c>
      <x:c r="V76" s="37" t="str">
        <x:v>在售、停售</x:v>
      </x:c>
      <x:c r="W76" s="11" t="n">
        <x:f>IF(COUNT(INDEX('SKU明细'!$BV$11:$BV$1309,MATCH("B07-ND-I-0-37",'SKU明细'!$A$11:$A$1309,0)),INDEX('SKU明细'!$BV$11:$BV$1309,MATCH("B07-ND-I-0-37.5",'SKU明细'!$A$11:$A$1309,0)),INDEX('SKU明细'!$BV$11:$BV$1309,MATCH("B07-ND-I-0-38",'SKU明细'!$A$11:$A$1309,0)),INDEX('SKU明细'!$BV$11:$BV$1309,MATCH("B07-ND-I-0-39.5",'SKU明细'!$A$11:$A$1309,0)),INDEX('SKU明细'!$BV$11:$BV$1309,MATCH("B07-ND-I-0-40.5",'SKU明细'!$A$11:$A$1309,0)),INDEX('SKU明细'!$BV$11:$BV$1309,MATCH("B07-ND-I-0-41",'SKU明细'!$A$11:$A$1309,0)))=6,SUM(INDEX('SKU明细'!$BV$11:$BV$1309,MATCH("B07-ND-I-0-37",'SKU明细'!$A$11:$A$1309,0)),INDEX('SKU明细'!$BV$11:$BV$1309,MATCH("B07-ND-I-0-37.5",'SKU明细'!$A$11:$A$1309,0)),INDEX('SKU明细'!$BV$11:$BV$1309,MATCH("B07-ND-I-0-38",'SKU明细'!$A$11:$A$1309,0)),INDEX('SKU明细'!$BV$11:$BV$1309,MATCH("B07-ND-I-0-39.5",'SKU明细'!$A$11:$A$1309,0)),INDEX('SKU明细'!$BV$11:$BV$1309,MATCH("B07-ND-I-0-40.5",'SKU明细'!$A$11:$A$1309,0)),INDEX('SKU明细'!$BV$11:$BV$1309,MATCH("B07-ND-I-0-41",'SKU明细'!$A$11:$A$1309,0))),"待核")</x:f>
        <x:v>0.3811212472214981</x:v>
      </x:c>
      <x:c r="X76" s="11" t="n">
        <x:f>INDEX('SKU明细'!$BW$11:$BW$1309,MATCH("B07-ND-I-0-37",'SKU明细'!$A$11:$A$1309,0))</x:f>
        <x:v>0.7307750238224848</x:v>
      </x:c>
      <x:c r="Y76" s="13" t="n">
        <x:f>IF(COUNT(INDEX('SKU明细'!$BY$11:$BY$1309,MATCH("B07-ND-I-0-37",'SKU明细'!$A$11:$A$1309,0)),INDEX('SKU明细'!$BY$11:$BY$1309,MATCH("B07-ND-I-0-37.5",'SKU明细'!$A$11:$A$1309,0)),INDEX('SKU明细'!$BY$11:$BY$1309,MATCH("B07-ND-I-0-38",'SKU明细'!$A$11:$A$1309,0)),INDEX('SKU明细'!$BY$11:$BY$1309,MATCH("B07-ND-I-0-39.5",'SKU明细'!$A$11:$A$1309,0)),INDEX('SKU明细'!$BY$11:$BY$1309,MATCH("B07-ND-I-0-40.5",'SKU明细'!$A$11:$A$1309,0)),INDEX('SKU明细'!$BY$11:$BY$1309,MATCH("B07-ND-I-0-41",'SKU明细'!$A$11:$A$1309,0)))=6,SUM(INDEX('SKU明细'!$BY$11:$BY$1309,MATCH("B07-ND-I-0-37",'SKU明细'!$A$11:$A$1309,0)),INDEX('SKU明细'!$BY$11:$BY$1309,MATCH("B07-ND-I-0-37.5",'SKU明细'!$A$11:$A$1309,0)),INDEX('SKU明细'!$BY$11:$BY$1309,MATCH("B07-ND-I-0-38",'SKU明细'!$A$11:$A$1309,0)),INDEX('SKU明细'!$BY$11:$BY$1309,MATCH("B07-ND-I-0-39.5",'SKU明细'!$A$11:$A$1309,0)),INDEX('SKU明细'!$BY$11:$BY$1309,MATCH("B07-ND-I-0-40.5",'SKU明细'!$A$11:$A$1309,0)),INDEX('SKU明细'!$BY$11:$BY$1309,MATCH("B07-ND-I-0-41",'SKU明细'!$A$11:$A$1309,0))),"待核")</x:f>
        <x:v>3.3421666622105457</x:v>
      </x:c>
      <x:c r="Z76" s="11" t="n">
        <x:f>INDEX('SKU明细'!$BZ$11:$BZ$1309,MATCH("B07-ND-I-0-37",'SKU明细'!$A$11:$A$1309,0))</x:f>
        <x:v>0.9523018155490097</x:v>
      </x:c>
      <x:c r="AA76" s="13" t="n">
        <x:f>IF(COUNT(INDEX('SKU明细'!$CB$11:$CB$1309,MATCH("B07-ND-I-0-37",'SKU明细'!$A$11:$A$1309,0)),INDEX('SKU明细'!$CB$11:$CB$1309,MATCH("B07-ND-I-0-37.5",'SKU明细'!$A$11:$A$1309,0)),INDEX('SKU明细'!$CB$11:$CB$1309,MATCH("B07-ND-I-0-38",'SKU明细'!$A$11:$A$1309,0)),INDEX('SKU明细'!$CB$11:$CB$1309,MATCH("B07-ND-I-0-39.5",'SKU明细'!$A$11:$A$1309,0)),INDEX('SKU明细'!$CB$11:$CB$1309,MATCH("B07-ND-I-0-40.5",'SKU明细'!$A$11:$A$1309,0)),INDEX('SKU明细'!$CB$11:$CB$1309,MATCH("B07-ND-I-0-41",'SKU明细'!$A$11:$A$1309,0)))=6,SUM(INDEX('SKU明细'!$CB$11:$CB$1309,MATCH("B07-ND-I-0-37",'SKU明细'!$A$11:$A$1309,0)),INDEX('SKU明细'!$CB$11:$CB$1309,MATCH("B07-ND-I-0-37.5",'SKU明细'!$A$11:$A$1309,0)),INDEX('SKU明细'!$CB$11:$CB$1309,MATCH("B07-ND-I-0-38",'SKU明细'!$A$11:$A$1309,0)),INDEX('SKU明细'!$CB$11:$CB$1309,MATCH("B07-ND-I-0-39.5",'SKU明细'!$A$11:$A$1309,0)),INDEX('SKU明细'!$CB$11:$CB$1309,MATCH("B07-ND-I-0-40.5",'SKU明细'!$A$11:$A$1309,0)),INDEX('SKU明细'!$CB$11:$CB$1309,MATCH("B07-ND-I-0-41",'SKU明细'!$A$11:$A$1309,0))),"待核")</x:f>
        <x:v>10.88827367020007</x:v>
      </x:c>
      <x:c r="AB76" s="11" t="n">
        <x:f>INDEX('SKU明细'!$CC$11:$CC$1309,MATCH("B07-ND-I-0-37",'SKU明细'!$A$11:$A$1309,0))</x:f>
        <x:v>0.5958545198749097</x:v>
      </x:c>
      <x:c r="AC76" s="13" t="n">
        <x:f>IF(COUNT(INDEX('SKU明细'!$CE$11:$CE$1309,MATCH("B07-ND-I-0-37",'SKU明细'!$A$11:$A$1309,0)),INDEX('SKU明细'!$CE$11:$CE$1309,MATCH("B07-ND-I-0-37.5",'SKU明细'!$A$11:$A$1309,0)),INDEX('SKU明细'!$CE$11:$CE$1309,MATCH("B07-ND-I-0-38",'SKU明细'!$A$11:$A$1309,0)),INDEX('SKU明细'!$CE$11:$CE$1309,MATCH("B07-ND-I-0-39.5",'SKU明细'!$A$11:$A$1309,0)),INDEX('SKU明细'!$CE$11:$CE$1309,MATCH("B07-ND-I-0-40.5",'SKU明细'!$A$11:$A$1309,0)),INDEX('SKU明细'!$CE$11:$CE$1309,MATCH("B07-ND-I-0-41",'SKU明细'!$A$11:$A$1309,0)))=6,SUM(INDEX('SKU明细'!$CE$11:$CE$1309,MATCH("B07-ND-I-0-37",'SKU明细'!$A$11:$A$1309,0)),INDEX('SKU明细'!$CE$11:$CE$1309,MATCH("B07-ND-I-0-37.5",'SKU明细'!$A$11:$A$1309,0)),INDEX('SKU明细'!$CE$11:$CE$1309,MATCH("B07-ND-I-0-38",'SKU明细'!$A$11:$A$1309,0)),INDEX('SKU明细'!$CE$11:$CE$1309,MATCH("B07-ND-I-0-39.5",'SKU明细'!$A$11:$A$1309,0)),INDEX('SKU明细'!$CE$11:$CE$1309,MATCH("B07-ND-I-0-40.5",'SKU明细'!$A$11:$A$1309,0)),INDEX('SKU明细'!$CE$11:$CE$1309,MATCH("B07-ND-I-0-41",'SKU明细'!$A$11:$A$1309,0))),"待核")</x:f>
        <x:v>7.039877351096068</x:v>
      </x:c>
      <x:c r="AD76" s="11" t="n">
        <x:f>INDEX('SKU明细'!$CF$11:$CF$1309,MATCH("B07-ND-I-0-37",'SKU明细'!$A$11:$A$1309,0))</x:f>
        <x:v>1.3264167397065354</x:v>
      </x:c>
      <x:c r="AE76" s="13" t="n">
        <x:f>IF(COUNT(INDEX('SKU明细'!$CH$11:$CH$1309,MATCH("B07-ND-I-0-37",'SKU明细'!$A$11:$A$1309,0)),INDEX('SKU明细'!$CH$11:$CH$1309,MATCH("B07-ND-I-0-37.5",'SKU明细'!$A$11:$A$1309,0)),INDEX('SKU明细'!$CH$11:$CH$1309,MATCH("B07-ND-I-0-38",'SKU明细'!$A$11:$A$1309,0)),INDEX('SKU明细'!$CH$11:$CH$1309,MATCH("B07-ND-I-0-39.5",'SKU明细'!$A$11:$A$1309,0)),INDEX('SKU明细'!$CH$11:$CH$1309,MATCH("B07-ND-I-0-40.5",'SKU明细'!$A$11:$A$1309,0)),INDEX('SKU明细'!$CH$11:$CH$1309,MATCH("B07-ND-I-0-41",'SKU明细'!$A$11:$A$1309,0)))=6,SUM(INDEX('SKU明细'!$CH$11:$CH$1309,MATCH("B07-ND-I-0-37",'SKU明细'!$A$11:$A$1309,0)),INDEX('SKU明细'!$CH$11:$CH$1309,MATCH("B07-ND-I-0-37.5",'SKU明细'!$A$11:$A$1309,0)),INDEX('SKU明细'!$CH$11:$CH$1309,MATCH("B07-ND-I-0-38",'SKU明细'!$A$11:$A$1309,0)),INDEX('SKU明细'!$CH$11:$CH$1309,MATCH("B07-ND-I-0-39.5",'SKU明细'!$A$11:$A$1309,0)),INDEX('SKU明细'!$CH$11:$CH$1309,MATCH("B07-ND-I-0-40.5",'SKU明细'!$A$11:$A$1309,0)),INDEX('SKU明细'!$CH$11:$CH$1309,MATCH("B07-ND-I-0-41",'SKU明细'!$A$11:$A$1309,0))),"待核")</x:f>
        <x:v>8.593935236931276</x:v>
      </x:c>
      <x:c r="AF76" s="13" t="n">
        <x:f>IF(COUNT(INDEX('SKU明细'!$CI$11:$CI$1309,MATCH("B07-ND-I-0-37",'SKU明细'!$A$11:$A$1309,0)),INDEX('SKU明细'!$CI$11:$CI$1309,MATCH("B07-ND-I-0-37.5",'SKU明细'!$A$11:$A$1309,0)),INDEX('SKU明细'!$CI$11:$CI$1309,MATCH("B07-ND-I-0-38",'SKU明细'!$A$11:$A$1309,0)),INDEX('SKU明细'!$CI$11:$CI$1309,MATCH("B07-ND-I-0-39.5",'SKU明细'!$A$11:$A$1309,0)),INDEX('SKU明细'!$CI$11:$CI$1309,MATCH("B07-ND-I-0-40.5",'SKU明细'!$A$11:$A$1309,0)),INDEX('SKU明细'!$CI$11:$CI$1309,MATCH("B07-ND-I-0-41",'SKU明细'!$A$11:$A$1309,0)))=6,SUM(INDEX('SKU明细'!$CI$11:$CI$1309,MATCH("B07-ND-I-0-37",'SKU明细'!$A$11:$A$1309,0)),INDEX('SKU明细'!$CI$11:$CI$1309,MATCH("B07-ND-I-0-37.5",'SKU明细'!$A$11:$A$1309,0)),INDEX('SKU明细'!$CI$11:$CI$1309,MATCH("B07-ND-I-0-38",'SKU明细'!$A$11:$A$1309,0)),INDEX('SKU明细'!$CI$11:$CI$1309,MATCH("B07-ND-I-0-39.5",'SKU明细'!$A$11:$A$1309,0)),INDEX('SKU明细'!$CI$11:$CI$1309,MATCH("B07-ND-I-0-40.5",'SKU明细'!$A$11:$A$1309,0)),INDEX('SKU明细'!$CI$11:$CI$1309,MATCH("B07-ND-I-0-41",'SKU明细'!$A$11:$A$1309,0))),"待核")</x:f>
        <x:v>29.864252920437963</x:v>
      </x:c>
    </x:row>
    <x:row r="77" ht="40" customHeight="1">
      <x:c r="A77" s="37" t="str">
        <x:v>B07</x:v>
      </x:c>
      <x:c r="B77" s="37" t="str">
        <x:v>艾年</x:v>
      </x:c>
      <x:c r="C77" s="37" t="str">
        <x:v>裸色镜面PU</x:v>
      </x:c>
      <x:c r="D77" s="37" t="str">
        <x:v>ND-Z</x:v>
      </x:c>
      <x:c r="E77" s="37" t="str">
        <x:v>B07-ND-Z-0</x:v>
      </x:c>
      <x:c r="F77" s="37"/>
      <x:c r="G77" s="38" t="str">
        <x:f>"—"</x:f>
        <x:v>—</x:v>
      </x:c>
      <x:c r="H77" s="38" t="str">
        <x:f>"—"</x:f>
        <x:v>—</x:v>
      </x:c>
      <x:c r="I77" s="38" t="str">
        <x:f>"—"</x:f>
        <x:v>—</x:v>
      </x:c>
      <x:c r="J77" s="38" t="n">
        <x:f>IF(COUNT(INDEX('SKU明细'!$D$11:$D$1309,MATCH("B07-ND-Z-0-38",'SKU明细'!$A$11:$A$1309,0)))=0,"待核",IF(COUNT(INDEX('SKU明细'!$D$11:$D$1309,MATCH("B07-ND-Z-0-38",'SKU明细'!$A$11:$A$1309,0)))&lt;1,SUM(INDEX('SKU明细'!$D$11:$D$1309,MATCH("B07-ND-Z-0-38",'SKU明细'!$A$11:$A$1309,0)))&amp;" + 待核",SUM(INDEX('SKU明细'!$D$11:$D$1309,MATCH("B07-ND-Z-0-38",'SKU明细'!$A$11:$A$1309,0)))))</x:f>
        <x:v>0</x:v>
      </x:c>
      <x:c r="K77" s="38" t="n">
        <x:f>IF(COUNT(INDEX('SKU明细'!$D$11:$D$1309,MATCH("B07-ND-Z-0-38.5",'SKU明细'!$A$11:$A$1309,0)))=0,"待核",IF(COUNT(INDEX('SKU明细'!$D$11:$D$1309,MATCH("B07-ND-Z-0-38.5",'SKU明细'!$A$11:$A$1309,0)))&lt;1,SUM(INDEX('SKU明细'!$D$11:$D$1309,MATCH("B07-ND-Z-0-38.5",'SKU明细'!$A$11:$A$1309,0)))&amp;" + 待核",SUM(INDEX('SKU明细'!$D$11:$D$1309,MATCH("B07-ND-Z-0-38.5",'SKU明细'!$A$11:$A$1309,0)))))</x:f>
        <x:v>0</x:v>
      </x:c>
      <x:c r="L77" s="38" t="n">
        <x:f>IF(COUNT(INDEX('SKU明细'!$D$11:$D$1309,MATCH("B07-ND-Z-0-39",'SKU明细'!$A$11:$A$1309,0)))=0,"待核",IF(COUNT(INDEX('SKU明细'!$D$11:$D$1309,MATCH("B07-ND-Z-0-39",'SKU明细'!$A$11:$A$1309,0)))&lt;1,SUM(INDEX('SKU明细'!$D$11:$D$1309,MATCH("B07-ND-Z-0-39",'SKU明细'!$A$11:$A$1309,0)))&amp;" + 待核",SUM(INDEX('SKU明细'!$D$11:$D$1309,MATCH("B07-ND-Z-0-39",'SKU明细'!$A$11:$A$1309,0)))))</x:f>
        <x:v>0</x:v>
      </x:c>
      <x:c r="M77" s="38" t="n">
        <x:f>IF(COUNT(INDEX('SKU明细'!$D$11:$D$1309,MATCH("B07-ND-Z-0-39.5",'SKU明细'!$A$11:$A$1309,0)))=0,"待核",IF(COUNT(INDEX('SKU明细'!$D$11:$D$1309,MATCH("B07-ND-Z-0-39.5",'SKU明细'!$A$11:$A$1309,0)))&lt;1,SUM(INDEX('SKU明细'!$D$11:$D$1309,MATCH("B07-ND-Z-0-39.5",'SKU明细'!$A$11:$A$1309,0)))&amp;" + 待核",SUM(INDEX('SKU明细'!$D$11:$D$1309,MATCH("B07-ND-Z-0-39.5",'SKU明细'!$A$11:$A$1309,0)))))</x:f>
        <x:v>1</x:v>
      </x:c>
      <x:c r="N77" s="38" t="str">
        <x:f>"—"</x:f>
        <x:v>—</x:v>
      </x:c>
      <x:c r="O77" s="38" t="n">
        <x:f>IF(COUNT(INDEX('SKU明细'!$D$11:$D$1309,MATCH("B07-ND-Z-0-40.5",'SKU明细'!$A$11:$A$1309,0)))=0,"待核",IF(COUNT(INDEX('SKU明细'!$D$11:$D$1309,MATCH("B07-ND-Z-0-40.5",'SKU明细'!$A$11:$A$1309,0)))&lt;1,SUM(INDEX('SKU明细'!$D$11:$D$1309,MATCH("B07-ND-Z-0-40.5",'SKU明细'!$A$11:$A$1309,0)))&amp;" + 待核",SUM(INDEX('SKU明细'!$D$11:$D$1309,MATCH("B07-ND-Z-0-40.5",'SKU明细'!$A$11:$A$1309,0)))))</x:f>
        <x:v>0</x:v>
      </x:c>
      <x:c r="P77" s="38" t="n">
        <x:f>IF(COUNT(INDEX('SKU明细'!$D$11:$D$1309,MATCH("B07-ND-Z-0-41",'SKU明细'!$A$11:$A$1309,0)))=0,"待核",IF(COUNT(INDEX('SKU明细'!$D$11:$D$1309,MATCH("B07-ND-Z-0-41",'SKU明细'!$A$11:$A$1309,0)))&lt;1,SUM(INDEX('SKU明细'!$D$11:$D$1309,MATCH("B07-ND-Z-0-41",'SKU明细'!$A$11:$A$1309,0)))&amp;" + 待核",SUM(INDEX('SKU明细'!$D$11:$D$1309,MATCH("B07-ND-Z-0-41",'SKU明细'!$A$11:$A$1309,0)))))</x:f>
        <x:v>0</x:v>
      </x:c>
      <x:c r="Q77" s="38" t="n">
        <x:f>IF(COUNT(INDEX('SKU明细'!$D$11:$D$1309,MATCH("B07-ND-Z-0-41.5",'SKU明细'!$A$11:$A$1309,0)))=0,"待核",IF(COUNT(INDEX('SKU明细'!$D$11:$D$1309,MATCH("B07-ND-Z-0-41.5",'SKU明细'!$A$11:$A$1309,0)))&lt;1,SUM(INDEX('SKU明细'!$D$11:$D$1309,MATCH("B07-ND-Z-0-41.5",'SKU明细'!$A$11:$A$1309,0)))&amp;" + 待核",SUM(INDEX('SKU明细'!$D$11:$D$1309,MATCH("B07-ND-Z-0-41.5",'SKU明细'!$A$11:$A$1309,0)))))</x:f>
        <x:v>0</x:v>
      </x:c>
      <x:c r="R77" s="38" t="n">
        <x:f>IF(COUNT(INDEX('SKU明细'!$D$11:$D$1309,MATCH("B07-ND-Z-0-42",'SKU明细'!$A$11:$A$1309,0)))=0,"待核",IF(COUNT(INDEX('SKU明细'!$D$11:$D$1309,MATCH("B07-ND-Z-0-42",'SKU明细'!$A$11:$A$1309,0)))&lt;1,SUM(INDEX('SKU明细'!$D$11:$D$1309,MATCH("B07-ND-Z-0-42",'SKU明细'!$A$11:$A$1309,0)))&amp;" + 待核",SUM(INDEX('SKU明细'!$D$11:$D$1309,MATCH("B07-ND-Z-0-42",'SKU明细'!$A$11:$A$1309,0)))))</x:f>
        <x:v>0</x:v>
      </x:c>
      <x:c r="S77" s="38" t="n">
        <x:f>IF(COUNT(INDEX('SKU明细'!$D$11:$D$1309,MATCH("B07-ND-Z-0-38",'SKU明细'!$A$11:$A$1309,0)),INDEX('SKU明细'!$D$11:$D$1309,MATCH("B07-ND-Z-0-38.5",'SKU明细'!$A$11:$A$1309,0)),INDEX('SKU明细'!$D$11:$D$1309,MATCH("B07-ND-Z-0-39",'SKU明细'!$A$11:$A$1309,0)),INDEX('SKU明细'!$D$11:$D$1309,MATCH("B07-ND-Z-0-39.5",'SKU明细'!$A$11:$A$1309,0)),INDEX('SKU明细'!$D$11:$D$1309,MATCH("B07-ND-Z-0-40.5",'SKU明细'!$A$11:$A$1309,0)),INDEX('SKU明细'!$D$11:$D$1309,MATCH("B07-ND-Z-0-41",'SKU明细'!$A$11:$A$1309,0)),INDEX('SKU明细'!$D$11:$D$1309,MATCH("B07-ND-Z-0-41.5",'SKU明细'!$A$11:$A$1309,0)),INDEX('SKU明细'!$D$11:$D$1309,MATCH("B07-ND-Z-0-42",'SKU明细'!$A$11:$A$1309,0)))=0,"待核",SUM(INDEX('SKU明细'!$D$11:$D$1309,MATCH("B07-ND-Z-0-38",'SKU明细'!$A$11:$A$1309,0)),INDEX('SKU明细'!$D$11:$D$1309,MATCH("B07-ND-Z-0-38.5",'SKU明细'!$A$11:$A$1309,0)),INDEX('SKU明细'!$D$11:$D$1309,MATCH("B07-ND-Z-0-39",'SKU明细'!$A$11:$A$1309,0)),INDEX('SKU明细'!$D$11:$D$1309,MATCH("B07-ND-Z-0-39.5",'SKU明细'!$A$11:$A$1309,0)),INDEX('SKU明细'!$D$11:$D$1309,MATCH("B07-ND-Z-0-40.5",'SKU明细'!$A$11:$A$1309,0)),INDEX('SKU明细'!$D$11:$D$1309,MATCH("B07-ND-Z-0-41",'SKU明细'!$A$11:$A$1309,0)),INDEX('SKU明细'!$D$11:$D$1309,MATCH("B07-ND-Z-0-41.5",'SKU明细'!$A$11:$A$1309,0)),INDEX('SKU明细'!$D$11:$D$1309,MATCH("B07-ND-Z-0-42",'SKU明细'!$A$11:$A$1309,0))))</x:f>
        <x:v>1</x:v>
      </x:c>
      <x:c r="T77" s="38" t="n">
        <x:f>IF(COUNTIFS($A$9:$A$191,A77,$U$9:$U$191,"&lt;&gt;待核")=0,"待核",SUMIF($A$9:$A$191,A77,$S$9:$S$191))</x:f>
        <x:v>364</x:v>
      </x:c>
      <x:c r="U77" s="37" t="str">
        <x:f>IF(COUNT(INDEX('SKU明细'!$D$11:$D$1309,MATCH("B07-ND-Z-0-38",'SKU明细'!$A$11:$A$1309,0)),INDEX('SKU明细'!$D$11:$D$1309,MATCH("B07-ND-Z-0-38.5",'SKU明细'!$A$11:$A$1309,0)),INDEX('SKU明细'!$D$11:$D$1309,MATCH("B07-ND-Z-0-39",'SKU明细'!$A$11:$A$1309,0)),INDEX('SKU明细'!$D$11:$D$1309,MATCH("B07-ND-Z-0-39.5",'SKU明细'!$A$11:$A$1309,0)),INDEX('SKU明细'!$D$11:$D$1309,MATCH("B07-ND-Z-0-40.5",'SKU明细'!$A$11:$A$1309,0)),INDEX('SKU明细'!$D$11:$D$1309,MATCH("B07-ND-Z-0-41",'SKU明细'!$A$11:$A$1309,0)),INDEX('SKU明细'!$D$11:$D$1309,MATCH("B07-ND-Z-0-41.5",'SKU明细'!$A$11:$A$1309,0)),INDEX('SKU明细'!$D$11:$D$1309,MATCH("B07-ND-Z-0-42",'SKU明细'!$A$11:$A$1309,0)))=0,"待核",IF(COUNT(INDEX('SKU明细'!$D$11:$D$1309,MATCH("B07-ND-Z-0-38",'SKU明细'!$A$11:$A$1309,0)),INDEX('SKU明细'!$D$11:$D$1309,MATCH("B07-ND-Z-0-38.5",'SKU明细'!$A$11:$A$1309,0)),INDEX('SKU明细'!$D$11:$D$1309,MATCH("B07-ND-Z-0-39",'SKU明细'!$A$11:$A$1309,0)),INDEX('SKU明细'!$D$11:$D$1309,MATCH("B07-ND-Z-0-39.5",'SKU明细'!$A$11:$A$1309,0)),INDEX('SKU明细'!$D$11:$D$1309,MATCH("B07-ND-Z-0-40.5",'SKU明细'!$A$11:$A$1309,0)),INDEX('SKU明细'!$D$11:$D$1309,MATCH("B07-ND-Z-0-41",'SKU明细'!$A$11:$A$1309,0)),INDEX('SKU明细'!$D$11:$D$1309,MATCH("B07-ND-Z-0-41.5",'SKU明细'!$A$11:$A$1309,0)),INDEX('SKU明细'!$D$11:$D$1309,MATCH("B07-ND-Z-0-42",'SKU明细'!$A$11:$A$1309,0)))&lt;8,"另有待核","已核"))</x:f>
        <x:v>已核</x:v>
      </x:c>
      <x:c r="V77" s="37" t="str">
        <x:v>在售</x:v>
      </x:c>
      <x:c r="W77" s="11" t="n">
        <x:f>IF(COUNT(INDEX('SKU明细'!$BV$11:$BV$1309,MATCH("B07-ND-Z-0-38",'SKU明细'!$A$11:$A$1309,0)),INDEX('SKU明细'!$BV$11:$BV$1309,MATCH("B07-ND-Z-0-38.5",'SKU明细'!$A$11:$A$1309,0)),INDEX('SKU明细'!$BV$11:$BV$1309,MATCH("B07-ND-Z-0-39",'SKU明细'!$A$11:$A$1309,0)),INDEX('SKU明细'!$BV$11:$BV$1309,MATCH("B07-ND-Z-0-39.5",'SKU明细'!$A$11:$A$1309,0)),INDEX('SKU明细'!$BV$11:$BV$1309,MATCH("B07-ND-Z-0-40.5",'SKU明细'!$A$11:$A$1309,0)),INDEX('SKU明细'!$BV$11:$BV$1309,MATCH("B07-ND-Z-0-41",'SKU明细'!$A$11:$A$1309,0)),INDEX('SKU明细'!$BV$11:$BV$1309,MATCH("B07-ND-Z-0-41.5",'SKU明细'!$A$11:$A$1309,0)),INDEX('SKU明细'!$BV$11:$BV$1309,MATCH("B07-ND-Z-0-42",'SKU明细'!$A$11:$A$1309,0)))=8,SUM(INDEX('SKU明细'!$BV$11:$BV$1309,MATCH("B07-ND-Z-0-38",'SKU明细'!$A$11:$A$1309,0)),INDEX('SKU明细'!$BV$11:$BV$1309,MATCH("B07-ND-Z-0-38.5",'SKU明细'!$A$11:$A$1309,0)),INDEX('SKU明细'!$BV$11:$BV$1309,MATCH("B07-ND-Z-0-39",'SKU明细'!$A$11:$A$1309,0)),INDEX('SKU明细'!$BV$11:$BV$1309,MATCH("B07-ND-Z-0-39.5",'SKU明细'!$A$11:$A$1309,0)),INDEX('SKU明细'!$BV$11:$BV$1309,MATCH("B07-ND-Z-0-40.5",'SKU明细'!$A$11:$A$1309,0)),INDEX('SKU明细'!$BV$11:$BV$1309,MATCH("B07-ND-Z-0-41",'SKU明细'!$A$11:$A$1309,0)),INDEX('SKU明细'!$BV$11:$BV$1309,MATCH("B07-ND-Z-0-41.5",'SKU明细'!$A$11:$A$1309,0)),INDEX('SKU明细'!$BV$11:$BV$1309,MATCH("B07-ND-Z-0-42",'SKU明细'!$A$11:$A$1309,0))),"待核")</x:f>
        <x:v>0.3020916309864429</x:v>
      </x:c>
      <x:c r="X77" s="11" t="n">
        <x:f>INDEX('SKU明细'!$BW$11:$BW$1309,MATCH("B07-ND-Z-0-38",'SKU明细'!$A$11:$A$1309,0))</x:f>
        <x:v>0.7307750238224848</x:v>
      </x:c>
      <x:c r="Y77" s="13" t="n">
        <x:f>IF(COUNT(INDEX('SKU明细'!$BY$11:$BY$1309,MATCH("B07-ND-Z-0-38",'SKU明细'!$A$11:$A$1309,0)),INDEX('SKU明细'!$BY$11:$BY$1309,MATCH("B07-ND-Z-0-38.5",'SKU明细'!$A$11:$A$1309,0)),INDEX('SKU明细'!$BY$11:$BY$1309,MATCH("B07-ND-Z-0-39",'SKU明细'!$A$11:$A$1309,0)),INDEX('SKU明细'!$BY$11:$BY$1309,MATCH("B07-ND-Z-0-39.5",'SKU明细'!$A$11:$A$1309,0)),INDEX('SKU明细'!$BY$11:$BY$1309,MATCH("B07-ND-Z-0-40.5",'SKU明细'!$A$11:$A$1309,0)),INDEX('SKU明细'!$BY$11:$BY$1309,MATCH("B07-ND-Z-0-41",'SKU明细'!$A$11:$A$1309,0)),INDEX('SKU明细'!$BY$11:$BY$1309,MATCH("B07-ND-Z-0-41.5",'SKU明细'!$A$11:$A$1309,0)),INDEX('SKU明细'!$BY$11:$BY$1309,MATCH("B07-ND-Z-0-42",'SKU明细'!$A$11:$A$1309,0)))=8,SUM(INDEX('SKU明细'!$BY$11:$BY$1309,MATCH("B07-ND-Z-0-38",'SKU明细'!$A$11:$A$1309,0)),INDEX('SKU明细'!$BY$11:$BY$1309,MATCH("B07-ND-Z-0-38.5",'SKU明细'!$A$11:$A$1309,0)),INDEX('SKU明细'!$BY$11:$BY$1309,MATCH("B07-ND-Z-0-39",'SKU明细'!$A$11:$A$1309,0)),INDEX('SKU明细'!$BY$11:$BY$1309,MATCH("B07-ND-Z-0-39.5",'SKU明细'!$A$11:$A$1309,0)),INDEX('SKU明细'!$BY$11:$BY$1309,MATCH("B07-ND-Z-0-40.5",'SKU明细'!$A$11:$A$1309,0)),INDEX('SKU明细'!$BY$11:$BY$1309,MATCH("B07-ND-Z-0-41",'SKU明细'!$A$11:$A$1309,0)),INDEX('SKU明细'!$BY$11:$BY$1309,MATCH("B07-ND-Z-0-41.5",'SKU明细'!$A$11:$A$1309,0)),INDEX('SKU明细'!$BY$11:$BY$1309,MATCH("B07-ND-Z-0-42",'SKU明细'!$A$11:$A$1309,0))),"待核")</x:f>
        <x:v>2.6491322259682937</x:v>
      </x:c>
      <x:c r="Z77" s="11" t="n">
        <x:f>INDEX('SKU明细'!$BZ$11:$BZ$1309,MATCH("B07-ND-Z-0-38",'SKU明细'!$A$11:$A$1309,0))</x:f>
        <x:v>0.9523018155490097</x:v>
      </x:c>
      <x:c r="AA77" s="13" t="n">
        <x:f>IF(COUNT(INDEX('SKU明细'!$CB$11:$CB$1309,MATCH("B07-ND-Z-0-38",'SKU明细'!$A$11:$A$1309,0)),INDEX('SKU明细'!$CB$11:$CB$1309,MATCH("B07-ND-Z-0-38.5",'SKU明细'!$A$11:$A$1309,0)),INDEX('SKU明细'!$CB$11:$CB$1309,MATCH("B07-ND-Z-0-39",'SKU明细'!$A$11:$A$1309,0)),INDEX('SKU明细'!$CB$11:$CB$1309,MATCH("B07-ND-Z-0-39.5",'SKU明细'!$A$11:$A$1309,0)),INDEX('SKU明细'!$CB$11:$CB$1309,MATCH("B07-ND-Z-0-40.5",'SKU明细'!$A$11:$A$1309,0)),INDEX('SKU明细'!$CB$11:$CB$1309,MATCH("B07-ND-Z-0-41",'SKU明细'!$A$11:$A$1309,0)),INDEX('SKU明细'!$CB$11:$CB$1309,MATCH("B07-ND-Z-0-41.5",'SKU明细'!$A$11:$A$1309,0)),INDEX('SKU明细'!$CB$11:$CB$1309,MATCH("B07-ND-Z-0-42",'SKU明细'!$A$11:$A$1309,0)))=8,SUM(INDEX('SKU明细'!$CB$11:$CB$1309,MATCH("B07-ND-Z-0-38",'SKU明细'!$A$11:$A$1309,0)),INDEX('SKU明细'!$CB$11:$CB$1309,MATCH("B07-ND-Z-0-38.5",'SKU明细'!$A$11:$A$1309,0)),INDEX('SKU明细'!$CB$11:$CB$1309,MATCH("B07-ND-Z-0-39",'SKU明细'!$A$11:$A$1309,0)),INDEX('SKU明细'!$CB$11:$CB$1309,MATCH("B07-ND-Z-0-39.5",'SKU明细'!$A$11:$A$1309,0)),INDEX('SKU明细'!$CB$11:$CB$1309,MATCH("B07-ND-Z-0-40.5",'SKU明细'!$A$11:$A$1309,0)),INDEX('SKU明细'!$CB$11:$CB$1309,MATCH("B07-ND-Z-0-41",'SKU明细'!$A$11:$A$1309,0)),INDEX('SKU明细'!$CB$11:$CB$1309,MATCH("B07-ND-Z-0-41.5",'SKU明细'!$A$11:$A$1309,0)),INDEX('SKU明细'!$CB$11:$CB$1309,MATCH("B07-ND-Z-0-42",'SKU明细'!$A$11:$A$1309,0))),"待核")</x:f>
        <x:v>8.630472259516532</x:v>
      </x:c>
      <x:c r="AB77" s="11" t="n">
        <x:f>INDEX('SKU明细'!$CC$11:$CC$1309,MATCH("B07-ND-Z-0-38",'SKU明细'!$A$11:$A$1309,0))</x:f>
        <x:v>0.5958545198749097</x:v>
      </x:c>
      <x:c r="AC77" s="13" t="n">
        <x:f>IF(COUNT(INDEX('SKU明细'!$CE$11:$CE$1309,MATCH("B07-ND-Z-0-38",'SKU明细'!$A$11:$A$1309,0)),INDEX('SKU明细'!$CE$11:$CE$1309,MATCH("B07-ND-Z-0-38.5",'SKU明细'!$A$11:$A$1309,0)),INDEX('SKU明细'!$CE$11:$CE$1309,MATCH("B07-ND-Z-0-39",'SKU明细'!$A$11:$A$1309,0)),INDEX('SKU明细'!$CE$11:$CE$1309,MATCH("B07-ND-Z-0-39.5",'SKU明细'!$A$11:$A$1309,0)),INDEX('SKU明细'!$CE$11:$CE$1309,MATCH("B07-ND-Z-0-40.5",'SKU明细'!$A$11:$A$1309,0)),INDEX('SKU明细'!$CE$11:$CE$1309,MATCH("B07-ND-Z-0-41",'SKU明细'!$A$11:$A$1309,0)),INDEX('SKU明细'!$CE$11:$CE$1309,MATCH("B07-ND-Z-0-41.5",'SKU明细'!$A$11:$A$1309,0)),INDEX('SKU明细'!$CE$11:$CE$1309,MATCH("B07-ND-Z-0-42",'SKU明细'!$A$11:$A$1309,0)))=8,SUM(INDEX('SKU明细'!$CE$11:$CE$1309,MATCH("B07-ND-Z-0-38",'SKU明细'!$A$11:$A$1309,0)),INDEX('SKU明细'!$CE$11:$CE$1309,MATCH("B07-ND-Z-0-38.5",'SKU明细'!$A$11:$A$1309,0)),INDEX('SKU明细'!$CE$11:$CE$1309,MATCH("B07-ND-Z-0-39",'SKU明细'!$A$11:$A$1309,0)),INDEX('SKU明细'!$CE$11:$CE$1309,MATCH("B07-ND-Z-0-39.5",'SKU明细'!$A$11:$A$1309,0)),INDEX('SKU明细'!$CE$11:$CE$1309,MATCH("B07-ND-Z-0-40.5",'SKU明细'!$A$11:$A$1309,0)),INDEX('SKU明细'!$CE$11:$CE$1309,MATCH("B07-ND-Z-0-41",'SKU明细'!$A$11:$A$1309,0)),INDEX('SKU明细'!$CE$11:$CE$1309,MATCH("B07-ND-Z-0-41.5",'SKU明细'!$A$11:$A$1309,0)),INDEX('SKU明细'!$CE$11:$CE$1309,MATCH("B07-ND-Z-0-42",'SKU明细'!$A$11:$A$1309,0))),"待核")</x:f>
        <x:v>5.580082575929316</x:v>
      </x:c>
      <x:c r="AD77" s="11" t="n">
        <x:f>INDEX('SKU明细'!$CF$11:$CF$1309,MATCH("B07-ND-Z-0-38",'SKU明细'!$A$11:$A$1309,0))</x:f>
        <x:v>1.3264167397065354</x:v>
      </x:c>
      <x:c r="AE77" s="13" t="n">
        <x:f>IF(COUNT(INDEX('SKU明细'!$CH$11:$CH$1309,MATCH("B07-ND-Z-0-38",'SKU明细'!$A$11:$A$1309,0)),INDEX('SKU明细'!$CH$11:$CH$1309,MATCH("B07-ND-Z-0-38.5",'SKU明细'!$A$11:$A$1309,0)),INDEX('SKU明细'!$CH$11:$CH$1309,MATCH("B07-ND-Z-0-39",'SKU明细'!$A$11:$A$1309,0)),INDEX('SKU明细'!$CH$11:$CH$1309,MATCH("B07-ND-Z-0-39.5",'SKU明细'!$A$11:$A$1309,0)),INDEX('SKU明细'!$CH$11:$CH$1309,MATCH("B07-ND-Z-0-40.5",'SKU明细'!$A$11:$A$1309,0)),INDEX('SKU明细'!$CH$11:$CH$1309,MATCH("B07-ND-Z-0-41",'SKU明细'!$A$11:$A$1309,0)),INDEX('SKU明细'!$CH$11:$CH$1309,MATCH("B07-ND-Z-0-41.5",'SKU明细'!$A$11:$A$1309,0)),INDEX('SKU明细'!$CH$11:$CH$1309,MATCH("B07-ND-Z-0-42",'SKU明细'!$A$11:$A$1309,0)))=8,SUM(INDEX('SKU明细'!$CH$11:$CH$1309,MATCH("B07-ND-Z-0-38",'SKU明细'!$A$11:$A$1309,0)),INDEX('SKU明细'!$CH$11:$CH$1309,MATCH("B07-ND-Z-0-38.5",'SKU明细'!$A$11:$A$1309,0)),INDEX('SKU明细'!$CH$11:$CH$1309,MATCH("B07-ND-Z-0-39",'SKU明细'!$A$11:$A$1309,0)),INDEX('SKU明细'!$CH$11:$CH$1309,MATCH("B07-ND-Z-0-39.5",'SKU明细'!$A$11:$A$1309,0)),INDEX('SKU明细'!$CH$11:$CH$1309,MATCH("B07-ND-Z-0-40.5",'SKU明细'!$A$11:$A$1309,0)),INDEX('SKU明细'!$CH$11:$CH$1309,MATCH("B07-ND-Z-0-41",'SKU明细'!$A$11:$A$1309,0)),INDEX('SKU明细'!$CH$11:$CH$1309,MATCH("B07-ND-Z-0-41.5",'SKU明细'!$A$11:$A$1309,0)),INDEX('SKU明细'!$CH$11:$CH$1309,MATCH("B07-ND-Z-0-42",'SKU明细'!$A$11:$A$1309,0))),"待核")</x:f>
        <x:v>6.811889736516347</x:v>
      </x:c>
      <x:c r="AF77" s="13" t="n">
        <x:f>IF(COUNT(INDEX('SKU明细'!$CI$11:$CI$1309,MATCH("B07-ND-Z-0-38",'SKU明细'!$A$11:$A$1309,0)),INDEX('SKU明细'!$CI$11:$CI$1309,MATCH("B07-ND-Z-0-38.5",'SKU明细'!$A$11:$A$1309,0)),INDEX('SKU明细'!$CI$11:$CI$1309,MATCH("B07-ND-Z-0-39",'SKU明细'!$A$11:$A$1309,0)),INDEX('SKU明细'!$CI$11:$CI$1309,MATCH("B07-ND-Z-0-39.5",'SKU明细'!$A$11:$A$1309,0)),INDEX('SKU明细'!$CI$11:$CI$1309,MATCH("B07-ND-Z-0-40.5",'SKU明细'!$A$11:$A$1309,0)),INDEX('SKU明细'!$CI$11:$CI$1309,MATCH("B07-ND-Z-0-41",'SKU明细'!$A$11:$A$1309,0)),INDEX('SKU明细'!$CI$11:$CI$1309,MATCH("B07-ND-Z-0-41.5",'SKU明细'!$A$11:$A$1309,0)),INDEX('SKU明细'!$CI$11:$CI$1309,MATCH("B07-ND-Z-0-42",'SKU明细'!$A$11:$A$1309,0)))=8,SUM(INDEX('SKU明细'!$CI$11:$CI$1309,MATCH("B07-ND-Z-0-38",'SKU明细'!$A$11:$A$1309,0)),INDEX('SKU明细'!$CI$11:$CI$1309,MATCH("B07-ND-Z-0-38.5",'SKU明细'!$A$11:$A$1309,0)),INDEX('SKU明细'!$CI$11:$CI$1309,MATCH("B07-ND-Z-0-39",'SKU明细'!$A$11:$A$1309,0)),INDEX('SKU明细'!$CI$11:$CI$1309,MATCH("B07-ND-Z-0-39.5",'SKU明细'!$A$11:$A$1309,0)),INDEX('SKU明细'!$CI$11:$CI$1309,MATCH("B07-ND-Z-0-40.5",'SKU明细'!$A$11:$A$1309,0)),INDEX('SKU明细'!$CI$11:$CI$1309,MATCH("B07-ND-Z-0-41",'SKU明细'!$A$11:$A$1309,0)),INDEX('SKU明细'!$CI$11:$CI$1309,MATCH("B07-ND-Z-0-41.5",'SKU明细'!$A$11:$A$1309,0)),INDEX('SKU明细'!$CI$11:$CI$1309,MATCH("B07-ND-Z-0-42",'SKU明细'!$A$11:$A$1309,0))),"待核")</x:f>
        <x:v>23.671576797930488</x:v>
      </x:c>
    </x:row>
    <x:row r="78" ht="40" customHeight="1">
      <x:c r="A78" s="37" t="str">
        <x:v>B07</x:v>
      </x:c>
      <x:c r="B78" s="37" t="str">
        <x:v>艾年</x:v>
      </x:c>
      <x:c r="C78" s="37" t="str">
        <x:v>藏青色羊京绒</x:v>
      </x:c>
      <x:c r="D78" s="37" t="str">
        <x:v>NY</x:v>
      </x:c>
      <x:c r="E78" s="37" t="str">
        <x:v>B07-NY</x:v>
      </x:c>
      <x:c r="F78" s="37"/>
      <x:c r="G78" s="38" t="str">
        <x:f>"—"</x:f>
        <x:v>—</x:v>
      </x:c>
      <x:c r="H78" s="38" t="n">
        <x:f>IF(COUNT(INDEX('SKU明细'!$D$11:$D$1309,MATCH("B07-NY-37-by",'SKU明细'!$A$11:$A$1309,0)))=0,"待核",IF(COUNT(INDEX('SKU明细'!$D$11:$D$1309,MATCH("B07-NY-37-by",'SKU明细'!$A$11:$A$1309,0)))&lt;1,SUM(INDEX('SKU明细'!$D$11:$D$1309,MATCH("B07-NY-37-by",'SKU明细'!$A$11:$A$1309,0)))&amp;" + 待核",SUM(INDEX('SKU明细'!$D$11:$D$1309,MATCH("B07-NY-37-by",'SKU明细'!$A$11:$A$1309,0)))))</x:f>
        <x:v>0</x:v>
      </x:c>
      <x:c r="I78" s="38" t="n">
        <x:f>IF(COUNT(INDEX('SKU明细'!$D$11:$D$1309,MATCH("B07-NY-37.5-by",'SKU明细'!$A$11:$A$1309,0)))=0,"待核",IF(COUNT(INDEX('SKU明细'!$D$11:$D$1309,MATCH("B07-NY-37.5-by",'SKU明细'!$A$11:$A$1309,0)))&lt;1,SUM(INDEX('SKU明细'!$D$11:$D$1309,MATCH("B07-NY-37.5-by",'SKU明细'!$A$11:$A$1309,0)))&amp;" + 待核",SUM(INDEX('SKU明细'!$D$11:$D$1309,MATCH("B07-NY-37.5-by",'SKU明细'!$A$11:$A$1309,0)))))</x:f>
        <x:v>0</x:v>
      </x:c>
      <x:c r="J78" s="38" t="str">
        <x:f>"—"</x:f>
        <x:v>—</x:v>
      </x:c>
      <x:c r="K78" s="38" t="n">
        <x:f>IF(COUNT(INDEX('SKU明细'!$D$11:$D$1309,MATCH("B07-NY-38.5-by",'SKU明细'!$A$11:$A$1309,0)))=0,"待核",IF(COUNT(INDEX('SKU明细'!$D$11:$D$1309,MATCH("B07-NY-38.5-by",'SKU明细'!$A$11:$A$1309,0)))&lt;1,SUM(INDEX('SKU明细'!$D$11:$D$1309,MATCH("B07-NY-38.5-by",'SKU明细'!$A$11:$A$1309,0)))&amp;" + 待核",SUM(INDEX('SKU明细'!$D$11:$D$1309,MATCH("B07-NY-38.5-by",'SKU明细'!$A$11:$A$1309,0)))))</x:f>
        <x:v>0</x:v>
      </x:c>
      <x:c r="L78" s="38" t="str">
        <x:f>"—"</x:f>
        <x:v>—</x:v>
      </x:c>
      <x:c r="M78" s="38" t="n">
        <x:f>IF(COUNT(INDEX('SKU明细'!$D$11:$D$1309,MATCH("B07-NY-39.5-by",'SKU明细'!$A$11:$A$1309,0)))=0,"待核",IF(COUNT(INDEX('SKU明细'!$D$11:$D$1309,MATCH("B07-NY-39.5-by",'SKU明细'!$A$11:$A$1309,0)))&lt;1,SUM(INDEX('SKU明细'!$D$11:$D$1309,MATCH("B07-NY-39.5-by",'SKU明细'!$A$11:$A$1309,0)))&amp;" + 待核",SUM(INDEX('SKU明细'!$D$11:$D$1309,MATCH("B07-NY-39.5-by",'SKU明细'!$A$11:$A$1309,0)))))</x:f>
        <x:v>0</x:v>
      </x:c>
      <x:c r="N78" s="38" t="str">
        <x:f>"—"</x:f>
        <x:v>—</x:v>
      </x:c>
      <x:c r="O78" s="38" t="n">
        <x:f>IF(COUNT(INDEX('SKU明细'!$D$11:$D$1309,MATCH("B07-NY-40.5-by",'SKU明细'!$A$11:$A$1309,0)))=0,"待核",IF(COUNT(INDEX('SKU明细'!$D$11:$D$1309,MATCH("B07-NY-40.5-by",'SKU明细'!$A$11:$A$1309,0)))&lt;1,SUM(INDEX('SKU明细'!$D$11:$D$1309,MATCH("B07-NY-40.5-by",'SKU明细'!$A$11:$A$1309,0)))&amp;" + 待核",SUM(INDEX('SKU明细'!$D$11:$D$1309,MATCH("B07-NY-40.5-by",'SKU明细'!$A$11:$A$1309,0)))))</x:f>
        <x:v>0</x:v>
      </x:c>
      <x:c r="P78" s="38" t="n">
        <x:f>IF(COUNT(INDEX('SKU明细'!$D$11:$D$1309,MATCH("B07-NY-41-by",'SKU明细'!$A$11:$A$1309,0)))=0,"待核",IF(COUNT(INDEX('SKU明细'!$D$11:$D$1309,MATCH("B07-NY-41-by",'SKU明细'!$A$11:$A$1309,0)))&lt;1,SUM(INDEX('SKU明细'!$D$11:$D$1309,MATCH("B07-NY-41-by",'SKU明细'!$A$11:$A$1309,0)))&amp;" + 待核",SUM(INDEX('SKU明细'!$D$11:$D$1309,MATCH("B07-NY-41-by",'SKU明细'!$A$11:$A$1309,0)))))</x:f>
        <x:v>0</x:v>
      </x:c>
      <x:c r="Q78" s="38" t="n">
        <x:f>IF(COUNT(INDEX('SKU明细'!$D$11:$D$1309,MATCH("B07-NY-41.5-by",'SKU明细'!$A$11:$A$1309,0)))=0,"待核",IF(COUNT(INDEX('SKU明细'!$D$11:$D$1309,MATCH("B07-NY-41.5-by",'SKU明细'!$A$11:$A$1309,0)))&lt;1,SUM(INDEX('SKU明细'!$D$11:$D$1309,MATCH("B07-NY-41.5-by",'SKU明细'!$A$11:$A$1309,0)))&amp;" + 待核",SUM(INDEX('SKU明细'!$D$11:$D$1309,MATCH("B07-NY-41.5-by",'SKU明细'!$A$11:$A$1309,0)))))</x:f>
        <x:v>0</x:v>
      </x:c>
      <x:c r="R78" s="38" t="n">
        <x:f>IF(COUNT(INDEX('SKU明细'!$D$11:$D$1309,MATCH("B07-NY-42-by",'SKU明细'!$A$11:$A$1309,0)))=0,"待核",IF(COUNT(INDEX('SKU明细'!$D$11:$D$1309,MATCH("B07-NY-42-by",'SKU明细'!$A$11:$A$1309,0)))&lt;1,SUM(INDEX('SKU明细'!$D$11:$D$1309,MATCH("B07-NY-42-by",'SKU明细'!$A$11:$A$1309,0)))&amp;" + 待核",SUM(INDEX('SKU明细'!$D$11:$D$1309,MATCH("B07-NY-42-by",'SKU明细'!$A$11:$A$1309,0)))))</x:f>
        <x:v>0</x:v>
      </x:c>
      <x:c r="S78" s="38" t="n">
        <x:f>IF(COUNT(INDEX('SKU明细'!$D$11:$D$1309,MATCH("B07-NY-37-by",'SKU明细'!$A$11:$A$1309,0)),INDEX('SKU明细'!$D$11:$D$1309,MATCH("B07-NY-37.5-by",'SKU明细'!$A$11:$A$1309,0)),INDEX('SKU明细'!$D$11:$D$1309,MATCH("B07-NY-38.5-by",'SKU明细'!$A$11:$A$1309,0)),INDEX('SKU明细'!$D$11:$D$1309,MATCH("B07-NY-39.5-by",'SKU明细'!$A$11:$A$1309,0)),INDEX('SKU明细'!$D$11:$D$1309,MATCH("B07-NY-40.5-by",'SKU明细'!$A$11:$A$1309,0)),INDEX('SKU明细'!$D$11:$D$1309,MATCH("B07-NY-41-by",'SKU明细'!$A$11:$A$1309,0)),INDEX('SKU明细'!$D$11:$D$1309,MATCH("B07-NY-41.5-by",'SKU明细'!$A$11:$A$1309,0)),INDEX('SKU明细'!$D$11:$D$1309,MATCH("B07-NY-42-by",'SKU明细'!$A$11:$A$1309,0)))=0,"待核",SUM(INDEX('SKU明细'!$D$11:$D$1309,MATCH("B07-NY-37-by",'SKU明细'!$A$11:$A$1309,0)),INDEX('SKU明细'!$D$11:$D$1309,MATCH("B07-NY-37.5-by",'SKU明细'!$A$11:$A$1309,0)),INDEX('SKU明细'!$D$11:$D$1309,MATCH("B07-NY-38.5-by",'SKU明细'!$A$11:$A$1309,0)),INDEX('SKU明细'!$D$11:$D$1309,MATCH("B07-NY-39.5-by",'SKU明细'!$A$11:$A$1309,0)),INDEX('SKU明细'!$D$11:$D$1309,MATCH("B07-NY-40.5-by",'SKU明细'!$A$11:$A$1309,0)),INDEX('SKU明细'!$D$11:$D$1309,MATCH("B07-NY-41-by",'SKU明细'!$A$11:$A$1309,0)),INDEX('SKU明细'!$D$11:$D$1309,MATCH("B07-NY-41.5-by",'SKU明细'!$A$11:$A$1309,0)),INDEX('SKU明细'!$D$11:$D$1309,MATCH("B07-NY-42-by",'SKU明细'!$A$11:$A$1309,0))))</x:f>
        <x:v>0</x:v>
      </x:c>
      <x:c r="T78" s="38" t="n">
        <x:f>IF(COUNTIFS($A$9:$A$191,A78,$U$9:$U$191,"&lt;&gt;待核")=0,"待核",SUMIF($A$9:$A$191,A78,$S$9:$S$191))</x:f>
        <x:v>364</x:v>
      </x:c>
      <x:c r="U78" s="37" t="str">
        <x:f>IF(COUNT(INDEX('SKU明细'!$D$11:$D$1309,MATCH("B07-NY-37-by",'SKU明细'!$A$11:$A$1309,0)),INDEX('SKU明细'!$D$11:$D$1309,MATCH("B07-NY-37.5-by",'SKU明细'!$A$11:$A$1309,0)),INDEX('SKU明细'!$D$11:$D$1309,MATCH("B07-NY-38.5-by",'SKU明细'!$A$11:$A$1309,0)),INDEX('SKU明细'!$D$11:$D$1309,MATCH("B07-NY-39.5-by",'SKU明细'!$A$11:$A$1309,0)),INDEX('SKU明细'!$D$11:$D$1309,MATCH("B07-NY-40.5-by",'SKU明细'!$A$11:$A$1309,0)),INDEX('SKU明细'!$D$11:$D$1309,MATCH("B07-NY-41-by",'SKU明细'!$A$11:$A$1309,0)),INDEX('SKU明细'!$D$11:$D$1309,MATCH("B07-NY-41.5-by",'SKU明细'!$A$11:$A$1309,0)),INDEX('SKU明细'!$D$11:$D$1309,MATCH("B07-NY-42-by",'SKU明细'!$A$11:$A$1309,0)))=0,"待核",IF(COUNT(INDEX('SKU明细'!$D$11:$D$1309,MATCH("B07-NY-37-by",'SKU明细'!$A$11:$A$1309,0)),INDEX('SKU明细'!$D$11:$D$1309,MATCH("B07-NY-37.5-by",'SKU明细'!$A$11:$A$1309,0)),INDEX('SKU明细'!$D$11:$D$1309,MATCH("B07-NY-38.5-by",'SKU明细'!$A$11:$A$1309,0)),INDEX('SKU明细'!$D$11:$D$1309,MATCH("B07-NY-39.5-by",'SKU明细'!$A$11:$A$1309,0)),INDEX('SKU明细'!$D$11:$D$1309,MATCH("B07-NY-40.5-by",'SKU明细'!$A$11:$A$1309,0)),INDEX('SKU明细'!$D$11:$D$1309,MATCH("B07-NY-41-by",'SKU明细'!$A$11:$A$1309,0)),INDEX('SKU明细'!$D$11:$D$1309,MATCH("B07-NY-41.5-by",'SKU明细'!$A$11:$A$1309,0)),INDEX('SKU明细'!$D$11:$D$1309,MATCH("B07-NY-42-by",'SKU明细'!$A$11:$A$1309,0)))&lt;8,"另有待核","已核"))</x:f>
        <x:v>已核</x:v>
      </x:c>
      <x:c r="V78" s="37" t="str">
        <x:v>在售</x:v>
      </x:c>
      <x:c r="W78" s="11" t="n">
        <x:f>IF(COUNT(INDEX('SKU明细'!$BV$11:$BV$1309,MATCH("B07-NY-37-by",'SKU明细'!$A$11:$A$1309,0)),INDEX('SKU明细'!$BV$11:$BV$1309,MATCH("B07-NY-37.5-by",'SKU明细'!$A$11:$A$1309,0)),INDEX('SKU明细'!$BV$11:$BV$1309,MATCH("B07-NY-38.5-by",'SKU明细'!$A$11:$A$1309,0)),INDEX('SKU明细'!$BV$11:$BV$1309,MATCH("B07-NY-39.5-by",'SKU明细'!$A$11:$A$1309,0)),INDEX('SKU明细'!$BV$11:$BV$1309,MATCH("B07-NY-40.5-by",'SKU明细'!$A$11:$A$1309,0)),INDEX('SKU明细'!$BV$11:$BV$1309,MATCH("B07-NY-41-by",'SKU明细'!$A$11:$A$1309,0)),INDEX('SKU明细'!$BV$11:$BV$1309,MATCH("B07-NY-41.5-by",'SKU明细'!$A$11:$A$1309,0)),INDEX('SKU明细'!$BV$11:$BV$1309,MATCH("B07-NY-42-by",'SKU明细'!$A$11:$A$1309,0)))=8,SUM(INDEX('SKU明细'!$BV$11:$BV$1309,MATCH("B07-NY-37-by",'SKU明细'!$A$11:$A$1309,0)),INDEX('SKU明细'!$BV$11:$BV$1309,MATCH("B07-NY-37.5-by",'SKU明细'!$A$11:$A$1309,0)),INDEX('SKU明细'!$BV$11:$BV$1309,MATCH("B07-NY-38.5-by",'SKU明细'!$A$11:$A$1309,0)),INDEX('SKU明细'!$BV$11:$BV$1309,MATCH("B07-NY-39.5-by",'SKU明细'!$A$11:$A$1309,0)),INDEX('SKU明细'!$BV$11:$BV$1309,MATCH("B07-NY-40.5-by",'SKU明细'!$A$11:$A$1309,0)),INDEX('SKU明细'!$BV$11:$BV$1309,MATCH("B07-NY-41-by",'SKU明细'!$A$11:$A$1309,0)),INDEX('SKU明细'!$BV$11:$BV$1309,MATCH("B07-NY-41.5-by",'SKU明细'!$A$11:$A$1309,0)),INDEX('SKU明细'!$BV$11:$BV$1309,MATCH("B07-NY-42-by",'SKU明细'!$A$11:$A$1309,0))),"待核")</x:f>
        <x:v>0.6888933186848828</x:v>
      </x:c>
      <x:c r="X78" s="11" t="n">
        <x:f>INDEX('SKU明细'!$BW$11:$BW$1309,MATCH("B07-NY-37-by",'SKU明细'!$A$11:$A$1309,0))</x:f>
        <x:v>0.7307750238224848</x:v>
      </x:c>
      <x:c r="Y78" s="13" t="n">
        <x:f>IF(COUNT(INDEX('SKU明细'!$BY$11:$BY$1309,MATCH("B07-NY-37-by",'SKU明细'!$A$11:$A$1309,0)),INDEX('SKU明细'!$BY$11:$BY$1309,MATCH("B07-NY-37.5-by",'SKU明细'!$A$11:$A$1309,0)),INDEX('SKU明细'!$BY$11:$BY$1309,MATCH("B07-NY-38.5-by",'SKU明细'!$A$11:$A$1309,0)),INDEX('SKU明细'!$BY$11:$BY$1309,MATCH("B07-NY-39.5-by",'SKU明细'!$A$11:$A$1309,0)),INDEX('SKU明细'!$BY$11:$BY$1309,MATCH("B07-NY-40.5-by",'SKU明细'!$A$11:$A$1309,0)),INDEX('SKU明细'!$BY$11:$BY$1309,MATCH("B07-NY-41-by",'SKU明细'!$A$11:$A$1309,0)),INDEX('SKU明细'!$BY$11:$BY$1309,MATCH("B07-NY-41.5-by",'SKU明细'!$A$11:$A$1309,0)),INDEX('SKU明细'!$BY$11:$BY$1309,MATCH("B07-NY-42-by",'SKU明细'!$A$11:$A$1309,0)))=8,SUM(INDEX('SKU明细'!$BY$11:$BY$1309,MATCH("B07-NY-37-by",'SKU明细'!$A$11:$A$1309,0)),INDEX('SKU明细'!$BY$11:$BY$1309,MATCH("B07-NY-37.5-by",'SKU明细'!$A$11:$A$1309,0)),INDEX('SKU明细'!$BY$11:$BY$1309,MATCH("B07-NY-38.5-by",'SKU明细'!$A$11:$A$1309,0)),INDEX('SKU明细'!$BY$11:$BY$1309,MATCH("B07-NY-39.5-by",'SKU明细'!$A$11:$A$1309,0)),INDEX('SKU明细'!$BY$11:$BY$1309,MATCH("B07-NY-40.5-by",'SKU明细'!$A$11:$A$1309,0)),INDEX('SKU明细'!$BY$11:$BY$1309,MATCH("B07-NY-41-by",'SKU明细'!$A$11:$A$1309,0)),INDEX('SKU明细'!$BY$11:$BY$1309,MATCH("B07-NY-41.5-by",'SKU明细'!$A$11:$A$1309,0)),INDEX('SKU明细'!$BY$11:$BY$1309,MATCH("B07-NY-42-by",'SKU明细'!$A$11:$A$1309,0))),"待核")</x:f>
        <x:v>6.04111237647715</x:v>
      </x:c>
      <x:c r="Z78" s="11" t="n">
        <x:f>INDEX('SKU明细'!$BZ$11:$BZ$1309,MATCH("B07-NY-37-by",'SKU明细'!$A$11:$A$1309,0))</x:f>
        <x:v>0.9523018155490097</x:v>
      </x:c>
      <x:c r="AA78" s="13" t="n">
        <x:f>IF(COUNT(INDEX('SKU明细'!$CB$11:$CB$1309,MATCH("B07-NY-37-by",'SKU明细'!$A$11:$A$1309,0)),INDEX('SKU明细'!$CB$11:$CB$1309,MATCH("B07-NY-37.5-by",'SKU明细'!$A$11:$A$1309,0)),INDEX('SKU明细'!$CB$11:$CB$1309,MATCH("B07-NY-38.5-by",'SKU明细'!$A$11:$A$1309,0)),INDEX('SKU明细'!$CB$11:$CB$1309,MATCH("B07-NY-39.5-by",'SKU明细'!$A$11:$A$1309,0)),INDEX('SKU明细'!$CB$11:$CB$1309,MATCH("B07-NY-40.5-by",'SKU明细'!$A$11:$A$1309,0)),INDEX('SKU明细'!$CB$11:$CB$1309,MATCH("B07-NY-41-by",'SKU明细'!$A$11:$A$1309,0)),INDEX('SKU明细'!$CB$11:$CB$1309,MATCH("B07-NY-41.5-by",'SKU明细'!$A$11:$A$1309,0)),INDEX('SKU明细'!$CB$11:$CB$1309,MATCH("B07-NY-42-by",'SKU明细'!$A$11:$A$1309,0)))=8,SUM(INDEX('SKU明细'!$CB$11:$CB$1309,MATCH("B07-NY-37-by",'SKU明细'!$A$11:$A$1309,0)),INDEX('SKU明细'!$CB$11:$CB$1309,MATCH("B07-NY-37.5-by",'SKU明细'!$A$11:$A$1309,0)),INDEX('SKU明细'!$CB$11:$CB$1309,MATCH("B07-NY-38.5-by",'SKU明细'!$A$11:$A$1309,0)),INDEX('SKU明细'!$CB$11:$CB$1309,MATCH("B07-NY-39.5-by",'SKU明细'!$A$11:$A$1309,0)),INDEX('SKU明细'!$CB$11:$CB$1309,MATCH("B07-NY-40.5-by",'SKU明细'!$A$11:$A$1309,0)),INDEX('SKU明细'!$CB$11:$CB$1309,MATCH("B07-NY-41-by",'SKU明细'!$A$11:$A$1309,0)),INDEX('SKU明细'!$CB$11:$CB$1309,MATCH("B07-NY-41.5-by",'SKU明细'!$A$11:$A$1309,0)),INDEX('SKU明细'!$CB$11:$CB$1309,MATCH("B07-NY-42-by",'SKU明细'!$A$11:$A$1309,0))),"待核")</x:f>
        <x:v>19.681030743095892</x:v>
      </x:c>
      <x:c r="AB78" s="11" t="n">
        <x:f>INDEX('SKU明细'!$CC$11:$CC$1309,MATCH("B07-NY-37-by",'SKU明细'!$A$11:$A$1309,0))</x:f>
        <x:v>0.5958545198749097</x:v>
      </x:c>
      <x:c r="AC78" s="13" t="n">
        <x:f>IF(COUNT(INDEX('SKU明细'!$CE$11:$CE$1309,MATCH("B07-NY-37-by",'SKU明细'!$A$11:$A$1309,0)),INDEX('SKU明细'!$CE$11:$CE$1309,MATCH("B07-NY-37.5-by",'SKU明细'!$A$11:$A$1309,0)),INDEX('SKU明细'!$CE$11:$CE$1309,MATCH("B07-NY-38.5-by",'SKU明细'!$A$11:$A$1309,0)),INDEX('SKU明细'!$CE$11:$CE$1309,MATCH("B07-NY-39.5-by",'SKU明细'!$A$11:$A$1309,0)),INDEX('SKU明细'!$CE$11:$CE$1309,MATCH("B07-NY-40.5-by",'SKU明细'!$A$11:$A$1309,0)),INDEX('SKU明细'!$CE$11:$CE$1309,MATCH("B07-NY-41-by",'SKU明细'!$A$11:$A$1309,0)),INDEX('SKU明细'!$CE$11:$CE$1309,MATCH("B07-NY-41.5-by",'SKU明细'!$A$11:$A$1309,0)),INDEX('SKU明细'!$CE$11:$CE$1309,MATCH("B07-NY-42-by",'SKU明细'!$A$11:$A$1309,0)))=8,SUM(INDEX('SKU明细'!$CE$11:$CE$1309,MATCH("B07-NY-37-by",'SKU明细'!$A$11:$A$1309,0)),INDEX('SKU明细'!$CE$11:$CE$1309,MATCH("B07-NY-37.5-by",'SKU明细'!$A$11:$A$1309,0)),INDEX('SKU明细'!$CE$11:$CE$1309,MATCH("B07-NY-38.5-by",'SKU明细'!$A$11:$A$1309,0)),INDEX('SKU明细'!$CE$11:$CE$1309,MATCH("B07-NY-39.5-by",'SKU明细'!$A$11:$A$1309,0)),INDEX('SKU明细'!$CE$11:$CE$1309,MATCH("B07-NY-40.5-by",'SKU明细'!$A$11:$A$1309,0)),INDEX('SKU明细'!$CE$11:$CE$1309,MATCH("B07-NY-41-by",'SKU明细'!$A$11:$A$1309,0)),INDEX('SKU明细'!$CE$11:$CE$1309,MATCH("B07-NY-41.5-by",'SKU明细'!$A$11:$A$1309,0)),INDEX('SKU明细'!$CE$11:$CE$1309,MATCH("B07-NY-42-by",'SKU明细'!$A$11:$A$1309,0))),"待核")</x:f>
        <x:v>12.724886127150432</x:v>
      </x:c>
      <x:c r="AD78" s="11" t="n">
        <x:f>INDEX('SKU明细'!$CF$11:$CF$1309,MATCH("B07-NY-37-by",'SKU明细'!$A$11:$A$1309,0))</x:f>
        <x:v>1.3264167397065354</x:v>
      </x:c>
      <x:c r="AE78" s="13" t="n">
        <x:f>IF(COUNT(INDEX('SKU明细'!$CH$11:$CH$1309,MATCH("B07-NY-37-by",'SKU明细'!$A$11:$A$1309,0)),INDEX('SKU明细'!$CH$11:$CH$1309,MATCH("B07-NY-37.5-by",'SKU明细'!$A$11:$A$1309,0)),INDEX('SKU明细'!$CH$11:$CH$1309,MATCH("B07-NY-38.5-by",'SKU明细'!$A$11:$A$1309,0)),INDEX('SKU明细'!$CH$11:$CH$1309,MATCH("B07-NY-39.5-by",'SKU明细'!$A$11:$A$1309,0)),INDEX('SKU明细'!$CH$11:$CH$1309,MATCH("B07-NY-40.5-by",'SKU明细'!$A$11:$A$1309,0)),INDEX('SKU明细'!$CH$11:$CH$1309,MATCH("B07-NY-41-by",'SKU明细'!$A$11:$A$1309,0)),INDEX('SKU明细'!$CH$11:$CH$1309,MATCH("B07-NY-41.5-by",'SKU明细'!$A$11:$A$1309,0)),INDEX('SKU明细'!$CH$11:$CH$1309,MATCH("B07-NY-42-by",'SKU明细'!$A$11:$A$1309,0)))=8,SUM(INDEX('SKU明细'!$CH$11:$CH$1309,MATCH("B07-NY-37-by",'SKU明细'!$A$11:$A$1309,0)),INDEX('SKU明细'!$CH$11:$CH$1309,MATCH("B07-NY-37.5-by",'SKU明细'!$A$11:$A$1309,0)),INDEX('SKU明细'!$CH$11:$CH$1309,MATCH("B07-NY-38.5-by",'SKU明细'!$A$11:$A$1309,0)),INDEX('SKU明细'!$CH$11:$CH$1309,MATCH("B07-NY-39.5-by",'SKU明细'!$A$11:$A$1309,0)),INDEX('SKU明细'!$CH$11:$CH$1309,MATCH("B07-NY-40.5-by",'SKU明细'!$A$11:$A$1309,0)),INDEX('SKU明细'!$CH$11:$CH$1309,MATCH("B07-NY-41-by",'SKU明细'!$A$11:$A$1309,0)),INDEX('SKU明细'!$CH$11:$CH$1309,MATCH("B07-NY-41.5-by",'SKU明细'!$A$11:$A$1309,0)),INDEX('SKU明细'!$CH$11:$CH$1309,MATCH("B07-NY-42-by",'SKU明细'!$A$11:$A$1309,0))),"待核")</x:f>
        <x:v>15.533913706185496</x:v>
      </x:c>
      <x:c r="AF78" s="13" t="n">
        <x:f>IF(COUNT(INDEX('SKU明细'!$CI$11:$CI$1309,MATCH("B07-NY-37-by",'SKU明细'!$A$11:$A$1309,0)),INDEX('SKU明细'!$CI$11:$CI$1309,MATCH("B07-NY-37.5-by",'SKU明细'!$A$11:$A$1309,0)),INDEX('SKU明细'!$CI$11:$CI$1309,MATCH("B07-NY-38.5-by",'SKU明细'!$A$11:$A$1309,0)),INDEX('SKU明细'!$CI$11:$CI$1309,MATCH("B07-NY-39.5-by",'SKU明细'!$A$11:$A$1309,0)),INDEX('SKU明细'!$CI$11:$CI$1309,MATCH("B07-NY-40.5-by",'SKU明细'!$A$11:$A$1309,0)),INDEX('SKU明细'!$CI$11:$CI$1309,MATCH("B07-NY-41-by",'SKU明细'!$A$11:$A$1309,0)),INDEX('SKU明细'!$CI$11:$CI$1309,MATCH("B07-NY-41.5-by",'SKU明细'!$A$11:$A$1309,0)),INDEX('SKU明细'!$CI$11:$CI$1309,MATCH("B07-NY-42-by",'SKU明细'!$A$11:$A$1309,0)))=8,SUM(INDEX('SKU明细'!$CI$11:$CI$1309,MATCH("B07-NY-37-by",'SKU明细'!$A$11:$A$1309,0)),INDEX('SKU明细'!$CI$11:$CI$1309,MATCH("B07-NY-37.5-by",'SKU明细'!$A$11:$A$1309,0)),INDEX('SKU明细'!$CI$11:$CI$1309,MATCH("B07-NY-38.5-by",'SKU明细'!$A$11:$A$1309,0)),INDEX('SKU明细'!$CI$11:$CI$1309,MATCH("B07-NY-39.5-by",'SKU明细'!$A$11:$A$1309,0)),INDEX('SKU明细'!$CI$11:$CI$1309,MATCH("B07-NY-40.5-by",'SKU明细'!$A$11:$A$1309,0)),INDEX('SKU明细'!$CI$11:$CI$1309,MATCH("B07-NY-41-by",'SKU明细'!$A$11:$A$1309,0)),INDEX('SKU明细'!$CI$11:$CI$1309,MATCH("B07-NY-41.5-by",'SKU明细'!$A$11:$A$1309,0)),INDEX('SKU明细'!$CI$11:$CI$1309,MATCH("B07-NY-42-by",'SKU明细'!$A$11:$A$1309,0))),"待核")</x:f>
        <x:v>53.98094295290897</x:v>
      </x:c>
    </x:row>
    <x:row r="79" ht="40" customHeight="1">
      <x:c r="A79" s="37" t="str">
        <x:v>B07</x:v>
      </x:c>
      <x:c r="B79" s="37" t="str">
        <x:v>艾年</x:v>
      </x:c>
      <x:c r="C79" s="37" t="str">
        <x:v>粉色羊京绒</x:v>
      </x:c>
      <x:c r="D79" s="37" t="str">
        <x:v>PK</x:v>
      </x:c>
      <x:c r="E79" s="37" t="str">
        <x:v>B07-PK</x:v>
      </x:c>
      <x:c r="F79" s="37"/>
      <x:c r="G79" s="38" t="str">
        <x:f>"—"</x:f>
        <x:v>—</x:v>
      </x:c>
      <x:c r="H79" s="38" t="str">
        <x:f>"—"</x:f>
        <x:v>—</x:v>
      </x:c>
      <x:c r="I79" s="38" t="str">
        <x:f>IF(COUNT(INDEX('SKU明细'!$D$11:$D$1309,MATCH("B07-PK-37.5",'SKU明细'!$A$11:$A$1309,0)))=0,"待核",IF(COUNT(INDEX('SKU明细'!$D$11:$D$1309,MATCH("B07-PK-37.5",'SKU明细'!$A$11:$A$1309,0)))&lt;1,SUM(INDEX('SKU明细'!$D$11:$D$1309,MATCH("B07-PK-37.5",'SKU明细'!$A$11:$A$1309,0)))&amp;" + 待核",SUM(INDEX('SKU明细'!$D$11:$D$1309,MATCH("B07-PK-37.5",'SKU明细'!$A$11:$A$1309,0)))))</x:f>
        <x:v>待核</x:v>
      </x:c>
      <x:c r="J79" s="38" t="n">
        <x:f>IF(COUNT(INDEX('SKU明细'!$D$11:$D$1309,MATCH("B07-PK-38-by",'SKU明细'!$A$11:$A$1309,0)))=0,"待核",IF(COUNT(INDEX('SKU明细'!$D$11:$D$1309,MATCH("B07-PK-38-by",'SKU明细'!$A$11:$A$1309,0)))&lt;1,SUM(INDEX('SKU明细'!$D$11:$D$1309,MATCH("B07-PK-38-by",'SKU明细'!$A$11:$A$1309,0)))&amp;" + 待核",SUM(INDEX('SKU明细'!$D$11:$D$1309,MATCH("B07-PK-38-by",'SKU明细'!$A$11:$A$1309,0)))))</x:f>
        <x:v>0</x:v>
      </x:c>
      <x:c r="K79" s="38" t="n">
        <x:f>IF(COUNT(INDEX('SKU明细'!$D$11:$D$1309,MATCH("B07-PK-38.5",'SKU明细'!$A$11:$A$1309,0)))=0,"待核",IF(COUNT(INDEX('SKU明细'!$D$11:$D$1309,MATCH("B07-PK-38.5",'SKU明细'!$A$11:$A$1309,0)))&lt;1,SUM(INDEX('SKU明细'!$D$11:$D$1309,MATCH("B07-PK-38.5",'SKU明细'!$A$11:$A$1309,0)))&amp;" + 待核",SUM(INDEX('SKU明细'!$D$11:$D$1309,MATCH("B07-PK-38.5",'SKU明细'!$A$11:$A$1309,0)))))</x:f>
        <x:v>0</x:v>
      </x:c>
      <x:c r="L79" s="38" t="n">
        <x:f>IF(COUNT(INDEX('SKU明细'!$D$11:$D$1309,MATCH("B07-PK-39-by",'SKU明细'!$A$11:$A$1309,0)))=0,"待核",IF(COUNT(INDEX('SKU明细'!$D$11:$D$1309,MATCH("B07-PK-39-by",'SKU明细'!$A$11:$A$1309,0)))&lt;1,SUM(INDEX('SKU明细'!$D$11:$D$1309,MATCH("B07-PK-39-by",'SKU明细'!$A$11:$A$1309,0)))&amp;" + 待核",SUM(INDEX('SKU明细'!$D$11:$D$1309,MATCH("B07-PK-39-by",'SKU明细'!$A$11:$A$1309,0)))))</x:f>
        <x:v>0</x:v>
      </x:c>
      <x:c r="M79" s="38" t="n">
        <x:f>IF(COUNT(INDEX('SKU明细'!$D$11:$D$1309,MATCH("B07-PK-39.5",'SKU明细'!$A$11:$A$1309,0)))=0,"待核",IF(COUNT(INDEX('SKU明细'!$D$11:$D$1309,MATCH("B07-PK-39.5",'SKU明细'!$A$11:$A$1309,0)))&lt;1,SUM(INDEX('SKU明细'!$D$11:$D$1309,MATCH("B07-PK-39.5",'SKU明细'!$A$11:$A$1309,0)))&amp;" + 待核",SUM(INDEX('SKU明细'!$D$11:$D$1309,MATCH("B07-PK-39.5",'SKU明细'!$A$11:$A$1309,0)))))</x:f>
        <x:v>0</x:v>
      </x:c>
      <x:c r="N79" s="38" t="str">
        <x:f>"—"</x:f>
        <x:v>—</x:v>
      </x:c>
      <x:c r="O79" s="38" t="n">
        <x:f>IF(COUNT(INDEX('SKU明细'!$D$11:$D$1309,MATCH("B07-PK-40.5",'SKU明细'!$A$11:$A$1309,0)))=0,"待核",IF(COUNT(INDEX('SKU明细'!$D$11:$D$1309,MATCH("B07-PK-40.5",'SKU明细'!$A$11:$A$1309,0)))&lt;1,SUM(INDEX('SKU明细'!$D$11:$D$1309,MATCH("B07-PK-40.5",'SKU明细'!$A$11:$A$1309,0)))&amp;" + 待核",SUM(INDEX('SKU明细'!$D$11:$D$1309,MATCH("B07-PK-40.5",'SKU明细'!$A$11:$A$1309,0)))))</x:f>
        <x:v>0</x:v>
      </x:c>
      <x:c r="P79" s="38" t="n">
        <x:f>IF(COUNT(INDEX('SKU明细'!$D$11:$D$1309,MATCH("B07-PK-41-by",'SKU明细'!$A$11:$A$1309,0)))=0,"待核",IF(COUNT(INDEX('SKU明细'!$D$11:$D$1309,MATCH("B07-PK-41-by",'SKU明细'!$A$11:$A$1309,0)))&lt;1,SUM(INDEX('SKU明细'!$D$11:$D$1309,MATCH("B07-PK-41-by",'SKU明细'!$A$11:$A$1309,0)))&amp;" + 待核",SUM(INDEX('SKU明细'!$D$11:$D$1309,MATCH("B07-PK-41-by",'SKU明细'!$A$11:$A$1309,0)))))</x:f>
        <x:v>0</x:v>
      </x:c>
      <x:c r="Q79" s="38" t="n">
        <x:f>IF(COUNT(INDEX('SKU明细'!$D$11:$D$1309,MATCH("B07-PK-41.5",'SKU明细'!$A$11:$A$1309,0)))=0,"待核",IF(COUNT(INDEX('SKU明细'!$D$11:$D$1309,MATCH("B07-PK-41.5",'SKU明细'!$A$11:$A$1309,0)))&lt;1,SUM(INDEX('SKU明细'!$D$11:$D$1309,MATCH("B07-PK-41.5",'SKU明细'!$A$11:$A$1309,0)))&amp;" + 待核",SUM(INDEX('SKU明细'!$D$11:$D$1309,MATCH("B07-PK-41.5",'SKU明细'!$A$11:$A$1309,0)))))</x:f>
        <x:v>0</x:v>
      </x:c>
      <x:c r="R79" s="38" t="n">
        <x:f>IF(COUNT(INDEX('SKU明细'!$D$11:$D$1309,MATCH("B07-PK-42-by",'SKU明细'!$A$11:$A$1309,0)))=0,"待核",IF(COUNT(INDEX('SKU明细'!$D$11:$D$1309,MATCH("B07-PK-42-by",'SKU明细'!$A$11:$A$1309,0)))&lt;1,SUM(INDEX('SKU明细'!$D$11:$D$1309,MATCH("B07-PK-42-by",'SKU明细'!$A$11:$A$1309,0)))&amp;" + 待核",SUM(INDEX('SKU明细'!$D$11:$D$1309,MATCH("B07-PK-42-by",'SKU明细'!$A$11:$A$1309,0)))))</x:f>
        <x:v>4</x:v>
      </x:c>
      <x:c r="S79" s="38" t="n">
        <x:f>IF(COUNT(INDEX('SKU明细'!$D$11:$D$1309,MATCH("B07-PK-37.5",'SKU明细'!$A$11:$A$1309,0)),INDEX('SKU明细'!$D$11:$D$1309,MATCH("B07-PK-38.5",'SKU明细'!$A$11:$A$1309,0)),INDEX('SKU明细'!$D$11:$D$1309,MATCH("B07-PK-39.5",'SKU明细'!$A$11:$A$1309,0)),INDEX('SKU明细'!$D$11:$D$1309,MATCH("B07-PK-40.5",'SKU明细'!$A$11:$A$1309,0)),INDEX('SKU明细'!$D$11:$D$1309,MATCH("B07-PK-41-by",'SKU明细'!$A$11:$A$1309,0)),INDEX('SKU明细'!$D$11:$D$1309,MATCH("B07-PK-41.5",'SKU明细'!$A$11:$A$1309,0)),INDEX('SKU明细'!$D$11:$D$1309,MATCH("B07-PK-42-by",'SKU明细'!$A$11:$A$1309,0)),INDEX('SKU明细'!$D$11:$D$1309,MATCH("B07-PK-38-by",'SKU明细'!$A$11:$A$1309,0)),INDEX('SKU明细'!$D$11:$D$1309,MATCH("B07-PK-39-by",'SKU明细'!$A$11:$A$1309,0)))=0,"待核",SUM(INDEX('SKU明细'!$D$11:$D$1309,MATCH("B07-PK-37.5",'SKU明细'!$A$11:$A$1309,0)),INDEX('SKU明细'!$D$11:$D$1309,MATCH("B07-PK-38.5",'SKU明细'!$A$11:$A$1309,0)),INDEX('SKU明细'!$D$11:$D$1309,MATCH("B07-PK-39.5",'SKU明细'!$A$11:$A$1309,0)),INDEX('SKU明细'!$D$11:$D$1309,MATCH("B07-PK-40.5",'SKU明细'!$A$11:$A$1309,0)),INDEX('SKU明细'!$D$11:$D$1309,MATCH("B07-PK-41-by",'SKU明细'!$A$11:$A$1309,0)),INDEX('SKU明细'!$D$11:$D$1309,MATCH("B07-PK-41.5",'SKU明细'!$A$11:$A$1309,0)),INDEX('SKU明细'!$D$11:$D$1309,MATCH("B07-PK-42-by",'SKU明细'!$A$11:$A$1309,0)),INDEX('SKU明细'!$D$11:$D$1309,MATCH("B07-PK-38-by",'SKU明细'!$A$11:$A$1309,0)),INDEX('SKU明细'!$D$11:$D$1309,MATCH("B07-PK-39-by",'SKU明细'!$A$11:$A$1309,0))))</x:f>
        <x:v>4</x:v>
      </x:c>
      <x:c r="T79" s="38" t="n">
        <x:f>IF(COUNTIFS($A$9:$A$191,A79,$U$9:$U$191,"&lt;&gt;待核")=0,"待核",SUMIF($A$9:$A$191,A79,$S$9:$S$191))</x:f>
        <x:v>364</x:v>
      </x:c>
      <x:c r="U79" s="37" t="str">
        <x:f>IF(COUNT(INDEX('SKU明细'!$D$11:$D$1309,MATCH("B07-PK-37.5",'SKU明细'!$A$11:$A$1309,0)),INDEX('SKU明细'!$D$11:$D$1309,MATCH("B07-PK-38.5",'SKU明细'!$A$11:$A$1309,0)),INDEX('SKU明细'!$D$11:$D$1309,MATCH("B07-PK-39.5",'SKU明细'!$A$11:$A$1309,0)),INDEX('SKU明细'!$D$11:$D$1309,MATCH("B07-PK-40.5",'SKU明细'!$A$11:$A$1309,0)),INDEX('SKU明细'!$D$11:$D$1309,MATCH("B07-PK-41-by",'SKU明细'!$A$11:$A$1309,0)),INDEX('SKU明细'!$D$11:$D$1309,MATCH("B07-PK-41.5",'SKU明细'!$A$11:$A$1309,0)),INDEX('SKU明细'!$D$11:$D$1309,MATCH("B07-PK-42-by",'SKU明细'!$A$11:$A$1309,0)),INDEX('SKU明细'!$D$11:$D$1309,MATCH("B07-PK-38-by",'SKU明细'!$A$11:$A$1309,0)),INDEX('SKU明细'!$D$11:$D$1309,MATCH("B07-PK-39-by",'SKU明细'!$A$11:$A$1309,0)))=0,"待核",IF(COUNT(INDEX('SKU明细'!$D$11:$D$1309,MATCH("B07-PK-37.5",'SKU明细'!$A$11:$A$1309,0)),INDEX('SKU明细'!$D$11:$D$1309,MATCH("B07-PK-38.5",'SKU明细'!$A$11:$A$1309,0)),INDEX('SKU明细'!$D$11:$D$1309,MATCH("B07-PK-39.5",'SKU明细'!$A$11:$A$1309,0)),INDEX('SKU明细'!$D$11:$D$1309,MATCH("B07-PK-40.5",'SKU明细'!$A$11:$A$1309,0)),INDEX('SKU明细'!$D$11:$D$1309,MATCH("B07-PK-41-by",'SKU明细'!$A$11:$A$1309,0)),INDEX('SKU明细'!$D$11:$D$1309,MATCH("B07-PK-41.5",'SKU明细'!$A$11:$A$1309,0)),INDEX('SKU明细'!$D$11:$D$1309,MATCH("B07-PK-42-by",'SKU明细'!$A$11:$A$1309,0)),INDEX('SKU明细'!$D$11:$D$1309,MATCH("B07-PK-38-by",'SKU明细'!$A$11:$A$1309,0)),INDEX('SKU明细'!$D$11:$D$1309,MATCH("B07-PK-39-by",'SKU明细'!$A$11:$A$1309,0)))&lt;9,"另有待核","已核"))</x:f>
        <x:v>另有待核</x:v>
      </x:c>
      <x:c r="V79" s="37" t="str">
        <x:v>在售</x:v>
      </x:c>
      <x:c r="W79" s="11" t="n">
        <x:f>IF(COUNT(INDEX('SKU明细'!$BV$11:$BV$1309,MATCH("B07-PK-37.5",'SKU明细'!$A$11:$A$1309,0)),INDEX('SKU明细'!$BV$11:$BV$1309,MATCH("B07-PK-38.5",'SKU明细'!$A$11:$A$1309,0)),INDEX('SKU明细'!$BV$11:$BV$1309,MATCH("B07-PK-39.5",'SKU明细'!$A$11:$A$1309,0)),INDEX('SKU明细'!$BV$11:$BV$1309,MATCH("B07-PK-40.5",'SKU明细'!$A$11:$A$1309,0)),INDEX('SKU明细'!$BV$11:$BV$1309,MATCH("B07-PK-41-by",'SKU明细'!$A$11:$A$1309,0)),INDEX('SKU明细'!$BV$11:$BV$1309,MATCH("B07-PK-41.5",'SKU明细'!$A$11:$A$1309,0)),INDEX('SKU明细'!$BV$11:$BV$1309,MATCH("B07-PK-42-by",'SKU明细'!$A$11:$A$1309,0)),INDEX('SKU明细'!$BV$11:$BV$1309,MATCH("B07-PK-38-by",'SKU明细'!$A$11:$A$1309,0)),INDEX('SKU明细'!$BV$11:$BV$1309,MATCH("B07-PK-39-by",'SKU明细'!$A$11:$A$1309,0)))=9,SUM(INDEX('SKU明细'!$BV$11:$BV$1309,MATCH("B07-PK-37.5",'SKU明细'!$A$11:$A$1309,0)),INDEX('SKU明细'!$BV$11:$BV$1309,MATCH("B07-PK-38.5",'SKU明细'!$A$11:$A$1309,0)),INDEX('SKU明细'!$BV$11:$BV$1309,MATCH("B07-PK-39.5",'SKU明细'!$A$11:$A$1309,0)),INDEX('SKU明细'!$BV$11:$BV$1309,MATCH("B07-PK-40.5",'SKU明细'!$A$11:$A$1309,0)),INDEX('SKU明细'!$BV$11:$BV$1309,MATCH("B07-PK-41-by",'SKU明细'!$A$11:$A$1309,0)),INDEX('SKU明细'!$BV$11:$BV$1309,MATCH("B07-PK-41.5",'SKU明细'!$A$11:$A$1309,0)),INDEX('SKU明细'!$BV$11:$BV$1309,MATCH("B07-PK-42-by",'SKU明细'!$A$11:$A$1309,0)),INDEX('SKU明细'!$BV$11:$BV$1309,MATCH("B07-PK-38-by",'SKU明细'!$A$11:$A$1309,0)),INDEX('SKU明细'!$BV$11:$BV$1309,MATCH("B07-PK-39-by",'SKU明细'!$A$11:$A$1309,0))),"待核")</x:f>
        <x:v>0.40474397774474896</x:v>
      </x:c>
      <x:c r="X79" s="11" t="n">
        <x:f>INDEX('SKU明细'!$BW$11:$BW$1309,MATCH("B07-PK-37.5",'SKU明细'!$A$11:$A$1309,0))</x:f>
        <x:v>0.7307750238224848</x:v>
      </x:c>
      <x:c r="Y79" s="13" t="n">
        <x:f>IF(COUNT(INDEX('SKU明细'!$BY$11:$BY$1309,MATCH("B07-PK-37.5",'SKU明细'!$A$11:$A$1309,0)),INDEX('SKU明细'!$BY$11:$BY$1309,MATCH("B07-PK-38.5",'SKU明细'!$A$11:$A$1309,0)),INDEX('SKU明细'!$BY$11:$BY$1309,MATCH("B07-PK-39.5",'SKU明细'!$A$11:$A$1309,0)),INDEX('SKU明细'!$BY$11:$BY$1309,MATCH("B07-PK-40.5",'SKU明细'!$A$11:$A$1309,0)),INDEX('SKU明细'!$BY$11:$BY$1309,MATCH("B07-PK-41-by",'SKU明细'!$A$11:$A$1309,0)),INDEX('SKU明细'!$BY$11:$BY$1309,MATCH("B07-PK-41.5",'SKU明细'!$A$11:$A$1309,0)),INDEX('SKU明细'!$BY$11:$BY$1309,MATCH("B07-PK-42-by",'SKU明细'!$A$11:$A$1309,0)),INDEX('SKU明细'!$BY$11:$BY$1309,MATCH("B07-PK-38-by",'SKU明细'!$A$11:$A$1309,0)),INDEX('SKU明细'!$BY$11:$BY$1309,MATCH("B07-PK-39-by",'SKU明细'!$A$11:$A$1309,0)))=9,SUM(INDEX('SKU明细'!$BY$11:$BY$1309,MATCH("B07-PK-37.5",'SKU明细'!$A$11:$A$1309,0)),INDEX('SKU明细'!$BY$11:$BY$1309,MATCH("B07-PK-38.5",'SKU明细'!$A$11:$A$1309,0)),INDEX('SKU明细'!$BY$11:$BY$1309,MATCH("B07-PK-39.5",'SKU明细'!$A$11:$A$1309,0)),INDEX('SKU明细'!$BY$11:$BY$1309,MATCH("B07-PK-40.5",'SKU明细'!$A$11:$A$1309,0)),INDEX('SKU明细'!$BY$11:$BY$1309,MATCH("B07-PK-41-by",'SKU明细'!$A$11:$A$1309,0)),INDEX('SKU明细'!$BY$11:$BY$1309,MATCH("B07-PK-41.5",'SKU明细'!$A$11:$A$1309,0)),INDEX('SKU明细'!$BY$11:$BY$1309,MATCH("B07-PK-42-by",'SKU明细'!$A$11:$A$1309,0)),INDEX('SKU明细'!$BY$11:$BY$1309,MATCH("B07-PK-38-by",'SKU明细'!$A$11:$A$1309,0)),INDEX('SKU明细'!$BY$11:$BY$1309,MATCH("B07-PK-39-by",'SKU明细'!$A$11:$A$1309,0))),"待核")</x:f>
        <x:v>3.549321479741114</x:v>
      </x:c>
      <x:c r="Z79" s="11" t="n">
        <x:f>INDEX('SKU明细'!$BZ$11:$BZ$1309,MATCH("B07-PK-37.5",'SKU明细'!$A$11:$A$1309,0))</x:f>
        <x:v>0.9523018155490097</x:v>
      </x:c>
      <x:c r="AA79" s="13" t="n">
        <x:f>IF(COUNT(INDEX('SKU明细'!$CB$11:$CB$1309,MATCH("B07-PK-37.5",'SKU明细'!$A$11:$A$1309,0)),INDEX('SKU明细'!$CB$11:$CB$1309,MATCH("B07-PK-38.5",'SKU明细'!$A$11:$A$1309,0)),INDEX('SKU明细'!$CB$11:$CB$1309,MATCH("B07-PK-39.5",'SKU明细'!$A$11:$A$1309,0)),INDEX('SKU明细'!$CB$11:$CB$1309,MATCH("B07-PK-40.5",'SKU明细'!$A$11:$A$1309,0)),INDEX('SKU明细'!$CB$11:$CB$1309,MATCH("B07-PK-41-by",'SKU明细'!$A$11:$A$1309,0)),INDEX('SKU明细'!$CB$11:$CB$1309,MATCH("B07-PK-41.5",'SKU明细'!$A$11:$A$1309,0)),INDEX('SKU明细'!$CB$11:$CB$1309,MATCH("B07-PK-42-by",'SKU明细'!$A$11:$A$1309,0)),INDEX('SKU明细'!$CB$11:$CB$1309,MATCH("B07-PK-38-by",'SKU明细'!$A$11:$A$1309,0)),INDEX('SKU明细'!$CB$11:$CB$1309,MATCH("B07-PK-39-by",'SKU明细'!$A$11:$A$1309,0)))=9,SUM(INDEX('SKU明细'!$CB$11:$CB$1309,MATCH("B07-PK-37.5",'SKU明细'!$A$11:$A$1309,0)),INDEX('SKU明细'!$CB$11:$CB$1309,MATCH("B07-PK-38.5",'SKU明细'!$A$11:$A$1309,0)),INDEX('SKU明细'!$CB$11:$CB$1309,MATCH("B07-PK-39.5",'SKU明细'!$A$11:$A$1309,0)),INDEX('SKU明细'!$CB$11:$CB$1309,MATCH("B07-PK-40.5",'SKU明细'!$A$11:$A$1309,0)),INDEX('SKU明细'!$CB$11:$CB$1309,MATCH("B07-PK-41-by",'SKU明细'!$A$11:$A$1309,0)),INDEX('SKU明细'!$CB$11:$CB$1309,MATCH("B07-PK-41.5",'SKU明细'!$A$11:$A$1309,0)),INDEX('SKU明细'!$CB$11:$CB$1309,MATCH("B07-PK-42-by",'SKU明细'!$A$11:$A$1309,0)),INDEX('SKU明细'!$CB$11:$CB$1309,MATCH("B07-PK-38-by",'SKU明细'!$A$11:$A$1309,0)),INDEX('SKU明细'!$CB$11:$CB$1309,MATCH("B07-PK-39-by",'SKU明细'!$A$11:$A$1309,0))),"待核")</x:f>
        <x:v>11.56315274516557</x:v>
      </x:c>
      <x:c r="AB79" s="11" t="n">
        <x:f>INDEX('SKU明细'!$CC$11:$CC$1309,MATCH("B07-PK-37.5",'SKU明细'!$A$11:$A$1309,0))</x:f>
        <x:v>0.5958545198749097</x:v>
      </x:c>
      <x:c r="AC79" s="13" t="n">
        <x:f>IF(COUNT(INDEX('SKU明细'!$CE$11:$CE$1309,MATCH("B07-PK-37.5",'SKU明细'!$A$11:$A$1309,0)),INDEX('SKU明细'!$CE$11:$CE$1309,MATCH("B07-PK-38.5",'SKU明细'!$A$11:$A$1309,0)),INDEX('SKU明细'!$CE$11:$CE$1309,MATCH("B07-PK-39.5",'SKU明细'!$A$11:$A$1309,0)),INDEX('SKU明细'!$CE$11:$CE$1309,MATCH("B07-PK-40.5",'SKU明细'!$A$11:$A$1309,0)),INDEX('SKU明细'!$CE$11:$CE$1309,MATCH("B07-PK-41-by",'SKU明细'!$A$11:$A$1309,0)),INDEX('SKU明细'!$CE$11:$CE$1309,MATCH("B07-PK-41.5",'SKU明细'!$A$11:$A$1309,0)),INDEX('SKU明细'!$CE$11:$CE$1309,MATCH("B07-PK-42-by",'SKU明细'!$A$11:$A$1309,0)),INDEX('SKU明细'!$CE$11:$CE$1309,MATCH("B07-PK-38-by",'SKU明细'!$A$11:$A$1309,0)),INDEX('SKU明细'!$CE$11:$CE$1309,MATCH("B07-PK-39-by",'SKU明细'!$A$11:$A$1309,0)))=9,SUM(INDEX('SKU明细'!$CE$11:$CE$1309,MATCH("B07-PK-37.5",'SKU明细'!$A$11:$A$1309,0)),INDEX('SKU明细'!$CE$11:$CE$1309,MATCH("B07-PK-38.5",'SKU明细'!$A$11:$A$1309,0)),INDEX('SKU明细'!$CE$11:$CE$1309,MATCH("B07-PK-39.5",'SKU明细'!$A$11:$A$1309,0)),INDEX('SKU明细'!$CE$11:$CE$1309,MATCH("B07-PK-40.5",'SKU明细'!$A$11:$A$1309,0)),INDEX('SKU明细'!$CE$11:$CE$1309,MATCH("B07-PK-41-by",'SKU明细'!$A$11:$A$1309,0)),INDEX('SKU明细'!$CE$11:$CE$1309,MATCH("B07-PK-41.5",'SKU明细'!$A$11:$A$1309,0)),INDEX('SKU明细'!$CE$11:$CE$1309,MATCH("B07-PK-42-by",'SKU明细'!$A$11:$A$1309,0)),INDEX('SKU明细'!$CE$11:$CE$1309,MATCH("B07-PK-38-by",'SKU明细'!$A$11:$A$1309,0)),INDEX('SKU明细'!$CE$11:$CE$1309,MATCH("B07-PK-39-by",'SKU明细'!$A$11:$A$1309,0))),"待核")</x:f>
        <x:v>7.476224384472115</x:v>
      </x:c>
      <x:c r="AD79" s="11" t="n">
        <x:f>INDEX('SKU明细'!$CF$11:$CF$1309,MATCH("B07-PK-37.5",'SKU明细'!$A$11:$A$1309,0))</x:f>
        <x:v>1.3264167397065354</x:v>
      </x:c>
      <x:c r="AE79" s="13" t="n">
        <x:f>IF(COUNT(INDEX('SKU明细'!$CH$11:$CH$1309,MATCH("B07-PK-37.5",'SKU明细'!$A$11:$A$1309,0)),INDEX('SKU明细'!$CH$11:$CH$1309,MATCH("B07-PK-38.5",'SKU明细'!$A$11:$A$1309,0)),INDEX('SKU明细'!$CH$11:$CH$1309,MATCH("B07-PK-39.5",'SKU明细'!$A$11:$A$1309,0)),INDEX('SKU明细'!$CH$11:$CH$1309,MATCH("B07-PK-40.5",'SKU明细'!$A$11:$A$1309,0)),INDEX('SKU明细'!$CH$11:$CH$1309,MATCH("B07-PK-41-by",'SKU明细'!$A$11:$A$1309,0)),INDEX('SKU明细'!$CH$11:$CH$1309,MATCH("B07-PK-41.5",'SKU明细'!$A$11:$A$1309,0)),INDEX('SKU明细'!$CH$11:$CH$1309,MATCH("B07-PK-42-by",'SKU明细'!$A$11:$A$1309,0)),INDEX('SKU明细'!$CH$11:$CH$1309,MATCH("B07-PK-38-by",'SKU明细'!$A$11:$A$1309,0)),INDEX('SKU明细'!$CH$11:$CH$1309,MATCH("B07-PK-39-by",'SKU明细'!$A$11:$A$1309,0)))=9,SUM(INDEX('SKU明细'!$CH$11:$CH$1309,MATCH("B07-PK-37.5",'SKU明细'!$A$11:$A$1309,0)),INDEX('SKU明细'!$CH$11:$CH$1309,MATCH("B07-PK-38.5",'SKU明细'!$A$11:$A$1309,0)),INDEX('SKU明细'!$CH$11:$CH$1309,MATCH("B07-PK-39.5",'SKU明细'!$A$11:$A$1309,0)),INDEX('SKU明细'!$CH$11:$CH$1309,MATCH("B07-PK-40.5",'SKU明细'!$A$11:$A$1309,0)),INDEX('SKU明细'!$CH$11:$CH$1309,MATCH("B07-PK-41-by",'SKU明细'!$A$11:$A$1309,0)),INDEX('SKU明细'!$CH$11:$CH$1309,MATCH("B07-PK-41.5",'SKU明细'!$A$11:$A$1309,0)),INDEX('SKU明细'!$CH$11:$CH$1309,MATCH("B07-PK-42-by",'SKU明细'!$A$11:$A$1309,0)),INDEX('SKU明细'!$CH$11:$CH$1309,MATCH("B07-PK-38-by",'SKU明细'!$A$11:$A$1309,0)),INDEX('SKU明细'!$CH$11:$CH$1309,MATCH("B07-PK-39-by",'SKU明细'!$A$11:$A$1309,0))),"待核")</x:f>
        <x:v>9.126606185392754</x:v>
      </x:c>
      <x:c r="AF79" s="13" t="n">
        <x:f>IF(COUNT(INDEX('SKU明细'!$CI$11:$CI$1309,MATCH("B07-PK-37.5",'SKU明细'!$A$11:$A$1309,0)),INDEX('SKU明细'!$CI$11:$CI$1309,MATCH("B07-PK-38.5",'SKU明细'!$A$11:$A$1309,0)),INDEX('SKU明细'!$CI$11:$CI$1309,MATCH("B07-PK-39.5",'SKU明细'!$A$11:$A$1309,0)),INDEX('SKU明细'!$CI$11:$CI$1309,MATCH("B07-PK-40.5",'SKU明细'!$A$11:$A$1309,0)),INDEX('SKU明细'!$CI$11:$CI$1309,MATCH("B07-PK-41-by",'SKU明细'!$A$11:$A$1309,0)),INDEX('SKU明细'!$CI$11:$CI$1309,MATCH("B07-PK-41.5",'SKU明细'!$A$11:$A$1309,0)),INDEX('SKU明细'!$CI$11:$CI$1309,MATCH("B07-PK-42-by",'SKU明细'!$A$11:$A$1309,0)),INDEX('SKU明细'!$CI$11:$CI$1309,MATCH("B07-PK-38-by",'SKU明细'!$A$11:$A$1309,0)),INDEX('SKU明细'!$CI$11:$CI$1309,MATCH("B07-PK-39-by",'SKU明细'!$A$11:$A$1309,0)))=9,SUM(INDEX('SKU明细'!$CI$11:$CI$1309,MATCH("B07-PK-37.5",'SKU明细'!$A$11:$A$1309,0)),INDEX('SKU明细'!$CI$11:$CI$1309,MATCH("B07-PK-38.5",'SKU明细'!$A$11:$A$1309,0)),INDEX('SKU明细'!$CI$11:$CI$1309,MATCH("B07-PK-39.5",'SKU明细'!$A$11:$A$1309,0)),INDEX('SKU明细'!$CI$11:$CI$1309,MATCH("B07-PK-40.5",'SKU明细'!$A$11:$A$1309,0)),INDEX('SKU明细'!$CI$11:$CI$1309,MATCH("B07-PK-41-by",'SKU明细'!$A$11:$A$1309,0)),INDEX('SKU明细'!$CI$11:$CI$1309,MATCH("B07-PK-41.5",'SKU明细'!$A$11:$A$1309,0)),INDEX('SKU明细'!$CI$11:$CI$1309,MATCH("B07-PK-42-by",'SKU明细'!$A$11:$A$1309,0)),INDEX('SKU明细'!$CI$11:$CI$1309,MATCH("B07-PK-38-by",'SKU明细'!$A$11:$A$1309,0)),INDEX('SKU明细'!$CI$11:$CI$1309,MATCH("B07-PK-39-by",'SKU明细'!$A$11:$A$1309,0))),"待核")</x:f>
        <x:v>31.715304794771555</x:v>
      </x:c>
    </x:row>
    <x:row r="80" ht="40" customHeight="1">
      <x:c r="A80" s="37" t="str">
        <x:v>B07</x:v>
      </x:c>
      <x:c r="B80" s="37" t="str">
        <x:v>艾年</x:v>
      </x:c>
      <x:c r="C80" s="37" t="str">
        <x:v>红色羊京绒</x:v>
      </x:c>
      <x:c r="D80" s="37" t="str">
        <x:v>RD</x:v>
      </x:c>
      <x:c r="E80" s="37" t="str">
        <x:v>B07-RD</x:v>
      </x:c>
      <x:c r="F80" s="37"/>
      <x:c r="G80" s="38" t="str">
        <x:f>"—"</x:f>
        <x:v>—</x:v>
      </x:c>
      <x:c r="H80" s="38" t="n">
        <x:f>IF(COUNT(INDEX('SKU明细'!$D$11:$D$1309,MATCH("B07-RD-37-by",'SKU明细'!$A$11:$A$1309,0)))=0,"待核",IF(COUNT(INDEX('SKU明细'!$D$11:$D$1309,MATCH("B07-RD-37-by",'SKU明细'!$A$11:$A$1309,0)))&lt;1,SUM(INDEX('SKU明细'!$D$11:$D$1309,MATCH("B07-RD-37-by",'SKU明细'!$A$11:$A$1309,0)))&amp;" + 待核",SUM(INDEX('SKU明细'!$D$11:$D$1309,MATCH("B07-RD-37-by",'SKU明细'!$A$11:$A$1309,0)))))</x:f>
        <x:v>0</x:v>
      </x:c>
      <x:c r="I80" s="38" t="str">
        <x:f>"—"</x:f>
        <x:v>—</x:v>
      </x:c>
      <x:c r="J80" s="38" t="n">
        <x:f>IF(COUNT(INDEX('SKU明细'!$D$11:$D$1309,MATCH("B07-RD-38-by",'SKU明细'!$A$11:$A$1309,0)))=0,"待核",IF(COUNT(INDEX('SKU明细'!$D$11:$D$1309,MATCH("B07-RD-38-by",'SKU明细'!$A$11:$A$1309,0)))&lt;1,SUM(INDEX('SKU明细'!$D$11:$D$1309,MATCH("B07-RD-38-by",'SKU明细'!$A$11:$A$1309,0)))&amp;" + 待核",SUM(INDEX('SKU明细'!$D$11:$D$1309,MATCH("B07-RD-38-by",'SKU明细'!$A$11:$A$1309,0)))))</x:f>
        <x:v>0</x:v>
      </x:c>
      <x:c r="K80" s="38" t="n">
        <x:f>IF(COUNT(INDEX('SKU明细'!$D$11:$D$1309,MATCH("B07-RD-38.5",'SKU明细'!$A$11:$A$1309,0)))=0,"待核",IF(COUNT(INDEX('SKU明细'!$D$11:$D$1309,MATCH("B07-RD-38.5",'SKU明细'!$A$11:$A$1309,0)))&lt;1,SUM(INDEX('SKU明细'!$D$11:$D$1309,MATCH("B07-RD-38.5",'SKU明细'!$A$11:$A$1309,0)))&amp;" + 待核",SUM(INDEX('SKU明细'!$D$11:$D$1309,MATCH("B07-RD-38.5",'SKU明细'!$A$11:$A$1309,0)))))</x:f>
        <x:v>0</x:v>
      </x:c>
      <x:c r="L80" s="38" t="str">
        <x:f>"—"</x:f>
        <x:v>—</x:v>
      </x:c>
      <x:c r="M80" s="38" t="str">
        <x:f>"—"</x:f>
        <x:v>—</x:v>
      </x:c>
      <x:c r="N80" s="38" t="str">
        <x:f>"—"</x:f>
        <x:v>—</x:v>
      </x:c>
      <x:c r="O80" s="38" t="str">
        <x:f>"—"</x:f>
        <x:v>—</x:v>
      </x:c>
      <x:c r="P80" s="38" t="str">
        <x:f>"—"</x:f>
        <x:v>—</x:v>
      </x:c>
      <x:c r="Q80" s="38" t="n">
        <x:f>IF(COUNT(INDEX('SKU明细'!$D$11:$D$1309,MATCH("B07-RD-41.5",'SKU明细'!$A$11:$A$1309,0)))=0,"待核",IF(COUNT(INDEX('SKU明细'!$D$11:$D$1309,MATCH("B07-RD-41.5",'SKU明细'!$A$11:$A$1309,0)))&lt;1,SUM(INDEX('SKU明细'!$D$11:$D$1309,MATCH("B07-RD-41.5",'SKU明细'!$A$11:$A$1309,0)))&amp;" + 待核",SUM(INDEX('SKU明细'!$D$11:$D$1309,MATCH("B07-RD-41.5",'SKU明细'!$A$11:$A$1309,0)))))</x:f>
        <x:v>0</x:v>
      </x:c>
      <x:c r="R80" s="38" t="str">
        <x:f>"—"</x:f>
        <x:v>—</x:v>
      </x:c>
      <x:c r="S80" s="38" t="n">
        <x:f>IF(COUNT(INDEX('SKU明细'!$D$11:$D$1309,MATCH("B07-RD-37-by",'SKU明细'!$A$11:$A$1309,0)),INDEX('SKU明细'!$D$11:$D$1309,MATCH("B07-RD-38-by",'SKU明细'!$A$11:$A$1309,0)),INDEX('SKU明细'!$D$11:$D$1309,MATCH("B07-RD-38.5",'SKU明细'!$A$11:$A$1309,0)),INDEX('SKU明细'!$D$11:$D$1309,MATCH("B07-RD-41.5",'SKU明细'!$A$11:$A$1309,0)))=0,"待核",SUM(INDEX('SKU明细'!$D$11:$D$1309,MATCH("B07-RD-37-by",'SKU明细'!$A$11:$A$1309,0)),INDEX('SKU明细'!$D$11:$D$1309,MATCH("B07-RD-38-by",'SKU明细'!$A$11:$A$1309,0)),INDEX('SKU明细'!$D$11:$D$1309,MATCH("B07-RD-38.5",'SKU明细'!$A$11:$A$1309,0)),INDEX('SKU明细'!$D$11:$D$1309,MATCH("B07-RD-41.5",'SKU明细'!$A$11:$A$1309,0))))</x:f>
        <x:v>0</x:v>
      </x:c>
      <x:c r="T80" s="38" t="n">
        <x:f>IF(COUNTIFS($A$9:$A$191,A80,$U$9:$U$191,"&lt;&gt;待核")=0,"待核",SUMIF($A$9:$A$191,A80,$S$9:$S$191))</x:f>
        <x:v>364</x:v>
      </x:c>
      <x:c r="U80" s="37" t="str">
        <x:f>IF(COUNT(INDEX('SKU明细'!$D$11:$D$1309,MATCH("B07-RD-37-by",'SKU明细'!$A$11:$A$1309,0)),INDEX('SKU明细'!$D$11:$D$1309,MATCH("B07-RD-38-by",'SKU明细'!$A$11:$A$1309,0)),INDEX('SKU明细'!$D$11:$D$1309,MATCH("B07-RD-38.5",'SKU明细'!$A$11:$A$1309,0)),INDEX('SKU明细'!$D$11:$D$1309,MATCH("B07-RD-41.5",'SKU明细'!$A$11:$A$1309,0)))=0,"待核",IF(COUNT(INDEX('SKU明细'!$D$11:$D$1309,MATCH("B07-RD-37-by",'SKU明细'!$A$11:$A$1309,0)),INDEX('SKU明细'!$D$11:$D$1309,MATCH("B07-RD-38-by",'SKU明细'!$A$11:$A$1309,0)),INDEX('SKU明细'!$D$11:$D$1309,MATCH("B07-RD-38.5",'SKU明细'!$A$11:$A$1309,0)),INDEX('SKU明细'!$D$11:$D$1309,MATCH("B07-RD-41.5",'SKU明细'!$A$11:$A$1309,0)))&lt;4,"另有待核","已核"))</x:f>
        <x:v>已核</x:v>
      </x:c>
      <x:c r="V80" s="37" t="str">
        <x:v>在售</x:v>
      </x:c>
      <x:c r="W80" s="11" t="n">
        <x:f>IF(COUNT(INDEX('SKU明细'!$BV$11:$BV$1309,MATCH("B07-RD-37-by",'SKU明细'!$A$11:$A$1309,0)),INDEX('SKU明细'!$BV$11:$BV$1309,MATCH("B07-RD-38-by",'SKU明细'!$A$11:$A$1309,0)),INDEX('SKU明细'!$BV$11:$BV$1309,MATCH("B07-RD-38.5",'SKU明细'!$A$11:$A$1309,0)),INDEX('SKU明细'!$BV$11:$BV$1309,MATCH("B07-RD-41.5",'SKU明细'!$A$11:$A$1309,0)))=4,SUM(INDEX('SKU明细'!$BV$11:$BV$1309,MATCH("B07-RD-37-by",'SKU明细'!$A$11:$A$1309,0)),INDEX('SKU明细'!$BV$11:$BV$1309,MATCH("B07-RD-38-by",'SKU明细'!$A$11:$A$1309,0)),INDEX('SKU明细'!$BV$11:$BV$1309,MATCH("B07-RD-38.5",'SKU明细'!$A$11:$A$1309,0)),INDEX('SKU明细'!$BV$11:$BV$1309,MATCH("B07-RD-41.5",'SKU明细'!$A$11:$A$1309,0))),"待核")</x:f>
        <x:v>0.18514041769037545</x:v>
      </x:c>
      <x:c r="X80" s="11" t="n">
        <x:f>INDEX('SKU明细'!$BW$11:$BW$1309,MATCH("B07-RD-37-by",'SKU明细'!$A$11:$A$1309,0))</x:f>
        <x:v>0.7307750238224848</x:v>
      </x:c>
      <x:c r="Y80" s="13" t="n">
        <x:f>IF(COUNT(INDEX('SKU明细'!$BY$11:$BY$1309,MATCH("B07-RD-37-by",'SKU明细'!$A$11:$A$1309,0)),INDEX('SKU明细'!$BY$11:$BY$1309,MATCH("B07-RD-38-by",'SKU明细'!$A$11:$A$1309,0)),INDEX('SKU明细'!$BY$11:$BY$1309,MATCH("B07-RD-38.5",'SKU明细'!$A$11:$A$1309,0)),INDEX('SKU明细'!$BY$11:$BY$1309,MATCH("B07-RD-41.5",'SKU明细'!$A$11:$A$1309,0)))=4,SUM(INDEX('SKU明细'!$BY$11:$BY$1309,MATCH("B07-RD-37-by",'SKU明细'!$A$11:$A$1309,0)),INDEX('SKU明细'!$BY$11:$BY$1309,MATCH("B07-RD-38-by",'SKU明细'!$A$11:$A$1309,0)),INDEX('SKU明细'!$BY$11:$BY$1309,MATCH("B07-RD-38.5",'SKU明细'!$A$11:$A$1309,0)),INDEX('SKU明细'!$BY$11:$BY$1309,MATCH("B07-RD-41.5",'SKU明细'!$A$11:$A$1309,0))),"待核")</x:f>
        <x:v>1.6235519177782671</x:v>
      </x:c>
      <x:c r="Z80" s="11" t="n">
        <x:f>INDEX('SKU明细'!$BZ$11:$BZ$1309,MATCH("B07-RD-37-by",'SKU明细'!$A$11:$A$1309,0))</x:f>
        <x:v>0.9523018155490097</x:v>
      </x:c>
      <x:c r="AA80" s="13" t="n">
        <x:f>IF(COUNT(INDEX('SKU明细'!$CB$11:$CB$1309,MATCH("B07-RD-37-by",'SKU明细'!$A$11:$A$1309,0)),INDEX('SKU明细'!$CB$11:$CB$1309,MATCH("B07-RD-38-by",'SKU明细'!$A$11:$A$1309,0)),INDEX('SKU明细'!$CB$11:$CB$1309,MATCH("B07-RD-38.5",'SKU明细'!$A$11:$A$1309,0)),INDEX('SKU明细'!$CB$11:$CB$1309,MATCH("B07-RD-41.5",'SKU明细'!$A$11:$A$1309,0)))=4,SUM(INDEX('SKU明细'!$CB$11:$CB$1309,MATCH("B07-RD-37-by",'SKU明细'!$A$11:$A$1309,0)),INDEX('SKU明细'!$CB$11:$CB$1309,MATCH("B07-RD-38-by",'SKU明细'!$A$11:$A$1309,0)),INDEX('SKU明细'!$CB$11:$CB$1309,MATCH("B07-RD-38.5",'SKU明细'!$A$11:$A$1309,0)),INDEX('SKU明细'!$CB$11:$CB$1309,MATCH("B07-RD-41.5",'SKU明细'!$A$11:$A$1309,0))),"待核")</x:f>
        <x:v>5.289286676941396</x:v>
      </x:c>
      <x:c r="AB80" s="11" t="n">
        <x:f>INDEX('SKU明细'!$CC$11:$CC$1309,MATCH("B07-RD-37-by",'SKU明细'!$A$11:$A$1309,0))</x:f>
        <x:v>0.5958545198749097</x:v>
      </x:c>
      <x:c r="AC80" s="13" t="n">
        <x:f>IF(COUNT(INDEX('SKU明细'!$CE$11:$CE$1309,MATCH("B07-RD-37-by",'SKU明细'!$A$11:$A$1309,0)),INDEX('SKU明细'!$CE$11:$CE$1309,MATCH("B07-RD-38-by",'SKU明细'!$A$11:$A$1309,0)),INDEX('SKU明细'!$CE$11:$CE$1309,MATCH("B07-RD-38.5",'SKU明细'!$A$11:$A$1309,0)),INDEX('SKU明细'!$CE$11:$CE$1309,MATCH("B07-RD-41.5",'SKU明细'!$A$11:$A$1309,0)))=4,SUM(INDEX('SKU明细'!$CE$11:$CE$1309,MATCH("B07-RD-37-by",'SKU明细'!$A$11:$A$1309,0)),INDEX('SKU明细'!$CE$11:$CE$1309,MATCH("B07-RD-38-by",'SKU明细'!$A$11:$A$1309,0)),INDEX('SKU明细'!$CE$11:$CE$1309,MATCH("B07-RD-38.5",'SKU明细'!$A$11:$A$1309,0)),INDEX('SKU明细'!$CE$11:$CE$1309,MATCH("B07-RD-41.5",'SKU明细'!$A$11:$A$1309,0))),"待核")</x:f>
        <x:v>3.4198193954625054</x:v>
      </x:c>
      <x:c r="AD80" s="11" t="n">
        <x:f>INDEX('SKU明细'!$CF$11:$CF$1309,MATCH("B07-RD-37-by",'SKU明细'!$A$11:$A$1309,0))</x:f>
        <x:v>1.3264167397065354</x:v>
      </x:c>
      <x:c r="AE80" s="13" t="n">
        <x:f>IF(COUNT(INDEX('SKU明细'!$CH$11:$CH$1309,MATCH("B07-RD-37-by",'SKU明细'!$A$11:$A$1309,0)),INDEX('SKU明细'!$CH$11:$CH$1309,MATCH("B07-RD-38-by",'SKU明细'!$A$11:$A$1309,0)),INDEX('SKU明细'!$CH$11:$CH$1309,MATCH("B07-RD-38.5",'SKU明细'!$A$11:$A$1309,0)),INDEX('SKU明细'!$CH$11:$CH$1309,MATCH("B07-RD-41.5",'SKU明细'!$A$11:$A$1309,0)))=4,SUM(INDEX('SKU明细'!$CH$11:$CH$1309,MATCH("B07-RD-37-by",'SKU明细'!$A$11:$A$1309,0)),INDEX('SKU明细'!$CH$11:$CH$1309,MATCH("B07-RD-38-by",'SKU明细'!$A$11:$A$1309,0)),INDEX('SKU明细'!$CH$11:$CH$1309,MATCH("B07-RD-38.5",'SKU明细'!$A$11:$A$1309,0)),INDEX('SKU明细'!$CH$11:$CH$1309,MATCH("B07-RD-41.5",'SKU明细'!$A$11:$A$1309,0))),"待核")</x:f>
        <x:v>4.1747469367531576</x:v>
      </x:c>
      <x:c r="AF80" s="13" t="n">
        <x:f>IF(COUNT(INDEX('SKU明细'!$CI$11:$CI$1309,MATCH("B07-RD-37-by",'SKU明细'!$A$11:$A$1309,0)),INDEX('SKU明细'!$CI$11:$CI$1309,MATCH("B07-RD-38-by",'SKU明细'!$A$11:$A$1309,0)),INDEX('SKU明细'!$CI$11:$CI$1309,MATCH("B07-RD-38.5",'SKU明细'!$A$11:$A$1309,0)),INDEX('SKU明细'!$CI$11:$CI$1309,MATCH("B07-RD-41.5",'SKU明细'!$A$11:$A$1309,0)))=4,SUM(INDEX('SKU明细'!$CI$11:$CI$1309,MATCH("B07-RD-37-by",'SKU明细'!$A$11:$A$1309,0)),INDEX('SKU明细'!$CI$11:$CI$1309,MATCH("B07-RD-38-by",'SKU明细'!$A$11:$A$1309,0)),INDEX('SKU明细'!$CI$11:$CI$1309,MATCH("B07-RD-38.5",'SKU明细'!$A$11:$A$1309,0)),INDEX('SKU明细'!$CI$11:$CI$1309,MATCH("B07-RD-41.5",'SKU明细'!$A$11:$A$1309,0))),"待核")</x:f>
        <x:v>14.507404926935326</x:v>
      </x:c>
    </x:row>
    <x:row r="81" ht="40" customHeight="1">
      <x:c r="A81" s="37" t="str">
        <x:v>B07</x:v>
      </x:c>
      <x:c r="B81" s="37" t="str">
        <x:v>艾年</x:v>
      </x:c>
      <x:c r="C81" s="37" t="str">
        <x:v>红色色织提花</x:v>
      </x:c>
      <x:c r="D81" s="37" t="str">
        <x:v>RD-I</x:v>
      </x:c>
      <x:c r="E81" s="37" t="str">
        <x:v>B07-RD-I-0</x:v>
      </x:c>
      <x:c r="F81" s="37"/>
      <x:c r="G81" s="38" t="str">
        <x:f>"—"</x:f>
        <x:v>—</x:v>
      </x:c>
      <x:c r="H81" s="38" t="str">
        <x:f>"—"</x:f>
        <x:v>—</x:v>
      </x:c>
      <x:c r="I81" s="38" t="str">
        <x:f>"—"</x:f>
        <x:v>—</x:v>
      </x:c>
      <x:c r="J81" s="38" t="str">
        <x:f>"—"</x:f>
        <x:v>—</x:v>
      </x:c>
      <x:c r="K81" s="38" t="str">
        <x:f>"—"</x:f>
        <x:v>—</x:v>
      </x:c>
      <x:c r="L81" s="38" t="str">
        <x:f>"—"</x:f>
        <x:v>—</x:v>
      </x:c>
      <x:c r="M81" s="38" t="str">
        <x:f>"—"</x:f>
        <x:v>—</x:v>
      </x:c>
      <x:c r="N81" s="38" t="str">
        <x:f>"—"</x:f>
        <x:v>—</x:v>
      </x:c>
      <x:c r="O81" s="38" t="n">
        <x:f>IF(COUNT(INDEX('SKU明细'!$D$11:$D$1309,MATCH("B07-RD-I-0-40.5",'SKU明细'!$A$11:$A$1309,0)))=0,"待核",IF(COUNT(INDEX('SKU明细'!$D$11:$D$1309,MATCH("B07-RD-I-0-40.5",'SKU明细'!$A$11:$A$1309,0)))&lt;1,SUM(INDEX('SKU明细'!$D$11:$D$1309,MATCH("B07-RD-I-0-40.5",'SKU明细'!$A$11:$A$1309,0)))&amp;" + 待核",SUM(INDEX('SKU明细'!$D$11:$D$1309,MATCH("B07-RD-I-0-40.5",'SKU明细'!$A$11:$A$1309,0)))))</x:f>
        <x:v>0</x:v>
      </x:c>
      <x:c r="P81" s="38" t="n">
        <x:f>IF(COUNT(INDEX('SKU明细'!$D$11:$D$1309,MATCH("B07-RD-I-0-41",'SKU明细'!$A$11:$A$1309,0)))=0,"待核",IF(COUNT(INDEX('SKU明细'!$D$11:$D$1309,MATCH("B07-RD-I-0-41",'SKU明细'!$A$11:$A$1309,0)))&lt;1,SUM(INDEX('SKU明细'!$D$11:$D$1309,MATCH("B07-RD-I-0-41",'SKU明细'!$A$11:$A$1309,0)))&amp;" + 待核",SUM(INDEX('SKU明细'!$D$11:$D$1309,MATCH("B07-RD-I-0-41",'SKU明细'!$A$11:$A$1309,0)))))</x:f>
        <x:v>0</x:v>
      </x:c>
      <x:c r="Q81" s="38" t="n">
        <x:f>IF(COUNT(INDEX('SKU明细'!$D$11:$D$1309,MATCH("B07-RD-I-0-41.5",'SKU明细'!$A$11:$A$1309,0)))=0,"待核",IF(COUNT(INDEX('SKU明细'!$D$11:$D$1309,MATCH("B07-RD-I-0-41.5",'SKU明细'!$A$11:$A$1309,0)))&lt;1,SUM(INDEX('SKU明细'!$D$11:$D$1309,MATCH("B07-RD-I-0-41.5",'SKU明细'!$A$11:$A$1309,0)))&amp;" + 待核",SUM(INDEX('SKU明细'!$D$11:$D$1309,MATCH("B07-RD-I-0-41.5",'SKU明细'!$A$11:$A$1309,0)))))</x:f>
        <x:v>0</x:v>
      </x:c>
      <x:c r="R81" s="38" t="str">
        <x:f>"—"</x:f>
        <x:v>—</x:v>
      </x:c>
      <x:c r="S81" s="38" t="n">
        <x:f>IF(COUNT(INDEX('SKU明细'!$D$11:$D$1309,MATCH("B07-RD-I-0-40.5",'SKU明细'!$A$11:$A$1309,0)),INDEX('SKU明细'!$D$11:$D$1309,MATCH("B07-RD-I-0-41",'SKU明细'!$A$11:$A$1309,0)),INDEX('SKU明细'!$D$11:$D$1309,MATCH("B07-RD-I-0-41.5",'SKU明细'!$A$11:$A$1309,0)))=0,"待核",SUM(INDEX('SKU明细'!$D$11:$D$1309,MATCH("B07-RD-I-0-40.5",'SKU明细'!$A$11:$A$1309,0)),INDEX('SKU明细'!$D$11:$D$1309,MATCH("B07-RD-I-0-41",'SKU明细'!$A$11:$A$1309,0)),INDEX('SKU明细'!$D$11:$D$1309,MATCH("B07-RD-I-0-41.5",'SKU明细'!$A$11:$A$1309,0))))</x:f>
        <x:v>0</x:v>
      </x:c>
      <x:c r="T81" s="38" t="n">
        <x:f>IF(COUNTIFS($A$9:$A$191,A81,$U$9:$U$191,"&lt;&gt;待核")=0,"待核",SUMIF($A$9:$A$191,A81,$S$9:$S$191))</x:f>
        <x:v>364</x:v>
      </x:c>
      <x:c r="U81" s="37" t="str">
        <x:f>IF(COUNT(INDEX('SKU明细'!$D$11:$D$1309,MATCH("B07-RD-I-0-40.5",'SKU明细'!$A$11:$A$1309,0)),INDEX('SKU明细'!$D$11:$D$1309,MATCH("B07-RD-I-0-41",'SKU明细'!$A$11:$A$1309,0)),INDEX('SKU明细'!$D$11:$D$1309,MATCH("B07-RD-I-0-41.5",'SKU明细'!$A$11:$A$1309,0)))=0,"待核",IF(COUNT(INDEX('SKU明细'!$D$11:$D$1309,MATCH("B07-RD-I-0-40.5",'SKU明细'!$A$11:$A$1309,0)),INDEX('SKU明细'!$D$11:$D$1309,MATCH("B07-RD-I-0-41",'SKU明细'!$A$11:$A$1309,0)),INDEX('SKU明细'!$D$11:$D$1309,MATCH("B07-RD-I-0-41.5",'SKU明细'!$A$11:$A$1309,0)))&lt;3,"另有待核","已核"))</x:f>
        <x:v>已核</x:v>
      </x:c>
      <x:c r="V81" s="37" t="str">
        <x:v>在售、停售</x:v>
      </x:c>
      <x:c r="W81" s="11" t="n">
        <x:f>IF(COUNT(INDEX('SKU明细'!$BV$11:$BV$1309,MATCH("B07-RD-I-0-40.5",'SKU明细'!$A$11:$A$1309,0)),INDEX('SKU明细'!$BV$11:$BV$1309,MATCH("B07-RD-I-0-41",'SKU明细'!$A$11:$A$1309,0)),INDEX('SKU明细'!$BV$11:$BV$1309,MATCH("B07-RD-I-0-41.5",'SKU明细'!$A$11:$A$1309,0)))=3,SUM(INDEX('SKU明细'!$BV$11:$BV$1309,MATCH("B07-RD-I-0-40.5",'SKU明细'!$A$11:$A$1309,0)),INDEX('SKU明细'!$BV$11:$BV$1309,MATCH("B07-RD-I-0-41",'SKU明细'!$A$11:$A$1309,0)),INDEX('SKU明细'!$BV$11:$BV$1309,MATCH("B07-RD-I-0-41.5",'SKU明细'!$A$11:$A$1309,0))),"待核")</x:f>
        <x:v>0.07162167951033505</x:v>
      </x:c>
      <x:c r="X81" s="11" t="n">
        <x:f>INDEX('SKU明细'!$BW$11:$BW$1309,MATCH("B07-RD-I-0-40.5",'SKU明细'!$A$11:$A$1309,0))</x:f>
        <x:v>0.7307750238224848</x:v>
      </x:c>
      <x:c r="Y81" s="13" t="n">
        <x:f>IF(COUNT(INDEX('SKU明细'!$BY$11:$BY$1309,MATCH("B07-RD-I-0-40.5",'SKU明细'!$A$11:$A$1309,0)),INDEX('SKU明细'!$BY$11:$BY$1309,MATCH("B07-RD-I-0-41",'SKU明细'!$A$11:$A$1309,0)),INDEX('SKU明细'!$BY$11:$BY$1309,MATCH("B07-RD-I-0-41.5",'SKU明细'!$A$11:$A$1309,0)))=3,SUM(INDEX('SKU明细'!$BY$11:$BY$1309,MATCH("B07-RD-I-0-40.5",'SKU明细'!$A$11:$A$1309,0)),INDEX('SKU明细'!$BY$11:$BY$1309,MATCH("B07-RD-I-0-41",'SKU明细'!$A$11:$A$1309,0)),INDEX('SKU明细'!$BY$11:$BY$1309,MATCH("B07-RD-I-0-41.5",'SKU明细'!$A$11:$A$1309,0))),"待核")</x:f>
        <x:v>0.6280720146044577</x:v>
      </x:c>
      <x:c r="Z81" s="11" t="n">
        <x:f>INDEX('SKU明细'!$BZ$11:$BZ$1309,MATCH("B07-RD-I-0-40.5",'SKU明细'!$A$11:$A$1309,0))</x:f>
        <x:v>0.9523018155490097</x:v>
      </x:c>
      <x:c r="AA81" s="13" t="n">
        <x:f>IF(COUNT(INDEX('SKU明细'!$CB$11:$CB$1309,MATCH("B07-RD-I-0-40.5",'SKU明细'!$A$11:$A$1309,0)),INDEX('SKU明细'!$CB$11:$CB$1309,MATCH("B07-RD-I-0-41",'SKU明细'!$A$11:$A$1309,0)),INDEX('SKU明细'!$CB$11:$CB$1309,MATCH("B07-RD-I-0-41.5",'SKU明细'!$A$11:$A$1309,0)))=3,SUM(INDEX('SKU明细'!$CB$11:$CB$1309,MATCH("B07-RD-I-0-40.5",'SKU明细'!$A$11:$A$1309,0)),INDEX('SKU明细'!$CB$11:$CB$1309,MATCH("B07-RD-I-0-41",'SKU明细'!$A$11:$A$1309,0)),INDEX('SKU明细'!$CB$11:$CB$1309,MATCH("B07-RD-I-0-41.5",'SKU明细'!$A$11:$A$1309,0))),"待核")</x:f>
        <x:v>2.0461636629108413</x:v>
      </x:c>
      <x:c r="AB81" s="11" t="n">
        <x:f>INDEX('SKU明细'!$CC$11:$CC$1309,MATCH("B07-RD-I-0-40.5",'SKU明细'!$A$11:$A$1309,0))</x:f>
        <x:v>0.5958545198749097</x:v>
      </x:c>
      <x:c r="AC81" s="13" t="n">
        <x:f>IF(COUNT(INDEX('SKU明细'!$CE$11:$CE$1309,MATCH("B07-RD-I-0-40.5",'SKU明细'!$A$11:$A$1309,0)),INDEX('SKU明细'!$CE$11:$CE$1309,MATCH("B07-RD-I-0-41",'SKU明细'!$A$11:$A$1309,0)),INDEX('SKU明细'!$CE$11:$CE$1309,MATCH("B07-RD-I-0-41.5",'SKU明细'!$A$11:$A$1309,0)))=3,SUM(INDEX('SKU明细'!$CE$11:$CE$1309,MATCH("B07-RD-I-0-40.5",'SKU明细'!$A$11:$A$1309,0)),INDEX('SKU明细'!$CE$11:$CE$1309,MATCH("B07-RD-I-0-41",'SKU明细'!$A$11:$A$1309,0)),INDEX('SKU明细'!$CE$11:$CE$1309,MATCH("B07-RD-I-0-41.5",'SKU明细'!$A$11:$A$1309,0))),"待核")</x:f>
        <x:v>1.3229591451752258</x:v>
      </x:c>
      <x:c r="AD81" s="11" t="n">
        <x:f>INDEX('SKU明细'!$CF$11:$CF$1309,MATCH("B07-RD-I-0-40.5",'SKU明细'!$A$11:$A$1309,0))</x:f>
        <x:v>1.3264167397065354</x:v>
      </x:c>
      <x:c r="AE81" s="13" t="n">
        <x:f>IF(COUNT(INDEX('SKU明细'!$CH$11:$CH$1309,MATCH("B07-RD-I-0-40.5",'SKU明细'!$A$11:$A$1309,0)),INDEX('SKU明细'!$CH$11:$CH$1309,MATCH("B07-RD-I-0-41",'SKU明细'!$A$11:$A$1309,0)),INDEX('SKU明细'!$CH$11:$CH$1309,MATCH("B07-RD-I-0-41.5",'SKU明细'!$A$11:$A$1309,0)))=3,SUM(INDEX('SKU明细'!$CH$11:$CH$1309,MATCH("B07-RD-I-0-40.5",'SKU明细'!$A$11:$A$1309,0)),INDEX('SKU明细'!$CH$11:$CH$1309,MATCH("B07-RD-I-0-41",'SKU明细'!$A$11:$A$1309,0)),INDEX('SKU明细'!$CH$11:$CH$1309,MATCH("B07-RD-I-0-41.5",'SKU明细'!$A$11:$A$1309,0))),"待核")</x:f>
        <x:v>1.6150033086828846</x:v>
      </x:c>
      <x:c r="AF81" s="13" t="n">
        <x:f>IF(COUNT(INDEX('SKU明细'!$CI$11:$CI$1309,MATCH("B07-RD-I-0-40.5",'SKU明细'!$A$11:$A$1309,0)),INDEX('SKU明细'!$CI$11:$CI$1309,MATCH("B07-RD-I-0-41",'SKU明细'!$A$11:$A$1309,0)),INDEX('SKU明细'!$CI$11:$CI$1309,MATCH("B07-RD-I-0-41.5",'SKU明细'!$A$11:$A$1309,0)))=3,SUM(INDEX('SKU明细'!$CI$11:$CI$1309,MATCH("B07-RD-I-0-40.5",'SKU明细'!$A$11:$A$1309,0)),INDEX('SKU明细'!$CI$11:$CI$1309,MATCH("B07-RD-I-0-41",'SKU明细'!$A$11:$A$1309,0)),INDEX('SKU明细'!$CI$11:$CI$1309,MATCH("B07-RD-I-0-41.5",'SKU明细'!$A$11:$A$1309,0))),"待核")</x:f>
        <x:v>5.612198131373409</x:v>
      </x:c>
    </x:row>
    <x:row r="82" ht="40" customHeight="1">
      <x:c r="A82" s="37" t="str">
        <x:v>B07</x:v>
      </x:c>
      <x:c r="B82" s="37" t="str">
        <x:v>艾年</x:v>
      </x:c>
      <x:c r="C82" s="37" t="str">
        <x:v>红色镜面PU</x:v>
      </x:c>
      <x:c r="D82" s="37" t="str">
        <x:v>RD-Z</x:v>
      </x:c>
      <x:c r="E82" s="37" t="str">
        <x:v>B07-RD-Z-0</x:v>
      </x:c>
      <x:c r="F82" s="37"/>
      <x:c r="G82" s="38" t="str">
        <x:f>"—"</x:f>
        <x:v>—</x:v>
      </x:c>
      <x:c r="H82" s="38" t="str">
        <x:f>"—"</x:f>
        <x:v>—</x:v>
      </x:c>
      <x:c r="I82" s="38" t="str">
        <x:f>"—"</x:f>
        <x:v>—</x:v>
      </x:c>
      <x:c r="J82" s="38" t="n">
        <x:f>IF(COUNT(INDEX('SKU明细'!$D$11:$D$1309,MATCH("B07-RD-Z-0-38",'SKU明细'!$A$11:$A$1309,0)))=0,"待核",IF(COUNT(INDEX('SKU明细'!$D$11:$D$1309,MATCH("B07-RD-Z-0-38",'SKU明细'!$A$11:$A$1309,0)))&lt;1,SUM(INDEX('SKU明细'!$D$11:$D$1309,MATCH("B07-RD-Z-0-38",'SKU明细'!$A$11:$A$1309,0)))&amp;" + 待核",SUM(INDEX('SKU明细'!$D$11:$D$1309,MATCH("B07-RD-Z-0-38",'SKU明细'!$A$11:$A$1309,0)))))</x:f>
        <x:v>0</x:v>
      </x:c>
      <x:c r="K82" s="38" t="str">
        <x:f>"—"</x:f>
        <x:v>—</x:v>
      </x:c>
      <x:c r="L82" s="38" t="n">
        <x:f>IF(COUNT(INDEX('SKU明细'!$D$11:$D$1309,MATCH("B07-RD-Z-0-39",'SKU明细'!$A$11:$A$1309,0)))=0,"待核",IF(COUNT(INDEX('SKU明细'!$D$11:$D$1309,MATCH("B07-RD-Z-0-39",'SKU明细'!$A$11:$A$1309,0)))&lt;1,SUM(INDEX('SKU明细'!$D$11:$D$1309,MATCH("B07-RD-Z-0-39",'SKU明细'!$A$11:$A$1309,0)))&amp;" + 待核",SUM(INDEX('SKU明细'!$D$11:$D$1309,MATCH("B07-RD-Z-0-39",'SKU明细'!$A$11:$A$1309,0)))))</x:f>
        <x:v>0</x:v>
      </x:c>
      <x:c r="M82" s="38" t="n">
        <x:f>IF(COUNT(INDEX('SKU明细'!$D$11:$D$1309,MATCH("B07-RD-Z-0-39.5",'SKU明细'!$A$11:$A$1309,0)))=0,"待核",IF(COUNT(INDEX('SKU明细'!$D$11:$D$1309,MATCH("B07-RD-Z-0-39.5",'SKU明细'!$A$11:$A$1309,0)))&lt;1,SUM(INDEX('SKU明细'!$D$11:$D$1309,MATCH("B07-RD-Z-0-39.5",'SKU明细'!$A$11:$A$1309,0)))&amp;" + 待核",SUM(INDEX('SKU明细'!$D$11:$D$1309,MATCH("B07-RD-Z-0-39.5",'SKU明细'!$A$11:$A$1309,0)))))</x:f>
        <x:v>0</x:v>
      </x:c>
      <x:c r="N82" s="38" t="str">
        <x:f>"—"</x:f>
        <x:v>—</x:v>
      </x:c>
      <x:c r="O82" s="38" t="str">
        <x:f>"—"</x:f>
        <x:v>—</x:v>
      </x:c>
      <x:c r="P82" s="38" t="str">
        <x:f>"—"</x:f>
        <x:v>—</x:v>
      </x:c>
      <x:c r="Q82" s="38" t="str">
        <x:f>"—"</x:f>
        <x:v>—</x:v>
      </x:c>
      <x:c r="R82" s="38" t="str">
        <x:f>"—"</x:f>
        <x:v>—</x:v>
      </x:c>
      <x:c r="S82" s="38" t="n">
        <x:f>IF(COUNT(INDEX('SKU明细'!$D$11:$D$1309,MATCH("B07-RD-Z-0-38",'SKU明细'!$A$11:$A$1309,0)),INDEX('SKU明细'!$D$11:$D$1309,MATCH("B07-RD-Z-0-39",'SKU明细'!$A$11:$A$1309,0)),INDEX('SKU明细'!$D$11:$D$1309,MATCH("B07-RD-Z-0-39.5",'SKU明细'!$A$11:$A$1309,0)))=0,"待核",SUM(INDEX('SKU明细'!$D$11:$D$1309,MATCH("B07-RD-Z-0-38",'SKU明细'!$A$11:$A$1309,0)),INDEX('SKU明细'!$D$11:$D$1309,MATCH("B07-RD-Z-0-39",'SKU明细'!$A$11:$A$1309,0)),INDEX('SKU明细'!$D$11:$D$1309,MATCH("B07-RD-Z-0-39.5",'SKU明细'!$A$11:$A$1309,0))))</x:f>
        <x:v>0</x:v>
      </x:c>
      <x:c r="T82" s="38" t="n">
        <x:f>IF(COUNTIFS($A$9:$A$191,A82,$U$9:$U$191,"&lt;&gt;待核")=0,"待核",SUMIF($A$9:$A$191,A82,$S$9:$S$191))</x:f>
        <x:v>364</x:v>
      </x:c>
      <x:c r="U82" s="37" t="str">
        <x:f>IF(COUNT(INDEX('SKU明细'!$D$11:$D$1309,MATCH("B07-RD-Z-0-38",'SKU明细'!$A$11:$A$1309,0)),INDEX('SKU明细'!$D$11:$D$1309,MATCH("B07-RD-Z-0-39",'SKU明细'!$A$11:$A$1309,0)),INDEX('SKU明细'!$D$11:$D$1309,MATCH("B07-RD-Z-0-39.5",'SKU明细'!$A$11:$A$1309,0)))=0,"待核",IF(COUNT(INDEX('SKU明细'!$D$11:$D$1309,MATCH("B07-RD-Z-0-38",'SKU明细'!$A$11:$A$1309,0)),INDEX('SKU明细'!$D$11:$D$1309,MATCH("B07-RD-Z-0-39",'SKU明细'!$A$11:$A$1309,0)),INDEX('SKU明细'!$D$11:$D$1309,MATCH("B07-RD-Z-0-39.5",'SKU明细'!$A$11:$A$1309,0)))&lt;3,"另有待核","已核"))</x:f>
        <x:v>已核</x:v>
      </x:c>
      <x:c r="V82" s="37" t="str">
        <x:v>在售</x:v>
      </x:c>
      <x:c r="W82" s="11" t="n">
        <x:f>IF(COUNT(INDEX('SKU明细'!$BV$11:$BV$1309,MATCH("B07-RD-Z-0-38",'SKU明细'!$A$11:$A$1309,0)),INDEX('SKU明细'!$BV$11:$BV$1309,MATCH("B07-RD-Z-0-39",'SKU明细'!$A$11:$A$1309,0)),INDEX('SKU明细'!$BV$11:$BV$1309,MATCH("B07-RD-Z-0-39.5",'SKU明细'!$A$11:$A$1309,0)))=3,SUM(INDEX('SKU明细'!$BV$11:$BV$1309,MATCH("B07-RD-Z-0-38",'SKU明细'!$A$11:$A$1309,0)),INDEX('SKU明细'!$BV$11:$BV$1309,MATCH("B07-RD-Z-0-39",'SKU明细'!$A$11:$A$1309,0)),INDEX('SKU明细'!$BV$11:$BV$1309,MATCH("B07-RD-Z-0-39.5",'SKU明细'!$A$11:$A$1309,0))),"待核")</x:f>
        <x:v>0.281324603937366</x:v>
      </x:c>
      <x:c r="X82" s="11" t="n">
        <x:f>INDEX('SKU明细'!$BW$11:$BW$1309,MATCH("B07-RD-Z-0-38",'SKU明细'!$A$11:$A$1309,0))</x:f>
        <x:v>0.7307750238224848</x:v>
      </x:c>
      <x:c r="Y82" s="13" t="n">
        <x:f>IF(COUNT(INDEX('SKU明细'!$BY$11:$BY$1309,MATCH("B07-RD-Z-0-38",'SKU明细'!$A$11:$A$1309,0)),INDEX('SKU明细'!$BY$11:$BY$1309,MATCH("B07-RD-Z-0-39",'SKU明细'!$A$11:$A$1309,0)),INDEX('SKU明细'!$BY$11:$BY$1309,MATCH("B07-RD-Z-0-39.5",'SKU明细'!$A$11:$A$1309,0)))=3,SUM(INDEX('SKU明细'!$BY$11:$BY$1309,MATCH("B07-RD-Z-0-38",'SKU明细'!$A$11:$A$1309,0)),INDEX('SKU明细'!$BY$11:$BY$1309,MATCH("B07-RD-Z-0-39",'SKU明细'!$A$11:$A$1309,0)),INDEX('SKU明细'!$BY$11:$BY$1309,MATCH("B07-RD-Z-0-39.5",'SKU明细'!$A$11:$A$1309,0))),"待核")</x:f>
        <x:v>2.467019929730157</x:v>
      </x:c>
      <x:c r="Z82" s="11" t="n">
        <x:f>INDEX('SKU明细'!$BZ$11:$BZ$1309,MATCH("B07-RD-Z-0-38",'SKU明细'!$A$11:$A$1309,0))</x:f>
        <x:v>0.9523018155490097</x:v>
      </x:c>
      <x:c r="AA82" s="13" t="n">
        <x:f>IF(COUNT(INDEX('SKU明细'!$CB$11:$CB$1309,MATCH("B07-RD-Z-0-38",'SKU明细'!$A$11:$A$1309,0)),INDEX('SKU明细'!$CB$11:$CB$1309,MATCH("B07-RD-Z-0-39",'SKU明细'!$A$11:$A$1309,0)),INDEX('SKU明细'!$CB$11:$CB$1309,MATCH("B07-RD-Z-0-39.5",'SKU明细'!$A$11:$A$1309,0)))=3,SUM(INDEX('SKU明细'!$CB$11:$CB$1309,MATCH("B07-RD-Z-0-38",'SKU明细'!$A$11:$A$1309,0)),INDEX('SKU明细'!$CB$11:$CB$1309,MATCH("B07-RD-Z-0-39",'SKU明细'!$A$11:$A$1309,0)),INDEX('SKU明细'!$CB$11:$CB$1309,MATCH("B07-RD-Z-0-39.5",'SKU明细'!$A$11:$A$1309,0))),"待核")</x:f>
        <x:v>8.037177932644791</x:v>
      </x:c>
      <x:c r="AB82" s="11" t="n">
        <x:f>INDEX('SKU明细'!$CC$11:$CC$1309,MATCH("B07-RD-Z-0-38",'SKU明细'!$A$11:$A$1309,0))</x:f>
        <x:v>0.5958545198749097</x:v>
      </x:c>
      <x:c r="AC82" s="13" t="n">
        <x:f>IF(COUNT(INDEX('SKU明细'!$CE$11:$CE$1309,MATCH("B07-RD-Z-0-38",'SKU明细'!$A$11:$A$1309,0)),INDEX('SKU明细'!$CE$11:$CE$1309,MATCH("B07-RD-Z-0-39",'SKU明细'!$A$11:$A$1309,0)),INDEX('SKU明细'!$CE$11:$CE$1309,MATCH("B07-RD-Z-0-39.5",'SKU明细'!$A$11:$A$1309,0)))=3,SUM(INDEX('SKU明细'!$CE$11:$CE$1309,MATCH("B07-RD-Z-0-38",'SKU明细'!$A$11:$A$1309,0)),INDEX('SKU明细'!$CE$11:$CE$1309,MATCH("B07-RD-Z-0-39",'SKU明细'!$A$11:$A$1309,0)),INDEX('SKU明细'!$CE$11:$CE$1309,MATCH("B07-RD-Z-0-39.5",'SKU明细'!$A$11:$A$1309,0))),"待核")</x:f>
        <x:v>5.196484641051049</x:v>
      </x:c>
      <x:c r="AD82" s="11" t="n">
        <x:f>INDEX('SKU明细'!$CF$11:$CF$1309,MATCH("B07-RD-Z-0-38",'SKU明细'!$A$11:$A$1309,0))</x:f>
        <x:v>1.3264167397065354</x:v>
      </x:c>
      <x:c r="AE82" s="13" t="n">
        <x:f>IF(COUNT(INDEX('SKU明细'!$CH$11:$CH$1309,MATCH("B07-RD-Z-0-38",'SKU明细'!$A$11:$A$1309,0)),INDEX('SKU明细'!$CH$11:$CH$1309,MATCH("B07-RD-Z-0-39",'SKU明细'!$A$11:$A$1309,0)),INDEX('SKU明细'!$CH$11:$CH$1309,MATCH("B07-RD-Z-0-39.5",'SKU明细'!$A$11:$A$1309,0)))=3,SUM(INDEX('SKU明细'!$CH$11:$CH$1309,MATCH("B07-RD-Z-0-38",'SKU明细'!$A$11:$A$1309,0)),INDEX('SKU明细'!$CH$11:$CH$1309,MATCH("B07-RD-Z-0-39",'SKU明细'!$A$11:$A$1309,0)),INDEX('SKU明细'!$CH$11:$CH$1309,MATCH("B07-RD-Z-0-39.5",'SKU明细'!$A$11:$A$1309,0))),"待核")</x:f>
        <x:v>6.343612287215167</x:v>
      </x:c>
      <x:c r="AF82" s="13" t="n">
        <x:f>IF(COUNT(INDEX('SKU明细'!$CI$11:$CI$1309,MATCH("B07-RD-Z-0-38",'SKU明细'!$A$11:$A$1309,0)),INDEX('SKU明细'!$CI$11:$CI$1309,MATCH("B07-RD-Z-0-39",'SKU明细'!$A$11:$A$1309,0)),INDEX('SKU明细'!$CI$11:$CI$1309,MATCH("B07-RD-Z-0-39.5",'SKU明细'!$A$11:$A$1309,0)))=3,SUM(INDEX('SKU明细'!$CI$11:$CI$1309,MATCH("B07-RD-Z-0-38",'SKU明细'!$A$11:$A$1309,0)),INDEX('SKU明细'!$CI$11:$CI$1309,MATCH("B07-RD-Z-0-39",'SKU明细'!$A$11:$A$1309,0)),INDEX('SKU明细'!$CI$11:$CI$1309,MATCH("B07-RD-Z-0-39.5",'SKU明细'!$A$11:$A$1309,0))),"待核")</x:f>
        <x:v>22.044294790641167</x:v>
      </x:c>
    </x:row>
    <x:row r="83" ht="40" customHeight="1">
      <x:c r="A83" s="37" t="str">
        <x:v>B07</x:v>
      </x:c>
      <x:c r="B83" s="37" t="str">
        <x:v>艾年</x:v>
      </x:c>
      <x:c r="C83" s="37" t="str">
        <x:v>玫瑰金PU</x:v>
      </x:c>
      <x:c r="D83" s="37" t="str">
        <x:v>RG</x:v>
      </x:c>
      <x:c r="E83" s="37" t="str">
        <x:v>B07-RG</x:v>
      </x:c>
      <x:c r="F83" s="37"/>
      <x:c r="G83" s="38" t="str">
        <x:f>"—"</x:f>
        <x:v>—</x:v>
      </x:c>
      <x:c r="H83" s="38" t="n">
        <x:f>IF(COUNT(INDEX('SKU明细'!$D$11:$D$1309,MATCH("B07-RG-37-by",'SKU明细'!$A$11:$A$1309,0)))=0,"待核",IF(COUNT(INDEX('SKU明细'!$D$11:$D$1309,MATCH("B07-RG-37-by",'SKU明细'!$A$11:$A$1309,0)))&lt;1,SUM(INDEX('SKU明细'!$D$11:$D$1309,MATCH("B07-RG-37-by",'SKU明细'!$A$11:$A$1309,0)))&amp;" + 待核",SUM(INDEX('SKU明细'!$D$11:$D$1309,MATCH("B07-RG-37-by",'SKU明细'!$A$11:$A$1309,0)))))</x:f>
        <x:v>0</x:v>
      </x:c>
      <x:c r="I83" s="38" t="n">
        <x:f>IF(COUNT(INDEX('SKU明细'!$D$11:$D$1309,MATCH("B07-RG-37.5",'SKU明细'!$A$11:$A$1309,0)))=0,"待核",IF(COUNT(INDEX('SKU明细'!$D$11:$D$1309,MATCH("B07-RG-37.5",'SKU明细'!$A$11:$A$1309,0)))&lt;1,SUM(INDEX('SKU明细'!$D$11:$D$1309,MATCH("B07-RG-37.5",'SKU明细'!$A$11:$A$1309,0)))&amp;" + 待核",SUM(INDEX('SKU明细'!$D$11:$D$1309,MATCH("B07-RG-37.5",'SKU明细'!$A$11:$A$1309,0)))))</x:f>
        <x:v>0</x:v>
      </x:c>
      <x:c r="J83" s="38" t="n">
        <x:f>IF(COUNT(INDEX('SKU明细'!$D$11:$D$1309,MATCH("B07-RG-38-by",'SKU明细'!$A$11:$A$1309,0)))=0,"待核",IF(COUNT(INDEX('SKU明细'!$D$11:$D$1309,MATCH("B07-RG-38-by",'SKU明细'!$A$11:$A$1309,0)))&lt;1,SUM(INDEX('SKU明细'!$D$11:$D$1309,MATCH("B07-RG-38-by",'SKU明细'!$A$11:$A$1309,0)))&amp;" + 待核",SUM(INDEX('SKU明细'!$D$11:$D$1309,MATCH("B07-RG-38-by",'SKU明细'!$A$11:$A$1309,0)))))</x:f>
        <x:v>0</x:v>
      </x:c>
      <x:c r="K83" s="38" t="str">
        <x:f>"—"</x:f>
        <x:v>—</x:v>
      </x:c>
      <x:c r="L83" s="38" t="str">
        <x:f>"—"</x:f>
        <x:v>—</x:v>
      </x:c>
      <x:c r="M83" s="38" t="n">
        <x:f>IF(COUNT(INDEX('SKU明细'!$D$11:$D$1309,MATCH("B07-RG-39.5",'SKU明细'!$A$11:$A$1309,0)))=0,"待核",IF(COUNT(INDEX('SKU明细'!$D$11:$D$1309,MATCH("B07-RG-39.5",'SKU明细'!$A$11:$A$1309,0)))&lt;1,SUM(INDEX('SKU明细'!$D$11:$D$1309,MATCH("B07-RG-39.5",'SKU明细'!$A$11:$A$1309,0)))&amp;" + 待核",SUM(INDEX('SKU明细'!$D$11:$D$1309,MATCH("B07-RG-39.5",'SKU明细'!$A$11:$A$1309,0)))))</x:f>
        <x:v>0</x:v>
      </x:c>
      <x:c r="N83" s="38" t="n">
        <x:f>IF(COUNT(INDEX('SKU明细'!$D$11:$D$1309,MATCH("B07-RG-40-by",'SKU明细'!$A$11:$A$1309,0)))=0,"待核",IF(COUNT(INDEX('SKU明细'!$D$11:$D$1309,MATCH("B07-RG-40-by",'SKU明细'!$A$11:$A$1309,0)))&lt;1,SUM(INDEX('SKU明细'!$D$11:$D$1309,MATCH("B07-RG-40-by",'SKU明细'!$A$11:$A$1309,0)))&amp;" + 待核",SUM(INDEX('SKU明细'!$D$11:$D$1309,MATCH("B07-RG-40-by",'SKU明细'!$A$11:$A$1309,0)))))</x:f>
        <x:v>0</x:v>
      </x:c>
      <x:c r="O83" s="38" t="n">
        <x:f>IF(COUNT(INDEX('SKU明细'!$D$11:$D$1309,MATCH("B07-RG-40.5",'SKU明细'!$A$11:$A$1309,0)))=0,"待核",IF(COUNT(INDEX('SKU明细'!$D$11:$D$1309,MATCH("B07-RG-40.5",'SKU明细'!$A$11:$A$1309,0)))&lt;1,SUM(INDEX('SKU明细'!$D$11:$D$1309,MATCH("B07-RG-40.5",'SKU明细'!$A$11:$A$1309,0)))&amp;" + 待核",SUM(INDEX('SKU明细'!$D$11:$D$1309,MATCH("B07-RG-40.5",'SKU明细'!$A$11:$A$1309,0)))))</x:f>
        <x:v>0</x:v>
      </x:c>
      <x:c r="P83" s="38" t="n">
        <x:f>IF(COUNT(INDEX('SKU明细'!$D$11:$D$1309,MATCH("B07-RG-41-by",'SKU明细'!$A$11:$A$1309,0)))=0,"待核",IF(COUNT(INDEX('SKU明细'!$D$11:$D$1309,MATCH("B07-RG-41-by",'SKU明细'!$A$11:$A$1309,0)))&lt;1,SUM(INDEX('SKU明细'!$D$11:$D$1309,MATCH("B07-RG-41-by",'SKU明细'!$A$11:$A$1309,0)))&amp;" + 待核",SUM(INDEX('SKU明细'!$D$11:$D$1309,MATCH("B07-RG-41-by",'SKU明细'!$A$11:$A$1309,0)))))</x:f>
        <x:v>0</x:v>
      </x:c>
      <x:c r="Q83" s="38" t="n">
        <x:f>IF(COUNT(INDEX('SKU明细'!$D$11:$D$1309,MATCH("B07-RG-41.5",'SKU明细'!$A$11:$A$1309,0)))=0,"待核",IF(COUNT(INDEX('SKU明细'!$D$11:$D$1309,MATCH("B07-RG-41.5",'SKU明细'!$A$11:$A$1309,0)))&lt;1,SUM(INDEX('SKU明细'!$D$11:$D$1309,MATCH("B07-RG-41.5",'SKU明细'!$A$11:$A$1309,0)))&amp;" + 待核",SUM(INDEX('SKU明细'!$D$11:$D$1309,MATCH("B07-RG-41.5",'SKU明细'!$A$11:$A$1309,0)))))</x:f>
        <x:v>0</x:v>
      </x:c>
      <x:c r="R83" s="38" t="n">
        <x:f>IF(COUNT(INDEX('SKU明细'!$D$11:$D$1309,MATCH("B07-RG-42-by",'SKU明细'!$A$11:$A$1309,0)))=0,"待核",IF(COUNT(INDEX('SKU明细'!$D$11:$D$1309,MATCH("B07-RG-42-by",'SKU明细'!$A$11:$A$1309,0)))&lt;1,SUM(INDEX('SKU明细'!$D$11:$D$1309,MATCH("B07-RG-42-by",'SKU明细'!$A$11:$A$1309,0)))&amp;" + 待核",SUM(INDEX('SKU明细'!$D$11:$D$1309,MATCH("B07-RG-42-by",'SKU明细'!$A$11:$A$1309,0)))))</x:f>
        <x:v>0</x:v>
      </x:c>
      <x:c r="S83" s="38" t="n">
        <x:f>IF(COUNT(INDEX('SKU明细'!$D$11:$D$1309,MATCH("B07-RG-37-by",'SKU明细'!$A$11:$A$1309,0)),INDEX('SKU明细'!$D$11:$D$1309,MATCH("B07-RG-37.5",'SKU明细'!$A$11:$A$1309,0)),INDEX('SKU明细'!$D$11:$D$1309,MATCH("B07-RG-38-by",'SKU明细'!$A$11:$A$1309,0)),INDEX('SKU明细'!$D$11:$D$1309,MATCH("B07-RG-39.5",'SKU明细'!$A$11:$A$1309,0)),INDEX('SKU明细'!$D$11:$D$1309,MATCH("B07-RG-40-by",'SKU明细'!$A$11:$A$1309,0)),INDEX('SKU明细'!$D$11:$D$1309,MATCH("B07-RG-40.5",'SKU明细'!$A$11:$A$1309,0)),INDEX('SKU明细'!$D$11:$D$1309,MATCH("B07-RG-41-by",'SKU明细'!$A$11:$A$1309,0)),INDEX('SKU明细'!$D$11:$D$1309,MATCH("B07-RG-41.5",'SKU明细'!$A$11:$A$1309,0)),INDEX('SKU明细'!$D$11:$D$1309,MATCH("B07-RG-42-by",'SKU明细'!$A$11:$A$1309,0)))=0,"待核",SUM(INDEX('SKU明细'!$D$11:$D$1309,MATCH("B07-RG-37-by",'SKU明细'!$A$11:$A$1309,0)),INDEX('SKU明细'!$D$11:$D$1309,MATCH("B07-RG-37.5",'SKU明细'!$A$11:$A$1309,0)),INDEX('SKU明细'!$D$11:$D$1309,MATCH("B07-RG-38-by",'SKU明细'!$A$11:$A$1309,0)),INDEX('SKU明细'!$D$11:$D$1309,MATCH("B07-RG-39.5",'SKU明细'!$A$11:$A$1309,0)),INDEX('SKU明细'!$D$11:$D$1309,MATCH("B07-RG-40-by",'SKU明细'!$A$11:$A$1309,0)),INDEX('SKU明细'!$D$11:$D$1309,MATCH("B07-RG-40.5",'SKU明细'!$A$11:$A$1309,0)),INDEX('SKU明细'!$D$11:$D$1309,MATCH("B07-RG-41-by",'SKU明细'!$A$11:$A$1309,0)),INDEX('SKU明细'!$D$11:$D$1309,MATCH("B07-RG-41.5",'SKU明细'!$A$11:$A$1309,0)),INDEX('SKU明细'!$D$11:$D$1309,MATCH("B07-RG-42-by",'SKU明细'!$A$11:$A$1309,0))))</x:f>
        <x:v>0</x:v>
      </x:c>
      <x:c r="T83" s="38" t="n">
        <x:f>IF(COUNTIFS($A$9:$A$191,A83,$U$9:$U$191,"&lt;&gt;待核")=0,"待核",SUMIF($A$9:$A$191,A83,$S$9:$S$191))</x:f>
        <x:v>364</x:v>
      </x:c>
      <x:c r="U83" s="37" t="str">
        <x:f>IF(COUNT(INDEX('SKU明细'!$D$11:$D$1309,MATCH("B07-RG-37-by",'SKU明细'!$A$11:$A$1309,0)),INDEX('SKU明细'!$D$11:$D$1309,MATCH("B07-RG-37.5",'SKU明细'!$A$11:$A$1309,0)),INDEX('SKU明细'!$D$11:$D$1309,MATCH("B07-RG-38-by",'SKU明细'!$A$11:$A$1309,0)),INDEX('SKU明细'!$D$11:$D$1309,MATCH("B07-RG-39.5",'SKU明细'!$A$11:$A$1309,0)),INDEX('SKU明细'!$D$11:$D$1309,MATCH("B07-RG-40-by",'SKU明细'!$A$11:$A$1309,0)),INDEX('SKU明细'!$D$11:$D$1309,MATCH("B07-RG-40.5",'SKU明细'!$A$11:$A$1309,0)),INDEX('SKU明细'!$D$11:$D$1309,MATCH("B07-RG-41-by",'SKU明细'!$A$11:$A$1309,0)),INDEX('SKU明细'!$D$11:$D$1309,MATCH("B07-RG-41.5",'SKU明细'!$A$11:$A$1309,0)),INDEX('SKU明细'!$D$11:$D$1309,MATCH("B07-RG-42-by",'SKU明细'!$A$11:$A$1309,0)))=0,"待核",IF(COUNT(INDEX('SKU明细'!$D$11:$D$1309,MATCH("B07-RG-37-by",'SKU明细'!$A$11:$A$1309,0)),INDEX('SKU明细'!$D$11:$D$1309,MATCH("B07-RG-37.5",'SKU明细'!$A$11:$A$1309,0)),INDEX('SKU明细'!$D$11:$D$1309,MATCH("B07-RG-38-by",'SKU明细'!$A$11:$A$1309,0)),INDEX('SKU明细'!$D$11:$D$1309,MATCH("B07-RG-39.5",'SKU明细'!$A$11:$A$1309,0)),INDEX('SKU明细'!$D$11:$D$1309,MATCH("B07-RG-40-by",'SKU明细'!$A$11:$A$1309,0)),INDEX('SKU明细'!$D$11:$D$1309,MATCH("B07-RG-40.5",'SKU明细'!$A$11:$A$1309,0)),INDEX('SKU明细'!$D$11:$D$1309,MATCH("B07-RG-41-by",'SKU明细'!$A$11:$A$1309,0)),INDEX('SKU明细'!$D$11:$D$1309,MATCH("B07-RG-41.5",'SKU明细'!$A$11:$A$1309,0)),INDEX('SKU明细'!$D$11:$D$1309,MATCH("B07-RG-42-by",'SKU明细'!$A$11:$A$1309,0)))&lt;9,"另有待核","已核"))</x:f>
        <x:v>已核</x:v>
      </x:c>
      <x:c r="V83" s="37" t="str">
        <x:v>在售、停售</x:v>
      </x:c>
      <x:c r="W83" s="11" t="n">
        <x:f>IF(COUNT(INDEX('SKU明细'!$BV$11:$BV$1309,MATCH("B07-RG-37-by",'SKU明细'!$A$11:$A$1309,0)),INDEX('SKU明细'!$BV$11:$BV$1309,MATCH("B07-RG-37.5",'SKU明细'!$A$11:$A$1309,0)),INDEX('SKU明细'!$BV$11:$BV$1309,MATCH("B07-RG-38-by",'SKU明细'!$A$11:$A$1309,0)),INDEX('SKU明细'!$BV$11:$BV$1309,MATCH("B07-RG-39.5",'SKU明细'!$A$11:$A$1309,0)),INDEX('SKU明细'!$BV$11:$BV$1309,MATCH("B07-RG-40-by",'SKU明细'!$A$11:$A$1309,0)),INDEX('SKU明细'!$BV$11:$BV$1309,MATCH("B07-RG-40.5",'SKU明细'!$A$11:$A$1309,0)),INDEX('SKU明细'!$BV$11:$BV$1309,MATCH("B07-RG-41-by",'SKU明细'!$A$11:$A$1309,0)),INDEX('SKU明细'!$BV$11:$BV$1309,MATCH("B07-RG-41.5",'SKU明细'!$A$11:$A$1309,0)),INDEX('SKU明细'!$BV$11:$BV$1309,MATCH("B07-RG-42-by",'SKU明细'!$A$11:$A$1309,0)))=9,SUM(INDEX('SKU明细'!$BV$11:$BV$1309,MATCH("B07-RG-37-by",'SKU明细'!$A$11:$A$1309,0)),INDEX('SKU明细'!$BV$11:$BV$1309,MATCH("B07-RG-37.5",'SKU明细'!$A$11:$A$1309,0)),INDEX('SKU明细'!$BV$11:$BV$1309,MATCH("B07-RG-38-by",'SKU明细'!$A$11:$A$1309,0)),INDEX('SKU明细'!$BV$11:$BV$1309,MATCH("B07-RG-39.5",'SKU明细'!$A$11:$A$1309,0)),INDEX('SKU明细'!$BV$11:$BV$1309,MATCH("B07-RG-40-by",'SKU明细'!$A$11:$A$1309,0)),INDEX('SKU明细'!$BV$11:$BV$1309,MATCH("B07-RG-40.5",'SKU明细'!$A$11:$A$1309,0)),INDEX('SKU明细'!$BV$11:$BV$1309,MATCH("B07-RG-41-by",'SKU明细'!$A$11:$A$1309,0)),INDEX('SKU明细'!$BV$11:$BV$1309,MATCH("B07-RG-41.5",'SKU明细'!$A$11:$A$1309,0)),INDEX('SKU明细'!$BV$11:$BV$1309,MATCH("B07-RG-42-by",'SKU明细'!$A$11:$A$1309,0))),"待核")</x:f>
        <x:v>0.21004839022398944</x:v>
      </x:c>
      <x:c r="X83" s="11" t="n">
        <x:f>INDEX('SKU明细'!$BW$11:$BW$1309,MATCH("B07-RG-37-by",'SKU明细'!$A$11:$A$1309,0))</x:f>
        <x:v>0.7307750238224848</x:v>
      </x:c>
      <x:c r="Y83" s="13" t="n">
        <x:f>IF(COUNT(INDEX('SKU明细'!$BY$11:$BY$1309,MATCH("B07-RG-37-by",'SKU明细'!$A$11:$A$1309,0)),INDEX('SKU明细'!$BY$11:$BY$1309,MATCH("B07-RG-37.5",'SKU明细'!$A$11:$A$1309,0)),INDEX('SKU明细'!$BY$11:$BY$1309,MATCH("B07-RG-38-by",'SKU明细'!$A$11:$A$1309,0)),INDEX('SKU明细'!$BY$11:$BY$1309,MATCH("B07-RG-39.5",'SKU明细'!$A$11:$A$1309,0)),INDEX('SKU明细'!$BY$11:$BY$1309,MATCH("B07-RG-40-by",'SKU明细'!$A$11:$A$1309,0)),INDEX('SKU明细'!$BY$11:$BY$1309,MATCH("B07-RG-40.5",'SKU明细'!$A$11:$A$1309,0)),INDEX('SKU明细'!$BY$11:$BY$1309,MATCH("B07-RG-41-by",'SKU明细'!$A$11:$A$1309,0)),INDEX('SKU明细'!$BY$11:$BY$1309,MATCH("B07-RG-41.5",'SKU明细'!$A$11:$A$1309,0)),INDEX('SKU明细'!$BY$11:$BY$1309,MATCH("B07-RG-42-by",'SKU明细'!$A$11:$A$1309,0)))=9,SUM(INDEX('SKU明细'!$BY$11:$BY$1309,MATCH("B07-RG-37-by",'SKU明细'!$A$11:$A$1309,0)),INDEX('SKU明细'!$BY$11:$BY$1309,MATCH("B07-RG-37.5",'SKU明细'!$A$11:$A$1309,0)),INDEX('SKU明细'!$BY$11:$BY$1309,MATCH("B07-RG-38-by",'SKU明细'!$A$11:$A$1309,0)),INDEX('SKU明细'!$BY$11:$BY$1309,MATCH("B07-RG-39.5",'SKU明细'!$A$11:$A$1309,0)),INDEX('SKU明细'!$BY$11:$BY$1309,MATCH("B07-RG-40-by",'SKU明细'!$A$11:$A$1309,0)),INDEX('SKU明细'!$BY$11:$BY$1309,MATCH("B07-RG-40.5",'SKU明细'!$A$11:$A$1309,0)),INDEX('SKU明细'!$BY$11:$BY$1309,MATCH("B07-RG-41-by",'SKU明细'!$A$11:$A$1309,0)),INDEX('SKU明细'!$BY$11:$BY$1309,MATCH("B07-RG-41.5",'SKU明细'!$A$11:$A$1309,0)),INDEX('SKU明细'!$BY$11:$BY$1309,MATCH("B07-RG-42-by",'SKU明细'!$A$11:$A$1309,0))),"待核")</x:f>
        <x:v>1.8419774084377256</x:v>
      </x:c>
      <x:c r="Z83" s="11" t="n">
        <x:f>INDEX('SKU明细'!$BZ$11:$BZ$1309,MATCH("B07-RG-37-by",'SKU明细'!$A$11:$A$1309,0))</x:f>
        <x:v>0.9523018155490097</x:v>
      </x:c>
      <x:c r="AA83" s="13" t="n">
        <x:f>IF(COUNT(INDEX('SKU明细'!$CB$11:$CB$1309,MATCH("B07-RG-37-by",'SKU明细'!$A$11:$A$1309,0)),INDEX('SKU明细'!$CB$11:$CB$1309,MATCH("B07-RG-37.5",'SKU明细'!$A$11:$A$1309,0)),INDEX('SKU明细'!$CB$11:$CB$1309,MATCH("B07-RG-38-by",'SKU明细'!$A$11:$A$1309,0)),INDEX('SKU明细'!$CB$11:$CB$1309,MATCH("B07-RG-39.5",'SKU明细'!$A$11:$A$1309,0)),INDEX('SKU明细'!$CB$11:$CB$1309,MATCH("B07-RG-40-by",'SKU明细'!$A$11:$A$1309,0)),INDEX('SKU明细'!$CB$11:$CB$1309,MATCH("B07-RG-40.5",'SKU明细'!$A$11:$A$1309,0)),INDEX('SKU明细'!$CB$11:$CB$1309,MATCH("B07-RG-41-by",'SKU明细'!$A$11:$A$1309,0)),INDEX('SKU明细'!$CB$11:$CB$1309,MATCH("B07-RG-41.5",'SKU明细'!$A$11:$A$1309,0)),INDEX('SKU明细'!$CB$11:$CB$1309,MATCH("B07-RG-42-by",'SKU明细'!$A$11:$A$1309,0)))=9,SUM(INDEX('SKU明细'!$CB$11:$CB$1309,MATCH("B07-RG-37-by",'SKU明细'!$A$11:$A$1309,0)),INDEX('SKU明细'!$CB$11:$CB$1309,MATCH("B07-RG-37.5",'SKU明细'!$A$11:$A$1309,0)),INDEX('SKU明细'!$CB$11:$CB$1309,MATCH("B07-RG-38-by",'SKU明细'!$A$11:$A$1309,0)),INDEX('SKU明细'!$CB$11:$CB$1309,MATCH("B07-RG-39.5",'SKU明细'!$A$11:$A$1309,0)),INDEX('SKU明细'!$CB$11:$CB$1309,MATCH("B07-RG-40-by",'SKU明细'!$A$11:$A$1309,0)),INDEX('SKU明细'!$CB$11:$CB$1309,MATCH("B07-RG-40.5",'SKU明细'!$A$11:$A$1309,0)),INDEX('SKU明细'!$CB$11:$CB$1309,MATCH("B07-RG-41-by",'SKU明细'!$A$11:$A$1309,0)),INDEX('SKU明细'!$CB$11:$CB$1309,MATCH("B07-RG-41.5",'SKU明细'!$A$11:$A$1309,0)),INDEX('SKU明细'!$CB$11:$CB$1309,MATCH("B07-RG-42-by",'SKU明细'!$A$11:$A$1309,0))),"待核")</x:f>
        <x:v>6.00088390090356</x:v>
      </x:c>
      <x:c r="AB83" s="11" t="n">
        <x:f>INDEX('SKU明细'!$CC$11:$CC$1309,MATCH("B07-RG-37-by",'SKU明细'!$A$11:$A$1309,0))</x:f>
        <x:v>0.5958545198749097</x:v>
      </x:c>
      <x:c r="AC83" s="13" t="n">
        <x:f>IF(COUNT(INDEX('SKU明细'!$CE$11:$CE$1309,MATCH("B07-RG-37-by",'SKU明细'!$A$11:$A$1309,0)),INDEX('SKU明细'!$CE$11:$CE$1309,MATCH("B07-RG-37.5",'SKU明细'!$A$11:$A$1309,0)),INDEX('SKU明细'!$CE$11:$CE$1309,MATCH("B07-RG-38-by",'SKU明细'!$A$11:$A$1309,0)),INDEX('SKU明细'!$CE$11:$CE$1309,MATCH("B07-RG-39.5",'SKU明细'!$A$11:$A$1309,0)),INDEX('SKU明细'!$CE$11:$CE$1309,MATCH("B07-RG-40-by",'SKU明细'!$A$11:$A$1309,0)),INDEX('SKU明细'!$CE$11:$CE$1309,MATCH("B07-RG-40.5",'SKU明细'!$A$11:$A$1309,0)),INDEX('SKU明细'!$CE$11:$CE$1309,MATCH("B07-RG-41-by",'SKU明细'!$A$11:$A$1309,0)),INDEX('SKU明细'!$CE$11:$CE$1309,MATCH("B07-RG-41.5",'SKU明细'!$A$11:$A$1309,0)),INDEX('SKU明细'!$CE$11:$CE$1309,MATCH("B07-RG-42-by",'SKU明细'!$A$11:$A$1309,0)))=9,SUM(INDEX('SKU明细'!$CE$11:$CE$1309,MATCH("B07-RG-37-by",'SKU明细'!$A$11:$A$1309,0)),INDEX('SKU明细'!$CE$11:$CE$1309,MATCH("B07-RG-37.5",'SKU明细'!$A$11:$A$1309,0)),INDEX('SKU明细'!$CE$11:$CE$1309,MATCH("B07-RG-38-by",'SKU明细'!$A$11:$A$1309,0)),INDEX('SKU明细'!$CE$11:$CE$1309,MATCH("B07-RG-39.5",'SKU明细'!$A$11:$A$1309,0)),INDEX('SKU明细'!$CE$11:$CE$1309,MATCH("B07-RG-40-by",'SKU明细'!$A$11:$A$1309,0)),INDEX('SKU明细'!$CE$11:$CE$1309,MATCH("B07-RG-40.5",'SKU明细'!$A$11:$A$1309,0)),INDEX('SKU明细'!$CE$11:$CE$1309,MATCH("B07-RG-41-by",'SKU明细'!$A$11:$A$1309,0)),INDEX('SKU明细'!$CE$11:$CE$1309,MATCH("B07-RG-41.5",'SKU明细'!$A$11:$A$1309,0)),INDEX('SKU明细'!$CE$11:$CE$1309,MATCH("B07-RG-42-by",'SKU明细'!$A$11:$A$1309,0))),"待核")</x:f>
        <x:v>3.8799067639297995</x:v>
      </x:c>
      <x:c r="AD83" s="11" t="n">
        <x:f>INDEX('SKU明细'!$CF$11:$CF$1309,MATCH("B07-RG-37-by",'SKU明细'!$A$11:$A$1309,0))</x:f>
        <x:v>1.3264167397065354</x:v>
      </x:c>
      <x:c r="AE83" s="13" t="n">
        <x:f>IF(COUNT(INDEX('SKU明细'!$CH$11:$CH$1309,MATCH("B07-RG-37-by",'SKU明细'!$A$11:$A$1309,0)),INDEX('SKU明细'!$CH$11:$CH$1309,MATCH("B07-RG-37.5",'SKU明细'!$A$11:$A$1309,0)),INDEX('SKU明细'!$CH$11:$CH$1309,MATCH("B07-RG-38-by",'SKU明细'!$A$11:$A$1309,0)),INDEX('SKU明细'!$CH$11:$CH$1309,MATCH("B07-RG-39.5",'SKU明细'!$A$11:$A$1309,0)),INDEX('SKU明细'!$CH$11:$CH$1309,MATCH("B07-RG-40-by",'SKU明细'!$A$11:$A$1309,0)),INDEX('SKU明细'!$CH$11:$CH$1309,MATCH("B07-RG-40.5",'SKU明细'!$A$11:$A$1309,0)),INDEX('SKU明细'!$CH$11:$CH$1309,MATCH("B07-RG-41-by",'SKU明细'!$A$11:$A$1309,0)),INDEX('SKU明细'!$CH$11:$CH$1309,MATCH("B07-RG-41.5",'SKU明细'!$A$11:$A$1309,0)),INDEX('SKU明细'!$CH$11:$CH$1309,MATCH("B07-RG-42-by",'SKU明细'!$A$11:$A$1309,0)))=9,SUM(INDEX('SKU明细'!$CH$11:$CH$1309,MATCH("B07-RG-37-by",'SKU明细'!$A$11:$A$1309,0)),INDEX('SKU明细'!$CH$11:$CH$1309,MATCH("B07-RG-37.5",'SKU明细'!$A$11:$A$1309,0)),INDEX('SKU明细'!$CH$11:$CH$1309,MATCH("B07-RG-38-by",'SKU明细'!$A$11:$A$1309,0)),INDEX('SKU明细'!$CH$11:$CH$1309,MATCH("B07-RG-39.5",'SKU明细'!$A$11:$A$1309,0)),INDEX('SKU明细'!$CH$11:$CH$1309,MATCH("B07-RG-40-by",'SKU明细'!$A$11:$A$1309,0)),INDEX('SKU明细'!$CH$11:$CH$1309,MATCH("B07-RG-40.5",'SKU明细'!$A$11:$A$1309,0)),INDEX('SKU明细'!$CH$11:$CH$1309,MATCH("B07-RG-41-by",'SKU明细'!$A$11:$A$1309,0)),INDEX('SKU明细'!$CH$11:$CH$1309,MATCH("B07-RG-41.5",'SKU明细'!$A$11:$A$1309,0)),INDEX('SKU明细'!$CH$11:$CH$1309,MATCH("B07-RG-42-by",'SKU明细'!$A$11:$A$1309,0))),"待核")</x:f>
        <x:v>4.7363989160056725</x:v>
      </x:c>
      <x:c r="AF83" s="13" t="n">
        <x:f>IF(COUNT(INDEX('SKU明细'!$CI$11:$CI$1309,MATCH("B07-RG-37-by",'SKU明细'!$A$11:$A$1309,0)),INDEX('SKU明细'!$CI$11:$CI$1309,MATCH("B07-RG-37.5",'SKU明细'!$A$11:$A$1309,0)),INDEX('SKU明细'!$CI$11:$CI$1309,MATCH("B07-RG-38-by",'SKU明细'!$A$11:$A$1309,0)),INDEX('SKU明细'!$CI$11:$CI$1309,MATCH("B07-RG-39.5",'SKU明细'!$A$11:$A$1309,0)),INDEX('SKU明细'!$CI$11:$CI$1309,MATCH("B07-RG-40-by",'SKU明细'!$A$11:$A$1309,0)),INDEX('SKU明细'!$CI$11:$CI$1309,MATCH("B07-RG-40.5",'SKU明细'!$A$11:$A$1309,0)),INDEX('SKU明细'!$CI$11:$CI$1309,MATCH("B07-RG-41-by",'SKU明细'!$A$11:$A$1309,0)),INDEX('SKU明细'!$CI$11:$CI$1309,MATCH("B07-RG-41.5",'SKU明细'!$A$11:$A$1309,0)),INDEX('SKU明细'!$CI$11:$CI$1309,MATCH("B07-RG-42-by",'SKU明细'!$A$11:$A$1309,0)))=9,SUM(INDEX('SKU明细'!$CI$11:$CI$1309,MATCH("B07-RG-37-by",'SKU明细'!$A$11:$A$1309,0)),INDEX('SKU明细'!$CI$11:$CI$1309,MATCH("B07-RG-37.5",'SKU明细'!$A$11:$A$1309,0)),INDEX('SKU明细'!$CI$11:$CI$1309,MATCH("B07-RG-38-by",'SKU明细'!$A$11:$A$1309,0)),INDEX('SKU明细'!$CI$11:$CI$1309,MATCH("B07-RG-39.5",'SKU明细'!$A$11:$A$1309,0)),INDEX('SKU明细'!$CI$11:$CI$1309,MATCH("B07-RG-40-by",'SKU明细'!$A$11:$A$1309,0)),INDEX('SKU明细'!$CI$11:$CI$1309,MATCH("B07-RG-40.5",'SKU明细'!$A$11:$A$1309,0)),INDEX('SKU明细'!$CI$11:$CI$1309,MATCH("B07-RG-41-by",'SKU明细'!$A$11:$A$1309,0)),INDEX('SKU明细'!$CI$11:$CI$1309,MATCH("B07-RG-41.5",'SKU明细'!$A$11:$A$1309,0)),INDEX('SKU明细'!$CI$11:$CI$1309,MATCH("B07-RG-42-by",'SKU明细'!$A$11:$A$1309,0))),"待核")</x:f>
        <x:v>16.459166989276756</x:v>
      </x:c>
    </x:row>
    <x:row r="84" ht="40" customHeight="1">
      <x:c r="A84" s="37" t="str">
        <x:v>B07</x:v>
      </x:c>
      <x:c r="B84" s="37" t="str">
        <x:v>艾年</x:v>
      </x:c>
      <x:c r="C84" s="37" t="str">
        <x:v>黑白蛇纹PU</x:v>
      </x:c>
      <x:c r="D84" s="37" t="str">
        <x:v>SK</x:v>
      </x:c>
      <x:c r="E84" s="37" t="str">
        <x:v>B07-SK</x:v>
      </x:c>
      <x:c r="F84" s="37"/>
      <x:c r="G84" s="38" t="str">
        <x:f>"—"</x:f>
        <x:v>—</x:v>
      </x:c>
      <x:c r="H84" s="38" t="n">
        <x:f>IF(COUNT(INDEX('SKU明细'!$D$11:$D$1309,MATCH("B07-SK-37-by",'SKU明细'!$A$11:$A$1309,0)))=0,"待核",IF(COUNT(INDEX('SKU明细'!$D$11:$D$1309,MATCH("B07-SK-37-by",'SKU明细'!$A$11:$A$1309,0)))&lt;1,SUM(INDEX('SKU明细'!$D$11:$D$1309,MATCH("B07-SK-37-by",'SKU明细'!$A$11:$A$1309,0)))&amp;" + 待核",SUM(INDEX('SKU明细'!$D$11:$D$1309,MATCH("B07-SK-37-by",'SKU明细'!$A$11:$A$1309,0)))))</x:f>
        <x:v>0</x:v>
      </x:c>
      <x:c r="I84" s="38" t="str">
        <x:f>"—"</x:f>
        <x:v>—</x:v>
      </x:c>
      <x:c r="J84" s="38" t="n">
        <x:f>IF(COUNT(INDEX('SKU明细'!$D$11:$D$1309,MATCH("B07-SK-38-by",'SKU明细'!$A$11:$A$1309,0)))=0,"待核",IF(COUNT(INDEX('SKU明细'!$D$11:$D$1309,MATCH("B07-SK-38-by",'SKU明细'!$A$11:$A$1309,0)))&lt;1,SUM(INDEX('SKU明细'!$D$11:$D$1309,MATCH("B07-SK-38-by",'SKU明细'!$A$11:$A$1309,0)))&amp;" + 待核",SUM(INDEX('SKU明细'!$D$11:$D$1309,MATCH("B07-SK-38-by",'SKU明细'!$A$11:$A$1309,0)))))</x:f>
        <x:v>0</x:v>
      </x:c>
      <x:c r="K84" s="38" t="str">
        <x:f>"—"</x:f>
        <x:v>—</x:v>
      </x:c>
      <x:c r="L84" s="38" t="str">
        <x:f>"—"</x:f>
        <x:v>—</x:v>
      </x:c>
      <x:c r="M84" s="38" t="str">
        <x:f>"—"</x:f>
        <x:v>—</x:v>
      </x:c>
      <x:c r="N84" s="38" t="str">
        <x:f>"—"</x:f>
        <x:v>—</x:v>
      </x:c>
      <x:c r="O84" s="38" t="str">
        <x:f>"—"</x:f>
        <x:v>—</x:v>
      </x:c>
      <x:c r="P84" s="38" t="n">
        <x:f>IF(COUNT(INDEX('SKU明细'!$D$11:$D$1309,MATCH("B07-SK-41-New",'SKU明细'!$A$11:$A$1309,0)))=0,"待核",IF(COUNT(INDEX('SKU明细'!$D$11:$D$1309,MATCH("B07-SK-41-New",'SKU明细'!$A$11:$A$1309,0)))&lt;1,SUM(INDEX('SKU明细'!$D$11:$D$1309,MATCH("B07-SK-41-New",'SKU明细'!$A$11:$A$1309,0)))&amp;" + 待核",SUM(INDEX('SKU明细'!$D$11:$D$1309,MATCH("B07-SK-41-New",'SKU明细'!$A$11:$A$1309,0)))))</x:f>
        <x:v>0</x:v>
      </x:c>
      <x:c r="Q84" s="38" t="str">
        <x:f>"—"</x:f>
        <x:v>—</x:v>
      </x:c>
      <x:c r="R84" s="38" t="str">
        <x:f>"—"</x:f>
        <x:v>—</x:v>
      </x:c>
      <x:c r="S84" s="38" t="n">
        <x:f>IF(COUNT(INDEX('SKU明细'!$D$11:$D$1309,MATCH("B07-SK-37-by",'SKU明细'!$A$11:$A$1309,0)),INDEX('SKU明细'!$D$11:$D$1309,MATCH("B07-SK-38-by",'SKU明细'!$A$11:$A$1309,0)),INDEX('SKU明细'!$D$11:$D$1309,MATCH("B07-SK-41-New",'SKU明细'!$A$11:$A$1309,0)))=0,"待核",SUM(INDEX('SKU明细'!$D$11:$D$1309,MATCH("B07-SK-37-by",'SKU明细'!$A$11:$A$1309,0)),INDEX('SKU明细'!$D$11:$D$1309,MATCH("B07-SK-38-by",'SKU明细'!$A$11:$A$1309,0)),INDEX('SKU明细'!$D$11:$D$1309,MATCH("B07-SK-41-New",'SKU明细'!$A$11:$A$1309,0))))</x:f>
        <x:v>0</x:v>
      </x:c>
      <x:c r="T84" s="38" t="n">
        <x:f>IF(COUNTIFS($A$9:$A$191,A84,$U$9:$U$191,"&lt;&gt;待核")=0,"待核",SUMIF($A$9:$A$191,A84,$S$9:$S$191))</x:f>
        <x:v>364</x:v>
      </x:c>
      <x:c r="U84" s="37" t="str">
        <x:f>IF(COUNT(INDEX('SKU明细'!$D$11:$D$1309,MATCH("B07-SK-37-by",'SKU明细'!$A$11:$A$1309,0)),INDEX('SKU明细'!$D$11:$D$1309,MATCH("B07-SK-38-by",'SKU明细'!$A$11:$A$1309,0)),INDEX('SKU明细'!$D$11:$D$1309,MATCH("B07-SK-41-New",'SKU明细'!$A$11:$A$1309,0)))=0,"待核",IF(COUNT(INDEX('SKU明细'!$D$11:$D$1309,MATCH("B07-SK-37-by",'SKU明细'!$A$11:$A$1309,0)),INDEX('SKU明细'!$D$11:$D$1309,MATCH("B07-SK-38-by",'SKU明细'!$A$11:$A$1309,0)),INDEX('SKU明细'!$D$11:$D$1309,MATCH("B07-SK-41-New",'SKU明细'!$A$11:$A$1309,0)))&lt;3,"另有待核","已核"))</x:f>
        <x:v>已核</x:v>
      </x:c>
      <x:c r="V84" s="37" t="str">
        <x:v>在售</x:v>
      </x:c>
      <x:c r="W84" s="11" t="n">
        <x:f>IF(COUNT(INDEX('SKU明细'!$BV$11:$BV$1309,MATCH("B07-SK-37-by",'SKU明细'!$A$11:$A$1309,0)),INDEX('SKU明细'!$BV$11:$BV$1309,MATCH("B07-SK-38-by",'SKU明细'!$A$11:$A$1309,0)),INDEX('SKU明细'!$BV$11:$BV$1309,MATCH("B07-SK-41-New",'SKU明细'!$A$11:$A$1309,0)))=3,SUM(INDEX('SKU明细'!$BV$11:$BV$1309,MATCH("B07-SK-37-by",'SKU明细'!$A$11:$A$1309,0)),INDEX('SKU明细'!$BV$11:$BV$1309,MATCH("B07-SK-38-by",'SKU明细'!$A$11:$A$1309,0)),INDEX('SKU明细'!$BV$11:$BV$1309,MATCH("B07-SK-41-New",'SKU明细'!$A$11:$A$1309,0))),"待核")</x:f>
        <x:v>0.008948775221247839</x:v>
      </x:c>
      <x:c r="X84" s="11" t="n">
        <x:f>INDEX('SKU明细'!$BW$11:$BW$1309,MATCH("B07-SK-37-by",'SKU明细'!$A$11:$A$1309,0))</x:f>
        <x:v>0.7307750238224848</x:v>
      </x:c>
      <x:c r="Y84" s="13" t="n">
        <x:f>IF(COUNT(INDEX('SKU明细'!$BY$11:$BY$1309,MATCH("B07-SK-37-by",'SKU明细'!$A$11:$A$1309,0)),INDEX('SKU明细'!$BY$11:$BY$1309,MATCH("B07-SK-38-by",'SKU明细'!$A$11:$A$1309,0)),INDEX('SKU明细'!$BY$11:$BY$1309,MATCH("B07-SK-41-New",'SKU明细'!$A$11:$A$1309,0)))=3,SUM(INDEX('SKU明细'!$BY$11:$BY$1309,MATCH("B07-SK-37-by",'SKU明细'!$A$11:$A$1309,0)),INDEX('SKU明细'!$BY$11:$BY$1309,MATCH("B07-SK-38-by",'SKU明细'!$A$11:$A$1309,0)),INDEX('SKU明细'!$BY$11:$BY$1309,MATCH("B07-SK-41-New",'SKU明细'!$A$11:$A$1309,0))),"待核")</x:f>
        <x:v>0.07847449710587341</x:v>
      </x:c>
      <x:c r="Z84" s="11" t="n">
        <x:f>INDEX('SKU明细'!$BZ$11:$BZ$1309,MATCH("B07-SK-37-by",'SKU明细'!$A$11:$A$1309,0))</x:f>
        <x:v>0.9523018155490097</x:v>
      </x:c>
      <x:c r="AA84" s="13" t="n">
        <x:f>IF(COUNT(INDEX('SKU明细'!$CB$11:$CB$1309,MATCH("B07-SK-37-by",'SKU明细'!$A$11:$A$1309,0)),INDEX('SKU明细'!$CB$11:$CB$1309,MATCH("B07-SK-38-by",'SKU明细'!$A$11:$A$1309,0)),INDEX('SKU明细'!$CB$11:$CB$1309,MATCH("B07-SK-41-New",'SKU明细'!$A$11:$A$1309,0)))=3,SUM(INDEX('SKU明细'!$CB$11:$CB$1309,MATCH("B07-SK-37-by",'SKU明细'!$A$11:$A$1309,0)),INDEX('SKU明细'!$CB$11:$CB$1309,MATCH("B07-SK-38-by",'SKU明细'!$A$11:$A$1309,0)),INDEX('SKU明细'!$CB$11:$CB$1309,MATCH("B07-SK-41-New",'SKU明细'!$A$11:$A$1309,0))),"待核")</x:f>
        <x:v>0.25565804670402925</x:v>
      </x:c>
      <x:c r="AB84" s="11" t="n">
        <x:f>INDEX('SKU明细'!$CC$11:$CC$1309,MATCH("B07-SK-37-by",'SKU明细'!$A$11:$A$1309,0))</x:f>
        <x:v>0.5958545198749097</x:v>
      </x:c>
      <x:c r="AC84" s="13" t="n">
        <x:f>IF(COUNT(INDEX('SKU明细'!$CE$11:$CE$1309,MATCH("B07-SK-37-by",'SKU明细'!$A$11:$A$1309,0)),INDEX('SKU明细'!$CE$11:$CE$1309,MATCH("B07-SK-38-by",'SKU明细'!$A$11:$A$1309,0)),INDEX('SKU明细'!$CE$11:$CE$1309,MATCH("B07-SK-41-New",'SKU明细'!$A$11:$A$1309,0)))=3,SUM(INDEX('SKU明细'!$CE$11:$CE$1309,MATCH("B07-SK-37-by",'SKU明细'!$A$11:$A$1309,0)),INDEX('SKU明细'!$CE$11:$CE$1309,MATCH("B07-SK-38-by",'SKU明细'!$A$11:$A$1309,0)),INDEX('SKU明细'!$CE$11:$CE$1309,MATCH("B07-SK-41-New",'SKU明细'!$A$11:$A$1309,0))),"待核")</x:f>
        <x:v>0.1652972130506787</x:v>
      </x:c>
      <x:c r="AD84" s="11" t="n">
        <x:f>INDEX('SKU明细'!$CF$11:$CF$1309,MATCH("B07-SK-37-by",'SKU明细'!$A$11:$A$1309,0))</x:f>
        <x:v>1.3264167397065354</x:v>
      </x:c>
      <x:c r="AE84" s="13" t="n">
        <x:f>IF(COUNT(INDEX('SKU明细'!$CH$11:$CH$1309,MATCH("B07-SK-37-by",'SKU明细'!$A$11:$A$1309,0)),INDEX('SKU明细'!$CH$11:$CH$1309,MATCH("B07-SK-38-by",'SKU明细'!$A$11:$A$1309,0)),INDEX('SKU明细'!$CH$11:$CH$1309,MATCH("B07-SK-41-New",'SKU明细'!$A$11:$A$1309,0)))=3,SUM(INDEX('SKU明细'!$CH$11:$CH$1309,MATCH("B07-SK-37-by",'SKU明细'!$A$11:$A$1309,0)),INDEX('SKU明细'!$CH$11:$CH$1309,MATCH("B07-SK-38-by",'SKU明细'!$A$11:$A$1309,0)),INDEX('SKU明细'!$CH$11:$CH$1309,MATCH("B07-SK-41-New",'SKU明细'!$A$11:$A$1309,0))),"待核")</x:f>
        <x:v>0.2017866893066812</x:v>
      </x:c>
      <x:c r="AF84" s="13" t="n">
        <x:f>IF(COUNT(INDEX('SKU明细'!$CI$11:$CI$1309,MATCH("B07-SK-37-by",'SKU明细'!$A$11:$A$1309,0)),INDEX('SKU明细'!$CI$11:$CI$1309,MATCH("B07-SK-38-by",'SKU明细'!$A$11:$A$1309,0)),INDEX('SKU明细'!$CI$11:$CI$1309,MATCH("B07-SK-41-New",'SKU明细'!$A$11:$A$1309,0)))=3,SUM(INDEX('SKU明细'!$CI$11:$CI$1309,MATCH("B07-SK-37-by",'SKU明细'!$A$11:$A$1309,0)),INDEX('SKU明细'!$CI$11:$CI$1309,MATCH("B07-SK-38-by",'SKU明细'!$A$11:$A$1309,0)),INDEX('SKU明细'!$CI$11:$CI$1309,MATCH("B07-SK-41-New",'SKU明细'!$A$11:$A$1309,0))),"待核")</x:f>
        <x:v>0.7012164461672625</x:v>
      </x:c>
    </x:row>
    <x:row r="85" ht="40" customHeight="1">
      <x:c r="A85" s="37" t="str">
        <x:v>B07</x:v>
      </x:c>
      <x:c r="B85" s="37" t="str">
        <x:v>艾年</x:v>
      </x:c>
      <x:c r="C85" s="37" t="str">
        <x:v>驼色羊京绒</x:v>
      </x:c>
      <x:c r="D85" s="37" t="str">
        <x:v>TN</x:v>
      </x:c>
      <x:c r="E85" s="37" t="str">
        <x:v>B07-TN</x:v>
      </x:c>
      <x:c r="F85" s="37"/>
      <x:c r="G85" s="38" t="str">
        <x:f>"—"</x:f>
        <x:v>—</x:v>
      </x:c>
      <x:c r="H85" s="38" t="str">
        <x:f>"—"</x:f>
        <x:v>—</x:v>
      </x:c>
      <x:c r="I85" s="38" t="n">
        <x:f>IF(COUNT(INDEX('SKU明细'!$D$11:$D$1309,MATCH("B07-TN-37.5",'SKU明细'!$A$11:$A$1309,0)))=0,"待核",IF(COUNT(INDEX('SKU明细'!$D$11:$D$1309,MATCH("B07-TN-37.5",'SKU明细'!$A$11:$A$1309,0)))&lt;1,SUM(INDEX('SKU明细'!$D$11:$D$1309,MATCH("B07-TN-37.5",'SKU明细'!$A$11:$A$1309,0)))&amp;" + 待核",SUM(INDEX('SKU明细'!$D$11:$D$1309,MATCH("B07-TN-37.5",'SKU明细'!$A$11:$A$1309,0)))))</x:f>
        <x:v>0</x:v>
      </x:c>
      <x:c r="J85" s="38" t="n">
        <x:f>IF(COUNT(INDEX('SKU明细'!$D$11:$D$1309,MATCH("B07-TN-38-by",'SKU明细'!$A$11:$A$1309,0)))=0,"待核",IF(COUNT(INDEX('SKU明细'!$D$11:$D$1309,MATCH("B07-TN-38-by",'SKU明细'!$A$11:$A$1309,0)))&lt;1,SUM(INDEX('SKU明细'!$D$11:$D$1309,MATCH("B07-TN-38-by",'SKU明细'!$A$11:$A$1309,0)))&amp;" + 待核",SUM(INDEX('SKU明细'!$D$11:$D$1309,MATCH("B07-TN-38-by",'SKU明细'!$A$11:$A$1309,0)))))</x:f>
        <x:v>0</x:v>
      </x:c>
      <x:c r="K85" s="38" t="n">
        <x:f>IF(COUNT(INDEX('SKU明细'!$D$11:$D$1309,MATCH("B07-TN-38.5",'SKU明细'!$A$11:$A$1309,0)))=0,"待核",IF(COUNT(INDEX('SKU明细'!$D$11:$D$1309,MATCH("B07-TN-38.5",'SKU明细'!$A$11:$A$1309,0)))&lt;1,SUM(INDEX('SKU明细'!$D$11:$D$1309,MATCH("B07-TN-38.5",'SKU明细'!$A$11:$A$1309,0)))&amp;" + 待核",SUM(INDEX('SKU明细'!$D$11:$D$1309,MATCH("B07-TN-38.5",'SKU明细'!$A$11:$A$1309,0)))))</x:f>
        <x:v>0</x:v>
      </x:c>
      <x:c r="L85" s="38" t="n">
        <x:f>IF(COUNT(INDEX('SKU明细'!$D$11:$D$1309,MATCH("B07-TN-39-by",'SKU明细'!$A$11:$A$1309,0)))=0,"待核",IF(COUNT(INDEX('SKU明细'!$D$11:$D$1309,MATCH("B07-TN-39-by",'SKU明细'!$A$11:$A$1309,0)))&lt;1,SUM(INDEX('SKU明细'!$D$11:$D$1309,MATCH("B07-TN-39-by",'SKU明细'!$A$11:$A$1309,0)))&amp;" + 待核",SUM(INDEX('SKU明细'!$D$11:$D$1309,MATCH("B07-TN-39-by",'SKU明细'!$A$11:$A$1309,0)))))</x:f>
        <x:v>0</x:v>
      </x:c>
      <x:c r="M85" s="38" t="n">
        <x:f>IF(COUNT(INDEX('SKU明细'!$D$11:$D$1309,MATCH("B07-TN-39.5",'SKU明细'!$A$11:$A$1309,0)))=0,"待核",IF(COUNT(INDEX('SKU明细'!$D$11:$D$1309,MATCH("B07-TN-39.5",'SKU明细'!$A$11:$A$1309,0)))&lt;1,SUM(INDEX('SKU明细'!$D$11:$D$1309,MATCH("B07-TN-39.5",'SKU明细'!$A$11:$A$1309,0)))&amp;" + 待核",SUM(INDEX('SKU明细'!$D$11:$D$1309,MATCH("B07-TN-39.5",'SKU明细'!$A$11:$A$1309,0)))))</x:f>
        <x:v>0</x:v>
      </x:c>
      <x:c r="N85" s="38" t="str">
        <x:f>"—"</x:f>
        <x:v>—</x:v>
      </x:c>
      <x:c r="O85" s="38" t="n">
        <x:f>IF(COUNT(INDEX('SKU明细'!$D$11:$D$1309,MATCH("B07-TN-40.5",'SKU明细'!$A$11:$A$1309,0)))=0,"待核",IF(COUNT(INDEX('SKU明细'!$D$11:$D$1309,MATCH("B07-TN-40.5",'SKU明细'!$A$11:$A$1309,0)))&lt;1,SUM(INDEX('SKU明细'!$D$11:$D$1309,MATCH("B07-TN-40.5",'SKU明细'!$A$11:$A$1309,0)))&amp;" + 待核",SUM(INDEX('SKU明细'!$D$11:$D$1309,MATCH("B07-TN-40.5",'SKU明细'!$A$11:$A$1309,0)))))</x:f>
        <x:v>0</x:v>
      </x:c>
      <x:c r="P85" s="38" t="n">
        <x:f>IF(COUNT(INDEX('SKU明细'!$D$11:$D$1309,MATCH("B07-TN-41-by",'SKU明细'!$A$11:$A$1309,0)))=0,"待核",IF(COUNT(INDEX('SKU明细'!$D$11:$D$1309,MATCH("B07-TN-41-by",'SKU明细'!$A$11:$A$1309,0)))&lt;1,SUM(INDEX('SKU明细'!$D$11:$D$1309,MATCH("B07-TN-41-by",'SKU明细'!$A$11:$A$1309,0)))&amp;" + 待核",SUM(INDEX('SKU明细'!$D$11:$D$1309,MATCH("B07-TN-41-by",'SKU明细'!$A$11:$A$1309,0)))))</x:f>
        <x:v>0</x:v>
      </x:c>
      <x:c r="Q85" s="38" t="str">
        <x:f>"—"</x:f>
        <x:v>—</x:v>
      </x:c>
      <x:c r="R85" s="38" t="str">
        <x:f>"—"</x:f>
        <x:v>—</x:v>
      </x:c>
      <x:c r="S85" s="38" t="n">
        <x:f>IF(COUNT(INDEX('SKU明细'!$D$11:$D$1309,MATCH("B07-TN-37.5",'SKU明细'!$A$11:$A$1309,0)),INDEX('SKU明细'!$D$11:$D$1309,MATCH("B07-TN-38-by",'SKU明细'!$A$11:$A$1309,0)),INDEX('SKU明细'!$D$11:$D$1309,MATCH("B07-TN-38.5",'SKU明细'!$A$11:$A$1309,0)),INDEX('SKU明细'!$D$11:$D$1309,MATCH("B07-TN-39.5",'SKU明细'!$A$11:$A$1309,0)),INDEX('SKU明细'!$D$11:$D$1309,MATCH("B07-TN-40.5",'SKU明细'!$A$11:$A$1309,0)),INDEX('SKU明细'!$D$11:$D$1309,MATCH("B07-TN-41-by",'SKU明细'!$A$11:$A$1309,0)),INDEX('SKU明细'!$D$11:$D$1309,MATCH("B07-TN-39-by",'SKU明细'!$A$11:$A$1309,0)))=0,"待核",SUM(INDEX('SKU明细'!$D$11:$D$1309,MATCH("B07-TN-37.5",'SKU明细'!$A$11:$A$1309,0)),INDEX('SKU明细'!$D$11:$D$1309,MATCH("B07-TN-38-by",'SKU明细'!$A$11:$A$1309,0)),INDEX('SKU明细'!$D$11:$D$1309,MATCH("B07-TN-38.5",'SKU明细'!$A$11:$A$1309,0)),INDEX('SKU明细'!$D$11:$D$1309,MATCH("B07-TN-39.5",'SKU明细'!$A$11:$A$1309,0)),INDEX('SKU明细'!$D$11:$D$1309,MATCH("B07-TN-40.5",'SKU明细'!$A$11:$A$1309,0)),INDEX('SKU明细'!$D$11:$D$1309,MATCH("B07-TN-41-by",'SKU明细'!$A$11:$A$1309,0)),INDEX('SKU明细'!$D$11:$D$1309,MATCH("B07-TN-39-by",'SKU明细'!$A$11:$A$1309,0))))</x:f>
        <x:v>0</x:v>
      </x:c>
      <x:c r="T85" s="38" t="n">
        <x:f>IF(COUNTIFS($A$9:$A$191,A85,$U$9:$U$191,"&lt;&gt;待核")=0,"待核",SUMIF($A$9:$A$191,A85,$S$9:$S$191))</x:f>
        <x:v>364</x:v>
      </x:c>
      <x:c r="U85" s="37" t="str">
        <x:f>IF(COUNT(INDEX('SKU明细'!$D$11:$D$1309,MATCH("B07-TN-37.5",'SKU明细'!$A$11:$A$1309,0)),INDEX('SKU明细'!$D$11:$D$1309,MATCH("B07-TN-38-by",'SKU明细'!$A$11:$A$1309,0)),INDEX('SKU明细'!$D$11:$D$1309,MATCH("B07-TN-38.5",'SKU明细'!$A$11:$A$1309,0)),INDEX('SKU明细'!$D$11:$D$1309,MATCH("B07-TN-39.5",'SKU明细'!$A$11:$A$1309,0)),INDEX('SKU明细'!$D$11:$D$1309,MATCH("B07-TN-40.5",'SKU明细'!$A$11:$A$1309,0)),INDEX('SKU明细'!$D$11:$D$1309,MATCH("B07-TN-41-by",'SKU明细'!$A$11:$A$1309,0)),INDEX('SKU明细'!$D$11:$D$1309,MATCH("B07-TN-39-by",'SKU明细'!$A$11:$A$1309,0)))=0,"待核",IF(COUNT(INDEX('SKU明细'!$D$11:$D$1309,MATCH("B07-TN-37.5",'SKU明细'!$A$11:$A$1309,0)),INDEX('SKU明细'!$D$11:$D$1309,MATCH("B07-TN-38-by",'SKU明细'!$A$11:$A$1309,0)),INDEX('SKU明细'!$D$11:$D$1309,MATCH("B07-TN-38.5",'SKU明细'!$A$11:$A$1309,0)),INDEX('SKU明细'!$D$11:$D$1309,MATCH("B07-TN-39.5",'SKU明细'!$A$11:$A$1309,0)),INDEX('SKU明细'!$D$11:$D$1309,MATCH("B07-TN-40.5",'SKU明细'!$A$11:$A$1309,0)),INDEX('SKU明细'!$D$11:$D$1309,MATCH("B07-TN-41-by",'SKU明细'!$A$11:$A$1309,0)),INDEX('SKU明细'!$D$11:$D$1309,MATCH("B07-TN-39-by",'SKU明细'!$A$11:$A$1309,0)))&lt;7,"另有待核","已核"))</x:f>
        <x:v>已核</x:v>
      </x:c>
      <x:c r="V85" s="37" t="str">
        <x:v>在售</x:v>
      </x:c>
      <x:c r="W85" s="11" t="n">
        <x:f>IF(COUNT(INDEX('SKU明细'!$BV$11:$BV$1309,MATCH("B07-TN-37.5",'SKU明细'!$A$11:$A$1309,0)),INDEX('SKU明细'!$BV$11:$BV$1309,MATCH("B07-TN-38-by",'SKU明细'!$A$11:$A$1309,0)),INDEX('SKU明细'!$BV$11:$BV$1309,MATCH("B07-TN-38.5",'SKU明细'!$A$11:$A$1309,0)),INDEX('SKU明细'!$BV$11:$BV$1309,MATCH("B07-TN-39.5",'SKU明细'!$A$11:$A$1309,0)),INDEX('SKU明细'!$BV$11:$BV$1309,MATCH("B07-TN-40.5",'SKU明细'!$A$11:$A$1309,0)),INDEX('SKU明细'!$BV$11:$BV$1309,MATCH("B07-TN-41-by",'SKU明细'!$A$11:$A$1309,0)),INDEX('SKU明细'!$BV$11:$BV$1309,MATCH("B07-TN-39-by",'SKU明细'!$A$11:$A$1309,0)))=7,SUM(INDEX('SKU明细'!$BV$11:$BV$1309,MATCH("B07-TN-37.5",'SKU明细'!$A$11:$A$1309,0)),INDEX('SKU明细'!$BV$11:$BV$1309,MATCH("B07-TN-38-by",'SKU明细'!$A$11:$A$1309,0)),INDEX('SKU明细'!$BV$11:$BV$1309,MATCH("B07-TN-38.5",'SKU明细'!$A$11:$A$1309,0)),INDEX('SKU明细'!$BV$11:$BV$1309,MATCH("B07-TN-39.5",'SKU明细'!$A$11:$A$1309,0)),INDEX('SKU明细'!$BV$11:$BV$1309,MATCH("B07-TN-40.5",'SKU明细'!$A$11:$A$1309,0)),INDEX('SKU明细'!$BV$11:$BV$1309,MATCH("B07-TN-41-by",'SKU明细'!$A$11:$A$1309,0)),INDEX('SKU明细'!$BV$11:$BV$1309,MATCH("B07-TN-39-by",'SKU明细'!$A$11:$A$1309,0))),"待核")</x:f>
        <x:v>0.5557001098978328</x:v>
      </x:c>
      <x:c r="X85" s="11" t="n">
        <x:f>INDEX('SKU明细'!$BW$11:$BW$1309,MATCH("B07-TN-37.5",'SKU明细'!$A$11:$A$1309,0))</x:f>
        <x:v>0.7307750238224848</x:v>
      </x:c>
      <x:c r="Y85" s="13" t="n">
        <x:f>IF(COUNT(INDEX('SKU明细'!$BY$11:$BY$1309,MATCH("B07-TN-37.5",'SKU明细'!$A$11:$A$1309,0)),INDEX('SKU明细'!$BY$11:$BY$1309,MATCH("B07-TN-38-by",'SKU明细'!$A$11:$A$1309,0)),INDEX('SKU明细'!$BY$11:$BY$1309,MATCH("B07-TN-38.5",'SKU明细'!$A$11:$A$1309,0)),INDEX('SKU明细'!$BY$11:$BY$1309,MATCH("B07-TN-39.5",'SKU明细'!$A$11:$A$1309,0)),INDEX('SKU明细'!$BY$11:$BY$1309,MATCH("B07-TN-40.5",'SKU明细'!$A$11:$A$1309,0)),INDEX('SKU明细'!$BY$11:$BY$1309,MATCH("B07-TN-41-by",'SKU明细'!$A$11:$A$1309,0)),INDEX('SKU明细'!$BY$11:$BY$1309,MATCH("B07-TN-39-by",'SKU明细'!$A$11:$A$1309,0)))=7,SUM(INDEX('SKU明细'!$BY$11:$BY$1309,MATCH("B07-TN-37.5",'SKU明细'!$A$11:$A$1309,0)),INDEX('SKU明细'!$BY$11:$BY$1309,MATCH("B07-TN-38-by",'SKU明细'!$A$11:$A$1309,0)),INDEX('SKU明细'!$BY$11:$BY$1309,MATCH("B07-TN-38.5",'SKU明细'!$A$11:$A$1309,0)),INDEX('SKU明细'!$BY$11:$BY$1309,MATCH("B07-TN-39.5",'SKU明细'!$A$11:$A$1309,0)),INDEX('SKU明细'!$BY$11:$BY$1309,MATCH("B07-TN-40.5",'SKU明细'!$A$11:$A$1309,0)),INDEX('SKU明细'!$BY$11:$BY$1309,MATCH("B07-TN-41-by",'SKU明细'!$A$11:$A$1309,0)),INDEX('SKU明细'!$BY$11:$BY$1309,MATCH("B07-TN-39-by",'SKU明细'!$A$11:$A$1309,0))),"待核")</x:f>
        <x:v>4.873101132584956</x:v>
      </x:c>
      <x:c r="Z85" s="11" t="n">
        <x:f>INDEX('SKU明细'!$BZ$11:$BZ$1309,MATCH("B07-TN-37.5",'SKU明细'!$A$11:$A$1309,0))</x:f>
        <x:v>0.9523018155490097</x:v>
      </x:c>
      <x:c r="AA85" s="13" t="n">
        <x:f>IF(COUNT(INDEX('SKU明细'!$CB$11:$CB$1309,MATCH("B07-TN-37.5",'SKU明细'!$A$11:$A$1309,0)),INDEX('SKU明细'!$CB$11:$CB$1309,MATCH("B07-TN-38-by",'SKU明细'!$A$11:$A$1309,0)),INDEX('SKU明细'!$CB$11:$CB$1309,MATCH("B07-TN-38.5",'SKU明细'!$A$11:$A$1309,0)),INDEX('SKU明细'!$CB$11:$CB$1309,MATCH("B07-TN-39.5",'SKU明细'!$A$11:$A$1309,0)),INDEX('SKU明细'!$CB$11:$CB$1309,MATCH("B07-TN-40.5",'SKU明细'!$A$11:$A$1309,0)),INDEX('SKU明细'!$CB$11:$CB$1309,MATCH("B07-TN-41-by",'SKU明细'!$A$11:$A$1309,0)),INDEX('SKU明细'!$CB$11:$CB$1309,MATCH("B07-TN-39-by",'SKU明细'!$A$11:$A$1309,0)))=7,SUM(INDEX('SKU明细'!$CB$11:$CB$1309,MATCH("B07-TN-37.5",'SKU明细'!$A$11:$A$1309,0)),INDEX('SKU明细'!$CB$11:$CB$1309,MATCH("B07-TN-38-by",'SKU明细'!$A$11:$A$1309,0)),INDEX('SKU明细'!$CB$11:$CB$1309,MATCH("B07-TN-38.5",'SKU明细'!$A$11:$A$1309,0)),INDEX('SKU明细'!$CB$11:$CB$1309,MATCH("B07-TN-39.5",'SKU明细'!$A$11:$A$1309,0)),INDEX('SKU明细'!$CB$11:$CB$1309,MATCH("B07-TN-40.5",'SKU明细'!$A$11:$A$1309,0)),INDEX('SKU明细'!$CB$11:$CB$1309,MATCH("B07-TN-41-by",'SKU明细'!$A$11:$A$1309,0)),INDEX('SKU明细'!$CB$11:$CB$1309,MATCH("B07-TN-39-by",'SKU明细'!$A$11:$A$1309,0))),"待核")</x:f>
        <x:v>15.875826706694715</x:v>
      </x:c>
      <x:c r="AB85" s="11" t="n">
        <x:f>INDEX('SKU明细'!$CC$11:$CC$1309,MATCH("B07-TN-37.5",'SKU明细'!$A$11:$A$1309,0))</x:f>
        <x:v>0.5958545198749097</x:v>
      </x:c>
      <x:c r="AC85" s="13" t="n">
        <x:f>IF(COUNT(INDEX('SKU明细'!$CE$11:$CE$1309,MATCH("B07-TN-37.5",'SKU明细'!$A$11:$A$1309,0)),INDEX('SKU明细'!$CE$11:$CE$1309,MATCH("B07-TN-38-by",'SKU明细'!$A$11:$A$1309,0)),INDEX('SKU明细'!$CE$11:$CE$1309,MATCH("B07-TN-38.5",'SKU明细'!$A$11:$A$1309,0)),INDEX('SKU明细'!$CE$11:$CE$1309,MATCH("B07-TN-39.5",'SKU明细'!$A$11:$A$1309,0)),INDEX('SKU明细'!$CE$11:$CE$1309,MATCH("B07-TN-40.5",'SKU明细'!$A$11:$A$1309,0)),INDEX('SKU明细'!$CE$11:$CE$1309,MATCH("B07-TN-41-by",'SKU明细'!$A$11:$A$1309,0)),INDEX('SKU明细'!$CE$11:$CE$1309,MATCH("B07-TN-39-by",'SKU明细'!$A$11:$A$1309,0)))=7,SUM(INDEX('SKU明细'!$CE$11:$CE$1309,MATCH("B07-TN-37.5",'SKU明细'!$A$11:$A$1309,0)),INDEX('SKU明细'!$CE$11:$CE$1309,MATCH("B07-TN-38-by",'SKU明细'!$A$11:$A$1309,0)),INDEX('SKU明细'!$CE$11:$CE$1309,MATCH("B07-TN-38.5",'SKU明细'!$A$11:$A$1309,0)),INDEX('SKU明细'!$CE$11:$CE$1309,MATCH("B07-TN-39.5",'SKU明细'!$A$11:$A$1309,0)),INDEX('SKU明细'!$CE$11:$CE$1309,MATCH("B07-TN-40.5",'SKU明细'!$A$11:$A$1309,0)),INDEX('SKU明细'!$CE$11:$CE$1309,MATCH("B07-TN-41-by",'SKU明细'!$A$11:$A$1309,0)),INDEX('SKU明细'!$CE$11:$CE$1309,MATCH("B07-TN-39-by",'SKU明细'!$A$11:$A$1309,0))),"待核")</x:f>
        <x:v>10.264609087505841</x:v>
      </x:c>
      <x:c r="AD85" s="11" t="n">
        <x:f>INDEX('SKU明细'!$CF$11:$CF$1309,MATCH("B07-TN-37.5",'SKU明细'!$A$11:$A$1309,0))</x:f>
        <x:v>1.3264167397065354</x:v>
      </x:c>
      <x:c r="AE85" s="13" t="n">
        <x:f>IF(COUNT(INDEX('SKU明细'!$CH$11:$CH$1309,MATCH("B07-TN-37.5",'SKU明细'!$A$11:$A$1309,0)),INDEX('SKU明细'!$CH$11:$CH$1309,MATCH("B07-TN-38-by",'SKU明细'!$A$11:$A$1309,0)),INDEX('SKU明细'!$CH$11:$CH$1309,MATCH("B07-TN-38.5",'SKU明细'!$A$11:$A$1309,0)),INDEX('SKU明细'!$CH$11:$CH$1309,MATCH("B07-TN-39.5",'SKU明细'!$A$11:$A$1309,0)),INDEX('SKU明细'!$CH$11:$CH$1309,MATCH("B07-TN-40.5",'SKU明细'!$A$11:$A$1309,0)),INDEX('SKU明细'!$CH$11:$CH$1309,MATCH("B07-TN-41-by",'SKU明细'!$A$11:$A$1309,0)),INDEX('SKU明细'!$CH$11:$CH$1309,MATCH("B07-TN-39-by",'SKU明细'!$A$11:$A$1309,0)))=7,SUM(INDEX('SKU明细'!$CH$11:$CH$1309,MATCH("B07-TN-37.5",'SKU明细'!$A$11:$A$1309,0)),INDEX('SKU明细'!$CH$11:$CH$1309,MATCH("B07-TN-38-by",'SKU明细'!$A$11:$A$1309,0)),INDEX('SKU明细'!$CH$11:$CH$1309,MATCH("B07-TN-38.5",'SKU明细'!$A$11:$A$1309,0)),INDEX('SKU明细'!$CH$11:$CH$1309,MATCH("B07-TN-39.5",'SKU明细'!$A$11:$A$1309,0)),INDEX('SKU明细'!$CH$11:$CH$1309,MATCH("B07-TN-40.5",'SKU明细'!$A$11:$A$1309,0)),INDEX('SKU明细'!$CH$11:$CH$1309,MATCH("B07-TN-41-by",'SKU明细'!$A$11:$A$1309,0)),INDEX('SKU明细'!$CH$11:$CH$1309,MATCH("B07-TN-39-by",'SKU明细'!$A$11:$A$1309,0))),"待核")</x:f>
        <x:v>12.530528776429197</x:v>
      </x:c>
      <x:c r="AF85" s="13" t="n">
        <x:f>IF(COUNT(INDEX('SKU明细'!$CI$11:$CI$1309,MATCH("B07-TN-37.5",'SKU明细'!$A$11:$A$1309,0)),INDEX('SKU明细'!$CI$11:$CI$1309,MATCH("B07-TN-38-by",'SKU明细'!$A$11:$A$1309,0)),INDEX('SKU明细'!$CI$11:$CI$1309,MATCH("B07-TN-38.5",'SKU明细'!$A$11:$A$1309,0)),INDEX('SKU明细'!$CI$11:$CI$1309,MATCH("B07-TN-39.5",'SKU明细'!$A$11:$A$1309,0)),INDEX('SKU明细'!$CI$11:$CI$1309,MATCH("B07-TN-40.5",'SKU明细'!$A$11:$A$1309,0)),INDEX('SKU明细'!$CI$11:$CI$1309,MATCH("B07-TN-41-by",'SKU明细'!$A$11:$A$1309,0)),INDEX('SKU明细'!$CI$11:$CI$1309,MATCH("B07-TN-39-by",'SKU明细'!$A$11:$A$1309,0)))=7,SUM(INDEX('SKU明细'!$CI$11:$CI$1309,MATCH("B07-TN-37.5",'SKU明细'!$A$11:$A$1309,0)),INDEX('SKU明细'!$CI$11:$CI$1309,MATCH("B07-TN-38-by",'SKU明细'!$A$11:$A$1309,0)),INDEX('SKU明细'!$CI$11:$CI$1309,MATCH("B07-TN-38.5",'SKU明细'!$A$11:$A$1309,0)),INDEX('SKU明细'!$CI$11:$CI$1309,MATCH("B07-TN-39.5",'SKU明细'!$A$11:$A$1309,0)),INDEX('SKU明细'!$CI$11:$CI$1309,MATCH("B07-TN-40.5",'SKU明细'!$A$11:$A$1309,0)),INDEX('SKU明细'!$CI$11:$CI$1309,MATCH("B07-TN-41-by",'SKU明细'!$A$11:$A$1309,0)),INDEX('SKU明细'!$CI$11:$CI$1309,MATCH("B07-TN-39-by",'SKU明细'!$A$11:$A$1309,0))),"待核")</x:f>
        <x:v>43.54406570321471</x:v>
      </x:c>
    </x:row>
    <x:row r="86" ht="40" customHeight="1">
      <x:c r="A86" s="37" t="str">
        <x:v>B07</x:v>
      </x:c>
      <x:c r="B86" s="37" t="str">
        <x:v>艾年</x:v>
      </x:c>
      <x:c r="C86" s="37" t="str">
        <x:v>驼色羊京绒</x:v>
      </x:c>
      <x:c r="D86" s="37" t="str">
        <x:v>TN1</x:v>
      </x:c>
      <x:c r="E86" s="37" t="str">
        <x:v>B07-TN1</x:v>
      </x:c>
      <x:c r="F86" s="37"/>
      <x:c r="G86" s="38" t="str">
        <x:f>"—"</x:f>
        <x:v>—</x:v>
      </x:c>
      <x:c r="H86" s="38" t="n">
        <x:f>IF(COUNT(INDEX('SKU明细'!$D$11:$D$1309,MATCH("B07-TN1-37-by",'SKU明细'!$A$11:$A$1309,0)))=0,"待核",IF(COUNT(INDEX('SKU明细'!$D$11:$D$1309,MATCH("B07-TN1-37-by",'SKU明细'!$A$11:$A$1309,0)))&lt;1,SUM(INDEX('SKU明细'!$D$11:$D$1309,MATCH("B07-TN1-37-by",'SKU明细'!$A$11:$A$1309,0)))&amp;" + 待核",SUM(INDEX('SKU明细'!$D$11:$D$1309,MATCH("B07-TN1-37-by",'SKU明细'!$A$11:$A$1309,0)))))</x:f>
        <x:v>0</x:v>
      </x:c>
      <x:c r="I86" s="38" t="str">
        <x:f>"—"</x:f>
        <x:v>—</x:v>
      </x:c>
      <x:c r="J86" s="38" t="str">
        <x:f>"—"</x:f>
        <x:v>—</x:v>
      </x:c>
      <x:c r="K86" s="38" t="str">
        <x:f>"—"</x:f>
        <x:v>—</x:v>
      </x:c>
      <x:c r="L86" s="38" t="str">
        <x:f>"—"</x:f>
        <x:v>—</x:v>
      </x:c>
      <x:c r="M86" s="38" t="str">
        <x:f>"—"</x:f>
        <x:v>—</x:v>
      </x:c>
      <x:c r="N86" s="38" t="str">
        <x:f>"—"</x:f>
        <x:v>—</x:v>
      </x:c>
      <x:c r="O86" s="38" t="str">
        <x:f>"—"</x:f>
        <x:v>—</x:v>
      </x:c>
      <x:c r="P86" s="38" t="str">
        <x:f>"—"</x:f>
        <x:v>—</x:v>
      </x:c>
      <x:c r="Q86" s="38" t="str">
        <x:f>"—"</x:f>
        <x:v>—</x:v>
      </x:c>
      <x:c r="R86" s="38" t="str">
        <x:f>"—"</x:f>
        <x:v>—</x:v>
      </x:c>
      <x:c r="S86" s="38" t="n">
        <x:f>IF(COUNT(INDEX('SKU明细'!$D$11:$D$1309,MATCH("B07-TN1-37-by",'SKU明细'!$A$11:$A$1309,0)))=0,"待核",SUM(INDEX('SKU明细'!$D$11:$D$1309,MATCH("B07-TN1-37-by",'SKU明细'!$A$11:$A$1309,0))))</x:f>
        <x:v>0</x:v>
      </x:c>
      <x:c r="T86" s="38" t="n">
        <x:f>IF(COUNTIFS($A$9:$A$191,A86,$U$9:$U$191,"&lt;&gt;待核")=0,"待核",SUMIF($A$9:$A$191,A86,$S$9:$S$191))</x:f>
        <x:v>364</x:v>
      </x:c>
      <x:c r="U86" s="37" t="str">
        <x:f>IF(COUNT(INDEX('SKU明细'!$D$11:$D$1309,MATCH("B07-TN1-37-by",'SKU明细'!$A$11:$A$1309,0)))=0,"待核",IF(COUNT(INDEX('SKU明细'!$D$11:$D$1309,MATCH("B07-TN1-37-by",'SKU明细'!$A$11:$A$1309,0)))&lt;1,"另有待核","已核"))</x:f>
        <x:v>已核</x:v>
      </x:c>
      <x:c r="V86" s="37" t="str">
        <x:v>在售</x:v>
      </x:c>
      <x:c r="W86" s="11" t="n">
        <x:f>IF(COUNT(INDEX('SKU明细'!$BV$11:$BV$1309,MATCH("B07-TN1-37-by",'SKU明细'!$A$11:$A$1309,0)))=1,SUM(INDEX('SKU明细'!$BV$11:$BV$1309,MATCH("B07-TN1-37-by",'SKU明细'!$A$11:$A$1309,0))),"待核")</x:f>
        <x:v>0.02897759766285588</x:v>
      </x:c>
      <x:c r="X86" s="11" t="n">
        <x:f>INDEX('SKU明细'!$BW$11:$BW$1309,MATCH("B07-TN1-37-by",'SKU明细'!$A$11:$A$1309,0))</x:f>
        <x:v>0.7307750238224848</x:v>
      </x:c>
      <x:c r="Y86" s="13" t="n">
        <x:f>IF(COUNT(INDEX('SKU明细'!$BY$11:$BY$1309,MATCH("B07-TN1-37-by",'SKU明细'!$A$11:$A$1309,0)))=1,SUM(INDEX('SKU明细'!$BY$11:$BY$1309,MATCH("B07-TN1-37-by",'SKU明细'!$A$11:$A$1309,0))),"待核")</x:f>
        <x:v>0.2541132554687026</x:v>
      </x:c>
      <x:c r="Z86" s="11" t="n">
        <x:f>INDEX('SKU明细'!$BZ$11:$BZ$1309,MATCH("B07-TN1-37-by",'SKU明细'!$A$11:$A$1309,0))</x:f>
        <x:v>0.9523018155490097</x:v>
      </x:c>
      <x:c r="AA86" s="13" t="n">
        <x:f>IF(COUNT(INDEX('SKU明细'!$CB$11:$CB$1309,MATCH("B07-TN1-37-by",'SKU明细'!$A$11:$A$1309,0)))=1,SUM(INDEX('SKU明细'!$CB$11:$CB$1309,MATCH("B07-TN1-37-by",'SKU明细'!$A$11:$A$1309,0))),"待核")</x:f>
        <x:v>0.8278625659375919</x:v>
      </x:c>
      <x:c r="AB86" s="11" t="n">
        <x:f>INDEX('SKU明细'!$CC$11:$CC$1309,MATCH("B07-TN1-37-by",'SKU明细'!$A$11:$A$1309,0))</x:f>
        <x:v>0.5958545198749097</x:v>
      </x:c>
      <x:c r="AC86" s="13" t="n">
        <x:f>IF(COUNT(INDEX('SKU明细'!$CE$11:$CE$1309,MATCH("B07-TN1-37-by",'SKU明细'!$A$11:$A$1309,0)))=1,SUM(INDEX('SKU明细'!$CE$11:$CE$1309,MATCH("B07-TN1-37-by",'SKU明细'!$A$11:$A$1309,0))),"待核")</x:f>
        <x:v>0.5352594088184082</x:v>
      </x:c>
      <x:c r="AD86" s="11" t="n">
        <x:f>INDEX('SKU明细'!$CF$11:$CF$1309,MATCH("B07-TN1-37-by",'SKU明细'!$A$11:$A$1309,0))</x:f>
        <x:v>1.3264167397065354</x:v>
      </x:c>
      <x:c r="AE86" s="13" t="n">
        <x:f>IF(COUNT(INDEX('SKU明细'!$CH$11:$CH$1309,MATCH("B07-TN1-37-by",'SKU明细'!$A$11:$A$1309,0)))=1,SUM(INDEX('SKU明细'!$CH$11:$CH$1309,MATCH("B07-TN1-37-by",'SKU明细'!$A$11:$A$1309,0))),"待核")</x:f>
        <x:v>0.6534183004803812</x:v>
      </x:c>
      <x:c r="AF86" s="13" t="n">
        <x:f>IF(COUNT(INDEX('SKU明细'!$CI$11:$CI$1309,MATCH("B07-TN1-37-by",'SKU明细'!$A$11:$A$1309,0)))=1,SUM(INDEX('SKU明细'!$CI$11:$CI$1309,MATCH("B07-TN1-37-by",'SKU明细'!$A$11:$A$1309,0))),"待核")</x:f>
        <x:v>2.2706535307050837</x:v>
      </x:c>
    </x:row>
    <x:row r="87" ht="40" customHeight="1">
      <x:c r="A87" s="37" t="str">
        <x:v>B07</x:v>
      </x:c>
      <x:c r="B87" s="37" t="str">
        <x:v>艾年</x:v>
      </x:c>
      <x:c r="C87" s="37" t="str">
        <x:v>驼色PU</x:v>
      </x:c>
      <x:c r="D87" s="37" t="str">
        <x:v>TNP</x:v>
      </x:c>
      <x:c r="E87" s="37" t="str">
        <x:v>B07-TNP</x:v>
      </x:c>
      <x:c r="F87" s="37"/>
      <x:c r="G87" s="38" t="str">
        <x:f>"—"</x:f>
        <x:v>—</x:v>
      </x:c>
      <x:c r="H87" s="38" t="n">
        <x:f>IF(COUNT(INDEX('SKU明细'!$D$11:$D$1309,MATCH("B07-TNP-37-New",'SKU明细'!$A$11:$A$1309,0)))=0,"待核",IF(COUNT(INDEX('SKU明细'!$D$11:$D$1309,MATCH("B07-TNP-37-New",'SKU明细'!$A$11:$A$1309,0)))&lt;1,SUM(INDEX('SKU明细'!$D$11:$D$1309,MATCH("B07-TNP-37-New",'SKU明细'!$A$11:$A$1309,0)))&amp;" + 待核",SUM(INDEX('SKU明细'!$D$11:$D$1309,MATCH("B07-TNP-37-New",'SKU明细'!$A$11:$A$1309,0)))))</x:f>
        <x:v>0</x:v>
      </x:c>
      <x:c r="I87" s="38" t="str">
        <x:f>"—"</x:f>
        <x:v>—</x:v>
      </x:c>
      <x:c r="J87" s="38" t="str">
        <x:f>"—"</x:f>
        <x:v>—</x:v>
      </x:c>
      <x:c r="K87" s="38" t="str">
        <x:f>"—"</x:f>
        <x:v>—</x:v>
      </x:c>
      <x:c r="L87" s="38" t="str">
        <x:f>"—"</x:f>
        <x:v>—</x:v>
      </x:c>
      <x:c r="M87" s="38" t="str">
        <x:f>"—"</x:f>
        <x:v>—</x:v>
      </x:c>
      <x:c r="N87" s="38" t="n">
        <x:f>IF(COUNT(INDEX('SKU明细'!$D$11:$D$1309,MATCH("B07-TNP-40-by",'SKU明细'!$A$11:$A$1309,0)))=0,"待核",IF(COUNT(INDEX('SKU明细'!$D$11:$D$1309,MATCH("B07-TNP-40-by",'SKU明细'!$A$11:$A$1309,0)))&lt;1,SUM(INDEX('SKU明细'!$D$11:$D$1309,MATCH("B07-TNP-40-by",'SKU明细'!$A$11:$A$1309,0)))&amp;" + 待核",SUM(INDEX('SKU明细'!$D$11:$D$1309,MATCH("B07-TNP-40-by",'SKU明细'!$A$11:$A$1309,0)))))</x:f>
        <x:v>0</x:v>
      </x:c>
      <x:c r="O87" s="38" t="str">
        <x:f>"—"</x:f>
        <x:v>—</x:v>
      </x:c>
      <x:c r="P87" s="38" t="n">
        <x:f>IF(COUNT(INDEX('SKU明细'!$D$11:$D$1309,MATCH("B07-TNP-41-New",'SKU明细'!$A$11:$A$1309,0)))=0,"待核",IF(COUNT(INDEX('SKU明细'!$D$11:$D$1309,MATCH("B07-TNP-41-New",'SKU明细'!$A$11:$A$1309,0)))&lt;1,SUM(INDEX('SKU明细'!$D$11:$D$1309,MATCH("B07-TNP-41-New",'SKU明细'!$A$11:$A$1309,0)))&amp;" + 待核",SUM(INDEX('SKU明细'!$D$11:$D$1309,MATCH("B07-TNP-41-New",'SKU明细'!$A$11:$A$1309,0)))))</x:f>
        <x:v>0</x:v>
      </x:c>
      <x:c r="Q87" s="38" t="str">
        <x:f>"—"</x:f>
        <x:v>—</x:v>
      </x:c>
      <x:c r="R87" s="38" t="n">
        <x:f>IF(COUNT(INDEX('SKU明细'!$D$11:$D$1309,MATCH("B07-TNP-42-New",'SKU明细'!$A$11:$A$1309,0)))=0,"待核",IF(COUNT(INDEX('SKU明细'!$D$11:$D$1309,MATCH("B07-TNP-42-New",'SKU明细'!$A$11:$A$1309,0)))&lt;1,SUM(INDEX('SKU明细'!$D$11:$D$1309,MATCH("B07-TNP-42-New",'SKU明细'!$A$11:$A$1309,0)))&amp;" + 待核",SUM(INDEX('SKU明细'!$D$11:$D$1309,MATCH("B07-TNP-42-New",'SKU明细'!$A$11:$A$1309,0)))))</x:f>
        <x:v>0</x:v>
      </x:c>
      <x:c r="S87" s="38" t="n">
        <x:f>IF(COUNT(INDEX('SKU明细'!$D$11:$D$1309,MATCH("B07-TNP-37-New",'SKU明细'!$A$11:$A$1309,0)),INDEX('SKU明细'!$D$11:$D$1309,MATCH("B07-TNP-40-by",'SKU明细'!$A$11:$A$1309,0)),INDEX('SKU明细'!$D$11:$D$1309,MATCH("B07-TNP-41-New",'SKU明细'!$A$11:$A$1309,0)),INDEX('SKU明细'!$D$11:$D$1309,MATCH("B07-TNP-42-New",'SKU明细'!$A$11:$A$1309,0)))=0,"待核",SUM(INDEX('SKU明细'!$D$11:$D$1309,MATCH("B07-TNP-37-New",'SKU明细'!$A$11:$A$1309,0)),INDEX('SKU明细'!$D$11:$D$1309,MATCH("B07-TNP-40-by",'SKU明细'!$A$11:$A$1309,0)),INDEX('SKU明细'!$D$11:$D$1309,MATCH("B07-TNP-41-New",'SKU明细'!$A$11:$A$1309,0)),INDEX('SKU明细'!$D$11:$D$1309,MATCH("B07-TNP-42-New",'SKU明细'!$A$11:$A$1309,0))))</x:f>
        <x:v>0</x:v>
      </x:c>
      <x:c r="T87" s="38" t="n">
        <x:f>IF(COUNTIFS($A$9:$A$191,A87,$U$9:$U$191,"&lt;&gt;待核")=0,"待核",SUMIF($A$9:$A$191,A87,$S$9:$S$191))</x:f>
        <x:v>364</x:v>
      </x:c>
      <x:c r="U87" s="37" t="str">
        <x:f>IF(COUNT(INDEX('SKU明细'!$D$11:$D$1309,MATCH("B07-TNP-37-New",'SKU明细'!$A$11:$A$1309,0)),INDEX('SKU明细'!$D$11:$D$1309,MATCH("B07-TNP-40-by",'SKU明细'!$A$11:$A$1309,0)),INDEX('SKU明细'!$D$11:$D$1309,MATCH("B07-TNP-41-New",'SKU明细'!$A$11:$A$1309,0)),INDEX('SKU明细'!$D$11:$D$1309,MATCH("B07-TNP-42-New",'SKU明细'!$A$11:$A$1309,0)))=0,"待核",IF(COUNT(INDEX('SKU明细'!$D$11:$D$1309,MATCH("B07-TNP-37-New",'SKU明细'!$A$11:$A$1309,0)),INDEX('SKU明细'!$D$11:$D$1309,MATCH("B07-TNP-40-by",'SKU明细'!$A$11:$A$1309,0)),INDEX('SKU明细'!$D$11:$D$1309,MATCH("B07-TNP-41-New",'SKU明细'!$A$11:$A$1309,0)),INDEX('SKU明细'!$D$11:$D$1309,MATCH("B07-TNP-42-New",'SKU明细'!$A$11:$A$1309,0)))&lt;4,"另有待核","已核"))</x:f>
        <x:v>已核</x:v>
      </x:c>
      <x:c r="V87" s="37" t="str">
        <x:v>在售、停售</x:v>
      </x:c>
      <x:c r="W87" s="11" t="n">
        <x:f>IF(COUNT(INDEX('SKU明细'!$BV$11:$BV$1309,MATCH("B07-TNP-37-New",'SKU明细'!$A$11:$A$1309,0)),INDEX('SKU明细'!$BV$11:$BV$1309,MATCH("B07-TNP-40-by",'SKU明细'!$A$11:$A$1309,0)),INDEX('SKU明细'!$BV$11:$BV$1309,MATCH("B07-TNP-41-New",'SKU明细'!$A$11:$A$1309,0)),INDEX('SKU明细'!$BV$11:$BV$1309,MATCH("B07-TNP-42-New",'SKU明细'!$A$11:$A$1309,0)))=4,SUM(INDEX('SKU明细'!$BV$11:$BV$1309,MATCH("B07-TNP-37-New",'SKU明细'!$A$11:$A$1309,0)),INDEX('SKU明细'!$BV$11:$BV$1309,MATCH("B07-TNP-40-by",'SKU明细'!$A$11:$A$1309,0)),INDEX('SKU明细'!$BV$11:$BV$1309,MATCH("B07-TNP-41-New",'SKU明细'!$A$11:$A$1309,0)),INDEX('SKU明细'!$BV$11:$BV$1309,MATCH("B07-TNP-42-New",'SKU明细'!$A$11:$A$1309,0))),"待核")</x:f>
        <x:v>0.2212779520506272</x:v>
      </x:c>
      <x:c r="X87" s="11" t="n">
        <x:f>INDEX('SKU明细'!$BW$11:$BW$1309,MATCH("B07-TNP-37-New",'SKU明细'!$A$11:$A$1309,0))</x:f>
        <x:v>0.7307750238224848</x:v>
      </x:c>
      <x:c r="Y87" s="13" t="n">
        <x:f>IF(COUNT(INDEX('SKU明细'!$BY$11:$BY$1309,MATCH("B07-TNP-37-New",'SKU明细'!$A$11:$A$1309,0)),INDEX('SKU明细'!$BY$11:$BY$1309,MATCH("B07-TNP-40-by",'SKU明细'!$A$11:$A$1309,0)),INDEX('SKU明细'!$BY$11:$BY$1309,MATCH("B07-TNP-41-New",'SKU明细'!$A$11:$A$1309,0)),INDEX('SKU明细'!$BY$11:$BY$1309,MATCH("B07-TNP-42-New",'SKU明细'!$A$11:$A$1309,0)))=4,SUM(INDEX('SKU明细'!$BY$11:$BY$1309,MATCH("B07-TNP-37-New",'SKU明细'!$A$11:$A$1309,0)),INDEX('SKU明细'!$BY$11:$BY$1309,MATCH("B07-TNP-40-by",'SKU明细'!$A$11:$A$1309,0)),INDEX('SKU明细'!$BY$11:$BY$1309,MATCH("B07-TNP-41-New",'SKU明细'!$A$11:$A$1309,0)),INDEX('SKU明细'!$BY$11:$BY$1309,MATCH("B07-TNP-42-New",'SKU明细'!$A$11:$A$1309,0))),"待核")</x:f>
        <x:v>1.940452808174253</x:v>
      </x:c>
      <x:c r="Z87" s="11" t="n">
        <x:f>INDEX('SKU明细'!$BZ$11:$BZ$1309,MATCH("B07-TNP-37-New",'SKU明细'!$A$11:$A$1309,0))</x:f>
        <x:v>0.9523018155490097</x:v>
      </x:c>
      <x:c r="AA87" s="13" t="n">
        <x:f>IF(COUNT(INDEX('SKU明细'!$CB$11:$CB$1309,MATCH("B07-TNP-37-New",'SKU明细'!$A$11:$A$1309,0)),INDEX('SKU明细'!$CB$11:$CB$1309,MATCH("B07-TNP-40-by",'SKU明细'!$A$11:$A$1309,0)),INDEX('SKU明细'!$CB$11:$CB$1309,MATCH("B07-TNP-41-New",'SKU明细'!$A$11:$A$1309,0)),INDEX('SKU明细'!$CB$11:$CB$1309,MATCH("B07-TNP-42-New",'SKU明细'!$A$11:$A$1309,0)))=4,SUM(INDEX('SKU明细'!$CB$11:$CB$1309,MATCH("B07-TNP-37-New",'SKU明细'!$A$11:$A$1309,0)),INDEX('SKU明细'!$CB$11:$CB$1309,MATCH("B07-TNP-40-by",'SKU明细'!$A$11:$A$1309,0)),INDEX('SKU明细'!$CB$11:$CB$1309,MATCH("B07-TNP-41-New",'SKU明细'!$A$11:$A$1309,0)),INDEX('SKU明细'!$CB$11:$CB$1309,MATCH("B07-TNP-42-New",'SKU明细'!$A$11:$A$1309,0))),"待核")</x:f>
        <x:v>6.321701864363371</x:v>
      </x:c>
      <x:c r="AB87" s="11" t="n">
        <x:f>INDEX('SKU明细'!$CC$11:$CC$1309,MATCH("B07-TNP-37-New",'SKU明细'!$A$11:$A$1309,0))</x:f>
        <x:v>0.5958545198749097</x:v>
      </x:c>
      <x:c r="AC87" s="13" t="n">
        <x:f>IF(COUNT(INDEX('SKU明细'!$CE$11:$CE$1309,MATCH("B07-TNP-37-New",'SKU明细'!$A$11:$A$1309,0)),INDEX('SKU明细'!$CE$11:$CE$1309,MATCH("B07-TNP-40-by",'SKU明细'!$A$11:$A$1309,0)),INDEX('SKU明细'!$CE$11:$CE$1309,MATCH("B07-TNP-41-New",'SKU明细'!$A$11:$A$1309,0)),INDEX('SKU明细'!$CE$11:$CE$1309,MATCH("B07-TNP-42-New",'SKU明细'!$A$11:$A$1309,0)))=4,SUM(INDEX('SKU明细'!$CE$11:$CE$1309,MATCH("B07-TNP-37-New",'SKU明细'!$A$11:$A$1309,0)),INDEX('SKU明细'!$CE$11:$CE$1309,MATCH("B07-TNP-40-by",'SKU明细'!$A$11:$A$1309,0)),INDEX('SKU明细'!$CE$11:$CE$1309,MATCH("B07-TNP-41-New",'SKU明细'!$A$11:$A$1309,0)),INDEX('SKU明细'!$CE$11:$CE$1309,MATCH("B07-TNP-42-New",'SKU明细'!$A$11:$A$1309,0))),"待核")</x:f>
        <x:v>4.087333504218923</x:v>
      </x:c>
      <x:c r="AD87" s="11" t="n">
        <x:f>INDEX('SKU明细'!$CF$11:$CF$1309,MATCH("B07-TNP-37-New",'SKU明细'!$A$11:$A$1309,0))</x:f>
        <x:v>1.3264167397065354</x:v>
      </x:c>
      <x:c r="AE87" s="13" t="n">
        <x:f>IF(COUNT(INDEX('SKU明细'!$CH$11:$CH$1309,MATCH("B07-TNP-37-New",'SKU明细'!$A$11:$A$1309,0)),INDEX('SKU明细'!$CH$11:$CH$1309,MATCH("B07-TNP-40-by",'SKU明细'!$A$11:$A$1309,0)),INDEX('SKU明细'!$CH$11:$CH$1309,MATCH("B07-TNP-41-New",'SKU明细'!$A$11:$A$1309,0)),INDEX('SKU明细'!$CH$11:$CH$1309,MATCH("B07-TNP-42-New",'SKU明细'!$A$11:$A$1309,0)))=4,SUM(INDEX('SKU明细'!$CH$11:$CH$1309,MATCH("B07-TNP-37-New",'SKU明细'!$A$11:$A$1309,0)),INDEX('SKU明细'!$CH$11:$CH$1309,MATCH("B07-TNP-40-by",'SKU明细'!$A$11:$A$1309,0)),INDEX('SKU明细'!$CH$11:$CH$1309,MATCH("B07-TNP-41-New",'SKU明细'!$A$11:$A$1309,0)),INDEX('SKU明细'!$CH$11:$CH$1309,MATCH("B07-TNP-42-New",'SKU明细'!$A$11:$A$1309,0))),"待核")</x:f>
        <x:v>4.9896152553748445</x:v>
      </x:c>
      <x:c r="AF87" s="13" t="n">
        <x:f>IF(COUNT(INDEX('SKU明细'!$CI$11:$CI$1309,MATCH("B07-TNP-37-New",'SKU明细'!$A$11:$A$1309,0)),INDEX('SKU明细'!$CI$11:$CI$1309,MATCH("B07-TNP-40-by",'SKU明细'!$A$11:$A$1309,0)),INDEX('SKU明细'!$CI$11:$CI$1309,MATCH("B07-TNP-41-New",'SKU明细'!$A$11:$A$1309,0)),INDEX('SKU明细'!$CI$11:$CI$1309,MATCH("B07-TNP-42-New",'SKU明细'!$A$11:$A$1309,0)))=4,SUM(INDEX('SKU明细'!$CI$11:$CI$1309,MATCH("B07-TNP-37-New",'SKU明细'!$A$11:$A$1309,0)),INDEX('SKU明细'!$CI$11:$CI$1309,MATCH("B07-TNP-40-by",'SKU明细'!$A$11:$A$1309,0)),INDEX('SKU明细'!$CI$11:$CI$1309,MATCH("B07-TNP-41-New",'SKU明细'!$A$11:$A$1309,0)),INDEX('SKU明细'!$CI$11:$CI$1309,MATCH("B07-TNP-42-New",'SKU明细'!$A$11:$A$1309,0))),"待核")</x:f>
        <x:v>17.33910343213139</x:v>
      </x:c>
    </x:row>
    <x:row r="88" ht="40" customHeight="1">
      <x:c r="A88" s="37" t="str">
        <x:v>B07</x:v>
      </x:c>
      <x:c r="B88" s="37" t="str">
        <x:v>艾年</x:v>
      </x:c>
      <x:c r="C88" s="37" t="str">
        <x:v>白色PU</x:v>
      </x:c>
      <x:c r="D88" s="37" t="str">
        <x:v>WT</x:v>
      </x:c>
      <x:c r="E88" s="37" t="str">
        <x:v>B07-WT</x:v>
      </x:c>
      <x:c r="F88" s="37"/>
      <x:c r="G88" s="38" t="str">
        <x:f>"—"</x:f>
        <x:v>—</x:v>
      </x:c>
      <x:c r="H88" s="38" t="n">
        <x:f>IF(COUNT(INDEX('SKU明细'!$D$11:$D$1309,MATCH("B07-WT-37-New",'SKU明细'!$A$11:$A$1309,0)))=0,"待核",IF(COUNT(INDEX('SKU明细'!$D$11:$D$1309,MATCH("B07-WT-37-New",'SKU明细'!$A$11:$A$1309,0)))&lt;1,SUM(INDEX('SKU明细'!$D$11:$D$1309,MATCH("B07-WT-37-New",'SKU明细'!$A$11:$A$1309,0)))&amp;" + 待核",SUM(INDEX('SKU明细'!$D$11:$D$1309,MATCH("B07-WT-37-New",'SKU明细'!$A$11:$A$1309,0)))))</x:f>
        <x:v>0</x:v>
      </x:c>
      <x:c r="I88" s="38" t="n">
        <x:f>IF(COUNT(INDEX('SKU明细'!$D$11:$D$1309,MATCH("B07-WT-37.5",'SKU明细'!$A$11:$A$1309,0)))=0,"待核",IF(COUNT(INDEX('SKU明细'!$D$11:$D$1309,MATCH("B07-WT-37.5",'SKU明细'!$A$11:$A$1309,0)))&lt;1,SUM(INDEX('SKU明细'!$D$11:$D$1309,MATCH("B07-WT-37.5",'SKU明细'!$A$11:$A$1309,0)))&amp;" + 待核",SUM(INDEX('SKU明细'!$D$11:$D$1309,MATCH("B07-WT-37.5",'SKU明细'!$A$11:$A$1309,0)))))</x:f>
        <x:v>0</x:v>
      </x:c>
      <x:c r="J88" s="38" t="n">
        <x:f>IF(COUNT(INDEX('SKU明细'!$D$11:$D$1309,MATCH("B07-WT-38-New",'SKU明细'!$A$11:$A$1309,0)))=0,"待核",IF(COUNT(INDEX('SKU明细'!$D$11:$D$1309,MATCH("B07-WT-38-New",'SKU明细'!$A$11:$A$1309,0)))&lt;1,SUM(INDEX('SKU明细'!$D$11:$D$1309,MATCH("B07-WT-38-New",'SKU明细'!$A$11:$A$1309,0)))&amp;" + 待核",SUM(INDEX('SKU明细'!$D$11:$D$1309,MATCH("B07-WT-38-New",'SKU明细'!$A$11:$A$1309,0)))))</x:f>
        <x:v>0</x:v>
      </x:c>
      <x:c r="K88" s="38" t="str">
        <x:f>"—"</x:f>
        <x:v>—</x:v>
      </x:c>
      <x:c r="L88" s="38" t="str">
        <x:f>"—"</x:f>
        <x:v>—</x:v>
      </x:c>
      <x:c r="M88" s="38" t="str">
        <x:f>"—"</x:f>
        <x:v>—</x:v>
      </x:c>
      <x:c r="N88" s="38" t="str">
        <x:f>"—"</x:f>
        <x:v>—</x:v>
      </x:c>
      <x:c r="O88" s="38" t="str">
        <x:f>"—"</x:f>
        <x:v>—</x:v>
      </x:c>
      <x:c r="P88" s="38" t="n">
        <x:f>IF(COUNT(INDEX('SKU明细'!$D$11:$D$1309,MATCH("B07-WT-41-by",'SKU明细'!$A$11:$A$1309,0)))=0,"待核",IF(COUNT(INDEX('SKU明细'!$D$11:$D$1309,MATCH("B07-WT-41-by",'SKU明细'!$A$11:$A$1309,0)))&lt;1,SUM(INDEX('SKU明细'!$D$11:$D$1309,MATCH("B07-WT-41-by",'SKU明细'!$A$11:$A$1309,0)))&amp;" + 待核",SUM(INDEX('SKU明细'!$D$11:$D$1309,MATCH("B07-WT-41-by",'SKU明细'!$A$11:$A$1309,0)))))</x:f>
        <x:v>0</x:v>
      </x:c>
      <x:c r="Q88" s="38" t="n">
        <x:f>IF(COUNT(INDEX('SKU明细'!$D$11:$D$1309,MATCH("B07-WT-41.5",'SKU明细'!$A$11:$A$1309,0)))=0,"待核",IF(COUNT(INDEX('SKU明细'!$D$11:$D$1309,MATCH("B07-WT-41.5",'SKU明细'!$A$11:$A$1309,0)))&lt;1,SUM(INDEX('SKU明细'!$D$11:$D$1309,MATCH("B07-WT-41.5",'SKU明细'!$A$11:$A$1309,0)))&amp;" + 待核",SUM(INDEX('SKU明细'!$D$11:$D$1309,MATCH("B07-WT-41.5",'SKU明细'!$A$11:$A$1309,0)))))</x:f>
        <x:v>0</x:v>
      </x:c>
      <x:c r="R88" s="38" t="n">
        <x:f>IF(COUNT(INDEX('SKU明细'!$D$11:$D$1309,MATCH("B07-WT-42-New",'SKU明细'!$A$11:$A$1309,0)))=0,"待核",IF(COUNT(INDEX('SKU明细'!$D$11:$D$1309,MATCH("B07-WT-42-New",'SKU明细'!$A$11:$A$1309,0)))&lt;1,SUM(INDEX('SKU明细'!$D$11:$D$1309,MATCH("B07-WT-42-New",'SKU明细'!$A$11:$A$1309,0)))&amp;" + 待核",SUM(INDEX('SKU明细'!$D$11:$D$1309,MATCH("B07-WT-42-New",'SKU明细'!$A$11:$A$1309,0)))))</x:f>
        <x:v>0</x:v>
      </x:c>
      <x:c r="S88" s="38" t="n">
        <x:f>IF(COUNT(INDEX('SKU明细'!$D$11:$D$1309,MATCH("B07-WT-37-New",'SKU明细'!$A$11:$A$1309,0)),INDEX('SKU明细'!$D$11:$D$1309,MATCH("B07-WT-37.5",'SKU明细'!$A$11:$A$1309,0)),INDEX('SKU明细'!$D$11:$D$1309,MATCH("B07-WT-38-New",'SKU明细'!$A$11:$A$1309,0)),INDEX('SKU明细'!$D$11:$D$1309,MATCH("B07-WT-41-by",'SKU明细'!$A$11:$A$1309,0)),INDEX('SKU明细'!$D$11:$D$1309,MATCH("B07-WT-41.5",'SKU明细'!$A$11:$A$1309,0)),INDEX('SKU明细'!$D$11:$D$1309,MATCH("B07-WT-42-New",'SKU明细'!$A$11:$A$1309,0)))=0,"待核",SUM(INDEX('SKU明细'!$D$11:$D$1309,MATCH("B07-WT-37-New",'SKU明细'!$A$11:$A$1309,0)),INDEX('SKU明细'!$D$11:$D$1309,MATCH("B07-WT-37.5",'SKU明细'!$A$11:$A$1309,0)),INDEX('SKU明细'!$D$11:$D$1309,MATCH("B07-WT-38-New",'SKU明细'!$A$11:$A$1309,0)),INDEX('SKU明细'!$D$11:$D$1309,MATCH("B07-WT-41-by",'SKU明细'!$A$11:$A$1309,0)),INDEX('SKU明细'!$D$11:$D$1309,MATCH("B07-WT-41.5",'SKU明细'!$A$11:$A$1309,0)),INDEX('SKU明细'!$D$11:$D$1309,MATCH("B07-WT-42-New",'SKU明细'!$A$11:$A$1309,0))))</x:f>
        <x:v>0</x:v>
      </x:c>
      <x:c r="T88" s="38" t="n">
        <x:f>IF(COUNTIFS($A$9:$A$191,A88,$U$9:$U$191,"&lt;&gt;待核")=0,"待核",SUMIF($A$9:$A$191,A88,$S$9:$S$191))</x:f>
        <x:v>364</x:v>
      </x:c>
      <x:c r="U88" s="37" t="str">
        <x:f>IF(COUNT(INDEX('SKU明细'!$D$11:$D$1309,MATCH("B07-WT-37-New",'SKU明细'!$A$11:$A$1309,0)),INDEX('SKU明细'!$D$11:$D$1309,MATCH("B07-WT-37.5",'SKU明细'!$A$11:$A$1309,0)),INDEX('SKU明细'!$D$11:$D$1309,MATCH("B07-WT-38-New",'SKU明细'!$A$11:$A$1309,0)),INDEX('SKU明细'!$D$11:$D$1309,MATCH("B07-WT-41-by",'SKU明细'!$A$11:$A$1309,0)),INDEX('SKU明细'!$D$11:$D$1309,MATCH("B07-WT-41.5",'SKU明细'!$A$11:$A$1309,0)),INDEX('SKU明细'!$D$11:$D$1309,MATCH("B07-WT-42-New",'SKU明细'!$A$11:$A$1309,0)))=0,"待核",IF(COUNT(INDEX('SKU明细'!$D$11:$D$1309,MATCH("B07-WT-37-New",'SKU明细'!$A$11:$A$1309,0)),INDEX('SKU明细'!$D$11:$D$1309,MATCH("B07-WT-37.5",'SKU明细'!$A$11:$A$1309,0)),INDEX('SKU明细'!$D$11:$D$1309,MATCH("B07-WT-38-New",'SKU明细'!$A$11:$A$1309,0)),INDEX('SKU明细'!$D$11:$D$1309,MATCH("B07-WT-41-by",'SKU明细'!$A$11:$A$1309,0)),INDEX('SKU明细'!$D$11:$D$1309,MATCH("B07-WT-41.5",'SKU明细'!$A$11:$A$1309,0)),INDEX('SKU明细'!$D$11:$D$1309,MATCH("B07-WT-42-New",'SKU明细'!$A$11:$A$1309,0)))&lt;6,"另有待核","已核"))</x:f>
        <x:v>已核</x:v>
      </x:c>
      <x:c r="V88" s="37" t="str">
        <x:v>在售、停售</x:v>
      </x:c>
      <x:c r="W88" s="11" t="n">
        <x:f>IF(COUNT(INDEX('SKU明细'!$BV$11:$BV$1309,MATCH("B07-WT-37-New",'SKU明细'!$A$11:$A$1309,0)),INDEX('SKU明细'!$BV$11:$BV$1309,MATCH("B07-WT-37.5",'SKU明细'!$A$11:$A$1309,0)),INDEX('SKU明细'!$BV$11:$BV$1309,MATCH("B07-WT-38-New",'SKU明细'!$A$11:$A$1309,0)),INDEX('SKU明细'!$BV$11:$BV$1309,MATCH("B07-WT-41-by",'SKU明细'!$A$11:$A$1309,0)),INDEX('SKU明细'!$BV$11:$BV$1309,MATCH("B07-WT-41.5",'SKU明细'!$A$11:$A$1309,0)),INDEX('SKU明细'!$BV$11:$BV$1309,MATCH("B07-WT-42-New",'SKU明细'!$A$11:$A$1309,0)))=6,SUM(INDEX('SKU明细'!$BV$11:$BV$1309,MATCH("B07-WT-37-New",'SKU明细'!$A$11:$A$1309,0)),INDEX('SKU明细'!$BV$11:$BV$1309,MATCH("B07-WT-37.5",'SKU明细'!$A$11:$A$1309,0)),INDEX('SKU明细'!$BV$11:$BV$1309,MATCH("B07-WT-38-New",'SKU明细'!$A$11:$A$1309,0)),INDEX('SKU明细'!$BV$11:$BV$1309,MATCH("B07-WT-41-by",'SKU明细'!$A$11:$A$1309,0)),INDEX('SKU明细'!$BV$11:$BV$1309,MATCH("B07-WT-41.5",'SKU明细'!$A$11:$A$1309,0)),INDEX('SKU明细'!$BV$11:$BV$1309,MATCH("B07-WT-42-New",'SKU明细'!$A$11:$A$1309,0))),"待核")</x:f>
        <x:v>0.16263180041702485</x:v>
      </x:c>
      <x:c r="X88" s="11" t="n">
        <x:f>INDEX('SKU明细'!$BW$11:$BW$1309,MATCH("B07-WT-37-New",'SKU明细'!$A$11:$A$1309,0))</x:f>
        <x:v>0.7307750238224848</x:v>
      </x:c>
      <x:c r="Y88" s="13" t="n">
        <x:f>IF(COUNT(INDEX('SKU明细'!$BY$11:$BY$1309,MATCH("B07-WT-37-New",'SKU明细'!$A$11:$A$1309,0)),INDEX('SKU明细'!$BY$11:$BY$1309,MATCH("B07-WT-37.5",'SKU明细'!$A$11:$A$1309,0)),INDEX('SKU明细'!$BY$11:$BY$1309,MATCH("B07-WT-38-New",'SKU明细'!$A$11:$A$1309,0)),INDEX('SKU明细'!$BY$11:$BY$1309,MATCH("B07-WT-41-by",'SKU明细'!$A$11:$A$1309,0)),INDEX('SKU明细'!$BY$11:$BY$1309,MATCH("B07-WT-41.5",'SKU明细'!$A$11:$A$1309,0)),INDEX('SKU明细'!$BY$11:$BY$1309,MATCH("B07-WT-42-New",'SKU明细'!$A$11:$A$1309,0)))=6,SUM(INDEX('SKU明细'!$BY$11:$BY$1309,MATCH("B07-WT-37-New",'SKU明细'!$A$11:$A$1309,0)),INDEX('SKU明细'!$BY$11:$BY$1309,MATCH("B07-WT-37.5",'SKU明细'!$A$11:$A$1309,0)),INDEX('SKU明细'!$BY$11:$BY$1309,MATCH("B07-WT-38-New",'SKU明细'!$A$11:$A$1309,0)),INDEX('SKU明细'!$BY$11:$BY$1309,MATCH("B07-WT-41-by",'SKU明细'!$A$11:$A$1309,0)),INDEX('SKU明细'!$BY$11:$BY$1309,MATCH("B07-WT-41.5",'SKU明细'!$A$11:$A$1309,0)),INDEX('SKU明细'!$BY$11:$BY$1309,MATCH("B07-WT-42-New",'SKU明细'!$A$11:$A$1309,0))),"待核")</x:f>
        <x:v>1.4261670938885391</x:v>
      </x:c>
      <x:c r="Z88" s="11" t="n">
        <x:f>INDEX('SKU明细'!$BZ$11:$BZ$1309,MATCH("B07-WT-37-New",'SKU明细'!$A$11:$A$1309,0))</x:f>
        <x:v>0.9523018155490097</x:v>
      </x:c>
      <x:c r="AA88" s="13" t="n">
        <x:f>IF(COUNT(INDEX('SKU明细'!$CB$11:$CB$1309,MATCH("B07-WT-37-New",'SKU明细'!$A$11:$A$1309,0)),INDEX('SKU明细'!$CB$11:$CB$1309,MATCH("B07-WT-37.5",'SKU明细'!$A$11:$A$1309,0)),INDEX('SKU明细'!$CB$11:$CB$1309,MATCH("B07-WT-38-New",'SKU明细'!$A$11:$A$1309,0)),INDEX('SKU明细'!$CB$11:$CB$1309,MATCH("B07-WT-41-by",'SKU明细'!$A$11:$A$1309,0)),INDEX('SKU明细'!$CB$11:$CB$1309,MATCH("B07-WT-41.5",'SKU明细'!$A$11:$A$1309,0)),INDEX('SKU明细'!$CB$11:$CB$1309,MATCH("B07-WT-42-New",'SKU明细'!$A$11:$A$1309,0)))=6,SUM(INDEX('SKU明细'!$CB$11:$CB$1309,MATCH("B07-WT-37-New",'SKU明细'!$A$11:$A$1309,0)),INDEX('SKU明细'!$CB$11:$CB$1309,MATCH("B07-WT-37.5",'SKU明细'!$A$11:$A$1309,0)),INDEX('SKU明细'!$CB$11:$CB$1309,MATCH("B07-WT-38-New",'SKU明细'!$A$11:$A$1309,0)),INDEX('SKU明细'!$CB$11:$CB$1309,MATCH("B07-WT-41-by",'SKU明细'!$A$11:$A$1309,0)),INDEX('SKU明细'!$CB$11:$CB$1309,MATCH("B07-WT-41.5",'SKU明细'!$A$11:$A$1309,0)),INDEX('SKU明细'!$CB$11:$CB$1309,MATCH("B07-WT-42-New",'SKU明细'!$A$11:$A$1309,0))),"待核")</x:f>
        <x:v>4.646236764094109</x:v>
      </x:c>
      <x:c r="AB88" s="11" t="n">
        <x:f>INDEX('SKU明细'!$CC$11:$CC$1309,MATCH("B07-WT-37-New",'SKU明细'!$A$11:$A$1309,0))</x:f>
        <x:v>0.5958545198749097</x:v>
      </x:c>
      <x:c r="AC88" s="13" t="n">
        <x:f>IF(COUNT(INDEX('SKU明细'!$CE$11:$CE$1309,MATCH("B07-WT-37-New",'SKU明细'!$A$11:$A$1309,0)),INDEX('SKU明细'!$CE$11:$CE$1309,MATCH("B07-WT-37.5",'SKU明细'!$A$11:$A$1309,0)),INDEX('SKU明细'!$CE$11:$CE$1309,MATCH("B07-WT-38-New",'SKU明细'!$A$11:$A$1309,0)),INDEX('SKU明细'!$CE$11:$CE$1309,MATCH("B07-WT-41-by",'SKU明细'!$A$11:$A$1309,0)),INDEX('SKU明细'!$CE$11:$CE$1309,MATCH("B07-WT-41.5",'SKU明细'!$A$11:$A$1309,0)),INDEX('SKU明细'!$CE$11:$CE$1309,MATCH("B07-WT-42-New",'SKU明细'!$A$11:$A$1309,0)))=6,SUM(INDEX('SKU明细'!$CE$11:$CE$1309,MATCH("B07-WT-37-New",'SKU明细'!$A$11:$A$1309,0)),INDEX('SKU明细'!$CE$11:$CE$1309,MATCH("B07-WT-37.5",'SKU明细'!$A$11:$A$1309,0)),INDEX('SKU明细'!$CE$11:$CE$1309,MATCH("B07-WT-38-New",'SKU明细'!$A$11:$A$1309,0)),INDEX('SKU明细'!$CE$11:$CE$1309,MATCH("B07-WT-41-by",'SKU明细'!$A$11:$A$1309,0)),INDEX('SKU明细'!$CE$11:$CE$1309,MATCH("B07-WT-41.5",'SKU明细'!$A$11:$A$1309,0)),INDEX('SKU明细'!$CE$11:$CE$1309,MATCH("B07-WT-42-New",'SKU明细'!$A$11:$A$1309,0))),"待核")</x:f>
        <x:v>3.004051693970233</x:v>
      </x:c>
      <x:c r="AD88" s="11" t="n">
        <x:f>INDEX('SKU明细'!$CF$11:$CF$1309,MATCH("B07-WT-37-New",'SKU明细'!$A$11:$A$1309,0))</x:f>
        <x:v>1.3264167397065354</x:v>
      </x:c>
      <x:c r="AE88" s="13" t="n">
        <x:f>IF(COUNT(INDEX('SKU明细'!$CH$11:$CH$1309,MATCH("B07-WT-37-New",'SKU明细'!$A$11:$A$1309,0)),INDEX('SKU明细'!$CH$11:$CH$1309,MATCH("B07-WT-37.5",'SKU明细'!$A$11:$A$1309,0)),INDEX('SKU明细'!$CH$11:$CH$1309,MATCH("B07-WT-38-New",'SKU明细'!$A$11:$A$1309,0)),INDEX('SKU明细'!$CH$11:$CH$1309,MATCH("B07-WT-41-by",'SKU明细'!$A$11:$A$1309,0)),INDEX('SKU明细'!$CH$11:$CH$1309,MATCH("B07-WT-41.5",'SKU明细'!$A$11:$A$1309,0)),INDEX('SKU明细'!$CH$11:$CH$1309,MATCH("B07-WT-42-New",'SKU明细'!$A$11:$A$1309,0)))=6,SUM(INDEX('SKU明细'!$CH$11:$CH$1309,MATCH("B07-WT-37-New",'SKU明细'!$A$11:$A$1309,0)),INDEX('SKU明细'!$CH$11:$CH$1309,MATCH("B07-WT-37.5",'SKU明细'!$A$11:$A$1309,0)),INDEX('SKU明细'!$CH$11:$CH$1309,MATCH("B07-WT-38-New",'SKU明细'!$A$11:$A$1309,0)),INDEX('SKU明细'!$CH$11:$CH$1309,MATCH("B07-WT-41-by",'SKU明细'!$A$11:$A$1309,0)),INDEX('SKU明细'!$CH$11:$CH$1309,MATCH("B07-WT-41.5",'SKU明细'!$A$11:$A$1309,0)),INDEX('SKU明细'!$CH$11:$CH$1309,MATCH("B07-WT-42-New",'SKU明细'!$A$11:$A$1309,0))),"待核")</x:f>
        <x:v>3.667198222189819</x:v>
      </x:c>
      <x:c r="AF88" s="13" t="n">
        <x:f>IF(COUNT(INDEX('SKU明细'!$CI$11:$CI$1309,MATCH("B07-WT-37-New",'SKU明细'!$A$11:$A$1309,0)),INDEX('SKU明细'!$CI$11:$CI$1309,MATCH("B07-WT-37.5",'SKU明细'!$A$11:$A$1309,0)),INDEX('SKU明细'!$CI$11:$CI$1309,MATCH("B07-WT-38-New",'SKU明细'!$A$11:$A$1309,0)),INDEX('SKU明细'!$CI$11:$CI$1309,MATCH("B07-WT-41-by",'SKU明细'!$A$11:$A$1309,0)),INDEX('SKU明细'!$CI$11:$CI$1309,MATCH("B07-WT-41.5",'SKU明细'!$A$11:$A$1309,0)),INDEX('SKU明细'!$CI$11:$CI$1309,MATCH("B07-WT-42-New",'SKU明细'!$A$11:$A$1309,0)))=6,SUM(INDEX('SKU明细'!$CI$11:$CI$1309,MATCH("B07-WT-37-New",'SKU明细'!$A$11:$A$1309,0)),INDEX('SKU明细'!$CI$11:$CI$1309,MATCH("B07-WT-37.5",'SKU明细'!$A$11:$A$1309,0)),INDEX('SKU明细'!$CI$11:$CI$1309,MATCH("B07-WT-38-New",'SKU明细'!$A$11:$A$1309,0)),INDEX('SKU明细'!$CI$11:$CI$1309,MATCH("B07-WT-41-by",'SKU明细'!$A$11:$A$1309,0)),INDEX('SKU明细'!$CI$11:$CI$1309,MATCH("B07-WT-41.5",'SKU明细'!$A$11:$A$1309,0)),INDEX('SKU明细'!$CI$11:$CI$1309,MATCH("B07-WT-42-New",'SKU明细'!$A$11:$A$1309,0))),"待核")</x:f>
        <x:v>12.7436537741427</x:v>
      </x:c>
    </x:row>
    <x:row r="89" ht="40" customHeight="1">
      <x:c r="A89" s="35" t="str">
        <x:v>S02a</x:v>
      </x:c>
      <x:c r="B89" s="35" t="str">
        <x:v>陈晨</x:v>
      </x:c>
      <x:c r="C89" s="35" t="str">
        <x:v>黑色</x:v>
      </x:c>
      <x:c r="D89" s="35" t="str">
        <x:v>BK</x:v>
      </x:c>
      <x:c r="E89" s="35" t="str">
        <x:v>S02a-BK</x:v>
      </x:c>
      <x:c r="F89" s="35"/>
      <x:c r="G89" s="36" t="str">
        <x:f>"—"</x:f>
        <x:v>—</x:v>
      </x:c>
      <x:c r="H89" s="36" t="n">
        <x:f>IF(COUNT(INDEX('SKU明细'!$D$11:$D$1309,MATCH("S02a-BK-37",'SKU明细'!$A$11:$A$1309,0)))=0,"待核",IF(COUNT(INDEX('SKU明细'!$D$11:$D$1309,MATCH("S02a-BK-37",'SKU明细'!$A$11:$A$1309,0)))&lt;1,SUM(INDEX('SKU明细'!$D$11:$D$1309,MATCH("S02a-BK-37",'SKU明细'!$A$11:$A$1309,0)))&amp;" + 待核",SUM(INDEX('SKU明细'!$D$11:$D$1309,MATCH("S02a-BK-37",'SKU明细'!$A$11:$A$1309,0)))))</x:f>
        <x:v>0</x:v>
      </x:c>
      <x:c r="I89" s="36" t="str">
        <x:f>"—"</x:f>
        <x:v>—</x:v>
      </x:c>
      <x:c r="J89" s="36" t="n">
        <x:f>IF(COUNT(INDEX('SKU明细'!$D$11:$D$1309,MATCH("S02a-BK-38",'SKU明细'!$A$11:$A$1309,0)))=0,"待核",IF(COUNT(INDEX('SKU明细'!$D$11:$D$1309,MATCH("S02a-BK-38",'SKU明细'!$A$11:$A$1309,0)))&lt;1,SUM(INDEX('SKU明细'!$D$11:$D$1309,MATCH("S02a-BK-38",'SKU明细'!$A$11:$A$1309,0)))&amp;" + 待核",SUM(INDEX('SKU明细'!$D$11:$D$1309,MATCH("S02a-BK-38",'SKU明细'!$A$11:$A$1309,0)))))</x:f>
        <x:v>0</x:v>
      </x:c>
      <x:c r="K89" s="36" t="str">
        <x:f>"—"</x:f>
        <x:v>—</x:v>
      </x:c>
      <x:c r="L89" s="36" t="n">
        <x:f>IF(COUNT(INDEX('SKU明细'!$D$11:$D$1309,MATCH("S02a-BK-39",'SKU明细'!$A$11:$A$1309,0)))=0,"待核",IF(COUNT(INDEX('SKU明细'!$D$11:$D$1309,MATCH("S02a-BK-39",'SKU明细'!$A$11:$A$1309,0)))&lt;1,SUM(INDEX('SKU明细'!$D$11:$D$1309,MATCH("S02a-BK-39",'SKU明细'!$A$11:$A$1309,0)))&amp;" + 待核",SUM(INDEX('SKU明细'!$D$11:$D$1309,MATCH("S02a-BK-39",'SKU明细'!$A$11:$A$1309,0)))))</x:f>
        <x:v>0</x:v>
      </x:c>
      <x:c r="M89" s="36" t="str">
        <x:f>"—"</x:f>
        <x:v>—</x:v>
      </x:c>
      <x:c r="N89" s="36" t="n">
        <x:f>IF(COUNT(INDEX('SKU明细'!$D$11:$D$1309,MATCH("S02a-BK-40",'SKU明细'!$A$11:$A$1309,0)))=0,"待核",IF(COUNT(INDEX('SKU明细'!$D$11:$D$1309,MATCH("S02a-BK-40",'SKU明细'!$A$11:$A$1309,0)))&lt;1,SUM(INDEX('SKU明细'!$D$11:$D$1309,MATCH("S02a-BK-40",'SKU明细'!$A$11:$A$1309,0)))&amp;" + 待核",SUM(INDEX('SKU明细'!$D$11:$D$1309,MATCH("S02a-BK-40",'SKU明细'!$A$11:$A$1309,0)))))</x:f>
        <x:v>0</x:v>
      </x:c>
      <x:c r="O89" s="36" t="str">
        <x:f>"—"</x:f>
        <x:v>—</x:v>
      </x:c>
      <x:c r="P89" s="36" t="n">
        <x:f>IF(COUNT(INDEX('SKU明细'!$D$11:$D$1309,MATCH("S02a-BK-41",'SKU明细'!$A$11:$A$1309,0)))=0,"待核",IF(COUNT(INDEX('SKU明细'!$D$11:$D$1309,MATCH("S02a-BK-41",'SKU明细'!$A$11:$A$1309,0)))&lt;1,SUM(INDEX('SKU明细'!$D$11:$D$1309,MATCH("S02a-BK-41",'SKU明细'!$A$11:$A$1309,0)))&amp;" + 待核",SUM(INDEX('SKU明细'!$D$11:$D$1309,MATCH("S02a-BK-41",'SKU明细'!$A$11:$A$1309,0)))))</x:f>
        <x:v>0</x:v>
      </x:c>
      <x:c r="Q89" s="36" t="str">
        <x:f>"—"</x:f>
        <x:v>—</x:v>
      </x:c>
      <x:c r="R89" s="36" t="n">
        <x:f>IF(COUNT(INDEX('SKU明细'!$D$11:$D$1309,MATCH("S02a-BK-42",'SKU明细'!$A$11:$A$1309,0)))=0,"待核",IF(COUNT(INDEX('SKU明细'!$D$11:$D$1309,MATCH("S02a-BK-42",'SKU明细'!$A$11:$A$1309,0)))&lt;1,SUM(INDEX('SKU明细'!$D$11:$D$1309,MATCH("S02a-BK-42",'SKU明细'!$A$11:$A$1309,0)))&amp;" + 待核",SUM(INDEX('SKU明细'!$D$11:$D$1309,MATCH("S02a-BK-42",'SKU明细'!$A$11:$A$1309,0)))))</x:f>
        <x:v>1</x:v>
      </x:c>
      <x:c r="S89" s="36" t="n">
        <x:f>IF(COUNT(INDEX('SKU明细'!$D$11:$D$1309,MATCH("S02a-BK-37",'SKU明细'!$A$11:$A$1309,0)),INDEX('SKU明细'!$D$11:$D$1309,MATCH("S02a-BK-38",'SKU明细'!$A$11:$A$1309,0)),INDEX('SKU明细'!$D$11:$D$1309,MATCH("S02a-BK-39",'SKU明细'!$A$11:$A$1309,0)),INDEX('SKU明细'!$D$11:$D$1309,MATCH("S02a-BK-40",'SKU明细'!$A$11:$A$1309,0)),INDEX('SKU明细'!$D$11:$D$1309,MATCH("S02a-BK-41",'SKU明细'!$A$11:$A$1309,0)),INDEX('SKU明细'!$D$11:$D$1309,MATCH("S02a-BK-42",'SKU明细'!$A$11:$A$1309,0)))=0,"待核",SUM(INDEX('SKU明细'!$D$11:$D$1309,MATCH("S02a-BK-37",'SKU明细'!$A$11:$A$1309,0)),INDEX('SKU明细'!$D$11:$D$1309,MATCH("S02a-BK-38",'SKU明细'!$A$11:$A$1309,0)),INDEX('SKU明细'!$D$11:$D$1309,MATCH("S02a-BK-39",'SKU明细'!$A$11:$A$1309,0)),INDEX('SKU明细'!$D$11:$D$1309,MATCH("S02a-BK-40",'SKU明细'!$A$11:$A$1309,0)),INDEX('SKU明细'!$D$11:$D$1309,MATCH("S02a-BK-41",'SKU明细'!$A$11:$A$1309,0)),INDEX('SKU明细'!$D$11:$D$1309,MATCH("S02a-BK-42",'SKU明细'!$A$11:$A$1309,0))))</x:f>
        <x:v>1</x:v>
      </x:c>
      <x:c r="T89" s="36" t="n">
        <x:f>IF(COUNTIFS($A$9:$A$191,A89,$U$9:$U$191,"&lt;&gt;待核")=0,"待核",SUMIF($A$9:$A$191,A89,$S$9:$S$191))</x:f>
        <x:v>208</x:v>
      </x:c>
      <x:c r="U89" s="35" t="str">
        <x:f>IF(COUNT(INDEX('SKU明细'!$D$11:$D$1309,MATCH("S02a-BK-37",'SKU明细'!$A$11:$A$1309,0)),INDEX('SKU明细'!$D$11:$D$1309,MATCH("S02a-BK-38",'SKU明细'!$A$11:$A$1309,0)),INDEX('SKU明细'!$D$11:$D$1309,MATCH("S02a-BK-39",'SKU明细'!$A$11:$A$1309,0)),INDEX('SKU明细'!$D$11:$D$1309,MATCH("S02a-BK-40",'SKU明细'!$A$11:$A$1309,0)),INDEX('SKU明细'!$D$11:$D$1309,MATCH("S02a-BK-41",'SKU明细'!$A$11:$A$1309,0)),INDEX('SKU明细'!$D$11:$D$1309,MATCH("S02a-BK-42",'SKU明细'!$A$11:$A$1309,0)))=0,"待核",IF(COUNT(INDEX('SKU明细'!$D$11:$D$1309,MATCH("S02a-BK-37",'SKU明细'!$A$11:$A$1309,0)),INDEX('SKU明细'!$D$11:$D$1309,MATCH("S02a-BK-38",'SKU明细'!$A$11:$A$1309,0)),INDEX('SKU明细'!$D$11:$D$1309,MATCH("S02a-BK-39",'SKU明细'!$A$11:$A$1309,0)),INDEX('SKU明细'!$D$11:$D$1309,MATCH("S02a-BK-40",'SKU明细'!$A$11:$A$1309,0)),INDEX('SKU明细'!$D$11:$D$1309,MATCH("S02a-BK-41",'SKU明细'!$A$11:$A$1309,0)),INDEX('SKU明细'!$D$11:$D$1309,MATCH("S02a-BK-42",'SKU明细'!$A$11:$A$1309,0)))&lt;6,"另有待核","已核"))</x:f>
        <x:v>已核</x:v>
      </x:c>
      <x:c r="V89" s="35" t="str">
        <x:v>在售、停售</x:v>
      </x:c>
      <x:c r="W89" s="11" t="n">
        <x:f>IF(COUNT(INDEX('SKU明细'!$BV$11:$BV$1309,MATCH("S02a-BK-37",'SKU明细'!$A$11:$A$1309,0)),INDEX('SKU明细'!$BV$11:$BV$1309,MATCH("S02a-BK-38",'SKU明细'!$A$11:$A$1309,0)),INDEX('SKU明细'!$BV$11:$BV$1309,MATCH("S02a-BK-39",'SKU明细'!$A$11:$A$1309,0)),INDEX('SKU明细'!$BV$11:$BV$1309,MATCH("S02a-BK-40",'SKU明细'!$A$11:$A$1309,0)),INDEX('SKU明细'!$BV$11:$BV$1309,MATCH("S02a-BK-41",'SKU明细'!$A$11:$A$1309,0)),INDEX('SKU明细'!$BV$11:$BV$1309,MATCH("S02a-BK-42",'SKU明细'!$A$11:$A$1309,0)))=6,SUM(INDEX('SKU明细'!$BV$11:$BV$1309,MATCH("S02a-BK-37",'SKU明细'!$A$11:$A$1309,0)),INDEX('SKU明细'!$BV$11:$BV$1309,MATCH("S02a-BK-38",'SKU明细'!$A$11:$A$1309,0)),INDEX('SKU明细'!$BV$11:$BV$1309,MATCH("S02a-BK-39",'SKU明细'!$A$11:$A$1309,0)),INDEX('SKU明细'!$BV$11:$BV$1309,MATCH("S02a-BK-40",'SKU明细'!$A$11:$A$1309,0)),INDEX('SKU明细'!$BV$11:$BV$1309,MATCH("S02a-BK-41",'SKU明细'!$A$11:$A$1309,0)),INDEX('SKU明细'!$BV$11:$BV$1309,MATCH("S02a-BK-42",'SKU明细'!$A$11:$A$1309,0))),"待核")</x:f>
        <x:v>1.4980215497356335</x:v>
      </x:c>
      <x:c r="X89" s="11" t="n">
        <x:f>INDEX('SKU明细'!$BW$11:$BW$1309,MATCH("S02a-BK-37",'SKU明细'!$A$11:$A$1309,0))</x:f>
        <x:v>0.7647664488148722</x:v>
      </x:c>
      <x:c r="Y89" s="13" t="n">
        <x:f>IF(COUNT(INDEX('SKU明细'!$BY$11:$BY$1309,MATCH("S02a-BK-37",'SKU明细'!$A$11:$A$1309,0)),INDEX('SKU明细'!$BY$11:$BY$1309,MATCH("S02a-BK-38",'SKU明细'!$A$11:$A$1309,0)),INDEX('SKU明细'!$BY$11:$BY$1309,MATCH("S02a-BK-39",'SKU明细'!$A$11:$A$1309,0)),INDEX('SKU明细'!$BY$11:$BY$1309,MATCH("S02a-BK-40",'SKU明细'!$A$11:$A$1309,0)),INDEX('SKU明细'!$BY$11:$BY$1309,MATCH("S02a-BK-41",'SKU明细'!$A$11:$A$1309,0)),INDEX('SKU明细'!$BY$11:$BY$1309,MATCH("S02a-BK-42",'SKU明细'!$A$11:$A$1309,0)))=6,SUM(INDEX('SKU明细'!$BY$11:$BY$1309,MATCH("S02a-BK-37",'SKU明细'!$A$11:$A$1309,0)),INDEX('SKU明细'!$BY$11:$BY$1309,MATCH("S02a-BK-38",'SKU明细'!$A$11:$A$1309,0)),INDEX('SKU明细'!$BY$11:$BY$1309,MATCH("S02a-BK-39",'SKU明细'!$A$11:$A$1309,0)),INDEX('SKU明细'!$BY$11:$BY$1309,MATCH("S02a-BK-40",'SKU明细'!$A$11:$A$1309,0)),INDEX('SKU明细'!$BY$11:$BY$1309,MATCH("S02a-BK-41",'SKU明细'!$A$11:$A$1309,0)),INDEX('SKU明细'!$BY$11:$BY$1309,MATCH("S02a-BK-42",'SKU明细'!$A$11:$A$1309,0))),"待核")</x:f>
        <x:v>13.747639450073663</x:v>
      </x:c>
      <x:c r="Z89" s="11" t="n">
        <x:f>INDEX('SKU明细'!$BZ$11:$BZ$1309,MATCH("S02a-BK-37",'SKU明细'!$A$11:$A$1309,0))</x:f>
        <x:v>1.5248287781391903</x:v>
      </x:c>
      <x:c r="AA89" s="13" t="n">
        <x:f>IF(COUNT(INDEX('SKU明细'!$CB$11:$CB$1309,MATCH("S02a-BK-37",'SKU明细'!$A$11:$A$1309,0)),INDEX('SKU明细'!$CB$11:$CB$1309,MATCH("S02a-BK-38",'SKU明细'!$A$11:$A$1309,0)),INDEX('SKU明细'!$CB$11:$CB$1309,MATCH("S02a-BK-39",'SKU明细'!$A$11:$A$1309,0)),INDEX('SKU明细'!$CB$11:$CB$1309,MATCH("S02a-BK-40",'SKU明细'!$A$11:$A$1309,0)),INDEX('SKU明细'!$CB$11:$CB$1309,MATCH("S02a-BK-41",'SKU明细'!$A$11:$A$1309,0)),INDEX('SKU明细'!$CB$11:$CB$1309,MATCH("S02a-BK-42",'SKU明细'!$A$11:$A$1309,0)))=6,SUM(INDEX('SKU明细'!$CB$11:$CB$1309,MATCH("S02a-BK-37",'SKU明细'!$A$11:$A$1309,0)),INDEX('SKU明细'!$CB$11:$CB$1309,MATCH("S02a-BK-38",'SKU明细'!$A$11:$A$1309,0)),INDEX('SKU明细'!$CB$11:$CB$1309,MATCH("S02a-BK-39",'SKU明细'!$A$11:$A$1309,0)),INDEX('SKU明细'!$CB$11:$CB$1309,MATCH("S02a-BK-40",'SKU明细'!$A$11:$A$1309,0)),INDEX('SKU明细'!$CB$11:$CB$1309,MATCH("S02a-BK-41",'SKU明细'!$A$11:$A$1309,0)),INDEX('SKU明细'!$CB$11:$CB$1309,MATCH("S02a-BK-42",'SKU明细'!$A$11:$A$1309,0))),"待核")</x:f>
        <x:v>68.52679107928687</x:v>
      </x:c>
      <x:c r="AB89" s="11" t="n">
        <x:f>INDEX('SKU明细'!$CC$11:$CC$1309,MATCH("S02a-BK-37",'SKU明细'!$A$11:$A$1309,0))</x:f>
        <x:v>1.2288250057360348</x:v>
      </x:c>
      <x:c r="AC89" s="13" t="n">
        <x:f>IF(COUNT(INDEX('SKU明细'!$CE$11:$CE$1309,MATCH("S02a-BK-37",'SKU明细'!$A$11:$A$1309,0)),INDEX('SKU明细'!$CE$11:$CE$1309,MATCH("S02a-BK-38",'SKU明细'!$A$11:$A$1309,0)),INDEX('SKU明细'!$CE$11:$CE$1309,MATCH("S02a-BK-39",'SKU明细'!$A$11:$A$1309,0)),INDEX('SKU明细'!$CE$11:$CE$1309,MATCH("S02a-BK-40",'SKU明细'!$A$11:$A$1309,0)),INDEX('SKU明细'!$CE$11:$CE$1309,MATCH("S02a-BK-41",'SKU明细'!$A$11:$A$1309,0)),INDEX('SKU明细'!$CE$11:$CE$1309,MATCH("S02a-BK-42",'SKU明细'!$A$11:$A$1309,0)))=6,SUM(INDEX('SKU明细'!$CE$11:$CE$1309,MATCH("S02a-BK-37",'SKU明细'!$A$11:$A$1309,0)),INDEX('SKU明细'!$CE$11:$CE$1309,MATCH("S02a-BK-38",'SKU明细'!$A$11:$A$1309,0)),INDEX('SKU明细'!$CE$11:$CE$1309,MATCH("S02a-BK-39",'SKU明细'!$A$11:$A$1309,0)),INDEX('SKU明细'!$CE$11:$CE$1309,MATCH("S02a-BK-40",'SKU明细'!$A$11:$A$1309,0)),INDEX('SKU明细'!$CE$11:$CE$1309,MATCH("S02a-BK-41",'SKU明细'!$A$11:$A$1309,0)),INDEX('SKU明细'!$CE$11:$CE$1309,MATCH("S02a-BK-42",'SKU明细'!$A$11:$A$1309,0))),"待核")</x:f>
        <x:v>57.0649965228444</x:v>
      </x:c>
      <x:c r="AD89" s="11" t="n">
        <x:f>INDEX('SKU明细'!$CF$11:$CF$1309,MATCH("S02a-BK-37",'SKU明细'!$A$11:$A$1309,0))</x:f>
        <x:v>1.2825767786356366</x:v>
      </x:c>
      <x:c r="AE89" s="13" t="n">
        <x:f>IF(COUNT(INDEX('SKU明细'!$CH$11:$CH$1309,MATCH("S02a-BK-37",'SKU明细'!$A$11:$A$1309,0)),INDEX('SKU明细'!$CH$11:$CH$1309,MATCH("S02a-BK-38",'SKU明细'!$A$11:$A$1309,0)),INDEX('SKU明细'!$CH$11:$CH$1309,MATCH("S02a-BK-39",'SKU明细'!$A$11:$A$1309,0)),INDEX('SKU明细'!$CH$11:$CH$1309,MATCH("S02a-BK-40",'SKU明细'!$A$11:$A$1309,0)),INDEX('SKU明细'!$CH$11:$CH$1309,MATCH("S02a-BK-41",'SKU明细'!$A$11:$A$1309,0)),INDEX('SKU明细'!$CH$11:$CH$1309,MATCH("S02a-BK-42",'SKU明细'!$A$11:$A$1309,0)))=6,SUM(INDEX('SKU明细'!$CH$11:$CH$1309,MATCH("S02a-BK-37",'SKU明细'!$A$11:$A$1309,0)),INDEX('SKU明细'!$CH$11:$CH$1309,MATCH("S02a-BK-38",'SKU明细'!$A$11:$A$1309,0)),INDEX('SKU明细'!$CH$11:$CH$1309,MATCH("S02a-BK-39",'SKU明细'!$A$11:$A$1309,0)),INDEX('SKU明细'!$CH$11:$CH$1309,MATCH("S02a-BK-40",'SKU明细'!$A$11:$A$1309,0)),INDEX('SKU明细'!$CH$11:$CH$1309,MATCH("S02a-BK-41",'SKU明细'!$A$11:$A$1309,0)),INDEX('SKU明细'!$CH$11:$CH$1309,MATCH("S02a-BK-42",'SKU明细'!$A$11:$A$1309,0))),"待核")</x:f>
        <x:v>32.66257011097378</x:v>
      </x:c>
      <x:c r="AF89" s="13" t="n">
        <x:f>IF(COUNT(INDEX('SKU明细'!$CI$11:$CI$1309,MATCH("S02a-BK-37",'SKU明细'!$A$11:$A$1309,0)),INDEX('SKU明细'!$CI$11:$CI$1309,MATCH("S02a-BK-38",'SKU明细'!$A$11:$A$1309,0)),INDEX('SKU明细'!$CI$11:$CI$1309,MATCH("S02a-BK-39",'SKU明细'!$A$11:$A$1309,0)),INDEX('SKU明细'!$CI$11:$CI$1309,MATCH("S02a-BK-40",'SKU明细'!$A$11:$A$1309,0)),INDEX('SKU明细'!$CI$11:$CI$1309,MATCH("S02a-BK-41",'SKU明细'!$A$11:$A$1309,0)),INDEX('SKU明细'!$CI$11:$CI$1309,MATCH("S02a-BK-42",'SKU明细'!$A$11:$A$1309,0)))=6,SUM(INDEX('SKU明细'!$CI$11:$CI$1309,MATCH("S02a-BK-37",'SKU明细'!$A$11:$A$1309,0)),INDEX('SKU明细'!$CI$11:$CI$1309,MATCH("S02a-BK-38",'SKU明细'!$A$11:$A$1309,0)),INDEX('SKU明细'!$CI$11:$CI$1309,MATCH("S02a-BK-39",'SKU明细'!$A$11:$A$1309,0)),INDEX('SKU明细'!$CI$11:$CI$1309,MATCH("S02a-BK-40",'SKU明细'!$A$11:$A$1309,0)),INDEX('SKU明细'!$CI$11:$CI$1309,MATCH("S02a-BK-41",'SKU明细'!$A$11:$A$1309,0)),INDEX('SKU明细'!$CI$11:$CI$1309,MATCH("S02a-BK-42",'SKU明细'!$A$11:$A$1309,0))),"待核")</x:f>
        <x:v>172.00199716317874</x:v>
      </x:c>
    </x:row>
    <x:row r="90" ht="40" customHeight="1">
      <x:c r="A90" s="35" t="str">
        <x:v>S02a</x:v>
      </x:c>
      <x:c r="B90" s="35" t="str">
        <x:v>陈晨</x:v>
      </x:c>
      <x:c r="C90" s="35" t="str">
        <x:v>黑色</x:v>
      </x:c>
      <x:c r="D90" s="35" t="str">
        <x:v>BK1</x:v>
      </x:c>
      <x:c r="E90" s="35" t="str">
        <x:v>S02a-BK1</x:v>
      </x:c>
      <x:c r="F90" s="35"/>
      <x:c r="G90" s="36" t="str">
        <x:f>"—"</x:f>
        <x:v>—</x:v>
      </x:c>
      <x:c r="H90" s="36" t="str">
        <x:f>"—"</x:f>
        <x:v>—</x:v>
      </x:c>
      <x:c r="I90" s="36" t="n">
        <x:f>IF(COUNT(INDEX('SKU明细'!$D$11:$D$1309,MATCH("S02a-BK1-37",'SKU明细'!$A$11:$A$1309,0)))=0,"待核",IF(COUNT(INDEX('SKU明细'!$D$11:$D$1309,MATCH("S02a-BK1-37",'SKU明细'!$A$11:$A$1309,0)))&lt;1,SUM(INDEX('SKU明细'!$D$11:$D$1309,MATCH("S02a-BK1-37",'SKU明细'!$A$11:$A$1309,0)))&amp;" + 待核",SUM(INDEX('SKU明细'!$D$11:$D$1309,MATCH("S02a-BK1-37",'SKU明细'!$A$11:$A$1309,0)))))</x:f>
        <x:v>0</x:v>
      </x:c>
      <x:c r="J90" s="36" t="str">
        <x:f>"—"</x:f>
        <x:v>—</x:v>
      </x:c>
      <x:c r="K90" s="36" t="n">
        <x:f>IF(COUNT(INDEX('SKU明细'!$D$11:$D$1309,MATCH("S02a-BK1-38",'SKU明细'!$A$11:$A$1309,0)))=0,"待核",IF(COUNT(INDEX('SKU明细'!$D$11:$D$1309,MATCH("S02a-BK1-38",'SKU明细'!$A$11:$A$1309,0)))&lt;1,SUM(INDEX('SKU明细'!$D$11:$D$1309,MATCH("S02a-BK1-38",'SKU明细'!$A$11:$A$1309,0)))&amp;" + 待核",SUM(INDEX('SKU明细'!$D$11:$D$1309,MATCH("S02a-BK1-38",'SKU明细'!$A$11:$A$1309,0)))))</x:f>
        <x:v>17</x:v>
      </x:c>
      <x:c r="L90" s="36" t="str">
        <x:f>"—"</x:f>
        <x:v>—</x:v>
      </x:c>
      <x:c r="M90" s="36" t="str">
        <x:f>"—"</x:f>
        <x:v>—</x:v>
      </x:c>
      <x:c r="N90" s="36" t="str">
        <x:f>"—"</x:f>
        <x:v>—</x:v>
      </x:c>
      <x:c r="O90" s="36" t="str">
        <x:f>"—"</x:f>
        <x:v>—</x:v>
      </x:c>
      <x:c r="P90" s="36" t="str">
        <x:f>"—"</x:f>
        <x:v>—</x:v>
      </x:c>
      <x:c r="Q90" s="36" t="str">
        <x:f>"—"</x:f>
        <x:v>—</x:v>
      </x:c>
      <x:c r="R90" s="36" t="str">
        <x:f>"—"</x:f>
        <x:v>—</x:v>
      </x:c>
      <x:c r="S90" s="36" t="n">
        <x:f>IF(COUNT(INDEX('SKU明细'!$D$11:$D$1309,MATCH("S02a-BK1-37",'SKU明细'!$A$11:$A$1309,0)),INDEX('SKU明细'!$D$11:$D$1309,MATCH("S02a-BK1-38",'SKU明细'!$A$11:$A$1309,0)))=0,"待核",SUM(INDEX('SKU明细'!$D$11:$D$1309,MATCH("S02a-BK1-37",'SKU明细'!$A$11:$A$1309,0)),INDEX('SKU明细'!$D$11:$D$1309,MATCH("S02a-BK1-38",'SKU明细'!$A$11:$A$1309,0))))</x:f>
        <x:v>17</x:v>
      </x:c>
      <x:c r="T90" s="36" t="n">
        <x:f>IF(COUNTIFS($A$9:$A$191,A90,$U$9:$U$191,"&lt;&gt;待核")=0,"待核",SUMIF($A$9:$A$191,A90,$S$9:$S$191))</x:f>
        <x:v>208</x:v>
      </x:c>
      <x:c r="U90" s="35" t="str">
        <x:f>IF(COUNT(INDEX('SKU明细'!$D$11:$D$1309,MATCH("S02a-BK1-37",'SKU明细'!$A$11:$A$1309,0)),INDEX('SKU明细'!$D$11:$D$1309,MATCH("S02a-BK1-38",'SKU明细'!$A$11:$A$1309,0)))=0,"待核",IF(COUNT(INDEX('SKU明细'!$D$11:$D$1309,MATCH("S02a-BK1-37",'SKU明细'!$A$11:$A$1309,0)),INDEX('SKU明细'!$D$11:$D$1309,MATCH("S02a-BK1-38",'SKU明细'!$A$11:$A$1309,0)))&lt;2,"另有待核","已核"))</x:f>
        <x:v>已核</x:v>
      </x:c>
      <x:c r="V90" s="35" t="str">
        <x:v>在售</x:v>
      </x:c>
      <x:c r="W90" s="11" t="n">
        <x:f>IF(COUNT(INDEX('SKU明细'!$BV$11:$BV$1309,MATCH("S02a-BK1-37",'SKU明细'!$A$11:$A$1309,0)),INDEX('SKU明细'!$BV$11:$BV$1309,MATCH("S02a-BK1-38",'SKU明细'!$A$11:$A$1309,0)))=2,SUM(INDEX('SKU明细'!$BV$11:$BV$1309,MATCH("S02a-BK1-37",'SKU明细'!$A$11:$A$1309,0)),INDEX('SKU明细'!$BV$11:$BV$1309,MATCH("S02a-BK1-38",'SKU明细'!$A$11:$A$1309,0))),"待核")</x:f>
        <x:v>0.39570760944969474</x:v>
      </x:c>
      <x:c r="X90" s="11" t="n">
        <x:f>INDEX('SKU明细'!$BW$11:$BW$1309,MATCH("S02a-BK1-37",'SKU明细'!$A$11:$A$1309,0))</x:f>
        <x:v>0.7647664488148722</x:v>
      </x:c>
      <x:c r="Y90" s="13" t="n">
        <x:f>IF(COUNT(INDEX('SKU明细'!$BY$11:$BY$1309,MATCH("S02a-BK1-37",'SKU明细'!$A$11:$A$1309,0)),INDEX('SKU明细'!$BY$11:$BY$1309,MATCH("S02a-BK1-38",'SKU明细'!$A$11:$A$1309,0)))=2,SUM(INDEX('SKU明细'!$BY$11:$BY$1309,MATCH("S02a-BK1-37",'SKU明细'!$A$11:$A$1309,0)),INDEX('SKU明细'!$BY$11:$BY$1309,MATCH("S02a-BK1-38",'SKU明细'!$A$11:$A$1309,0))),"待核")</x:f>
        <x:v>3.6314868389743853</x:v>
      </x:c>
      <x:c r="Z90" s="11" t="n">
        <x:f>INDEX('SKU明细'!$BZ$11:$BZ$1309,MATCH("S02a-BK1-37",'SKU明细'!$A$11:$A$1309,0))</x:f>
        <x:v>1.5248287781391903</x:v>
      </x:c>
      <x:c r="AA90" s="13" t="n">
        <x:f>IF(COUNT(INDEX('SKU明细'!$CB$11:$CB$1309,MATCH("S02a-BK1-37",'SKU明细'!$A$11:$A$1309,0)),INDEX('SKU明细'!$CB$11:$CB$1309,MATCH("S02a-BK1-38",'SKU明细'!$A$11:$A$1309,0)))=2,SUM(INDEX('SKU明细'!$CB$11:$CB$1309,MATCH("S02a-BK1-37",'SKU明细'!$A$11:$A$1309,0)),INDEX('SKU明细'!$CB$11:$CB$1309,MATCH("S02a-BK1-38",'SKU明细'!$A$11:$A$1309,0))),"待核")</x:f>
        <x:v>18.101590518526738</x:v>
      </x:c>
      <x:c r="AB90" s="11" t="n">
        <x:f>INDEX('SKU明细'!$CC$11:$CC$1309,MATCH("S02a-BK1-37",'SKU明细'!$A$11:$A$1309,0))</x:f>
        <x:v>1.2288250057360348</x:v>
      </x:c>
      <x:c r="AC90" s="13" t="n">
        <x:f>IF(COUNT(INDEX('SKU明细'!$CE$11:$CE$1309,MATCH("S02a-BK1-37",'SKU明细'!$A$11:$A$1309,0)),INDEX('SKU明细'!$CE$11:$CE$1309,MATCH("S02a-BK1-38",'SKU明细'!$A$11:$A$1309,0)))=2,SUM(INDEX('SKU明细'!$CE$11:$CE$1309,MATCH("S02a-BK1-37",'SKU明细'!$A$11:$A$1309,0)),INDEX('SKU明细'!$CE$11:$CE$1309,MATCH("S02a-BK1-38",'SKU明细'!$A$11:$A$1309,0))),"待核")</x:f>
        <x:v>15.073917569006229</x:v>
      </x:c>
      <x:c r="AD90" s="11" t="n">
        <x:f>INDEX('SKU明细'!$CF$11:$CF$1309,MATCH("S02a-BK1-37",'SKU明细'!$A$11:$A$1309,0))</x:f>
        <x:v>1.2825767786356366</x:v>
      </x:c>
      <x:c r="AE90" s="13" t="n">
        <x:f>IF(COUNT(INDEX('SKU明细'!$CH$11:$CH$1309,MATCH("S02a-BK1-37",'SKU明细'!$A$11:$A$1309,0)),INDEX('SKU明细'!$CH$11:$CH$1309,MATCH("S02a-BK1-38",'SKU明细'!$A$11:$A$1309,0)))=2,SUM(INDEX('SKU明细'!$CH$11:$CH$1309,MATCH("S02a-BK1-37",'SKU明细'!$A$11:$A$1309,0)),INDEX('SKU明细'!$CH$11:$CH$1309,MATCH("S02a-BK1-38",'SKU明细'!$A$11:$A$1309,0))),"待核")</x:f>
        <x:v>8.627931647163168</x:v>
      </x:c>
      <x:c r="AF90" s="13" t="n">
        <x:f>IF(COUNT(INDEX('SKU明细'!$CI$11:$CI$1309,MATCH("S02a-BK1-37",'SKU明细'!$A$11:$A$1309,0)),INDEX('SKU明细'!$CI$11:$CI$1309,MATCH("S02a-BK1-38",'SKU明细'!$A$11:$A$1309,0)))=2,SUM(INDEX('SKU明细'!$CI$11:$CI$1309,MATCH("S02a-BK1-37",'SKU明细'!$A$11:$A$1309,0)),INDEX('SKU明细'!$CI$11:$CI$1309,MATCH("S02a-BK1-38",'SKU明细'!$A$11:$A$1309,0))),"待核")</x:f>
        <x:v>45.43492657367052</x:v>
      </x:c>
    </x:row>
    <x:row r="91" ht="40" customHeight="1">
      <x:c r="A91" s="35" t="str">
        <x:v>S02a</x:v>
      </x:c>
      <x:c r="B91" s="35" t="str">
        <x:v>陈晨</x:v>
      </x:c>
      <x:c r="C91" s="35" t="str">
        <x:v>黑色PU</x:v>
      </x:c>
      <x:c r="D91" s="35" t="str">
        <x:v>BKP</x:v>
      </x:c>
      <x:c r="E91" s="35" t="str">
        <x:v>S02a-BKP</x:v>
      </x:c>
      <x:c r="F91" s="35"/>
      <x:c r="G91" s="36" t="str">
        <x:f>"—"</x:f>
        <x:v>—</x:v>
      </x:c>
      <x:c r="H91" s="36" t="n">
        <x:f>IF(COUNT(INDEX('SKU明细'!$D$11:$D$1309,MATCH("S02a-BKP-37",'SKU明细'!$A$11:$A$1309,0)))=0,"待核",IF(COUNT(INDEX('SKU明细'!$D$11:$D$1309,MATCH("S02a-BKP-37",'SKU明细'!$A$11:$A$1309,0)))&lt;1,SUM(INDEX('SKU明细'!$D$11:$D$1309,MATCH("S02a-BKP-37",'SKU明细'!$A$11:$A$1309,0)))&amp;" + 待核",SUM(INDEX('SKU明细'!$D$11:$D$1309,MATCH("S02a-BKP-37",'SKU明细'!$A$11:$A$1309,0)))))</x:f>
        <x:v>0</x:v>
      </x:c>
      <x:c r="I91" s="36" t="str">
        <x:f>"—"</x:f>
        <x:v>—</x:v>
      </x:c>
      <x:c r="J91" s="36" t="str">
        <x:f>"—"</x:f>
        <x:v>—</x:v>
      </x:c>
      <x:c r="K91" s="36" t="str">
        <x:f>"—"</x:f>
        <x:v>—</x:v>
      </x:c>
      <x:c r="L91" s="36" t="n">
        <x:f>IF(COUNT(INDEX('SKU明细'!$D$11:$D$1309,MATCH("S02a-BKP-39",'SKU明细'!$A$11:$A$1309,0)))=0,"待核",IF(COUNT(INDEX('SKU明细'!$D$11:$D$1309,MATCH("S02a-BKP-39",'SKU明细'!$A$11:$A$1309,0)))&lt;1,SUM(INDEX('SKU明细'!$D$11:$D$1309,MATCH("S02a-BKP-39",'SKU明细'!$A$11:$A$1309,0)))&amp;" + 待核",SUM(INDEX('SKU明细'!$D$11:$D$1309,MATCH("S02a-BKP-39",'SKU明细'!$A$11:$A$1309,0)))))</x:f>
        <x:v>8</x:v>
      </x:c>
      <x:c r="M91" s="36" t="str">
        <x:f>"—"</x:f>
        <x:v>—</x:v>
      </x:c>
      <x:c r="N91" s="36" t="n">
        <x:f>IF(COUNT(INDEX('SKU明细'!$D$11:$D$1309,MATCH("S02a-BKP-40",'SKU明细'!$A$11:$A$1309,0)))=0,"待核",IF(COUNT(INDEX('SKU明细'!$D$11:$D$1309,MATCH("S02a-BKP-40",'SKU明细'!$A$11:$A$1309,0)))&lt;1,SUM(INDEX('SKU明细'!$D$11:$D$1309,MATCH("S02a-BKP-40",'SKU明细'!$A$11:$A$1309,0)))&amp;" + 待核",SUM(INDEX('SKU明细'!$D$11:$D$1309,MATCH("S02a-BKP-40",'SKU明细'!$A$11:$A$1309,0)))))</x:f>
        <x:v>0</x:v>
      </x:c>
      <x:c r="O91" s="36" t="str">
        <x:f>"—"</x:f>
        <x:v>—</x:v>
      </x:c>
      <x:c r="P91" s="36" t="n">
        <x:f>IF(COUNT(INDEX('SKU明细'!$D$11:$D$1309,MATCH("S02a-BKP-41",'SKU明细'!$A$11:$A$1309,0)))=0,"待核",IF(COUNT(INDEX('SKU明细'!$D$11:$D$1309,MATCH("S02a-BKP-41",'SKU明细'!$A$11:$A$1309,0)))&lt;1,SUM(INDEX('SKU明细'!$D$11:$D$1309,MATCH("S02a-BKP-41",'SKU明细'!$A$11:$A$1309,0)))&amp;" + 待核",SUM(INDEX('SKU明细'!$D$11:$D$1309,MATCH("S02a-BKP-41",'SKU明细'!$A$11:$A$1309,0)))))</x:f>
        <x:v>0</x:v>
      </x:c>
      <x:c r="Q91" s="36" t="str">
        <x:f>"—"</x:f>
        <x:v>—</x:v>
      </x:c>
      <x:c r="R91" s="36" t="n">
        <x:f>IF(COUNT(INDEX('SKU明细'!$D$11:$D$1309,MATCH("S02a-BKP-42",'SKU明细'!$A$11:$A$1309,0)))=0,"待核",IF(COUNT(INDEX('SKU明细'!$D$11:$D$1309,MATCH("S02a-BKP-42",'SKU明细'!$A$11:$A$1309,0)))&lt;1,SUM(INDEX('SKU明细'!$D$11:$D$1309,MATCH("S02a-BKP-42",'SKU明细'!$A$11:$A$1309,0)))&amp;" + 待核",SUM(INDEX('SKU明细'!$D$11:$D$1309,MATCH("S02a-BKP-42",'SKU明细'!$A$11:$A$1309,0)))))</x:f>
        <x:v>0</x:v>
      </x:c>
      <x:c r="S91" s="36" t="n">
        <x:f>IF(COUNT(INDEX('SKU明细'!$D$11:$D$1309,MATCH("S02a-BKP-37",'SKU明细'!$A$11:$A$1309,0)),INDEX('SKU明细'!$D$11:$D$1309,MATCH("S02a-BKP-39",'SKU明细'!$A$11:$A$1309,0)),INDEX('SKU明细'!$D$11:$D$1309,MATCH("S02a-BKP-40",'SKU明细'!$A$11:$A$1309,0)),INDEX('SKU明细'!$D$11:$D$1309,MATCH("S02a-BKP-41",'SKU明细'!$A$11:$A$1309,0)),INDEX('SKU明细'!$D$11:$D$1309,MATCH("S02a-BKP-42",'SKU明细'!$A$11:$A$1309,0)))=0,"待核",SUM(INDEX('SKU明细'!$D$11:$D$1309,MATCH("S02a-BKP-37",'SKU明细'!$A$11:$A$1309,0)),INDEX('SKU明细'!$D$11:$D$1309,MATCH("S02a-BKP-39",'SKU明细'!$A$11:$A$1309,0)),INDEX('SKU明细'!$D$11:$D$1309,MATCH("S02a-BKP-40",'SKU明细'!$A$11:$A$1309,0)),INDEX('SKU明细'!$D$11:$D$1309,MATCH("S02a-BKP-41",'SKU明细'!$A$11:$A$1309,0)),INDEX('SKU明细'!$D$11:$D$1309,MATCH("S02a-BKP-42",'SKU明细'!$A$11:$A$1309,0))))</x:f>
        <x:v>8</x:v>
      </x:c>
      <x:c r="T91" s="36" t="n">
        <x:f>IF(COUNTIFS($A$9:$A$191,A91,$U$9:$U$191,"&lt;&gt;待核")=0,"待核",SUMIF($A$9:$A$191,A91,$S$9:$S$191))</x:f>
        <x:v>208</x:v>
      </x:c>
      <x:c r="U91" s="35" t="str">
        <x:f>IF(COUNT(INDEX('SKU明细'!$D$11:$D$1309,MATCH("S02a-BKP-37",'SKU明细'!$A$11:$A$1309,0)),INDEX('SKU明细'!$D$11:$D$1309,MATCH("S02a-BKP-39",'SKU明细'!$A$11:$A$1309,0)),INDEX('SKU明细'!$D$11:$D$1309,MATCH("S02a-BKP-40",'SKU明细'!$A$11:$A$1309,0)),INDEX('SKU明细'!$D$11:$D$1309,MATCH("S02a-BKP-41",'SKU明细'!$A$11:$A$1309,0)),INDEX('SKU明细'!$D$11:$D$1309,MATCH("S02a-BKP-42",'SKU明细'!$A$11:$A$1309,0)))=0,"待核",IF(COUNT(INDEX('SKU明细'!$D$11:$D$1309,MATCH("S02a-BKP-37",'SKU明细'!$A$11:$A$1309,0)),INDEX('SKU明细'!$D$11:$D$1309,MATCH("S02a-BKP-39",'SKU明细'!$A$11:$A$1309,0)),INDEX('SKU明细'!$D$11:$D$1309,MATCH("S02a-BKP-40",'SKU明细'!$A$11:$A$1309,0)),INDEX('SKU明细'!$D$11:$D$1309,MATCH("S02a-BKP-41",'SKU明细'!$A$11:$A$1309,0)),INDEX('SKU明细'!$D$11:$D$1309,MATCH("S02a-BKP-42",'SKU明细'!$A$11:$A$1309,0)))&lt;5,"另有待核","已核"))</x:f>
        <x:v>已核</x:v>
      </x:c>
      <x:c r="V91" s="35" t="str">
        <x:v>在售</x:v>
      </x:c>
      <x:c r="W91" s="11" t="n">
        <x:f>IF(COUNT(INDEX('SKU明细'!$BV$11:$BV$1309,MATCH("S02a-BKP-37",'SKU明细'!$A$11:$A$1309,0)),INDEX('SKU明细'!$BV$11:$BV$1309,MATCH("S02a-BKP-39",'SKU明细'!$A$11:$A$1309,0)),INDEX('SKU明细'!$BV$11:$BV$1309,MATCH("S02a-BKP-40",'SKU明细'!$A$11:$A$1309,0)),INDEX('SKU明细'!$BV$11:$BV$1309,MATCH("S02a-BKP-41",'SKU明细'!$A$11:$A$1309,0)),INDEX('SKU明细'!$BV$11:$BV$1309,MATCH("S02a-BKP-42",'SKU明细'!$A$11:$A$1309,0)))=5,SUM(INDEX('SKU明细'!$BV$11:$BV$1309,MATCH("S02a-BKP-37",'SKU明细'!$A$11:$A$1309,0)),INDEX('SKU明细'!$BV$11:$BV$1309,MATCH("S02a-BKP-39",'SKU明细'!$A$11:$A$1309,0)),INDEX('SKU明细'!$BV$11:$BV$1309,MATCH("S02a-BKP-40",'SKU明细'!$A$11:$A$1309,0)),INDEX('SKU明细'!$BV$11:$BV$1309,MATCH("S02a-BKP-41",'SKU明细'!$A$11:$A$1309,0)),INDEX('SKU明细'!$BV$11:$BV$1309,MATCH("S02a-BKP-42",'SKU明细'!$A$11:$A$1309,0))),"待核")</x:f>
        <x:v>1.3346079165193463</x:v>
      </x:c>
      <x:c r="X91" s="11" t="n">
        <x:f>INDEX('SKU明细'!$BW$11:$BW$1309,MATCH("S02a-BKP-37",'SKU明细'!$A$11:$A$1309,0))</x:f>
        <x:v>0.7647664488148722</x:v>
      </x:c>
      <x:c r="Y91" s="13" t="n">
        <x:f>IF(COUNT(INDEX('SKU明细'!$BY$11:$BY$1309,MATCH("S02a-BKP-37",'SKU明细'!$A$11:$A$1309,0)),INDEX('SKU明细'!$BY$11:$BY$1309,MATCH("S02a-BKP-39",'SKU明细'!$A$11:$A$1309,0)),INDEX('SKU明细'!$BY$11:$BY$1309,MATCH("S02a-BKP-40",'SKU明细'!$A$11:$A$1309,0)),INDEX('SKU明细'!$BY$11:$BY$1309,MATCH("S02a-BKP-41",'SKU明细'!$A$11:$A$1309,0)),INDEX('SKU明细'!$BY$11:$BY$1309,MATCH("S02a-BKP-42",'SKU明细'!$A$11:$A$1309,0)))=5,SUM(INDEX('SKU明细'!$BY$11:$BY$1309,MATCH("S02a-BKP-37",'SKU明细'!$A$11:$A$1309,0)),INDEX('SKU明细'!$BY$11:$BY$1309,MATCH("S02a-BKP-39",'SKU明细'!$A$11:$A$1309,0)),INDEX('SKU明细'!$BY$11:$BY$1309,MATCH("S02a-BKP-40",'SKU明细'!$A$11:$A$1309,0)),INDEX('SKU明细'!$BY$11:$BY$1309,MATCH("S02a-BKP-41",'SKU明细'!$A$11:$A$1309,0)),INDEX('SKU明细'!$BY$11:$BY$1309,MATCH("S02a-BKP-42",'SKU明细'!$A$11:$A$1309,0))),"待核")</x:f>
        <x:v>12.24796028252059</x:v>
      </x:c>
      <x:c r="Z91" s="11" t="n">
        <x:f>INDEX('SKU明细'!$BZ$11:$BZ$1309,MATCH("S02a-BKP-37",'SKU明细'!$A$11:$A$1309,0))</x:f>
        <x:v>1.5248287781391903</x:v>
      </x:c>
      <x:c r="AA91" s="13" t="n">
        <x:f>IF(COUNT(INDEX('SKU明细'!$CB$11:$CB$1309,MATCH("S02a-BKP-37",'SKU明细'!$A$11:$A$1309,0)),INDEX('SKU明细'!$CB$11:$CB$1309,MATCH("S02a-BKP-39",'SKU明细'!$A$11:$A$1309,0)),INDEX('SKU明细'!$CB$11:$CB$1309,MATCH("S02a-BKP-40",'SKU明细'!$A$11:$A$1309,0)),INDEX('SKU明细'!$CB$11:$CB$1309,MATCH("S02a-BKP-41",'SKU明细'!$A$11:$A$1309,0)),INDEX('SKU明细'!$CB$11:$CB$1309,MATCH("S02a-BKP-42",'SKU明细'!$A$11:$A$1309,0)))=5,SUM(INDEX('SKU明细'!$CB$11:$CB$1309,MATCH("S02a-BKP-37",'SKU明细'!$A$11:$A$1309,0)),INDEX('SKU明细'!$CB$11:$CB$1309,MATCH("S02a-BKP-39",'SKU明细'!$A$11:$A$1309,0)),INDEX('SKU明细'!$CB$11:$CB$1309,MATCH("S02a-BKP-40",'SKU明细'!$A$11:$A$1309,0)),INDEX('SKU明细'!$CB$11:$CB$1309,MATCH("S02a-BKP-41",'SKU明细'!$A$11:$A$1309,0)),INDEX('SKU明细'!$CB$11:$CB$1309,MATCH("S02a-BKP-42",'SKU明细'!$A$11:$A$1309,0))),"待核")</x:f>
        <x:v>61.05145675923255</x:v>
      </x:c>
      <x:c r="AB91" s="11" t="n">
        <x:f>INDEX('SKU明细'!$CC$11:$CC$1309,MATCH("S02a-BKP-37",'SKU明细'!$A$11:$A$1309,0))</x:f>
        <x:v>1.2288250057360348</x:v>
      </x:c>
      <x:c r="AC91" s="13" t="n">
        <x:f>IF(COUNT(INDEX('SKU明细'!$CE$11:$CE$1309,MATCH("S02a-BKP-37",'SKU明细'!$A$11:$A$1309,0)),INDEX('SKU明细'!$CE$11:$CE$1309,MATCH("S02a-BKP-39",'SKU明细'!$A$11:$A$1309,0)),INDEX('SKU明细'!$CE$11:$CE$1309,MATCH("S02a-BKP-40",'SKU明细'!$A$11:$A$1309,0)),INDEX('SKU明细'!$CE$11:$CE$1309,MATCH("S02a-BKP-41",'SKU明细'!$A$11:$A$1309,0)),INDEX('SKU明细'!$CE$11:$CE$1309,MATCH("S02a-BKP-42",'SKU明细'!$A$11:$A$1309,0)))=5,SUM(INDEX('SKU明细'!$CE$11:$CE$1309,MATCH("S02a-BKP-37",'SKU明细'!$A$11:$A$1309,0)),INDEX('SKU明细'!$CE$11:$CE$1309,MATCH("S02a-BKP-39",'SKU明细'!$A$11:$A$1309,0)),INDEX('SKU明细'!$CE$11:$CE$1309,MATCH("S02a-BKP-40",'SKU明细'!$A$11:$A$1309,0)),INDEX('SKU明细'!$CE$11:$CE$1309,MATCH("S02a-BKP-41",'SKU明细'!$A$11:$A$1309,0)),INDEX('SKU明细'!$CE$11:$CE$1309,MATCH("S02a-BKP-42",'SKU明细'!$A$11:$A$1309,0))),"待核")</x:f>
        <x:v>50.83998700083953</x:v>
      </x:c>
      <x:c r="AD91" s="11" t="n">
        <x:f>INDEX('SKU明细'!$CF$11:$CF$1309,MATCH("S02a-BKP-37",'SKU明细'!$A$11:$A$1309,0))</x:f>
        <x:v>1.2825767786356366</x:v>
      </x:c>
      <x:c r="AE91" s="13" t="n">
        <x:f>IF(COUNT(INDEX('SKU明细'!$CH$11:$CH$1309,MATCH("S02a-BKP-37",'SKU明细'!$A$11:$A$1309,0)),INDEX('SKU明细'!$CH$11:$CH$1309,MATCH("S02a-BKP-39",'SKU明细'!$A$11:$A$1309,0)),INDEX('SKU明细'!$CH$11:$CH$1309,MATCH("S02a-BKP-40",'SKU明细'!$A$11:$A$1309,0)),INDEX('SKU明细'!$CH$11:$CH$1309,MATCH("S02a-BKP-41",'SKU明细'!$A$11:$A$1309,0)),INDEX('SKU明细'!$CH$11:$CH$1309,MATCH("S02a-BKP-42",'SKU明细'!$A$11:$A$1309,0)))=5,SUM(INDEX('SKU明细'!$CH$11:$CH$1309,MATCH("S02a-BKP-37",'SKU明细'!$A$11:$A$1309,0)),INDEX('SKU明细'!$CH$11:$CH$1309,MATCH("S02a-BKP-39",'SKU明细'!$A$11:$A$1309,0)),INDEX('SKU明细'!$CH$11:$CH$1309,MATCH("S02a-BKP-40",'SKU明细'!$A$11:$A$1309,0)),INDEX('SKU明细'!$CH$11:$CH$1309,MATCH("S02a-BKP-41",'SKU明细'!$A$11:$A$1309,0)),INDEX('SKU明细'!$CH$11:$CH$1309,MATCH("S02a-BKP-42",'SKU明细'!$A$11:$A$1309,0))),"待核")</x:f>
        <x:v>29.099531079287033</x:v>
      </x:c>
      <x:c r="AF91" s="13" t="n">
        <x:f>IF(COUNT(INDEX('SKU明细'!$CI$11:$CI$1309,MATCH("S02a-BKP-37",'SKU明细'!$A$11:$A$1309,0)),INDEX('SKU明细'!$CI$11:$CI$1309,MATCH("S02a-BKP-39",'SKU明细'!$A$11:$A$1309,0)),INDEX('SKU明细'!$CI$11:$CI$1309,MATCH("S02a-BKP-40",'SKU明细'!$A$11:$A$1309,0)),INDEX('SKU明细'!$CI$11:$CI$1309,MATCH("S02a-BKP-41",'SKU明细'!$A$11:$A$1309,0)),INDEX('SKU明细'!$CI$11:$CI$1309,MATCH("S02a-BKP-42",'SKU明细'!$A$11:$A$1309,0)))=5,SUM(INDEX('SKU明细'!$CI$11:$CI$1309,MATCH("S02a-BKP-37",'SKU明细'!$A$11:$A$1309,0)),INDEX('SKU明细'!$CI$11:$CI$1309,MATCH("S02a-BKP-39",'SKU明细'!$A$11:$A$1309,0)),INDEX('SKU明细'!$CI$11:$CI$1309,MATCH("S02a-BKP-40",'SKU明细'!$A$11:$A$1309,0)),INDEX('SKU明细'!$CI$11:$CI$1309,MATCH("S02a-BKP-41",'SKU明细'!$A$11:$A$1309,0)),INDEX('SKU明细'!$CI$11:$CI$1309,MATCH("S02a-BKP-42",'SKU明细'!$A$11:$A$1309,0))),"待核")</x:f>
        <x:v>153.2389351218797</x:v>
      </x:c>
    </x:row>
    <x:row r="92" ht="40" customHeight="1">
      <x:c r="A92" s="35" t="str">
        <x:v>S02a</x:v>
      </x:c>
      <x:c r="B92" s="35" t="str">
        <x:v>陈晨</x:v>
      </x:c>
      <x:c r="C92" s="35" t="str">
        <x:v>黑色PU</x:v>
      </x:c>
      <x:c r="D92" s="35" t="str">
        <x:v>BKP1</x:v>
      </x:c>
      <x:c r="E92" s="35" t="str">
        <x:v>S02a-BKP1</x:v>
      </x:c>
      <x:c r="F92" s="35"/>
      <x:c r="G92" s="36" t="str">
        <x:f>"—"</x:f>
        <x:v>—</x:v>
      </x:c>
      <x:c r="H92" s="36" t="str">
        <x:f>"—"</x:f>
        <x:v>—</x:v>
      </x:c>
      <x:c r="I92" s="36" t="n">
        <x:f>IF(COUNT(INDEX('SKU明细'!$D$11:$D$1309,MATCH("S02a-BKP1-37",'SKU明细'!$A$11:$A$1309,0)))=0,"待核",IF(COUNT(INDEX('SKU明细'!$D$11:$D$1309,MATCH("S02a-BKP1-37",'SKU明细'!$A$11:$A$1309,0)))&lt;1,SUM(INDEX('SKU明细'!$D$11:$D$1309,MATCH("S02a-BKP1-37",'SKU明细'!$A$11:$A$1309,0)))&amp;" + 待核",SUM(INDEX('SKU明细'!$D$11:$D$1309,MATCH("S02a-BKP1-37",'SKU明细'!$A$11:$A$1309,0)))))</x:f>
        <x:v>0</x:v>
      </x:c>
      <x:c r="J92" s="36" t="str">
        <x:f>"—"</x:f>
        <x:v>—</x:v>
      </x:c>
      <x:c r="K92" s="36" t="n">
        <x:f>IF(COUNT(INDEX('SKU明细'!$D$11:$D$1309,MATCH("S02a-BKP1-38",'SKU明细'!$A$11:$A$1309,0)))=0,"待核",IF(COUNT(INDEX('SKU明细'!$D$11:$D$1309,MATCH("S02a-BKP1-38",'SKU明细'!$A$11:$A$1309,0)))&lt;1,SUM(INDEX('SKU明细'!$D$11:$D$1309,MATCH("S02a-BKP1-38",'SKU明细'!$A$11:$A$1309,0)))&amp;" + 待核",SUM(INDEX('SKU明细'!$D$11:$D$1309,MATCH("S02a-BKP1-38",'SKU明细'!$A$11:$A$1309,0)))))</x:f>
        <x:v>0</x:v>
      </x:c>
      <x:c r="L92" s="36" t="str">
        <x:f>"—"</x:f>
        <x:v>—</x:v>
      </x:c>
      <x:c r="M92" s="36" t="str">
        <x:f>"—"</x:f>
        <x:v>—</x:v>
      </x:c>
      <x:c r="N92" s="36" t="str">
        <x:f>"—"</x:f>
        <x:v>—</x:v>
      </x:c>
      <x:c r="O92" s="36" t="str">
        <x:f>"—"</x:f>
        <x:v>—</x:v>
      </x:c>
      <x:c r="P92" s="36" t="str">
        <x:f>"—"</x:f>
        <x:v>—</x:v>
      </x:c>
      <x:c r="Q92" s="36" t="str">
        <x:f>"—"</x:f>
        <x:v>—</x:v>
      </x:c>
      <x:c r="R92" s="36" t="str">
        <x:f>"—"</x:f>
        <x:v>—</x:v>
      </x:c>
      <x:c r="S92" s="36" t="n">
        <x:f>IF(COUNT(INDEX('SKU明细'!$D$11:$D$1309,MATCH("S02a-BKP1-37",'SKU明细'!$A$11:$A$1309,0)),INDEX('SKU明细'!$D$11:$D$1309,MATCH("S02a-BKP1-38",'SKU明细'!$A$11:$A$1309,0)))=0,"待核",SUM(INDEX('SKU明细'!$D$11:$D$1309,MATCH("S02a-BKP1-37",'SKU明细'!$A$11:$A$1309,0)),INDEX('SKU明细'!$D$11:$D$1309,MATCH("S02a-BKP1-38",'SKU明细'!$A$11:$A$1309,0))))</x:f>
        <x:v>0</x:v>
      </x:c>
      <x:c r="T92" s="36" t="n">
        <x:f>IF(COUNTIFS($A$9:$A$191,A92,$U$9:$U$191,"&lt;&gt;待核")=0,"待核",SUMIF($A$9:$A$191,A92,$S$9:$S$191))</x:f>
        <x:v>208</x:v>
      </x:c>
      <x:c r="U92" s="35" t="str">
        <x:f>IF(COUNT(INDEX('SKU明细'!$D$11:$D$1309,MATCH("S02a-BKP1-37",'SKU明细'!$A$11:$A$1309,0)),INDEX('SKU明细'!$D$11:$D$1309,MATCH("S02a-BKP1-38",'SKU明细'!$A$11:$A$1309,0)))=0,"待核",IF(COUNT(INDEX('SKU明细'!$D$11:$D$1309,MATCH("S02a-BKP1-37",'SKU明细'!$A$11:$A$1309,0)),INDEX('SKU明细'!$D$11:$D$1309,MATCH("S02a-BKP1-38",'SKU明细'!$A$11:$A$1309,0)))&lt;2,"另有待核","已核"))</x:f>
        <x:v>已核</x:v>
      </x:c>
      <x:c r="V92" s="35" t="str">
        <x:v>在售</x:v>
      </x:c>
      <x:c r="W92" s="11" t="n">
        <x:f>IF(COUNT(INDEX('SKU明细'!$BV$11:$BV$1309,MATCH("S02a-BKP1-37",'SKU明细'!$A$11:$A$1309,0)),INDEX('SKU明细'!$BV$11:$BV$1309,MATCH("S02a-BKP1-38",'SKU明细'!$A$11:$A$1309,0)))=2,SUM(INDEX('SKU明细'!$BV$11:$BV$1309,MATCH("S02a-BKP1-37",'SKU明细'!$A$11:$A$1309,0)),INDEX('SKU明细'!$BV$11:$BV$1309,MATCH("S02a-BKP1-38",'SKU明细'!$A$11:$A$1309,0))),"待核")</x:f>
        <x:v>0</x:v>
      </x:c>
      <x:c r="X92" s="11" t="n">
        <x:f>INDEX('SKU明细'!$BW$11:$BW$1309,MATCH("S02a-BKP1-37",'SKU明细'!$A$11:$A$1309,0))</x:f>
        <x:v>0.7647664488148722</x:v>
      </x:c>
      <x:c r="Y92" s="13" t="n">
        <x:f>IF(COUNT(INDEX('SKU明细'!$BY$11:$BY$1309,MATCH("S02a-BKP1-37",'SKU明细'!$A$11:$A$1309,0)),INDEX('SKU明细'!$BY$11:$BY$1309,MATCH("S02a-BKP1-38",'SKU明细'!$A$11:$A$1309,0)))=2,SUM(INDEX('SKU明细'!$BY$11:$BY$1309,MATCH("S02a-BKP1-37",'SKU明细'!$A$11:$A$1309,0)),INDEX('SKU明细'!$BY$11:$BY$1309,MATCH("S02a-BKP1-38",'SKU明细'!$A$11:$A$1309,0))),"待核")</x:f>
        <x:v>0</x:v>
      </x:c>
      <x:c r="Z92" s="11" t="n">
        <x:f>INDEX('SKU明细'!$BZ$11:$BZ$1309,MATCH("S02a-BKP1-37",'SKU明细'!$A$11:$A$1309,0))</x:f>
        <x:v>1.5248287781391903</x:v>
      </x:c>
      <x:c r="AA92" s="13" t="n">
        <x:f>IF(COUNT(INDEX('SKU明细'!$CB$11:$CB$1309,MATCH("S02a-BKP1-37",'SKU明细'!$A$11:$A$1309,0)),INDEX('SKU明细'!$CB$11:$CB$1309,MATCH("S02a-BKP1-38",'SKU明细'!$A$11:$A$1309,0)))=2,SUM(INDEX('SKU明细'!$CB$11:$CB$1309,MATCH("S02a-BKP1-37",'SKU明细'!$A$11:$A$1309,0)),INDEX('SKU明细'!$CB$11:$CB$1309,MATCH("S02a-BKP1-38",'SKU明细'!$A$11:$A$1309,0))),"待核")</x:f>
        <x:v>0</x:v>
      </x:c>
      <x:c r="AB92" s="11" t="n">
        <x:f>INDEX('SKU明细'!$CC$11:$CC$1309,MATCH("S02a-BKP1-37",'SKU明细'!$A$11:$A$1309,0))</x:f>
        <x:v>1.2288250057360348</x:v>
      </x:c>
      <x:c r="AC92" s="13" t="n">
        <x:f>IF(COUNT(INDEX('SKU明细'!$CE$11:$CE$1309,MATCH("S02a-BKP1-37",'SKU明细'!$A$11:$A$1309,0)),INDEX('SKU明细'!$CE$11:$CE$1309,MATCH("S02a-BKP1-38",'SKU明细'!$A$11:$A$1309,0)))=2,SUM(INDEX('SKU明细'!$CE$11:$CE$1309,MATCH("S02a-BKP1-37",'SKU明细'!$A$11:$A$1309,0)),INDEX('SKU明细'!$CE$11:$CE$1309,MATCH("S02a-BKP1-38",'SKU明细'!$A$11:$A$1309,0))),"待核")</x:f>
        <x:v>0</x:v>
      </x:c>
      <x:c r="AD92" s="11" t="n">
        <x:f>INDEX('SKU明细'!$CF$11:$CF$1309,MATCH("S02a-BKP1-37",'SKU明细'!$A$11:$A$1309,0))</x:f>
        <x:v>1.2825767786356366</x:v>
      </x:c>
      <x:c r="AE92" s="13" t="n">
        <x:f>IF(COUNT(INDEX('SKU明细'!$CH$11:$CH$1309,MATCH("S02a-BKP1-37",'SKU明细'!$A$11:$A$1309,0)),INDEX('SKU明细'!$CH$11:$CH$1309,MATCH("S02a-BKP1-38",'SKU明细'!$A$11:$A$1309,0)))=2,SUM(INDEX('SKU明细'!$CH$11:$CH$1309,MATCH("S02a-BKP1-37",'SKU明细'!$A$11:$A$1309,0)),INDEX('SKU明细'!$CH$11:$CH$1309,MATCH("S02a-BKP1-38",'SKU明细'!$A$11:$A$1309,0))),"待核")</x:f>
        <x:v>0</x:v>
      </x:c>
      <x:c r="AF92" s="13" t="n">
        <x:f>IF(COUNT(INDEX('SKU明细'!$CI$11:$CI$1309,MATCH("S02a-BKP1-37",'SKU明细'!$A$11:$A$1309,0)),INDEX('SKU明细'!$CI$11:$CI$1309,MATCH("S02a-BKP1-38",'SKU明细'!$A$11:$A$1309,0)))=2,SUM(INDEX('SKU明细'!$CI$11:$CI$1309,MATCH("S02a-BKP1-37",'SKU明细'!$A$11:$A$1309,0)),INDEX('SKU明细'!$CI$11:$CI$1309,MATCH("S02a-BKP1-38",'SKU明细'!$A$11:$A$1309,0))),"待核")</x:f>
        <x:v>0</x:v>
      </x:c>
    </x:row>
    <x:row r="93" ht="40" customHeight="1">
      <x:c r="A93" s="35" t="str">
        <x:v>S02a</x:v>
      </x:c>
      <x:c r="B93" s="35" t="str">
        <x:v>陈晨</x:v>
      </x:c>
      <x:c r="C93" s="35" t="str">
        <x:v>裸色</x:v>
      </x:c>
      <x:c r="D93" s="35" t="str">
        <x:v>ND</x:v>
      </x:c>
      <x:c r="E93" s="35" t="str">
        <x:v>S02a-ND</x:v>
      </x:c>
      <x:c r="F93" s="35"/>
      <x:c r="G93" s="36" t="str">
        <x:f>"—"</x:f>
        <x:v>—</x:v>
      </x:c>
      <x:c r="H93" s="36" t="str">
        <x:f>"—"</x:f>
        <x:v>—</x:v>
      </x:c>
      <x:c r="I93" s="36" t="str">
        <x:f>"—"</x:f>
        <x:v>—</x:v>
      </x:c>
      <x:c r="J93" s="36" t="str">
        <x:f>"—"</x:f>
        <x:v>—</x:v>
      </x:c>
      <x:c r="K93" s="36" t="str">
        <x:f>"—"</x:f>
        <x:v>—</x:v>
      </x:c>
      <x:c r="L93" s="36" t="n">
        <x:f>IF(COUNT(INDEX('SKU明细'!$D$11:$D$1309,MATCH("S02a-ND-39",'SKU明细'!$A$11:$A$1309,0)))=0,"待核",IF(COUNT(INDEX('SKU明细'!$D$11:$D$1309,MATCH("S02a-ND-39",'SKU明细'!$A$11:$A$1309,0)))&lt;1,SUM(INDEX('SKU明细'!$D$11:$D$1309,MATCH("S02a-ND-39",'SKU明细'!$A$11:$A$1309,0)))&amp;" + 待核",SUM(INDEX('SKU明细'!$D$11:$D$1309,MATCH("S02a-ND-39",'SKU明细'!$A$11:$A$1309,0)))))</x:f>
        <x:v>0</x:v>
      </x:c>
      <x:c r="M93" s="36" t="str">
        <x:f>"—"</x:f>
        <x:v>—</x:v>
      </x:c>
      <x:c r="N93" s="36" t="n">
        <x:f>IF(COUNT(INDEX('SKU明细'!$D$11:$D$1309,MATCH("S02a-ND-40",'SKU明细'!$A$11:$A$1309,0)))=0,"待核",IF(COUNT(INDEX('SKU明细'!$D$11:$D$1309,MATCH("S02a-ND-40",'SKU明细'!$A$11:$A$1309,0)))&lt;1,SUM(INDEX('SKU明细'!$D$11:$D$1309,MATCH("S02a-ND-40",'SKU明细'!$A$11:$A$1309,0)))&amp;" + 待核",SUM(INDEX('SKU明细'!$D$11:$D$1309,MATCH("S02a-ND-40",'SKU明细'!$A$11:$A$1309,0)))))</x:f>
        <x:v>19</x:v>
      </x:c>
      <x:c r="O93" s="36" t="str">
        <x:f>"—"</x:f>
        <x:v>—</x:v>
      </x:c>
      <x:c r="P93" s="36" t="n">
        <x:f>IF(COUNT(INDEX('SKU明细'!$D$11:$D$1309,MATCH("S02a-ND-41",'SKU明细'!$A$11:$A$1309,0)))=0,"待核",IF(COUNT(INDEX('SKU明细'!$D$11:$D$1309,MATCH("S02a-ND-41",'SKU明细'!$A$11:$A$1309,0)))&lt;1,SUM(INDEX('SKU明细'!$D$11:$D$1309,MATCH("S02a-ND-41",'SKU明细'!$A$11:$A$1309,0)))&amp;" + 待核",SUM(INDEX('SKU明细'!$D$11:$D$1309,MATCH("S02a-ND-41",'SKU明细'!$A$11:$A$1309,0)))))</x:f>
        <x:v>0</x:v>
      </x:c>
      <x:c r="Q93" s="36" t="str">
        <x:f>"—"</x:f>
        <x:v>—</x:v>
      </x:c>
      <x:c r="R93" s="36" t="n">
        <x:f>IF(COUNT(INDEX('SKU明细'!$D$11:$D$1309,MATCH("S02a-ND-42",'SKU明细'!$A$11:$A$1309,0)))=0,"待核",IF(COUNT(INDEX('SKU明细'!$D$11:$D$1309,MATCH("S02a-ND-42",'SKU明细'!$A$11:$A$1309,0)))&lt;1,SUM(INDEX('SKU明细'!$D$11:$D$1309,MATCH("S02a-ND-42",'SKU明细'!$A$11:$A$1309,0)))&amp;" + 待核",SUM(INDEX('SKU明细'!$D$11:$D$1309,MATCH("S02a-ND-42",'SKU明细'!$A$11:$A$1309,0)))))</x:f>
        <x:v>0</x:v>
      </x:c>
      <x:c r="S93" s="36" t="n">
        <x:f>IF(COUNT(INDEX('SKU明细'!$D$11:$D$1309,MATCH("S02a-ND-39",'SKU明细'!$A$11:$A$1309,0)),INDEX('SKU明细'!$D$11:$D$1309,MATCH("S02a-ND-40",'SKU明细'!$A$11:$A$1309,0)),INDEX('SKU明细'!$D$11:$D$1309,MATCH("S02a-ND-41",'SKU明细'!$A$11:$A$1309,0)),INDEX('SKU明细'!$D$11:$D$1309,MATCH("S02a-ND-42",'SKU明细'!$A$11:$A$1309,0)))=0,"待核",SUM(INDEX('SKU明细'!$D$11:$D$1309,MATCH("S02a-ND-39",'SKU明细'!$A$11:$A$1309,0)),INDEX('SKU明细'!$D$11:$D$1309,MATCH("S02a-ND-40",'SKU明细'!$A$11:$A$1309,0)),INDEX('SKU明细'!$D$11:$D$1309,MATCH("S02a-ND-41",'SKU明细'!$A$11:$A$1309,0)),INDEX('SKU明细'!$D$11:$D$1309,MATCH("S02a-ND-42",'SKU明细'!$A$11:$A$1309,0))))</x:f>
        <x:v>19</x:v>
      </x:c>
      <x:c r="T93" s="36" t="n">
        <x:f>IF(COUNTIFS($A$9:$A$191,A93,$U$9:$U$191,"&lt;&gt;待核")=0,"待核",SUMIF($A$9:$A$191,A93,$S$9:$S$191))</x:f>
        <x:v>208</x:v>
      </x:c>
      <x:c r="U93" s="35" t="str">
        <x:f>IF(COUNT(INDEX('SKU明细'!$D$11:$D$1309,MATCH("S02a-ND-39",'SKU明细'!$A$11:$A$1309,0)),INDEX('SKU明细'!$D$11:$D$1309,MATCH("S02a-ND-40",'SKU明细'!$A$11:$A$1309,0)),INDEX('SKU明细'!$D$11:$D$1309,MATCH("S02a-ND-41",'SKU明细'!$A$11:$A$1309,0)),INDEX('SKU明细'!$D$11:$D$1309,MATCH("S02a-ND-42",'SKU明细'!$A$11:$A$1309,0)))=0,"待核",IF(COUNT(INDEX('SKU明细'!$D$11:$D$1309,MATCH("S02a-ND-39",'SKU明细'!$A$11:$A$1309,0)),INDEX('SKU明细'!$D$11:$D$1309,MATCH("S02a-ND-40",'SKU明细'!$A$11:$A$1309,0)),INDEX('SKU明细'!$D$11:$D$1309,MATCH("S02a-ND-41",'SKU明细'!$A$11:$A$1309,0)),INDEX('SKU明细'!$D$11:$D$1309,MATCH("S02a-ND-42",'SKU明细'!$A$11:$A$1309,0)))&lt;4,"另有待核","已核"))</x:f>
        <x:v>已核</x:v>
      </x:c>
      <x:c r="V93" s="35" t="str">
        <x:v>在售</x:v>
      </x:c>
      <x:c r="W93" s="11" t="n">
        <x:f>IF(COUNT(INDEX('SKU明细'!$BV$11:$BV$1309,MATCH("S02a-ND-39",'SKU明细'!$A$11:$A$1309,0)),INDEX('SKU明细'!$BV$11:$BV$1309,MATCH("S02a-ND-40",'SKU明细'!$A$11:$A$1309,0)),INDEX('SKU明细'!$BV$11:$BV$1309,MATCH("S02a-ND-41",'SKU明细'!$A$11:$A$1309,0)),INDEX('SKU明细'!$BV$11:$BV$1309,MATCH("S02a-ND-42",'SKU明细'!$A$11:$A$1309,0)))=4,SUM(INDEX('SKU明细'!$BV$11:$BV$1309,MATCH("S02a-ND-39",'SKU明细'!$A$11:$A$1309,0)),INDEX('SKU明细'!$BV$11:$BV$1309,MATCH("S02a-ND-40",'SKU明细'!$A$11:$A$1309,0)),INDEX('SKU明细'!$BV$11:$BV$1309,MATCH("S02a-ND-41",'SKU明细'!$A$11:$A$1309,0)),INDEX('SKU明细'!$BV$11:$BV$1309,MATCH("S02a-ND-42",'SKU明细'!$A$11:$A$1309,0))),"待核")</x:f>
        <x:v>1.3564844846809583</x:v>
      </x:c>
      <x:c r="X93" s="11" t="n">
        <x:f>INDEX('SKU明细'!$BW$11:$BW$1309,MATCH("S02a-ND-39",'SKU明细'!$A$11:$A$1309,0))</x:f>
        <x:v>0.7647664488148722</x:v>
      </x:c>
      <x:c r="Y93" s="13" t="n">
        <x:f>IF(COUNT(INDEX('SKU明细'!$BY$11:$BY$1309,MATCH("S02a-ND-39",'SKU明细'!$A$11:$A$1309,0)),INDEX('SKU明细'!$BY$11:$BY$1309,MATCH("S02a-ND-40",'SKU明细'!$A$11:$A$1309,0)),INDEX('SKU明细'!$BY$11:$BY$1309,MATCH("S02a-ND-41",'SKU明细'!$A$11:$A$1309,0)),INDEX('SKU明细'!$BY$11:$BY$1309,MATCH("S02a-ND-42",'SKU明细'!$A$11:$A$1309,0)))=4,SUM(INDEX('SKU明细'!$BY$11:$BY$1309,MATCH("S02a-ND-39",'SKU明细'!$A$11:$A$1309,0)),INDEX('SKU明细'!$BY$11:$BY$1309,MATCH("S02a-ND-40",'SKU明细'!$A$11:$A$1309,0)),INDEX('SKU明细'!$BY$11:$BY$1309,MATCH("S02a-ND-41",'SKU明细'!$A$11:$A$1309,0)),INDEX('SKU明细'!$BY$11:$BY$1309,MATCH("S02a-ND-42",'SKU明细'!$A$11:$A$1309,0))),"待核")</x:f>
        <x:v>12.448725866663139</x:v>
      </x:c>
      <x:c r="Z93" s="11" t="n">
        <x:f>INDEX('SKU明细'!$BZ$11:$BZ$1309,MATCH("S02a-ND-39",'SKU明细'!$A$11:$A$1309,0))</x:f>
        <x:v>1.5248287781391903</x:v>
      </x:c>
      <x:c r="AA93" s="13" t="n">
        <x:f>IF(COUNT(INDEX('SKU明细'!$CB$11:$CB$1309,MATCH("S02a-ND-39",'SKU明细'!$A$11:$A$1309,0)),INDEX('SKU明细'!$CB$11:$CB$1309,MATCH("S02a-ND-40",'SKU明细'!$A$11:$A$1309,0)),INDEX('SKU明细'!$CB$11:$CB$1309,MATCH("S02a-ND-41",'SKU明细'!$A$11:$A$1309,0)),INDEX('SKU明细'!$CB$11:$CB$1309,MATCH("S02a-ND-42",'SKU明细'!$A$11:$A$1309,0)))=4,SUM(INDEX('SKU明细'!$CB$11:$CB$1309,MATCH("S02a-ND-39",'SKU明细'!$A$11:$A$1309,0)),INDEX('SKU明细'!$CB$11:$CB$1309,MATCH("S02a-ND-40",'SKU明细'!$A$11:$A$1309,0)),INDEX('SKU明细'!$CB$11:$CB$1309,MATCH("S02a-ND-41",'SKU明细'!$A$11:$A$1309,0)),INDEX('SKU明细'!$CB$11:$CB$1309,MATCH("S02a-ND-42",'SKU明细'!$A$11:$A$1309,0))),"待核")</x:f>
        <x:v>62.05219738022504</x:v>
      </x:c>
      <x:c r="AB93" s="11" t="n">
        <x:f>INDEX('SKU明细'!$CC$11:$CC$1309,MATCH("S02a-ND-39",'SKU明细'!$A$11:$A$1309,0))</x:f>
        <x:v>1.2288250057360348</x:v>
      </x:c>
      <x:c r="AC93" s="13" t="n">
        <x:f>IF(COUNT(INDEX('SKU明细'!$CE$11:$CE$1309,MATCH("S02a-ND-39",'SKU明细'!$A$11:$A$1309,0)),INDEX('SKU明细'!$CE$11:$CE$1309,MATCH("S02a-ND-40",'SKU明细'!$A$11:$A$1309,0)),INDEX('SKU明细'!$CE$11:$CE$1309,MATCH("S02a-ND-41",'SKU明细'!$A$11:$A$1309,0)),INDEX('SKU明细'!$CE$11:$CE$1309,MATCH("S02a-ND-42",'SKU明细'!$A$11:$A$1309,0)))=4,SUM(INDEX('SKU明细'!$CE$11:$CE$1309,MATCH("S02a-ND-39",'SKU明细'!$A$11:$A$1309,0)),INDEX('SKU明细'!$CE$11:$CE$1309,MATCH("S02a-ND-40",'SKU明细'!$A$11:$A$1309,0)),INDEX('SKU明细'!$CE$11:$CE$1309,MATCH("S02a-ND-41",'SKU明细'!$A$11:$A$1309,0)),INDEX('SKU明细'!$CE$11:$CE$1309,MATCH("S02a-ND-42",'SKU明细'!$A$11:$A$1309,0))),"待核")</x:f>
        <x:v>51.673343694736545</x:v>
      </x:c>
      <x:c r="AD93" s="11" t="n">
        <x:f>INDEX('SKU明细'!$CF$11:$CF$1309,MATCH("S02a-ND-39",'SKU明细'!$A$11:$A$1309,0))</x:f>
        <x:v>1.2825767786356366</x:v>
      </x:c>
      <x:c r="AE93" s="13" t="n">
        <x:f>IF(COUNT(INDEX('SKU明细'!$CH$11:$CH$1309,MATCH("S02a-ND-39",'SKU明细'!$A$11:$A$1309,0)),INDEX('SKU明细'!$CH$11:$CH$1309,MATCH("S02a-ND-40",'SKU明细'!$A$11:$A$1309,0)),INDEX('SKU明细'!$CH$11:$CH$1309,MATCH("S02a-ND-41",'SKU明细'!$A$11:$A$1309,0)),INDEX('SKU明细'!$CH$11:$CH$1309,MATCH("S02a-ND-42",'SKU明细'!$A$11:$A$1309,0)))=4,SUM(INDEX('SKU明细'!$CH$11:$CH$1309,MATCH("S02a-ND-39",'SKU明细'!$A$11:$A$1309,0)),INDEX('SKU明细'!$CH$11:$CH$1309,MATCH("S02a-ND-40",'SKU明细'!$A$11:$A$1309,0)),INDEX('SKU明细'!$CH$11:$CH$1309,MATCH("S02a-ND-41",'SKU明细'!$A$11:$A$1309,0)),INDEX('SKU明细'!$CH$11:$CH$1309,MATCH("S02a-ND-42",'SKU明细'!$A$11:$A$1309,0))),"待核")</x:f>
        <x:v>29.57652351073252</x:v>
      </x:c>
      <x:c r="AF93" s="13" t="n">
        <x:f>IF(COUNT(INDEX('SKU明细'!$CI$11:$CI$1309,MATCH("S02a-ND-39",'SKU明细'!$A$11:$A$1309,0)),INDEX('SKU明细'!$CI$11:$CI$1309,MATCH("S02a-ND-40",'SKU明细'!$A$11:$A$1309,0)),INDEX('SKU明细'!$CI$11:$CI$1309,MATCH("S02a-ND-41",'SKU明细'!$A$11:$A$1309,0)),INDEX('SKU明细'!$CI$11:$CI$1309,MATCH("S02a-ND-42",'SKU明细'!$A$11:$A$1309,0)))=4,SUM(INDEX('SKU明细'!$CI$11:$CI$1309,MATCH("S02a-ND-39",'SKU明细'!$A$11:$A$1309,0)),INDEX('SKU明细'!$CI$11:$CI$1309,MATCH("S02a-ND-40",'SKU明细'!$A$11:$A$1309,0)),INDEX('SKU明细'!$CI$11:$CI$1309,MATCH("S02a-ND-41",'SKU明细'!$A$11:$A$1309,0)),INDEX('SKU明细'!$CI$11:$CI$1309,MATCH("S02a-ND-42",'SKU明细'!$A$11:$A$1309,0))),"待核")</x:f>
        <x:v>155.75079045235725</x:v>
      </x:c>
    </x:row>
    <x:row r="94" ht="40" customHeight="1">
      <x:c r="A94" s="35" t="str">
        <x:v>S02a</x:v>
      </x:c>
      <x:c r="B94" s="35" t="str">
        <x:v>陈晨</x:v>
      </x:c>
      <x:c r="C94" s="35" t="str">
        <x:v>裸色</x:v>
      </x:c>
      <x:c r="D94" s="35" t="str">
        <x:v>ND1</x:v>
      </x:c>
      <x:c r="E94" s="35" t="str">
        <x:v>S02a-ND1</x:v>
      </x:c>
      <x:c r="F94" s="35"/>
      <x:c r="G94" s="36" t="str">
        <x:f>"—"</x:f>
        <x:v>—</x:v>
      </x:c>
      <x:c r="H94" s="36" t="str">
        <x:f>"—"</x:f>
        <x:v>—</x:v>
      </x:c>
      <x:c r="I94" s="36" t="str">
        <x:f>"—"</x:f>
        <x:v>—</x:v>
      </x:c>
      <x:c r="J94" s="36" t="str">
        <x:f>"—"</x:f>
        <x:v>—</x:v>
      </x:c>
      <x:c r="K94" s="36" t="n">
        <x:f>IF(COUNT(INDEX('SKU明细'!$D$11:$D$1309,MATCH("S02a-ND1-38",'SKU明细'!$A$11:$A$1309,0)))=0,"待核",IF(COUNT(INDEX('SKU明细'!$D$11:$D$1309,MATCH("S02a-ND1-38",'SKU明细'!$A$11:$A$1309,0)))&lt;1,SUM(INDEX('SKU明细'!$D$11:$D$1309,MATCH("S02a-ND1-38",'SKU明细'!$A$11:$A$1309,0)))&amp;" + 待核",SUM(INDEX('SKU明细'!$D$11:$D$1309,MATCH("S02a-ND1-38",'SKU明细'!$A$11:$A$1309,0)))))</x:f>
        <x:v>0</x:v>
      </x:c>
      <x:c r="L94" s="36" t="str">
        <x:f>"—"</x:f>
        <x:v>—</x:v>
      </x:c>
      <x:c r="M94" s="36" t="str">
        <x:f>"—"</x:f>
        <x:v>—</x:v>
      </x:c>
      <x:c r="N94" s="36" t="str">
        <x:f>"—"</x:f>
        <x:v>—</x:v>
      </x:c>
      <x:c r="O94" s="36" t="n">
        <x:f>IF(COUNT(INDEX('SKU明细'!$D$11:$D$1309,MATCH("S02a-ND1-41",'SKU明细'!$A$11:$A$1309,0)))=0,"待核",IF(COUNT(INDEX('SKU明细'!$D$11:$D$1309,MATCH("S02a-ND1-41",'SKU明细'!$A$11:$A$1309,0)))&lt;1,SUM(INDEX('SKU明细'!$D$11:$D$1309,MATCH("S02a-ND1-41",'SKU明细'!$A$11:$A$1309,0)))&amp;" + 待核",SUM(INDEX('SKU明细'!$D$11:$D$1309,MATCH("S02a-ND1-41",'SKU明细'!$A$11:$A$1309,0)))))</x:f>
        <x:v>0</x:v>
      </x:c>
      <x:c r="P94" s="36" t="str">
        <x:f>"—"</x:f>
        <x:v>—</x:v>
      </x:c>
      <x:c r="Q94" s="36" t="n">
        <x:f>IF(COUNT(INDEX('SKU明细'!$D$11:$D$1309,MATCH("S02a-ND1-42",'SKU明细'!$A$11:$A$1309,0)))=0,"待核",IF(COUNT(INDEX('SKU明细'!$D$11:$D$1309,MATCH("S02a-ND1-42",'SKU明细'!$A$11:$A$1309,0)))&lt;1,SUM(INDEX('SKU明细'!$D$11:$D$1309,MATCH("S02a-ND1-42",'SKU明细'!$A$11:$A$1309,0)))&amp;" + 待核",SUM(INDEX('SKU明细'!$D$11:$D$1309,MATCH("S02a-ND1-42",'SKU明细'!$A$11:$A$1309,0)))))</x:f>
        <x:v>0</x:v>
      </x:c>
      <x:c r="R94" s="36" t="str">
        <x:f>"—"</x:f>
        <x:v>—</x:v>
      </x:c>
      <x:c r="S94" s="36" t="n">
        <x:f>IF(COUNT(INDEX('SKU明细'!$D$11:$D$1309,MATCH("S02a-ND1-38",'SKU明细'!$A$11:$A$1309,0)),INDEX('SKU明细'!$D$11:$D$1309,MATCH("S02a-ND1-41",'SKU明细'!$A$11:$A$1309,0)),INDEX('SKU明细'!$D$11:$D$1309,MATCH("S02a-ND1-42",'SKU明细'!$A$11:$A$1309,0)))=0,"待核",SUM(INDEX('SKU明细'!$D$11:$D$1309,MATCH("S02a-ND1-38",'SKU明细'!$A$11:$A$1309,0)),INDEX('SKU明细'!$D$11:$D$1309,MATCH("S02a-ND1-41",'SKU明细'!$A$11:$A$1309,0)),INDEX('SKU明细'!$D$11:$D$1309,MATCH("S02a-ND1-42",'SKU明细'!$A$11:$A$1309,0))))</x:f>
        <x:v>0</x:v>
      </x:c>
      <x:c r="T94" s="36" t="n">
        <x:f>IF(COUNTIFS($A$9:$A$191,A94,$U$9:$U$191,"&lt;&gt;待核")=0,"待核",SUMIF($A$9:$A$191,A94,$S$9:$S$191))</x:f>
        <x:v>208</x:v>
      </x:c>
      <x:c r="U94" s="35" t="str">
        <x:f>IF(COUNT(INDEX('SKU明细'!$D$11:$D$1309,MATCH("S02a-ND1-38",'SKU明细'!$A$11:$A$1309,0)),INDEX('SKU明细'!$D$11:$D$1309,MATCH("S02a-ND1-41",'SKU明细'!$A$11:$A$1309,0)),INDEX('SKU明细'!$D$11:$D$1309,MATCH("S02a-ND1-42",'SKU明细'!$A$11:$A$1309,0)))=0,"待核",IF(COUNT(INDEX('SKU明细'!$D$11:$D$1309,MATCH("S02a-ND1-38",'SKU明细'!$A$11:$A$1309,0)),INDEX('SKU明细'!$D$11:$D$1309,MATCH("S02a-ND1-41",'SKU明细'!$A$11:$A$1309,0)),INDEX('SKU明细'!$D$11:$D$1309,MATCH("S02a-ND1-42",'SKU明细'!$A$11:$A$1309,0)))&lt;3,"另有待核","已核"))</x:f>
        <x:v>已核</x:v>
      </x:c>
      <x:c r="V94" s="35" t="str">
        <x:v>在售、停售</x:v>
      </x:c>
      <x:c r="W94" s="11" t="n">
        <x:f>IF(COUNT(INDEX('SKU明细'!$BV$11:$BV$1309,MATCH("S02a-ND1-38",'SKU明细'!$A$11:$A$1309,0)),INDEX('SKU明细'!$BV$11:$BV$1309,MATCH("S02a-ND1-41",'SKU明细'!$A$11:$A$1309,0)),INDEX('SKU明细'!$BV$11:$BV$1309,MATCH("S02a-ND1-42",'SKU明细'!$A$11:$A$1309,0)))=3,SUM(INDEX('SKU明细'!$BV$11:$BV$1309,MATCH("S02a-ND1-38",'SKU明细'!$A$11:$A$1309,0)),INDEX('SKU明细'!$BV$11:$BV$1309,MATCH("S02a-ND1-41",'SKU明细'!$A$11:$A$1309,0)),INDEX('SKU明细'!$BV$11:$BV$1309,MATCH("S02a-ND1-42",'SKU明细'!$A$11:$A$1309,0))),"待核")</x:f>
        <x:v>0.36500451634025133</x:v>
      </x:c>
      <x:c r="X94" s="11" t="n">
        <x:f>INDEX('SKU明细'!$BW$11:$BW$1309,MATCH("S02a-ND1-38",'SKU明细'!$A$11:$A$1309,0))</x:f>
        <x:v>0.7647664488148722</x:v>
      </x:c>
      <x:c r="Y94" s="13" t="n">
        <x:f>IF(COUNT(INDEX('SKU明细'!$BY$11:$BY$1309,MATCH("S02a-ND1-38",'SKU明细'!$A$11:$A$1309,0)),INDEX('SKU明细'!$BY$11:$BY$1309,MATCH("S02a-ND1-41",'SKU明细'!$A$11:$A$1309,0)),INDEX('SKU明细'!$BY$11:$BY$1309,MATCH("S02a-ND1-42",'SKU明细'!$A$11:$A$1309,0)))=3,SUM(INDEX('SKU明细'!$BY$11:$BY$1309,MATCH("S02a-ND1-38",'SKU明细'!$A$11:$A$1309,0)),INDEX('SKU明细'!$BY$11:$BY$1309,MATCH("S02a-ND1-41",'SKU明细'!$A$11:$A$1309,0)),INDEX('SKU明细'!$BY$11:$BY$1309,MATCH("S02a-ND1-42",'SKU明细'!$A$11:$A$1309,0))),"待核")</x:f>
        <x:v>3.349718493155088</x:v>
      </x:c>
      <x:c r="Z94" s="11" t="n">
        <x:f>INDEX('SKU明细'!$BZ$11:$BZ$1309,MATCH("S02a-ND1-38",'SKU明细'!$A$11:$A$1309,0))</x:f>
        <x:v>1.5248287781391903</x:v>
      </x:c>
      <x:c r="AA94" s="13" t="n">
        <x:f>IF(COUNT(INDEX('SKU明细'!$CB$11:$CB$1309,MATCH("S02a-ND1-38",'SKU明细'!$A$11:$A$1309,0)),INDEX('SKU明细'!$CB$11:$CB$1309,MATCH("S02a-ND1-41",'SKU明细'!$A$11:$A$1309,0)),INDEX('SKU明细'!$CB$11:$CB$1309,MATCH("S02a-ND1-42",'SKU明细'!$A$11:$A$1309,0)))=3,SUM(INDEX('SKU明细'!$CB$11:$CB$1309,MATCH("S02a-ND1-38",'SKU明细'!$A$11:$A$1309,0)),INDEX('SKU明细'!$CB$11:$CB$1309,MATCH("S02a-ND1-41",'SKU明细'!$A$11:$A$1309,0)),INDEX('SKU明细'!$CB$11:$CB$1309,MATCH("S02a-ND1-42",'SKU明细'!$A$11:$A$1309,0))),"待核")</x:f>
        <x:v>16.697081719991747</x:v>
      </x:c>
      <x:c r="AB94" s="11" t="n">
        <x:f>INDEX('SKU明细'!$CC$11:$CC$1309,MATCH("S02a-ND1-38",'SKU明细'!$A$11:$A$1309,0))</x:f>
        <x:v>1.2288250057360348</x:v>
      </x:c>
      <x:c r="AC94" s="13" t="n">
        <x:f>IF(COUNT(INDEX('SKU明细'!$CE$11:$CE$1309,MATCH("S02a-ND1-38",'SKU明细'!$A$11:$A$1309,0)),INDEX('SKU明细'!$CE$11:$CE$1309,MATCH("S02a-ND1-41",'SKU明细'!$A$11:$A$1309,0)),INDEX('SKU明细'!$CE$11:$CE$1309,MATCH("S02a-ND1-42",'SKU明细'!$A$11:$A$1309,0)))=3,SUM(INDEX('SKU明细'!$CE$11:$CE$1309,MATCH("S02a-ND1-38",'SKU明细'!$A$11:$A$1309,0)),INDEX('SKU明细'!$CE$11:$CE$1309,MATCH("S02a-ND1-41",'SKU明细'!$A$11:$A$1309,0)),INDEX('SKU明细'!$CE$11:$CE$1309,MATCH("S02a-ND1-42",'SKU明细'!$A$11:$A$1309,0))),"待核")</x:f>
        <x:v>13.904326983450128</x:v>
      </x:c>
      <x:c r="AD94" s="11" t="n">
        <x:f>INDEX('SKU明细'!$CF$11:$CF$1309,MATCH("S02a-ND1-38",'SKU明细'!$A$11:$A$1309,0))</x:f>
        <x:v>1.2825767786356366</x:v>
      </x:c>
      <x:c r="AE94" s="13" t="n">
        <x:f>IF(COUNT(INDEX('SKU明细'!$CH$11:$CH$1309,MATCH("S02a-ND1-38",'SKU明细'!$A$11:$A$1309,0)),INDEX('SKU明细'!$CH$11:$CH$1309,MATCH("S02a-ND1-41",'SKU明细'!$A$11:$A$1309,0)),INDEX('SKU明细'!$CH$11:$CH$1309,MATCH("S02a-ND1-42",'SKU明细'!$A$11:$A$1309,0)))=3,SUM(INDEX('SKU明细'!$CH$11:$CH$1309,MATCH("S02a-ND1-38",'SKU明细'!$A$11:$A$1309,0)),INDEX('SKU明细'!$CH$11:$CH$1309,MATCH("S02a-ND1-41",'SKU明细'!$A$11:$A$1309,0)),INDEX('SKU明细'!$CH$11:$CH$1309,MATCH("S02a-ND1-42",'SKU明细'!$A$11:$A$1309,0))),"待核")</x:f>
        <x:v>7.9584873848373485</x:v>
      </x:c>
      <x:c r="AF94" s="13" t="n">
        <x:f>IF(COUNT(INDEX('SKU明细'!$CI$11:$CI$1309,MATCH("S02a-ND1-38",'SKU明细'!$A$11:$A$1309,0)),INDEX('SKU明细'!$CI$11:$CI$1309,MATCH("S02a-ND1-41",'SKU明细'!$A$11:$A$1309,0)),INDEX('SKU明细'!$CI$11:$CI$1309,MATCH("S02a-ND1-42",'SKU明细'!$A$11:$A$1309,0)))=3,SUM(INDEX('SKU明细'!$CI$11:$CI$1309,MATCH("S02a-ND1-38",'SKU明细'!$A$11:$A$1309,0)),INDEX('SKU明细'!$CI$11:$CI$1309,MATCH("S02a-ND1-41",'SKU明细'!$A$11:$A$1309,0)),INDEX('SKU明细'!$CI$11:$CI$1309,MATCH("S02a-ND1-42",'SKU明细'!$A$11:$A$1309,0))),"待核")</x:f>
        <x:v>41.909614581434305</x:v>
      </x:c>
    </x:row>
    <x:row r="95" ht="40" customHeight="1">
      <x:c r="A95" s="35" t="str">
        <x:v>S02a</x:v>
      </x:c>
      <x:c r="B95" s="35" t="str">
        <x:v>陈晨</x:v>
      </x:c>
      <x:c r="C95" s="35" t="str">
        <x:v>驼色</x:v>
      </x:c>
      <x:c r="D95" s="35" t="str">
        <x:v>TN</x:v>
      </x:c>
      <x:c r="E95" s="35" t="str">
        <x:v>S02a-TN</x:v>
      </x:c>
      <x:c r="F95" s="35"/>
      <x:c r="G95" s="36" t="str">
        <x:f>"—"</x:f>
        <x:v>—</x:v>
      </x:c>
      <x:c r="H95" s="36" t="n">
        <x:f>IF(COUNT(INDEX('SKU明细'!$D$11:$D$1309,MATCH("S02a-TN-37",'SKU明细'!$A$11:$A$1309,0)))=0,"待核",IF(COUNT(INDEX('SKU明细'!$D$11:$D$1309,MATCH("S02a-TN-37",'SKU明细'!$A$11:$A$1309,0)))&lt;1,SUM(INDEX('SKU明细'!$D$11:$D$1309,MATCH("S02a-TN-37",'SKU明细'!$A$11:$A$1309,0)))&amp;" + 待核",SUM(INDEX('SKU明细'!$D$11:$D$1309,MATCH("S02a-TN-37",'SKU明细'!$A$11:$A$1309,0)))))</x:f>
        <x:v>0</x:v>
      </x:c>
      <x:c r="I95" s="36" t="str">
        <x:f>"—"</x:f>
        <x:v>—</x:v>
      </x:c>
      <x:c r="J95" s="36" t="n">
        <x:f>IF(COUNT(INDEX('SKU明细'!$D$11:$D$1309,MATCH("S02a-TN-38",'SKU明细'!$A$11:$A$1309,0)))=0,"待核",IF(COUNT(INDEX('SKU明细'!$D$11:$D$1309,MATCH("S02a-TN-38",'SKU明细'!$A$11:$A$1309,0)))&lt;1,SUM(INDEX('SKU明细'!$D$11:$D$1309,MATCH("S02a-TN-38",'SKU明细'!$A$11:$A$1309,0)))&amp;" + 待核",SUM(INDEX('SKU明细'!$D$11:$D$1309,MATCH("S02a-TN-38",'SKU明细'!$A$11:$A$1309,0)))))</x:f>
        <x:v>0</x:v>
      </x:c>
      <x:c r="K95" s="36" t="str">
        <x:f>"—"</x:f>
        <x:v>—</x:v>
      </x:c>
      <x:c r="L95" s="36" t="n">
        <x:f>IF(COUNT(INDEX('SKU明细'!$D$11:$D$1309,MATCH("S02a-TN-39",'SKU明细'!$A$11:$A$1309,0)))=0,"待核",IF(COUNT(INDEX('SKU明细'!$D$11:$D$1309,MATCH("S02a-TN-39",'SKU明细'!$A$11:$A$1309,0)))&lt;1,SUM(INDEX('SKU明细'!$D$11:$D$1309,MATCH("S02a-TN-39",'SKU明细'!$A$11:$A$1309,0)))&amp;" + 待核",SUM(INDEX('SKU明细'!$D$11:$D$1309,MATCH("S02a-TN-39",'SKU明细'!$A$11:$A$1309,0)))))</x:f>
        <x:v>97</x:v>
      </x:c>
      <x:c r="M95" s="36" t="str">
        <x:f>"—"</x:f>
        <x:v>—</x:v>
      </x:c>
      <x:c r="N95" s="36" t="n">
        <x:f>IF(COUNT(INDEX('SKU明细'!$D$11:$D$1309,MATCH("S02a-TN-40",'SKU明细'!$A$11:$A$1309,0)))=0,"待核",IF(COUNT(INDEX('SKU明细'!$D$11:$D$1309,MATCH("S02a-TN-40",'SKU明细'!$A$11:$A$1309,0)))&lt;1,SUM(INDEX('SKU明细'!$D$11:$D$1309,MATCH("S02a-TN-40",'SKU明细'!$A$11:$A$1309,0)))&amp;" + 待核",SUM(INDEX('SKU明细'!$D$11:$D$1309,MATCH("S02a-TN-40",'SKU明细'!$A$11:$A$1309,0)))))</x:f>
        <x:v>18</x:v>
      </x:c>
      <x:c r="O95" s="36" t="str">
        <x:f>"—"</x:f>
        <x:v>—</x:v>
      </x:c>
      <x:c r="P95" s="36" t="n">
        <x:f>IF(COUNT(INDEX('SKU明细'!$D$11:$D$1309,MATCH("S02a-TN-41",'SKU明细'!$A$11:$A$1309,0)))=0,"待核",IF(COUNT(INDEX('SKU明细'!$D$11:$D$1309,MATCH("S02a-TN-41",'SKU明细'!$A$11:$A$1309,0)))&lt;1,SUM(INDEX('SKU明细'!$D$11:$D$1309,MATCH("S02a-TN-41",'SKU明细'!$A$11:$A$1309,0)))&amp;" + 待核",SUM(INDEX('SKU明细'!$D$11:$D$1309,MATCH("S02a-TN-41",'SKU明细'!$A$11:$A$1309,0)))))</x:f>
        <x:v>29</x:v>
      </x:c>
      <x:c r="Q95" s="36" t="str">
        <x:f>"—"</x:f>
        <x:v>—</x:v>
      </x:c>
      <x:c r="R95" s="36" t="n">
        <x:f>IF(COUNT(INDEX('SKU明细'!$D$11:$D$1309,MATCH("S02a-TN-42",'SKU明细'!$A$11:$A$1309,0)))=0,"待核",IF(COUNT(INDEX('SKU明细'!$D$11:$D$1309,MATCH("S02a-TN-42",'SKU明细'!$A$11:$A$1309,0)))&lt;1,SUM(INDEX('SKU明细'!$D$11:$D$1309,MATCH("S02a-TN-42",'SKU明细'!$A$11:$A$1309,0)))&amp;" + 待核",SUM(INDEX('SKU明细'!$D$11:$D$1309,MATCH("S02a-TN-42",'SKU明细'!$A$11:$A$1309,0)))))</x:f>
        <x:v>0</x:v>
      </x:c>
      <x:c r="S95" s="36" t="n">
        <x:f>IF(COUNT(INDEX('SKU明细'!$D$11:$D$1309,MATCH("S02a-TN-37",'SKU明细'!$A$11:$A$1309,0)),INDEX('SKU明细'!$D$11:$D$1309,MATCH("S02a-TN-38",'SKU明细'!$A$11:$A$1309,0)),INDEX('SKU明细'!$D$11:$D$1309,MATCH("S02a-TN-39",'SKU明细'!$A$11:$A$1309,0)),INDEX('SKU明细'!$D$11:$D$1309,MATCH("S02a-TN-40",'SKU明细'!$A$11:$A$1309,0)),INDEX('SKU明细'!$D$11:$D$1309,MATCH("S02a-TN-41",'SKU明细'!$A$11:$A$1309,0)),INDEX('SKU明细'!$D$11:$D$1309,MATCH("S02a-TN-42",'SKU明细'!$A$11:$A$1309,0)))=0,"待核",SUM(INDEX('SKU明细'!$D$11:$D$1309,MATCH("S02a-TN-37",'SKU明细'!$A$11:$A$1309,0)),INDEX('SKU明细'!$D$11:$D$1309,MATCH("S02a-TN-38",'SKU明细'!$A$11:$A$1309,0)),INDEX('SKU明细'!$D$11:$D$1309,MATCH("S02a-TN-39",'SKU明细'!$A$11:$A$1309,0)),INDEX('SKU明细'!$D$11:$D$1309,MATCH("S02a-TN-40",'SKU明细'!$A$11:$A$1309,0)),INDEX('SKU明细'!$D$11:$D$1309,MATCH("S02a-TN-41",'SKU明细'!$A$11:$A$1309,0)),INDEX('SKU明细'!$D$11:$D$1309,MATCH("S02a-TN-42",'SKU明细'!$A$11:$A$1309,0))))</x:f>
        <x:v>144</x:v>
      </x:c>
      <x:c r="T95" s="36" t="n">
        <x:f>IF(COUNTIFS($A$9:$A$191,A95,$U$9:$U$191,"&lt;&gt;待核")=0,"待核",SUMIF($A$9:$A$191,A95,$S$9:$S$191))</x:f>
        <x:v>208</x:v>
      </x:c>
      <x:c r="U95" s="35" t="str">
        <x:f>IF(COUNT(INDEX('SKU明细'!$D$11:$D$1309,MATCH("S02a-TN-37",'SKU明细'!$A$11:$A$1309,0)),INDEX('SKU明细'!$D$11:$D$1309,MATCH("S02a-TN-38",'SKU明细'!$A$11:$A$1309,0)),INDEX('SKU明细'!$D$11:$D$1309,MATCH("S02a-TN-39",'SKU明细'!$A$11:$A$1309,0)),INDEX('SKU明细'!$D$11:$D$1309,MATCH("S02a-TN-40",'SKU明细'!$A$11:$A$1309,0)),INDEX('SKU明细'!$D$11:$D$1309,MATCH("S02a-TN-41",'SKU明细'!$A$11:$A$1309,0)),INDEX('SKU明细'!$D$11:$D$1309,MATCH("S02a-TN-42",'SKU明细'!$A$11:$A$1309,0)))=0,"待核",IF(COUNT(INDEX('SKU明细'!$D$11:$D$1309,MATCH("S02a-TN-37",'SKU明细'!$A$11:$A$1309,0)),INDEX('SKU明细'!$D$11:$D$1309,MATCH("S02a-TN-38",'SKU明细'!$A$11:$A$1309,0)),INDEX('SKU明细'!$D$11:$D$1309,MATCH("S02a-TN-39",'SKU明细'!$A$11:$A$1309,0)),INDEX('SKU明细'!$D$11:$D$1309,MATCH("S02a-TN-40",'SKU明细'!$A$11:$A$1309,0)),INDEX('SKU明细'!$D$11:$D$1309,MATCH("S02a-TN-41",'SKU明细'!$A$11:$A$1309,0)),INDEX('SKU明细'!$D$11:$D$1309,MATCH("S02a-TN-42",'SKU明细'!$A$11:$A$1309,0)))&lt;6,"另有待核","已核"))</x:f>
        <x:v>已核</x:v>
      </x:c>
      <x:c r="V95" s="35" t="str">
        <x:v>在售</x:v>
      </x:c>
      <x:c r="W95" s="11" t="n">
        <x:f>IF(COUNT(INDEX('SKU明细'!$BV$11:$BV$1309,MATCH("S02a-TN-37",'SKU明细'!$A$11:$A$1309,0)),INDEX('SKU明细'!$BV$11:$BV$1309,MATCH("S02a-TN-38",'SKU明细'!$A$11:$A$1309,0)),INDEX('SKU明细'!$BV$11:$BV$1309,MATCH("S02a-TN-39",'SKU明细'!$A$11:$A$1309,0)),INDEX('SKU明细'!$BV$11:$BV$1309,MATCH("S02a-TN-40",'SKU明细'!$A$11:$A$1309,0)),INDEX('SKU明细'!$BV$11:$BV$1309,MATCH("S02a-TN-41",'SKU明细'!$A$11:$A$1309,0)),INDEX('SKU明细'!$BV$11:$BV$1309,MATCH("S02a-TN-42",'SKU明细'!$A$11:$A$1309,0)))=6,SUM(INDEX('SKU明细'!$BV$11:$BV$1309,MATCH("S02a-TN-37",'SKU明细'!$A$11:$A$1309,0)),INDEX('SKU明细'!$BV$11:$BV$1309,MATCH("S02a-TN-38",'SKU明细'!$A$11:$A$1309,0)),INDEX('SKU明细'!$BV$11:$BV$1309,MATCH("S02a-TN-39",'SKU明细'!$A$11:$A$1309,0)),INDEX('SKU明细'!$BV$11:$BV$1309,MATCH("S02a-TN-40",'SKU明细'!$A$11:$A$1309,0)),INDEX('SKU明细'!$BV$11:$BV$1309,MATCH("S02a-TN-41",'SKU明细'!$A$11:$A$1309,0)),INDEX('SKU明细'!$BV$11:$BV$1309,MATCH("S02a-TN-42",'SKU明细'!$A$11:$A$1309,0))),"待核")</x:f>
        <x:v>3.2506662191666598</x:v>
      </x:c>
      <x:c r="X95" s="11" t="n">
        <x:f>INDEX('SKU明细'!$BW$11:$BW$1309,MATCH("S02a-TN-37",'SKU明细'!$A$11:$A$1309,0))</x:f>
        <x:v>0.7647664488148722</x:v>
      </x:c>
      <x:c r="Y95" s="13" t="n">
        <x:f>IF(COUNT(INDEX('SKU明细'!$BY$11:$BY$1309,MATCH("S02a-TN-37",'SKU明细'!$A$11:$A$1309,0)),INDEX('SKU明细'!$BY$11:$BY$1309,MATCH("S02a-TN-38",'SKU明细'!$A$11:$A$1309,0)),INDEX('SKU明细'!$BY$11:$BY$1309,MATCH("S02a-TN-39",'SKU明细'!$A$11:$A$1309,0)),INDEX('SKU明细'!$BY$11:$BY$1309,MATCH("S02a-TN-40",'SKU明细'!$A$11:$A$1309,0)),INDEX('SKU明细'!$BY$11:$BY$1309,MATCH("S02a-TN-41",'SKU明细'!$A$11:$A$1309,0)),INDEX('SKU明细'!$BY$11:$BY$1309,MATCH("S02a-TN-42",'SKU明细'!$A$11:$A$1309,0)))=6,SUM(INDEX('SKU明细'!$BY$11:$BY$1309,MATCH("S02a-TN-37",'SKU明细'!$A$11:$A$1309,0)),INDEX('SKU明细'!$BY$11:$BY$1309,MATCH("S02a-TN-38",'SKU明细'!$A$11:$A$1309,0)),INDEX('SKU明细'!$BY$11:$BY$1309,MATCH("S02a-TN-39",'SKU明细'!$A$11:$A$1309,0)),INDEX('SKU明细'!$BY$11:$BY$1309,MATCH("S02a-TN-40",'SKU明细'!$A$11:$A$1309,0)),INDEX('SKU明细'!$BY$11:$BY$1309,MATCH("S02a-TN-41",'SKU明细'!$A$11:$A$1309,0)),INDEX('SKU明细'!$BY$11:$BY$1309,MATCH("S02a-TN-42",'SKU明细'!$A$11:$A$1309,0))),"待核")</x:f>
        <x:v>29.83200552857464</x:v>
      </x:c>
      <x:c r="Z95" s="11" t="n">
        <x:f>INDEX('SKU明细'!$BZ$11:$BZ$1309,MATCH("S02a-TN-37",'SKU明细'!$A$11:$A$1309,0))</x:f>
        <x:v>1.5248287781391903</x:v>
      </x:c>
      <x:c r="AA95" s="13" t="n">
        <x:f>IF(COUNT(INDEX('SKU明细'!$CB$11:$CB$1309,MATCH("S02a-TN-37",'SKU明细'!$A$11:$A$1309,0)),INDEX('SKU明细'!$CB$11:$CB$1309,MATCH("S02a-TN-38",'SKU明细'!$A$11:$A$1309,0)),INDEX('SKU明细'!$CB$11:$CB$1309,MATCH("S02a-TN-39",'SKU明细'!$A$11:$A$1309,0)),INDEX('SKU明细'!$CB$11:$CB$1309,MATCH("S02a-TN-40",'SKU明细'!$A$11:$A$1309,0)),INDEX('SKU明细'!$CB$11:$CB$1309,MATCH("S02a-TN-41",'SKU明细'!$A$11:$A$1309,0)),INDEX('SKU明细'!$CB$11:$CB$1309,MATCH("S02a-TN-42",'SKU明细'!$A$11:$A$1309,0)))=6,SUM(INDEX('SKU明细'!$CB$11:$CB$1309,MATCH("S02a-TN-37",'SKU明细'!$A$11:$A$1309,0)),INDEX('SKU明细'!$CB$11:$CB$1309,MATCH("S02a-TN-38",'SKU明细'!$A$11:$A$1309,0)),INDEX('SKU明细'!$CB$11:$CB$1309,MATCH("S02a-TN-39",'SKU明细'!$A$11:$A$1309,0)),INDEX('SKU明细'!$CB$11:$CB$1309,MATCH("S02a-TN-40",'SKU明细'!$A$11:$A$1309,0)),INDEX('SKU明细'!$CB$11:$CB$1309,MATCH("S02a-TN-41",'SKU明细'!$A$11:$A$1309,0)),INDEX('SKU明细'!$CB$11:$CB$1309,MATCH("S02a-TN-42",'SKU明细'!$A$11:$A$1309,0))),"待核")</x:f>
        <x:v>148.70128197330715</x:v>
      </x:c>
      <x:c r="AB95" s="11" t="n">
        <x:f>INDEX('SKU明细'!$CC$11:$CC$1309,MATCH("S02a-TN-37",'SKU明细'!$A$11:$A$1309,0))</x:f>
        <x:v>1.2288250057360348</x:v>
      </x:c>
      <x:c r="AC95" s="13" t="n">
        <x:f>IF(COUNT(INDEX('SKU明细'!$CE$11:$CE$1309,MATCH("S02a-TN-37",'SKU明细'!$A$11:$A$1309,0)),INDEX('SKU明细'!$CE$11:$CE$1309,MATCH("S02a-TN-38",'SKU明细'!$A$11:$A$1309,0)),INDEX('SKU明细'!$CE$11:$CE$1309,MATCH("S02a-TN-39",'SKU明细'!$A$11:$A$1309,0)),INDEX('SKU明细'!$CE$11:$CE$1309,MATCH("S02a-TN-40",'SKU明细'!$A$11:$A$1309,0)),INDEX('SKU明细'!$CE$11:$CE$1309,MATCH("S02a-TN-41",'SKU明细'!$A$11:$A$1309,0)),INDEX('SKU明细'!$CE$11:$CE$1309,MATCH("S02a-TN-42",'SKU明细'!$A$11:$A$1309,0)))=6,SUM(INDEX('SKU明细'!$CE$11:$CE$1309,MATCH("S02a-TN-37",'SKU明细'!$A$11:$A$1309,0)),INDEX('SKU明细'!$CE$11:$CE$1309,MATCH("S02a-TN-38",'SKU明细'!$A$11:$A$1309,0)),INDEX('SKU明细'!$CE$11:$CE$1309,MATCH("S02a-TN-39",'SKU明细'!$A$11:$A$1309,0)),INDEX('SKU明细'!$CE$11:$CE$1309,MATCH("S02a-TN-40",'SKU明细'!$A$11:$A$1309,0)),INDEX('SKU明细'!$CE$11:$CE$1309,MATCH("S02a-TN-41",'SKU明细'!$A$11:$A$1309,0)),INDEX('SKU明细'!$CE$11:$CE$1309,MATCH("S02a-TN-42",'SKU明细'!$A$11:$A$1309,0))),"待核")</x:f>
        <x:v>123.82949799781555</x:v>
      </x:c>
      <x:c r="AD95" s="11" t="n">
        <x:f>INDEX('SKU明细'!$CF$11:$CF$1309,MATCH("S02a-TN-37",'SKU明细'!$A$11:$A$1309,0))</x:f>
        <x:v>1.2825767786356366</x:v>
      </x:c>
      <x:c r="AE95" s="13" t="n">
        <x:f>IF(COUNT(INDEX('SKU明细'!$CH$11:$CH$1309,MATCH("S02a-TN-37",'SKU明细'!$A$11:$A$1309,0)),INDEX('SKU明细'!$CH$11:$CH$1309,MATCH("S02a-TN-38",'SKU明细'!$A$11:$A$1309,0)),INDEX('SKU明细'!$CH$11:$CH$1309,MATCH("S02a-TN-39",'SKU明细'!$A$11:$A$1309,0)),INDEX('SKU明细'!$CH$11:$CH$1309,MATCH("S02a-TN-40",'SKU明细'!$A$11:$A$1309,0)),INDEX('SKU明细'!$CH$11:$CH$1309,MATCH("S02a-TN-41",'SKU明细'!$A$11:$A$1309,0)),INDEX('SKU明细'!$CH$11:$CH$1309,MATCH("S02a-TN-42",'SKU明细'!$A$11:$A$1309,0)))=6,SUM(INDEX('SKU明细'!$CH$11:$CH$1309,MATCH("S02a-TN-37",'SKU明细'!$A$11:$A$1309,0)),INDEX('SKU明细'!$CH$11:$CH$1309,MATCH("S02a-TN-38",'SKU明细'!$A$11:$A$1309,0)),INDEX('SKU明细'!$CH$11:$CH$1309,MATCH("S02a-TN-39",'SKU明细'!$A$11:$A$1309,0)),INDEX('SKU明细'!$CH$11:$CH$1309,MATCH("S02a-TN-40",'SKU明细'!$A$11:$A$1309,0)),INDEX('SKU明细'!$CH$11:$CH$1309,MATCH("S02a-TN-41",'SKU明细'!$A$11:$A$1309,0)),INDEX('SKU明细'!$CH$11:$CH$1309,MATCH("S02a-TN-42",'SKU明细'!$A$11:$A$1309,0))),"待核")</x:f>
        <x:v>70.87689313257378</x:v>
      </x:c>
      <x:c r="AF95" s="13" t="n">
        <x:f>IF(COUNT(INDEX('SKU明细'!$CI$11:$CI$1309,MATCH("S02a-TN-37",'SKU明细'!$A$11:$A$1309,0)),INDEX('SKU明细'!$CI$11:$CI$1309,MATCH("S02a-TN-38",'SKU明细'!$A$11:$A$1309,0)),INDEX('SKU明细'!$CI$11:$CI$1309,MATCH("S02a-TN-39",'SKU明细'!$A$11:$A$1309,0)),INDEX('SKU明细'!$CI$11:$CI$1309,MATCH("S02a-TN-40",'SKU明细'!$A$11:$A$1309,0)),INDEX('SKU明细'!$CI$11:$CI$1309,MATCH("S02a-TN-41",'SKU明细'!$A$11:$A$1309,0)),INDEX('SKU明细'!$CI$11:$CI$1309,MATCH("S02a-TN-42",'SKU明细'!$A$11:$A$1309,0)))=6,SUM(INDEX('SKU明细'!$CI$11:$CI$1309,MATCH("S02a-TN-37",'SKU明细'!$A$11:$A$1309,0)),INDEX('SKU明细'!$CI$11:$CI$1309,MATCH("S02a-TN-38",'SKU明细'!$A$11:$A$1309,0)),INDEX('SKU明细'!$CI$11:$CI$1309,MATCH("S02a-TN-39",'SKU明细'!$A$11:$A$1309,0)),INDEX('SKU明细'!$CI$11:$CI$1309,MATCH("S02a-TN-40",'SKU明细'!$A$11:$A$1309,0)),INDEX('SKU明细'!$CI$11:$CI$1309,MATCH("S02a-TN-41",'SKU明细'!$A$11:$A$1309,0)),INDEX('SKU明细'!$CI$11:$CI$1309,MATCH("S02a-TN-42",'SKU明细'!$A$11:$A$1309,0))),"待核")</x:f>
        <x:v>373.2396786322712</x:v>
      </x:c>
    </x:row>
    <x:row r="96" ht="40" customHeight="1">
      <x:c r="A96" s="35" t="str">
        <x:v>S02a</x:v>
      </x:c>
      <x:c r="B96" s="35" t="str">
        <x:v>陈晨</x:v>
      </x:c>
      <x:c r="C96" s="35" t="str">
        <x:v>驼色</x:v>
      </x:c>
      <x:c r="D96" s="35" t="str">
        <x:v>TN1</x:v>
      </x:c>
      <x:c r="E96" s="35" t="str">
        <x:v>S02a-TN1</x:v>
      </x:c>
      <x:c r="F96" s="35"/>
      <x:c r="G96" s="36" t="str">
        <x:f>"—"</x:f>
        <x:v>—</x:v>
      </x:c>
      <x:c r="H96" s="36" t="str">
        <x:f>"—"</x:f>
        <x:v>—</x:v>
      </x:c>
      <x:c r="I96" s="36" t="n">
        <x:f>IF(COUNT(INDEX('SKU明细'!$D$11:$D$1309,MATCH("S02a-TN1-37",'SKU明细'!$A$11:$A$1309,0)))=0,"待核",IF(COUNT(INDEX('SKU明细'!$D$11:$D$1309,MATCH("S02a-TN1-37",'SKU明细'!$A$11:$A$1309,0)))&lt;1,SUM(INDEX('SKU明细'!$D$11:$D$1309,MATCH("S02a-TN1-37",'SKU明细'!$A$11:$A$1309,0)))&amp;" + 待核",SUM(INDEX('SKU明细'!$D$11:$D$1309,MATCH("S02a-TN1-37",'SKU明细'!$A$11:$A$1309,0)))))</x:f>
        <x:v>0</x:v>
      </x:c>
      <x:c r="J96" s="36" t="str">
        <x:f>"—"</x:f>
        <x:v>—</x:v>
      </x:c>
      <x:c r="K96" s="36" t="n">
        <x:f>IF(COUNT(INDEX('SKU明细'!$D$11:$D$1309,MATCH("S02a-TN1-38",'SKU明细'!$A$11:$A$1309,0)))=0,"待核",IF(COUNT(INDEX('SKU明细'!$D$11:$D$1309,MATCH("S02a-TN1-38",'SKU明细'!$A$11:$A$1309,0)))&lt;1,SUM(INDEX('SKU明细'!$D$11:$D$1309,MATCH("S02a-TN1-38",'SKU明细'!$A$11:$A$1309,0)))&amp;" + 待核",SUM(INDEX('SKU明细'!$D$11:$D$1309,MATCH("S02a-TN1-38",'SKU明细'!$A$11:$A$1309,0)))))</x:f>
        <x:v>0</x:v>
      </x:c>
      <x:c r="L96" s="36" t="str">
        <x:f>"—"</x:f>
        <x:v>—</x:v>
      </x:c>
      <x:c r="M96" s="36" t="n">
        <x:f>IF(COUNT(INDEX('SKU明细'!$D$11:$D$1309,MATCH("S02a-TN1-40",'SKU明细'!$A$11:$A$1309,0)))=0,"待核",IF(COUNT(INDEX('SKU明细'!$D$11:$D$1309,MATCH("S02a-TN1-40",'SKU明细'!$A$11:$A$1309,0)))&lt;1,SUM(INDEX('SKU明细'!$D$11:$D$1309,MATCH("S02a-TN1-40",'SKU明细'!$A$11:$A$1309,0)))&amp;" + 待核",SUM(INDEX('SKU明细'!$D$11:$D$1309,MATCH("S02a-TN1-40",'SKU明细'!$A$11:$A$1309,0)))))</x:f>
        <x:v>6</x:v>
      </x:c>
      <x:c r="N96" s="36" t="str">
        <x:f>"—"</x:f>
        <x:v>—</x:v>
      </x:c>
      <x:c r="O96" s="36" t="n">
        <x:f>IF(COUNT(INDEX('SKU明细'!$D$11:$D$1309,MATCH("S02a-TN1-41",'SKU明细'!$A$11:$A$1309,0)))=0,"待核",IF(COUNT(INDEX('SKU明细'!$D$11:$D$1309,MATCH("S02a-TN1-41",'SKU明细'!$A$11:$A$1309,0)))&lt;1,SUM(INDEX('SKU明细'!$D$11:$D$1309,MATCH("S02a-TN1-41",'SKU明细'!$A$11:$A$1309,0)))&amp;" + 待核",SUM(INDEX('SKU明细'!$D$11:$D$1309,MATCH("S02a-TN1-41",'SKU明细'!$A$11:$A$1309,0)))))</x:f>
        <x:v>13</x:v>
      </x:c>
      <x:c r="P96" s="36" t="str">
        <x:f>"—"</x:f>
        <x:v>—</x:v>
      </x:c>
      <x:c r="Q96" s="36" t="n">
        <x:f>IF(COUNT(INDEX('SKU明细'!$D$11:$D$1309,MATCH("S02a-TN1-42",'SKU明细'!$A$11:$A$1309,0)))=0,"待核",IF(COUNT(INDEX('SKU明细'!$D$11:$D$1309,MATCH("S02a-TN1-42",'SKU明细'!$A$11:$A$1309,0)))&lt;1,SUM(INDEX('SKU明细'!$D$11:$D$1309,MATCH("S02a-TN1-42",'SKU明细'!$A$11:$A$1309,0)))&amp;" + 待核",SUM(INDEX('SKU明细'!$D$11:$D$1309,MATCH("S02a-TN1-42",'SKU明细'!$A$11:$A$1309,0)))))</x:f>
        <x:v>0</x:v>
      </x:c>
      <x:c r="R96" s="36" t="str">
        <x:f>"—"</x:f>
        <x:v>—</x:v>
      </x:c>
      <x:c r="S96" s="36" t="n">
        <x:f>IF(COUNT(INDEX('SKU明细'!$D$11:$D$1309,MATCH("S02a-TN1-37",'SKU明细'!$A$11:$A$1309,0)),INDEX('SKU明细'!$D$11:$D$1309,MATCH("S02a-TN1-38",'SKU明细'!$A$11:$A$1309,0)),INDEX('SKU明细'!$D$11:$D$1309,MATCH("S02a-TN1-40",'SKU明细'!$A$11:$A$1309,0)),INDEX('SKU明细'!$D$11:$D$1309,MATCH("S02a-TN1-41",'SKU明细'!$A$11:$A$1309,0)),INDEX('SKU明细'!$D$11:$D$1309,MATCH("S02a-TN1-42",'SKU明细'!$A$11:$A$1309,0)))=0,"待核",SUM(INDEX('SKU明细'!$D$11:$D$1309,MATCH("S02a-TN1-37",'SKU明细'!$A$11:$A$1309,0)),INDEX('SKU明细'!$D$11:$D$1309,MATCH("S02a-TN1-38",'SKU明细'!$A$11:$A$1309,0)),INDEX('SKU明细'!$D$11:$D$1309,MATCH("S02a-TN1-40",'SKU明细'!$A$11:$A$1309,0)),INDEX('SKU明细'!$D$11:$D$1309,MATCH("S02a-TN1-41",'SKU明细'!$A$11:$A$1309,0)),INDEX('SKU明细'!$D$11:$D$1309,MATCH("S02a-TN1-42",'SKU明细'!$A$11:$A$1309,0))))</x:f>
        <x:v>19</x:v>
      </x:c>
      <x:c r="T96" s="36" t="n">
        <x:f>IF(COUNTIFS($A$9:$A$191,A96,$U$9:$U$191,"&lt;&gt;待核")=0,"待核",SUMIF($A$9:$A$191,A96,$S$9:$S$191))</x:f>
        <x:v>208</x:v>
      </x:c>
      <x:c r="U96" s="35" t="str">
        <x:f>IF(COUNT(INDEX('SKU明细'!$D$11:$D$1309,MATCH("S02a-TN1-37",'SKU明细'!$A$11:$A$1309,0)),INDEX('SKU明细'!$D$11:$D$1309,MATCH("S02a-TN1-38",'SKU明细'!$A$11:$A$1309,0)),INDEX('SKU明细'!$D$11:$D$1309,MATCH("S02a-TN1-40",'SKU明细'!$A$11:$A$1309,0)),INDEX('SKU明细'!$D$11:$D$1309,MATCH("S02a-TN1-41",'SKU明细'!$A$11:$A$1309,0)),INDEX('SKU明细'!$D$11:$D$1309,MATCH("S02a-TN1-42",'SKU明细'!$A$11:$A$1309,0)))=0,"待核",IF(COUNT(INDEX('SKU明细'!$D$11:$D$1309,MATCH("S02a-TN1-37",'SKU明细'!$A$11:$A$1309,0)),INDEX('SKU明细'!$D$11:$D$1309,MATCH("S02a-TN1-38",'SKU明细'!$A$11:$A$1309,0)),INDEX('SKU明细'!$D$11:$D$1309,MATCH("S02a-TN1-40",'SKU明细'!$A$11:$A$1309,0)),INDEX('SKU明细'!$D$11:$D$1309,MATCH("S02a-TN1-41",'SKU明细'!$A$11:$A$1309,0)),INDEX('SKU明细'!$D$11:$D$1309,MATCH("S02a-TN1-42",'SKU明细'!$A$11:$A$1309,0)))&lt;5,"另有待核","已核"))</x:f>
        <x:v>已核</x:v>
      </x:c>
      <x:c r="V96" s="35" t="str">
        <x:v>在售</x:v>
      </x:c>
      <x:c r="W96" s="11" t="n">
        <x:f>IF(COUNT(INDEX('SKU明细'!$BV$11:$BV$1309,MATCH("S02a-TN1-37",'SKU明细'!$A$11:$A$1309,0)),INDEX('SKU明细'!$BV$11:$BV$1309,MATCH("S02a-TN1-38",'SKU明细'!$A$11:$A$1309,0)),INDEX('SKU明细'!$BV$11:$BV$1309,MATCH("S02a-TN1-40",'SKU明细'!$A$11:$A$1309,0)),INDEX('SKU明细'!$BV$11:$BV$1309,MATCH("S02a-TN1-41",'SKU明细'!$A$11:$A$1309,0)),INDEX('SKU明细'!$BV$11:$BV$1309,MATCH("S02a-TN1-42",'SKU明细'!$A$11:$A$1309,0)))=5,SUM(INDEX('SKU明细'!$BV$11:$BV$1309,MATCH("S02a-TN1-37",'SKU明细'!$A$11:$A$1309,0)),INDEX('SKU明细'!$BV$11:$BV$1309,MATCH("S02a-TN1-38",'SKU明细'!$A$11:$A$1309,0)),INDEX('SKU明细'!$BV$11:$BV$1309,MATCH("S02a-TN1-40",'SKU明细'!$A$11:$A$1309,0)),INDEX('SKU明细'!$BV$11:$BV$1309,MATCH("S02a-TN1-41",'SKU明细'!$A$11:$A$1309,0)),INDEX('SKU明细'!$BV$11:$BV$1309,MATCH("S02a-TN1-42",'SKU明细'!$A$11:$A$1309,0))),"待核")</x:f>
        <x:v>1.3954623274593692</x:v>
      </x:c>
      <x:c r="X96" s="11" t="n">
        <x:f>INDEX('SKU明细'!$BW$11:$BW$1309,MATCH("S02a-TN1-37",'SKU明细'!$A$11:$A$1309,0))</x:f>
        <x:v>0.7647664488148722</x:v>
      </x:c>
      <x:c r="Y96" s="13" t="n">
        <x:f>IF(COUNT(INDEX('SKU明细'!$BY$11:$BY$1309,MATCH("S02a-TN1-37",'SKU明细'!$A$11:$A$1309,0)),INDEX('SKU明细'!$BY$11:$BY$1309,MATCH("S02a-TN1-38",'SKU明细'!$A$11:$A$1309,0)),INDEX('SKU明细'!$BY$11:$BY$1309,MATCH("S02a-TN1-40",'SKU明细'!$A$11:$A$1309,0)),INDEX('SKU明细'!$BY$11:$BY$1309,MATCH("S02a-TN1-41",'SKU明细'!$A$11:$A$1309,0)),INDEX('SKU明细'!$BY$11:$BY$1309,MATCH("S02a-TN1-42",'SKU明细'!$A$11:$A$1309,0)))=5,SUM(INDEX('SKU明细'!$BY$11:$BY$1309,MATCH("S02a-TN1-37",'SKU明细'!$A$11:$A$1309,0)),INDEX('SKU明细'!$BY$11:$BY$1309,MATCH("S02a-TN1-38",'SKU明细'!$A$11:$A$1309,0)),INDEX('SKU明细'!$BY$11:$BY$1309,MATCH("S02a-TN1-40",'SKU明细'!$A$11:$A$1309,0)),INDEX('SKU明细'!$BY$11:$BY$1309,MATCH("S02a-TN1-41",'SKU明细'!$A$11:$A$1309,0)),INDEX('SKU明细'!$BY$11:$BY$1309,MATCH("S02a-TN1-42",'SKU明细'!$A$11:$A$1309,0))),"待核")</x:f>
        <x:v>12.80643322351246</x:v>
      </x:c>
      <x:c r="Z96" s="11" t="n">
        <x:f>INDEX('SKU明细'!$BZ$11:$BZ$1309,MATCH("S02a-TN1-37",'SKU明细'!$A$11:$A$1309,0))</x:f>
        <x:v>1.5248287781391903</x:v>
      </x:c>
      <x:c r="AA96" s="13" t="n">
        <x:f>IF(COUNT(INDEX('SKU明细'!$CB$11:$CB$1309,MATCH("S02a-TN1-37",'SKU明细'!$A$11:$A$1309,0)),INDEX('SKU明细'!$CB$11:$CB$1309,MATCH("S02a-TN1-38",'SKU明细'!$A$11:$A$1309,0)),INDEX('SKU明细'!$CB$11:$CB$1309,MATCH("S02a-TN1-40",'SKU明细'!$A$11:$A$1309,0)),INDEX('SKU明细'!$CB$11:$CB$1309,MATCH("S02a-TN1-41",'SKU明细'!$A$11:$A$1309,0)),INDEX('SKU明细'!$CB$11:$CB$1309,MATCH("S02a-TN1-42",'SKU明细'!$A$11:$A$1309,0)))=5,SUM(INDEX('SKU明细'!$CB$11:$CB$1309,MATCH("S02a-TN1-37",'SKU明细'!$A$11:$A$1309,0)),INDEX('SKU明细'!$CB$11:$CB$1309,MATCH("S02a-TN1-38",'SKU明细'!$A$11:$A$1309,0)),INDEX('SKU明细'!$CB$11:$CB$1309,MATCH("S02a-TN1-40",'SKU明细'!$A$11:$A$1309,0)),INDEX('SKU明细'!$CB$11:$CB$1309,MATCH("S02a-TN1-41",'SKU明细'!$A$11:$A$1309,0)),INDEX('SKU明细'!$CB$11:$CB$1309,MATCH("S02a-TN1-42",'SKU明细'!$A$11:$A$1309,0))),"待核")</x:f>
        <x:v>63.83523347157423</x:v>
      </x:c>
      <x:c r="AB96" s="11" t="n">
        <x:f>INDEX('SKU明细'!$CC$11:$CC$1309,MATCH("S02a-TN1-37",'SKU明细'!$A$11:$A$1309,0))</x:f>
        <x:v>1.2288250057360348</x:v>
      </x:c>
      <x:c r="AC96" s="13" t="n">
        <x:f>IF(COUNT(INDEX('SKU明细'!$CE$11:$CE$1309,MATCH("S02a-TN1-37",'SKU明细'!$A$11:$A$1309,0)),INDEX('SKU明细'!$CE$11:$CE$1309,MATCH("S02a-TN1-38",'SKU明细'!$A$11:$A$1309,0)),INDEX('SKU明细'!$CE$11:$CE$1309,MATCH("S02a-TN1-40",'SKU明细'!$A$11:$A$1309,0)),INDEX('SKU明细'!$CE$11:$CE$1309,MATCH("S02a-TN1-41",'SKU明细'!$A$11:$A$1309,0)),INDEX('SKU明细'!$CE$11:$CE$1309,MATCH("S02a-TN1-42",'SKU明细'!$A$11:$A$1309,0)))=5,SUM(INDEX('SKU明细'!$CE$11:$CE$1309,MATCH("S02a-TN1-37",'SKU明细'!$A$11:$A$1309,0)),INDEX('SKU明细'!$CE$11:$CE$1309,MATCH("S02a-TN1-38",'SKU明细'!$A$11:$A$1309,0)),INDEX('SKU明细'!$CE$11:$CE$1309,MATCH("S02a-TN1-40",'SKU明细'!$A$11:$A$1309,0)),INDEX('SKU明细'!$CE$11:$CE$1309,MATCH("S02a-TN1-41",'SKU明细'!$A$11:$A$1309,0)),INDEX('SKU明细'!$CE$11:$CE$1309,MATCH("S02a-TN1-42",'SKU明细'!$A$11:$A$1309,0))),"待核")</x:f>
        <x:v>53.158149078885074</x:v>
      </x:c>
      <x:c r="AD96" s="11" t="n">
        <x:f>INDEX('SKU明细'!$CF$11:$CF$1309,MATCH("S02a-TN1-37",'SKU明细'!$A$11:$A$1309,0))</x:f>
        <x:v>1.2825767786356366</x:v>
      </x:c>
      <x:c r="AE96" s="13" t="n">
        <x:f>IF(COUNT(INDEX('SKU明细'!$CH$11:$CH$1309,MATCH("S02a-TN1-37",'SKU明细'!$A$11:$A$1309,0)),INDEX('SKU明细'!$CH$11:$CH$1309,MATCH("S02a-TN1-38",'SKU明细'!$A$11:$A$1309,0)),INDEX('SKU明细'!$CH$11:$CH$1309,MATCH("S02a-TN1-40",'SKU明细'!$A$11:$A$1309,0)),INDEX('SKU明细'!$CH$11:$CH$1309,MATCH("S02a-TN1-41",'SKU明细'!$A$11:$A$1309,0)),INDEX('SKU明细'!$CH$11:$CH$1309,MATCH("S02a-TN1-42",'SKU明细'!$A$11:$A$1309,0)))=5,SUM(INDEX('SKU明细'!$CH$11:$CH$1309,MATCH("S02a-TN1-37",'SKU明细'!$A$11:$A$1309,0)),INDEX('SKU明细'!$CH$11:$CH$1309,MATCH("S02a-TN1-38",'SKU明细'!$A$11:$A$1309,0)),INDEX('SKU明细'!$CH$11:$CH$1309,MATCH("S02a-TN1-40",'SKU明细'!$A$11:$A$1309,0)),INDEX('SKU明细'!$CH$11:$CH$1309,MATCH("S02a-TN1-41",'SKU明细'!$A$11:$A$1309,0)),INDEX('SKU明细'!$CH$11:$CH$1309,MATCH("S02a-TN1-42",'SKU明细'!$A$11:$A$1309,0))),"待核")</x:f>
        <x:v>30.426388803223837</x:v>
      </x:c>
      <x:c r="AF96" s="13" t="n">
        <x:f>IF(COUNT(INDEX('SKU明细'!$CI$11:$CI$1309,MATCH("S02a-TN1-37",'SKU明细'!$A$11:$A$1309,0)),INDEX('SKU明细'!$CI$11:$CI$1309,MATCH("S02a-TN1-38",'SKU明细'!$A$11:$A$1309,0)),INDEX('SKU明细'!$CI$11:$CI$1309,MATCH("S02a-TN1-40",'SKU明细'!$A$11:$A$1309,0)),INDEX('SKU明细'!$CI$11:$CI$1309,MATCH("S02a-TN1-41",'SKU明细'!$A$11:$A$1309,0)),INDEX('SKU明细'!$CI$11:$CI$1309,MATCH("S02a-TN1-42",'SKU明细'!$A$11:$A$1309,0)))=5,SUM(INDEX('SKU明细'!$CI$11:$CI$1309,MATCH("S02a-TN1-37",'SKU明细'!$A$11:$A$1309,0)),INDEX('SKU明细'!$CI$11:$CI$1309,MATCH("S02a-TN1-38",'SKU明细'!$A$11:$A$1309,0)),INDEX('SKU明细'!$CI$11:$CI$1309,MATCH("S02a-TN1-40",'SKU明细'!$A$11:$A$1309,0)),INDEX('SKU明细'!$CI$11:$CI$1309,MATCH("S02a-TN1-41",'SKU明细'!$A$11:$A$1309,0)),INDEX('SKU明细'!$CI$11:$CI$1309,MATCH("S02a-TN1-42",'SKU明细'!$A$11:$A$1309,0))),"待核")</x:f>
        <x:v>160.2262045771956</x:v>
      </x:c>
    </x:row>
    <x:row r="97" ht="40" customHeight="1">
      <x:c r="A97" s="35" t="str">
        <x:v>S02a</x:v>
      </x:c>
      <x:c r="B97" s="35" t="str">
        <x:v>陈晨</x:v>
      </x:c>
      <x:c r="C97" s="35" t="str">
        <x:v>白色PU</x:v>
      </x:c>
      <x:c r="D97" s="35" t="str">
        <x:v>WT</x:v>
      </x:c>
      <x:c r="E97" s="35" t="str">
        <x:v>S02a-WT</x:v>
      </x:c>
      <x:c r="F97" s="35"/>
      <x:c r="G97" s="36" t="str">
        <x:f>"—"</x:f>
        <x:v>—</x:v>
      </x:c>
      <x:c r="H97" s="36" t="n">
        <x:f>IF(COUNT(INDEX('SKU明细'!$D$11:$D$1309,MATCH("S02a-WT-37",'SKU明细'!$A$11:$A$1309,0)))=0,"待核",IF(COUNT(INDEX('SKU明细'!$D$11:$D$1309,MATCH("S02a-WT-37",'SKU明细'!$A$11:$A$1309,0)))&lt;1,SUM(INDEX('SKU明细'!$D$11:$D$1309,MATCH("S02a-WT-37",'SKU明细'!$A$11:$A$1309,0)))&amp;" + 待核",SUM(INDEX('SKU明细'!$D$11:$D$1309,MATCH("S02a-WT-37",'SKU明细'!$A$11:$A$1309,0)))))</x:f>
        <x:v>0</x:v>
      </x:c>
      <x:c r="I97" s="36" t="str">
        <x:f>"—"</x:f>
        <x:v>—</x:v>
      </x:c>
      <x:c r="J97" s="36" t="n">
        <x:f>IF(COUNT(INDEX('SKU明细'!$D$11:$D$1309,MATCH("S02a-WT-38",'SKU明细'!$A$11:$A$1309,0)))=0,"待核",IF(COUNT(INDEX('SKU明细'!$D$11:$D$1309,MATCH("S02a-WT-38",'SKU明细'!$A$11:$A$1309,0)))&lt;1,SUM(INDEX('SKU明细'!$D$11:$D$1309,MATCH("S02a-WT-38",'SKU明细'!$A$11:$A$1309,0)))&amp;" + 待核",SUM(INDEX('SKU明细'!$D$11:$D$1309,MATCH("S02a-WT-38",'SKU明细'!$A$11:$A$1309,0)))))</x:f>
        <x:v>0</x:v>
      </x:c>
      <x:c r="K97" s="36" t="str">
        <x:f>"—"</x:f>
        <x:v>—</x:v>
      </x:c>
      <x:c r="L97" s="36" t="n">
        <x:f>IF(COUNT(INDEX('SKU明细'!$D$11:$D$1309,MATCH("S02a-WT-39",'SKU明细'!$A$11:$A$1309,0)))=0,"待核",IF(COUNT(INDEX('SKU明细'!$D$11:$D$1309,MATCH("S02a-WT-39",'SKU明细'!$A$11:$A$1309,0)))&lt;1,SUM(INDEX('SKU明细'!$D$11:$D$1309,MATCH("S02a-WT-39",'SKU明细'!$A$11:$A$1309,0)))&amp;" + 待核",SUM(INDEX('SKU明细'!$D$11:$D$1309,MATCH("S02a-WT-39",'SKU明细'!$A$11:$A$1309,0)))))</x:f>
        <x:v>0</x:v>
      </x:c>
      <x:c r="M97" s="36" t="str">
        <x:f>"—"</x:f>
        <x:v>—</x:v>
      </x:c>
      <x:c r="N97" s="36" t="n">
        <x:f>IF(COUNT(INDEX('SKU明细'!$D$11:$D$1309,MATCH("S02a-WT-40",'SKU明细'!$A$11:$A$1309,0)))=0,"待核",IF(COUNT(INDEX('SKU明细'!$D$11:$D$1309,MATCH("S02a-WT-40",'SKU明细'!$A$11:$A$1309,0)))&lt;1,SUM(INDEX('SKU明细'!$D$11:$D$1309,MATCH("S02a-WT-40",'SKU明细'!$A$11:$A$1309,0)))&amp;" + 待核",SUM(INDEX('SKU明细'!$D$11:$D$1309,MATCH("S02a-WT-40",'SKU明细'!$A$11:$A$1309,0)))))</x:f>
        <x:v>0</x:v>
      </x:c>
      <x:c r="O97" s="36" t="str">
        <x:f>"—"</x:f>
        <x:v>—</x:v>
      </x:c>
      <x:c r="P97" s="36" t="n">
        <x:f>IF(COUNT(INDEX('SKU明细'!$D$11:$D$1309,MATCH("S02a-WT-41",'SKU明细'!$A$11:$A$1309,0)))=0,"待核",IF(COUNT(INDEX('SKU明细'!$D$11:$D$1309,MATCH("S02a-WT-41",'SKU明细'!$A$11:$A$1309,0)))&lt;1,SUM(INDEX('SKU明细'!$D$11:$D$1309,MATCH("S02a-WT-41",'SKU明细'!$A$11:$A$1309,0)))&amp;" + 待核",SUM(INDEX('SKU明细'!$D$11:$D$1309,MATCH("S02a-WT-41",'SKU明细'!$A$11:$A$1309,0)))))</x:f>
        <x:v>0</x:v>
      </x:c>
      <x:c r="Q97" s="36" t="str">
        <x:f>"—"</x:f>
        <x:v>—</x:v>
      </x:c>
      <x:c r="R97" s="36" t="n">
        <x:f>IF(COUNT(INDEX('SKU明细'!$D$11:$D$1309,MATCH("S02a-WT-42",'SKU明细'!$A$11:$A$1309,0)))=0,"待核",IF(COUNT(INDEX('SKU明细'!$D$11:$D$1309,MATCH("S02a-WT-42",'SKU明细'!$A$11:$A$1309,0)))&lt;1,SUM(INDEX('SKU明细'!$D$11:$D$1309,MATCH("S02a-WT-42",'SKU明细'!$A$11:$A$1309,0)))&amp;" + 待核",SUM(INDEX('SKU明细'!$D$11:$D$1309,MATCH("S02a-WT-42",'SKU明细'!$A$11:$A$1309,0)))))</x:f>
        <x:v>0</x:v>
      </x:c>
      <x:c r="S97" s="36" t="n">
        <x:f>IF(COUNT(INDEX('SKU明细'!$D$11:$D$1309,MATCH("S02a-WT-37",'SKU明细'!$A$11:$A$1309,0)),INDEX('SKU明细'!$D$11:$D$1309,MATCH("S02a-WT-38",'SKU明细'!$A$11:$A$1309,0)),INDEX('SKU明细'!$D$11:$D$1309,MATCH("S02a-WT-39",'SKU明细'!$A$11:$A$1309,0)),INDEX('SKU明细'!$D$11:$D$1309,MATCH("S02a-WT-40",'SKU明细'!$A$11:$A$1309,0)),INDEX('SKU明细'!$D$11:$D$1309,MATCH("S02a-WT-41",'SKU明细'!$A$11:$A$1309,0)),INDEX('SKU明细'!$D$11:$D$1309,MATCH("S02a-WT-42",'SKU明细'!$A$11:$A$1309,0)))=0,"待核",SUM(INDEX('SKU明细'!$D$11:$D$1309,MATCH("S02a-WT-37",'SKU明细'!$A$11:$A$1309,0)),INDEX('SKU明细'!$D$11:$D$1309,MATCH("S02a-WT-38",'SKU明细'!$A$11:$A$1309,0)),INDEX('SKU明细'!$D$11:$D$1309,MATCH("S02a-WT-39",'SKU明细'!$A$11:$A$1309,0)),INDEX('SKU明细'!$D$11:$D$1309,MATCH("S02a-WT-40",'SKU明细'!$A$11:$A$1309,0)),INDEX('SKU明细'!$D$11:$D$1309,MATCH("S02a-WT-41",'SKU明细'!$A$11:$A$1309,0)),INDEX('SKU明细'!$D$11:$D$1309,MATCH("S02a-WT-42",'SKU明细'!$A$11:$A$1309,0))))</x:f>
        <x:v>0</x:v>
      </x:c>
      <x:c r="T97" s="36" t="n">
        <x:f>IF(COUNTIFS($A$9:$A$191,A97,$U$9:$U$191,"&lt;&gt;待核")=0,"待核",SUMIF($A$9:$A$191,A97,$S$9:$S$191))</x:f>
        <x:v>208</x:v>
      </x:c>
      <x:c r="U97" s="35" t="str">
        <x:f>IF(COUNT(INDEX('SKU明细'!$D$11:$D$1309,MATCH("S02a-WT-37",'SKU明细'!$A$11:$A$1309,0)),INDEX('SKU明细'!$D$11:$D$1309,MATCH("S02a-WT-38",'SKU明细'!$A$11:$A$1309,0)),INDEX('SKU明细'!$D$11:$D$1309,MATCH("S02a-WT-39",'SKU明细'!$A$11:$A$1309,0)),INDEX('SKU明细'!$D$11:$D$1309,MATCH("S02a-WT-40",'SKU明细'!$A$11:$A$1309,0)),INDEX('SKU明细'!$D$11:$D$1309,MATCH("S02a-WT-41",'SKU明细'!$A$11:$A$1309,0)),INDEX('SKU明细'!$D$11:$D$1309,MATCH("S02a-WT-42",'SKU明细'!$A$11:$A$1309,0)))=0,"待核",IF(COUNT(INDEX('SKU明细'!$D$11:$D$1309,MATCH("S02a-WT-37",'SKU明细'!$A$11:$A$1309,0)),INDEX('SKU明细'!$D$11:$D$1309,MATCH("S02a-WT-38",'SKU明细'!$A$11:$A$1309,0)),INDEX('SKU明细'!$D$11:$D$1309,MATCH("S02a-WT-39",'SKU明细'!$A$11:$A$1309,0)),INDEX('SKU明细'!$D$11:$D$1309,MATCH("S02a-WT-40",'SKU明细'!$A$11:$A$1309,0)),INDEX('SKU明细'!$D$11:$D$1309,MATCH("S02a-WT-41",'SKU明细'!$A$11:$A$1309,0)),INDEX('SKU明细'!$D$11:$D$1309,MATCH("S02a-WT-42",'SKU明细'!$A$11:$A$1309,0)))&lt;6,"另有待核","已核"))</x:f>
        <x:v>已核</x:v>
      </x:c>
      <x:c r="V97" s="35" t="str">
        <x:v>在售</x:v>
      </x:c>
      <x:c r="W97" s="11" t="n">
        <x:f>IF(COUNT(INDEX('SKU明细'!$BV$11:$BV$1309,MATCH("S02a-WT-37",'SKU明细'!$A$11:$A$1309,0)),INDEX('SKU明细'!$BV$11:$BV$1309,MATCH("S02a-WT-38",'SKU明细'!$A$11:$A$1309,0)),INDEX('SKU明细'!$BV$11:$BV$1309,MATCH("S02a-WT-39",'SKU明细'!$A$11:$A$1309,0)),INDEX('SKU明细'!$BV$11:$BV$1309,MATCH("S02a-WT-40",'SKU明细'!$A$11:$A$1309,0)),INDEX('SKU明细'!$BV$11:$BV$1309,MATCH("S02a-WT-41",'SKU明细'!$A$11:$A$1309,0)),INDEX('SKU明细'!$BV$11:$BV$1309,MATCH("S02a-WT-42",'SKU明细'!$A$11:$A$1309,0)))=6,SUM(INDEX('SKU明细'!$BV$11:$BV$1309,MATCH("S02a-WT-37",'SKU明细'!$A$11:$A$1309,0)),INDEX('SKU明细'!$BV$11:$BV$1309,MATCH("S02a-WT-38",'SKU明细'!$A$11:$A$1309,0)),INDEX('SKU明细'!$BV$11:$BV$1309,MATCH("S02a-WT-39",'SKU明细'!$A$11:$A$1309,0)),INDEX('SKU明细'!$BV$11:$BV$1309,MATCH("S02a-WT-40",'SKU明细'!$A$11:$A$1309,0)),INDEX('SKU明细'!$BV$11:$BV$1309,MATCH("S02a-WT-41",'SKU明细'!$A$11:$A$1309,0)),INDEX('SKU明细'!$BV$11:$BV$1309,MATCH("S02a-WT-42",'SKU明细'!$A$11:$A$1309,0))),"待核")</x:f>
        <x:v>0.00792071318112724</x:v>
      </x:c>
      <x:c r="X97" s="11" t="n">
        <x:f>INDEX('SKU明细'!$BW$11:$BW$1309,MATCH("S02a-WT-37",'SKU明细'!$A$11:$A$1309,0))</x:f>
        <x:v>0.7647664488148722</x:v>
      </x:c>
      <x:c r="Y97" s="13" t="n">
        <x:f>IF(COUNT(INDEX('SKU明细'!$BY$11:$BY$1309,MATCH("S02a-WT-37",'SKU明细'!$A$11:$A$1309,0)),INDEX('SKU明细'!$BY$11:$BY$1309,MATCH("S02a-WT-38",'SKU明细'!$A$11:$A$1309,0)),INDEX('SKU明细'!$BY$11:$BY$1309,MATCH("S02a-WT-39",'SKU明细'!$A$11:$A$1309,0)),INDEX('SKU明细'!$BY$11:$BY$1309,MATCH("S02a-WT-40",'SKU明细'!$A$11:$A$1309,0)),INDEX('SKU明细'!$BY$11:$BY$1309,MATCH("S02a-WT-41",'SKU明细'!$A$11:$A$1309,0)),INDEX('SKU明细'!$BY$11:$BY$1309,MATCH("S02a-WT-42",'SKU明细'!$A$11:$A$1309,0)))=6,SUM(INDEX('SKU明细'!$BY$11:$BY$1309,MATCH("S02a-WT-37",'SKU明细'!$A$11:$A$1309,0)),INDEX('SKU明细'!$BY$11:$BY$1309,MATCH("S02a-WT-38",'SKU明细'!$A$11:$A$1309,0)),INDEX('SKU明细'!$BY$11:$BY$1309,MATCH("S02a-WT-39",'SKU明细'!$A$11:$A$1309,0)),INDEX('SKU明细'!$BY$11:$BY$1309,MATCH("S02a-WT-40",'SKU明细'!$A$11:$A$1309,0)),INDEX('SKU明细'!$BY$11:$BY$1309,MATCH("S02a-WT-41",'SKU明细'!$A$11:$A$1309,0)),INDEX('SKU明细'!$BY$11:$BY$1309,MATCH("S02a-WT-42",'SKU明细'!$A$11:$A$1309,0))),"待核")</x:f>
        <x:v>0.07268994829934196</x:v>
      </x:c>
      <x:c r="Z97" s="11" t="n">
        <x:f>INDEX('SKU明细'!$BZ$11:$BZ$1309,MATCH("S02a-WT-37",'SKU明细'!$A$11:$A$1309,0))</x:f>
        <x:v>1.5248287781391903</x:v>
      </x:c>
      <x:c r="AA97" s="13" t="n">
        <x:f>IF(COUNT(INDEX('SKU明细'!$CB$11:$CB$1309,MATCH("S02a-WT-37",'SKU明细'!$A$11:$A$1309,0)),INDEX('SKU明细'!$CB$11:$CB$1309,MATCH("S02a-WT-38",'SKU明细'!$A$11:$A$1309,0)),INDEX('SKU明细'!$CB$11:$CB$1309,MATCH("S02a-WT-39",'SKU明细'!$A$11:$A$1309,0)),INDEX('SKU明细'!$CB$11:$CB$1309,MATCH("S02a-WT-40",'SKU明细'!$A$11:$A$1309,0)),INDEX('SKU明细'!$CB$11:$CB$1309,MATCH("S02a-WT-41",'SKU明细'!$A$11:$A$1309,0)),INDEX('SKU明细'!$CB$11:$CB$1309,MATCH("S02a-WT-42",'SKU明细'!$A$11:$A$1309,0)))=6,SUM(INDEX('SKU明细'!$CB$11:$CB$1309,MATCH("S02a-WT-37",'SKU明细'!$A$11:$A$1309,0)),INDEX('SKU明细'!$CB$11:$CB$1309,MATCH("S02a-WT-38",'SKU明细'!$A$11:$A$1309,0)),INDEX('SKU明细'!$CB$11:$CB$1309,MATCH("S02a-WT-39",'SKU明细'!$A$11:$A$1309,0)),INDEX('SKU明细'!$CB$11:$CB$1309,MATCH("S02a-WT-40",'SKU明细'!$A$11:$A$1309,0)),INDEX('SKU明细'!$CB$11:$CB$1309,MATCH("S02a-WT-41",'SKU明细'!$A$11:$A$1309,0)),INDEX('SKU明细'!$CB$11:$CB$1309,MATCH("S02a-WT-42",'SKU明细'!$A$11:$A$1309,0))),"待核")</x:f>
        <x:v>0.3623319420590768</x:v>
      </x:c>
      <x:c r="AB97" s="11" t="n">
        <x:f>INDEX('SKU明细'!$CC$11:$CC$1309,MATCH("S02a-WT-37",'SKU明细'!$A$11:$A$1309,0))</x:f>
        <x:v>1.2288250057360348</x:v>
      </x:c>
      <x:c r="AC97" s="13" t="n">
        <x:f>IF(COUNT(INDEX('SKU明细'!$CE$11:$CE$1309,MATCH("S02a-WT-37",'SKU明细'!$A$11:$A$1309,0)),INDEX('SKU明细'!$CE$11:$CE$1309,MATCH("S02a-WT-38",'SKU明细'!$A$11:$A$1309,0)),INDEX('SKU明细'!$CE$11:$CE$1309,MATCH("S02a-WT-39",'SKU明细'!$A$11:$A$1309,0)),INDEX('SKU明细'!$CE$11:$CE$1309,MATCH("S02a-WT-40",'SKU明细'!$A$11:$A$1309,0)),INDEX('SKU明细'!$CE$11:$CE$1309,MATCH("S02a-WT-41",'SKU明细'!$A$11:$A$1309,0)),INDEX('SKU明细'!$CE$11:$CE$1309,MATCH("S02a-WT-42",'SKU明细'!$A$11:$A$1309,0)))=6,SUM(INDEX('SKU明细'!$CE$11:$CE$1309,MATCH("S02a-WT-37",'SKU明细'!$A$11:$A$1309,0)),INDEX('SKU明细'!$CE$11:$CE$1309,MATCH("S02a-WT-38",'SKU明细'!$A$11:$A$1309,0)),INDEX('SKU明细'!$CE$11:$CE$1309,MATCH("S02a-WT-39",'SKU明细'!$A$11:$A$1309,0)),INDEX('SKU明细'!$CE$11:$CE$1309,MATCH("S02a-WT-40",'SKU明细'!$A$11:$A$1309,0)),INDEX('SKU明细'!$CE$11:$CE$1309,MATCH("S02a-WT-41",'SKU明细'!$A$11:$A$1309,0)),INDEX('SKU明细'!$CE$11:$CE$1309,MATCH("S02a-WT-42",'SKU明细'!$A$11:$A$1309,0))),"待核")</x:f>
        <x:v>0.30172828302719723</x:v>
      </x:c>
      <x:c r="AD97" s="11" t="n">
        <x:f>INDEX('SKU明细'!$CF$11:$CF$1309,MATCH("S02a-WT-37",'SKU明细'!$A$11:$A$1309,0))</x:f>
        <x:v>1.2825767786356366</x:v>
      </x:c>
      <x:c r="AE97" s="13" t="n">
        <x:f>IF(COUNT(INDEX('SKU明细'!$CH$11:$CH$1309,MATCH("S02a-WT-37",'SKU明细'!$A$11:$A$1309,0)),INDEX('SKU明细'!$CH$11:$CH$1309,MATCH("S02a-WT-38",'SKU明细'!$A$11:$A$1309,0)),INDEX('SKU明细'!$CH$11:$CH$1309,MATCH("S02a-WT-39",'SKU明细'!$A$11:$A$1309,0)),INDEX('SKU明细'!$CH$11:$CH$1309,MATCH("S02a-WT-40",'SKU明细'!$A$11:$A$1309,0)),INDEX('SKU明细'!$CH$11:$CH$1309,MATCH("S02a-WT-41",'SKU明细'!$A$11:$A$1309,0)),INDEX('SKU明细'!$CH$11:$CH$1309,MATCH("S02a-WT-42",'SKU明细'!$A$11:$A$1309,0)))=6,SUM(INDEX('SKU明细'!$CH$11:$CH$1309,MATCH("S02a-WT-37",'SKU明细'!$A$11:$A$1309,0)),INDEX('SKU明细'!$CH$11:$CH$1309,MATCH("S02a-WT-38",'SKU明细'!$A$11:$A$1309,0)),INDEX('SKU明细'!$CH$11:$CH$1309,MATCH("S02a-WT-39",'SKU明细'!$A$11:$A$1309,0)),INDEX('SKU明细'!$CH$11:$CH$1309,MATCH("S02a-WT-40",'SKU明细'!$A$11:$A$1309,0)),INDEX('SKU明细'!$CH$11:$CH$1309,MATCH("S02a-WT-41",'SKU明细'!$A$11:$A$1309,0)),INDEX('SKU明细'!$CH$11:$CH$1309,MATCH("S02a-WT-42",'SKU明细'!$A$11:$A$1309,0))),"待核")</x:f>
        <x:v>0.17270168753789902</x:v>
      </x:c>
      <x:c r="AF97" s="13" t="n">
        <x:f>IF(COUNT(INDEX('SKU明细'!$CI$11:$CI$1309,MATCH("S02a-WT-37",'SKU明细'!$A$11:$A$1309,0)),INDEX('SKU明细'!$CI$11:$CI$1309,MATCH("S02a-WT-38",'SKU明细'!$A$11:$A$1309,0)),INDEX('SKU明细'!$CI$11:$CI$1309,MATCH("S02a-WT-39",'SKU明细'!$A$11:$A$1309,0)),INDEX('SKU明细'!$CI$11:$CI$1309,MATCH("S02a-WT-40",'SKU明细'!$A$11:$A$1309,0)),INDEX('SKU明细'!$CI$11:$CI$1309,MATCH("S02a-WT-41",'SKU明细'!$A$11:$A$1309,0)),INDEX('SKU明细'!$CI$11:$CI$1309,MATCH("S02a-WT-42",'SKU明细'!$A$11:$A$1309,0)))=6,SUM(INDEX('SKU明细'!$CI$11:$CI$1309,MATCH("S02a-WT-37",'SKU明细'!$A$11:$A$1309,0)),INDEX('SKU明细'!$CI$11:$CI$1309,MATCH("S02a-WT-38",'SKU明细'!$A$11:$A$1309,0)),INDEX('SKU明细'!$CI$11:$CI$1309,MATCH("S02a-WT-39",'SKU明细'!$A$11:$A$1309,0)),INDEX('SKU明细'!$CI$11:$CI$1309,MATCH("S02a-WT-40",'SKU明细'!$A$11:$A$1309,0)),INDEX('SKU明细'!$CI$11:$CI$1309,MATCH("S02a-WT-41",'SKU明细'!$A$11:$A$1309,0)),INDEX('SKU明细'!$CI$11:$CI$1309,MATCH("S02a-WT-42",'SKU明细'!$A$11:$A$1309,0))),"待核")</x:f>
        <x:v>0.9094518609235152</x:v>
      </x:c>
    </x:row>
    <x:row r="98" ht="40" customHeight="1">
      <x:c r="A98" s="35" t="str">
        <x:v>S02a</x:v>
      </x:c>
      <x:c r="B98" s="35" t="str">
        <x:v>陈晨</x:v>
      </x:c>
      <x:c r="C98" s="35" t="str">
        <x:v>白色PU</x:v>
      </x:c>
      <x:c r="D98" s="35" t="str">
        <x:v>WT1</x:v>
      </x:c>
      <x:c r="E98" s="35" t="str">
        <x:v>S02a-WT1</x:v>
      </x:c>
      <x:c r="F98" s="35"/>
      <x:c r="G98" s="36" t="str">
        <x:f>"—"</x:f>
        <x:v>—</x:v>
      </x:c>
      <x:c r="H98" s="36" t="str">
        <x:f>"—"</x:f>
        <x:v>—</x:v>
      </x:c>
      <x:c r="I98" s="36" t="n">
        <x:f>IF(COUNT(INDEX('SKU明细'!$D$11:$D$1309,MATCH("S02a-WT1-37",'SKU明细'!$A$11:$A$1309,0)))=0,"待核",IF(COUNT(INDEX('SKU明细'!$D$11:$D$1309,MATCH("S02a-WT1-37",'SKU明细'!$A$11:$A$1309,0)))&lt;1,SUM(INDEX('SKU明细'!$D$11:$D$1309,MATCH("S02a-WT1-37",'SKU明细'!$A$11:$A$1309,0)))&amp;" + 待核",SUM(INDEX('SKU明细'!$D$11:$D$1309,MATCH("S02a-WT1-37",'SKU明细'!$A$11:$A$1309,0)))))</x:f>
        <x:v>0</x:v>
      </x:c>
      <x:c r="J98" s="36" t="str">
        <x:f>"—"</x:f>
        <x:v>—</x:v>
      </x:c>
      <x:c r="K98" s="36" t="str">
        <x:f>"—"</x:f>
        <x:v>—</x:v>
      </x:c>
      <x:c r="L98" s="36" t="str">
        <x:f>"—"</x:f>
        <x:v>—</x:v>
      </x:c>
      <x:c r="M98" s="36" t="n">
        <x:f>IF(COUNT(INDEX('SKU明细'!$D$11:$D$1309,MATCH("S02a-WT1-40",'SKU明细'!$A$11:$A$1309,0)))=0,"待核",IF(COUNT(INDEX('SKU明细'!$D$11:$D$1309,MATCH("S02a-WT1-40",'SKU明细'!$A$11:$A$1309,0)))&lt;1,SUM(INDEX('SKU明细'!$D$11:$D$1309,MATCH("S02a-WT1-40",'SKU明细'!$A$11:$A$1309,0)))&amp;" + 待核",SUM(INDEX('SKU明细'!$D$11:$D$1309,MATCH("S02a-WT1-40",'SKU明细'!$A$11:$A$1309,0)))))</x:f>
        <x:v>0</x:v>
      </x:c>
      <x:c r="N98" s="36" t="str">
        <x:f>"—"</x:f>
        <x:v>—</x:v>
      </x:c>
      <x:c r="O98" s="36" t="str">
        <x:f>"—"</x:f>
        <x:v>—</x:v>
      </x:c>
      <x:c r="P98" s="36" t="str">
        <x:f>"—"</x:f>
        <x:v>—</x:v>
      </x:c>
      <x:c r="Q98" s="36" t="n">
        <x:f>IF(COUNT(INDEX('SKU明细'!$D$11:$D$1309,MATCH("S02a-WT1-42",'SKU明细'!$A$11:$A$1309,0)))=0,"待核",IF(COUNT(INDEX('SKU明细'!$D$11:$D$1309,MATCH("S02a-WT1-42",'SKU明细'!$A$11:$A$1309,0)))&lt;1,SUM(INDEX('SKU明细'!$D$11:$D$1309,MATCH("S02a-WT1-42",'SKU明细'!$A$11:$A$1309,0)))&amp;" + 待核",SUM(INDEX('SKU明细'!$D$11:$D$1309,MATCH("S02a-WT1-42",'SKU明细'!$A$11:$A$1309,0)))))</x:f>
        <x:v>0</x:v>
      </x:c>
      <x:c r="R98" s="36" t="str">
        <x:f>"—"</x:f>
        <x:v>—</x:v>
      </x:c>
      <x:c r="S98" s="36" t="n">
        <x:f>IF(COUNT(INDEX('SKU明细'!$D$11:$D$1309,MATCH("S02a-WT1-37",'SKU明细'!$A$11:$A$1309,0)),INDEX('SKU明细'!$D$11:$D$1309,MATCH("S02a-WT1-40",'SKU明细'!$A$11:$A$1309,0)),INDEX('SKU明细'!$D$11:$D$1309,MATCH("S02a-WT1-42",'SKU明细'!$A$11:$A$1309,0)))=0,"待核",SUM(INDEX('SKU明细'!$D$11:$D$1309,MATCH("S02a-WT1-37",'SKU明细'!$A$11:$A$1309,0)),INDEX('SKU明细'!$D$11:$D$1309,MATCH("S02a-WT1-40",'SKU明细'!$A$11:$A$1309,0)),INDEX('SKU明细'!$D$11:$D$1309,MATCH("S02a-WT1-42",'SKU明细'!$A$11:$A$1309,0))))</x:f>
        <x:v>0</x:v>
      </x:c>
      <x:c r="T98" s="36" t="n">
        <x:f>IF(COUNTIFS($A$9:$A$191,A98,$U$9:$U$191,"&lt;&gt;待核")=0,"待核",SUMIF($A$9:$A$191,A98,$S$9:$S$191))</x:f>
        <x:v>208</x:v>
      </x:c>
      <x:c r="U98" s="35" t="str">
        <x:f>IF(COUNT(INDEX('SKU明细'!$D$11:$D$1309,MATCH("S02a-WT1-37",'SKU明细'!$A$11:$A$1309,0)),INDEX('SKU明细'!$D$11:$D$1309,MATCH("S02a-WT1-40",'SKU明细'!$A$11:$A$1309,0)),INDEX('SKU明细'!$D$11:$D$1309,MATCH("S02a-WT1-42",'SKU明细'!$A$11:$A$1309,0)))=0,"待核",IF(COUNT(INDEX('SKU明细'!$D$11:$D$1309,MATCH("S02a-WT1-37",'SKU明细'!$A$11:$A$1309,0)),INDEX('SKU明细'!$D$11:$D$1309,MATCH("S02a-WT1-40",'SKU明细'!$A$11:$A$1309,0)),INDEX('SKU明细'!$D$11:$D$1309,MATCH("S02a-WT1-42",'SKU明细'!$A$11:$A$1309,0)))&lt;3,"另有待核","已核"))</x:f>
        <x:v>已核</x:v>
      </x:c>
      <x:c r="V98" s="35" t="str">
        <x:v>在售</x:v>
      </x:c>
      <x:c r="W98" s="11" t="n">
        <x:f>IF(COUNT(INDEX('SKU明细'!$BV$11:$BV$1309,MATCH("S02a-WT1-37",'SKU明细'!$A$11:$A$1309,0)),INDEX('SKU明细'!$BV$11:$BV$1309,MATCH("S02a-WT1-40",'SKU明细'!$A$11:$A$1309,0)),INDEX('SKU明细'!$BV$11:$BV$1309,MATCH("S02a-WT1-42",'SKU明细'!$A$11:$A$1309,0)))=3,SUM(INDEX('SKU明细'!$BV$11:$BV$1309,MATCH("S02a-WT1-37",'SKU明细'!$A$11:$A$1309,0)),INDEX('SKU明细'!$BV$11:$BV$1309,MATCH("S02a-WT1-40",'SKU明细'!$A$11:$A$1309,0)),INDEX('SKU明细'!$BV$11:$BV$1309,MATCH("S02a-WT1-42",'SKU明细'!$A$11:$A$1309,0))),"待核")</x:f>
        <x:v>0.00034437883396205393</x:v>
      </x:c>
      <x:c r="X98" s="11" t="n">
        <x:f>INDEX('SKU明细'!$BW$11:$BW$1309,MATCH("S02a-WT1-37",'SKU明细'!$A$11:$A$1309,0))</x:f>
        <x:v>0.7647664488148722</x:v>
      </x:c>
      <x:c r="Y98" s="13" t="n">
        <x:f>IF(COUNT(INDEX('SKU明细'!$BY$11:$BY$1309,MATCH("S02a-WT1-37",'SKU明细'!$A$11:$A$1309,0)),INDEX('SKU明细'!$BY$11:$BY$1309,MATCH("S02a-WT1-40",'SKU明细'!$A$11:$A$1309,0)),INDEX('SKU明细'!$BY$11:$BY$1309,MATCH("S02a-WT1-42",'SKU明细'!$A$11:$A$1309,0)))=3,SUM(INDEX('SKU明细'!$BY$11:$BY$1309,MATCH("S02a-WT1-37",'SKU明细'!$A$11:$A$1309,0)),INDEX('SKU明细'!$BY$11:$BY$1309,MATCH("S02a-WT1-40",'SKU明细'!$A$11:$A$1309,0)),INDEX('SKU明细'!$BY$11:$BY$1309,MATCH("S02a-WT1-42",'SKU明细'!$A$11:$A$1309,0))),"待核")</x:f>
        <x:v>0.0031604325347539984</x:v>
      </x:c>
      <x:c r="Z98" s="11" t="n">
        <x:f>INDEX('SKU明细'!$BZ$11:$BZ$1309,MATCH("S02a-WT1-37",'SKU明细'!$A$11:$A$1309,0))</x:f>
        <x:v>1.5248287781391903</x:v>
      </x:c>
      <x:c r="AA98" s="13" t="n">
        <x:f>IF(COUNT(INDEX('SKU明细'!$CB$11:$CB$1309,MATCH("S02a-WT1-37",'SKU明细'!$A$11:$A$1309,0)),INDEX('SKU明细'!$CB$11:$CB$1309,MATCH("S02a-WT1-40",'SKU明细'!$A$11:$A$1309,0)),INDEX('SKU明细'!$CB$11:$CB$1309,MATCH("S02a-WT1-42",'SKU明细'!$A$11:$A$1309,0)))=3,SUM(INDEX('SKU明细'!$CB$11:$CB$1309,MATCH("S02a-WT1-37",'SKU明细'!$A$11:$A$1309,0)),INDEX('SKU明细'!$CB$11:$CB$1309,MATCH("S02a-WT1-40",'SKU明细'!$A$11:$A$1309,0)),INDEX('SKU明细'!$CB$11:$CB$1309,MATCH("S02a-WT1-42",'SKU明细'!$A$11:$A$1309,0))),"待核")</x:f>
        <x:v>0.015753562698220733</x:v>
      </x:c>
      <x:c r="AB98" s="11" t="n">
        <x:f>INDEX('SKU明细'!$CC$11:$CC$1309,MATCH("S02a-WT1-37",'SKU明细'!$A$11:$A$1309,0))</x:f>
        <x:v>1.2288250057360348</x:v>
      </x:c>
      <x:c r="AC98" s="13" t="n">
        <x:f>IF(COUNT(INDEX('SKU明细'!$CE$11:$CE$1309,MATCH("S02a-WT1-37",'SKU明细'!$A$11:$A$1309,0)),INDEX('SKU明细'!$CE$11:$CE$1309,MATCH("S02a-WT1-40",'SKU明细'!$A$11:$A$1309,0)),INDEX('SKU明细'!$CE$11:$CE$1309,MATCH("S02a-WT1-42",'SKU明细'!$A$11:$A$1309,0)))=3,SUM(INDEX('SKU明细'!$CE$11:$CE$1309,MATCH("S02a-WT1-37",'SKU明细'!$A$11:$A$1309,0)),INDEX('SKU明细'!$CE$11:$CE$1309,MATCH("S02a-WT1-40",'SKU明细'!$A$11:$A$1309,0)),INDEX('SKU明细'!$CE$11:$CE$1309,MATCH("S02a-WT1-42",'SKU明细'!$A$11:$A$1309,0))),"待核")</x:f>
        <x:v>0.013118621001182487</x:v>
      </x:c>
      <x:c r="AD98" s="11" t="n">
        <x:f>INDEX('SKU明细'!$CF$11:$CF$1309,MATCH("S02a-WT1-37",'SKU明细'!$A$11:$A$1309,0))</x:f>
        <x:v>1.2825767786356366</x:v>
      </x:c>
      <x:c r="AE98" s="13" t="n">
        <x:f>IF(COUNT(INDEX('SKU明细'!$CH$11:$CH$1309,MATCH("S02a-WT1-37",'SKU明细'!$A$11:$A$1309,0)),INDEX('SKU明细'!$CH$11:$CH$1309,MATCH("S02a-WT1-40",'SKU明细'!$A$11:$A$1309,0)),INDEX('SKU明细'!$CH$11:$CH$1309,MATCH("S02a-WT1-42",'SKU明细'!$A$11:$A$1309,0)))=3,SUM(INDEX('SKU明细'!$CH$11:$CH$1309,MATCH("S02a-WT1-37",'SKU明细'!$A$11:$A$1309,0)),INDEX('SKU明细'!$CH$11:$CH$1309,MATCH("S02a-WT1-40",'SKU明细'!$A$11:$A$1309,0)),INDEX('SKU明细'!$CH$11:$CH$1309,MATCH("S02a-WT1-42",'SKU明细'!$A$11:$A$1309,0))),"待核")</x:f>
        <x:v>0.007508769023386914</x:v>
      </x:c>
      <x:c r="AF98" s="13" t="n">
        <x:f>IF(COUNT(INDEX('SKU明细'!$CI$11:$CI$1309,MATCH("S02a-WT1-37",'SKU明细'!$A$11:$A$1309,0)),INDEX('SKU明细'!$CI$11:$CI$1309,MATCH("S02a-WT1-40",'SKU明细'!$A$11:$A$1309,0)),INDEX('SKU明细'!$CI$11:$CI$1309,MATCH("S02a-WT1-42",'SKU明细'!$A$11:$A$1309,0)))=3,SUM(INDEX('SKU明细'!$CI$11:$CI$1309,MATCH("S02a-WT1-37",'SKU明细'!$A$11:$A$1309,0)),INDEX('SKU明细'!$CI$11:$CI$1309,MATCH("S02a-WT1-40",'SKU明细'!$A$11:$A$1309,0)),INDEX('SKU明细'!$CI$11:$CI$1309,MATCH("S02a-WT1-42",'SKU明细'!$A$11:$A$1309,0))),"待核")</x:f>
        <x:v>0.03954138525754414</x:v>
      </x:c>
    </x:row>
    <x:row r="99" ht="40" customHeight="1">
      <x:c r="A99" s="37" t="str">
        <x:v>32582</x:v>
      </x:c>
      <x:c r="B99" s="37" t="str">
        <x:v>徐新怡</x:v>
      </x:c>
      <x:c r="C99" s="37" t="str">
        <x:v>黑色</x:v>
      </x:c>
      <x:c r="D99" s="37" t="str">
        <x:v>BK</x:v>
      </x:c>
      <x:c r="E99" s="37" t="str">
        <x:v>32582-BK</x:v>
      </x:c>
      <x:c r="F99" s="37"/>
      <x:c r="G99" s="38" t="str">
        <x:f>"—"</x:f>
        <x:v>—</x:v>
      </x:c>
      <x:c r="H99" s="38" t="n">
        <x:f>IF(COUNT(INDEX('SKU明细'!$D$11:$D$1309,MATCH("32582-BK-37",'SKU明细'!$A$11:$A$1309,0)))=0,"待核",IF(COUNT(INDEX('SKU明细'!$D$11:$D$1309,MATCH("32582-BK-37",'SKU明细'!$A$11:$A$1309,0)))&lt;1,SUM(INDEX('SKU明细'!$D$11:$D$1309,MATCH("32582-BK-37",'SKU明细'!$A$11:$A$1309,0)))&amp;" + 待核",SUM(INDEX('SKU明细'!$D$11:$D$1309,MATCH("32582-BK-37",'SKU明细'!$A$11:$A$1309,0)))))</x:f>
        <x:v>0</x:v>
      </x:c>
      <x:c r="I99" s="38" t="n">
        <x:f>IF(COUNT(INDEX('SKU明细'!$D$11:$D$1309,MATCH("32582-BK-37.5",'SKU明细'!$A$11:$A$1309,0)))=0,"待核",IF(COUNT(INDEX('SKU明细'!$D$11:$D$1309,MATCH("32582-BK-37.5",'SKU明细'!$A$11:$A$1309,0)))&lt;1,SUM(INDEX('SKU明细'!$D$11:$D$1309,MATCH("32582-BK-37.5",'SKU明细'!$A$11:$A$1309,0)))&amp;" + 待核",SUM(INDEX('SKU明细'!$D$11:$D$1309,MATCH("32582-BK-37.5",'SKU明细'!$A$11:$A$1309,0)))))</x:f>
        <x:v>0</x:v>
      </x:c>
      <x:c r="J99" s="38" t="n">
        <x:f>IF(COUNT(INDEX('SKU明细'!$D$11:$D$1309,MATCH("32582-BK-38",'SKU明细'!$A$11:$A$1309,0)))=0,"待核",IF(COUNT(INDEX('SKU明细'!$D$11:$D$1309,MATCH("32582-BK-38",'SKU明细'!$A$11:$A$1309,0)))&lt;1,SUM(INDEX('SKU明细'!$D$11:$D$1309,MATCH("32582-BK-38",'SKU明细'!$A$11:$A$1309,0)))&amp;" + 待核",SUM(INDEX('SKU明细'!$D$11:$D$1309,MATCH("32582-BK-38",'SKU明细'!$A$11:$A$1309,0)))))</x:f>
        <x:v>0</x:v>
      </x:c>
      <x:c r="K99" s="38" t="n">
        <x:f>IF(COUNT(INDEX('SKU明细'!$D$11:$D$1309,MATCH("32582-BK-38.5",'SKU明细'!$A$11:$A$1309,0)))=0,"待核",IF(COUNT(INDEX('SKU明细'!$D$11:$D$1309,MATCH("32582-BK-38.5",'SKU明细'!$A$11:$A$1309,0)))&lt;1,SUM(INDEX('SKU明细'!$D$11:$D$1309,MATCH("32582-BK-38.5",'SKU明细'!$A$11:$A$1309,0)))&amp;" + 待核",SUM(INDEX('SKU明细'!$D$11:$D$1309,MATCH("32582-BK-38.5",'SKU明细'!$A$11:$A$1309,0)))))</x:f>
        <x:v>0</x:v>
      </x:c>
      <x:c r="L99" s="38" t="n">
        <x:f>IF(COUNT(INDEX('SKU明细'!$D$11:$D$1309,MATCH("32582-BK-39",'SKU明细'!$A$11:$A$1309,0)))=0,"待核",IF(COUNT(INDEX('SKU明细'!$D$11:$D$1309,MATCH("32582-BK-39",'SKU明细'!$A$11:$A$1309,0)))&lt;1,SUM(INDEX('SKU明细'!$D$11:$D$1309,MATCH("32582-BK-39",'SKU明细'!$A$11:$A$1309,0)))&amp;" + 待核",SUM(INDEX('SKU明细'!$D$11:$D$1309,MATCH("32582-BK-39",'SKU明细'!$A$11:$A$1309,0)))))</x:f>
        <x:v>0</x:v>
      </x:c>
      <x:c r="M99" s="38" t="n">
        <x:f>IF(COUNT(INDEX('SKU明细'!$D$11:$D$1309,MATCH("32582-BK-39.5",'SKU明细'!$A$11:$A$1309,0)))=0,"待核",IF(COUNT(INDEX('SKU明细'!$D$11:$D$1309,MATCH("32582-BK-39.5",'SKU明细'!$A$11:$A$1309,0)))&lt;1,SUM(INDEX('SKU明细'!$D$11:$D$1309,MATCH("32582-BK-39.5",'SKU明细'!$A$11:$A$1309,0)))&amp;" + 待核",SUM(INDEX('SKU明细'!$D$11:$D$1309,MATCH("32582-BK-39.5",'SKU明细'!$A$11:$A$1309,0)))))</x:f>
        <x:v>0</x:v>
      </x:c>
      <x:c r="N99" s="38" t="n">
        <x:f>IF(COUNT(INDEX('SKU明细'!$D$11:$D$1309,MATCH("32582-BK-40",'SKU明细'!$A$11:$A$1309,0)))=0,"待核",IF(COUNT(INDEX('SKU明细'!$D$11:$D$1309,MATCH("32582-BK-40",'SKU明细'!$A$11:$A$1309,0)))&lt;1,SUM(INDEX('SKU明细'!$D$11:$D$1309,MATCH("32582-BK-40",'SKU明细'!$A$11:$A$1309,0)))&amp;" + 待核",SUM(INDEX('SKU明细'!$D$11:$D$1309,MATCH("32582-BK-40",'SKU明细'!$A$11:$A$1309,0)))))</x:f>
        <x:v>0</x:v>
      </x:c>
      <x:c r="O99" s="38" t="n">
        <x:f>IF(COUNT(INDEX('SKU明细'!$D$11:$D$1309,MATCH("32582-BK-40.5",'SKU明细'!$A$11:$A$1309,0)))=0,"待核",IF(COUNT(INDEX('SKU明细'!$D$11:$D$1309,MATCH("32582-BK-40.5",'SKU明细'!$A$11:$A$1309,0)))&lt;1,SUM(INDEX('SKU明细'!$D$11:$D$1309,MATCH("32582-BK-40.5",'SKU明细'!$A$11:$A$1309,0)))&amp;" + 待核",SUM(INDEX('SKU明细'!$D$11:$D$1309,MATCH("32582-BK-40.5",'SKU明细'!$A$11:$A$1309,0)))))</x:f>
        <x:v>0</x:v>
      </x:c>
      <x:c r="P99" s="38" t="n">
        <x:f>IF(COUNT(INDEX('SKU明细'!$D$11:$D$1309,MATCH("32582-BK-41",'SKU明细'!$A$11:$A$1309,0)))=0,"待核",IF(COUNT(INDEX('SKU明细'!$D$11:$D$1309,MATCH("32582-BK-41",'SKU明细'!$A$11:$A$1309,0)))&lt;1,SUM(INDEX('SKU明细'!$D$11:$D$1309,MATCH("32582-BK-41",'SKU明细'!$A$11:$A$1309,0)))&amp;" + 待核",SUM(INDEX('SKU明细'!$D$11:$D$1309,MATCH("32582-BK-41",'SKU明细'!$A$11:$A$1309,0)))))</x:f>
        <x:v>0</x:v>
      </x:c>
      <x:c r="Q99" s="38" t="n">
        <x:f>IF(COUNT(INDEX('SKU明细'!$D$11:$D$1309,MATCH("32582-BK-41.5",'SKU明细'!$A$11:$A$1309,0)))=0,"待核",IF(COUNT(INDEX('SKU明细'!$D$11:$D$1309,MATCH("32582-BK-41.5",'SKU明细'!$A$11:$A$1309,0)))&lt;1,SUM(INDEX('SKU明细'!$D$11:$D$1309,MATCH("32582-BK-41.5",'SKU明细'!$A$11:$A$1309,0)))&amp;" + 待核",SUM(INDEX('SKU明细'!$D$11:$D$1309,MATCH("32582-BK-41.5",'SKU明细'!$A$11:$A$1309,0)))))</x:f>
        <x:v>0</x:v>
      </x:c>
      <x:c r="R99" s="38" t="n">
        <x:f>IF(COUNT(INDEX('SKU明细'!$D$11:$D$1309,MATCH("32582-BK-42",'SKU明细'!$A$11:$A$1309,0)))=0,"待核",IF(COUNT(INDEX('SKU明细'!$D$11:$D$1309,MATCH("32582-BK-42",'SKU明细'!$A$11:$A$1309,0)))&lt;1,SUM(INDEX('SKU明细'!$D$11:$D$1309,MATCH("32582-BK-42",'SKU明细'!$A$11:$A$1309,0)))&amp;" + 待核",SUM(INDEX('SKU明细'!$D$11:$D$1309,MATCH("32582-BK-42",'SKU明细'!$A$11:$A$1309,0)))))</x:f>
        <x:v>0</x:v>
      </x:c>
      <x:c r="S99" s="38" t="n">
        <x:f>IF(COUNT(INDEX('SKU明细'!$D$11:$D$1309,MATCH("32582-BK-37",'SKU明细'!$A$11:$A$1309,0)),INDEX('SKU明细'!$D$11:$D$1309,MATCH("32582-BK-37.5",'SKU明细'!$A$11:$A$1309,0)),INDEX('SKU明细'!$D$11:$D$1309,MATCH("32582-BK-38",'SKU明细'!$A$11:$A$1309,0)),INDEX('SKU明细'!$D$11:$D$1309,MATCH("32582-BK-38.5",'SKU明细'!$A$11:$A$1309,0)),INDEX('SKU明细'!$D$11:$D$1309,MATCH("32582-BK-39",'SKU明细'!$A$11:$A$1309,0)),INDEX('SKU明细'!$D$11:$D$1309,MATCH("32582-BK-39.5",'SKU明细'!$A$11:$A$1309,0)),INDEX('SKU明细'!$D$11:$D$1309,MATCH("32582-BK-40",'SKU明细'!$A$11:$A$1309,0)),INDEX('SKU明细'!$D$11:$D$1309,MATCH("32582-BK-40.5",'SKU明细'!$A$11:$A$1309,0)),INDEX('SKU明细'!$D$11:$D$1309,MATCH("32582-BK-41",'SKU明细'!$A$11:$A$1309,0)),INDEX('SKU明细'!$D$11:$D$1309,MATCH("32582-BK-41.5",'SKU明细'!$A$11:$A$1309,0)),INDEX('SKU明细'!$D$11:$D$1309,MATCH("32582-BK-42",'SKU明细'!$A$11:$A$1309,0)))=0,"待核",SUM(INDEX('SKU明细'!$D$11:$D$1309,MATCH("32582-BK-37",'SKU明细'!$A$11:$A$1309,0)),INDEX('SKU明细'!$D$11:$D$1309,MATCH("32582-BK-37.5",'SKU明细'!$A$11:$A$1309,0)),INDEX('SKU明细'!$D$11:$D$1309,MATCH("32582-BK-38",'SKU明细'!$A$11:$A$1309,0)),INDEX('SKU明细'!$D$11:$D$1309,MATCH("32582-BK-38.5",'SKU明细'!$A$11:$A$1309,0)),INDEX('SKU明细'!$D$11:$D$1309,MATCH("32582-BK-39",'SKU明细'!$A$11:$A$1309,0)),INDEX('SKU明细'!$D$11:$D$1309,MATCH("32582-BK-39.5",'SKU明细'!$A$11:$A$1309,0)),INDEX('SKU明细'!$D$11:$D$1309,MATCH("32582-BK-40",'SKU明细'!$A$11:$A$1309,0)),INDEX('SKU明细'!$D$11:$D$1309,MATCH("32582-BK-40.5",'SKU明细'!$A$11:$A$1309,0)),INDEX('SKU明细'!$D$11:$D$1309,MATCH("32582-BK-41",'SKU明细'!$A$11:$A$1309,0)),INDEX('SKU明细'!$D$11:$D$1309,MATCH("32582-BK-41.5",'SKU明细'!$A$11:$A$1309,0)),INDEX('SKU明细'!$D$11:$D$1309,MATCH("32582-BK-42",'SKU明细'!$A$11:$A$1309,0))))</x:f>
        <x:v>0</x:v>
      </x:c>
      <x:c r="T99" s="38" t="n">
        <x:f>IF(COUNTIFS($A$9:$A$191,A99,$U$9:$U$191,"&lt;&gt;待核")=0,"待核",SUMIF($A$9:$A$191,A99,$S$9:$S$191))</x:f>
        <x:v>197</x:v>
      </x:c>
      <x:c r="U99" s="37" t="str">
        <x:f>IF(COUNT(INDEX('SKU明细'!$D$11:$D$1309,MATCH("32582-BK-37",'SKU明细'!$A$11:$A$1309,0)),INDEX('SKU明细'!$D$11:$D$1309,MATCH("32582-BK-37.5",'SKU明细'!$A$11:$A$1309,0)),INDEX('SKU明细'!$D$11:$D$1309,MATCH("32582-BK-38",'SKU明细'!$A$11:$A$1309,0)),INDEX('SKU明细'!$D$11:$D$1309,MATCH("32582-BK-38.5",'SKU明细'!$A$11:$A$1309,0)),INDEX('SKU明细'!$D$11:$D$1309,MATCH("32582-BK-39",'SKU明细'!$A$11:$A$1309,0)),INDEX('SKU明细'!$D$11:$D$1309,MATCH("32582-BK-39.5",'SKU明细'!$A$11:$A$1309,0)),INDEX('SKU明细'!$D$11:$D$1309,MATCH("32582-BK-40",'SKU明细'!$A$11:$A$1309,0)),INDEX('SKU明细'!$D$11:$D$1309,MATCH("32582-BK-40.5",'SKU明细'!$A$11:$A$1309,0)),INDEX('SKU明细'!$D$11:$D$1309,MATCH("32582-BK-41",'SKU明细'!$A$11:$A$1309,0)),INDEX('SKU明细'!$D$11:$D$1309,MATCH("32582-BK-41.5",'SKU明细'!$A$11:$A$1309,0)),INDEX('SKU明细'!$D$11:$D$1309,MATCH("32582-BK-42",'SKU明细'!$A$11:$A$1309,0)))=0,"待核",IF(COUNT(INDEX('SKU明细'!$D$11:$D$1309,MATCH("32582-BK-37",'SKU明细'!$A$11:$A$1309,0)),INDEX('SKU明细'!$D$11:$D$1309,MATCH("32582-BK-37.5",'SKU明细'!$A$11:$A$1309,0)),INDEX('SKU明细'!$D$11:$D$1309,MATCH("32582-BK-38",'SKU明细'!$A$11:$A$1309,0)),INDEX('SKU明细'!$D$11:$D$1309,MATCH("32582-BK-38.5",'SKU明细'!$A$11:$A$1309,0)),INDEX('SKU明细'!$D$11:$D$1309,MATCH("32582-BK-39",'SKU明细'!$A$11:$A$1309,0)),INDEX('SKU明细'!$D$11:$D$1309,MATCH("32582-BK-39.5",'SKU明细'!$A$11:$A$1309,0)),INDEX('SKU明细'!$D$11:$D$1309,MATCH("32582-BK-40",'SKU明细'!$A$11:$A$1309,0)),INDEX('SKU明细'!$D$11:$D$1309,MATCH("32582-BK-40.5",'SKU明细'!$A$11:$A$1309,0)),INDEX('SKU明细'!$D$11:$D$1309,MATCH("32582-BK-41",'SKU明细'!$A$11:$A$1309,0)),INDEX('SKU明细'!$D$11:$D$1309,MATCH("32582-BK-41.5",'SKU明细'!$A$11:$A$1309,0)),INDEX('SKU明细'!$D$11:$D$1309,MATCH("32582-BK-42",'SKU明细'!$A$11:$A$1309,0)))&lt;11,"另有待核","已核"))</x:f>
        <x:v>已核</x:v>
      </x:c>
      <x:c r="V99" s="37" t="str">
        <x:v>停售、在售</x:v>
      </x:c>
      <x:c r="W99" s="11" t="n">
        <x:f>IF(COUNT(INDEX('SKU明细'!$BV$11:$BV$1309,MATCH("32582-BK-37",'SKU明细'!$A$11:$A$1309,0)),INDEX('SKU明细'!$BV$11:$BV$1309,MATCH("32582-BK-37.5",'SKU明细'!$A$11:$A$1309,0)),INDEX('SKU明细'!$BV$11:$BV$1309,MATCH("32582-BK-38",'SKU明细'!$A$11:$A$1309,0)),INDEX('SKU明细'!$BV$11:$BV$1309,MATCH("32582-BK-38.5",'SKU明细'!$A$11:$A$1309,0)),INDEX('SKU明细'!$BV$11:$BV$1309,MATCH("32582-BK-39",'SKU明细'!$A$11:$A$1309,0)),INDEX('SKU明细'!$BV$11:$BV$1309,MATCH("32582-BK-39.5",'SKU明细'!$A$11:$A$1309,0)),INDEX('SKU明细'!$BV$11:$BV$1309,MATCH("32582-BK-40",'SKU明细'!$A$11:$A$1309,0)),INDEX('SKU明细'!$BV$11:$BV$1309,MATCH("32582-BK-40.5",'SKU明细'!$A$11:$A$1309,0)),INDEX('SKU明细'!$BV$11:$BV$1309,MATCH("32582-BK-41",'SKU明细'!$A$11:$A$1309,0)),INDEX('SKU明细'!$BV$11:$BV$1309,MATCH("32582-BK-41.5",'SKU明细'!$A$11:$A$1309,0)),INDEX('SKU明细'!$BV$11:$BV$1309,MATCH("32582-BK-42",'SKU明细'!$A$11:$A$1309,0)))=11,SUM(INDEX('SKU明细'!$BV$11:$BV$1309,MATCH("32582-BK-37",'SKU明细'!$A$11:$A$1309,0)),INDEX('SKU明细'!$BV$11:$BV$1309,MATCH("32582-BK-37.5",'SKU明细'!$A$11:$A$1309,0)),INDEX('SKU明细'!$BV$11:$BV$1309,MATCH("32582-BK-38",'SKU明细'!$A$11:$A$1309,0)),INDEX('SKU明细'!$BV$11:$BV$1309,MATCH("32582-BK-38.5",'SKU明细'!$A$11:$A$1309,0)),INDEX('SKU明细'!$BV$11:$BV$1309,MATCH("32582-BK-39",'SKU明细'!$A$11:$A$1309,0)),INDEX('SKU明细'!$BV$11:$BV$1309,MATCH("32582-BK-39.5",'SKU明细'!$A$11:$A$1309,0)),INDEX('SKU明细'!$BV$11:$BV$1309,MATCH("32582-BK-40",'SKU明细'!$A$11:$A$1309,0)),INDEX('SKU明细'!$BV$11:$BV$1309,MATCH("32582-BK-40.5",'SKU明细'!$A$11:$A$1309,0)),INDEX('SKU明细'!$BV$11:$BV$1309,MATCH("32582-BK-41",'SKU明细'!$A$11:$A$1309,0)),INDEX('SKU明细'!$BV$11:$BV$1309,MATCH("32582-BK-41.5",'SKU明细'!$A$11:$A$1309,0)),INDEX('SKU明细'!$BV$11:$BV$1309,MATCH("32582-BK-42",'SKU明细'!$A$11:$A$1309,0))),"待核")</x:f>
        <x:v>8.693659224127387</x:v>
      </x:c>
      <x:c r="X99" s="11" t="n">
        <x:f>INDEX('SKU明细'!$BW$11:$BW$1309,MATCH("32582-BK-37",'SKU明细'!$A$11:$A$1309,0))</x:f>
        <x:v>1.0395067087630607</x:v>
      </x:c>
      <x:c r="Y99" s="13" t="n">
        <x:f>IF(COUNT(INDEX('SKU明细'!$BY$11:$BY$1309,MATCH("32582-BK-37",'SKU明细'!$A$11:$A$1309,0)),INDEX('SKU明细'!$BY$11:$BY$1309,MATCH("32582-BK-37.5",'SKU明细'!$A$11:$A$1309,0)),INDEX('SKU明细'!$BY$11:$BY$1309,MATCH("32582-BK-38",'SKU明细'!$A$11:$A$1309,0)),INDEX('SKU明细'!$BY$11:$BY$1309,MATCH("32582-BK-38.5",'SKU明细'!$A$11:$A$1309,0)),INDEX('SKU明细'!$BY$11:$BY$1309,MATCH("32582-BK-39",'SKU明细'!$A$11:$A$1309,0)),INDEX('SKU明细'!$BY$11:$BY$1309,MATCH("32582-BK-39.5",'SKU明细'!$A$11:$A$1309,0)),INDEX('SKU明细'!$BY$11:$BY$1309,MATCH("32582-BK-40",'SKU明细'!$A$11:$A$1309,0)),INDEX('SKU明细'!$BY$11:$BY$1309,MATCH("32582-BK-40.5",'SKU明细'!$A$11:$A$1309,0)),INDEX('SKU明细'!$BY$11:$BY$1309,MATCH("32582-BK-41",'SKU明细'!$A$11:$A$1309,0)),INDEX('SKU明细'!$BY$11:$BY$1309,MATCH("32582-BK-41.5",'SKU明细'!$A$11:$A$1309,0)),INDEX('SKU明细'!$BY$11:$BY$1309,MATCH("32582-BK-42",'SKU明细'!$A$11:$A$1309,0)))=11,SUM(INDEX('SKU明细'!$BY$11:$BY$1309,MATCH("32582-BK-37",'SKU明细'!$A$11:$A$1309,0)),INDEX('SKU明细'!$BY$11:$BY$1309,MATCH("32582-BK-37.5",'SKU明细'!$A$11:$A$1309,0)),INDEX('SKU明细'!$BY$11:$BY$1309,MATCH("32582-BK-38",'SKU明细'!$A$11:$A$1309,0)),INDEX('SKU明细'!$BY$11:$BY$1309,MATCH("32582-BK-38.5",'SKU明细'!$A$11:$A$1309,0)),INDEX('SKU明细'!$BY$11:$BY$1309,MATCH("32582-BK-39",'SKU明细'!$A$11:$A$1309,0)),INDEX('SKU明细'!$BY$11:$BY$1309,MATCH("32582-BK-39.5",'SKU明细'!$A$11:$A$1309,0)),INDEX('SKU明细'!$BY$11:$BY$1309,MATCH("32582-BK-40",'SKU明细'!$A$11:$A$1309,0)),INDEX('SKU明细'!$BY$11:$BY$1309,MATCH("32582-BK-40.5",'SKU明细'!$A$11:$A$1309,0)),INDEX('SKU明细'!$BY$11:$BY$1309,MATCH("32582-BK-41",'SKU明细'!$A$11:$A$1309,0)),INDEX('SKU明细'!$BY$11:$BY$1309,MATCH("32582-BK-41.5",'SKU明细'!$A$11:$A$1309,0)),INDEX('SKU明细'!$BY$11:$BY$1309,MATCH("32582-BK-42",'SKU明细'!$A$11:$A$1309,0))),"待核")</x:f>
        <x:v>108.44540504616342</x:v>
      </x:c>
      <x:c r="Z99" s="11" t="n">
        <x:f>INDEX('SKU明细'!$BZ$11:$BZ$1309,MATCH("32582-BK-37",'SKU明细'!$A$11:$A$1309,0))</x:f>
        <x:v>0.9890368360033146</x:v>
      </x:c>
      <x:c r="AA99" s="13" t="n">
        <x:f>IF(COUNT(INDEX('SKU明细'!$CB$11:$CB$1309,MATCH("32582-BK-37",'SKU明细'!$A$11:$A$1309,0)),INDEX('SKU明细'!$CB$11:$CB$1309,MATCH("32582-BK-37.5",'SKU明细'!$A$11:$A$1309,0)),INDEX('SKU明细'!$CB$11:$CB$1309,MATCH("32582-BK-38",'SKU明细'!$A$11:$A$1309,0)),INDEX('SKU明细'!$CB$11:$CB$1309,MATCH("32582-BK-38.5",'SKU明细'!$A$11:$A$1309,0)),INDEX('SKU明细'!$CB$11:$CB$1309,MATCH("32582-BK-39",'SKU明细'!$A$11:$A$1309,0)),INDEX('SKU明细'!$CB$11:$CB$1309,MATCH("32582-BK-39.5",'SKU明细'!$A$11:$A$1309,0)),INDEX('SKU明细'!$CB$11:$CB$1309,MATCH("32582-BK-40",'SKU明细'!$A$11:$A$1309,0)),INDEX('SKU明细'!$CB$11:$CB$1309,MATCH("32582-BK-40.5",'SKU明细'!$A$11:$A$1309,0)),INDEX('SKU明细'!$CB$11:$CB$1309,MATCH("32582-BK-41",'SKU明细'!$A$11:$A$1309,0)),INDEX('SKU明细'!$CB$11:$CB$1309,MATCH("32582-BK-41.5",'SKU明细'!$A$11:$A$1309,0)),INDEX('SKU明细'!$CB$11:$CB$1309,MATCH("32582-BK-42",'SKU明细'!$A$11:$A$1309,0)))=11,SUM(INDEX('SKU明细'!$CB$11:$CB$1309,MATCH("32582-BK-37",'SKU明细'!$A$11:$A$1309,0)),INDEX('SKU明细'!$CB$11:$CB$1309,MATCH("32582-BK-37.5",'SKU明细'!$A$11:$A$1309,0)),INDEX('SKU明细'!$CB$11:$CB$1309,MATCH("32582-BK-38",'SKU明细'!$A$11:$A$1309,0)),INDEX('SKU明细'!$CB$11:$CB$1309,MATCH("32582-BK-38.5",'SKU明细'!$A$11:$A$1309,0)),INDEX('SKU明细'!$CB$11:$CB$1309,MATCH("32582-BK-39",'SKU明细'!$A$11:$A$1309,0)),INDEX('SKU明细'!$CB$11:$CB$1309,MATCH("32582-BK-39.5",'SKU明细'!$A$11:$A$1309,0)),INDEX('SKU明细'!$CB$11:$CB$1309,MATCH("32582-BK-40",'SKU明细'!$A$11:$A$1309,0)),INDEX('SKU明细'!$CB$11:$CB$1309,MATCH("32582-BK-40.5",'SKU明细'!$A$11:$A$1309,0)),INDEX('SKU明细'!$CB$11:$CB$1309,MATCH("32582-BK-41",'SKU明细'!$A$11:$A$1309,0)),INDEX('SKU明细'!$CB$11:$CB$1309,MATCH("32582-BK-41.5",'SKU明细'!$A$11:$A$1309,0)),INDEX('SKU明细'!$CB$11:$CB$1309,MATCH("32582-BK-42",'SKU明细'!$A$11:$A$1309,0))),"待核")</x:f>
        <x:v>257.95047636965944</x:v>
      </x:c>
      <x:c r="AB99" s="11" t="n">
        <x:f>INDEX('SKU明细'!$CC$11:$CC$1309,MATCH("32582-BK-37",'SKU明细'!$A$11:$A$1309,0))</x:f>
        <x:v>0.7800796503018808</x:v>
      </x:c>
      <x:c r="AC99" s="13" t="n">
        <x:f>IF(COUNT(INDEX('SKU明细'!$CE$11:$CE$1309,MATCH("32582-BK-37",'SKU明细'!$A$11:$A$1309,0)),INDEX('SKU明细'!$CE$11:$CE$1309,MATCH("32582-BK-37.5",'SKU明细'!$A$11:$A$1309,0)),INDEX('SKU明细'!$CE$11:$CE$1309,MATCH("32582-BK-38",'SKU明细'!$A$11:$A$1309,0)),INDEX('SKU明细'!$CE$11:$CE$1309,MATCH("32582-BK-38.5",'SKU明细'!$A$11:$A$1309,0)),INDEX('SKU明细'!$CE$11:$CE$1309,MATCH("32582-BK-39",'SKU明细'!$A$11:$A$1309,0)),INDEX('SKU明细'!$CE$11:$CE$1309,MATCH("32582-BK-39.5",'SKU明细'!$A$11:$A$1309,0)),INDEX('SKU明细'!$CE$11:$CE$1309,MATCH("32582-BK-40",'SKU明细'!$A$11:$A$1309,0)),INDEX('SKU明细'!$CE$11:$CE$1309,MATCH("32582-BK-40.5",'SKU明细'!$A$11:$A$1309,0)),INDEX('SKU明细'!$CE$11:$CE$1309,MATCH("32582-BK-41",'SKU明细'!$A$11:$A$1309,0)),INDEX('SKU明细'!$CE$11:$CE$1309,MATCH("32582-BK-41.5",'SKU明细'!$A$11:$A$1309,0)),INDEX('SKU明细'!$CE$11:$CE$1309,MATCH("32582-BK-42",'SKU明细'!$A$11:$A$1309,0)))=11,SUM(INDEX('SKU明细'!$CE$11:$CE$1309,MATCH("32582-BK-37",'SKU明细'!$A$11:$A$1309,0)),INDEX('SKU明细'!$CE$11:$CE$1309,MATCH("32582-BK-37.5",'SKU明细'!$A$11:$A$1309,0)),INDEX('SKU明细'!$CE$11:$CE$1309,MATCH("32582-BK-38",'SKU明细'!$A$11:$A$1309,0)),INDEX('SKU明细'!$CE$11:$CE$1309,MATCH("32582-BK-38.5",'SKU明细'!$A$11:$A$1309,0)),INDEX('SKU明细'!$CE$11:$CE$1309,MATCH("32582-BK-39",'SKU明细'!$A$11:$A$1309,0)),INDEX('SKU明细'!$CE$11:$CE$1309,MATCH("32582-BK-39.5",'SKU明细'!$A$11:$A$1309,0)),INDEX('SKU明细'!$CE$11:$CE$1309,MATCH("32582-BK-40",'SKU明细'!$A$11:$A$1309,0)),INDEX('SKU明细'!$CE$11:$CE$1309,MATCH("32582-BK-40.5",'SKU明细'!$A$11:$A$1309,0)),INDEX('SKU明细'!$CE$11:$CE$1309,MATCH("32582-BK-41",'SKU明细'!$A$11:$A$1309,0)),INDEX('SKU明细'!$CE$11:$CE$1309,MATCH("32582-BK-41.5",'SKU明细'!$A$11:$A$1309,0)),INDEX('SKU明细'!$CE$11:$CE$1309,MATCH("32582-BK-42",'SKU明细'!$A$11:$A$1309,0))),"待核")</x:f>
        <x:v>210.23414606943138</x:v>
      </x:c>
      <x:c r="AD99" s="11" t="n">
        <x:f>INDEX('SKU明细'!$CF$11:$CF$1309,MATCH("32582-BK-37",'SKU明细'!$A$11:$A$1309,0))</x:f>
        <x:v>1.2908918272824135</x:v>
      </x:c>
      <x:c r="AE99" s="13" t="n">
        <x:f>IF(COUNT(INDEX('SKU明细'!$CH$11:$CH$1309,MATCH("32582-BK-37",'SKU明细'!$A$11:$A$1309,0)),INDEX('SKU明细'!$CH$11:$CH$1309,MATCH("32582-BK-37.5",'SKU明细'!$A$11:$A$1309,0)),INDEX('SKU明细'!$CH$11:$CH$1309,MATCH("32582-BK-38",'SKU明细'!$A$11:$A$1309,0)),INDEX('SKU明细'!$CH$11:$CH$1309,MATCH("32582-BK-38.5",'SKU明细'!$A$11:$A$1309,0)),INDEX('SKU明细'!$CH$11:$CH$1309,MATCH("32582-BK-39",'SKU明细'!$A$11:$A$1309,0)),INDEX('SKU明细'!$CH$11:$CH$1309,MATCH("32582-BK-39.5",'SKU明细'!$A$11:$A$1309,0)),INDEX('SKU明细'!$CH$11:$CH$1309,MATCH("32582-BK-40",'SKU明细'!$A$11:$A$1309,0)),INDEX('SKU明细'!$CH$11:$CH$1309,MATCH("32582-BK-40.5",'SKU明细'!$A$11:$A$1309,0)),INDEX('SKU明细'!$CH$11:$CH$1309,MATCH("32582-BK-41",'SKU明细'!$A$11:$A$1309,0)),INDEX('SKU明细'!$CH$11:$CH$1309,MATCH("32582-BK-41.5",'SKU明细'!$A$11:$A$1309,0)),INDEX('SKU明细'!$CH$11:$CH$1309,MATCH("32582-BK-42",'SKU明细'!$A$11:$A$1309,0)))=11,SUM(INDEX('SKU明细'!$CH$11:$CH$1309,MATCH("32582-BK-37",'SKU明细'!$A$11:$A$1309,0)),INDEX('SKU明细'!$CH$11:$CH$1309,MATCH("32582-BK-37.5",'SKU明细'!$A$11:$A$1309,0)),INDEX('SKU明细'!$CH$11:$CH$1309,MATCH("32582-BK-38",'SKU明细'!$A$11:$A$1309,0)),INDEX('SKU明细'!$CH$11:$CH$1309,MATCH("32582-BK-38.5",'SKU明细'!$A$11:$A$1309,0)),INDEX('SKU明细'!$CH$11:$CH$1309,MATCH("32582-BK-39",'SKU明细'!$A$11:$A$1309,0)),INDEX('SKU明细'!$CH$11:$CH$1309,MATCH("32582-BK-39.5",'SKU明细'!$A$11:$A$1309,0)),INDEX('SKU明细'!$CH$11:$CH$1309,MATCH("32582-BK-40",'SKU明细'!$A$11:$A$1309,0)),INDEX('SKU明细'!$CH$11:$CH$1309,MATCH("32582-BK-40.5",'SKU明细'!$A$11:$A$1309,0)),INDEX('SKU明细'!$CH$11:$CH$1309,MATCH("32582-BK-41",'SKU明细'!$A$11:$A$1309,0)),INDEX('SKU明细'!$CH$11:$CH$1309,MATCH("32582-BK-41.5",'SKU明细'!$A$11:$A$1309,0)),INDEX('SKU明细'!$CH$11:$CH$1309,MATCH("32582-BK-42",'SKU明细'!$A$11:$A$1309,0))),"待核")</x:f>
        <x:v>190.78375190727502</x:v>
      </x:c>
      <x:c r="AF99" s="13" t="n">
        <x:f>IF(COUNT(INDEX('SKU明细'!$CI$11:$CI$1309,MATCH("32582-BK-37",'SKU明细'!$A$11:$A$1309,0)),INDEX('SKU明细'!$CI$11:$CI$1309,MATCH("32582-BK-37.5",'SKU明细'!$A$11:$A$1309,0)),INDEX('SKU明细'!$CI$11:$CI$1309,MATCH("32582-BK-38",'SKU明细'!$A$11:$A$1309,0)),INDEX('SKU明细'!$CI$11:$CI$1309,MATCH("32582-BK-38.5",'SKU明细'!$A$11:$A$1309,0)),INDEX('SKU明细'!$CI$11:$CI$1309,MATCH("32582-BK-39",'SKU明细'!$A$11:$A$1309,0)),INDEX('SKU明细'!$CI$11:$CI$1309,MATCH("32582-BK-39.5",'SKU明细'!$A$11:$A$1309,0)),INDEX('SKU明细'!$CI$11:$CI$1309,MATCH("32582-BK-40",'SKU明细'!$A$11:$A$1309,0)),INDEX('SKU明细'!$CI$11:$CI$1309,MATCH("32582-BK-40.5",'SKU明细'!$A$11:$A$1309,0)),INDEX('SKU明细'!$CI$11:$CI$1309,MATCH("32582-BK-41",'SKU明细'!$A$11:$A$1309,0)),INDEX('SKU明细'!$CI$11:$CI$1309,MATCH("32582-BK-41.5",'SKU明细'!$A$11:$A$1309,0)),INDEX('SKU明细'!$CI$11:$CI$1309,MATCH("32582-BK-42",'SKU明细'!$A$11:$A$1309,0)))=11,SUM(INDEX('SKU明细'!$CI$11:$CI$1309,MATCH("32582-BK-37",'SKU明细'!$A$11:$A$1309,0)),INDEX('SKU明细'!$CI$11:$CI$1309,MATCH("32582-BK-37.5",'SKU明细'!$A$11:$A$1309,0)),INDEX('SKU明细'!$CI$11:$CI$1309,MATCH("32582-BK-38",'SKU明细'!$A$11:$A$1309,0)),INDEX('SKU明细'!$CI$11:$CI$1309,MATCH("32582-BK-38.5",'SKU明细'!$A$11:$A$1309,0)),INDEX('SKU明细'!$CI$11:$CI$1309,MATCH("32582-BK-39",'SKU明细'!$A$11:$A$1309,0)),INDEX('SKU明细'!$CI$11:$CI$1309,MATCH("32582-BK-39.5",'SKU明细'!$A$11:$A$1309,0)),INDEX('SKU明细'!$CI$11:$CI$1309,MATCH("32582-BK-40",'SKU明细'!$A$11:$A$1309,0)),INDEX('SKU明细'!$CI$11:$CI$1309,MATCH("32582-BK-40.5",'SKU明细'!$A$11:$A$1309,0)),INDEX('SKU明细'!$CI$11:$CI$1309,MATCH("32582-BK-41",'SKU明细'!$A$11:$A$1309,0)),INDEX('SKU明细'!$CI$11:$CI$1309,MATCH("32582-BK-41.5",'SKU明细'!$A$11:$A$1309,0)),INDEX('SKU明细'!$CI$11:$CI$1309,MATCH("32582-BK-42",'SKU明细'!$A$11:$A$1309,0))),"待核")</x:f>
        <x:v>767.4137793925292</x:v>
      </x:c>
    </x:row>
    <x:row r="100" ht="40" customHeight="1">
      <x:c r="A100" s="37" t="str">
        <x:v>32582</x:v>
      </x:c>
      <x:c r="B100" s="37" t="str">
        <x:v>徐新怡</x:v>
      </x:c>
      <x:c r="C100" s="37" t="str">
        <x:v>黑色白色内里</x:v>
      </x:c>
      <x:c r="D100" s="37" t="str">
        <x:v>BKW</x:v>
      </x:c>
      <x:c r="E100" s="37" t="str">
        <x:v>32582-BKW</x:v>
      </x:c>
      <x:c r="F100" s="37"/>
      <x:c r="G100" s="38" t="str">
        <x:f>"—"</x:f>
        <x:v>—</x:v>
      </x:c>
      <x:c r="H100" s="38" t="n">
        <x:f>IF(COUNT(INDEX('SKU明细'!$D$11:$D$1309,MATCH("32582-BKW-37",'SKU明细'!$A$11:$A$1309,0)))=0,"待核",IF(COUNT(INDEX('SKU明细'!$D$11:$D$1309,MATCH("32582-BKW-37",'SKU明细'!$A$11:$A$1309,0)))&lt;1,SUM(INDEX('SKU明细'!$D$11:$D$1309,MATCH("32582-BKW-37",'SKU明细'!$A$11:$A$1309,0)))&amp;" + 待核",SUM(INDEX('SKU明细'!$D$11:$D$1309,MATCH("32582-BKW-37",'SKU明细'!$A$11:$A$1309,0)))))</x:f>
        <x:v>0</x:v>
      </x:c>
      <x:c r="I100" s="38" t="n">
        <x:f>IF(COUNT(INDEX('SKU明细'!$D$11:$D$1309,MATCH("32582-BKW-37.5",'SKU明细'!$A$11:$A$1309,0)))=0,"待核",IF(COUNT(INDEX('SKU明细'!$D$11:$D$1309,MATCH("32582-BKW-37.5",'SKU明细'!$A$11:$A$1309,0)))&lt;1,SUM(INDEX('SKU明细'!$D$11:$D$1309,MATCH("32582-BKW-37.5",'SKU明细'!$A$11:$A$1309,0)))&amp;" + 待核",SUM(INDEX('SKU明细'!$D$11:$D$1309,MATCH("32582-BKW-37.5",'SKU明细'!$A$11:$A$1309,0)))))</x:f>
        <x:v>14</x:v>
      </x:c>
      <x:c r="J100" s="38" t="n">
        <x:f>IF(COUNT(INDEX('SKU明细'!$D$11:$D$1309,MATCH("32582-BKW-38",'SKU明细'!$A$11:$A$1309,0)))=0,"待核",IF(COUNT(INDEX('SKU明细'!$D$11:$D$1309,MATCH("32582-BKW-38",'SKU明细'!$A$11:$A$1309,0)))&lt;1,SUM(INDEX('SKU明细'!$D$11:$D$1309,MATCH("32582-BKW-38",'SKU明细'!$A$11:$A$1309,0)))&amp;" + 待核",SUM(INDEX('SKU明细'!$D$11:$D$1309,MATCH("32582-BKW-38",'SKU明细'!$A$11:$A$1309,0)))))</x:f>
        <x:v>0</x:v>
      </x:c>
      <x:c r="K100" s="38" t="n">
        <x:f>IF(COUNT(INDEX('SKU明细'!$D$11:$D$1309,MATCH("32582-BKW-38.5",'SKU明细'!$A$11:$A$1309,0)))=0,"待核",IF(COUNT(INDEX('SKU明细'!$D$11:$D$1309,MATCH("32582-BKW-38.5",'SKU明细'!$A$11:$A$1309,0)))&lt;1,SUM(INDEX('SKU明细'!$D$11:$D$1309,MATCH("32582-BKW-38.5",'SKU明细'!$A$11:$A$1309,0)))&amp;" + 待核",SUM(INDEX('SKU明细'!$D$11:$D$1309,MATCH("32582-BKW-38.5",'SKU明细'!$A$11:$A$1309,0)))))</x:f>
        <x:v>0</x:v>
      </x:c>
      <x:c r="L100" s="38" t="n">
        <x:f>IF(COUNT(INDEX('SKU明细'!$D$11:$D$1309,MATCH("32582-BKW-39",'SKU明细'!$A$11:$A$1309,0)))=0,"待核",IF(COUNT(INDEX('SKU明细'!$D$11:$D$1309,MATCH("32582-BKW-39",'SKU明细'!$A$11:$A$1309,0)))&lt;1,SUM(INDEX('SKU明细'!$D$11:$D$1309,MATCH("32582-BKW-39",'SKU明细'!$A$11:$A$1309,0)))&amp;" + 待核",SUM(INDEX('SKU明细'!$D$11:$D$1309,MATCH("32582-BKW-39",'SKU明细'!$A$11:$A$1309,0)))))</x:f>
        <x:v>0</x:v>
      </x:c>
      <x:c r="M100" s="38" t="n">
        <x:f>IF(COUNT(INDEX('SKU明细'!$D$11:$D$1309,MATCH("32582-BKW-39.5",'SKU明细'!$A$11:$A$1309,0)))=0,"待核",IF(COUNT(INDEX('SKU明细'!$D$11:$D$1309,MATCH("32582-BKW-39.5",'SKU明细'!$A$11:$A$1309,0)))&lt;1,SUM(INDEX('SKU明细'!$D$11:$D$1309,MATCH("32582-BKW-39.5",'SKU明细'!$A$11:$A$1309,0)))&amp;" + 待核",SUM(INDEX('SKU明细'!$D$11:$D$1309,MATCH("32582-BKW-39.5",'SKU明细'!$A$11:$A$1309,0)))))</x:f>
        <x:v>0</x:v>
      </x:c>
      <x:c r="N100" s="38" t="n">
        <x:f>IF(COUNT(INDEX('SKU明细'!$D$11:$D$1309,MATCH("32582-BKW-40",'SKU明细'!$A$11:$A$1309,0)))=0,"待核",IF(COUNT(INDEX('SKU明细'!$D$11:$D$1309,MATCH("32582-BKW-40",'SKU明细'!$A$11:$A$1309,0)))&lt;1,SUM(INDEX('SKU明细'!$D$11:$D$1309,MATCH("32582-BKW-40",'SKU明细'!$A$11:$A$1309,0)))&amp;" + 待核",SUM(INDEX('SKU明细'!$D$11:$D$1309,MATCH("32582-BKW-40",'SKU明细'!$A$11:$A$1309,0)))))</x:f>
        <x:v>0</x:v>
      </x:c>
      <x:c r="O100" s="38" t="n">
        <x:f>IF(COUNT(INDEX('SKU明细'!$D$11:$D$1309,MATCH("32582-BKW-40.5",'SKU明细'!$A$11:$A$1309,0)))=0,"待核",IF(COUNT(INDEX('SKU明细'!$D$11:$D$1309,MATCH("32582-BKW-40.5",'SKU明细'!$A$11:$A$1309,0)))&lt;1,SUM(INDEX('SKU明细'!$D$11:$D$1309,MATCH("32582-BKW-40.5",'SKU明细'!$A$11:$A$1309,0)))&amp;" + 待核",SUM(INDEX('SKU明细'!$D$11:$D$1309,MATCH("32582-BKW-40.5",'SKU明细'!$A$11:$A$1309,0)))))</x:f>
        <x:v>0</x:v>
      </x:c>
      <x:c r="P100" s="38" t="n">
        <x:f>IF(COUNT(INDEX('SKU明细'!$D$11:$D$1309,MATCH("32582-BKW-41",'SKU明细'!$A$11:$A$1309,0)))=0,"待核",IF(COUNT(INDEX('SKU明细'!$D$11:$D$1309,MATCH("32582-BKW-41",'SKU明细'!$A$11:$A$1309,0)))&lt;1,SUM(INDEX('SKU明细'!$D$11:$D$1309,MATCH("32582-BKW-41",'SKU明细'!$A$11:$A$1309,0)))&amp;" + 待核",SUM(INDEX('SKU明细'!$D$11:$D$1309,MATCH("32582-BKW-41",'SKU明细'!$A$11:$A$1309,0)))))</x:f>
        <x:v>0</x:v>
      </x:c>
      <x:c r="Q100" s="38" t="str">
        <x:f>IF(COUNT(INDEX('SKU明细'!$D$11:$D$1309,MATCH("32582-BKW-41.5",'SKU明细'!$A$11:$A$1309,0)))=0,"待核",IF(COUNT(INDEX('SKU明细'!$D$11:$D$1309,MATCH("32582-BKW-41.5",'SKU明细'!$A$11:$A$1309,0)))&lt;1,SUM(INDEX('SKU明细'!$D$11:$D$1309,MATCH("32582-BKW-41.5",'SKU明细'!$A$11:$A$1309,0)))&amp;" + 待核",SUM(INDEX('SKU明细'!$D$11:$D$1309,MATCH("32582-BKW-41.5",'SKU明细'!$A$11:$A$1309,0)))))</x:f>
        <x:v>待核</x:v>
      </x:c>
      <x:c r="R100" s="38" t="n">
        <x:f>IF(COUNT(INDEX('SKU明细'!$D$11:$D$1309,MATCH("32582-BKW-42",'SKU明细'!$A$11:$A$1309,0)))=0,"待核",IF(COUNT(INDEX('SKU明细'!$D$11:$D$1309,MATCH("32582-BKW-42",'SKU明细'!$A$11:$A$1309,0)))&lt;1,SUM(INDEX('SKU明细'!$D$11:$D$1309,MATCH("32582-BKW-42",'SKU明细'!$A$11:$A$1309,0)))&amp;" + 待核",SUM(INDEX('SKU明细'!$D$11:$D$1309,MATCH("32582-BKW-42",'SKU明细'!$A$11:$A$1309,0)))))</x:f>
        <x:v>16</x:v>
      </x:c>
      <x:c r="S100" s="38" t="n">
        <x:f>IF(COUNT(INDEX('SKU明细'!$D$11:$D$1309,MATCH("32582-BKW-37",'SKU明细'!$A$11:$A$1309,0)),INDEX('SKU明细'!$D$11:$D$1309,MATCH("32582-BKW-37.5",'SKU明细'!$A$11:$A$1309,0)),INDEX('SKU明细'!$D$11:$D$1309,MATCH("32582-BKW-38",'SKU明细'!$A$11:$A$1309,0)),INDEX('SKU明细'!$D$11:$D$1309,MATCH("32582-BKW-38.5",'SKU明细'!$A$11:$A$1309,0)),INDEX('SKU明细'!$D$11:$D$1309,MATCH("32582-BKW-39",'SKU明细'!$A$11:$A$1309,0)),INDEX('SKU明细'!$D$11:$D$1309,MATCH("32582-BKW-39.5",'SKU明细'!$A$11:$A$1309,0)),INDEX('SKU明细'!$D$11:$D$1309,MATCH("32582-BKW-40",'SKU明细'!$A$11:$A$1309,0)),INDEX('SKU明细'!$D$11:$D$1309,MATCH("32582-BKW-40.5",'SKU明细'!$A$11:$A$1309,0)),INDEX('SKU明细'!$D$11:$D$1309,MATCH("32582-BKW-41",'SKU明细'!$A$11:$A$1309,0)),INDEX('SKU明细'!$D$11:$D$1309,MATCH("32582-BKW-41.5",'SKU明细'!$A$11:$A$1309,0)),INDEX('SKU明细'!$D$11:$D$1309,MATCH("32582-BKW-42",'SKU明细'!$A$11:$A$1309,0)))=0,"待核",SUM(INDEX('SKU明细'!$D$11:$D$1309,MATCH("32582-BKW-37",'SKU明细'!$A$11:$A$1309,0)),INDEX('SKU明细'!$D$11:$D$1309,MATCH("32582-BKW-37.5",'SKU明细'!$A$11:$A$1309,0)),INDEX('SKU明细'!$D$11:$D$1309,MATCH("32582-BKW-38",'SKU明细'!$A$11:$A$1309,0)),INDEX('SKU明细'!$D$11:$D$1309,MATCH("32582-BKW-38.5",'SKU明细'!$A$11:$A$1309,0)),INDEX('SKU明细'!$D$11:$D$1309,MATCH("32582-BKW-39",'SKU明细'!$A$11:$A$1309,0)),INDEX('SKU明细'!$D$11:$D$1309,MATCH("32582-BKW-39.5",'SKU明细'!$A$11:$A$1309,0)),INDEX('SKU明细'!$D$11:$D$1309,MATCH("32582-BKW-40",'SKU明细'!$A$11:$A$1309,0)),INDEX('SKU明细'!$D$11:$D$1309,MATCH("32582-BKW-40.5",'SKU明细'!$A$11:$A$1309,0)),INDEX('SKU明细'!$D$11:$D$1309,MATCH("32582-BKW-41",'SKU明细'!$A$11:$A$1309,0)),INDEX('SKU明细'!$D$11:$D$1309,MATCH("32582-BKW-41.5",'SKU明细'!$A$11:$A$1309,0)),INDEX('SKU明细'!$D$11:$D$1309,MATCH("32582-BKW-42",'SKU明细'!$A$11:$A$1309,0))))</x:f>
        <x:v>30</x:v>
      </x:c>
      <x:c r="T100" s="38" t="n">
        <x:f>IF(COUNTIFS($A$9:$A$191,A100,$U$9:$U$191,"&lt;&gt;待核")=0,"待核",SUMIF($A$9:$A$191,A100,$S$9:$S$191))</x:f>
        <x:v>197</x:v>
      </x:c>
      <x:c r="U100" s="37" t="str">
        <x:f>IF(COUNT(INDEX('SKU明细'!$D$11:$D$1309,MATCH("32582-BKW-37",'SKU明细'!$A$11:$A$1309,0)),INDEX('SKU明细'!$D$11:$D$1309,MATCH("32582-BKW-37.5",'SKU明细'!$A$11:$A$1309,0)),INDEX('SKU明细'!$D$11:$D$1309,MATCH("32582-BKW-38",'SKU明细'!$A$11:$A$1309,0)),INDEX('SKU明细'!$D$11:$D$1309,MATCH("32582-BKW-38.5",'SKU明细'!$A$11:$A$1309,0)),INDEX('SKU明细'!$D$11:$D$1309,MATCH("32582-BKW-39",'SKU明细'!$A$11:$A$1309,0)),INDEX('SKU明细'!$D$11:$D$1309,MATCH("32582-BKW-39.5",'SKU明细'!$A$11:$A$1309,0)),INDEX('SKU明细'!$D$11:$D$1309,MATCH("32582-BKW-40",'SKU明细'!$A$11:$A$1309,0)),INDEX('SKU明细'!$D$11:$D$1309,MATCH("32582-BKW-40.5",'SKU明细'!$A$11:$A$1309,0)),INDEX('SKU明细'!$D$11:$D$1309,MATCH("32582-BKW-41",'SKU明细'!$A$11:$A$1309,0)),INDEX('SKU明细'!$D$11:$D$1309,MATCH("32582-BKW-41.5",'SKU明细'!$A$11:$A$1309,0)),INDEX('SKU明细'!$D$11:$D$1309,MATCH("32582-BKW-42",'SKU明细'!$A$11:$A$1309,0)))=0,"待核",IF(COUNT(INDEX('SKU明细'!$D$11:$D$1309,MATCH("32582-BKW-37",'SKU明细'!$A$11:$A$1309,0)),INDEX('SKU明细'!$D$11:$D$1309,MATCH("32582-BKW-37.5",'SKU明细'!$A$11:$A$1309,0)),INDEX('SKU明细'!$D$11:$D$1309,MATCH("32582-BKW-38",'SKU明细'!$A$11:$A$1309,0)),INDEX('SKU明细'!$D$11:$D$1309,MATCH("32582-BKW-38.5",'SKU明细'!$A$11:$A$1309,0)),INDEX('SKU明细'!$D$11:$D$1309,MATCH("32582-BKW-39",'SKU明细'!$A$11:$A$1309,0)),INDEX('SKU明细'!$D$11:$D$1309,MATCH("32582-BKW-39.5",'SKU明细'!$A$11:$A$1309,0)),INDEX('SKU明细'!$D$11:$D$1309,MATCH("32582-BKW-40",'SKU明细'!$A$11:$A$1309,0)),INDEX('SKU明细'!$D$11:$D$1309,MATCH("32582-BKW-40.5",'SKU明细'!$A$11:$A$1309,0)),INDEX('SKU明细'!$D$11:$D$1309,MATCH("32582-BKW-41",'SKU明细'!$A$11:$A$1309,0)),INDEX('SKU明细'!$D$11:$D$1309,MATCH("32582-BKW-41.5",'SKU明细'!$A$11:$A$1309,0)),INDEX('SKU明细'!$D$11:$D$1309,MATCH("32582-BKW-42",'SKU明细'!$A$11:$A$1309,0)))&lt;11,"另有待核","已核"))</x:f>
        <x:v>另有待核</x:v>
      </x:c>
      <x:c r="V100" s="37" t="str">
        <x:v>停售、在售</x:v>
      </x:c>
      <x:c r="W100" s="11" t="n">
        <x:f>IF(COUNT(INDEX('SKU明细'!$BV$11:$BV$1309,MATCH("32582-BKW-37",'SKU明细'!$A$11:$A$1309,0)),INDEX('SKU明细'!$BV$11:$BV$1309,MATCH("32582-BKW-37.5",'SKU明细'!$A$11:$A$1309,0)),INDEX('SKU明细'!$BV$11:$BV$1309,MATCH("32582-BKW-38",'SKU明细'!$A$11:$A$1309,0)),INDEX('SKU明细'!$BV$11:$BV$1309,MATCH("32582-BKW-38.5",'SKU明细'!$A$11:$A$1309,0)),INDEX('SKU明细'!$BV$11:$BV$1309,MATCH("32582-BKW-39",'SKU明细'!$A$11:$A$1309,0)),INDEX('SKU明细'!$BV$11:$BV$1309,MATCH("32582-BKW-39.5",'SKU明细'!$A$11:$A$1309,0)),INDEX('SKU明细'!$BV$11:$BV$1309,MATCH("32582-BKW-40",'SKU明细'!$A$11:$A$1309,0)),INDEX('SKU明细'!$BV$11:$BV$1309,MATCH("32582-BKW-40.5",'SKU明细'!$A$11:$A$1309,0)),INDEX('SKU明细'!$BV$11:$BV$1309,MATCH("32582-BKW-41",'SKU明细'!$A$11:$A$1309,0)),INDEX('SKU明细'!$BV$11:$BV$1309,MATCH("32582-BKW-41.5",'SKU明细'!$A$11:$A$1309,0)),INDEX('SKU明细'!$BV$11:$BV$1309,MATCH("32582-BKW-42",'SKU明细'!$A$11:$A$1309,0)))=11,SUM(INDEX('SKU明细'!$BV$11:$BV$1309,MATCH("32582-BKW-37",'SKU明细'!$A$11:$A$1309,0)),INDEX('SKU明细'!$BV$11:$BV$1309,MATCH("32582-BKW-37.5",'SKU明细'!$A$11:$A$1309,0)),INDEX('SKU明细'!$BV$11:$BV$1309,MATCH("32582-BKW-38",'SKU明细'!$A$11:$A$1309,0)),INDEX('SKU明细'!$BV$11:$BV$1309,MATCH("32582-BKW-38.5",'SKU明细'!$A$11:$A$1309,0)),INDEX('SKU明细'!$BV$11:$BV$1309,MATCH("32582-BKW-39",'SKU明细'!$A$11:$A$1309,0)),INDEX('SKU明细'!$BV$11:$BV$1309,MATCH("32582-BKW-39.5",'SKU明细'!$A$11:$A$1309,0)),INDEX('SKU明细'!$BV$11:$BV$1309,MATCH("32582-BKW-40",'SKU明细'!$A$11:$A$1309,0)),INDEX('SKU明细'!$BV$11:$BV$1309,MATCH("32582-BKW-40.5",'SKU明细'!$A$11:$A$1309,0)),INDEX('SKU明细'!$BV$11:$BV$1309,MATCH("32582-BKW-41",'SKU明细'!$A$11:$A$1309,0)),INDEX('SKU明细'!$BV$11:$BV$1309,MATCH("32582-BKW-41.5",'SKU明细'!$A$11:$A$1309,0)),INDEX('SKU明细'!$BV$11:$BV$1309,MATCH("32582-BKW-42",'SKU明细'!$A$11:$A$1309,0))),"待核")</x:f>
        <x:v>1.7016895050610588</x:v>
      </x:c>
      <x:c r="X100" s="11" t="n">
        <x:f>INDEX('SKU明细'!$BW$11:$BW$1309,MATCH("32582-BKW-37",'SKU明细'!$A$11:$A$1309,0))</x:f>
        <x:v>1.0395067087630607</x:v>
      </x:c>
      <x:c r="Y100" s="13" t="n">
        <x:f>IF(COUNT(INDEX('SKU明细'!$BY$11:$BY$1309,MATCH("32582-BKW-37",'SKU明细'!$A$11:$A$1309,0)),INDEX('SKU明细'!$BY$11:$BY$1309,MATCH("32582-BKW-37.5",'SKU明细'!$A$11:$A$1309,0)),INDEX('SKU明细'!$BY$11:$BY$1309,MATCH("32582-BKW-38",'SKU明细'!$A$11:$A$1309,0)),INDEX('SKU明细'!$BY$11:$BY$1309,MATCH("32582-BKW-38.5",'SKU明细'!$A$11:$A$1309,0)),INDEX('SKU明细'!$BY$11:$BY$1309,MATCH("32582-BKW-39",'SKU明细'!$A$11:$A$1309,0)),INDEX('SKU明细'!$BY$11:$BY$1309,MATCH("32582-BKW-39.5",'SKU明细'!$A$11:$A$1309,0)),INDEX('SKU明细'!$BY$11:$BY$1309,MATCH("32582-BKW-40",'SKU明细'!$A$11:$A$1309,0)),INDEX('SKU明细'!$BY$11:$BY$1309,MATCH("32582-BKW-40.5",'SKU明细'!$A$11:$A$1309,0)),INDEX('SKU明细'!$BY$11:$BY$1309,MATCH("32582-BKW-41",'SKU明细'!$A$11:$A$1309,0)),INDEX('SKU明细'!$BY$11:$BY$1309,MATCH("32582-BKW-41.5",'SKU明细'!$A$11:$A$1309,0)),INDEX('SKU明细'!$BY$11:$BY$1309,MATCH("32582-BKW-42",'SKU明细'!$A$11:$A$1309,0)))=11,SUM(INDEX('SKU明细'!$BY$11:$BY$1309,MATCH("32582-BKW-37",'SKU明细'!$A$11:$A$1309,0)),INDEX('SKU明细'!$BY$11:$BY$1309,MATCH("32582-BKW-37.5",'SKU明细'!$A$11:$A$1309,0)),INDEX('SKU明细'!$BY$11:$BY$1309,MATCH("32582-BKW-38",'SKU明细'!$A$11:$A$1309,0)),INDEX('SKU明细'!$BY$11:$BY$1309,MATCH("32582-BKW-38.5",'SKU明细'!$A$11:$A$1309,0)),INDEX('SKU明细'!$BY$11:$BY$1309,MATCH("32582-BKW-39",'SKU明细'!$A$11:$A$1309,0)),INDEX('SKU明细'!$BY$11:$BY$1309,MATCH("32582-BKW-39.5",'SKU明细'!$A$11:$A$1309,0)),INDEX('SKU明细'!$BY$11:$BY$1309,MATCH("32582-BKW-40",'SKU明细'!$A$11:$A$1309,0)),INDEX('SKU明细'!$BY$11:$BY$1309,MATCH("32582-BKW-40.5",'SKU明细'!$A$11:$A$1309,0)),INDEX('SKU明细'!$BY$11:$BY$1309,MATCH("32582-BKW-41",'SKU明细'!$A$11:$A$1309,0)),INDEX('SKU明细'!$BY$11:$BY$1309,MATCH("32582-BKW-41.5",'SKU明细'!$A$11:$A$1309,0)),INDEX('SKU明细'!$BY$11:$BY$1309,MATCH("32582-BKW-42",'SKU明细'!$A$11:$A$1309,0))),"待核")</x:f>
        <x:v>21.227011880911952</x:v>
      </x:c>
      <x:c r="Z100" s="11" t="n">
        <x:f>INDEX('SKU明细'!$BZ$11:$BZ$1309,MATCH("32582-BKW-37",'SKU明细'!$A$11:$A$1309,0))</x:f>
        <x:v>0.9890368360033146</x:v>
      </x:c>
      <x:c r="AA100" s="13" t="n">
        <x:f>IF(COUNT(INDEX('SKU明细'!$CB$11:$CB$1309,MATCH("32582-BKW-37",'SKU明细'!$A$11:$A$1309,0)),INDEX('SKU明细'!$CB$11:$CB$1309,MATCH("32582-BKW-37.5",'SKU明细'!$A$11:$A$1309,0)),INDEX('SKU明细'!$CB$11:$CB$1309,MATCH("32582-BKW-38",'SKU明细'!$A$11:$A$1309,0)),INDEX('SKU明细'!$CB$11:$CB$1309,MATCH("32582-BKW-38.5",'SKU明细'!$A$11:$A$1309,0)),INDEX('SKU明细'!$CB$11:$CB$1309,MATCH("32582-BKW-39",'SKU明细'!$A$11:$A$1309,0)),INDEX('SKU明细'!$CB$11:$CB$1309,MATCH("32582-BKW-39.5",'SKU明细'!$A$11:$A$1309,0)),INDEX('SKU明细'!$CB$11:$CB$1309,MATCH("32582-BKW-40",'SKU明细'!$A$11:$A$1309,0)),INDEX('SKU明细'!$CB$11:$CB$1309,MATCH("32582-BKW-40.5",'SKU明细'!$A$11:$A$1309,0)),INDEX('SKU明细'!$CB$11:$CB$1309,MATCH("32582-BKW-41",'SKU明细'!$A$11:$A$1309,0)),INDEX('SKU明细'!$CB$11:$CB$1309,MATCH("32582-BKW-41.5",'SKU明细'!$A$11:$A$1309,0)),INDEX('SKU明细'!$CB$11:$CB$1309,MATCH("32582-BKW-42",'SKU明细'!$A$11:$A$1309,0)))=11,SUM(INDEX('SKU明细'!$CB$11:$CB$1309,MATCH("32582-BKW-37",'SKU明细'!$A$11:$A$1309,0)),INDEX('SKU明细'!$CB$11:$CB$1309,MATCH("32582-BKW-37.5",'SKU明细'!$A$11:$A$1309,0)),INDEX('SKU明细'!$CB$11:$CB$1309,MATCH("32582-BKW-38",'SKU明细'!$A$11:$A$1309,0)),INDEX('SKU明细'!$CB$11:$CB$1309,MATCH("32582-BKW-38.5",'SKU明细'!$A$11:$A$1309,0)),INDEX('SKU明细'!$CB$11:$CB$1309,MATCH("32582-BKW-39",'SKU明细'!$A$11:$A$1309,0)),INDEX('SKU明细'!$CB$11:$CB$1309,MATCH("32582-BKW-39.5",'SKU明细'!$A$11:$A$1309,0)),INDEX('SKU明细'!$CB$11:$CB$1309,MATCH("32582-BKW-40",'SKU明细'!$A$11:$A$1309,0)),INDEX('SKU明细'!$CB$11:$CB$1309,MATCH("32582-BKW-40.5",'SKU明细'!$A$11:$A$1309,0)),INDEX('SKU明细'!$CB$11:$CB$1309,MATCH("32582-BKW-41",'SKU明细'!$A$11:$A$1309,0)),INDEX('SKU明细'!$CB$11:$CB$1309,MATCH("32582-BKW-41.5",'SKU明细'!$A$11:$A$1309,0)),INDEX('SKU明细'!$CB$11:$CB$1309,MATCH("32582-BKW-42",'SKU明细'!$A$11:$A$1309,0))),"待核")</x:f>
        <x:v>50.491008118369066</x:v>
      </x:c>
      <x:c r="AB100" s="11" t="n">
        <x:f>INDEX('SKU明细'!$CC$11:$CC$1309,MATCH("32582-BKW-37",'SKU明细'!$A$11:$A$1309,0))</x:f>
        <x:v>0.7800796503018808</x:v>
      </x:c>
      <x:c r="AC100" s="13" t="n">
        <x:f>IF(COUNT(INDEX('SKU明细'!$CE$11:$CE$1309,MATCH("32582-BKW-37",'SKU明细'!$A$11:$A$1309,0)),INDEX('SKU明细'!$CE$11:$CE$1309,MATCH("32582-BKW-37.5",'SKU明细'!$A$11:$A$1309,0)),INDEX('SKU明细'!$CE$11:$CE$1309,MATCH("32582-BKW-38",'SKU明细'!$A$11:$A$1309,0)),INDEX('SKU明细'!$CE$11:$CE$1309,MATCH("32582-BKW-38.5",'SKU明细'!$A$11:$A$1309,0)),INDEX('SKU明细'!$CE$11:$CE$1309,MATCH("32582-BKW-39",'SKU明细'!$A$11:$A$1309,0)),INDEX('SKU明细'!$CE$11:$CE$1309,MATCH("32582-BKW-39.5",'SKU明细'!$A$11:$A$1309,0)),INDEX('SKU明细'!$CE$11:$CE$1309,MATCH("32582-BKW-40",'SKU明细'!$A$11:$A$1309,0)),INDEX('SKU明细'!$CE$11:$CE$1309,MATCH("32582-BKW-40.5",'SKU明细'!$A$11:$A$1309,0)),INDEX('SKU明细'!$CE$11:$CE$1309,MATCH("32582-BKW-41",'SKU明细'!$A$11:$A$1309,0)),INDEX('SKU明细'!$CE$11:$CE$1309,MATCH("32582-BKW-41.5",'SKU明细'!$A$11:$A$1309,0)),INDEX('SKU明细'!$CE$11:$CE$1309,MATCH("32582-BKW-42",'SKU明细'!$A$11:$A$1309,0)))=11,SUM(INDEX('SKU明细'!$CE$11:$CE$1309,MATCH("32582-BKW-37",'SKU明细'!$A$11:$A$1309,0)),INDEX('SKU明细'!$CE$11:$CE$1309,MATCH("32582-BKW-37.5",'SKU明细'!$A$11:$A$1309,0)),INDEX('SKU明细'!$CE$11:$CE$1309,MATCH("32582-BKW-38",'SKU明细'!$A$11:$A$1309,0)),INDEX('SKU明细'!$CE$11:$CE$1309,MATCH("32582-BKW-38.5",'SKU明细'!$A$11:$A$1309,0)),INDEX('SKU明细'!$CE$11:$CE$1309,MATCH("32582-BKW-39",'SKU明细'!$A$11:$A$1309,0)),INDEX('SKU明细'!$CE$11:$CE$1309,MATCH("32582-BKW-39.5",'SKU明细'!$A$11:$A$1309,0)),INDEX('SKU明细'!$CE$11:$CE$1309,MATCH("32582-BKW-40",'SKU明细'!$A$11:$A$1309,0)),INDEX('SKU明细'!$CE$11:$CE$1309,MATCH("32582-BKW-40.5",'SKU明细'!$A$11:$A$1309,0)),INDEX('SKU明细'!$CE$11:$CE$1309,MATCH("32582-BKW-41",'SKU明细'!$A$11:$A$1309,0)),INDEX('SKU明细'!$CE$11:$CE$1309,MATCH("32582-BKW-41.5",'SKU明细'!$A$11:$A$1309,0)),INDEX('SKU明细'!$CE$11:$CE$1309,MATCH("32582-BKW-42",'SKU明细'!$A$11:$A$1309,0))),"待核")</x:f>
        <x:v>41.15105397494275</x:v>
      </x:c>
      <x:c r="AD100" s="11" t="n">
        <x:f>INDEX('SKU明细'!$CF$11:$CF$1309,MATCH("32582-BKW-37",'SKU明细'!$A$11:$A$1309,0))</x:f>
        <x:v>1.2908918272824135</x:v>
      </x:c>
      <x:c r="AE100" s="13" t="n">
        <x:f>IF(COUNT(INDEX('SKU明细'!$CH$11:$CH$1309,MATCH("32582-BKW-37",'SKU明细'!$A$11:$A$1309,0)),INDEX('SKU明细'!$CH$11:$CH$1309,MATCH("32582-BKW-37.5",'SKU明细'!$A$11:$A$1309,0)),INDEX('SKU明细'!$CH$11:$CH$1309,MATCH("32582-BKW-38",'SKU明细'!$A$11:$A$1309,0)),INDEX('SKU明细'!$CH$11:$CH$1309,MATCH("32582-BKW-38.5",'SKU明细'!$A$11:$A$1309,0)),INDEX('SKU明细'!$CH$11:$CH$1309,MATCH("32582-BKW-39",'SKU明细'!$A$11:$A$1309,0)),INDEX('SKU明细'!$CH$11:$CH$1309,MATCH("32582-BKW-39.5",'SKU明细'!$A$11:$A$1309,0)),INDEX('SKU明细'!$CH$11:$CH$1309,MATCH("32582-BKW-40",'SKU明细'!$A$11:$A$1309,0)),INDEX('SKU明细'!$CH$11:$CH$1309,MATCH("32582-BKW-40.5",'SKU明细'!$A$11:$A$1309,0)),INDEX('SKU明细'!$CH$11:$CH$1309,MATCH("32582-BKW-41",'SKU明细'!$A$11:$A$1309,0)),INDEX('SKU明细'!$CH$11:$CH$1309,MATCH("32582-BKW-41.5",'SKU明细'!$A$11:$A$1309,0)),INDEX('SKU明细'!$CH$11:$CH$1309,MATCH("32582-BKW-42",'SKU明细'!$A$11:$A$1309,0)))=11,SUM(INDEX('SKU明细'!$CH$11:$CH$1309,MATCH("32582-BKW-37",'SKU明细'!$A$11:$A$1309,0)),INDEX('SKU明细'!$CH$11:$CH$1309,MATCH("32582-BKW-37.5",'SKU明细'!$A$11:$A$1309,0)),INDEX('SKU明细'!$CH$11:$CH$1309,MATCH("32582-BKW-38",'SKU明细'!$A$11:$A$1309,0)),INDEX('SKU明细'!$CH$11:$CH$1309,MATCH("32582-BKW-38.5",'SKU明细'!$A$11:$A$1309,0)),INDEX('SKU明细'!$CH$11:$CH$1309,MATCH("32582-BKW-39",'SKU明细'!$A$11:$A$1309,0)),INDEX('SKU明细'!$CH$11:$CH$1309,MATCH("32582-BKW-39.5",'SKU明细'!$A$11:$A$1309,0)),INDEX('SKU明细'!$CH$11:$CH$1309,MATCH("32582-BKW-40",'SKU明细'!$A$11:$A$1309,0)),INDEX('SKU明细'!$CH$11:$CH$1309,MATCH("32582-BKW-40.5",'SKU明细'!$A$11:$A$1309,0)),INDEX('SKU明细'!$CH$11:$CH$1309,MATCH("32582-BKW-41",'SKU明细'!$A$11:$A$1309,0)),INDEX('SKU明细'!$CH$11:$CH$1309,MATCH("32582-BKW-41.5",'SKU明细'!$A$11:$A$1309,0)),INDEX('SKU明细'!$CH$11:$CH$1309,MATCH("32582-BKW-42",'SKU明细'!$A$11:$A$1309,0))),"待核")</x:f>
        <x:v>37.34385026914479</x:v>
      </x:c>
      <x:c r="AF100" s="13" t="n">
        <x:f>IF(COUNT(INDEX('SKU明细'!$CI$11:$CI$1309,MATCH("32582-BKW-37",'SKU明细'!$A$11:$A$1309,0)),INDEX('SKU明细'!$CI$11:$CI$1309,MATCH("32582-BKW-37.5",'SKU明细'!$A$11:$A$1309,0)),INDEX('SKU明细'!$CI$11:$CI$1309,MATCH("32582-BKW-38",'SKU明细'!$A$11:$A$1309,0)),INDEX('SKU明细'!$CI$11:$CI$1309,MATCH("32582-BKW-38.5",'SKU明细'!$A$11:$A$1309,0)),INDEX('SKU明细'!$CI$11:$CI$1309,MATCH("32582-BKW-39",'SKU明细'!$A$11:$A$1309,0)),INDEX('SKU明细'!$CI$11:$CI$1309,MATCH("32582-BKW-39.5",'SKU明细'!$A$11:$A$1309,0)),INDEX('SKU明细'!$CI$11:$CI$1309,MATCH("32582-BKW-40",'SKU明细'!$A$11:$A$1309,0)),INDEX('SKU明细'!$CI$11:$CI$1309,MATCH("32582-BKW-40.5",'SKU明细'!$A$11:$A$1309,0)),INDEX('SKU明细'!$CI$11:$CI$1309,MATCH("32582-BKW-41",'SKU明细'!$A$11:$A$1309,0)),INDEX('SKU明细'!$CI$11:$CI$1309,MATCH("32582-BKW-41.5",'SKU明细'!$A$11:$A$1309,0)),INDEX('SKU明细'!$CI$11:$CI$1309,MATCH("32582-BKW-42",'SKU明细'!$A$11:$A$1309,0)))=11,SUM(INDEX('SKU明细'!$CI$11:$CI$1309,MATCH("32582-BKW-37",'SKU明细'!$A$11:$A$1309,0)),INDEX('SKU明细'!$CI$11:$CI$1309,MATCH("32582-BKW-37.5",'SKU明细'!$A$11:$A$1309,0)),INDEX('SKU明细'!$CI$11:$CI$1309,MATCH("32582-BKW-38",'SKU明细'!$A$11:$A$1309,0)),INDEX('SKU明细'!$CI$11:$CI$1309,MATCH("32582-BKW-38.5",'SKU明细'!$A$11:$A$1309,0)),INDEX('SKU明细'!$CI$11:$CI$1309,MATCH("32582-BKW-39",'SKU明细'!$A$11:$A$1309,0)),INDEX('SKU明细'!$CI$11:$CI$1309,MATCH("32582-BKW-39.5",'SKU明细'!$A$11:$A$1309,0)),INDEX('SKU明细'!$CI$11:$CI$1309,MATCH("32582-BKW-40",'SKU明细'!$A$11:$A$1309,0)),INDEX('SKU明细'!$CI$11:$CI$1309,MATCH("32582-BKW-40.5",'SKU明细'!$A$11:$A$1309,0)),INDEX('SKU明细'!$CI$11:$CI$1309,MATCH("32582-BKW-41",'SKU明细'!$A$11:$A$1309,0)),INDEX('SKU明细'!$CI$11:$CI$1309,MATCH("32582-BKW-41.5",'SKU明细'!$A$11:$A$1309,0)),INDEX('SKU明细'!$CI$11:$CI$1309,MATCH("32582-BKW-42",'SKU明细'!$A$11:$A$1309,0))),"待核")</x:f>
        <x:v>150.21292424336852</x:v>
      </x:c>
    </x:row>
    <x:row r="101" ht="40" customHeight="1">
      <x:c r="A101" s="37" t="str">
        <x:v>32582</x:v>
      </x:c>
      <x:c r="B101" s="37" t="str">
        <x:v>徐新怡</x:v>
      </x:c>
      <x:c r="C101" s="37" t="str">
        <x:v>灰色</x:v>
      </x:c>
      <x:c r="D101" s="37" t="str">
        <x:v>gy</x:v>
      </x:c>
      <x:c r="E101" s="37" t="str">
        <x:v>32582-gy</x:v>
      </x:c>
      <x:c r="F101" s="37"/>
      <x:c r="G101" s="38" t="str">
        <x:f>"—"</x:f>
        <x:v>—</x:v>
      </x:c>
      <x:c r="H101" s="38" t="str">
        <x:f>"—"</x:f>
        <x:v>—</x:v>
      </x:c>
      <x:c r="I101" s="38" t="str">
        <x:f>"—"</x:f>
        <x:v>—</x:v>
      </x:c>
      <x:c r="J101" s="38" t="str">
        <x:f>"—"</x:f>
        <x:v>—</x:v>
      </x:c>
      <x:c r="K101" s="38" t="str">
        <x:f>"—"</x:f>
        <x:v>—</x:v>
      </x:c>
      <x:c r="L101" s="38" t="str">
        <x:f>"—"</x:f>
        <x:v>—</x:v>
      </x:c>
      <x:c r="M101" s="38" t="str">
        <x:f>"—"</x:f>
        <x:v>—</x:v>
      </x:c>
      <x:c r="N101" s="38" t="str">
        <x:f>"—"</x:f>
        <x:v>—</x:v>
      </x:c>
      <x:c r="O101" s="38" t="str">
        <x:f>"—"</x:f>
        <x:v>—</x:v>
      </x:c>
      <x:c r="P101" s="38" t="str">
        <x:f>"—"</x:f>
        <x:v>—</x:v>
      </x:c>
      <x:c r="Q101" s="38" t="str">
        <x:f>"—"</x:f>
        <x:v>—</x:v>
      </x:c>
      <x:c r="R101" s="38" t="n">
        <x:f>IF(COUNT(INDEX('SKU明细'!$D$11:$D$1309,MATCH("32582-gy-42",'SKU明细'!$A$11:$A$1309,0)))=0,"待核",IF(COUNT(INDEX('SKU明细'!$D$11:$D$1309,MATCH("32582-gy-42",'SKU明细'!$A$11:$A$1309,0)))&lt;1,SUM(INDEX('SKU明细'!$D$11:$D$1309,MATCH("32582-gy-42",'SKU明细'!$A$11:$A$1309,0)))&amp;" + 待核",SUM(INDEX('SKU明细'!$D$11:$D$1309,MATCH("32582-gy-42",'SKU明细'!$A$11:$A$1309,0)))))</x:f>
        <x:v>0</x:v>
      </x:c>
      <x:c r="S101" s="38" t="n">
        <x:f>IF(COUNT(INDEX('SKU明细'!$D$11:$D$1309,MATCH("32582-gy-42",'SKU明细'!$A$11:$A$1309,0)))=0,"待核",SUM(INDEX('SKU明细'!$D$11:$D$1309,MATCH("32582-gy-42",'SKU明细'!$A$11:$A$1309,0))))</x:f>
        <x:v>0</x:v>
      </x:c>
      <x:c r="T101" s="38" t="n">
        <x:f>IF(COUNTIFS($A$9:$A$191,A101,$U$9:$U$191,"&lt;&gt;待核")=0,"待核",SUMIF($A$9:$A$191,A101,$S$9:$S$191))</x:f>
        <x:v>197</x:v>
      </x:c>
      <x:c r="U101" s="37" t="str">
        <x:f>IF(COUNT(INDEX('SKU明细'!$D$11:$D$1309,MATCH("32582-gy-42",'SKU明细'!$A$11:$A$1309,0)))=0,"待核",IF(COUNT(INDEX('SKU明细'!$D$11:$D$1309,MATCH("32582-gy-42",'SKU明细'!$A$11:$A$1309,0)))&lt;1,"另有待核","已核"))</x:f>
        <x:v>已核</x:v>
      </x:c>
      <x:c r="V101" s="37" t="str">
        <x:v>停售</x:v>
      </x:c>
      <x:c r="W101" s="11" t="n">
        <x:f>IF(COUNT(INDEX('SKU明细'!$BV$11:$BV$1309,MATCH("32582-gy-42",'SKU明细'!$A$11:$A$1309,0)))=1,SUM(INDEX('SKU明细'!$BV$11:$BV$1309,MATCH("32582-gy-42",'SKU明细'!$A$11:$A$1309,0))),"待核")</x:f>
        <x:v>0.029994259941984253</x:v>
      </x:c>
      <x:c r="X101" s="11" t="n">
        <x:f>INDEX('SKU明细'!$BW$11:$BW$1309,MATCH("32582-gy-42",'SKU明细'!$A$11:$A$1309,0))</x:f>
        <x:v>1.0395067087630607</x:v>
      </x:c>
      <x:c r="Y101" s="13" t="n">
        <x:f>IF(COUNT(INDEX('SKU明细'!$BY$11:$BY$1309,MATCH("32582-gy-42",'SKU明细'!$A$11:$A$1309,0)))=1,SUM(INDEX('SKU明细'!$BY$11:$BY$1309,MATCH("32582-gy-42",'SKU明细'!$A$11:$A$1309,0))),"待核")</x:f>
        <x:v>0.3741508132089092</x:v>
      </x:c>
      <x:c r="Z101" s="11" t="n">
        <x:f>INDEX('SKU明细'!$BZ$11:$BZ$1309,MATCH("32582-gy-42",'SKU明细'!$A$11:$A$1309,0))</x:f>
        <x:v>0.9890368360033146</x:v>
      </x:c>
      <x:c r="AA101" s="13" t="n">
        <x:f>IF(COUNT(INDEX('SKU明细'!$CB$11:$CB$1309,MATCH("32582-gy-42",'SKU明细'!$A$11:$A$1309,0)))=1,SUM(INDEX('SKU明细'!$CB$11:$CB$1309,MATCH("32582-gy-42",'SKU明细'!$A$11:$A$1309,0))),"待核")</x:f>
        <x:v>0.889962838538432</x:v>
      </x:c>
      <x:c r="AB101" s="11" t="n">
        <x:f>INDEX('SKU明细'!$CC$11:$CC$1309,MATCH("32582-gy-42",'SKU明细'!$A$11:$A$1309,0))</x:f>
        <x:v>0.7800796503018808</x:v>
      </x:c>
      <x:c r="AC101" s="13" t="n">
        <x:f>IF(COUNT(INDEX('SKU明细'!$CE$11:$CE$1309,MATCH("32582-gy-42",'SKU明细'!$A$11:$A$1309,0)))=1,SUM(INDEX('SKU明细'!$CE$11:$CE$1309,MATCH("32582-gy-42",'SKU明细'!$A$11:$A$1309,0))),"待核")</x:f>
        <x:v>0.7253352660048104</x:v>
      </x:c>
      <x:c r="AD101" s="11" t="n">
        <x:f>INDEX('SKU明细'!$CF$11:$CF$1309,MATCH("32582-gy-42",'SKU明细'!$A$11:$A$1309,0))</x:f>
        <x:v>1.2908918272824135</x:v>
      </x:c>
      <x:c r="AE101" s="13" t="n">
        <x:f>IF(COUNT(INDEX('SKU明细'!$CH$11:$CH$1309,MATCH("32582-gy-42",'SKU明细'!$A$11:$A$1309,0)))=1,SUM(INDEX('SKU明细'!$CH$11:$CH$1309,MATCH("32582-gy-42",'SKU明细'!$A$11:$A$1309,0))),"待核")</x:f>
        <x:v>0.6582288654163597</x:v>
      </x:c>
      <x:c r="AF101" s="13" t="n">
        <x:f>IF(COUNT(INDEX('SKU明细'!$CI$11:$CI$1309,MATCH("32582-gy-42",'SKU明细'!$A$11:$A$1309,0)))=1,SUM(INDEX('SKU明细'!$CI$11:$CI$1309,MATCH("32582-gy-42",'SKU明细'!$A$11:$A$1309,0))),"待核")</x:f>
        <x:v>2.647677783168511</x:v>
      </x:c>
    </x:row>
    <x:row r="102" ht="40" customHeight="1">
      <x:c r="A102" s="37" t="str">
        <x:v>32582</x:v>
      </x:c>
      <x:c r="B102" s="37" t="str">
        <x:v>徐新怡</x:v>
      </x:c>
      <x:c r="C102" s="37" t="str">
        <x:v>灰色</x:v>
      </x:c>
      <x:c r="D102" s="37" t="str">
        <x:v>GY</x:v>
      </x:c>
      <x:c r="E102" s="37" t="str">
        <x:v>32582-GY</x:v>
      </x:c>
      <x:c r="F102" s="37"/>
      <x:c r="G102" s="38" t="str">
        <x:f>"—"</x:f>
        <x:v>—</x:v>
      </x:c>
      <x:c r="H102" s="38" t="n">
        <x:f>IF(COUNT(INDEX('SKU明细'!$D$11:$D$1309,MATCH("32582-GY-37",'SKU明细'!$A$11:$A$1309,0)))=0,"待核",IF(COUNT(INDEX('SKU明细'!$D$11:$D$1309,MATCH("32582-GY-37",'SKU明细'!$A$11:$A$1309,0)))&lt;1,SUM(INDEX('SKU明细'!$D$11:$D$1309,MATCH("32582-GY-37",'SKU明细'!$A$11:$A$1309,0)))&amp;" + 待核",SUM(INDEX('SKU明细'!$D$11:$D$1309,MATCH("32582-GY-37",'SKU明细'!$A$11:$A$1309,0)))))</x:f>
        <x:v>0</x:v>
      </x:c>
      <x:c r="I102" s="38" t="n">
        <x:f>IF(COUNT(INDEX('SKU明细'!$D$11:$D$1309,MATCH("32582-GY-37.5",'SKU明细'!$A$11:$A$1309,0)))=0,"待核",IF(COUNT(INDEX('SKU明细'!$D$11:$D$1309,MATCH("32582-GY-37.5",'SKU明细'!$A$11:$A$1309,0)))&lt;1,SUM(INDEX('SKU明细'!$D$11:$D$1309,MATCH("32582-GY-37.5",'SKU明细'!$A$11:$A$1309,0)))&amp;" + 待核",SUM(INDEX('SKU明细'!$D$11:$D$1309,MATCH("32582-GY-37.5",'SKU明细'!$A$11:$A$1309,0)))))</x:f>
        <x:v>0</x:v>
      </x:c>
      <x:c r="J102" s="38" t="n">
        <x:f>IF(COUNT(INDEX('SKU明细'!$D$11:$D$1309,MATCH("32582-GY-38",'SKU明细'!$A$11:$A$1309,0)))=0,"待核",IF(COUNT(INDEX('SKU明细'!$D$11:$D$1309,MATCH("32582-GY-38",'SKU明细'!$A$11:$A$1309,0)))&lt;1,SUM(INDEX('SKU明细'!$D$11:$D$1309,MATCH("32582-GY-38",'SKU明细'!$A$11:$A$1309,0)))&amp;" + 待核",SUM(INDEX('SKU明细'!$D$11:$D$1309,MATCH("32582-GY-38",'SKU明细'!$A$11:$A$1309,0)))))</x:f>
        <x:v>5</x:v>
      </x:c>
      <x:c r="K102" s="38" t="n">
        <x:f>IF(COUNT(INDEX('SKU明细'!$D$11:$D$1309,MATCH("32582-GY-38.5",'SKU明细'!$A$11:$A$1309,0)))=0,"待核",IF(COUNT(INDEX('SKU明细'!$D$11:$D$1309,MATCH("32582-GY-38.5",'SKU明细'!$A$11:$A$1309,0)))&lt;1,SUM(INDEX('SKU明细'!$D$11:$D$1309,MATCH("32582-GY-38.5",'SKU明细'!$A$11:$A$1309,0)))&amp;" + 待核",SUM(INDEX('SKU明细'!$D$11:$D$1309,MATCH("32582-GY-38.5",'SKU明细'!$A$11:$A$1309,0)))))</x:f>
        <x:v>0</x:v>
      </x:c>
      <x:c r="L102" s="38" t="n">
        <x:f>IF(COUNT(INDEX('SKU明细'!$D$11:$D$1309,MATCH("32582-GY-39",'SKU明细'!$A$11:$A$1309,0)))=0,"待核",IF(COUNT(INDEX('SKU明细'!$D$11:$D$1309,MATCH("32582-GY-39",'SKU明细'!$A$11:$A$1309,0)))&lt;1,SUM(INDEX('SKU明细'!$D$11:$D$1309,MATCH("32582-GY-39",'SKU明细'!$A$11:$A$1309,0)))&amp;" + 待核",SUM(INDEX('SKU明细'!$D$11:$D$1309,MATCH("32582-GY-39",'SKU明细'!$A$11:$A$1309,0)))))</x:f>
        <x:v>0</x:v>
      </x:c>
      <x:c r="M102" s="38" t="n">
        <x:f>IF(COUNT(INDEX('SKU明细'!$D$11:$D$1309,MATCH("32582-GY-39.5",'SKU明细'!$A$11:$A$1309,0)))=0,"待核",IF(COUNT(INDEX('SKU明细'!$D$11:$D$1309,MATCH("32582-GY-39.5",'SKU明细'!$A$11:$A$1309,0)))&lt;1,SUM(INDEX('SKU明细'!$D$11:$D$1309,MATCH("32582-GY-39.5",'SKU明细'!$A$11:$A$1309,0)))&amp;" + 待核",SUM(INDEX('SKU明细'!$D$11:$D$1309,MATCH("32582-GY-39.5",'SKU明细'!$A$11:$A$1309,0)))))</x:f>
        <x:v>0</x:v>
      </x:c>
      <x:c r="N102" s="38" t="n">
        <x:f>IF(COUNT(INDEX('SKU明细'!$D$11:$D$1309,MATCH("32582-GY-40",'SKU明细'!$A$11:$A$1309,0)))=0,"待核",IF(COUNT(INDEX('SKU明细'!$D$11:$D$1309,MATCH("32582-GY-40",'SKU明细'!$A$11:$A$1309,0)))&lt;1,SUM(INDEX('SKU明细'!$D$11:$D$1309,MATCH("32582-GY-40",'SKU明细'!$A$11:$A$1309,0)))&amp;" + 待核",SUM(INDEX('SKU明细'!$D$11:$D$1309,MATCH("32582-GY-40",'SKU明细'!$A$11:$A$1309,0)))))</x:f>
        <x:v>0</x:v>
      </x:c>
      <x:c r="O102" s="38" t="n">
        <x:f>IF(COUNT(INDEX('SKU明细'!$D$11:$D$1309,MATCH("32582-GY-40.5",'SKU明细'!$A$11:$A$1309,0)))=0,"待核",IF(COUNT(INDEX('SKU明细'!$D$11:$D$1309,MATCH("32582-GY-40.5",'SKU明细'!$A$11:$A$1309,0)))&lt;1,SUM(INDEX('SKU明细'!$D$11:$D$1309,MATCH("32582-GY-40.5",'SKU明细'!$A$11:$A$1309,0)))&amp;" + 待核",SUM(INDEX('SKU明细'!$D$11:$D$1309,MATCH("32582-GY-40.5",'SKU明细'!$A$11:$A$1309,0)))))</x:f>
        <x:v>0</x:v>
      </x:c>
      <x:c r="P102" s="38" t="n">
        <x:f>IF(COUNT(INDEX('SKU明细'!$D$11:$D$1309,MATCH("32582-GY-41",'SKU明细'!$A$11:$A$1309,0)))=0,"待核",IF(COUNT(INDEX('SKU明细'!$D$11:$D$1309,MATCH("32582-GY-41",'SKU明细'!$A$11:$A$1309,0)))&lt;1,SUM(INDEX('SKU明细'!$D$11:$D$1309,MATCH("32582-GY-41",'SKU明细'!$A$11:$A$1309,0)))&amp;" + 待核",SUM(INDEX('SKU明细'!$D$11:$D$1309,MATCH("32582-GY-41",'SKU明细'!$A$11:$A$1309,0)))))</x:f>
        <x:v>0</x:v>
      </x:c>
      <x:c r="Q102" s="38" t="n">
        <x:f>IF(COUNT(INDEX('SKU明细'!$D$11:$D$1309,MATCH("32582-GY-41.5",'SKU明细'!$A$11:$A$1309,0)))=0,"待核",IF(COUNT(INDEX('SKU明细'!$D$11:$D$1309,MATCH("32582-GY-41.5",'SKU明细'!$A$11:$A$1309,0)))&lt;1,SUM(INDEX('SKU明细'!$D$11:$D$1309,MATCH("32582-GY-41.5",'SKU明细'!$A$11:$A$1309,0)))&amp;" + 待核",SUM(INDEX('SKU明细'!$D$11:$D$1309,MATCH("32582-GY-41.5",'SKU明细'!$A$11:$A$1309,0)))))</x:f>
        <x:v>0</x:v>
      </x:c>
      <x:c r="R102" s="38" t="str">
        <x:f>"—"</x:f>
        <x:v>—</x:v>
      </x:c>
      <x:c r="S102" s="38" t="n">
        <x:f>IF(COUNT(INDEX('SKU明细'!$D$11:$D$1309,MATCH("32582-GY-37",'SKU明细'!$A$11:$A$1309,0)),INDEX('SKU明细'!$D$11:$D$1309,MATCH("32582-GY-37.5",'SKU明细'!$A$11:$A$1309,0)),INDEX('SKU明细'!$D$11:$D$1309,MATCH("32582-GY-38",'SKU明细'!$A$11:$A$1309,0)),INDEX('SKU明细'!$D$11:$D$1309,MATCH("32582-GY-38.5",'SKU明细'!$A$11:$A$1309,0)),INDEX('SKU明细'!$D$11:$D$1309,MATCH("32582-GY-39",'SKU明细'!$A$11:$A$1309,0)),INDEX('SKU明细'!$D$11:$D$1309,MATCH("32582-GY-39.5",'SKU明细'!$A$11:$A$1309,0)),INDEX('SKU明细'!$D$11:$D$1309,MATCH("32582-GY-40",'SKU明细'!$A$11:$A$1309,0)),INDEX('SKU明细'!$D$11:$D$1309,MATCH("32582-GY-40.5",'SKU明细'!$A$11:$A$1309,0)),INDEX('SKU明细'!$D$11:$D$1309,MATCH("32582-GY-41",'SKU明细'!$A$11:$A$1309,0)),INDEX('SKU明细'!$D$11:$D$1309,MATCH("32582-GY-41.5",'SKU明细'!$A$11:$A$1309,0)))=0,"待核",SUM(INDEX('SKU明细'!$D$11:$D$1309,MATCH("32582-GY-37",'SKU明细'!$A$11:$A$1309,0)),INDEX('SKU明细'!$D$11:$D$1309,MATCH("32582-GY-37.5",'SKU明细'!$A$11:$A$1309,0)),INDEX('SKU明细'!$D$11:$D$1309,MATCH("32582-GY-38",'SKU明细'!$A$11:$A$1309,0)),INDEX('SKU明细'!$D$11:$D$1309,MATCH("32582-GY-38.5",'SKU明细'!$A$11:$A$1309,0)),INDEX('SKU明细'!$D$11:$D$1309,MATCH("32582-GY-39",'SKU明细'!$A$11:$A$1309,0)),INDEX('SKU明细'!$D$11:$D$1309,MATCH("32582-GY-39.5",'SKU明细'!$A$11:$A$1309,0)),INDEX('SKU明细'!$D$11:$D$1309,MATCH("32582-GY-40",'SKU明细'!$A$11:$A$1309,0)),INDEX('SKU明细'!$D$11:$D$1309,MATCH("32582-GY-40.5",'SKU明细'!$A$11:$A$1309,0)),INDEX('SKU明细'!$D$11:$D$1309,MATCH("32582-GY-41",'SKU明细'!$A$11:$A$1309,0)),INDEX('SKU明细'!$D$11:$D$1309,MATCH("32582-GY-41.5",'SKU明细'!$A$11:$A$1309,0))))</x:f>
        <x:v>5</x:v>
      </x:c>
      <x:c r="T102" s="38" t="n">
        <x:f>IF(COUNTIFS($A$9:$A$191,A102,$U$9:$U$191,"&lt;&gt;待核")=0,"待核",SUMIF($A$9:$A$191,A102,$S$9:$S$191))</x:f>
        <x:v>197</x:v>
      </x:c>
      <x:c r="U102" s="37" t="str">
        <x:f>IF(COUNT(INDEX('SKU明细'!$D$11:$D$1309,MATCH("32582-GY-37",'SKU明细'!$A$11:$A$1309,0)),INDEX('SKU明细'!$D$11:$D$1309,MATCH("32582-GY-37.5",'SKU明细'!$A$11:$A$1309,0)),INDEX('SKU明细'!$D$11:$D$1309,MATCH("32582-GY-38",'SKU明细'!$A$11:$A$1309,0)),INDEX('SKU明细'!$D$11:$D$1309,MATCH("32582-GY-38.5",'SKU明细'!$A$11:$A$1309,0)),INDEX('SKU明细'!$D$11:$D$1309,MATCH("32582-GY-39",'SKU明细'!$A$11:$A$1309,0)),INDEX('SKU明细'!$D$11:$D$1309,MATCH("32582-GY-39.5",'SKU明细'!$A$11:$A$1309,0)),INDEX('SKU明细'!$D$11:$D$1309,MATCH("32582-GY-40",'SKU明细'!$A$11:$A$1309,0)),INDEX('SKU明细'!$D$11:$D$1309,MATCH("32582-GY-40.5",'SKU明细'!$A$11:$A$1309,0)),INDEX('SKU明细'!$D$11:$D$1309,MATCH("32582-GY-41",'SKU明细'!$A$11:$A$1309,0)),INDEX('SKU明细'!$D$11:$D$1309,MATCH("32582-GY-41.5",'SKU明细'!$A$11:$A$1309,0)))=0,"待核",IF(COUNT(INDEX('SKU明细'!$D$11:$D$1309,MATCH("32582-GY-37",'SKU明细'!$A$11:$A$1309,0)),INDEX('SKU明细'!$D$11:$D$1309,MATCH("32582-GY-37.5",'SKU明细'!$A$11:$A$1309,0)),INDEX('SKU明细'!$D$11:$D$1309,MATCH("32582-GY-38",'SKU明细'!$A$11:$A$1309,0)),INDEX('SKU明细'!$D$11:$D$1309,MATCH("32582-GY-38.5",'SKU明细'!$A$11:$A$1309,0)),INDEX('SKU明细'!$D$11:$D$1309,MATCH("32582-GY-39",'SKU明细'!$A$11:$A$1309,0)),INDEX('SKU明细'!$D$11:$D$1309,MATCH("32582-GY-39.5",'SKU明细'!$A$11:$A$1309,0)),INDEX('SKU明细'!$D$11:$D$1309,MATCH("32582-GY-40",'SKU明细'!$A$11:$A$1309,0)),INDEX('SKU明细'!$D$11:$D$1309,MATCH("32582-GY-40.5",'SKU明细'!$A$11:$A$1309,0)),INDEX('SKU明细'!$D$11:$D$1309,MATCH("32582-GY-41",'SKU明细'!$A$11:$A$1309,0)),INDEX('SKU明细'!$D$11:$D$1309,MATCH("32582-GY-41.5",'SKU明细'!$A$11:$A$1309,0)))&lt;10,"另有待核","已核"))</x:f>
        <x:v>已核</x:v>
      </x:c>
      <x:c r="V102" s="37" t="str">
        <x:v>停售、在售</x:v>
      </x:c>
      <x:c r="W102" s="11" t="n">
        <x:f>IF(COUNT(INDEX('SKU明细'!$BV$11:$BV$1309,MATCH("32582-GY-37",'SKU明细'!$A$11:$A$1309,0)),INDEX('SKU明细'!$BV$11:$BV$1309,MATCH("32582-GY-37.5",'SKU明细'!$A$11:$A$1309,0)),INDEX('SKU明细'!$BV$11:$BV$1309,MATCH("32582-GY-38",'SKU明细'!$A$11:$A$1309,0)),INDEX('SKU明细'!$BV$11:$BV$1309,MATCH("32582-GY-38.5",'SKU明细'!$A$11:$A$1309,0)),INDEX('SKU明细'!$BV$11:$BV$1309,MATCH("32582-GY-39",'SKU明细'!$A$11:$A$1309,0)),INDEX('SKU明细'!$BV$11:$BV$1309,MATCH("32582-GY-39.5",'SKU明细'!$A$11:$A$1309,0)),INDEX('SKU明细'!$BV$11:$BV$1309,MATCH("32582-GY-40",'SKU明细'!$A$11:$A$1309,0)),INDEX('SKU明细'!$BV$11:$BV$1309,MATCH("32582-GY-40.5",'SKU明细'!$A$11:$A$1309,0)),INDEX('SKU明细'!$BV$11:$BV$1309,MATCH("32582-GY-41",'SKU明细'!$A$11:$A$1309,0)),INDEX('SKU明细'!$BV$11:$BV$1309,MATCH("32582-GY-41.5",'SKU明细'!$A$11:$A$1309,0)))=10,SUM(INDEX('SKU明细'!$BV$11:$BV$1309,MATCH("32582-GY-37",'SKU明细'!$A$11:$A$1309,0)),INDEX('SKU明细'!$BV$11:$BV$1309,MATCH("32582-GY-37.5",'SKU明细'!$A$11:$A$1309,0)),INDEX('SKU明细'!$BV$11:$BV$1309,MATCH("32582-GY-38",'SKU明细'!$A$11:$A$1309,0)),INDEX('SKU明细'!$BV$11:$BV$1309,MATCH("32582-GY-38.5",'SKU明细'!$A$11:$A$1309,0)),INDEX('SKU明细'!$BV$11:$BV$1309,MATCH("32582-GY-39",'SKU明细'!$A$11:$A$1309,0)),INDEX('SKU明细'!$BV$11:$BV$1309,MATCH("32582-GY-39.5",'SKU明细'!$A$11:$A$1309,0)),INDEX('SKU明细'!$BV$11:$BV$1309,MATCH("32582-GY-40",'SKU明细'!$A$11:$A$1309,0)),INDEX('SKU明细'!$BV$11:$BV$1309,MATCH("32582-GY-40.5",'SKU明细'!$A$11:$A$1309,0)),INDEX('SKU明细'!$BV$11:$BV$1309,MATCH("32582-GY-41",'SKU明细'!$A$11:$A$1309,0)),INDEX('SKU明细'!$BV$11:$BV$1309,MATCH("32582-GY-41.5",'SKU明细'!$A$11:$A$1309,0))),"待核")</x:f>
        <x:v>0.09240051865551248</x:v>
      </x:c>
      <x:c r="X102" s="11" t="n">
        <x:f>INDEX('SKU明细'!$BW$11:$BW$1309,MATCH("32582-GY-37",'SKU明细'!$A$11:$A$1309,0))</x:f>
        <x:v>1.0395067087630607</x:v>
      </x:c>
      <x:c r="Y102" s="13" t="n">
        <x:f>IF(COUNT(INDEX('SKU明细'!$BY$11:$BY$1309,MATCH("32582-GY-37",'SKU明细'!$A$11:$A$1309,0)),INDEX('SKU明细'!$BY$11:$BY$1309,MATCH("32582-GY-37.5",'SKU明细'!$A$11:$A$1309,0)),INDEX('SKU明细'!$BY$11:$BY$1309,MATCH("32582-GY-38",'SKU明细'!$A$11:$A$1309,0)),INDEX('SKU明细'!$BY$11:$BY$1309,MATCH("32582-GY-38.5",'SKU明细'!$A$11:$A$1309,0)),INDEX('SKU明细'!$BY$11:$BY$1309,MATCH("32582-GY-39",'SKU明细'!$A$11:$A$1309,0)),INDEX('SKU明细'!$BY$11:$BY$1309,MATCH("32582-GY-39.5",'SKU明细'!$A$11:$A$1309,0)),INDEX('SKU明细'!$BY$11:$BY$1309,MATCH("32582-GY-40",'SKU明细'!$A$11:$A$1309,0)),INDEX('SKU明细'!$BY$11:$BY$1309,MATCH("32582-GY-40.5",'SKU明细'!$A$11:$A$1309,0)),INDEX('SKU明细'!$BY$11:$BY$1309,MATCH("32582-GY-41",'SKU明细'!$A$11:$A$1309,0)),INDEX('SKU明细'!$BY$11:$BY$1309,MATCH("32582-GY-41.5",'SKU明细'!$A$11:$A$1309,0)))=10,SUM(INDEX('SKU明细'!$BY$11:$BY$1309,MATCH("32582-GY-37",'SKU明细'!$A$11:$A$1309,0)),INDEX('SKU明细'!$BY$11:$BY$1309,MATCH("32582-GY-37.5",'SKU明细'!$A$11:$A$1309,0)),INDEX('SKU明细'!$BY$11:$BY$1309,MATCH("32582-GY-38",'SKU明细'!$A$11:$A$1309,0)),INDEX('SKU明细'!$BY$11:$BY$1309,MATCH("32582-GY-38.5",'SKU明细'!$A$11:$A$1309,0)),INDEX('SKU明细'!$BY$11:$BY$1309,MATCH("32582-GY-39",'SKU明细'!$A$11:$A$1309,0)),INDEX('SKU明细'!$BY$11:$BY$1309,MATCH("32582-GY-39.5",'SKU明细'!$A$11:$A$1309,0)),INDEX('SKU明细'!$BY$11:$BY$1309,MATCH("32582-GY-40",'SKU明细'!$A$11:$A$1309,0)),INDEX('SKU明细'!$BY$11:$BY$1309,MATCH("32582-GY-40.5",'SKU明细'!$A$11:$A$1309,0)),INDEX('SKU明细'!$BY$11:$BY$1309,MATCH("32582-GY-41",'SKU明细'!$A$11:$A$1309,0)),INDEX('SKU明细'!$BY$11:$BY$1309,MATCH("32582-GY-41.5",'SKU明细'!$A$11:$A$1309,0))),"待核")</x:f>
        <x:v>1.1526115084270987</x:v>
      </x:c>
      <x:c r="Z102" s="11" t="n">
        <x:f>INDEX('SKU明细'!$BZ$11:$BZ$1309,MATCH("32582-GY-37",'SKU明细'!$A$11:$A$1309,0))</x:f>
        <x:v>0.9890368360033146</x:v>
      </x:c>
      <x:c r="AA102" s="13" t="n">
        <x:f>IF(COUNT(INDEX('SKU明细'!$CB$11:$CB$1309,MATCH("32582-GY-37",'SKU明细'!$A$11:$A$1309,0)),INDEX('SKU明细'!$CB$11:$CB$1309,MATCH("32582-GY-37.5",'SKU明细'!$A$11:$A$1309,0)),INDEX('SKU明细'!$CB$11:$CB$1309,MATCH("32582-GY-38",'SKU明细'!$A$11:$A$1309,0)),INDEX('SKU明细'!$CB$11:$CB$1309,MATCH("32582-GY-38.5",'SKU明细'!$A$11:$A$1309,0)),INDEX('SKU明细'!$CB$11:$CB$1309,MATCH("32582-GY-39",'SKU明细'!$A$11:$A$1309,0)),INDEX('SKU明细'!$CB$11:$CB$1309,MATCH("32582-GY-39.5",'SKU明细'!$A$11:$A$1309,0)),INDEX('SKU明细'!$CB$11:$CB$1309,MATCH("32582-GY-40",'SKU明细'!$A$11:$A$1309,0)),INDEX('SKU明细'!$CB$11:$CB$1309,MATCH("32582-GY-40.5",'SKU明细'!$A$11:$A$1309,0)),INDEX('SKU明细'!$CB$11:$CB$1309,MATCH("32582-GY-41",'SKU明细'!$A$11:$A$1309,0)),INDEX('SKU明细'!$CB$11:$CB$1309,MATCH("32582-GY-41.5",'SKU明细'!$A$11:$A$1309,0)))=10,SUM(INDEX('SKU明细'!$CB$11:$CB$1309,MATCH("32582-GY-37",'SKU明细'!$A$11:$A$1309,0)),INDEX('SKU明细'!$CB$11:$CB$1309,MATCH("32582-GY-37.5",'SKU明细'!$A$11:$A$1309,0)),INDEX('SKU明细'!$CB$11:$CB$1309,MATCH("32582-GY-38",'SKU明细'!$A$11:$A$1309,0)),INDEX('SKU明细'!$CB$11:$CB$1309,MATCH("32582-GY-38.5",'SKU明细'!$A$11:$A$1309,0)),INDEX('SKU明细'!$CB$11:$CB$1309,MATCH("32582-GY-39",'SKU明细'!$A$11:$A$1309,0)),INDEX('SKU明细'!$CB$11:$CB$1309,MATCH("32582-GY-39.5",'SKU明细'!$A$11:$A$1309,0)),INDEX('SKU明细'!$CB$11:$CB$1309,MATCH("32582-GY-40",'SKU明细'!$A$11:$A$1309,0)),INDEX('SKU明细'!$CB$11:$CB$1309,MATCH("32582-GY-40.5",'SKU明细'!$A$11:$A$1309,0)),INDEX('SKU明细'!$CB$11:$CB$1309,MATCH("32582-GY-41",'SKU明细'!$A$11:$A$1309,0)),INDEX('SKU明细'!$CB$11:$CB$1309,MATCH("32582-GY-41.5",'SKU明细'!$A$11:$A$1309,0))),"待核")</x:f>
        <x:v>2.741625498483399</x:v>
      </x:c>
      <x:c r="AB102" s="11" t="n">
        <x:f>INDEX('SKU明细'!$CC$11:$CC$1309,MATCH("32582-GY-37",'SKU明细'!$A$11:$A$1309,0))</x:f>
        <x:v>0.7800796503018808</x:v>
      </x:c>
      <x:c r="AC102" s="13" t="n">
        <x:f>IF(COUNT(INDEX('SKU明细'!$CE$11:$CE$1309,MATCH("32582-GY-37",'SKU明细'!$A$11:$A$1309,0)),INDEX('SKU明细'!$CE$11:$CE$1309,MATCH("32582-GY-37.5",'SKU明细'!$A$11:$A$1309,0)),INDEX('SKU明细'!$CE$11:$CE$1309,MATCH("32582-GY-38",'SKU明细'!$A$11:$A$1309,0)),INDEX('SKU明细'!$CE$11:$CE$1309,MATCH("32582-GY-38.5",'SKU明细'!$A$11:$A$1309,0)),INDEX('SKU明细'!$CE$11:$CE$1309,MATCH("32582-GY-39",'SKU明细'!$A$11:$A$1309,0)),INDEX('SKU明细'!$CE$11:$CE$1309,MATCH("32582-GY-39.5",'SKU明细'!$A$11:$A$1309,0)),INDEX('SKU明细'!$CE$11:$CE$1309,MATCH("32582-GY-40",'SKU明细'!$A$11:$A$1309,0)),INDEX('SKU明细'!$CE$11:$CE$1309,MATCH("32582-GY-40.5",'SKU明细'!$A$11:$A$1309,0)),INDEX('SKU明细'!$CE$11:$CE$1309,MATCH("32582-GY-41",'SKU明细'!$A$11:$A$1309,0)),INDEX('SKU明细'!$CE$11:$CE$1309,MATCH("32582-GY-41.5",'SKU明细'!$A$11:$A$1309,0)))=10,SUM(INDEX('SKU明细'!$CE$11:$CE$1309,MATCH("32582-GY-37",'SKU明细'!$A$11:$A$1309,0)),INDEX('SKU明细'!$CE$11:$CE$1309,MATCH("32582-GY-37.5",'SKU明细'!$A$11:$A$1309,0)),INDEX('SKU明细'!$CE$11:$CE$1309,MATCH("32582-GY-38",'SKU明细'!$A$11:$A$1309,0)),INDEX('SKU明细'!$CE$11:$CE$1309,MATCH("32582-GY-38.5",'SKU明细'!$A$11:$A$1309,0)),INDEX('SKU明细'!$CE$11:$CE$1309,MATCH("32582-GY-39",'SKU明细'!$A$11:$A$1309,0)),INDEX('SKU明细'!$CE$11:$CE$1309,MATCH("32582-GY-39.5",'SKU明细'!$A$11:$A$1309,0)),INDEX('SKU明细'!$CE$11:$CE$1309,MATCH("32582-GY-40",'SKU明细'!$A$11:$A$1309,0)),INDEX('SKU明细'!$CE$11:$CE$1309,MATCH("32582-GY-40.5",'SKU明细'!$A$11:$A$1309,0)),INDEX('SKU明细'!$CE$11:$CE$1309,MATCH("32582-GY-41",'SKU明细'!$A$11:$A$1309,0)),INDEX('SKU明细'!$CE$11:$CE$1309,MATCH("32582-GY-41.5",'SKU明细'!$A$11:$A$1309,0))),"待核")</x:f>
        <x:v>2.234472692695642</x:v>
      </x:c>
      <x:c r="AD102" s="11" t="n">
        <x:f>INDEX('SKU明细'!$CF$11:$CF$1309,MATCH("32582-GY-37",'SKU明细'!$A$11:$A$1309,0))</x:f>
        <x:v>1.2908918272824135</x:v>
      </x:c>
      <x:c r="AE102" s="13" t="n">
        <x:f>IF(COUNT(INDEX('SKU明细'!$CH$11:$CH$1309,MATCH("32582-GY-37",'SKU明细'!$A$11:$A$1309,0)),INDEX('SKU明细'!$CH$11:$CH$1309,MATCH("32582-GY-37.5",'SKU明细'!$A$11:$A$1309,0)),INDEX('SKU明细'!$CH$11:$CH$1309,MATCH("32582-GY-38",'SKU明细'!$A$11:$A$1309,0)),INDEX('SKU明细'!$CH$11:$CH$1309,MATCH("32582-GY-38.5",'SKU明细'!$A$11:$A$1309,0)),INDEX('SKU明细'!$CH$11:$CH$1309,MATCH("32582-GY-39",'SKU明细'!$A$11:$A$1309,0)),INDEX('SKU明细'!$CH$11:$CH$1309,MATCH("32582-GY-39.5",'SKU明细'!$A$11:$A$1309,0)),INDEX('SKU明细'!$CH$11:$CH$1309,MATCH("32582-GY-40",'SKU明细'!$A$11:$A$1309,0)),INDEX('SKU明细'!$CH$11:$CH$1309,MATCH("32582-GY-40.5",'SKU明细'!$A$11:$A$1309,0)),INDEX('SKU明细'!$CH$11:$CH$1309,MATCH("32582-GY-41",'SKU明细'!$A$11:$A$1309,0)),INDEX('SKU明细'!$CH$11:$CH$1309,MATCH("32582-GY-41.5",'SKU明细'!$A$11:$A$1309,0)))=10,SUM(INDEX('SKU明细'!$CH$11:$CH$1309,MATCH("32582-GY-37",'SKU明细'!$A$11:$A$1309,0)),INDEX('SKU明细'!$CH$11:$CH$1309,MATCH("32582-GY-37.5",'SKU明细'!$A$11:$A$1309,0)),INDEX('SKU明细'!$CH$11:$CH$1309,MATCH("32582-GY-38",'SKU明细'!$A$11:$A$1309,0)),INDEX('SKU明细'!$CH$11:$CH$1309,MATCH("32582-GY-38.5",'SKU明细'!$A$11:$A$1309,0)),INDEX('SKU明细'!$CH$11:$CH$1309,MATCH("32582-GY-39",'SKU明细'!$A$11:$A$1309,0)),INDEX('SKU明细'!$CH$11:$CH$1309,MATCH("32582-GY-39.5",'SKU明细'!$A$11:$A$1309,0)),INDEX('SKU明细'!$CH$11:$CH$1309,MATCH("32582-GY-40",'SKU明细'!$A$11:$A$1309,0)),INDEX('SKU明细'!$CH$11:$CH$1309,MATCH("32582-GY-40.5",'SKU明细'!$A$11:$A$1309,0)),INDEX('SKU明细'!$CH$11:$CH$1309,MATCH("32582-GY-41",'SKU明细'!$A$11:$A$1309,0)),INDEX('SKU明细'!$CH$11:$CH$1309,MATCH("32582-GY-41.5",'SKU明细'!$A$11:$A$1309,0))),"待核")</x:f>
        <x:v>2.027744264273973</x:v>
      </x:c>
      <x:c r="AF102" s="13" t="n">
        <x:f>IF(COUNT(INDEX('SKU明细'!$CI$11:$CI$1309,MATCH("32582-GY-37",'SKU明细'!$A$11:$A$1309,0)),INDEX('SKU明细'!$CI$11:$CI$1309,MATCH("32582-GY-37.5",'SKU明细'!$A$11:$A$1309,0)),INDEX('SKU明细'!$CI$11:$CI$1309,MATCH("32582-GY-38",'SKU明细'!$A$11:$A$1309,0)),INDEX('SKU明细'!$CI$11:$CI$1309,MATCH("32582-GY-38.5",'SKU明细'!$A$11:$A$1309,0)),INDEX('SKU明细'!$CI$11:$CI$1309,MATCH("32582-GY-39",'SKU明细'!$A$11:$A$1309,0)),INDEX('SKU明细'!$CI$11:$CI$1309,MATCH("32582-GY-39.5",'SKU明细'!$A$11:$A$1309,0)),INDEX('SKU明细'!$CI$11:$CI$1309,MATCH("32582-GY-40",'SKU明细'!$A$11:$A$1309,0)),INDEX('SKU明细'!$CI$11:$CI$1309,MATCH("32582-GY-40.5",'SKU明细'!$A$11:$A$1309,0)),INDEX('SKU明细'!$CI$11:$CI$1309,MATCH("32582-GY-41",'SKU明细'!$A$11:$A$1309,0)),INDEX('SKU明细'!$CI$11:$CI$1309,MATCH("32582-GY-41.5",'SKU明细'!$A$11:$A$1309,0)))=10,SUM(INDEX('SKU明细'!$CI$11:$CI$1309,MATCH("32582-GY-37",'SKU明细'!$A$11:$A$1309,0)),INDEX('SKU明细'!$CI$11:$CI$1309,MATCH("32582-GY-37.5",'SKU明细'!$A$11:$A$1309,0)),INDEX('SKU明细'!$CI$11:$CI$1309,MATCH("32582-GY-38",'SKU明细'!$A$11:$A$1309,0)),INDEX('SKU明细'!$CI$11:$CI$1309,MATCH("32582-GY-38.5",'SKU明细'!$A$11:$A$1309,0)),INDEX('SKU明细'!$CI$11:$CI$1309,MATCH("32582-GY-39",'SKU明细'!$A$11:$A$1309,0)),INDEX('SKU明细'!$CI$11:$CI$1309,MATCH("32582-GY-39.5",'SKU明细'!$A$11:$A$1309,0)),INDEX('SKU明细'!$CI$11:$CI$1309,MATCH("32582-GY-40",'SKU明细'!$A$11:$A$1309,0)),INDEX('SKU明细'!$CI$11:$CI$1309,MATCH("32582-GY-40.5",'SKU明细'!$A$11:$A$1309,0)),INDEX('SKU明细'!$CI$11:$CI$1309,MATCH("32582-GY-41",'SKU明细'!$A$11:$A$1309,0)),INDEX('SKU明细'!$CI$11:$CI$1309,MATCH("32582-GY-41.5",'SKU明细'!$A$11:$A$1309,0))),"待核")</x:f>
        <x:v>8.156453963880113</x:v>
      </x:c>
    </x:row>
    <x:row r="103" ht="40" customHeight="1">
      <x:c r="A103" s="37" t="str">
        <x:v>32582</x:v>
      </x:c>
      <x:c r="B103" s="37" t="str">
        <x:v>徐新怡</x:v>
      </x:c>
      <x:c r="C103" s="37" t="str">
        <x:v>豹纹</x:v>
      </x:c>
      <x:c r="D103" s="37" t="str">
        <x:v>LD</x:v>
      </x:c>
      <x:c r="E103" s="37" t="str">
        <x:v>32582-LD</x:v>
      </x:c>
      <x:c r="F103" s="37"/>
      <x:c r="G103" s="38" t="str">
        <x:f>"—"</x:f>
        <x:v>—</x:v>
      </x:c>
      <x:c r="H103" s="38" t="n">
        <x:f>IF(COUNT(INDEX('SKU明细'!$D$11:$D$1309,MATCH("32582-LD-37",'SKU明细'!$A$11:$A$1309,0)))=0,"待核",IF(COUNT(INDEX('SKU明细'!$D$11:$D$1309,MATCH("32582-LD-37",'SKU明细'!$A$11:$A$1309,0)))&lt;1,SUM(INDEX('SKU明细'!$D$11:$D$1309,MATCH("32582-LD-37",'SKU明细'!$A$11:$A$1309,0)))&amp;" + 待核",SUM(INDEX('SKU明细'!$D$11:$D$1309,MATCH("32582-LD-37",'SKU明细'!$A$11:$A$1309,0)))))</x:f>
        <x:v>6</x:v>
      </x:c>
      <x:c r="I103" s="38" t="n">
        <x:f>IF(COUNT(INDEX('SKU明细'!$D$11:$D$1309,MATCH("32582-LD-37.5",'SKU明细'!$A$11:$A$1309,0)))=0,"待核",IF(COUNT(INDEX('SKU明细'!$D$11:$D$1309,MATCH("32582-LD-37.5",'SKU明细'!$A$11:$A$1309,0)))&lt;1,SUM(INDEX('SKU明细'!$D$11:$D$1309,MATCH("32582-LD-37.5",'SKU明细'!$A$11:$A$1309,0)))&amp;" + 待核",SUM(INDEX('SKU明细'!$D$11:$D$1309,MATCH("32582-LD-37.5",'SKU明细'!$A$11:$A$1309,0)))))</x:f>
        <x:v>8</x:v>
      </x:c>
      <x:c r="J103" s="38" t="str">
        <x:f>IF(COUNT(INDEX('SKU明细'!$D$11:$D$1309,MATCH("32582-LD-38",'SKU明细'!$A$11:$A$1309,0)))=0,"待核",IF(COUNT(INDEX('SKU明细'!$D$11:$D$1309,MATCH("32582-LD-38",'SKU明细'!$A$11:$A$1309,0)))&lt;1,SUM(INDEX('SKU明细'!$D$11:$D$1309,MATCH("32582-LD-38",'SKU明细'!$A$11:$A$1309,0)))&amp;" + 待核",SUM(INDEX('SKU明细'!$D$11:$D$1309,MATCH("32582-LD-38",'SKU明细'!$A$11:$A$1309,0)))))</x:f>
        <x:v>待核</x:v>
      </x:c>
      <x:c r="K103" s="38" t="n">
        <x:f>IF(COUNT(INDEX('SKU明细'!$D$11:$D$1309,MATCH("32582-LD-38.5",'SKU明细'!$A$11:$A$1309,0)))=0,"待核",IF(COUNT(INDEX('SKU明细'!$D$11:$D$1309,MATCH("32582-LD-38.5",'SKU明细'!$A$11:$A$1309,0)))&lt;1,SUM(INDEX('SKU明细'!$D$11:$D$1309,MATCH("32582-LD-38.5",'SKU明细'!$A$11:$A$1309,0)))&amp;" + 待核",SUM(INDEX('SKU明细'!$D$11:$D$1309,MATCH("32582-LD-38.5",'SKU明细'!$A$11:$A$1309,0)))))</x:f>
        <x:v>15</x:v>
      </x:c>
      <x:c r="L103" s="38" t="n">
        <x:f>IF(COUNT(INDEX('SKU明细'!$D$11:$D$1309,MATCH("32582-LD-39",'SKU明细'!$A$11:$A$1309,0)))=0,"待核",IF(COUNT(INDEX('SKU明细'!$D$11:$D$1309,MATCH("32582-LD-39",'SKU明细'!$A$11:$A$1309,0)))&lt;1,SUM(INDEX('SKU明细'!$D$11:$D$1309,MATCH("32582-LD-39",'SKU明细'!$A$11:$A$1309,0)))&amp;" + 待核",SUM(INDEX('SKU明细'!$D$11:$D$1309,MATCH("32582-LD-39",'SKU明细'!$A$11:$A$1309,0)))))</x:f>
        <x:v>15</x:v>
      </x:c>
      <x:c r="M103" s="38" t="n">
        <x:f>IF(COUNT(INDEX('SKU明细'!$D$11:$D$1309,MATCH("32582-LD-39.5",'SKU明细'!$A$11:$A$1309,0)))=0,"待核",IF(COUNT(INDEX('SKU明细'!$D$11:$D$1309,MATCH("32582-LD-39.5",'SKU明细'!$A$11:$A$1309,0)))&lt;1,SUM(INDEX('SKU明细'!$D$11:$D$1309,MATCH("32582-LD-39.5",'SKU明细'!$A$11:$A$1309,0)))&amp;" + 待核",SUM(INDEX('SKU明细'!$D$11:$D$1309,MATCH("32582-LD-39.5",'SKU明细'!$A$11:$A$1309,0)))))</x:f>
        <x:v>29</x:v>
      </x:c>
      <x:c r="N103" s="38" t="n">
        <x:f>IF(COUNT(INDEX('SKU明细'!$D$11:$D$1309,MATCH("32582-LD-40",'SKU明细'!$A$11:$A$1309,0)))=0,"待核",IF(COUNT(INDEX('SKU明细'!$D$11:$D$1309,MATCH("32582-LD-40",'SKU明细'!$A$11:$A$1309,0)))&lt;1,SUM(INDEX('SKU明细'!$D$11:$D$1309,MATCH("32582-LD-40",'SKU明细'!$A$11:$A$1309,0)))&amp;" + 待核",SUM(INDEX('SKU明细'!$D$11:$D$1309,MATCH("32582-LD-40",'SKU明细'!$A$11:$A$1309,0)))))</x:f>
        <x:v>18</x:v>
      </x:c>
      <x:c r="O103" s="38" t="n">
        <x:f>IF(COUNT(INDEX('SKU明细'!$D$11:$D$1309,MATCH("32582-LD-40.5",'SKU明细'!$A$11:$A$1309,0)))=0,"待核",IF(COUNT(INDEX('SKU明细'!$D$11:$D$1309,MATCH("32582-LD-40.5",'SKU明细'!$A$11:$A$1309,0)))&lt;1,SUM(INDEX('SKU明细'!$D$11:$D$1309,MATCH("32582-LD-40.5",'SKU明细'!$A$11:$A$1309,0)))&amp;" + 待核",SUM(INDEX('SKU明细'!$D$11:$D$1309,MATCH("32582-LD-40.5",'SKU明细'!$A$11:$A$1309,0)))))</x:f>
        <x:v>11</x:v>
      </x:c>
      <x:c r="P103" s="38" t="n">
        <x:f>IF(COUNT(INDEX('SKU明细'!$D$11:$D$1309,MATCH("32582-LD-41",'SKU明细'!$A$11:$A$1309,0)))=0,"待核",IF(COUNT(INDEX('SKU明细'!$D$11:$D$1309,MATCH("32582-LD-41",'SKU明细'!$A$11:$A$1309,0)))&lt;1,SUM(INDEX('SKU明细'!$D$11:$D$1309,MATCH("32582-LD-41",'SKU明细'!$A$11:$A$1309,0)))&amp;" + 待核",SUM(INDEX('SKU明细'!$D$11:$D$1309,MATCH("32582-LD-41",'SKU明细'!$A$11:$A$1309,0)))))</x:f>
        <x:v>0</x:v>
      </x:c>
      <x:c r="Q103" s="38" t="n">
        <x:f>IF(COUNT(INDEX('SKU明细'!$D$11:$D$1309,MATCH("32582-LD-41.5",'SKU明细'!$A$11:$A$1309,0)))=0,"待核",IF(COUNT(INDEX('SKU明细'!$D$11:$D$1309,MATCH("32582-LD-41.5",'SKU明细'!$A$11:$A$1309,0)))&lt;1,SUM(INDEX('SKU明细'!$D$11:$D$1309,MATCH("32582-LD-41.5",'SKU明细'!$A$11:$A$1309,0)))&amp;" + 待核",SUM(INDEX('SKU明细'!$D$11:$D$1309,MATCH("32582-LD-41.5",'SKU明细'!$A$11:$A$1309,0)))))</x:f>
        <x:v>0</x:v>
      </x:c>
      <x:c r="R103" s="38" t="n">
        <x:f>IF(COUNT(INDEX('SKU明细'!$D$11:$D$1309,MATCH("32582-LD-42",'SKU明细'!$A$11:$A$1309,0)))=0,"待核",IF(COUNT(INDEX('SKU明细'!$D$11:$D$1309,MATCH("32582-LD-42",'SKU明细'!$A$11:$A$1309,0)))&lt;1,SUM(INDEX('SKU明细'!$D$11:$D$1309,MATCH("32582-LD-42",'SKU明细'!$A$11:$A$1309,0)))&amp;" + 待核",SUM(INDEX('SKU明细'!$D$11:$D$1309,MATCH("32582-LD-42",'SKU明细'!$A$11:$A$1309,0)))))</x:f>
        <x:v>0</x:v>
      </x:c>
      <x:c r="S103" s="38" t="n">
        <x:f>IF(COUNT(INDEX('SKU明细'!$D$11:$D$1309,MATCH("32582-LD-37",'SKU明细'!$A$11:$A$1309,0)),INDEX('SKU明细'!$D$11:$D$1309,MATCH("32582-LD-37.5",'SKU明细'!$A$11:$A$1309,0)),INDEX('SKU明细'!$D$11:$D$1309,MATCH("32582-LD-38",'SKU明细'!$A$11:$A$1309,0)),INDEX('SKU明细'!$D$11:$D$1309,MATCH("32582-LD-38.5",'SKU明细'!$A$11:$A$1309,0)),INDEX('SKU明细'!$D$11:$D$1309,MATCH("32582-LD-39",'SKU明细'!$A$11:$A$1309,0)),INDEX('SKU明细'!$D$11:$D$1309,MATCH("32582-LD-39.5",'SKU明细'!$A$11:$A$1309,0)),INDEX('SKU明细'!$D$11:$D$1309,MATCH("32582-LD-40",'SKU明细'!$A$11:$A$1309,0)),INDEX('SKU明细'!$D$11:$D$1309,MATCH("32582-LD-40.5",'SKU明细'!$A$11:$A$1309,0)),INDEX('SKU明细'!$D$11:$D$1309,MATCH("32582-LD-41",'SKU明细'!$A$11:$A$1309,0)),INDEX('SKU明细'!$D$11:$D$1309,MATCH("32582-LD-41.5",'SKU明细'!$A$11:$A$1309,0)),INDEX('SKU明细'!$D$11:$D$1309,MATCH("32582-LD-42",'SKU明细'!$A$11:$A$1309,0)))=0,"待核",SUM(INDEX('SKU明细'!$D$11:$D$1309,MATCH("32582-LD-37",'SKU明细'!$A$11:$A$1309,0)),INDEX('SKU明细'!$D$11:$D$1309,MATCH("32582-LD-37.5",'SKU明细'!$A$11:$A$1309,0)),INDEX('SKU明细'!$D$11:$D$1309,MATCH("32582-LD-38",'SKU明细'!$A$11:$A$1309,0)),INDEX('SKU明细'!$D$11:$D$1309,MATCH("32582-LD-38.5",'SKU明细'!$A$11:$A$1309,0)),INDEX('SKU明细'!$D$11:$D$1309,MATCH("32582-LD-39",'SKU明细'!$A$11:$A$1309,0)),INDEX('SKU明细'!$D$11:$D$1309,MATCH("32582-LD-39.5",'SKU明细'!$A$11:$A$1309,0)),INDEX('SKU明细'!$D$11:$D$1309,MATCH("32582-LD-40",'SKU明细'!$A$11:$A$1309,0)),INDEX('SKU明细'!$D$11:$D$1309,MATCH("32582-LD-40.5",'SKU明细'!$A$11:$A$1309,0)),INDEX('SKU明细'!$D$11:$D$1309,MATCH("32582-LD-41",'SKU明细'!$A$11:$A$1309,0)),INDEX('SKU明细'!$D$11:$D$1309,MATCH("32582-LD-41.5",'SKU明细'!$A$11:$A$1309,0)),INDEX('SKU明细'!$D$11:$D$1309,MATCH("32582-LD-42",'SKU明细'!$A$11:$A$1309,0))))</x:f>
        <x:v>102</x:v>
      </x:c>
      <x:c r="T103" s="38" t="n">
        <x:f>IF(COUNTIFS($A$9:$A$191,A103,$U$9:$U$191,"&lt;&gt;待核")=0,"待核",SUMIF($A$9:$A$191,A103,$S$9:$S$191))</x:f>
        <x:v>197</x:v>
      </x:c>
      <x:c r="U103" s="37" t="str">
        <x:f>IF(COUNT(INDEX('SKU明细'!$D$11:$D$1309,MATCH("32582-LD-37",'SKU明细'!$A$11:$A$1309,0)),INDEX('SKU明细'!$D$11:$D$1309,MATCH("32582-LD-37.5",'SKU明细'!$A$11:$A$1309,0)),INDEX('SKU明细'!$D$11:$D$1309,MATCH("32582-LD-38",'SKU明细'!$A$11:$A$1309,0)),INDEX('SKU明细'!$D$11:$D$1309,MATCH("32582-LD-38.5",'SKU明细'!$A$11:$A$1309,0)),INDEX('SKU明细'!$D$11:$D$1309,MATCH("32582-LD-39",'SKU明细'!$A$11:$A$1309,0)),INDEX('SKU明细'!$D$11:$D$1309,MATCH("32582-LD-39.5",'SKU明细'!$A$11:$A$1309,0)),INDEX('SKU明细'!$D$11:$D$1309,MATCH("32582-LD-40",'SKU明细'!$A$11:$A$1309,0)),INDEX('SKU明细'!$D$11:$D$1309,MATCH("32582-LD-40.5",'SKU明细'!$A$11:$A$1309,0)),INDEX('SKU明细'!$D$11:$D$1309,MATCH("32582-LD-41",'SKU明细'!$A$11:$A$1309,0)),INDEX('SKU明细'!$D$11:$D$1309,MATCH("32582-LD-41.5",'SKU明细'!$A$11:$A$1309,0)),INDEX('SKU明细'!$D$11:$D$1309,MATCH("32582-LD-42",'SKU明细'!$A$11:$A$1309,0)))=0,"待核",IF(COUNT(INDEX('SKU明细'!$D$11:$D$1309,MATCH("32582-LD-37",'SKU明细'!$A$11:$A$1309,0)),INDEX('SKU明细'!$D$11:$D$1309,MATCH("32582-LD-37.5",'SKU明细'!$A$11:$A$1309,0)),INDEX('SKU明细'!$D$11:$D$1309,MATCH("32582-LD-38",'SKU明细'!$A$11:$A$1309,0)),INDEX('SKU明细'!$D$11:$D$1309,MATCH("32582-LD-38.5",'SKU明细'!$A$11:$A$1309,0)),INDEX('SKU明细'!$D$11:$D$1309,MATCH("32582-LD-39",'SKU明细'!$A$11:$A$1309,0)),INDEX('SKU明细'!$D$11:$D$1309,MATCH("32582-LD-39.5",'SKU明细'!$A$11:$A$1309,0)),INDEX('SKU明细'!$D$11:$D$1309,MATCH("32582-LD-40",'SKU明细'!$A$11:$A$1309,0)),INDEX('SKU明细'!$D$11:$D$1309,MATCH("32582-LD-40.5",'SKU明细'!$A$11:$A$1309,0)),INDEX('SKU明细'!$D$11:$D$1309,MATCH("32582-LD-41",'SKU明细'!$A$11:$A$1309,0)),INDEX('SKU明细'!$D$11:$D$1309,MATCH("32582-LD-41.5",'SKU明细'!$A$11:$A$1309,0)),INDEX('SKU明细'!$D$11:$D$1309,MATCH("32582-LD-42",'SKU明细'!$A$11:$A$1309,0)))&lt;11,"另有待核","已核"))</x:f>
        <x:v>另有待核</x:v>
      </x:c>
      <x:c r="V103" s="37" t="str">
        <x:v>在售、停售</x:v>
      </x:c>
      <x:c r="W103" s="11" t="n">
        <x:f>IF(COUNT(INDEX('SKU明细'!$BV$11:$BV$1309,MATCH("32582-LD-37",'SKU明细'!$A$11:$A$1309,0)),INDEX('SKU明细'!$BV$11:$BV$1309,MATCH("32582-LD-37.5",'SKU明细'!$A$11:$A$1309,0)),INDEX('SKU明细'!$BV$11:$BV$1309,MATCH("32582-LD-38",'SKU明细'!$A$11:$A$1309,0)),INDEX('SKU明细'!$BV$11:$BV$1309,MATCH("32582-LD-38.5",'SKU明细'!$A$11:$A$1309,0)),INDEX('SKU明细'!$BV$11:$BV$1309,MATCH("32582-LD-39",'SKU明细'!$A$11:$A$1309,0)),INDEX('SKU明细'!$BV$11:$BV$1309,MATCH("32582-LD-39.5",'SKU明细'!$A$11:$A$1309,0)),INDEX('SKU明细'!$BV$11:$BV$1309,MATCH("32582-LD-40",'SKU明细'!$A$11:$A$1309,0)),INDEX('SKU明细'!$BV$11:$BV$1309,MATCH("32582-LD-40.5",'SKU明细'!$A$11:$A$1309,0)),INDEX('SKU明细'!$BV$11:$BV$1309,MATCH("32582-LD-41",'SKU明细'!$A$11:$A$1309,0)),INDEX('SKU明细'!$BV$11:$BV$1309,MATCH("32582-LD-41.5",'SKU明细'!$A$11:$A$1309,0)),INDEX('SKU明细'!$BV$11:$BV$1309,MATCH("32582-LD-42",'SKU明细'!$A$11:$A$1309,0)))=11,SUM(INDEX('SKU明细'!$BV$11:$BV$1309,MATCH("32582-LD-37",'SKU明细'!$A$11:$A$1309,0)),INDEX('SKU明细'!$BV$11:$BV$1309,MATCH("32582-LD-37.5",'SKU明细'!$A$11:$A$1309,0)),INDEX('SKU明细'!$BV$11:$BV$1309,MATCH("32582-LD-38",'SKU明细'!$A$11:$A$1309,0)),INDEX('SKU明细'!$BV$11:$BV$1309,MATCH("32582-LD-38.5",'SKU明细'!$A$11:$A$1309,0)),INDEX('SKU明细'!$BV$11:$BV$1309,MATCH("32582-LD-39",'SKU明细'!$A$11:$A$1309,0)),INDEX('SKU明细'!$BV$11:$BV$1309,MATCH("32582-LD-39.5",'SKU明细'!$A$11:$A$1309,0)),INDEX('SKU明细'!$BV$11:$BV$1309,MATCH("32582-LD-40",'SKU明细'!$A$11:$A$1309,0)),INDEX('SKU明细'!$BV$11:$BV$1309,MATCH("32582-LD-40.5",'SKU明细'!$A$11:$A$1309,0)),INDEX('SKU明细'!$BV$11:$BV$1309,MATCH("32582-LD-41",'SKU明细'!$A$11:$A$1309,0)),INDEX('SKU明细'!$BV$11:$BV$1309,MATCH("32582-LD-41.5",'SKU明细'!$A$11:$A$1309,0)),INDEX('SKU明细'!$BV$11:$BV$1309,MATCH("32582-LD-42",'SKU明细'!$A$11:$A$1309,0))),"待核")</x:f>
        <x:v>2.517644694108243</x:v>
      </x:c>
      <x:c r="X103" s="11" t="n">
        <x:f>INDEX('SKU明细'!$BW$11:$BW$1309,MATCH("32582-LD-37",'SKU明细'!$A$11:$A$1309,0))</x:f>
        <x:v>1.0395067087630607</x:v>
      </x:c>
      <x:c r="Y103" s="13" t="n">
        <x:f>IF(COUNT(INDEX('SKU明细'!$BY$11:$BY$1309,MATCH("32582-LD-37",'SKU明细'!$A$11:$A$1309,0)),INDEX('SKU明细'!$BY$11:$BY$1309,MATCH("32582-LD-37.5",'SKU明细'!$A$11:$A$1309,0)),INDEX('SKU明细'!$BY$11:$BY$1309,MATCH("32582-LD-38",'SKU明细'!$A$11:$A$1309,0)),INDEX('SKU明细'!$BY$11:$BY$1309,MATCH("32582-LD-38.5",'SKU明细'!$A$11:$A$1309,0)),INDEX('SKU明细'!$BY$11:$BY$1309,MATCH("32582-LD-39",'SKU明细'!$A$11:$A$1309,0)),INDEX('SKU明细'!$BY$11:$BY$1309,MATCH("32582-LD-39.5",'SKU明细'!$A$11:$A$1309,0)),INDEX('SKU明细'!$BY$11:$BY$1309,MATCH("32582-LD-40",'SKU明细'!$A$11:$A$1309,0)),INDEX('SKU明细'!$BY$11:$BY$1309,MATCH("32582-LD-40.5",'SKU明细'!$A$11:$A$1309,0)),INDEX('SKU明细'!$BY$11:$BY$1309,MATCH("32582-LD-41",'SKU明细'!$A$11:$A$1309,0)),INDEX('SKU明细'!$BY$11:$BY$1309,MATCH("32582-LD-41.5",'SKU明细'!$A$11:$A$1309,0)),INDEX('SKU明细'!$BY$11:$BY$1309,MATCH("32582-LD-42",'SKU明细'!$A$11:$A$1309,0)))=11,SUM(INDEX('SKU明细'!$BY$11:$BY$1309,MATCH("32582-LD-37",'SKU明细'!$A$11:$A$1309,0)),INDEX('SKU明细'!$BY$11:$BY$1309,MATCH("32582-LD-37.5",'SKU明细'!$A$11:$A$1309,0)),INDEX('SKU明细'!$BY$11:$BY$1309,MATCH("32582-LD-38",'SKU明细'!$A$11:$A$1309,0)),INDEX('SKU明细'!$BY$11:$BY$1309,MATCH("32582-LD-38.5",'SKU明细'!$A$11:$A$1309,0)),INDEX('SKU明细'!$BY$11:$BY$1309,MATCH("32582-LD-39",'SKU明细'!$A$11:$A$1309,0)),INDEX('SKU明细'!$BY$11:$BY$1309,MATCH("32582-LD-39.5",'SKU明细'!$A$11:$A$1309,0)),INDEX('SKU明细'!$BY$11:$BY$1309,MATCH("32582-LD-40",'SKU明细'!$A$11:$A$1309,0)),INDEX('SKU明细'!$BY$11:$BY$1309,MATCH("32582-LD-40.5",'SKU明细'!$A$11:$A$1309,0)),INDEX('SKU明细'!$BY$11:$BY$1309,MATCH("32582-LD-41",'SKU明细'!$A$11:$A$1309,0)),INDEX('SKU明细'!$BY$11:$BY$1309,MATCH("32582-LD-41.5",'SKU明细'!$A$11:$A$1309,0)),INDEX('SKU明细'!$BY$11:$BY$1309,MATCH("32582-LD-42",'SKU明细'!$A$11:$A$1309,0))),"待核")</x:f>
        <x:v>31.40530259768691</x:v>
      </x:c>
      <x:c r="Z103" s="11" t="n">
        <x:f>INDEX('SKU明细'!$BZ$11:$BZ$1309,MATCH("32582-LD-37",'SKU明细'!$A$11:$A$1309,0))</x:f>
        <x:v>0.9890368360033146</x:v>
      </x:c>
      <x:c r="AA103" s="13" t="n">
        <x:f>IF(COUNT(INDEX('SKU明细'!$CB$11:$CB$1309,MATCH("32582-LD-37",'SKU明细'!$A$11:$A$1309,0)),INDEX('SKU明细'!$CB$11:$CB$1309,MATCH("32582-LD-37.5",'SKU明细'!$A$11:$A$1309,0)),INDEX('SKU明细'!$CB$11:$CB$1309,MATCH("32582-LD-38",'SKU明细'!$A$11:$A$1309,0)),INDEX('SKU明细'!$CB$11:$CB$1309,MATCH("32582-LD-38.5",'SKU明细'!$A$11:$A$1309,0)),INDEX('SKU明细'!$CB$11:$CB$1309,MATCH("32582-LD-39",'SKU明细'!$A$11:$A$1309,0)),INDEX('SKU明细'!$CB$11:$CB$1309,MATCH("32582-LD-39.5",'SKU明细'!$A$11:$A$1309,0)),INDEX('SKU明细'!$CB$11:$CB$1309,MATCH("32582-LD-40",'SKU明细'!$A$11:$A$1309,0)),INDEX('SKU明细'!$CB$11:$CB$1309,MATCH("32582-LD-40.5",'SKU明细'!$A$11:$A$1309,0)),INDEX('SKU明细'!$CB$11:$CB$1309,MATCH("32582-LD-41",'SKU明细'!$A$11:$A$1309,0)),INDEX('SKU明细'!$CB$11:$CB$1309,MATCH("32582-LD-41.5",'SKU明细'!$A$11:$A$1309,0)),INDEX('SKU明细'!$CB$11:$CB$1309,MATCH("32582-LD-42",'SKU明细'!$A$11:$A$1309,0)))=11,SUM(INDEX('SKU明细'!$CB$11:$CB$1309,MATCH("32582-LD-37",'SKU明细'!$A$11:$A$1309,0)),INDEX('SKU明细'!$CB$11:$CB$1309,MATCH("32582-LD-37.5",'SKU明细'!$A$11:$A$1309,0)),INDEX('SKU明细'!$CB$11:$CB$1309,MATCH("32582-LD-38",'SKU明细'!$A$11:$A$1309,0)),INDEX('SKU明细'!$CB$11:$CB$1309,MATCH("32582-LD-38.5",'SKU明细'!$A$11:$A$1309,0)),INDEX('SKU明细'!$CB$11:$CB$1309,MATCH("32582-LD-39",'SKU明细'!$A$11:$A$1309,0)),INDEX('SKU明细'!$CB$11:$CB$1309,MATCH("32582-LD-39.5",'SKU明细'!$A$11:$A$1309,0)),INDEX('SKU明细'!$CB$11:$CB$1309,MATCH("32582-LD-40",'SKU明细'!$A$11:$A$1309,0)),INDEX('SKU明细'!$CB$11:$CB$1309,MATCH("32582-LD-40.5",'SKU明细'!$A$11:$A$1309,0)),INDEX('SKU明细'!$CB$11:$CB$1309,MATCH("32582-LD-41",'SKU明细'!$A$11:$A$1309,0)),INDEX('SKU明细'!$CB$11:$CB$1309,MATCH("32582-LD-41.5",'SKU明细'!$A$11:$A$1309,0)),INDEX('SKU明细'!$CB$11:$CB$1309,MATCH("32582-LD-42",'SKU明细'!$A$11:$A$1309,0))),"待核")</x:f>
        <x:v>74.70130027324049</x:v>
      </x:c>
      <x:c r="AB103" s="11" t="n">
        <x:f>INDEX('SKU明细'!$CC$11:$CC$1309,MATCH("32582-LD-37",'SKU明细'!$A$11:$A$1309,0))</x:f>
        <x:v>0.7800796503018808</x:v>
      </x:c>
      <x:c r="AC103" s="13" t="n">
        <x:f>IF(COUNT(INDEX('SKU明细'!$CE$11:$CE$1309,MATCH("32582-LD-37",'SKU明细'!$A$11:$A$1309,0)),INDEX('SKU明细'!$CE$11:$CE$1309,MATCH("32582-LD-37.5",'SKU明细'!$A$11:$A$1309,0)),INDEX('SKU明细'!$CE$11:$CE$1309,MATCH("32582-LD-38",'SKU明细'!$A$11:$A$1309,0)),INDEX('SKU明细'!$CE$11:$CE$1309,MATCH("32582-LD-38.5",'SKU明细'!$A$11:$A$1309,0)),INDEX('SKU明细'!$CE$11:$CE$1309,MATCH("32582-LD-39",'SKU明细'!$A$11:$A$1309,0)),INDEX('SKU明细'!$CE$11:$CE$1309,MATCH("32582-LD-39.5",'SKU明细'!$A$11:$A$1309,0)),INDEX('SKU明细'!$CE$11:$CE$1309,MATCH("32582-LD-40",'SKU明细'!$A$11:$A$1309,0)),INDEX('SKU明细'!$CE$11:$CE$1309,MATCH("32582-LD-40.5",'SKU明细'!$A$11:$A$1309,0)),INDEX('SKU明细'!$CE$11:$CE$1309,MATCH("32582-LD-41",'SKU明细'!$A$11:$A$1309,0)),INDEX('SKU明细'!$CE$11:$CE$1309,MATCH("32582-LD-41.5",'SKU明细'!$A$11:$A$1309,0)),INDEX('SKU明细'!$CE$11:$CE$1309,MATCH("32582-LD-42",'SKU明细'!$A$11:$A$1309,0)))=11,SUM(INDEX('SKU明细'!$CE$11:$CE$1309,MATCH("32582-LD-37",'SKU明细'!$A$11:$A$1309,0)),INDEX('SKU明细'!$CE$11:$CE$1309,MATCH("32582-LD-37.5",'SKU明细'!$A$11:$A$1309,0)),INDEX('SKU明细'!$CE$11:$CE$1309,MATCH("32582-LD-38",'SKU明细'!$A$11:$A$1309,0)),INDEX('SKU明细'!$CE$11:$CE$1309,MATCH("32582-LD-38.5",'SKU明细'!$A$11:$A$1309,0)),INDEX('SKU明细'!$CE$11:$CE$1309,MATCH("32582-LD-39",'SKU明细'!$A$11:$A$1309,0)),INDEX('SKU明细'!$CE$11:$CE$1309,MATCH("32582-LD-39.5",'SKU明细'!$A$11:$A$1309,0)),INDEX('SKU明细'!$CE$11:$CE$1309,MATCH("32582-LD-40",'SKU明细'!$A$11:$A$1309,0)),INDEX('SKU明细'!$CE$11:$CE$1309,MATCH("32582-LD-40.5",'SKU明细'!$A$11:$A$1309,0)),INDEX('SKU明细'!$CE$11:$CE$1309,MATCH("32582-LD-41",'SKU明细'!$A$11:$A$1309,0)),INDEX('SKU明细'!$CE$11:$CE$1309,MATCH("32582-LD-41.5",'SKU明细'!$A$11:$A$1309,0)),INDEX('SKU明细'!$CE$11:$CE$1309,MATCH("32582-LD-42",'SKU明细'!$A$11:$A$1309,0))),"待核")</x:f>
        <x:v>60.88286516949466</x:v>
      </x:c>
      <x:c r="AD103" s="11" t="n">
        <x:f>INDEX('SKU明细'!$CF$11:$CF$1309,MATCH("32582-LD-37",'SKU明细'!$A$11:$A$1309,0))</x:f>
        <x:v>1.2908918272824135</x:v>
      </x:c>
      <x:c r="AE103" s="13" t="n">
        <x:f>IF(COUNT(INDEX('SKU明细'!$CH$11:$CH$1309,MATCH("32582-LD-37",'SKU明细'!$A$11:$A$1309,0)),INDEX('SKU明细'!$CH$11:$CH$1309,MATCH("32582-LD-37.5",'SKU明细'!$A$11:$A$1309,0)),INDEX('SKU明细'!$CH$11:$CH$1309,MATCH("32582-LD-38",'SKU明细'!$A$11:$A$1309,0)),INDEX('SKU明细'!$CH$11:$CH$1309,MATCH("32582-LD-38.5",'SKU明细'!$A$11:$A$1309,0)),INDEX('SKU明细'!$CH$11:$CH$1309,MATCH("32582-LD-39",'SKU明细'!$A$11:$A$1309,0)),INDEX('SKU明细'!$CH$11:$CH$1309,MATCH("32582-LD-39.5",'SKU明细'!$A$11:$A$1309,0)),INDEX('SKU明细'!$CH$11:$CH$1309,MATCH("32582-LD-40",'SKU明细'!$A$11:$A$1309,0)),INDEX('SKU明细'!$CH$11:$CH$1309,MATCH("32582-LD-40.5",'SKU明细'!$A$11:$A$1309,0)),INDEX('SKU明细'!$CH$11:$CH$1309,MATCH("32582-LD-41",'SKU明细'!$A$11:$A$1309,0)),INDEX('SKU明细'!$CH$11:$CH$1309,MATCH("32582-LD-41.5",'SKU明细'!$A$11:$A$1309,0)),INDEX('SKU明细'!$CH$11:$CH$1309,MATCH("32582-LD-42",'SKU明细'!$A$11:$A$1309,0)))=11,SUM(INDEX('SKU明细'!$CH$11:$CH$1309,MATCH("32582-LD-37",'SKU明细'!$A$11:$A$1309,0)),INDEX('SKU明细'!$CH$11:$CH$1309,MATCH("32582-LD-37.5",'SKU明细'!$A$11:$A$1309,0)),INDEX('SKU明细'!$CH$11:$CH$1309,MATCH("32582-LD-38",'SKU明细'!$A$11:$A$1309,0)),INDEX('SKU明细'!$CH$11:$CH$1309,MATCH("32582-LD-38.5",'SKU明细'!$A$11:$A$1309,0)),INDEX('SKU明细'!$CH$11:$CH$1309,MATCH("32582-LD-39",'SKU明细'!$A$11:$A$1309,0)),INDEX('SKU明细'!$CH$11:$CH$1309,MATCH("32582-LD-39.5",'SKU明细'!$A$11:$A$1309,0)),INDEX('SKU明细'!$CH$11:$CH$1309,MATCH("32582-LD-40",'SKU明细'!$A$11:$A$1309,0)),INDEX('SKU明细'!$CH$11:$CH$1309,MATCH("32582-LD-40.5",'SKU明细'!$A$11:$A$1309,0)),INDEX('SKU明细'!$CH$11:$CH$1309,MATCH("32582-LD-41",'SKU明细'!$A$11:$A$1309,0)),INDEX('SKU明细'!$CH$11:$CH$1309,MATCH("32582-LD-41.5",'SKU明细'!$A$11:$A$1309,0)),INDEX('SKU明细'!$CH$11:$CH$1309,MATCH("32582-LD-42",'SKU明细'!$A$11:$A$1309,0))),"待核")</x:f>
        <x:v>55.250118313629464</x:v>
      </x:c>
      <x:c r="AF103" s="13" t="n">
        <x:f>IF(COUNT(INDEX('SKU明细'!$CI$11:$CI$1309,MATCH("32582-LD-37",'SKU明细'!$A$11:$A$1309,0)),INDEX('SKU明细'!$CI$11:$CI$1309,MATCH("32582-LD-37.5",'SKU明细'!$A$11:$A$1309,0)),INDEX('SKU明细'!$CI$11:$CI$1309,MATCH("32582-LD-38",'SKU明细'!$A$11:$A$1309,0)),INDEX('SKU明细'!$CI$11:$CI$1309,MATCH("32582-LD-38.5",'SKU明细'!$A$11:$A$1309,0)),INDEX('SKU明细'!$CI$11:$CI$1309,MATCH("32582-LD-39",'SKU明细'!$A$11:$A$1309,0)),INDEX('SKU明细'!$CI$11:$CI$1309,MATCH("32582-LD-39.5",'SKU明细'!$A$11:$A$1309,0)),INDEX('SKU明细'!$CI$11:$CI$1309,MATCH("32582-LD-40",'SKU明细'!$A$11:$A$1309,0)),INDEX('SKU明细'!$CI$11:$CI$1309,MATCH("32582-LD-40.5",'SKU明细'!$A$11:$A$1309,0)),INDEX('SKU明细'!$CI$11:$CI$1309,MATCH("32582-LD-41",'SKU明细'!$A$11:$A$1309,0)),INDEX('SKU明细'!$CI$11:$CI$1309,MATCH("32582-LD-41.5",'SKU明细'!$A$11:$A$1309,0)),INDEX('SKU明细'!$CI$11:$CI$1309,MATCH("32582-LD-42",'SKU明细'!$A$11:$A$1309,0)))=11,SUM(INDEX('SKU明细'!$CI$11:$CI$1309,MATCH("32582-LD-37",'SKU明细'!$A$11:$A$1309,0)),INDEX('SKU明细'!$CI$11:$CI$1309,MATCH("32582-LD-37.5",'SKU明细'!$A$11:$A$1309,0)),INDEX('SKU明细'!$CI$11:$CI$1309,MATCH("32582-LD-38",'SKU明细'!$A$11:$A$1309,0)),INDEX('SKU明细'!$CI$11:$CI$1309,MATCH("32582-LD-38.5",'SKU明细'!$A$11:$A$1309,0)),INDEX('SKU明细'!$CI$11:$CI$1309,MATCH("32582-LD-39",'SKU明细'!$A$11:$A$1309,0)),INDEX('SKU明细'!$CI$11:$CI$1309,MATCH("32582-LD-39.5",'SKU明细'!$A$11:$A$1309,0)),INDEX('SKU明细'!$CI$11:$CI$1309,MATCH("32582-LD-40",'SKU明细'!$A$11:$A$1309,0)),INDEX('SKU明细'!$CI$11:$CI$1309,MATCH("32582-LD-40.5",'SKU明细'!$A$11:$A$1309,0)),INDEX('SKU明细'!$CI$11:$CI$1309,MATCH("32582-LD-41",'SKU明细'!$A$11:$A$1309,0)),INDEX('SKU明细'!$CI$11:$CI$1309,MATCH("32582-LD-41.5",'SKU明细'!$A$11:$A$1309,0)),INDEX('SKU明细'!$CI$11:$CI$1309,MATCH("32582-LD-42",'SKU明细'!$A$11:$A$1309,0))),"待核")</x:f>
        <x:v>222.2395863540515</x:v>
      </x:c>
    </x:row>
    <x:row r="104" ht="40" customHeight="1">
      <x:c r="A104" s="37" t="str">
        <x:v>32582</x:v>
      </x:c>
      <x:c r="B104" s="37" t="str">
        <x:v>徐新怡</x:v>
      </x:c>
      <x:c r="C104" s="37" t="str">
        <x:v>豹纹黑色内里</x:v>
      </x:c>
      <x:c r="D104" s="37" t="str">
        <x:v>LPB</x:v>
      </x:c>
      <x:c r="E104" s="37" t="str">
        <x:v>32582-LPB</x:v>
      </x:c>
      <x:c r="F104" s="37"/>
      <x:c r="G104" s="38" t="str">
        <x:f>"—"</x:f>
        <x:v>—</x:v>
      </x:c>
      <x:c r="H104" s="38" t="n">
        <x:f>IF(COUNT(INDEX('SKU明细'!$D$11:$D$1309,MATCH("32582-LPB-37",'SKU明细'!$A$11:$A$1309,0)))=0,"待核",IF(COUNT(INDEX('SKU明细'!$D$11:$D$1309,MATCH("32582-LPB-37",'SKU明细'!$A$11:$A$1309,0)))&lt;1,SUM(INDEX('SKU明细'!$D$11:$D$1309,MATCH("32582-LPB-37",'SKU明细'!$A$11:$A$1309,0)))&amp;" + 待核",SUM(INDEX('SKU明细'!$D$11:$D$1309,MATCH("32582-LPB-37",'SKU明细'!$A$11:$A$1309,0)))))</x:f>
        <x:v>0</x:v>
      </x:c>
      <x:c r="I104" s="38" t="n">
        <x:f>IF(COUNT(INDEX('SKU明细'!$D$11:$D$1309,MATCH("32582-LPB-37.5",'SKU明细'!$A$11:$A$1309,0)))=0,"待核",IF(COUNT(INDEX('SKU明细'!$D$11:$D$1309,MATCH("32582-LPB-37.5",'SKU明细'!$A$11:$A$1309,0)))&lt;1,SUM(INDEX('SKU明细'!$D$11:$D$1309,MATCH("32582-LPB-37.5",'SKU明细'!$A$11:$A$1309,0)))&amp;" + 待核",SUM(INDEX('SKU明细'!$D$11:$D$1309,MATCH("32582-LPB-37.5",'SKU明细'!$A$11:$A$1309,0)))))</x:f>
        <x:v>3</x:v>
      </x:c>
      <x:c r="J104" s="38" t="n">
        <x:f>IF(COUNT(INDEX('SKU明细'!$D$11:$D$1309,MATCH("32582-LPB-38",'SKU明细'!$A$11:$A$1309,0)))=0,"待核",IF(COUNT(INDEX('SKU明细'!$D$11:$D$1309,MATCH("32582-LPB-38",'SKU明细'!$A$11:$A$1309,0)))&lt;1,SUM(INDEX('SKU明细'!$D$11:$D$1309,MATCH("32582-LPB-38",'SKU明细'!$A$11:$A$1309,0)))&amp;" + 待核",SUM(INDEX('SKU明细'!$D$11:$D$1309,MATCH("32582-LPB-38",'SKU明细'!$A$11:$A$1309,0)))))</x:f>
        <x:v>29</x:v>
      </x:c>
      <x:c r="K104" s="38" t="n">
        <x:f>IF(COUNT(INDEX('SKU明细'!$D$11:$D$1309,MATCH("32582-LPB-38.5",'SKU明细'!$A$11:$A$1309,0)))=0,"待核",IF(COUNT(INDEX('SKU明细'!$D$11:$D$1309,MATCH("32582-LPB-38.5",'SKU明细'!$A$11:$A$1309,0)))&lt;1,SUM(INDEX('SKU明细'!$D$11:$D$1309,MATCH("32582-LPB-38.5",'SKU明细'!$A$11:$A$1309,0)))&amp;" + 待核",SUM(INDEX('SKU明细'!$D$11:$D$1309,MATCH("32582-LPB-38.5",'SKU明细'!$A$11:$A$1309,0)))))</x:f>
        <x:v>0</x:v>
      </x:c>
      <x:c r="L104" s="38" t="n">
        <x:f>IF(COUNT(INDEX('SKU明细'!$D$11:$D$1309,MATCH("32582-LPB-39",'SKU明细'!$A$11:$A$1309,0)))=0,"待核",IF(COUNT(INDEX('SKU明细'!$D$11:$D$1309,MATCH("32582-LPB-39",'SKU明细'!$A$11:$A$1309,0)))&lt;1,SUM(INDEX('SKU明细'!$D$11:$D$1309,MATCH("32582-LPB-39",'SKU明细'!$A$11:$A$1309,0)))&amp;" + 待核",SUM(INDEX('SKU明细'!$D$11:$D$1309,MATCH("32582-LPB-39",'SKU明细'!$A$11:$A$1309,0)))))</x:f>
        <x:v>0</x:v>
      </x:c>
      <x:c r="M104" s="38" t="n">
        <x:f>IF(COUNT(INDEX('SKU明细'!$D$11:$D$1309,MATCH("32582-LPB-39.5",'SKU明细'!$A$11:$A$1309,0)))=0,"待核",IF(COUNT(INDEX('SKU明细'!$D$11:$D$1309,MATCH("32582-LPB-39.5",'SKU明细'!$A$11:$A$1309,0)))&lt;1,SUM(INDEX('SKU明细'!$D$11:$D$1309,MATCH("32582-LPB-39.5",'SKU明细'!$A$11:$A$1309,0)))&amp;" + 待核",SUM(INDEX('SKU明细'!$D$11:$D$1309,MATCH("32582-LPB-39.5",'SKU明细'!$A$11:$A$1309,0)))))</x:f>
        <x:v>0</x:v>
      </x:c>
      <x:c r="N104" s="38" t="n">
        <x:f>IF(COUNT(INDEX('SKU明细'!$D$11:$D$1309,MATCH("32582-LPB-40",'SKU明细'!$A$11:$A$1309,0)))=0,"待核",IF(COUNT(INDEX('SKU明细'!$D$11:$D$1309,MATCH("32582-LPB-40",'SKU明细'!$A$11:$A$1309,0)))&lt;1,SUM(INDEX('SKU明细'!$D$11:$D$1309,MATCH("32582-LPB-40",'SKU明细'!$A$11:$A$1309,0)))&amp;" + 待核",SUM(INDEX('SKU明细'!$D$11:$D$1309,MATCH("32582-LPB-40",'SKU明细'!$A$11:$A$1309,0)))))</x:f>
        <x:v>10</x:v>
      </x:c>
      <x:c r="O104" s="38" t="n">
        <x:f>IF(COUNT(INDEX('SKU明细'!$D$11:$D$1309,MATCH("32582-LPB-40.5",'SKU明细'!$A$11:$A$1309,0)))=0,"待核",IF(COUNT(INDEX('SKU明细'!$D$11:$D$1309,MATCH("32582-LPB-40.5",'SKU明细'!$A$11:$A$1309,0)))&lt;1,SUM(INDEX('SKU明细'!$D$11:$D$1309,MATCH("32582-LPB-40.5",'SKU明细'!$A$11:$A$1309,0)))&amp;" + 待核",SUM(INDEX('SKU明细'!$D$11:$D$1309,MATCH("32582-LPB-40.5",'SKU明细'!$A$11:$A$1309,0)))))</x:f>
        <x:v>0</x:v>
      </x:c>
      <x:c r="P104" s="38" t="n">
        <x:f>IF(COUNT(INDEX('SKU明细'!$D$11:$D$1309,MATCH("32582-LPB-41",'SKU明细'!$A$11:$A$1309,0)))=0,"待核",IF(COUNT(INDEX('SKU明细'!$D$11:$D$1309,MATCH("32582-LPB-41",'SKU明细'!$A$11:$A$1309,0)))&lt;1,SUM(INDEX('SKU明细'!$D$11:$D$1309,MATCH("32582-LPB-41",'SKU明细'!$A$11:$A$1309,0)))&amp;" + 待核",SUM(INDEX('SKU明细'!$D$11:$D$1309,MATCH("32582-LPB-41",'SKU明细'!$A$11:$A$1309,0)))))</x:f>
        <x:v>10</x:v>
      </x:c>
      <x:c r="Q104" s="38" t="n">
        <x:f>IF(COUNT(INDEX('SKU明细'!$D$11:$D$1309,MATCH("32582-LPB-41.5",'SKU明细'!$A$11:$A$1309,0)))=0,"待核",IF(COUNT(INDEX('SKU明细'!$D$11:$D$1309,MATCH("32582-LPB-41.5",'SKU明细'!$A$11:$A$1309,0)))&lt;1,SUM(INDEX('SKU明细'!$D$11:$D$1309,MATCH("32582-LPB-41.5",'SKU明细'!$A$11:$A$1309,0)))&amp;" + 待核",SUM(INDEX('SKU明细'!$D$11:$D$1309,MATCH("32582-LPB-41.5",'SKU明细'!$A$11:$A$1309,0)))))</x:f>
        <x:v>1</x:v>
      </x:c>
      <x:c r="R104" s="38" t="n">
        <x:f>IF(COUNT(INDEX('SKU明细'!$D$11:$D$1309,MATCH("32582-LPB-42",'SKU明细'!$A$11:$A$1309,0)))=0,"待核",IF(COUNT(INDEX('SKU明细'!$D$11:$D$1309,MATCH("32582-LPB-42",'SKU明细'!$A$11:$A$1309,0)))&lt;1,SUM(INDEX('SKU明细'!$D$11:$D$1309,MATCH("32582-LPB-42",'SKU明细'!$A$11:$A$1309,0)))&amp;" + 待核",SUM(INDEX('SKU明细'!$D$11:$D$1309,MATCH("32582-LPB-42",'SKU明细'!$A$11:$A$1309,0)))))</x:f>
        <x:v>0</x:v>
      </x:c>
      <x:c r="S104" s="38" t="n">
        <x:f>IF(COUNT(INDEX('SKU明细'!$D$11:$D$1309,MATCH("32582-LPB-37",'SKU明细'!$A$11:$A$1309,0)),INDEX('SKU明细'!$D$11:$D$1309,MATCH("32582-LPB-37.5",'SKU明细'!$A$11:$A$1309,0)),INDEX('SKU明细'!$D$11:$D$1309,MATCH("32582-LPB-38",'SKU明细'!$A$11:$A$1309,0)),INDEX('SKU明细'!$D$11:$D$1309,MATCH("32582-LPB-38.5",'SKU明细'!$A$11:$A$1309,0)),INDEX('SKU明细'!$D$11:$D$1309,MATCH("32582-LPB-39",'SKU明细'!$A$11:$A$1309,0)),INDEX('SKU明细'!$D$11:$D$1309,MATCH("32582-LPB-39.5",'SKU明细'!$A$11:$A$1309,0)),INDEX('SKU明细'!$D$11:$D$1309,MATCH("32582-LPB-40",'SKU明细'!$A$11:$A$1309,0)),INDEX('SKU明细'!$D$11:$D$1309,MATCH("32582-LPB-40.5",'SKU明细'!$A$11:$A$1309,0)),INDEX('SKU明细'!$D$11:$D$1309,MATCH("32582-LPB-41",'SKU明细'!$A$11:$A$1309,0)),INDEX('SKU明细'!$D$11:$D$1309,MATCH("32582-LPB-41.5",'SKU明细'!$A$11:$A$1309,0)),INDEX('SKU明细'!$D$11:$D$1309,MATCH("32582-LPB-42",'SKU明细'!$A$11:$A$1309,0)))=0,"待核",SUM(INDEX('SKU明细'!$D$11:$D$1309,MATCH("32582-LPB-37",'SKU明细'!$A$11:$A$1309,0)),INDEX('SKU明细'!$D$11:$D$1309,MATCH("32582-LPB-37.5",'SKU明细'!$A$11:$A$1309,0)),INDEX('SKU明细'!$D$11:$D$1309,MATCH("32582-LPB-38",'SKU明细'!$A$11:$A$1309,0)),INDEX('SKU明细'!$D$11:$D$1309,MATCH("32582-LPB-38.5",'SKU明细'!$A$11:$A$1309,0)),INDEX('SKU明细'!$D$11:$D$1309,MATCH("32582-LPB-39",'SKU明细'!$A$11:$A$1309,0)),INDEX('SKU明细'!$D$11:$D$1309,MATCH("32582-LPB-39.5",'SKU明细'!$A$11:$A$1309,0)),INDEX('SKU明细'!$D$11:$D$1309,MATCH("32582-LPB-40",'SKU明细'!$A$11:$A$1309,0)),INDEX('SKU明细'!$D$11:$D$1309,MATCH("32582-LPB-40.5",'SKU明细'!$A$11:$A$1309,0)),INDEX('SKU明细'!$D$11:$D$1309,MATCH("32582-LPB-41",'SKU明细'!$A$11:$A$1309,0)),INDEX('SKU明细'!$D$11:$D$1309,MATCH("32582-LPB-41.5",'SKU明细'!$A$11:$A$1309,0)),INDEX('SKU明细'!$D$11:$D$1309,MATCH("32582-LPB-42",'SKU明细'!$A$11:$A$1309,0))))</x:f>
        <x:v>53</x:v>
      </x:c>
      <x:c r="T104" s="38" t="n">
        <x:f>IF(COUNTIFS($A$9:$A$191,A104,$U$9:$U$191,"&lt;&gt;待核")=0,"待核",SUMIF($A$9:$A$191,A104,$S$9:$S$191))</x:f>
        <x:v>197</x:v>
      </x:c>
      <x:c r="U104" s="37" t="str">
        <x:f>IF(COUNT(INDEX('SKU明细'!$D$11:$D$1309,MATCH("32582-LPB-37",'SKU明细'!$A$11:$A$1309,0)),INDEX('SKU明细'!$D$11:$D$1309,MATCH("32582-LPB-37.5",'SKU明细'!$A$11:$A$1309,0)),INDEX('SKU明细'!$D$11:$D$1309,MATCH("32582-LPB-38",'SKU明细'!$A$11:$A$1309,0)),INDEX('SKU明细'!$D$11:$D$1309,MATCH("32582-LPB-38.5",'SKU明细'!$A$11:$A$1309,0)),INDEX('SKU明细'!$D$11:$D$1309,MATCH("32582-LPB-39",'SKU明细'!$A$11:$A$1309,0)),INDEX('SKU明细'!$D$11:$D$1309,MATCH("32582-LPB-39.5",'SKU明细'!$A$11:$A$1309,0)),INDEX('SKU明细'!$D$11:$D$1309,MATCH("32582-LPB-40",'SKU明细'!$A$11:$A$1309,0)),INDEX('SKU明细'!$D$11:$D$1309,MATCH("32582-LPB-40.5",'SKU明细'!$A$11:$A$1309,0)),INDEX('SKU明细'!$D$11:$D$1309,MATCH("32582-LPB-41",'SKU明细'!$A$11:$A$1309,0)),INDEX('SKU明细'!$D$11:$D$1309,MATCH("32582-LPB-41.5",'SKU明细'!$A$11:$A$1309,0)),INDEX('SKU明细'!$D$11:$D$1309,MATCH("32582-LPB-42",'SKU明细'!$A$11:$A$1309,0)))=0,"待核",IF(COUNT(INDEX('SKU明细'!$D$11:$D$1309,MATCH("32582-LPB-37",'SKU明细'!$A$11:$A$1309,0)),INDEX('SKU明细'!$D$11:$D$1309,MATCH("32582-LPB-37.5",'SKU明细'!$A$11:$A$1309,0)),INDEX('SKU明细'!$D$11:$D$1309,MATCH("32582-LPB-38",'SKU明细'!$A$11:$A$1309,0)),INDEX('SKU明细'!$D$11:$D$1309,MATCH("32582-LPB-38.5",'SKU明细'!$A$11:$A$1309,0)),INDEX('SKU明细'!$D$11:$D$1309,MATCH("32582-LPB-39",'SKU明细'!$A$11:$A$1309,0)),INDEX('SKU明细'!$D$11:$D$1309,MATCH("32582-LPB-39.5",'SKU明细'!$A$11:$A$1309,0)),INDEX('SKU明细'!$D$11:$D$1309,MATCH("32582-LPB-40",'SKU明细'!$A$11:$A$1309,0)),INDEX('SKU明细'!$D$11:$D$1309,MATCH("32582-LPB-40.5",'SKU明细'!$A$11:$A$1309,0)),INDEX('SKU明细'!$D$11:$D$1309,MATCH("32582-LPB-41",'SKU明细'!$A$11:$A$1309,0)),INDEX('SKU明细'!$D$11:$D$1309,MATCH("32582-LPB-41.5",'SKU明细'!$A$11:$A$1309,0)),INDEX('SKU明细'!$D$11:$D$1309,MATCH("32582-LPB-42",'SKU明细'!$A$11:$A$1309,0)))&lt;11,"另有待核","已核"))</x:f>
        <x:v>已核</x:v>
      </x:c>
      <x:c r="V104" s="37" t="str">
        <x:v>停售、在售</x:v>
      </x:c>
      <x:c r="W104" s="11" t="n">
        <x:f>IF(COUNT(INDEX('SKU明细'!$BV$11:$BV$1309,MATCH("32582-LPB-37",'SKU明细'!$A$11:$A$1309,0)),INDEX('SKU明细'!$BV$11:$BV$1309,MATCH("32582-LPB-37.5",'SKU明细'!$A$11:$A$1309,0)),INDEX('SKU明细'!$BV$11:$BV$1309,MATCH("32582-LPB-38",'SKU明细'!$A$11:$A$1309,0)),INDEX('SKU明细'!$BV$11:$BV$1309,MATCH("32582-LPB-38.5",'SKU明细'!$A$11:$A$1309,0)),INDEX('SKU明细'!$BV$11:$BV$1309,MATCH("32582-LPB-39",'SKU明细'!$A$11:$A$1309,0)),INDEX('SKU明细'!$BV$11:$BV$1309,MATCH("32582-LPB-39.5",'SKU明细'!$A$11:$A$1309,0)),INDEX('SKU明细'!$BV$11:$BV$1309,MATCH("32582-LPB-40",'SKU明细'!$A$11:$A$1309,0)),INDEX('SKU明细'!$BV$11:$BV$1309,MATCH("32582-LPB-40.5",'SKU明细'!$A$11:$A$1309,0)),INDEX('SKU明细'!$BV$11:$BV$1309,MATCH("32582-LPB-41",'SKU明细'!$A$11:$A$1309,0)),INDEX('SKU明细'!$BV$11:$BV$1309,MATCH("32582-LPB-41.5",'SKU明细'!$A$11:$A$1309,0)),INDEX('SKU明细'!$BV$11:$BV$1309,MATCH("32582-LPB-42",'SKU明细'!$A$11:$A$1309,0)))=11,SUM(INDEX('SKU明细'!$BV$11:$BV$1309,MATCH("32582-LPB-37",'SKU明细'!$A$11:$A$1309,0)),INDEX('SKU明细'!$BV$11:$BV$1309,MATCH("32582-LPB-37.5",'SKU明细'!$A$11:$A$1309,0)),INDEX('SKU明细'!$BV$11:$BV$1309,MATCH("32582-LPB-38",'SKU明细'!$A$11:$A$1309,0)),INDEX('SKU明细'!$BV$11:$BV$1309,MATCH("32582-LPB-38.5",'SKU明细'!$A$11:$A$1309,0)),INDEX('SKU明细'!$BV$11:$BV$1309,MATCH("32582-LPB-39",'SKU明细'!$A$11:$A$1309,0)),INDEX('SKU明细'!$BV$11:$BV$1309,MATCH("32582-LPB-39.5",'SKU明细'!$A$11:$A$1309,0)),INDEX('SKU明细'!$BV$11:$BV$1309,MATCH("32582-LPB-40",'SKU明细'!$A$11:$A$1309,0)),INDEX('SKU明细'!$BV$11:$BV$1309,MATCH("32582-LPB-40.5",'SKU明细'!$A$11:$A$1309,0)),INDEX('SKU明细'!$BV$11:$BV$1309,MATCH("32582-LPB-41",'SKU明细'!$A$11:$A$1309,0)),INDEX('SKU明细'!$BV$11:$BV$1309,MATCH("32582-LPB-41.5",'SKU明细'!$A$11:$A$1309,0)),INDEX('SKU明细'!$BV$11:$BV$1309,MATCH("32582-LPB-42",'SKU明细'!$A$11:$A$1309,0))),"待核")</x:f>
        <x:v>1.9131647321216232</x:v>
      </x:c>
      <x:c r="X104" s="11" t="n">
        <x:f>INDEX('SKU明细'!$BW$11:$BW$1309,MATCH("32582-LPB-37",'SKU明细'!$A$11:$A$1309,0))</x:f>
        <x:v>1.0395067087630607</x:v>
      </x:c>
      <x:c r="Y104" s="13" t="n">
        <x:f>IF(COUNT(INDEX('SKU明细'!$BY$11:$BY$1309,MATCH("32582-LPB-37",'SKU明细'!$A$11:$A$1309,0)),INDEX('SKU明细'!$BY$11:$BY$1309,MATCH("32582-LPB-37.5",'SKU明细'!$A$11:$A$1309,0)),INDEX('SKU明细'!$BY$11:$BY$1309,MATCH("32582-LPB-38",'SKU明细'!$A$11:$A$1309,0)),INDEX('SKU明细'!$BY$11:$BY$1309,MATCH("32582-LPB-38.5",'SKU明细'!$A$11:$A$1309,0)),INDEX('SKU明细'!$BY$11:$BY$1309,MATCH("32582-LPB-39",'SKU明细'!$A$11:$A$1309,0)),INDEX('SKU明细'!$BY$11:$BY$1309,MATCH("32582-LPB-39.5",'SKU明细'!$A$11:$A$1309,0)),INDEX('SKU明细'!$BY$11:$BY$1309,MATCH("32582-LPB-40",'SKU明细'!$A$11:$A$1309,0)),INDEX('SKU明细'!$BY$11:$BY$1309,MATCH("32582-LPB-40.5",'SKU明细'!$A$11:$A$1309,0)),INDEX('SKU明细'!$BY$11:$BY$1309,MATCH("32582-LPB-41",'SKU明细'!$A$11:$A$1309,0)),INDEX('SKU明细'!$BY$11:$BY$1309,MATCH("32582-LPB-41.5",'SKU明细'!$A$11:$A$1309,0)),INDEX('SKU明细'!$BY$11:$BY$1309,MATCH("32582-LPB-42",'SKU明细'!$A$11:$A$1309,0)))=11,SUM(INDEX('SKU明细'!$BY$11:$BY$1309,MATCH("32582-LPB-37",'SKU明细'!$A$11:$A$1309,0)),INDEX('SKU明细'!$BY$11:$BY$1309,MATCH("32582-LPB-37.5",'SKU明细'!$A$11:$A$1309,0)),INDEX('SKU明细'!$BY$11:$BY$1309,MATCH("32582-LPB-38",'SKU明细'!$A$11:$A$1309,0)),INDEX('SKU明细'!$BY$11:$BY$1309,MATCH("32582-LPB-38.5",'SKU明细'!$A$11:$A$1309,0)),INDEX('SKU明细'!$BY$11:$BY$1309,MATCH("32582-LPB-39",'SKU明细'!$A$11:$A$1309,0)),INDEX('SKU明细'!$BY$11:$BY$1309,MATCH("32582-LPB-39.5",'SKU明细'!$A$11:$A$1309,0)),INDEX('SKU明细'!$BY$11:$BY$1309,MATCH("32582-LPB-40",'SKU明细'!$A$11:$A$1309,0)),INDEX('SKU明细'!$BY$11:$BY$1309,MATCH("32582-LPB-40.5",'SKU明细'!$A$11:$A$1309,0)),INDEX('SKU明细'!$BY$11:$BY$1309,MATCH("32582-LPB-41",'SKU明细'!$A$11:$A$1309,0)),INDEX('SKU明细'!$BY$11:$BY$1309,MATCH("32582-LPB-41.5",'SKU明细'!$A$11:$A$1309,0)),INDEX('SKU明细'!$BY$11:$BY$1309,MATCH("32582-LPB-42",'SKU明细'!$A$11:$A$1309,0))),"待核")</x:f>
        <x:v>23.864970888111735</x:v>
      </x:c>
      <x:c r="Z104" s="11" t="n">
        <x:f>INDEX('SKU明细'!$BZ$11:$BZ$1309,MATCH("32582-LPB-37",'SKU明细'!$A$11:$A$1309,0))</x:f>
        <x:v>0.9890368360033146</x:v>
      </x:c>
      <x:c r="AA104" s="13" t="n">
        <x:f>IF(COUNT(INDEX('SKU明细'!$CB$11:$CB$1309,MATCH("32582-LPB-37",'SKU明细'!$A$11:$A$1309,0)),INDEX('SKU明细'!$CB$11:$CB$1309,MATCH("32582-LPB-37.5",'SKU明细'!$A$11:$A$1309,0)),INDEX('SKU明细'!$CB$11:$CB$1309,MATCH("32582-LPB-38",'SKU明细'!$A$11:$A$1309,0)),INDEX('SKU明细'!$CB$11:$CB$1309,MATCH("32582-LPB-38.5",'SKU明细'!$A$11:$A$1309,0)),INDEX('SKU明细'!$CB$11:$CB$1309,MATCH("32582-LPB-39",'SKU明细'!$A$11:$A$1309,0)),INDEX('SKU明细'!$CB$11:$CB$1309,MATCH("32582-LPB-39.5",'SKU明细'!$A$11:$A$1309,0)),INDEX('SKU明细'!$CB$11:$CB$1309,MATCH("32582-LPB-40",'SKU明细'!$A$11:$A$1309,0)),INDEX('SKU明细'!$CB$11:$CB$1309,MATCH("32582-LPB-40.5",'SKU明细'!$A$11:$A$1309,0)),INDEX('SKU明细'!$CB$11:$CB$1309,MATCH("32582-LPB-41",'SKU明细'!$A$11:$A$1309,0)),INDEX('SKU明细'!$CB$11:$CB$1309,MATCH("32582-LPB-41.5",'SKU明细'!$A$11:$A$1309,0)),INDEX('SKU明细'!$CB$11:$CB$1309,MATCH("32582-LPB-42",'SKU明细'!$A$11:$A$1309,0)))=11,SUM(INDEX('SKU明细'!$CB$11:$CB$1309,MATCH("32582-LPB-37",'SKU明细'!$A$11:$A$1309,0)),INDEX('SKU明细'!$CB$11:$CB$1309,MATCH("32582-LPB-37.5",'SKU明细'!$A$11:$A$1309,0)),INDEX('SKU明细'!$CB$11:$CB$1309,MATCH("32582-LPB-38",'SKU明细'!$A$11:$A$1309,0)),INDEX('SKU明细'!$CB$11:$CB$1309,MATCH("32582-LPB-38.5",'SKU明细'!$A$11:$A$1309,0)),INDEX('SKU明细'!$CB$11:$CB$1309,MATCH("32582-LPB-39",'SKU明细'!$A$11:$A$1309,0)),INDEX('SKU明细'!$CB$11:$CB$1309,MATCH("32582-LPB-39.5",'SKU明细'!$A$11:$A$1309,0)),INDEX('SKU明细'!$CB$11:$CB$1309,MATCH("32582-LPB-40",'SKU明细'!$A$11:$A$1309,0)),INDEX('SKU明细'!$CB$11:$CB$1309,MATCH("32582-LPB-40.5",'SKU明细'!$A$11:$A$1309,0)),INDEX('SKU明细'!$CB$11:$CB$1309,MATCH("32582-LPB-41",'SKU明细'!$A$11:$A$1309,0)),INDEX('SKU明细'!$CB$11:$CB$1309,MATCH("32582-LPB-41.5",'SKU明细'!$A$11:$A$1309,0)),INDEX('SKU明细'!$CB$11:$CB$1309,MATCH("32582-LPB-42",'SKU明细'!$A$11:$A$1309,0))),"待核")</x:f>
        <x:v>56.76571180232098</x:v>
      </x:c>
      <x:c r="AB104" s="11" t="n">
        <x:f>INDEX('SKU明细'!$CC$11:$CC$1309,MATCH("32582-LPB-37",'SKU明细'!$A$11:$A$1309,0))</x:f>
        <x:v>0.7800796503018808</x:v>
      </x:c>
      <x:c r="AC104" s="13" t="n">
        <x:f>IF(COUNT(INDEX('SKU明细'!$CE$11:$CE$1309,MATCH("32582-LPB-37",'SKU明细'!$A$11:$A$1309,0)),INDEX('SKU明细'!$CE$11:$CE$1309,MATCH("32582-LPB-37.5",'SKU明细'!$A$11:$A$1309,0)),INDEX('SKU明细'!$CE$11:$CE$1309,MATCH("32582-LPB-38",'SKU明细'!$A$11:$A$1309,0)),INDEX('SKU明细'!$CE$11:$CE$1309,MATCH("32582-LPB-38.5",'SKU明细'!$A$11:$A$1309,0)),INDEX('SKU明细'!$CE$11:$CE$1309,MATCH("32582-LPB-39",'SKU明细'!$A$11:$A$1309,0)),INDEX('SKU明细'!$CE$11:$CE$1309,MATCH("32582-LPB-39.5",'SKU明细'!$A$11:$A$1309,0)),INDEX('SKU明细'!$CE$11:$CE$1309,MATCH("32582-LPB-40",'SKU明细'!$A$11:$A$1309,0)),INDEX('SKU明细'!$CE$11:$CE$1309,MATCH("32582-LPB-40.5",'SKU明细'!$A$11:$A$1309,0)),INDEX('SKU明细'!$CE$11:$CE$1309,MATCH("32582-LPB-41",'SKU明细'!$A$11:$A$1309,0)),INDEX('SKU明细'!$CE$11:$CE$1309,MATCH("32582-LPB-41.5",'SKU明细'!$A$11:$A$1309,0)),INDEX('SKU明细'!$CE$11:$CE$1309,MATCH("32582-LPB-42",'SKU明细'!$A$11:$A$1309,0)))=11,SUM(INDEX('SKU明细'!$CE$11:$CE$1309,MATCH("32582-LPB-37",'SKU明细'!$A$11:$A$1309,0)),INDEX('SKU明细'!$CE$11:$CE$1309,MATCH("32582-LPB-37.5",'SKU明细'!$A$11:$A$1309,0)),INDEX('SKU明细'!$CE$11:$CE$1309,MATCH("32582-LPB-38",'SKU明细'!$A$11:$A$1309,0)),INDEX('SKU明细'!$CE$11:$CE$1309,MATCH("32582-LPB-38.5",'SKU明细'!$A$11:$A$1309,0)),INDEX('SKU明细'!$CE$11:$CE$1309,MATCH("32582-LPB-39",'SKU明细'!$A$11:$A$1309,0)),INDEX('SKU明细'!$CE$11:$CE$1309,MATCH("32582-LPB-39.5",'SKU明细'!$A$11:$A$1309,0)),INDEX('SKU明细'!$CE$11:$CE$1309,MATCH("32582-LPB-40",'SKU明细'!$A$11:$A$1309,0)),INDEX('SKU明细'!$CE$11:$CE$1309,MATCH("32582-LPB-40.5",'SKU明细'!$A$11:$A$1309,0)),INDEX('SKU明细'!$CE$11:$CE$1309,MATCH("32582-LPB-41",'SKU明细'!$A$11:$A$1309,0)),INDEX('SKU明细'!$CE$11:$CE$1309,MATCH("32582-LPB-41.5",'SKU明细'!$A$11:$A$1309,0)),INDEX('SKU明细'!$CE$11:$CE$1309,MATCH("32582-LPB-42",'SKU明细'!$A$11:$A$1309,0))),"待核")</x:f>
        <x:v>46.26504713130315</x:v>
      </x:c>
      <x:c r="AD104" s="11" t="n">
        <x:f>INDEX('SKU明细'!$CF$11:$CF$1309,MATCH("32582-LPB-37",'SKU明细'!$A$11:$A$1309,0))</x:f>
        <x:v>1.2908918272824135</x:v>
      </x:c>
      <x:c r="AE104" s="13" t="n">
        <x:f>IF(COUNT(INDEX('SKU明细'!$CH$11:$CH$1309,MATCH("32582-LPB-37",'SKU明细'!$A$11:$A$1309,0)),INDEX('SKU明细'!$CH$11:$CH$1309,MATCH("32582-LPB-37.5",'SKU明细'!$A$11:$A$1309,0)),INDEX('SKU明细'!$CH$11:$CH$1309,MATCH("32582-LPB-38",'SKU明细'!$A$11:$A$1309,0)),INDEX('SKU明细'!$CH$11:$CH$1309,MATCH("32582-LPB-38.5",'SKU明细'!$A$11:$A$1309,0)),INDEX('SKU明细'!$CH$11:$CH$1309,MATCH("32582-LPB-39",'SKU明细'!$A$11:$A$1309,0)),INDEX('SKU明细'!$CH$11:$CH$1309,MATCH("32582-LPB-39.5",'SKU明细'!$A$11:$A$1309,0)),INDEX('SKU明细'!$CH$11:$CH$1309,MATCH("32582-LPB-40",'SKU明细'!$A$11:$A$1309,0)),INDEX('SKU明细'!$CH$11:$CH$1309,MATCH("32582-LPB-40.5",'SKU明细'!$A$11:$A$1309,0)),INDEX('SKU明细'!$CH$11:$CH$1309,MATCH("32582-LPB-41",'SKU明细'!$A$11:$A$1309,0)),INDEX('SKU明细'!$CH$11:$CH$1309,MATCH("32582-LPB-41.5",'SKU明细'!$A$11:$A$1309,0)),INDEX('SKU明细'!$CH$11:$CH$1309,MATCH("32582-LPB-42",'SKU明细'!$A$11:$A$1309,0)))=11,SUM(INDEX('SKU明细'!$CH$11:$CH$1309,MATCH("32582-LPB-37",'SKU明细'!$A$11:$A$1309,0)),INDEX('SKU明细'!$CH$11:$CH$1309,MATCH("32582-LPB-37.5",'SKU明细'!$A$11:$A$1309,0)),INDEX('SKU明细'!$CH$11:$CH$1309,MATCH("32582-LPB-38",'SKU明细'!$A$11:$A$1309,0)),INDEX('SKU明细'!$CH$11:$CH$1309,MATCH("32582-LPB-38.5",'SKU明细'!$A$11:$A$1309,0)),INDEX('SKU明细'!$CH$11:$CH$1309,MATCH("32582-LPB-39",'SKU明细'!$A$11:$A$1309,0)),INDEX('SKU明细'!$CH$11:$CH$1309,MATCH("32582-LPB-39.5",'SKU明细'!$A$11:$A$1309,0)),INDEX('SKU明细'!$CH$11:$CH$1309,MATCH("32582-LPB-40",'SKU明细'!$A$11:$A$1309,0)),INDEX('SKU明细'!$CH$11:$CH$1309,MATCH("32582-LPB-40.5",'SKU明细'!$A$11:$A$1309,0)),INDEX('SKU明细'!$CH$11:$CH$1309,MATCH("32582-LPB-41",'SKU明细'!$A$11:$A$1309,0)),INDEX('SKU明细'!$CH$11:$CH$1309,MATCH("32582-LPB-41.5",'SKU明细'!$A$11:$A$1309,0)),INDEX('SKU明细'!$CH$11:$CH$1309,MATCH("32582-LPB-42",'SKU明细'!$A$11:$A$1309,0))),"待核")</x:f>
        <x:v>41.98470818799278</x:v>
      </x:c>
      <x:c r="AF104" s="13" t="n">
        <x:f>IF(COUNT(INDEX('SKU明细'!$CI$11:$CI$1309,MATCH("32582-LPB-37",'SKU明细'!$A$11:$A$1309,0)),INDEX('SKU明细'!$CI$11:$CI$1309,MATCH("32582-LPB-37.5",'SKU明细'!$A$11:$A$1309,0)),INDEX('SKU明细'!$CI$11:$CI$1309,MATCH("32582-LPB-38",'SKU明细'!$A$11:$A$1309,0)),INDEX('SKU明细'!$CI$11:$CI$1309,MATCH("32582-LPB-38.5",'SKU明细'!$A$11:$A$1309,0)),INDEX('SKU明细'!$CI$11:$CI$1309,MATCH("32582-LPB-39",'SKU明细'!$A$11:$A$1309,0)),INDEX('SKU明细'!$CI$11:$CI$1309,MATCH("32582-LPB-39.5",'SKU明细'!$A$11:$A$1309,0)),INDEX('SKU明细'!$CI$11:$CI$1309,MATCH("32582-LPB-40",'SKU明细'!$A$11:$A$1309,0)),INDEX('SKU明细'!$CI$11:$CI$1309,MATCH("32582-LPB-40.5",'SKU明细'!$A$11:$A$1309,0)),INDEX('SKU明细'!$CI$11:$CI$1309,MATCH("32582-LPB-41",'SKU明细'!$A$11:$A$1309,0)),INDEX('SKU明细'!$CI$11:$CI$1309,MATCH("32582-LPB-41.5",'SKU明细'!$A$11:$A$1309,0)),INDEX('SKU明细'!$CI$11:$CI$1309,MATCH("32582-LPB-42",'SKU明细'!$A$11:$A$1309,0)))=11,SUM(INDEX('SKU明细'!$CI$11:$CI$1309,MATCH("32582-LPB-37",'SKU明细'!$A$11:$A$1309,0)),INDEX('SKU明细'!$CI$11:$CI$1309,MATCH("32582-LPB-37.5",'SKU明细'!$A$11:$A$1309,0)),INDEX('SKU明细'!$CI$11:$CI$1309,MATCH("32582-LPB-38",'SKU明细'!$A$11:$A$1309,0)),INDEX('SKU明细'!$CI$11:$CI$1309,MATCH("32582-LPB-38.5",'SKU明细'!$A$11:$A$1309,0)),INDEX('SKU明细'!$CI$11:$CI$1309,MATCH("32582-LPB-39",'SKU明细'!$A$11:$A$1309,0)),INDEX('SKU明细'!$CI$11:$CI$1309,MATCH("32582-LPB-39.5",'SKU明细'!$A$11:$A$1309,0)),INDEX('SKU明细'!$CI$11:$CI$1309,MATCH("32582-LPB-40",'SKU明细'!$A$11:$A$1309,0)),INDEX('SKU明细'!$CI$11:$CI$1309,MATCH("32582-LPB-40.5",'SKU明细'!$A$11:$A$1309,0)),INDEX('SKU明细'!$CI$11:$CI$1309,MATCH("32582-LPB-41",'SKU明细'!$A$11:$A$1309,0)),INDEX('SKU明细'!$CI$11:$CI$1309,MATCH("32582-LPB-41.5",'SKU明细'!$A$11:$A$1309,0)),INDEX('SKU明细'!$CI$11:$CI$1309,MATCH("32582-LPB-42",'SKU明细'!$A$11:$A$1309,0))),"待核")</x:f>
        <x:v>168.88043800972864</x:v>
      </x:c>
    </x:row>
    <x:row r="105" ht="40" customHeight="1">
      <x:c r="A105" s="37" t="str">
        <x:v>32582</x:v>
      </x:c>
      <x:c r="B105" s="37" t="str">
        <x:v>徐新怡</x:v>
      </x:c>
      <x:c r="C105" s="37" t="str">
        <x:v>黄色</x:v>
      </x:c>
      <x:c r="D105" s="37" t="str">
        <x:v>MT</x:v>
      </x:c>
      <x:c r="E105" s="37" t="str">
        <x:v>32582-MT</x:v>
      </x:c>
      <x:c r="F105" s="37"/>
      <x:c r="G105" s="38" t="str">
        <x:f>"—"</x:f>
        <x:v>—</x:v>
      </x:c>
      <x:c r="H105" s="38" t="n">
        <x:f>IF(COUNT(INDEX('SKU明细'!$D$11:$D$1309,MATCH("32582-MT-37",'SKU明细'!$A$11:$A$1309,0)))=0,"待核",IF(COUNT(INDEX('SKU明细'!$D$11:$D$1309,MATCH("32582-MT-37",'SKU明细'!$A$11:$A$1309,0)))&lt;1,SUM(INDEX('SKU明细'!$D$11:$D$1309,MATCH("32582-MT-37",'SKU明细'!$A$11:$A$1309,0)))&amp;" + 待核",SUM(INDEX('SKU明细'!$D$11:$D$1309,MATCH("32582-MT-37",'SKU明细'!$A$11:$A$1309,0)))))</x:f>
        <x:v>0</x:v>
      </x:c>
      <x:c r="I105" s="38" t="n">
        <x:f>IF(COUNT(INDEX('SKU明细'!$D$11:$D$1309,MATCH("32582-MT-37.5",'SKU明细'!$A$11:$A$1309,0)))=0,"待核",IF(COUNT(INDEX('SKU明细'!$D$11:$D$1309,MATCH("32582-MT-37.5",'SKU明细'!$A$11:$A$1309,0)))&lt;1,SUM(INDEX('SKU明细'!$D$11:$D$1309,MATCH("32582-MT-37.5",'SKU明细'!$A$11:$A$1309,0)))&amp;" + 待核",SUM(INDEX('SKU明细'!$D$11:$D$1309,MATCH("32582-MT-37.5",'SKU明细'!$A$11:$A$1309,0)))))</x:f>
        <x:v>0</x:v>
      </x:c>
      <x:c r="J105" s="38" t="n">
        <x:f>IF(COUNT(INDEX('SKU明细'!$D$11:$D$1309,MATCH("32582-MT-38",'SKU明细'!$A$11:$A$1309,0)))=0,"待核",IF(COUNT(INDEX('SKU明细'!$D$11:$D$1309,MATCH("32582-MT-38",'SKU明细'!$A$11:$A$1309,0)))&lt;1,SUM(INDEX('SKU明细'!$D$11:$D$1309,MATCH("32582-MT-38",'SKU明细'!$A$11:$A$1309,0)))&amp;" + 待核",SUM(INDEX('SKU明细'!$D$11:$D$1309,MATCH("32582-MT-38",'SKU明细'!$A$11:$A$1309,0)))))</x:f>
        <x:v>0</x:v>
      </x:c>
      <x:c r="K105" s="38" t="n">
        <x:f>IF(COUNT(INDEX('SKU明细'!$D$11:$D$1309,MATCH("32582-MT-38.5",'SKU明细'!$A$11:$A$1309,0)))=0,"待核",IF(COUNT(INDEX('SKU明细'!$D$11:$D$1309,MATCH("32582-MT-38.5",'SKU明细'!$A$11:$A$1309,0)))&lt;1,SUM(INDEX('SKU明细'!$D$11:$D$1309,MATCH("32582-MT-38.5",'SKU明细'!$A$11:$A$1309,0)))&amp;" + 待核",SUM(INDEX('SKU明细'!$D$11:$D$1309,MATCH("32582-MT-38.5",'SKU明细'!$A$11:$A$1309,0)))))</x:f>
        <x:v>0</x:v>
      </x:c>
      <x:c r="L105" s="38" t="n">
        <x:f>IF(COUNT(INDEX('SKU明细'!$D$11:$D$1309,MATCH("32582-MT-39",'SKU明细'!$A$11:$A$1309,0)))=0,"待核",IF(COUNT(INDEX('SKU明细'!$D$11:$D$1309,MATCH("32582-MT-39",'SKU明细'!$A$11:$A$1309,0)))&lt;1,SUM(INDEX('SKU明细'!$D$11:$D$1309,MATCH("32582-MT-39",'SKU明细'!$A$11:$A$1309,0)))&amp;" + 待核",SUM(INDEX('SKU明细'!$D$11:$D$1309,MATCH("32582-MT-39",'SKU明细'!$A$11:$A$1309,0)))))</x:f>
        <x:v>3</x:v>
      </x:c>
      <x:c r="M105" s="38" t="n">
        <x:f>IF(COUNT(INDEX('SKU明细'!$D$11:$D$1309,MATCH("32582-MT-39.5",'SKU明细'!$A$11:$A$1309,0)))=0,"待核",IF(COUNT(INDEX('SKU明细'!$D$11:$D$1309,MATCH("32582-MT-39.5",'SKU明细'!$A$11:$A$1309,0)))&lt;1,SUM(INDEX('SKU明细'!$D$11:$D$1309,MATCH("32582-MT-39.5",'SKU明细'!$A$11:$A$1309,0)))&amp;" + 待核",SUM(INDEX('SKU明细'!$D$11:$D$1309,MATCH("32582-MT-39.5",'SKU明细'!$A$11:$A$1309,0)))))</x:f>
        <x:v>0</x:v>
      </x:c>
      <x:c r="N105" s="38" t="n">
        <x:f>IF(COUNT(INDEX('SKU明细'!$D$11:$D$1309,MATCH("32582-MT-40",'SKU明细'!$A$11:$A$1309,0)))=0,"待核",IF(COUNT(INDEX('SKU明细'!$D$11:$D$1309,MATCH("32582-MT-40",'SKU明细'!$A$11:$A$1309,0)))&lt;1,SUM(INDEX('SKU明细'!$D$11:$D$1309,MATCH("32582-MT-40",'SKU明细'!$A$11:$A$1309,0)))&amp;" + 待核",SUM(INDEX('SKU明细'!$D$11:$D$1309,MATCH("32582-MT-40",'SKU明细'!$A$11:$A$1309,0)))))</x:f>
        <x:v>1</x:v>
      </x:c>
      <x:c r="O105" s="38" t="n">
        <x:f>IF(COUNT(INDEX('SKU明细'!$D$11:$D$1309,MATCH("32582-MT-40.5",'SKU明细'!$A$11:$A$1309,0)))=0,"待核",IF(COUNT(INDEX('SKU明细'!$D$11:$D$1309,MATCH("32582-MT-40.5",'SKU明细'!$A$11:$A$1309,0)))&lt;1,SUM(INDEX('SKU明细'!$D$11:$D$1309,MATCH("32582-MT-40.5",'SKU明细'!$A$11:$A$1309,0)))&amp;" + 待核",SUM(INDEX('SKU明细'!$D$11:$D$1309,MATCH("32582-MT-40.5",'SKU明细'!$A$11:$A$1309,0)))))</x:f>
        <x:v>0</x:v>
      </x:c>
      <x:c r="P105" s="38" t="n">
        <x:f>IF(COUNT(INDEX('SKU明细'!$D$11:$D$1309,MATCH("32582-MT-41",'SKU明细'!$A$11:$A$1309,0)))=0,"待核",IF(COUNT(INDEX('SKU明细'!$D$11:$D$1309,MATCH("32582-MT-41",'SKU明细'!$A$11:$A$1309,0)))&lt;1,SUM(INDEX('SKU明细'!$D$11:$D$1309,MATCH("32582-MT-41",'SKU明细'!$A$11:$A$1309,0)))&amp;" + 待核",SUM(INDEX('SKU明细'!$D$11:$D$1309,MATCH("32582-MT-41",'SKU明细'!$A$11:$A$1309,0)))))</x:f>
        <x:v>0</x:v>
      </x:c>
      <x:c r="Q105" s="38" t="n">
        <x:f>IF(COUNT(INDEX('SKU明细'!$D$11:$D$1309,MATCH("32582-MT-41.5",'SKU明细'!$A$11:$A$1309,0)))=0,"待核",IF(COUNT(INDEX('SKU明细'!$D$11:$D$1309,MATCH("32582-MT-41.5",'SKU明细'!$A$11:$A$1309,0)))&lt;1,SUM(INDEX('SKU明细'!$D$11:$D$1309,MATCH("32582-MT-41.5",'SKU明细'!$A$11:$A$1309,0)))&amp;" + 待核",SUM(INDEX('SKU明细'!$D$11:$D$1309,MATCH("32582-MT-41.5",'SKU明细'!$A$11:$A$1309,0)))))</x:f>
        <x:v>0</x:v>
      </x:c>
      <x:c r="R105" s="38" t="n">
        <x:f>IF(COUNT(INDEX('SKU明细'!$D$11:$D$1309,MATCH("32582-MT-42",'SKU明细'!$A$11:$A$1309,0)))=0,"待核",IF(COUNT(INDEX('SKU明细'!$D$11:$D$1309,MATCH("32582-MT-42",'SKU明细'!$A$11:$A$1309,0)))&lt;1,SUM(INDEX('SKU明细'!$D$11:$D$1309,MATCH("32582-MT-42",'SKU明细'!$A$11:$A$1309,0)))&amp;" + 待核",SUM(INDEX('SKU明细'!$D$11:$D$1309,MATCH("32582-MT-42",'SKU明细'!$A$11:$A$1309,0)))))</x:f>
        <x:v>0</x:v>
      </x:c>
      <x:c r="S105" s="38" t="n">
        <x:f>IF(COUNT(INDEX('SKU明细'!$D$11:$D$1309,MATCH("32582-MT-37",'SKU明细'!$A$11:$A$1309,0)),INDEX('SKU明细'!$D$11:$D$1309,MATCH("32582-MT-37.5",'SKU明细'!$A$11:$A$1309,0)),INDEX('SKU明细'!$D$11:$D$1309,MATCH("32582-MT-38",'SKU明细'!$A$11:$A$1309,0)),INDEX('SKU明细'!$D$11:$D$1309,MATCH("32582-MT-38.5",'SKU明细'!$A$11:$A$1309,0)),INDEX('SKU明细'!$D$11:$D$1309,MATCH("32582-MT-39",'SKU明细'!$A$11:$A$1309,0)),INDEX('SKU明细'!$D$11:$D$1309,MATCH("32582-MT-39.5",'SKU明细'!$A$11:$A$1309,0)),INDEX('SKU明细'!$D$11:$D$1309,MATCH("32582-MT-40",'SKU明细'!$A$11:$A$1309,0)),INDEX('SKU明细'!$D$11:$D$1309,MATCH("32582-MT-40.5",'SKU明细'!$A$11:$A$1309,0)),INDEX('SKU明细'!$D$11:$D$1309,MATCH("32582-MT-41",'SKU明细'!$A$11:$A$1309,0)),INDEX('SKU明细'!$D$11:$D$1309,MATCH("32582-MT-41.5",'SKU明细'!$A$11:$A$1309,0)),INDEX('SKU明细'!$D$11:$D$1309,MATCH("32582-MT-42",'SKU明细'!$A$11:$A$1309,0)))=0,"待核",SUM(INDEX('SKU明细'!$D$11:$D$1309,MATCH("32582-MT-37",'SKU明细'!$A$11:$A$1309,0)),INDEX('SKU明细'!$D$11:$D$1309,MATCH("32582-MT-37.5",'SKU明细'!$A$11:$A$1309,0)),INDEX('SKU明细'!$D$11:$D$1309,MATCH("32582-MT-38",'SKU明细'!$A$11:$A$1309,0)),INDEX('SKU明细'!$D$11:$D$1309,MATCH("32582-MT-38.5",'SKU明细'!$A$11:$A$1309,0)),INDEX('SKU明细'!$D$11:$D$1309,MATCH("32582-MT-39",'SKU明细'!$A$11:$A$1309,0)),INDEX('SKU明细'!$D$11:$D$1309,MATCH("32582-MT-39.5",'SKU明细'!$A$11:$A$1309,0)),INDEX('SKU明细'!$D$11:$D$1309,MATCH("32582-MT-40",'SKU明细'!$A$11:$A$1309,0)),INDEX('SKU明细'!$D$11:$D$1309,MATCH("32582-MT-40.5",'SKU明细'!$A$11:$A$1309,0)),INDEX('SKU明细'!$D$11:$D$1309,MATCH("32582-MT-41",'SKU明细'!$A$11:$A$1309,0)),INDEX('SKU明细'!$D$11:$D$1309,MATCH("32582-MT-41.5",'SKU明细'!$A$11:$A$1309,0)),INDEX('SKU明细'!$D$11:$D$1309,MATCH("32582-MT-42",'SKU明细'!$A$11:$A$1309,0))))</x:f>
        <x:v>4</x:v>
      </x:c>
      <x:c r="T105" s="38" t="n">
        <x:f>IF(COUNTIFS($A$9:$A$191,A105,$U$9:$U$191,"&lt;&gt;待核")=0,"待核",SUMIF($A$9:$A$191,A105,$S$9:$S$191))</x:f>
        <x:v>197</x:v>
      </x:c>
      <x:c r="U105" s="37" t="str">
        <x:f>IF(COUNT(INDEX('SKU明细'!$D$11:$D$1309,MATCH("32582-MT-37",'SKU明细'!$A$11:$A$1309,0)),INDEX('SKU明细'!$D$11:$D$1309,MATCH("32582-MT-37.5",'SKU明细'!$A$11:$A$1309,0)),INDEX('SKU明细'!$D$11:$D$1309,MATCH("32582-MT-38",'SKU明细'!$A$11:$A$1309,0)),INDEX('SKU明细'!$D$11:$D$1309,MATCH("32582-MT-38.5",'SKU明细'!$A$11:$A$1309,0)),INDEX('SKU明细'!$D$11:$D$1309,MATCH("32582-MT-39",'SKU明细'!$A$11:$A$1309,0)),INDEX('SKU明细'!$D$11:$D$1309,MATCH("32582-MT-39.5",'SKU明细'!$A$11:$A$1309,0)),INDEX('SKU明细'!$D$11:$D$1309,MATCH("32582-MT-40",'SKU明细'!$A$11:$A$1309,0)),INDEX('SKU明细'!$D$11:$D$1309,MATCH("32582-MT-40.5",'SKU明细'!$A$11:$A$1309,0)),INDEX('SKU明细'!$D$11:$D$1309,MATCH("32582-MT-41",'SKU明细'!$A$11:$A$1309,0)),INDEX('SKU明细'!$D$11:$D$1309,MATCH("32582-MT-41.5",'SKU明细'!$A$11:$A$1309,0)),INDEX('SKU明细'!$D$11:$D$1309,MATCH("32582-MT-42",'SKU明细'!$A$11:$A$1309,0)))=0,"待核",IF(COUNT(INDEX('SKU明细'!$D$11:$D$1309,MATCH("32582-MT-37",'SKU明细'!$A$11:$A$1309,0)),INDEX('SKU明细'!$D$11:$D$1309,MATCH("32582-MT-37.5",'SKU明细'!$A$11:$A$1309,0)),INDEX('SKU明细'!$D$11:$D$1309,MATCH("32582-MT-38",'SKU明细'!$A$11:$A$1309,0)),INDEX('SKU明细'!$D$11:$D$1309,MATCH("32582-MT-38.5",'SKU明细'!$A$11:$A$1309,0)),INDEX('SKU明细'!$D$11:$D$1309,MATCH("32582-MT-39",'SKU明细'!$A$11:$A$1309,0)),INDEX('SKU明细'!$D$11:$D$1309,MATCH("32582-MT-39.5",'SKU明细'!$A$11:$A$1309,0)),INDEX('SKU明细'!$D$11:$D$1309,MATCH("32582-MT-40",'SKU明细'!$A$11:$A$1309,0)),INDEX('SKU明细'!$D$11:$D$1309,MATCH("32582-MT-40.5",'SKU明细'!$A$11:$A$1309,0)),INDEX('SKU明细'!$D$11:$D$1309,MATCH("32582-MT-41",'SKU明细'!$A$11:$A$1309,0)),INDEX('SKU明细'!$D$11:$D$1309,MATCH("32582-MT-41.5",'SKU明细'!$A$11:$A$1309,0)),INDEX('SKU明细'!$D$11:$D$1309,MATCH("32582-MT-42",'SKU明细'!$A$11:$A$1309,0)))&lt;11,"另有待核","已核"))</x:f>
        <x:v>已核</x:v>
      </x:c>
      <x:c r="V105" s="37" t="str">
        <x:v>停售、在售</x:v>
      </x:c>
      <x:c r="W105" s="11" t="n">
        <x:f>IF(COUNT(INDEX('SKU明细'!$BV$11:$BV$1309,MATCH("32582-MT-37",'SKU明细'!$A$11:$A$1309,0)),INDEX('SKU明细'!$BV$11:$BV$1309,MATCH("32582-MT-37.5",'SKU明细'!$A$11:$A$1309,0)),INDEX('SKU明细'!$BV$11:$BV$1309,MATCH("32582-MT-38",'SKU明细'!$A$11:$A$1309,0)),INDEX('SKU明细'!$BV$11:$BV$1309,MATCH("32582-MT-38.5",'SKU明细'!$A$11:$A$1309,0)),INDEX('SKU明细'!$BV$11:$BV$1309,MATCH("32582-MT-39",'SKU明细'!$A$11:$A$1309,0)),INDEX('SKU明细'!$BV$11:$BV$1309,MATCH("32582-MT-39.5",'SKU明细'!$A$11:$A$1309,0)),INDEX('SKU明细'!$BV$11:$BV$1309,MATCH("32582-MT-40",'SKU明细'!$A$11:$A$1309,0)),INDEX('SKU明细'!$BV$11:$BV$1309,MATCH("32582-MT-40.5",'SKU明细'!$A$11:$A$1309,0)),INDEX('SKU明细'!$BV$11:$BV$1309,MATCH("32582-MT-41",'SKU明细'!$A$11:$A$1309,0)),INDEX('SKU明细'!$BV$11:$BV$1309,MATCH("32582-MT-41.5",'SKU明细'!$A$11:$A$1309,0)),INDEX('SKU明细'!$BV$11:$BV$1309,MATCH("32582-MT-42",'SKU明细'!$A$11:$A$1309,0)))=11,SUM(INDEX('SKU明细'!$BV$11:$BV$1309,MATCH("32582-MT-37",'SKU明细'!$A$11:$A$1309,0)),INDEX('SKU明细'!$BV$11:$BV$1309,MATCH("32582-MT-37.5",'SKU明细'!$A$11:$A$1309,0)),INDEX('SKU明细'!$BV$11:$BV$1309,MATCH("32582-MT-38",'SKU明细'!$A$11:$A$1309,0)),INDEX('SKU明细'!$BV$11:$BV$1309,MATCH("32582-MT-38.5",'SKU明细'!$A$11:$A$1309,0)),INDEX('SKU明细'!$BV$11:$BV$1309,MATCH("32582-MT-39",'SKU明细'!$A$11:$A$1309,0)),INDEX('SKU明细'!$BV$11:$BV$1309,MATCH("32582-MT-39.5",'SKU明细'!$A$11:$A$1309,0)),INDEX('SKU明细'!$BV$11:$BV$1309,MATCH("32582-MT-40",'SKU明细'!$A$11:$A$1309,0)),INDEX('SKU明细'!$BV$11:$BV$1309,MATCH("32582-MT-40.5",'SKU明细'!$A$11:$A$1309,0)),INDEX('SKU明细'!$BV$11:$BV$1309,MATCH("32582-MT-41",'SKU明细'!$A$11:$A$1309,0)),INDEX('SKU明细'!$BV$11:$BV$1309,MATCH("32582-MT-41.5",'SKU明细'!$A$11:$A$1309,0)),INDEX('SKU明细'!$BV$11:$BV$1309,MATCH("32582-MT-42",'SKU明细'!$A$11:$A$1309,0))),"待核")</x:f>
        <x:v>0.4787286218736761</x:v>
      </x:c>
      <x:c r="X105" s="11" t="n">
        <x:f>INDEX('SKU明细'!$BW$11:$BW$1309,MATCH("32582-MT-37",'SKU明细'!$A$11:$A$1309,0))</x:f>
        <x:v>1.0395067087630607</x:v>
      </x:c>
      <x:c r="Y105" s="13" t="n">
        <x:f>IF(COUNT(INDEX('SKU明细'!$BY$11:$BY$1309,MATCH("32582-MT-37",'SKU明细'!$A$11:$A$1309,0)),INDEX('SKU明细'!$BY$11:$BY$1309,MATCH("32582-MT-37.5",'SKU明细'!$A$11:$A$1309,0)),INDEX('SKU明细'!$BY$11:$BY$1309,MATCH("32582-MT-38",'SKU明细'!$A$11:$A$1309,0)),INDEX('SKU明细'!$BY$11:$BY$1309,MATCH("32582-MT-38.5",'SKU明细'!$A$11:$A$1309,0)),INDEX('SKU明细'!$BY$11:$BY$1309,MATCH("32582-MT-39",'SKU明细'!$A$11:$A$1309,0)),INDEX('SKU明细'!$BY$11:$BY$1309,MATCH("32582-MT-39.5",'SKU明细'!$A$11:$A$1309,0)),INDEX('SKU明细'!$BY$11:$BY$1309,MATCH("32582-MT-40",'SKU明细'!$A$11:$A$1309,0)),INDEX('SKU明细'!$BY$11:$BY$1309,MATCH("32582-MT-40.5",'SKU明细'!$A$11:$A$1309,0)),INDEX('SKU明细'!$BY$11:$BY$1309,MATCH("32582-MT-41",'SKU明细'!$A$11:$A$1309,0)),INDEX('SKU明细'!$BY$11:$BY$1309,MATCH("32582-MT-41.5",'SKU明细'!$A$11:$A$1309,0)),INDEX('SKU明细'!$BY$11:$BY$1309,MATCH("32582-MT-42",'SKU明细'!$A$11:$A$1309,0)))=11,SUM(INDEX('SKU明细'!$BY$11:$BY$1309,MATCH("32582-MT-37",'SKU明细'!$A$11:$A$1309,0)),INDEX('SKU明细'!$BY$11:$BY$1309,MATCH("32582-MT-37.5",'SKU明细'!$A$11:$A$1309,0)),INDEX('SKU明细'!$BY$11:$BY$1309,MATCH("32582-MT-38",'SKU明细'!$A$11:$A$1309,0)),INDEX('SKU明细'!$BY$11:$BY$1309,MATCH("32582-MT-38.5",'SKU明细'!$A$11:$A$1309,0)),INDEX('SKU明细'!$BY$11:$BY$1309,MATCH("32582-MT-39",'SKU明细'!$A$11:$A$1309,0)),INDEX('SKU明细'!$BY$11:$BY$1309,MATCH("32582-MT-39.5",'SKU明细'!$A$11:$A$1309,0)),INDEX('SKU明细'!$BY$11:$BY$1309,MATCH("32582-MT-40",'SKU明细'!$A$11:$A$1309,0)),INDEX('SKU明细'!$BY$11:$BY$1309,MATCH("32582-MT-40.5",'SKU明细'!$A$11:$A$1309,0)),INDEX('SKU明细'!$BY$11:$BY$1309,MATCH("32582-MT-41",'SKU明细'!$A$11:$A$1309,0)),INDEX('SKU明细'!$BY$11:$BY$1309,MATCH("32582-MT-41.5",'SKU明细'!$A$11:$A$1309,0)),INDEX('SKU明细'!$BY$11:$BY$1309,MATCH("32582-MT-42",'SKU明细'!$A$11:$A$1309,0))),"待核")</x:f>
        <x:v>5.971699369374971</x:v>
      </x:c>
      <x:c r="Z105" s="11" t="n">
        <x:f>INDEX('SKU明细'!$BZ$11:$BZ$1309,MATCH("32582-MT-37",'SKU明细'!$A$11:$A$1309,0))</x:f>
        <x:v>0.9890368360033146</x:v>
      </x:c>
      <x:c r="AA105" s="13" t="n">
        <x:f>IF(COUNT(INDEX('SKU明细'!$CB$11:$CB$1309,MATCH("32582-MT-37",'SKU明细'!$A$11:$A$1309,0)),INDEX('SKU明细'!$CB$11:$CB$1309,MATCH("32582-MT-37.5",'SKU明细'!$A$11:$A$1309,0)),INDEX('SKU明细'!$CB$11:$CB$1309,MATCH("32582-MT-38",'SKU明细'!$A$11:$A$1309,0)),INDEX('SKU明细'!$CB$11:$CB$1309,MATCH("32582-MT-38.5",'SKU明细'!$A$11:$A$1309,0)),INDEX('SKU明细'!$CB$11:$CB$1309,MATCH("32582-MT-39",'SKU明细'!$A$11:$A$1309,0)),INDEX('SKU明细'!$CB$11:$CB$1309,MATCH("32582-MT-39.5",'SKU明细'!$A$11:$A$1309,0)),INDEX('SKU明细'!$CB$11:$CB$1309,MATCH("32582-MT-40",'SKU明细'!$A$11:$A$1309,0)),INDEX('SKU明细'!$CB$11:$CB$1309,MATCH("32582-MT-40.5",'SKU明细'!$A$11:$A$1309,0)),INDEX('SKU明细'!$CB$11:$CB$1309,MATCH("32582-MT-41",'SKU明细'!$A$11:$A$1309,0)),INDEX('SKU明细'!$CB$11:$CB$1309,MATCH("32582-MT-41.5",'SKU明细'!$A$11:$A$1309,0)),INDEX('SKU明细'!$CB$11:$CB$1309,MATCH("32582-MT-42",'SKU明细'!$A$11:$A$1309,0)))=11,SUM(INDEX('SKU明细'!$CB$11:$CB$1309,MATCH("32582-MT-37",'SKU明细'!$A$11:$A$1309,0)),INDEX('SKU明细'!$CB$11:$CB$1309,MATCH("32582-MT-37.5",'SKU明细'!$A$11:$A$1309,0)),INDEX('SKU明细'!$CB$11:$CB$1309,MATCH("32582-MT-38",'SKU明细'!$A$11:$A$1309,0)),INDEX('SKU明细'!$CB$11:$CB$1309,MATCH("32582-MT-38.5",'SKU明细'!$A$11:$A$1309,0)),INDEX('SKU明细'!$CB$11:$CB$1309,MATCH("32582-MT-39",'SKU明细'!$A$11:$A$1309,0)),INDEX('SKU明细'!$CB$11:$CB$1309,MATCH("32582-MT-39.5",'SKU明细'!$A$11:$A$1309,0)),INDEX('SKU明细'!$CB$11:$CB$1309,MATCH("32582-MT-40",'SKU明细'!$A$11:$A$1309,0)),INDEX('SKU明细'!$CB$11:$CB$1309,MATCH("32582-MT-40.5",'SKU明细'!$A$11:$A$1309,0)),INDEX('SKU明细'!$CB$11:$CB$1309,MATCH("32582-MT-41",'SKU明细'!$A$11:$A$1309,0)),INDEX('SKU明细'!$CB$11:$CB$1309,MATCH("32582-MT-41.5",'SKU明细'!$A$11:$A$1309,0)),INDEX('SKU明细'!$CB$11:$CB$1309,MATCH("32582-MT-42",'SKU明细'!$A$11:$A$1309,0))),"待核")</x:f>
        <x:v>14.204407244465035</x:v>
      </x:c>
      <x:c r="AB105" s="11" t="n">
        <x:f>INDEX('SKU明细'!$CC$11:$CC$1309,MATCH("32582-MT-37",'SKU明细'!$A$11:$A$1309,0))</x:f>
        <x:v>0.7800796503018808</x:v>
      </x:c>
      <x:c r="AC105" s="13" t="n">
        <x:f>IF(COUNT(INDEX('SKU明细'!$CE$11:$CE$1309,MATCH("32582-MT-37",'SKU明细'!$A$11:$A$1309,0)),INDEX('SKU明细'!$CE$11:$CE$1309,MATCH("32582-MT-37.5",'SKU明细'!$A$11:$A$1309,0)),INDEX('SKU明细'!$CE$11:$CE$1309,MATCH("32582-MT-38",'SKU明细'!$A$11:$A$1309,0)),INDEX('SKU明细'!$CE$11:$CE$1309,MATCH("32582-MT-38.5",'SKU明细'!$A$11:$A$1309,0)),INDEX('SKU明细'!$CE$11:$CE$1309,MATCH("32582-MT-39",'SKU明细'!$A$11:$A$1309,0)),INDEX('SKU明细'!$CE$11:$CE$1309,MATCH("32582-MT-39.5",'SKU明细'!$A$11:$A$1309,0)),INDEX('SKU明细'!$CE$11:$CE$1309,MATCH("32582-MT-40",'SKU明细'!$A$11:$A$1309,0)),INDEX('SKU明细'!$CE$11:$CE$1309,MATCH("32582-MT-40.5",'SKU明细'!$A$11:$A$1309,0)),INDEX('SKU明细'!$CE$11:$CE$1309,MATCH("32582-MT-41",'SKU明细'!$A$11:$A$1309,0)),INDEX('SKU明细'!$CE$11:$CE$1309,MATCH("32582-MT-41.5",'SKU明细'!$A$11:$A$1309,0)),INDEX('SKU明细'!$CE$11:$CE$1309,MATCH("32582-MT-42",'SKU明细'!$A$11:$A$1309,0)))=11,SUM(INDEX('SKU明细'!$CE$11:$CE$1309,MATCH("32582-MT-37",'SKU明细'!$A$11:$A$1309,0)),INDEX('SKU明细'!$CE$11:$CE$1309,MATCH("32582-MT-37.5",'SKU明细'!$A$11:$A$1309,0)),INDEX('SKU明细'!$CE$11:$CE$1309,MATCH("32582-MT-38",'SKU明细'!$A$11:$A$1309,0)),INDEX('SKU明细'!$CE$11:$CE$1309,MATCH("32582-MT-38.5",'SKU明细'!$A$11:$A$1309,0)),INDEX('SKU明细'!$CE$11:$CE$1309,MATCH("32582-MT-39",'SKU明细'!$A$11:$A$1309,0)),INDEX('SKU明细'!$CE$11:$CE$1309,MATCH("32582-MT-39.5",'SKU明细'!$A$11:$A$1309,0)),INDEX('SKU明细'!$CE$11:$CE$1309,MATCH("32582-MT-40",'SKU明细'!$A$11:$A$1309,0)),INDEX('SKU明细'!$CE$11:$CE$1309,MATCH("32582-MT-40.5",'SKU明细'!$A$11:$A$1309,0)),INDEX('SKU明细'!$CE$11:$CE$1309,MATCH("32582-MT-41",'SKU明细'!$A$11:$A$1309,0)),INDEX('SKU明细'!$CE$11:$CE$1309,MATCH("32582-MT-41.5",'SKU明细'!$A$11:$A$1309,0)),INDEX('SKU明细'!$CE$11:$CE$1309,MATCH("32582-MT-42",'SKU明细'!$A$11:$A$1309,0))),"待核")</x:f>
        <x:v>11.576840134162275</x:v>
      </x:c>
      <x:c r="AD105" s="11" t="n">
        <x:f>INDEX('SKU明细'!$CF$11:$CF$1309,MATCH("32582-MT-37",'SKU明细'!$A$11:$A$1309,0))</x:f>
        <x:v>1.2908918272824135</x:v>
      </x:c>
      <x:c r="AE105" s="13" t="n">
        <x:f>IF(COUNT(INDEX('SKU明细'!$CH$11:$CH$1309,MATCH("32582-MT-37",'SKU明细'!$A$11:$A$1309,0)),INDEX('SKU明细'!$CH$11:$CH$1309,MATCH("32582-MT-37.5",'SKU明细'!$A$11:$A$1309,0)),INDEX('SKU明细'!$CH$11:$CH$1309,MATCH("32582-MT-38",'SKU明细'!$A$11:$A$1309,0)),INDEX('SKU明细'!$CH$11:$CH$1309,MATCH("32582-MT-38.5",'SKU明细'!$A$11:$A$1309,0)),INDEX('SKU明细'!$CH$11:$CH$1309,MATCH("32582-MT-39",'SKU明细'!$A$11:$A$1309,0)),INDEX('SKU明细'!$CH$11:$CH$1309,MATCH("32582-MT-39.5",'SKU明细'!$A$11:$A$1309,0)),INDEX('SKU明细'!$CH$11:$CH$1309,MATCH("32582-MT-40",'SKU明细'!$A$11:$A$1309,0)),INDEX('SKU明细'!$CH$11:$CH$1309,MATCH("32582-MT-40.5",'SKU明细'!$A$11:$A$1309,0)),INDEX('SKU明细'!$CH$11:$CH$1309,MATCH("32582-MT-41",'SKU明细'!$A$11:$A$1309,0)),INDEX('SKU明细'!$CH$11:$CH$1309,MATCH("32582-MT-41.5",'SKU明细'!$A$11:$A$1309,0)),INDEX('SKU明细'!$CH$11:$CH$1309,MATCH("32582-MT-42",'SKU明细'!$A$11:$A$1309,0)))=11,SUM(INDEX('SKU明细'!$CH$11:$CH$1309,MATCH("32582-MT-37",'SKU明细'!$A$11:$A$1309,0)),INDEX('SKU明细'!$CH$11:$CH$1309,MATCH("32582-MT-37.5",'SKU明细'!$A$11:$A$1309,0)),INDEX('SKU明细'!$CH$11:$CH$1309,MATCH("32582-MT-38",'SKU明细'!$A$11:$A$1309,0)),INDEX('SKU明细'!$CH$11:$CH$1309,MATCH("32582-MT-38.5",'SKU明细'!$A$11:$A$1309,0)),INDEX('SKU明细'!$CH$11:$CH$1309,MATCH("32582-MT-39",'SKU明细'!$A$11:$A$1309,0)),INDEX('SKU明细'!$CH$11:$CH$1309,MATCH("32582-MT-39.5",'SKU明细'!$A$11:$A$1309,0)),INDEX('SKU明细'!$CH$11:$CH$1309,MATCH("32582-MT-40",'SKU明细'!$A$11:$A$1309,0)),INDEX('SKU明细'!$CH$11:$CH$1309,MATCH("32582-MT-40.5",'SKU明细'!$A$11:$A$1309,0)),INDEX('SKU明细'!$CH$11:$CH$1309,MATCH("32582-MT-41",'SKU明细'!$A$11:$A$1309,0)),INDEX('SKU明细'!$CH$11:$CH$1309,MATCH("32582-MT-41.5",'SKU明细'!$A$11:$A$1309,0)),INDEX('SKU明细'!$CH$11:$CH$1309,MATCH("32582-MT-42",'SKU明细'!$A$11:$A$1309,0))),"待核")</x:f>
        <x:v>10.505776712869324</x:v>
      </x:c>
      <x:c r="AF105" s="13" t="n">
        <x:f>IF(COUNT(INDEX('SKU明细'!$CI$11:$CI$1309,MATCH("32582-MT-37",'SKU明细'!$A$11:$A$1309,0)),INDEX('SKU明细'!$CI$11:$CI$1309,MATCH("32582-MT-37.5",'SKU明细'!$A$11:$A$1309,0)),INDEX('SKU明细'!$CI$11:$CI$1309,MATCH("32582-MT-38",'SKU明细'!$A$11:$A$1309,0)),INDEX('SKU明细'!$CI$11:$CI$1309,MATCH("32582-MT-38.5",'SKU明细'!$A$11:$A$1309,0)),INDEX('SKU明细'!$CI$11:$CI$1309,MATCH("32582-MT-39",'SKU明细'!$A$11:$A$1309,0)),INDEX('SKU明细'!$CI$11:$CI$1309,MATCH("32582-MT-39.5",'SKU明细'!$A$11:$A$1309,0)),INDEX('SKU明细'!$CI$11:$CI$1309,MATCH("32582-MT-40",'SKU明细'!$A$11:$A$1309,0)),INDEX('SKU明细'!$CI$11:$CI$1309,MATCH("32582-MT-40.5",'SKU明细'!$A$11:$A$1309,0)),INDEX('SKU明细'!$CI$11:$CI$1309,MATCH("32582-MT-41",'SKU明细'!$A$11:$A$1309,0)),INDEX('SKU明细'!$CI$11:$CI$1309,MATCH("32582-MT-41.5",'SKU明细'!$A$11:$A$1309,0)),INDEX('SKU明细'!$CI$11:$CI$1309,MATCH("32582-MT-42",'SKU明细'!$A$11:$A$1309,0)))=11,SUM(INDEX('SKU明细'!$CI$11:$CI$1309,MATCH("32582-MT-37",'SKU明细'!$A$11:$A$1309,0)),INDEX('SKU明细'!$CI$11:$CI$1309,MATCH("32582-MT-37.5",'SKU明细'!$A$11:$A$1309,0)),INDEX('SKU明细'!$CI$11:$CI$1309,MATCH("32582-MT-38",'SKU明细'!$A$11:$A$1309,0)),INDEX('SKU明细'!$CI$11:$CI$1309,MATCH("32582-MT-38.5",'SKU明细'!$A$11:$A$1309,0)),INDEX('SKU明细'!$CI$11:$CI$1309,MATCH("32582-MT-39",'SKU明细'!$A$11:$A$1309,0)),INDEX('SKU明细'!$CI$11:$CI$1309,MATCH("32582-MT-39.5",'SKU明细'!$A$11:$A$1309,0)),INDEX('SKU明细'!$CI$11:$CI$1309,MATCH("32582-MT-40",'SKU明细'!$A$11:$A$1309,0)),INDEX('SKU明细'!$CI$11:$CI$1309,MATCH("32582-MT-40.5",'SKU明细'!$A$11:$A$1309,0)),INDEX('SKU明细'!$CI$11:$CI$1309,MATCH("32582-MT-41",'SKU明细'!$A$11:$A$1309,0)),INDEX('SKU明细'!$CI$11:$CI$1309,MATCH("32582-MT-41.5",'SKU明细'!$A$11:$A$1309,0)),INDEX('SKU明细'!$CI$11:$CI$1309,MATCH("32582-MT-42",'SKU明细'!$A$11:$A$1309,0))),"待核")</x:f>
        <x:v>42.2587234608716</x:v>
      </x:c>
    </x:row>
    <x:row r="106" ht="40" customHeight="1">
      <x:c r="A106" s="37" t="str">
        <x:v>32582</x:v>
      </x:c>
      <x:c r="B106" s="37" t="str">
        <x:v>徐新怡</x:v>
      </x:c>
      <x:c r="C106" s="37" t="str">
        <x:v>裸色</x:v>
      </x:c>
      <x:c r="D106" s="37" t="str">
        <x:v>ND</x:v>
      </x:c>
      <x:c r="E106" s="37" t="str">
        <x:v>32582-ND</x:v>
      </x:c>
      <x:c r="F106" s="37"/>
      <x:c r="G106" s="38" t="str">
        <x:f>"—"</x:f>
        <x:v>—</x:v>
      </x:c>
      <x:c r="H106" s="38" t="n">
        <x:f>IF(COUNT(INDEX('SKU明细'!$D$11:$D$1309,MATCH("32582-ND-37",'SKU明细'!$A$11:$A$1309,0)))=0,"待核",IF(COUNT(INDEX('SKU明细'!$D$11:$D$1309,MATCH("32582-ND-37",'SKU明细'!$A$11:$A$1309,0)))&lt;1,SUM(INDEX('SKU明细'!$D$11:$D$1309,MATCH("32582-ND-37",'SKU明细'!$A$11:$A$1309,0)))&amp;" + 待核",SUM(INDEX('SKU明细'!$D$11:$D$1309,MATCH("32582-ND-37",'SKU明细'!$A$11:$A$1309,0)))))</x:f>
        <x:v>0</x:v>
      </x:c>
      <x:c r="I106" s="38" t="n">
        <x:f>IF(COUNT(INDEX('SKU明细'!$D$11:$D$1309,MATCH("32582-ND-37.5",'SKU明细'!$A$11:$A$1309,0)))=0,"待核",IF(COUNT(INDEX('SKU明细'!$D$11:$D$1309,MATCH("32582-ND-37.5",'SKU明细'!$A$11:$A$1309,0)))&lt;1,SUM(INDEX('SKU明细'!$D$11:$D$1309,MATCH("32582-ND-37.5",'SKU明细'!$A$11:$A$1309,0)))&amp;" + 待核",SUM(INDEX('SKU明细'!$D$11:$D$1309,MATCH("32582-ND-37.5",'SKU明细'!$A$11:$A$1309,0)))))</x:f>
        <x:v>0</x:v>
      </x:c>
      <x:c r="J106" s="38" t="n">
        <x:f>IF(COUNT(INDEX('SKU明细'!$D$11:$D$1309,MATCH("32582-ND-38",'SKU明细'!$A$11:$A$1309,0)))=0,"待核",IF(COUNT(INDEX('SKU明细'!$D$11:$D$1309,MATCH("32582-ND-38",'SKU明细'!$A$11:$A$1309,0)))&lt;1,SUM(INDEX('SKU明细'!$D$11:$D$1309,MATCH("32582-ND-38",'SKU明细'!$A$11:$A$1309,0)))&amp;" + 待核",SUM(INDEX('SKU明细'!$D$11:$D$1309,MATCH("32582-ND-38",'SKU明细'!$A$11:$A$1309,0)))))</x:f>
        <x:v>0</x:v>
      </x:c>
      <x:c r="K106" s="38" t="n">
        <x:f>IF(COUNT(INDEX('SKU明细'!$D$11:$D$1309,MATCH("32582-ND-38.5",'SKU明细'!$A$11:$A$1309,0)))=0,"待核",IF(COUNT(INDEX('SKU明细'!$D$11:$D$1309,MATCH("32582-ND-38.5",'SKU明细'!$A$11:$A$1309,0)))&lt;1,SUM(INDEX('SKU明细'!$D$11:$D$1309,MATCH("32582-ND-38.5",'SKU明细'!$A$11:$A$1309,0)))&amp;" + 待核",SUM(INDEX('SKU明细'!$D$11:$D$1309,MATCH("32582-ND-38.5",'SKU明细'!$A$11:$A$1309,0)))))</x:f>
        <x:v>0</x:v>
      </x:c>
      <x:c r="L106" s="38" t="n">
        <x:f>IF(COUNT(INDEX('SKU明细'!$D$11:$D$1309,MATCH("32582-ND-39",'SKU明细'!$A$11:$A$1309,0)))=0,"待核",IF(COUNT(INDEX('SKU明细'!$D$11:$D$1309,MATCH("32582-ND-39",'SKU明细'!$A$11:$A$1309,0)))&lt;1,SUM(INDEX('SKU明细'!$D$11:$D$1309,MATCH("32582-ND-39",'SKU明细'!$A$11:$A$1309,0)))&amp;" + 待核",SUM(INDEX('SKU明细'!$D$11:$D$1309,MATCH("32582-ND-39",'SKU明细'!$A$11:$A$1309,0)))))</x:f>
        <x:v>0</x:v>
      </x:c>
      <x:c r="M106" s="38" t="n">
        <x:f>IF(COUNT(INDEX('SKU明细'!$D$11:$D$1309,MATCH("32582-ND-39.5",'SKU明细'!$A$11:$A$1309,0)))=0,"待核",IF(COUNT(INDEX('SKU明细'!$D$11:$D$1309,MATCH("32582-ND-39.5",'SKU明细'!$A$11:$A$1309,0)))&lt;1,SUM(INDEX('SKU明细'!$D$11:$D$1309,MATCH("32582-ND-39.5",'SKU明细'!$A$11:$A$1309,0)))&amp;" + 待核",SUM(INDEX('SKU明细'!$D$11:$D$1309,MATCH("32582-ND-39.5",'SKU明细'!$A$11:$A$1309,0)))))</x:f>
        <x:v>0</x:v>
      </x:c>
      <x:c r="N106" s="38" t="n">
        <x:f>IF(COUNT(INDEX('SKU明细'!$D$11:$D$1309,MATCH("32582-ND-40",'SKU明细'!$A$11:$A$1309,0)))=0,"待核",IF(COUNT(INDEX('SKU明细'!$D$11:$D$1309,MATCH("32582-ND-40",'SKU明细'!$A$11:$A$1309,0)))&lt;1,SUM(INDEX('SKU明细'!$D$11:$D$1309,MATCH("32582-ND-40",'SKU明细'!$A$11:$A$1309,0)))&amp;" + 待核",SUM(INDEX('SKU明细'!$D$11:$D$1309,MATCH("32582-ND-40",'SKU明细'!$A$11:$A$1309,0)))))</x:f>
        <x:v>2</x:v>
      </x:c>
      <x:c r="O106" s="38" t="n">
        <x:f>IF(COUNT(INDEX('SKU明细'!$D$11:$D$1309,MATCH("32582-ND-40.5",'SKU明细'!$A$11:$A$1309,0)))=0,"待核",IF(COUNT(INDEX('SKU明细'!$D$11:$D$1309,MATCH("32582-ND-40.5",'SKU明细'!$A$11:$A$1309,0)))&lt;1,SUM(INDEX('SKU明细'!$D$11:$D$1309,MATCH("32582-ND-40.5",'SKU明细'!$A$11:$A$1309,0)))&amp;" + 待核",SUM(INDEX('SKU明细'!$D$11:$D$1309,MATCH("32582-ND-40.5",'SKU明细'!$A$11:$A$1309,0)))))</x:f>
        <x:v>0</x:v>
      </x:c>
      <x:c r="P106" s="38" t="n">
        <x:f>IF(COUNT(INDEX('SKU明细'!$D$11:$D$1309,MATCH("32582-ND-41",'SKU明细'!$A$11:$A$1309,0)))=0,"待核",IF(COUNT(INDEX('SKU明细'!$D$11:$D$1309,MATCH("32582-ND-41",'SKU明细'!$A$11:$A$1309,0)))&lt;1,SUM(INDEX('SKU明细'!$D$11:$D$1309,MATCH("32582-ND-41",'SKU明细'!$A$11:$A$1309,0)))&amp;" + 待核",SUM(INDEX('SKU明细'!$D$11:$D$1309,MATCH("32582-ND-41",'SKU明细'!$A$11:$A$1309,0)))))</x:f>
        <x:v>0</x:v>
      </x:c>
      <x:c r="Q106" s="38" t="n">
        <x:f>IF(COUNT(INDEX('SKU明细'!$D$11:$D$1309,MATCH("32582-ND-41.5",'SKU明细'!$A$11:$A$1309,0)))=0,"待核",IF(COUNT(INDEX('SKU明细'!$D$11:$D$1309,MATCH("32582-ND-41.5",'SKU明细'!$A$11:$A$1309,0)))&lt;1,SUM(INDEX('SKU明细'!$D$11:$D$1309,MATCH("32582-ND-41.5",'SKU明细'!$A$11:$A$1309,0)))&amp;" + 待核",SUM(INDEX('SKU明细'!$D$11:$D$1309,MATCH("32582-ND-41.5",'SKU明细'!$A$11:$A$1309,0)))))</x:f>
        <x:v>0</x:v>
      </x:c>
      <x:c r="R106" s="38" t="n">
        <x:f>IF(COUNT(INDEX('SKU明细'!$D$11:$D$1309,MATCH("32582-ND-42",'SKU明细'!$A$11:$A$1309,0)))=0,"待核",IF(COUNT(INDEX('SKU明细'!$D$11:$D$1309,MATCH("32582-ND-42",'SKU明细'!$A$11:$A$1309,0)))&lt;1,SUM(INDEX('SKU明细'!$D$11:$D$1309,MATCH("32582-ND-42",'SKU明细'!$A$11:$A$1309,0)))&amp;" + 待核",SUM(INDEX('SKU明细'!$D$11:$D$1309,MATCH("32582-ND-42",'SKU明细'!$A$11:$A$1309,0)))))</x:f>
        <x:v>0</x:v>
      </x:c>
      <x:c r="S106" s="38" t="n">
        <x:f>IF(COUNT(INDEX('SKU明细'!$D$11:$D$1309,MATCH("32582-ND-37",'SKU明细'!$A$11:$A$1309,0)),INDEX('SKU明细'!$D$11:$D$1309,MATCH("32582-ND-37.5",'SKU明细'!$A$11:$A$1309,0)),INDEX('SKU明细'!$D$11:$D$1309,MATCH("32582-ND-38",'SKU明细'!$A$11:$A$1309,0)),INDEX('SKU明细'!$D$11:$D$1309,MATCH("32582-ND-38.5",'SKU明细'!$A$11:$A$1309,0)),INDEX('SKU明细'!$D$11:$D$1309,MATCH("32582-ND-39",'SKU明细'!$A$11:$A$1309,0)),INDEX('SKU明细'!$D$11:$D$1309,MATCH("32582-ND-39.5",'SKU明细'!$A$11:$A$1309,0)),INDEX('SKU明细'!$D$11:$D$1309,MATCH("32582-ND-40",'SKU明细'!$A$11:$A$1309,0)),INDEX('SKU明细'!$D$11:$D$1309,MATCH("32582-ND-40.5",'SKU明细'!$A$11:$A$1309,0)),INDEX('SKU明细'!$D$11:$D$1309,MATCH("32582-ND-41",'SKU明细'!$A$11:$A$1309,0)),INDEX('SKU明细'!$D$11:$D$1309,MATCH("32582-ND-41.5",'SKU明细'!$A$11:$A$1309,0)),INDEX('SKU明细'!$D$11:$D$1309,MATCH("32582-ND-42",'SKU明细'!$A$11:$A$1309,0)))=0,"待核",SUM(INDEX('SKU明细'!$D$11:$D$1309,MATCH("32582-ND-37",'SKU明细'!$A$11:$A$1309,0)),INDEX('SKU明细'!$D$11:$D$1309,MATCH("32582-ND-37.5",'SKU明细'!$A$11:$A$1309,0)),INDEX('SKU明细'!$D$11:$D$1309,MATCH("32582-ND-38",'SKU明细'!$A$11:$A$1309,0)),INDEX('SKU明细'!$D$11:$D$1309,MATCH("32582-ND-38.5",'SKU明细'!$A$11:$A$1309,0)),INDEX('SKU明细'!$D$11:$D$1309,MATCH("32582-ND-39",'SKU明细'!$A$11:$A$1309,0)),INDEX('SKU明细'!$D$11:$D$1309,MATCH("32582-ND-39.5",'SKU明细'!$A$11:$A$1309,0)),INDEX('SKU明细'!$D$11:$D$1309,MATCH("32582-ND-40",'SKU明细'!$A$11:$A$1309,0)),INDEX('SKU明细'!$D$11:$D$1309,MATCH("32582-ND-40.5",'SKU明细'!$A$11:$A$1309,0)),INDEX('SKU明细'!$D$11:$D$1309,MATCH("32582-ND-41",'SKU明细'!$A$11:$A$1309,0)),INDEX('SKU明细'!$D$11:$D$1309,MATCH("32582-ND-41.5",'SKU明细'!$A$11:$A$1309,0)),INDEX('SKU明细'!$D$11:$D$1309,MATCH("32582-ND-42",'SKU明细'!$A$11:$A$1309,0))))</x:f>
        <x:v>2</x:v>
      </x:c>
      <x:c r="T106" s="38" t="n">
        <x:f>IF(COUNTIFS($A$9:$A$191,A106,$U$9:$U$191,"&lt;&gt;待核")=0,"待核",SUMIF($A$9:$A$191,A106,$S$9:$S$191))</x:f>
        <x:v>197</x:v>
      </x:c>
      <x:c r="U106" s="37" t="str">
        <x:f>IF(COUNT(INDEX('SKU明细'!$D$11:$D$1309,MATCH("32582-ND-37",'SKU明细'!$A$11:$A$1309,0)),INDEX('SKU明细'!$D$11:$D$1309,MATCH("32582-ND-37.5",'SKU明细'!$A$11:$A$1309,0)),INDEX('SKU明细'!$D$11:$D$1309,MATCH("32582-ND-38",'SKU明细'!$A$11:$A$1309,0)),INDEX('SKU明细'!$D$11:$D$1309,MATCH("32582-ND-38.5",'SKU明细'!$A$11:$A$1309,0)),INDEX('SKU明细'!$D$11:$D$1309,MATCH("32582-ND-39",'SKU明细'!$A$11:$A$1309,0)),INDEX('SKU明细'!$D$11:$D$1309,MATCH("32582-ND-39.5",'SKU明细'!$A$11:$A$1309,0)),INDEX('SKU明细'!$D$11:$D$1309,MATCH("32582-ND-40",'SKU明细'!$A$11:$A$1309,0)),INDEX('SKU明细'!$D$11:$D$1309,MATCH("32582-ND-40.5",'SKU明细'!$A$11:$A$1309,0)),INDEX('SKU明细'!$D$11:$D$1309,MATCH("32582-ND-41",'SKU明细'!$A$11:$A$1309,0)),INDEX('SKU明细'!$D$11:$D$1309,MATCH("32582-ND-41.5",'SKU明细'!$A$11:$A$1309,0)),INDEX('SKU明细'!$D$11:$D$1309,MATCH("32582-ND-42",'SKU明细'!$A$11:$A$1309,0)))=0,"待核",IF(COUNT(INDEX('SKU明细'!$D$11:$D$1309,MATCH("32582-ND-37",'SKU明细'!$A$11:$A$1309,0)),INDEX('SKU明细'!$D$11:$D$1309,MATCH("32582-ND-37.5",'SKU明细'!$A$11:$A$1309,0)),INDEX('SKU明细'!$D$11:$D$1309,MATCH("32582-ND-38",'SKU明细'!$A$11:$A$1309,0)),INDEX('SKU明细'!$D$11:$D$1309,MATCH("32582-ND-38.5",'SKU明细'!$A$11:$A$1309,0)),INDEX('SKU明细'!$D$11:$D$1309,MATCH("32582-ND-39",'SKU明细'!$A$11:$A$1309,0)),INDEX('SKU明细'!$D$11:$D$1309,MATCH("32582-ND-39.5",'SKU明细'!$A$11:$A$1309,0)),INDEX('SKU明细'!$D$11:$D$1309,MATCH("32582-ND-40",'SKU明细'!$A$11:$A$1309,0)),INDEX('SKU明细'!$D$11:$D$1309,MATCH("32582-ND-40.5",'SKU明细'!$A$11:$A$1309,0)),INDEX('SKU明细'!$D$11:$D$1309,MATCH("32582-ND-41",'SKU明细'!$A$11:$A$1309,0)),INDEX('SKU明细'!$D$11:$D$1309,MATCH("32582-ND-41.5",'SKU明细'!$A$11:$A$1309,0)),INDEX('SKU明细'!$D$11:$D$1309,MATCH("32582-ND-42",'SKU明细'!$A$11:$A$1309,0)))&lt;11,"另有待核","已核"))</x:f>
        <x:v>已核</x:v>
      </x:c>
      <x:c r="V106" s="37" t="str">
        <x:v>在售、停售</x:v>
      </x:c>
      <x:c r="W106" s="11" t="n">
        <x:f>IF(COUNT(INDEX('SKU明细'!$BV$11:$BV$1309,MATCH("32582-ND-37",'SKU明细'!$A$11:$A$1309,0)),INDEX('SKU明细'!$BV$11:$BV$1309,MATCH("32582-ND-37.5",'SKU明细'!$A$11:$A$1309,0)),INDEX('SKU明细'!$BV$11:$BV$1309,MATCH("32582-ND-38",'SKU明细'!$A$11:$A$1309,0)),INDEX('SKU明细'!$BV$11:$BV$1309,MATCH("32582-ND-38.5",'SKU明细'!$A$11:$A$1309,0)),INDEX('SKU明细'!$BV$11:$BV$1309,MATCH("32582-ND-39",'SKU明细'!$A$11:$A$1309,0)),INDEX('SKU明细'!$BV$11:$BV$1309,MATCH("32582-ND-39.5",'SKU明细'!$A$11:$A$1309,0)),INDEX('SKU明细'!$BV$11:$BV$1309,MATCH("32582-ND-40",'SKU明细'!$A$11:$A$1309,0)),INDEX('SKU明细'!$BV$11:$BV$1309,MATCH("32582-ND-40.5",'SKU明细'!$A$11:$A$1309,0)),INDEX('SKU明细'!$BV$11:$BV$1309,MATCH("32582-ND-41",'SKU明细'!$A$11:$A$1309,0)),INDEX('SKU明细'!$BV$11:$BV$1309,MATCH("32582-ND-41.5",'SKU明细'!$A$11:$A$1309,0)),INDEX('SKU明细'!$BV$11:$BV$1309,MATCH("32582-ND-42",'SKU明细'!$A$11:$A$1309,0)))=11,SUM(INDEX('SKU明细'!$BV$11:$BV$1309,MATCH("32582-ND-37",'SKU明细'!$A$11:$A$1309,0)),INDEX('SKU明细'!$BV$11:$BV$1309,MATCH("32582-ND-37.5",'SKU明细'!$A$11:$A$1309,0)),INDEX('SKU明细'!$BV$11:$BV$1309,MATCH("32582-ND-38",'SKU明细'!$A$11:$A$1309,0)),INDEX('SKU明细'!$BV$11:$BV$1309,MATCH("32582-ND-38.5",'SKU明细'!$A$11:$A$1309,0)),INDEX('SKU明细'!$BV$11:$BV$1309,MATCH("32582-ND-39",'SKU明细'!$A$11:$A$1309,0)),INDEX('SKU明细'!$BV$11:$BV$1309,MATCH("32582-ND-39.5",'SKU明细'!$A$11:$A$1309,0)),INDEX('SKU明细'!$BV$11:$BV$1309,MATCH("32582-ND-40",'SKU明细'!$A$11:$A$1309,0)),INDEX('SKU明细'!$BV$11:$BV$1309,MATCH("32582-ND-40.5",'SKU明细'!$A$11:$A$1309,0)),INDEX('SKU明细'!$BV$11:$BV$1309,MATCH("32582-ND-41",'SKU明细'!$A$11:$A$1309,0)),INDEX('SKU明细'!$BV$11:$BV$1309,MATCH("32582-ND-41.5",'SKU明细'!$A$11:$A$1309,0)),INDEX('SKU明细'!$BV$11:$BV$1309,MATCH("32582-ND-42",'SKU明细'!$A$11:$A$1309,0))),"待核")</x:f>
        <x:v>1.469700342349848</x:v>
      </x:c>
      <x:c r="X106" s="11" t="n">
        <x:f>INDEX('SKU明细'!$BW$11:$BW$1309,MATCH("32582-ND-37",'SKU明细'!$A$11:$A$1309,0))</x:f>
        <x:v>1.0395067087630607</x:v>
      </x:c>
      <x:c r="Y106" s="13" t="n">
        <x:f>IF(COUNT(INDEX('SKU明细'!$BY$11:$BY$1309,MATCH("32582-ND-37",'SKU明细'!$A$11:$A$1309,0)),INDEX('SKU明细'!$BY$11:$BY$1309,MATCH("32582-ND-37.5",'SKU明细'!$A$11:$A$1309,0)),INDEX('SKU明细'!$BY$11:$BY$1309,MATCH("32582-ND-38",'SKU明细'!$A$11:$A$1309,0)),INDEX('SKU明细'!$BY$11:$BY$1309,MATCH("32582-ND-38.5",'SKU明细'!$A$11:$A$1309,0)),INDEX('SKU明细'!$BY$11:$BY$1309,MATCH("32582-ND-39",'SKU明细'!$A$11:$A$1309,0)),INDEX('SKU明细'!$BY$11:$BY$1309,MATCH("32582-ND-39.5",'SKU明细'!$A$11:$A$1309,0)),INDEX('SKU明细'!$BY$11:$BY$1309,MATCH("32582-ND-40",'SKU明细'!$A$11:$A$1309,0)),INDEX('SKU明细'!$BY$11:$BY$1309,MATCH("32582-ND-40.5",'SKU明细'!$A$11:$A$1309,0)),INDEX('SKU明细'!$BY$11:$BY$1309,MATCH("32582-ND-41",'SKU明细'!$A$11:$A$1309,0)),INDEX('SKU明细'!$BY$11:$BY$1309,MATCH("32582-ND-41.5",'SKU明细'!$A$11:$A$1309,0)),INDEX('SKU明细'!$BY$11:$BY$1309,MATCH("32582-ND-42",'SKU明细'!$A$11:$A$1309,0)))=11,SUM(INDEX('SKU明细'!$BY$11:$BY$1309,MATCH("32582-ND-37",'SKU明细'!$A$11:$A$1309,0)),INDEX('SKU明细'!$BY$11:$BY$1309,MATCH("32582-ND-37.5",'SKU明细'!$A$11:$A$1309,0)),INDEX('SKU明细'!$BY$11:$BY$1309,MATCH("32582-ND-38",'SKU明细'!$A$11:$A$1309,0)),INDEX('SKU明细'!$BY$11:$BY$1309,MATCH("32582-ND-38.5",'SKU明细'!$A$11:$A$1309,0)),INDEX('SKU明细'!$BY$11:$BY$1309,MATCH("32582-ND-39",'SKU明细'!$A$11:$A$1309,0)),INDEX('SKU明细'!$BY$11:$BY$1309,MATCH("32582-ND-39.5",'SKU明细'!$A$11:$A$1309,0)),INDEX('SKU明细'!$BY$11:$BY$1309,MATCH("32582-ND-40",'SKU明细'!$A$11:$A$1309,0)),INDEX('SKU明细'!$BY$11:$BY$1309,MATCH("32582-ND-40.5",'SKU明细'!$A$11:$A$1309,0)),INDEX('SKU明细'!$BY$11:$BY$1309,MATCH("32582-ND-41",'SKU明细'!$A$11:$A$1309,0)),INDEX('SKU明细'!$BY$11:$BY$1309,MATCH("32582-ND-41.5",'SKU明细'!$A$11:$A$1309,0)),INDEX('SKU明细'!$BY$11:$BY$1309,MATCH("32582-ND-42",'SKU明细'!$A$11:$A$1309,0))),"待核")</x:f>
        <x:v>18.33316038892841</x:v>
      </x:c>
      <x:c r="Z106" s="11" t="n">
        <x:f>INDEX('SKU明细'!$BZ$11:$BZ$1309,MATCH("32582-ND-37",'SKU明细'!$A$11:$A$1309,0))</x:f>
        <x:v>0.9890368360033146</x:v>
      </x:c>
      <x:c r="AA106" s="13" t="n">
        <x:f>IF(COUNT(INDEX('SKU明细'!$CB$11:$CB$1309,MATCH("32582-ND-37",'SKU明细'!$A$11:$A$1309,0)),INDEX('SKU明细'!$CB$11:$CB$1309,MATCH("32582-ND-37.5",'SKU明细'!$A$11:$A$1309,0)),INDEX('SKU明细'!$CB$11:$CB$1309,MATCH("32582-ND-38",'SKU明细'!$A$11:$A$1309,0)),INDEX('SKU明细'!$CB$11:$CB$1309,MATCH("32582-ND-38.5",'SKU明细'!$A$11:$A$1309,0)),INDEX('SKU明细'!$CB$11:$CB$1309,MATCH("32582-ND-39",'SKU明细'!$A$11:$A$1309,0)),INDEX('SKU明细'!$CB$11:$CB$1309,MATCH("32582-ND-39.5",'SKU明细'!$A$11:$A$1309,0)),INDEX('SKU明细'!$CB$11:$CB$1309,MATCH("32582-ND-40",'SKU明细'!$A$11:$A$1309,0)),INDEX('SKU明细'!$CB$11:$CB$1309,MATCH("32582-ND-40.5",'SKU明细'!$A$11:$A$1309,0)),INDEX('SKU明细'!$CB$11:$CB$1309,MATCH("32582-ND-41",'SKU明细'!$A$11:$A$1309,0)),INDEX('SKU明细'!$CB$11:$CB$1309,MATCH("32582-ND-41.5",'SKU明细'!$A$11:$A$1309,0)),INDEX('SKU明细'!$CB$11:$CB$1309,MATCH("32582-ND-42",'SKU明细'!$A$11:$A$1309,0)))=11,SUM(INDEX('SKU明细'!$CB$11:$CB$1309,MATCH("32582-ND-37",'SKU明细'!$A$11:$A$1309,0)),INDEX('SKU明细'!$CB$11:$CB$1309,MATCH("32582-ND-37.5",'SKU明细'!$A$11:$A$1309,0)),INDEX('SKU明细'!$CB$11:$CB$1309,MATCH("32582-ND-38",'SKU明细'!$A$11:$A$1309,0)),INDEX('SKU明细'!$CB$11:$CB$1309,MATCH("32582-ND-38.5",'SKU明细'!$A$11:$A$1309,0)),INDEX('SKU明细'!$CB$11:$CB$1309,MATCH("32582-ND-39",'SKU明细'!$A$11:$A$1309,0)),INDEX('SKU明细'!$CB$11:$CB$1309,MATCH("32582-ND-39.5",'SKU明细'!$A$11:$A$1309,0)),INDEX('SKU明细'!$CB$11:$CB$1309,MATCH("32582-ND-40",'SKU明细'!$A$11:$A$1309,0)),INDEX('SKU明细'!$CB$11:$CB$1309,MATCH("32582-ND-40.5",'SKU明细'!$A$11:$A$1309,0)),INDEX('SKU明细'!$CB$11:$CB$1309,MATCH("32582-ND-41",'SKU明细'!$A$11:$A$1309,0)),INDEX('SKU明细'!$CB$11:$CB$1309,MATCH("32582-ND-41.5",'SKU明细'!$A$11:$A$1309,0)),INDEX('SKU明细'!$CB$11:$CB$1309,MATCH("32582-ND-42",'SKU明细'!$A$11:$A$1309,0))),"待核")</x:f>
        <x:v>43.60763329412046</x:v>
      </x:c>
      <x:c r="AB106" s="11" t="n">
        <x:f>INDEX('SKU明细'!$CC$11:$CC$1309,MATCH("32582-ND-37",'SKU明细'!$A$11:$A$1309,0))</x:f>
        <x:v>0.7800796503018808</x:v>
      </x:c>
      <x:c r="AC106" s="13" t="n">
        <x:f>IF(COUNT(INDEX('SKU明细'!$CE$11:$CE$1309,MATCH("32582-ND-37",'SKU明细'!$A$11:$A$1309,0)),INDEX('SKU明细'!$CE$11:$CE$1309,MATCH("32582-ND-37.5",'SKU明细'!$A$11:$A$1309,0)),INDEX('SKU明细'!$CE$11:$CE$1309,MATCH("32582-ND-38",'SKU明细'!$A$11:$A$1309,0)),INDEX('SKU明细'!$CE$11:$CE$1309,MATCH("32582-ND-38.5",'SKU明细'!$A$11:$A$1309,0)),INDEX('SKU明细'!$CE$11:$CE$1309,MATCH("32582-ND-39",'SKU明细'!$A$11:$A$1309,0)),INDEX('SKU明细'!$CE$11:$CE$1309,MATCH("32582-ND-39.5",'SKU明细'!$A$11:$A$1309,0)),INDEX('SKU明细'!$CE$11:$CE$1309,MATCH("32582-ND-40",'SKU明细'!$A$11:$A$1309,0)),INDEX('SKU明细'!$CE$11:$CE$1309,MATCH("32582-ND-40.5",'SKU明细'!$A$11:$A$1309,0)),INDEX('SKU明细'!$CE$11:$CE$1309,MATCH("32582-ND-41",'SKU明细'!$A$11:$A$1309,0)),INDEX('SKU明细'!$CE$11:$CE$1309,MATCH("32582-ND-41.5",'SKU明细'!$A$11:$A$1309,0)),INDEX('SKU明细'!$CE$11:$CE$1309,MATCH("32582-ND-42",'SKU明细'!$A$11:$A$1309,0)))=11,SUM(INDEX('SKU明细'!$CE$11:$CE$1309,MATCH("32582-ND-37",'SKU明细'!$A$11:$A$1309,0)),INDEX('SKU明细'!$CE$11:$CE$1309,MATCH("32582-ND-37.5",'SKU明细'!$A$11:$A$1309,0)),INDEX('SKU明细'!$CE$11:$CE$1309,MATCH("32582-ND-38",'SKU明细'!$A$11:$A$1309,0)),INDEX('SKU明细'!$CE$11:$CE$1309,MATCH("32582-ND-38.5",'SKU明细'!$A$11:$A$1309,0)),INDEX('SKU明细'!$CE$11:$CE$1309,MATCH("32582-ND-39",'SKU明细'!$A$11:$A$1309,0)),INDEX('SKU明细'!$CE$11:$CE$1309,MATCH("32582-ND-39.5",'SKU明细'!$A$11:$A$1309,0)),INDEX('SKU明细'!$CE$11:$CE$1309,MATCH("32582-ND-40",'SKU明细'!$A$11:$A$1309,0)),INDEX('SKU明细'!$CE$11:$CE$1309,MATCH("32582-ND-40.5",'SKU明细'!$A$11:$A$1309,0)),INDEX('SKU明细'!$CE$11:$CE$1309,MATCH("32582-ND-41",'SKU明细'!$A$11:$A$1309,0)),INDEX('SKU明细'!$CE$11:$CE$1309,MATCH("32582-ND-41.5",'SKU明细'!$A$11:$A$1309,0)),INDEX('SKU明细'!$CE$11:$CE$1309,MATCH("32582-ND-42",'SKU明细'!$A$11:$A$1309,0))),"待核")</x:f>
        <x:v>35.54098320237353</x:v>
      </x:c>
      <x:c r="AD106" s="11" t="n">
        <x:f>INDEX('SKU明细'!$CF$11:$CF$1309,MATCH("32582-ND-37",'SKU明细'!$A$11:$A$1309,0))</x:f>
        <x:v>1.2908918272824135</x:v>
      </x:c>
      <x:c r="AE106" s="13" t="n">
        <x:f>IF(COUNT(INDEX('SKU明细'!$CH$11:$CH$1309,MATCH("32582-ND-37",'SKU明细'!$A$11:$A$1309,0)),INDEX('SKU明细'!$CH$11:$CH$1309,MATCH("32582-ND-37.5",'SKU明细'!$A$11:$A$1309,0)),INDEX('SKU明细'!$CH$11:$CH$1309,MATCH("32582-ND-38",'SKU明细'!$A$11:$A$1309,0)),INDEX('SKU明细'!$CH$11:$CH$1309,MATCH("32582-ND-38.5",'SKU明细'!$A$11:$A$1309,0)),INDEX('SKU明细'!$CH$11:$CH$1309,MATCH("32582-ND-39",'SKU明细'!$A$11:$A$1309,0)),INDEX('SKU明细'!$CH$11:$CH$1309,MATCH("32582-ND-39.5",'SKU明细'!$A$11:$A$1309,0)),INDEX('SKU明细'!$CH$11:$CH$1309,MATCH("32582-ND-40",'SKU明细'!$A$11:$A$1309,0)),INDEX('SKU明细'!$CH$11:$CH$1309,MATCH("32582-ND-40.5",'SKU明细'!$A$11:$A$1309,0)),INDEX('SKU明细'!$CH$11:$CH$1309,MATCH("32582-ND-41",'SKU明细'!$A$11:$A$1309,0)),INDEX('SKU明细'!$CH$11:$CH$1309,MATCH("32582-ND-41.5",'SKU明细'!$A$11:$A$1309,0)),INDEX('SKU明细'!$CH$11:$CH$1309,MATCH("32582-ND-42",'SKU明细'!$A$11:$A$1309,0)))=11,SUM(INDEX('SKU明细'!$CH$11:$CH$1309,MATCH("32582-ND-37",'SKU明细'!$A$11:$A$1309,0)),INDEX('SKU明细'!$CH$11:$CH$1309,MATCH("32582-ND-37.5",'SKU明细'!$A$11:$A$1309,0)),INDEX('SKU明细'!$CH$11:$CH$1309,MATCH("32582-ND-38",'SKU明细'!$A$11:$A$1309,0)),INDEX('SKU明细'!$CH$11:$CH$1309,MATCH("32582-ND-38.5",'SKU明细'!$A$11:$A$1309,0)),INDEX('SKU明细'!$CH$11:$CH$1309,MATCH("32582-ND-39",'SKU明细'!$A$11:$A$1309,0)),INDEX('SKU明细'!$CH$11:$CH$1309,MATCH("32582-ND-39.5",'SKU明细'!$A$11:$A$1309,0)),INDEX('SKU明细'!$CH$11:$CH$1309,MATCH("32582-ND-40",'SKU明细'!$A$11:$A$1309,0)),INDEX('SKU明细'!$CH$11:$CH$1309,MATCH("32582-ND-40.5",'SKU明细'!$A$11:$A$1309,0)),INDEX('SKU明细'!$CH$11:$CH$1309,MATCH("32582-ND-41",'SKU明细'!$A$11:$A$1309,0)),INDEX('SKU明细'!$CH$11:$CH$1309,MATCH("32582-ND-41.5",'SKU明细'!$A$11:$A$1309,0)),INDEX('SKU明细'!$CH$11:$CH$1309,MATCH("32582-ND-42",'SKU明细'!$A$11:$A$1309,0))),"待核")</x:f>
        <x:v>32.252810728390926</x:v>
      </x:c>
      <x:c r="AF106" s="13" t="n">
        <x:f>IF(COUNT(INDEX('SKU明细'!$CI$11:$CI$1309,MATCH("32582-ND-37",'SKU明细'!$A$11:$A$1309,0)),INDEX('SKU明细'!$CI$11:$CI$1309,MATCH("32582-ND-37.5",'SKU明细'!$A$11:$A$1309,0)),INDEX('SKU明细'!$CI$11:$CI$1309,MATCH("32582-ND-38",'SKU明细'!$A$11:$A$1309,0)),INDEX('SKU明细'!$CI$11:$CI$1309,MATCH("32582-ND-38.5",'SKU明细'!$A$11:$A$1309,0)),INDEX('SKU明细'!$CI$11:$CI$1309,MATCH("32582-ND-39",'SKU明细'!$A$11:$A$1309,0)),INDEX('SKU明细'!$CI$11:$CI$1309,MATCH("32582-ND-39.5",'SKU明细'!$A$11:$A$1309,0)),INDEX('SKU明细'!$CI$11:$CI$1309,MATCH("32582-ND-40",'SKU明细'!$A$11:$A$1309,0)),INDEX('SKU明细'!$CI$11:$CI$1309,MATCH("32582-ND-40.5",'SKU明细'!$A$11:$A$1309,0)),INDEX('SKU明细'!$CI$11:$CI$1309,MATCH("32582-ND-41",'SKU明细'!$A$11:$A$1309,0)),INDEX('SKU明细'!$CI$11:$CI$1309,MATCH("32582-ND-41.5",'SKU明细'!$A$11:$A$1309,0)),INDEX('SKU明细'!$CI$11:$CI$1309,MATCH("32582-ND-42",'SKU明细'!$A$11:$A$1309,0)))=11,SUM(INDEX('SKU明细'!$CI$11:$CI$1309,MATCH("32582-ND-37",'SKU明细'!$A$11:$A$1309,0)),INDEX('SKU明细'!$CI$11:$CI$1309,MATCH("32582-ND-37.5",'SKU明细'!$A$11:$A$1309,0)),INDEX('SKU明细'!$CI$11:$CI$1309,MATCH("32582-ND-38",'SKU明细'!$A$11:$A$1309,0)),INDEX('SKU明细'!$CI$11:$CI$1309,MATCH("32582-ND-38.5",'SKU明细'!$A$11:$A$1309,0)),INDEX('SKU明细'!$CI$11:$CI$1309,MATCH("32582-ND-39",'SKU明细'!$A$11:$A$1309,0)),INDEX('SKU明细'!$CI$11:$CI$1309,MATCH("32582-ND-39.5",'SKU明细'!$A$11:$A$1309,0)),INDEX('SKU明细'!$CI$11:$CI$1309,MATCH("32582-ND-40",'SKU明细'!$A$11:$A$1309,0)),INDEX('SKU明细'!$CI$11:$CI$1309,MATCH("32582-ND-40.5",'SKU明细'!$A$11:$A$1309,0)),INDEX('SKU明细'!$CI$11:$CI$1309,MATCH("32582-ND-41",'SKU明细'!$A$11:$A$1309,0)),INDEX('SKU明细'!$CI$11:$CI$1309,MATCH("32582-ND-41.5",'SKU明细'!$A$11:$A$1309,0)),INDEX('SKU明细'!$CI$11:$CI$1309,MATCH("32582-ND-42",'SKU明细'!$A$11:$A$1309,0))),"待核")</x:f>
        <x:v>129.73458761381335</x:v>
      </x:c>
    </x:row>
    <x:row r="107" ht="40" customHeight="1">
      <x:c r="A107" s="37" t="str">
        <x:v>32582</x:v>
      </x:c>
      <x:c r="B107" s="37" t="str">
        <x:v>徐新怡</x:v>
      </x:c>
      <x:c r="C107" s="37" t="str">
        <x:v>藏青色</x:v>
      </x:c>
      <x:c r="D107" s="37" t="str">
        <x:v>NY</x:v>
      </x:c>
      <x:c r="E107" s="37" t="str">
        <x:v>32582-NY</x:v>
      </x:c>
      <x:c r="F107" s="37"/>
      <x:c r="G107" s="38" t="str">
        <x:f>"—"</x:f>
        <x:v>—</x:v>
      </x:c>
      <x:c r="H107" s="38" t="n">
        <x:f>IF(COUNT(INDEX('SKU明细'!$D$11:$D$1309,MATCH("32582-NY-37",'SKU明细'!$A$11:$A$1309,0)))=0,"待核",IF(COUNT(INDEX('SKU明细'!$D$11:$D$1309,MATCH("32582-NY-37",'SKU明细'!$A$11:$A$1309,0)))&lt;1,SUM(INDEX('SKU明细'!$D$11:$D$1309,MATCH("32582-NY-37",'SKU明细'!$A$11:$A$1309,0)))&amp;" + 待核",SUM(INDEX('SKU明细'!$D$11:$D$1309,MATCH("32582-NY-37",'SKU明细'!$A$11:$A$1309,0)))))</x:f>
        <x:v>0</x:v>
      </x:c>
      <x:c r="I107" s="38" t="n">
        <x:f>IF(COUNT(INDEX('SKU明细'!$D$11:$D$1309,MATCH("32582-NY-37.5",'SKU明细'!$A$11:$A$1309,0)))=0,"待核",IF(COUNT(INDEX('SKU明细'!$D$11:$D$1309,MATCH("32582-NY-37.5",'SKU明细'!$A$11:$A$1309,0)))&lt;1,SUM(INDEX('SKU明细'!$D$11:$D$1309,MATCH("32582-NY-37.5",'SKU明细'!$A$11:$A$1309,0)))&amp;" + 待核",SUM(INDEX('SKU明细'!$D$11:$D$1309,MATCH("32582-NY-37.5",'SKU明细'!$A$11:$A$1309,0)))))</x:f>
        <x:v>0</x:v>
      </x:c>
      <x:c r="J107" s="38" t="n">
        <x:f>IF(COUNT(INDEX('SKU明细'!$D$11:$D$1309,MATCH("32582-NY-38",'SKU明细'!$A$11:$A$1309,0)))=0,"待核",IF(COUNT(INDEX('SKU明细'!$D$11:$D$1309,MATCH("32582-NY-38",'SKU明细'!$A$11:$A$1309,0)))&lt;1,SUM(INDEX('SKU明细'!$D$11:$D$1309,MATCH("32582-NY-38",'SKU明细'!$A$11:$A$1309,0)))&amp;" + 待核",SUM(INDEX('SKU明细'!$D$11:$D$1309,MATCH("32582-NY-38",'SKU明细'!$A$11:$A$1309,0)))))</x:f>
        <x:v>0</x:v>
      </x:c>
      <x:c r="K107" s="38" t="n">
        <x:f>IF(COUNT(INDEX('SKU明细'!$D$11:$D$1309,MATCH("32582-NY-38.5",'SKU明细'!$A$11:$A$1309,0)))=0,"待核",IF(COUNT(INDEX('SKU明细'!$D$11:$D$1309,MATCH("32582-NY-38.5",'SKU明细'!$A$11:$A$1309,0)))&lt;1,SUM(INDEX('SKU明细'!$D$11:$D$1309,MATCH("32582-NY-38.5",'SKU明细'!$A$11:$A$1309,0)))&amp;" + 待核",SUM(INDEX('SKU明细'!$D$11:$D$1309,MATCH("32582-NY-38.5",'SKU明细'!$A$11:$A$1309,0)))))</x:f>
        <x:v>0</x:v>
      </x:c>
      <x:c r="L107" s="38" t="n">
        <x:f>IF(COUNT(INDEX('SKU明细'!$D$11:$D$1309,MATCH("32582-NY-39",'SKU明细'!$A$11:$A$1309,0)))=0,"待核",IF(COUNT(INDEX('SKU明细'!$D$11:$D$1309,MATCH("32582-NY-39",'SKU明细'!$A$11:$A$1309,0)))&lt;1,SUM(INDEX('SKU明细'!$D$11:$D$1309,MATCH("32582-NY-39",'SKU明细'!$A$11:$A$1309,0)))&amp;" + 待核",SUM(INDEX('SKU明细'!$D$11:$D$1309,MATCH("32582-NY-39",'SKU明细'!$A$11:$A$1309,0)))))</x:f>
        <x:v>0</x:v>
      </x:c>
      <x:c r="M107" s="38" t="n">
        <x:f>IF(COUNT(INDEX('SKU明细'!$D$11:$D$1309,MATCH("32582-NY-39.5",'SKU明细'!$A$11:$A$1309,0)))=0,"待核",IF(COUNT(INDEX('SKU明细'!$D$11:$D$1309,MATCH("32582-NY-39.5",'SKU明细'!$A$11:$A$1309,0)))&lt;1,SUM(INDEX('SKU明细'!$D$11:$D$1309,MATCH("32582-NY-39.5",'SKU明细'!$A$11:$A$1309,0)))&amp;" + 待核",SUM(INDEX('SKU明细'!$D$11:$D$1309,MATCH("32582-NY-39.5",'SKU明细'!$A$11:$A$1309,0)))))</x:f>
        <x:v>0</x:v>
      </x:c>
      <x:c r="N107" s="38" t="n">
        <x:f>IF(COUNT(INDEX('SKU明细'!$D$11:$D$1309,MATCH("32582-NY-40",'SKU明细'!$A$11:$A$1309,0)))=0,"待核",IF(COUNT(INDEX('SKU明细'!$D$11:$D$1309,MATCH("32582-NY-40",'SKU明细'!$A$11:$A$1309,0)))&lt;1,SUM(INDEX('SKU明细'!$D$11:$D$1309,MATCH("32582-NY-40",'SKU明细'!$A$11:$A$1309,0)))&amp;" + 待核",SUM(INDEX('SKU明细'!$D$11:$D$1309,MATCH("32582-NY-40",'SKU明细'!$A$11:$A$1309,0)))))</x:f>
        <x:v>0</x:v>
      </x:c>
      <x:c r="O107" s="38" t="n">
        <x:f>IF(COUNT(INDEX('SKU明细'!$D$11:$D$1309,MATCH("32582-NY-40.5",'SKU明细'!$A$11:$A$1309,0)))=0,"待核",IF(COUNT(INDEX('SKU明细'!$D$11:$D$1309,MATCH("32582-NY-40.5",'SKU明细'!$A$11:$A$1309,0)))&lt;1,SUM(INDEX('SKU明细'!$D$11:$D$1309,MATCH("32582-NY-40.5",'SKU明细'!$A$11:$A$1309,0)))&amp;" + 待核",SUM(INDEX('SKU明细'!$D$11:$D$1309,MATCH("32582-NY-40.5",'SKU明细'!$A$11:$A$1309,0)))))</x:f>
        <x:v>0</x:v>
      </x:c>
      <x:c r="P107" s="38" t="n">
        <x:f>IF(COUNT(INDEX('SKU明细'!$D$11:$D$1309,MATCH("32582-NY-41",'SKU明细'!$A$11:$A$1309,0)))=0,"待核",IF(COUNT(INDEX('SKU明细'!$D$11:$D$1309,MATCH("32582-NY-41",'SKU明细'!$A$11:$A$1309,0)))&lt;1,SUM(INDEX('SKU明细'!$D$11:$D$1309,MATCH("32582-NY-41",'SKU明细'!$A$11:$A$1309,0)))&amp;" + 待核",SUM(INDEX('SKU明细'!$D$11:$D$1309,MATCH("32582-NY-41",'SKU明细'!$A$11:$A$1309,0)))))</x:f>
        <x:v>0</x:v>
      </x:c>
      <x:c r="Q107" s="38" t="n">
        <x:f>IF(COUNT(INDEX('SKU明细'!$D$11:$D$1309,MATCH("32582-NY-41.5",'SKU明细'!$A$11:$A$1309,0)))=0,"待核",IF(COUNT(INDEX('SKU明细'!$D$11:$D$1309,MATCH("32582-NY-41.5",'SKU明细'!$A$11:$A$1309,0)))&lt;1,SUM(INDEX('SKU明细'!$D$11:$D$1309,MATCH("32582-NY-41.5",'SKU明细'!$A$11:$A$1309,0)))&amp;" + 待核",SUM(INDEX('SKU明细'!$D$11:$D$1309,MATCH("32582-NY-41.5",'SKU明细'!$A$11:$A$1309,0)))))</x:f>
        <x:v>1</x:v>
      </x:c>
      <x:c r="R107" s="38" t="n">
        <x:f>IF(COUNT(INDEX('SKU明细'!$D$11:$D$1309,MATCH("32582-NY-42",'SKU明细'!$A$11:$A$1309,0)))=0,"待核",IF(COUNT(INDEX('SKU明细'!$D$11:$D$1309,MATCH("32582-NY-42",'SKU明细'!$A$11:$A$1309,0)))&lt;1,SUM(INDEX('SKU明细'!$D$11:$D$1309,MATCH("32582-NY-42",'SKU明细'!$A$11:$A$1309,0)))&amp;" + 待核",SUM(INDEX('SKU明细'!$D$11:$D$1309,MATCH("32582-NY-42",'SKU明细'!$A$11:$A$1309,0)))))</x:f>
        <x:v>0</x:v>
      </x:c>
      <x:c r="S107" s="38" t="n">
        <x:f>IF(COUNT(INDEX('SKU明细'!$D$11:$D$1309,MATCH("32582-NY-37",'SKU明细'!$A$11:$A$1309,0)),INDEX('SKU明细'!$D$11:$D$1309,MATCH("32582-NY-37.5",'SKU明细'!$A$11:$A$1309,0)),INDEX('SKU明细'!$D$11:$D$1309,MATCH("32582-NY-38",'SKU明细'!$A$11:$A$1309,0)),INDEX('SKU明细'!$D$11:$D$1309,MATCH("32582-NY-38.5",'SKU明细'!$A$11:$A$1309,0)),INDEX('SKU明细'!$D$11:$D$1309,MATCH("32582-NY-39",'SKU明细'!$A$11:$A$1309,0)),INDEX('SKU明细'!$D$11:$D$1309,MATCH("32582-NY-39.5",'SKU明细'!$A$11:$A$1309,0)),INDEX('SKU明细'!$D$11:$D$1309,MATCH("32582-NY-40",'SKU明细'!$A$11:$A$1309,0)),INDEX('SKU明细'!$D$11:$D$1309,MATCH("32582-NY-40.5",'SKU明细'!$A$11:$A$1309,0)),INDEX('SKU明细'!$D$11:$D$1309,MATCH("32582-NY-41",'SKU明细'!$A$11:$A$1309,0)),INDEX('SKU明细'!$D$11:$D$1309,MATCH("32582-NY-41.5",'SKU明细'!$A$11:$A$1309,0)),INDEX('SKU明细'!$D$11:$D$1309,MATCH("32582-NY-42",'SKU明细'!$A$11:$A$1309,0)))=0,"待核",SUM(INDEX('SKU明细'!$D$11:$D$1309,MATCH("32582-NY-37",'SKU明细'!$A$11:$A$1309,0)),INDEX('SKU明细'!$D$11:$D$1309,MATCH("32582-NY-37.5",'SKU明细'!$A$11:$A$1309,0)),INDEX('SKU明细'!$D$11:$D$1309,MATCH("32582-NY-38",'SKU明细'!$A$11:$A$1309,0)),INDEX('SKU明细'!$D$11:$D$1309,MATCH("32582-NY-38.5",'SKU明细'!$A$11:$A$1309,0)),INDEX('SKU明细'!$D$11:$D$1309,MATCH("32582-NY-39",'SKU明细'!$A$11:$A$1309,0)),INDEX('SKU明细'!$D$11:$D$1309,MATCH("32582-NY-39.5",'SKU明细'!$A$11:$A$1309,0)),INDEX('SKU明细'!$D$11:$D$1309,MATCH("32582-NY-40",'SKU明细'!$A$11:$A$1309,0)),INDEX('SKU明细'!$D$11:$D$1309,MATCH("32582-NY-40.5",'SKU明细'!$A$11:$A$1309,0)),INDEX('SKU明细'!$D$11:$D$1309,MATCH("32582-NY-41",'SKU明细'!$A$11:$A$1309,0)),INDEX('SKU明细'!$D$11:$D$1309,MATCH("32582-NY-41.5",'SKU明细'!$A$11:$A$1309,0)),INDEX('SKU明细'!$D$11:$D$1309,MATCH("32582-NY-42",'SKU明细'!$A$11:$A$1309,0))))</x:f>
        <x:v>1</x:v>
      </x:c>
      <x:c r="T107" s="38" t="n">
        <x:f>IF(COUNTIFS($A$9:$A$191,A107,$U$9:$U$191,"&lt;&gt;待核")=0,"待核",SUMIF($A$9:$A$191,A107,$S$9:$S$191))</x:f>
        <x:v>197</x:v>
      </x:c>
      <x:c r="U107" s="37" t="str">
        <x:f>IF(COUNT(INDEX('SKU明细'!$D$11:$D$1309,MATCH("32582-NY-37",'SKU明细'!$A$11:$A$1309,0)),INDEX('SKU明细'!$D$11:$D$1309,MATCH("32582-NY-37.5",'SKU明细'!$A$11:$A$1309,0)),INDEX('SKU明细'!$D$11:$D$1309,MATCH("32582-NY-38",'SKU明细'!$A$11:$A$1309,0)),INDEX('SKU明细'!$D$11:$D$1309,MATCH("32582-NY-38.5",'SKU明细'!$A$11:$A$1309,0)),INDEX('SKU明细'!$D$11:$D$1309,MATCH("32582-NY-39",'SKU明细'!$A$11:$A$1309,0)),INDEX('SKU明细'!$D$11:$D$1309,MATCH("32582-NY-39.5",'SKU明细'!$A$11:$A$1309,0)),INDEX('SKU明细'!$D$11:$D$1309,MATCH("32582-NY-40",'SKU明细'!$A$11:$A$1309,0)),INDEX('SKU明细'!$D$11:$D$1309,MATCH("32582-NY-40.5",'SKU明细'!$A$11:$A$1309,0)),INDEX('SKU明细'!$D$11:$D$1309,MATCH("32582-NY-41",'SKU明细'!$A$11:$A$1309,0)),INDEX('SKU明细'!$D$11:$D$1309,MATCH("32582-NY-41.5",'SKU明细'!$A$11:$A$1309,0)),INDEX('SKU明细'!$D$11:$D$1309,MATCH("32582-NY-42",'SKU明细'!$A$11:$A$1309,0)))=0,"待核",IF(COUNT(INDEX('SKU明细'!$D$11:$D$1309,MATCH("32582-NY-37",'SKU明细'!$A$11:$A$1309,0)),INDEX('SKU明细'!$D$11:$D$1309,MATCH("32582-NY-37.5",'SKU明细'!$A$11:$A$1309,0)),INDEX('SKU明细'!$D$11:$D$1309,MATCH("32582-NY-38",'SKU明细'!$A$11:$A$1309,0)),INDEX('SKU明细'!$D$11:$D$1309,MATCH("32582-NY-38.5",'SKU明细'!$A$11:$A$1309,0)),INDEX('SKU明细'!$D$11:$D$1309,MATCH("32582-NY-39",'SKU明细'!$A$11:$A$1309,0)),INDEX('SKU明细'!$D$11:$D$1309,MATCH("32582-NY-39.5",'SKU明细'!$A$11:$A$1309,0)),INDEX('SKU明细'!$D$11:$D$1309,MATCH("32582-NY-40",'SKU明细'!$A$11:$A$1309,0)),INDEX('SKU明细'!$D$11:$D$1309,MATCH("32582-NY-40.5",'SKU明细'!$A$11:$A$1309,0)),INDEX('SKU明细'!$D$11:$D$1309,MATCH("32582-NY-41",'SKU明细'!$A$11:$A$1309,0)),INDEX('SKU明细'!$D$11:$D$1309,MATCH("32582-NY-41.5",'SKU明细'!$A$11:$A$1309,0)),INDEX('SKU明细'!$D$11:$D$1309,MATCH("32582-NY-42",'SKU明细'!$A$11:$A$1309,0)))&lt;11,"另有待核","已核"))</x:f>
        <x:v>已核</x:v>
      </x:c>
      <x:c r="V107" s="37" t="str">
        <x:v>停售、在售</x:v>
      </x:c>
      <x:c r="W107" s="11" t="n">
        <x:f>IF(COUNT(INDEX('SKU明细'!$BV$11:$BV$1309,MATCH("32582-NY-37",'SKU明细'!$A$11:$A$1309,0)),INDEX('SKU明细'!$BV$11:$BV$1309,MATCH("32582-NY-37.5",'SKU明细'!$A$11:$A$1309,0)),INDEX('SKU明细'!$BV$11:$BV$1309,MATCH("32582-NY-38",'SKU明细'!$A$11:$A$1309,0)),INDEX('SKU明细'!$BV$11:$BV$1309,MATCH("32582-NY-38.5",'SKU明细'!$A$11:$A$1309,0)),INDEX('SKU明细'!$BV$11:$BV$1309,MATCH("32582-NY-39",'SKU明细'!$A$11:$A$1309,0)),INDEX('SKU明细'!$BV$11:$BV$1309,MATCH("32582-NY-39.5",'SKU明细'!$A$11:$A$1309,0)),INDEX('SKU明细'!$BV$11:$BV$1309,MATCH("32582-NY-40",'SKU明细'!$A$11:$A$1309,0)),INDEX('SKU明细'!$BV$11:$BV$1309,MATCH("32582-NY-40.5",'SKU明细'!$A$11:$A$1309,0)),INDEX('SKU明细'!$BV$11:$BV$1309,MATCH("32582-NY-41",'SKU明细'!$A$11:$A$1309,0)),INDEX('SKU明细'!$BV$11:$BV$1309,MATCH("32582-NY-41.5",'SKU明细'!$A$11:$A$1309,0)),INDEX('SKU明细'!$BV$11:$BV$1309,MATCH("32582-NY-42",'SKU明细'!$A$11:$A$1309,0)))=11,SUM(INDEX('SKU明细'!$BV$11:$BV$1309,MATCH("32582-NY-37",'SKU明细'!$A$11:$A$1309,0)),INDEX('SKU明细'!$BV$11:$BV$1309,MATCH("32582-NY-37.5",'SKU明细'!$A$11:$A$1309,0)),INDEX('SKU明细'!$BV$11:$BV$1309,MATCH("32582-NY-38",'SKU明细'!$A$11:$A$1309,0)),INDEX('SKU明细'!$BV$11:$BV$1309,MATCH("32582-NY-38.5",'SKU明细'!$A$11:$A$1309,0)),INDEX('SKU明细'!$BV$11:$BV$1309,MATCH("32582-NY-39",'SKU明细'!$A$11:$A$1309,0)),INDEX('SKU明细'!$BV$11:$BV$1309,MATCH("32582-NY-39.5",'SKU明细'!$A$11:$A$1309,0)),INDEX('SKU明细'!$BV$11:$BV$1309,MATCH("32582-NY-40",'SKU明细'!$A$11:$A$1309,0)),INDEX('SKU明细'!$BV$11:$BV$1309,MATCH("32582-NY-40.5",'SKU明细'!$A$11:$A$1309,0)),INDEX('SKU明细'!$BV$11:$BV$1309,MATCH("32582-NY-41",'SKU明细'!$A$11:$A$1309,0)),INDEX('SKU明细'!$BV$11:$BV$1309,MATCH("32582-NY-41.5",'SKU明细'!$A$11:$A$1309,0)),INDEX('SKU明细'!$BV$11:$BV$1309,MATCH("32582-NY-42",'SKU明细'!$A$11:$A$1309,0))),"待核")</x:f>
        <x:v>1.372051671567223</x:v>
      </x:c>
      <x:c r="X107" s="11" t="n">
        <x:f>INDEX('SKU明细'!$BW$11:$BW$1309,MATCH("32582-NY-37",'SKU明细'!$A$11:$A$1309,0))</x:f>
        <x:v>1.0395067087630607</x:v>
      </x:c>
      <x:c r="Y107" s="13" t="n">
        <x:f>IF(COUNT(INDEX('SKU明细'!$BY$11:$BY$1309,MATCH("32582-NY-37",'SKU明细'!$A$11:$A$1309,0)),INDEX('SKU明细'!$BY$11:$BY$1309,MATCH("32582-NY-37.5",'SKU明细'!$A$11:$A$1309,0)),INDEX('SKU明细'!$BY$11:$BY$1309,MATCH("32582-NY-38",'SKU明细'!$A$11:$A$1309,0)),INDEX('SKU明细'!$BY$11:$BY$1309,MATCH("32582-NY-38.5",'SKU明细'!$A$11:$A$1309,0)),INDEX('SKU明细'!$BY$11:$BY$1309,MATCH("32582-NY-39",'SKU明细'!$A$11:$A$1309,0)),INDEX('SKU明细'!$BY$11:$BY$1309,MATCH("32582-NY-39.5",'SKU明细'!$A$11:$A$1309,0)),INDEX('SKU明细'!$BY$11:$BY$1309,MATCH("32582-NY-40",'SKU明细'!$A$11:$A$1309,0)),INDEX('SKU明细'!$BY$11:$BY$1309,MATCH("32582-NY-40.5",'SKU明细'!$A$11:$A$1309,0)),INDEX('SKU明细'!$BY$11:$BY$1309,MATCH("32582-NY-41",'SKU明细'!$A$11:$A$1309,0)),INDEX('SKU明细'!$BY$11:$BY$1309,MATCH("32582-NY-41.5",'SKU明细'!$A$11:$A$1309,0)),INDEX('SKU明细'!$BY$11:$BY$1309,MATCH("32582-NY-42",'SKU明细'!$A$11:$A$1309,0)))=11,SUM(INDEX('SKU明细'!$BY$11:$BY$1309,MATCH("32582-NY-37",'SKU明细'!$A$11:$A$1309,0)),INDEX('SKU明细'!$BY$11:$BY$1309,MATCH("32582-NY-37.5",'SKU明细'!$A$11:$A$1309,0)),INDEX('SKU明细'!$BY$11:$BY$1309,MATCH("32582-NY-38",'SKU明细'!$A$11:$A$1309,0)),INDEX('SKU明细'!$BY$11:$BY$1309,MATCH("32582-NY-38.5",'SKU明细'!$A$11:$A$1309,0)),INDEX('SKU明细'!$BY$11:$BY$1309,MATCH("32582-NY-39",'SKU明细'!$A$11:$A$1309,0)),INDEX('SKU明细'!$BY$11:$BY$1309,MATCH("32582-NY-39.5",'SKU明细'!$A$11:$A$1309,0)),INDEX('SKU明细'!$BY$11:$BY$1309,MATCH("32582-NY-40",'SKU明细'!$A$11:$A$1309,0)),INDEX('SKU明细'!$BY$11:$BY$1309,MATCH("32582-NY-40.5",'SKU明细'!$A$11:$A$1309,0)),INDEX('SKU明细'!$BY$11:$BY$1309,MATCH("32582-NY-41",'SKU明细'!$A$11:$A$1309,0)),INDEX('SKU明细'!$BY$11:$BY$1309,MATCH("32582-NY-41.5",'SKU明细'!$A$11:$A$1309,0)),INDEX('SKU明细'!$BY$11:$BY$1309,MATCH("32582-NY-42",'SKU明细'!$A$11:$A$1309,0))),"待核")</x:f>
        <x:v>17.1150830083644</x:v>
      </x:c>
      <x:c r="Z107" s="11" t="n">
        <x:f>INDEX('SKU明细'!$BZ$11:$BZ$1309,MATCH("32582-NY-37",'SKU明细'!$A$11:$A$1309,0))</x:f>
        <x:v>0.9890368360033146</x:v>
      </x:c>
      <x:c r="AA107" s="13" t="n">
        <x:f>IF(COUNT(INDEX('SKU明细'!$CB$11:$CB$1309,MATCH("32582-NY-37",'SKU明细'!$A$11:$A$1309,0)),INDEX('SKU明细'!$CB$11:$CB$1309,MATCH("32582-NY-37.5",'SKU明细'!$A$11:$A$1309,0)),INDEX('SKU明细'!$CB$11:$CB$1309,MATCH("32582-NY-38",'SKU明细'!$A$11:$A$1309,0)),INDEX('SKU明细'!$CB$11:$CB$1309,MATCH("32582-NY-38.5",'SKU明细'!$A$11:$A$1309,0)),INDEX('SKU明细'!$CB$11:$CB$1309,MATCH("32582-NY-39",'SKU明细'!$A$11:$A$1309,0)),INDEX('SKU明细'!$CB$11:$CB$1309,MATCH("32582-NY-39.5",'SKU明细'!$A$11:$A$1309,0)),INDEX('SKU明细'!$CB$11:$CB$1309,MATCH("32582-NY-40",'SKU明细'!$A$11:$A$1309,0)),INDEX('SKU明细'!$CB$11:$CB$1309,MATCH("32582-NY-40.5",'SKU明细'!$A$11:$A$1309,0)),INDEX('SKU明细'!$CB$11:$CB$1309,MATCH("32582-NY-41",'SKU明细'!$A$11:$A$1309,0)),INDEX('SKU明细'!$CB$11:$CB$1309,MATCH("32582-NY-41.5",'SKU明细'!$A$11:$A$1309,0)),INDEX('SKU明细'!$CB$11:$CB$1309,MATCH("32582-NY-42",'SKU明细'!$A$11:$A$1309,0)))=11,SUM(INDEX('SKU明细'!$CB$11:$CB$1309,MATCH("32582-NY-37",'SKU明细'!$A$11:$A$1309,0)),INDEX('SKU明细'!$CB$11:$CB$1309,MATCH("32582-NY-37.5",'SKU明细'!$A$11:$A$1309,0)),INDEX('SKU明细'!$CB$11:$CB$1309,MATCH("32582-NY-38",'SKU明细'!$A$11:$A$1309,0)),INDEX('SKU明细'!$CB$11:$CB$1309,MATCH("32582-NY-38.5",'SKU明细'!$A$11:$A$1309,0)),INDEX('SKU明细'!$CB$11:$CB$1309,MATCH("32582-NY-39",'SKU明细'!$A$11:$A$1309,0)),INDEX('SKU明细'!$CB$11:$CB$1309,MATCH("32582-NY-39.5",'SKU明细'!$A$11:$A$1309,0)),INDEX('SKU明细'!$CB$11:$CB$1309,MATCH("32582-NY-40",'SKU明细'!$A$11:$A$1309,0)),INDEX('SKU明细'!$CB$11:$CB$1309,MATCH("32582-NY-40.5",'SKU明细'!$A$11:$A$1309,0)),INDEX('SKU明细'!$CB$11:$CB$1309,MATCH("32582-NY-41",'SKU明细'!$A$11:$A$1309,0)),INDEX('SKU明细'!$CB$11:$CB$1309,MATCH("32582-NY-41.5",'SKU明细'!$A$11:$A$1309,0)),INDEX('SKU明细'!$CB$11:$CB$1309,MATCH("32582-NY-42",'SKU明细'!$A$11:$A$1309,0))),"待核")</x:f>
        <x:v>40.71028932239715</x:v>
      </x:c>
      <x:c r="AB107" s="11" t="n">
        <x:f>INDEX('SKU明细'!$CC$11:$CC$1309,MATCH("32582-NY-37",'SKU明细'!$A$11:$A$1309,0))</x:f>
        <x:v>0.7800796503018808</x:v>
      </x:c>
      <x:c r="AC107" s="13" t="n">
        <x:f>IF(COUNT(INDEX('SKU明细'!$CE$11:$CE$1309,MATCH("32582-NY-37",'SKU明细'!$A$11:$A$1309,0)),INDEX('SKU明细'!$CE$11:$CE$1309,MATCH("32582-NY-37.5",'SKU明细'!$A$11:$A$1309,0)),INDEX('SKU明细'!$CE$11:$CE$1309,MATCH("32582-NY-38",'SKU明细'!$A$11:$A$1309,0)),INDEX('SKU明细'!$CE$11:$CE$1309,MATCH("32582-NY-38.5",'SKU明细'!$A$11:$A$1309,0)),INDEX('SKU明细'!$CE$11:$CE$1309,MATCH("32582-NY-39",'SKU明细'!$A$11:$A$1309,0)),INDEX('SKU明细'!$CE$11:$CE$1309,MATCH("32582-NY-39.5",'SKU明细'!$A$11:$A$1309,0)),INDEX('SKU明细'!$CE$11:$CE$1309,MATCH("32582-NY-40",'SKU明细'!$A$11:$A$1309,0)),INDEX('SKU明细'!$CE$11:$CE$1309,MATCH("32582-NY-40.5",'SKU明细'!$A$11:$A$1309,0)),INDEX('SKU明细'!$CE$11:$CE$1309,MATCH("32582-NY-41",'SKU明细'!$A$11:$A$1309,0)),INDEX('SKU明细'!$CE$11:$CE$1309,MATCH("32582-NY-41.5",'SKU明细'!$A$11:$A$1309,0)),INDEX('SKU明细'!$CE$11:$CE$1309,MATCH("32582-NY-42",'SKU明细'!$A$11:$A$1309,0)))=11,SUM(INDEX('SKU明细'!$CE$11:$CE$1309,MATCH("32582-NY-37",'SKU明细'!$A$11:$A$1309,0)),INDEX('SKU明细'!$CE$11:$CE$1309,MATCH("32582-NY-37.5",'SKU明细'!$A$11:$A$1309,0)),INDEX('SKU明细'!$CE$11:$CE$1309,MATCH("32582-NY-38",'SKU明细'!$A$11:$A$1309,0)),INDEX('SKU明细'!$CE$11:$CE$1309,MATCH("32582-NY-38.5",'SKU明细'!$A$11:$A$1309,0)),INDEX('SKU明细'!$CE$11:$CE$1309,MATCH("32582-NY-39",'SKU明细'!$A$11:$A$1309,0)),INDEX('SKU明细'!$CE$11:$CE$1309,MATCH("32582-NY-39.5",'SKU明细'!$A$11:$A$1309,0)),INDEX('SKU明细'!$CE$11:$CE$1309,MATCH("32582-NY-40",'SKU明细'!$A$11:$A$1309,0)),INDEX('SKU明细'!$CE$11:$CE$1309,MATCH("32582-NY-40.5",'SKU明细'!$A$11:$A$1309,0)),INDEX('SKU明细'!$CE$11:$CE$1309,MATCH("32582-NY-41",'SKU明细'!$A$11:$A$1309,0)),INDEX('SKU明细'!$CE$11:$CE$1309,MATCH("32582-NY-41.5",'SKU明细'!$A$11:$A$1309,0)),INDEX('SKU明细'!$CE$11:$CE$1309,MATCH("32582-NY-42",'SKU明细'!$A$11:$A$1309,0))),"待核")</x:f>
        <x:v>33.17959723272038</x:v>
      </x:c>
      <x:c r="AD107" s="11" t="n">
        <x:f>INDEX('SKU明细'!$CF$11:$CF$1309,MATCH("32582-NY-37",'SKU明细'!$A$11:$A$1309,0))</x:f>
        <x:v>1.2908918272824135</x:v>
      </x:c>
      <x:c r="AE107" s="13" t="n">
        <x:f>IF(COUNT(INDEX('SKU明细'!$CH$11:$CH$1309,MATCH("32582-NY-37",'SKU明细'!$A$11:$A$1309,0)),INDEX('SKU明细'!$CH$11:$CH$1309,MATCH("32582-NY-37.5",'SKU明细'!$A$11:$A$1309,0)),INDEX('SKU明细'!$CH$11:$CH$1309,MATCH("32582-NY-38",'SKU明细'!$A$11:$A$1309,0)),INDEX('SKU明细'!$CH$11:$CH$1309,MATCH("32582-NY-38.5",'SKU明细'!$A$11:$A$1309,0)),INDEX('SKU明细'!$CH$11:$CH$1309,MATCH("32582-NY-39",'SKU明细'!$A$11:$A$1309,0)),INDEX('SKU明细'!$CH$11:$CH$1309,MATCH("32582-NY-39.5",'SKU明细'!$A$11:$A$1309,0)),INDEX('SKU明细'!$CH$11:$CH$1309,MATCH("32582-NY-40",'SKU明细'!$A$11:$A$1309,0)),INDEX('SKU明细'!$CH$11:$CH$1309,MATCH("32582-NY-40.5",'SKU明细'!$A$11:$A$1309,0)),INDEX('SKU明细'!$CH$11:$CH$1309,MATCH("32582-NY-41",'SKU明细'!$A$11:$A$1309,0)),INDEX('SKU明细'!$CH$11:$CH$1309,MATCH("32582-NY-41.5",'SKU明细'!$A$11:$A$1309,0)),INDEX('SKU明细'!$CH$11:$CH$1309,MATCH("32582-NY-42",'SKU明细'!$A$11:$A$1309,0)))=11,SUM(INDEX('SKU明细'!$CH$11:$CH$1309,MATCH("32582-NY-37",'SKU明细'!$A$11:$A$1309,0)),INDEX('SKU明细'!$CH$11:$CH$1309,MATCH("32582-NY-37.5",'SKU明细'!$A$11:$A$1309,0)),INDEX('SKU明细'!$CH$11:$CH$1309,MATCH("32582-NY-38",'SKU明细'!$A$11:$A$1309,0)),INDEX('SKU明细'!$CH$11:$CH$1309,MATCH("32582-NY-38.5",'SKU明细'!$A$11:$A$1309,0)),INDEX('SKU明细'!$CH$11:$CH$1309,MATCH("32582-NY-39",'SKU明细'!$A$11:$A$1309,0)),INDEX('SKU明细'!$CH$11:$CH$1309,MATCH("32582-NY-39.5",'SKU明细'!$A$11:$A$1309,0)),INDEX('SKU明细'!$CH$11:$CH$1309,MATCH("32582-NY-40",'SKU明细'!$A$11:$A$1309,0)),INDEX('SKU明细'!$CH$11:$CH$1309,MATCH("32582-NY-40.5",'SKU明细'!$A$11:$A$1309,0)),INDEX('SKU明细'!$CH$11:$CH$1309,MATCH("32582-NY-41",'SKU明细'!$A$11:$A$1309,0)),INDEX('SKU明细'!$CH$11:$CH$1309,MATCH("32582-NY-41.5",'SKU明细'!$A$11:$A$1309,0)),INDEX('SKU明细'!$CH$11:$CH$1309,MATCH("32582-NY-42",'SKU明细'!$A$11:$A$1309,0))),"待核")</x:f>
        <x:v>30.109894920400144</x:v>
      </x:c>
      <x:c r="AF107" s="13" t="n">
        <x:f>IF(COUNT(INDEX('SKU明细'!$CI$11:$CI$1309,MATCH("32582-NY-37",'SKU明细'!$A$11:$A$1309,0)),INDEX('SKU明细'!$CI$11:$CI$1309,MATCH("32582-NY-37.5",'SKU明细'!$A$11:$A$1309,0)),INDEX('SKU明细'!$CI$11:$CI$1309,MATCH("32582-NY-38",'SKU明细'!$A$11:$A$1309,0)),INDEX('SKU明细'!$CI$11:$CI$1309,MATCH("32582-NY-38.5",'SKU明细'!$A$11:$A$1309,0)),INDEX('SKU明细'!$CI$11:$CI$1309,MATCH("32582-NY-39",'SKU明细'!$A$11:$A$1309,0)),INDEX('SKU明细'!$CI$11:$CI$1309,MATCH("32582-NY-39.5",'SKU明细'!$A$11:$A$1309,0)),INDEX('SKU明细'!$CI$11:$CI$1309,MATCH("32582-NY-40",'SKU明细'!$A$11:$A$1309,0)),INDEX('SKU明细'!$CI$11:$CI$1309,MATCH("32582-NY-40.5",'SKU明细'!$A$11:$A$1309,0)),INDEX('SKU明细'!$CI$11:$CI$1309,MATCH("32582-NY-41",'SKU明细'!$A$11:$A$1309,0)),INDEX('SKU明细'!$CI$11:$CI$1309,MATCH("32582-NY-41.5",'SKU明细'!$A$11:$A$1309,0)),INDEX('SKU明细'!$CI$11:$CI$1309,MATCH("32582-NY-42",'SKU明细'!$A$11:$A$1309,0)))=11,SUM(INDEX('SKU明细'!$CI$11:$CI$1309,MATCH("32582-NY-37",'SKU明细'!$A$11:$A$1309,0)),INDEX('SKU明细'!$CI$11:$CI$1309,MATCH("32582-NY-37.5",'SKU明细'!$A$11:$A$1309,0)),INDEX('SKU明细'!$CI$11:$CI$1309,MATCH("32582-NY-38",'SKU明细'!$A$11:$A$1309,0)),INDEX('SKU明细'!$CI$11:$CI$1309,MATCH("32582-NY-38.5",'SKU明细'!$A$11:$A$1309,0)),INDEX('SKU明细'!$CI$11:$CI$1309,MATCH("32582-NY-39",'SKU明细'!$A$11:$A$1309,0)),INDEX('SKU明细'!$CI$11:$CI$1309,MATCH("32582-NY-39.5",'SKU明细'!$A$11:$A$1309,0)),INDEX('SKU明细'!$CI$11:$CI$1309,MATCH("32582-NY-40",'SKU明细'!$A$11:$A$1309,0)),INDEX('SKU明细'!$CI$11:$CI$1309,MATCH("32582-NY-40.5",'SKU明细'!$A$11:$A$1309,0)),INDEX('SKU明细'!$CI$11:$CI$1309,MATCH("32582-NY-41",'SKU明细'!$A$11:$A$1309,0)),INDEX('SKU明细'!$CI$11:$CI$1309,MATCH("32582-NY-41.5",'SKU明细'!$A$11:$A$1309,0)),INDEX('SKU明细'!$CI$11:$CI$1309,MATCH("32582-NY-42",'SKU明细'!$A$11:$A$1309,0))),"待核")</x:f>
        <x:v>121.1148644838821</x:v>
      </x:c>
    </x:row>
    <x:row r="108" ht="40" customHeight="1">
      <x:c r="A108" s="37" t="str">
        <x:v>32582</x:v>
      </x:c>
      <x:c r="B108" s="37" t="str">
        <x:v>徐新怡</x:v>
      </x:c>
      <x:c r="C108" s="37" t="str">
        <x:v>粉色</x:v>
      </x:c>
      <x:c r="D108" s="37" t="str">
        <x:v>PK</x:v>
      </x:c>
      <x:c r="E108" s="37" t="str">
        <x:v>32582-PK</x:v>
      </x:c>
      <x:c r="F108" s="37"/>
      <x:c r="G108" s="38" t="str">
        <x:f>"—"</x:f>
        <x:v>—</x:v>
      </x:c>
      <x:c r="H108" s="38" t="n">
        <x:f>IF(COUNT(INDEX('SKU明细'!$D$11:$D$1309,MATCH("32582-PK-37",'SKU明细'!$A$11:$A$1309,0)))=0,"待核",IF(COUNT(INDEX('SKU明细'!$D$11:$D$1309,MATCH("32582-PK-37",'SKU明细'!$A$11:$A$1309,0)))&lt;1,SUM(INDEX('SKU明细'!$D$11:$D$1309,MATCH("32582-PK-37",'SKU明细'!$A$11:$A$1309,0)))&amp;" + 待核",SUM(INDEX('SKU明细'!$D$11:$D$1309,MATCH("32582-PK-37",'SKU明细'!$A$11:$A$1309,0)))))</x:f>
        <x:v>0</x:v>
      </x:c>
      <x:c r="I108" s="38" t="n">
        <x:f>IF(COUNT(INDEX('SKU明细'!$D$11:$D$1309,MATCH("32582-PK-37.5",'SKU明细'!$A$11:$A$1309,0)))=0,"待核",IF(COUNT(INDEX('SKU明细'!$D$11:$D$1309,MATCH("32582-PK-37.5",'SKU明细'!$A$11:$A$1309,0)))&lt;1,SUM(INDEX('SKU明细'!$D$11:$D$1309,MATCH("32582-PK-37.5",'SKU明细'!$A$11:$A$1309,0)))&amp;" + 待核",SUM(INDEX('SKU明细'!$D$11:$D$1309,MATCH("32582-PK-37.5",'SKU明细'!$A$11:$A$1309,0)))))</x:f>
        <x:v>0</x:v>
      </x:c>
      <x:c r="J108" s="38" t="n">
        <x:f>IF(COUNT(INDEX('SKU明细'!$D$11:$D$1309,MATCH("32582-PK-38",'SKU明细'!$A$11:$A$1309,0)))=0,"待核",IF(COUNT(INDEX('SKU明细'!$D$11:$D$1309,MATCH("32582-PK-38",'SKU明细'!$A$11:$A$1309,0)))&lt;1,SUM(INDEX('SKU明细'!$D$11:$D$1309,MATCH("32582-PK-38",'SKU明细'!$A$11:$A$1309,0)))&amp;" + 待核",SUM(INDEX('SKU明细'!$D$11:$D$1309,MATCH("32582-PK-38",'SKU明细'!$A$11:$A$1309,0)))))</x:f>
        <x:v>0</x:v>
      </x:c>
      <x:c r="K108" s="38" t="n">
        <x:f>IF(COUNT(INDEX('SKU明细'!$D$11:$D$1309,MATCH("32582-PK-38.5",'SKU明细'!$A$11:$A$1309,0)))=0,"待核",IF(COUNT(INDEX('SKU明细'!$D$11:$D$1309,MATCH("32582-PK-38.5",'SKU明细'!$A$11:$A$1309,0)))&lt;1,SUM(INDEX('SKU明细'!$D$11:$D$1309,MATCH("32582-PK-38.5",'SKU明细'!$A$11:$A$1309,0)))&amp;" + 待核",SUM(INDEX('SKU明细'!$D$11:$D$1309,MATCH("32582-PK-38.5",'SKU明细'!$A$11:$A$1309,0)))))</x:f>
        <x:v>0</x:v>
      </x:c>
      <x:c r="L108" s="38" t="n">
        <x:f>IF(COUNT(INDEX('SKU明细'!$D$11:$D$1309,MATCH("32582-PK-39",'SKU明细'!$A$11:$A$1309,0)))=0,"待核",IF(COUNT(INDEX('SKU明细'!$D$11:$D$1309,MATCH("32582-PK-39",'SKU明细'!$A$11:$A$1309,0)))&lt;1,SUM(INDEX('SKU明细'!$D$11:$D$1309,MATCH("32582-PK-39",'SKU明细'!$A$11:$A$1309,0)))&amp;" + 待核",SUM(INDEX('SKU明细'!$D$11:$D$1309,MATCH("32582-PK-39",'SKU明细'!$A$11:$A$1309,0)))))</x:f>
        <x:v>0</x:v>
      </x:c>
      <x:c r="M108" s="38" t="n">
        <x:f>IF(COUNT(INDEX('SKU明细'!$D$11:$D$1309,MATCH("32582-PK-39.5",'SKU明细'!$A$11:$A$1309,0)))=0,"待核",IF(COUNT(INDEX('SKU明细'!$D$11:$D$1309,MATCH("32582-PK-39.5",'SKU明细'!$A$11:$A$1309,0)))&lt;1,SUM(INDEX('SKU明细'!$D$11:$D$1309,MATCH("32582-PK-39.5",'SKU明细'!$A$11:$A$1309,0)))&amp;" + 待核",SUM(INDEX('SKU明细'!$D$11:$D$1309,MATCH("32582-PK-39.5",'SKU明细'!$A$11:$A$1309,0)))))</x:f>
        <x:v>0</x:v>
      </x:c>
      <x:c r="N108" s="38" t="n">
        <x:f>IF(COUNT(INDEX('SKU明细'!$D$11:$D$1309,MATCH("32582-PK-40",'SKU明细'!$A$11:$A$1309,0)))=0,"待核",IF(COUNT(INDEX('SKU明细'!$D$11:$D$1309,MATCH("32582-PK-40",'SKU明细'!$A$11:$A$1309,0)))&lt;1,SUM(INDEX('SKU明细'!$D$11:$D$1309,MATCH("32582-PK-40",'SKU明细'!$A$11:$A$1309,0)))&amp;" + 待核",SUM(INDEX('SKU明细'!$D$11:$D$1309,MATCH("32582-PK-40",'SKU明细'!$A$11:$A$1309,0)))))</x:f>
        <x:v>0</x:v>
      </x:c>
      <x:c r="O108" s="38" t="n">
        <x:f>IF(COUNT(INDEX('SKU明细'!$D$11:$D$1309,MATCH("32582-PK-40.5",'SKU明细'!$A$11:$A$1309,0)))=0,"待核",IF(COUNT(INDEX('SKU明细'!$D$11:$D$1309,MATCH("32582-PK-40.5",'SKU明细'!$A$11:$A$1309,0)))&lt;1,SUM(INDEX('SKU明细'!$D$11:$D$1309,MATCH("32582-PK-40.5",'SKU明细'!$A$11:$A$1309,0)))&amp;" + 待核",SUM(INDEX('SKU明细'!$D$11:$D$1309,MATCH("32582-PK-40.5",'SKU明细'!$A$11:$A$1309,0)))))</x:f>
        <x:v>0</x:v>
      </x:c>
      <x:c r="P108" s="38" t="n">
        <x:f>IF(COUNT(INDEX('SKU明细'!$D$11:$D$1309,MATCH("32582-PK-41",'SKU明细'!$A$11:$A$1309,0)))=0,"待核",IF(COUNT(INDEX('SKU明细'!$D$11:$D$1309,MATCH("32582-PK-41",'SKU明细'!$A$11:$A$1309,0)))&lt;1,SUM(INDEX('SKU明细'!$D$11:$D$1309,MATCH("32582-PK-41",'SKU明细'!$A$11:$A$1309,0)))&amp;" + 待核",SUM(INDEX('SKU明细'!$D$11:$D$1309,MATCH("32582-PK-41",'SKU明细'!$A$11:$A$1309,0)))))</x:f>
        <x:v>0</x:v>
      </x:c>
      <x:c r="Q108" s="38" t="n">
        <x:f>IF(COUNT(INDEX('SKU明细'!$D$11:$D$1309,MATCH("32582-PK-41.5",'SKU明细'!$A$11:$A$1309,0)))=0,"待核",IF(COUNT(INDEX('SKU明细'!$D$11:$D$1309,MATCH("32582-PK-41.5",'SKU明细'!$A$11:$A$1309,0)))&lt;1,SUM(INDEX('SKU明细'!$D$11:$D$1309,MATCH("32582-PK-41.5",'SKU明细'!$A$11:$A$1309,0)))&amp;" + 待核",SUM(INDEX('SKU明细'!$D$11:$D$1309,MATCH("32582-PK-41.5",'SKU明细'!$A$11:$A$1309,0)))))</x:f>
        <x:v>0</x:v>
      </x:c>
      <x:c r="R108" s="38" t="n">
        <x:f>IF(COUNT(INDEX('SKU明细'!$D$11:$D$1309,MATCH("32582-PK-42",'SKU明细'!$A$11:$A$1309,0)))=0,"待核",IF(COUNT(INDEX('SKU明细'!$D$11:$D$1309,MATCH("32582-PK-42",'SKU明细'!$A$11:$A$1309,0)))&lt;1,SUM(INDEX('SKU明细'!$D$11:$D$1309,MATCH("32582-PK-42",'SKU明细'!$A$11:$A$1309,0)))&amp;" + 待核",SUM(INDEX('SKU明细'!$D$11:$D$1309,MATCH("32582-PK-42",'SKU明细'!$A$11:$A$1309,0)))))</x:f>
        <x:v>0</x:v>
      </x:c>
      <x:c r="S108" s="38" t="n">
        <x:f>IF(COUNT(INDEX('SKU明细'!$D$11:$D$1309,MATCH("32582-PK-37",'SKU明细'!$A$11:$A$1309,0)),INDEX('SKU明细'!$D$11:$D$1309,MATCH("32582-PK-37.5",'SKU明细'!$A$11:$A$1309,0)),INDEX('SKU明细'!$D$11:$D$1309,MATCH("32582-PK-38",'SKU明细'!$A$11:$A$1309,0)),INDEX('SKU明细'!$D$11:$D$1309,MATCH("32582-PK-38.5",'SKU明细'!$A$11:$A$1309,0)),INDEX('SKU明细'!$D$11:$D$1309,MATCH("32582-PK-39",'SKU明细'!$A$11:$A$1309,0)),INDEX('SKU明细'!$D$11:$D$1309,MATCH("32582-PK-39.5",'SKU明细'!$A$11:$A$1309,0)),INDEX('SKU明细'!$D$11:$D$1309,MATCH("32582-PK-40",'SKU明细'!$A$11:$A$1309,0)),INDEX('SKU明细'!$D$11:$D$1309,MATCH("32582-PK-40.5",'SKU明细'!$A$11:$A$1309,0)),INDEX('SKU明细'!$D$11:$D$1309,MATCH("32582-PK-41",'SKU明细'!$A$11:$A$1309,0)),INDEX('SKU明细'!$D$11:$D$1309,MATCH("32582-PK-41.5",'SKU明细'!$A$11:$A$1309,0)),INDEX('SKU明细'!$D$11:$D$1309,MATCH("32582-PK-42",'SKU明细'!$A$11:$A$1309,0)))=0,"待核",SUM(INDEX('SKU明细'!$D$11:$D$1309,MATCH("32582-PK-37",'SKU明细'!$A$11:$A$1309,0)),INDEX('SKU明细'!$D$11:$D$1309,MATCH("32582-PK-37.5",'SKU明细'!$A$11:$A$1309,0)),INDEX('SKU明细'!$D$11:$D$1309,MATCH("32582-PK-38",'SKU明细'!$A$11:$A$1309,0)),INDEX('SKU明细'!$D$11:$D$1309,MATCH("32582-PK-38.5",'SKU明细'!$A$11:$A$1309,0)),INDEX('SKU明细'!$D$11:$D$1309,MATCH("32582-PK-39",'SKU明细'!$A$11:$A$1309,0)),INDEX('SKU明细'!$D$11:$D$1309,MATCH("32582-PK-39.5",'SKU明细'!$A$11:$A$1309,0)),INDEX('SKU明细'!$D$11:$D$1309,MATCH("32582-PK-40",'SKU明细'!$A$11:$A$1309,0)),INDEX('SKU明细'!$D$11:$D$1309,MATCH("32582-PK-40.5",'SKU明细'!$A$11:$A$1309,0)),INDEX('SKU明细'!$D$11:$D$1309,MATCH("32582-PK-41",'SKU明细'!$A$11:$A$1309,0)),INDEX('SKU明细'!$D$11:$D$1309,MATCH("32582-PK-41.5",'SKU明细'!$A$11:$A$1309,0)),INDEX('SKU明细'!$D$11:$D$1309,MATCH("32582-PK-42",'SKU明细'!$A$11:$A$1309,0))))</x:f>
        <x:v>0</x:v>
      </x:c>
      <x:c r="T108" s="38" t="n">
        <x:f>IF(COUNTIFS($A$9:$A$191,A108,$U$9:$U$191,"&lt;&gt;待核")=0,"待核",SUMIF($A$9:$A$191,A108,$S$9:$S$191))</x:f>
        <x:v>197</x:v>
      </x:c>
      <x:c r="U108" s="37" t="str">
        <x:f>IF(COUNT(INDEX('SKU明细'!$D$11:$D$1309,MATCH("32582-PK-37",'SKU明细'!$A$11:$A$1309,0)),INDEX('SKU明细'!$D$11:$D$1309,MATCH("32582-PK-37.5",'SKU明细'!$A$11:$A$1309,0)),INDEX('SKU明细'!$D$11:$D$1309,MATCH("32582-PK-38",'SKU明细'!$A$11:$A$1309,0)),INDEX('SKU明细'!$D$11:$D$1309,MATCH("32582-PK-38.5",'SKU明细'!$A$11:$A$1309,0)),INDEX('SKU明细'!$D$11:$D$1309,MATCH("32582-PK-39",'SKU明细'!$A$11:$A$1309,0)),INDEX('SKU明细'!$D$11:$D$1309,MATCH("32582-PK-39.5",'SKU明细'!$A$11:$A$1309,0)),INDEX('SKU明细'!$D$11:$D$1309,MATCH("32582-PK-40",'SKU明细'!$A$11:$A$1309,0)),INDEX('SKU明细'!$D$11:$D$1309,MATCH("32582-PK-40.5",'SKU明细'!$A$11:$A$1309,0)),INDEX('SKU明细'!$D$11:$D$1309,MATCH("32582-PK-41",'SKU明细'!$A$11:$A$1309,0)),INDEX('SKU明细'!$D$11:$D$1309,MATCH("32582-PK-41.5",'SKU明细'!$A$11:$A$1309,0)),INDEX('SKU明细'!$D$11:$D$1309,MATCH("32582-PK-42",'SKU明细'!$A$11:$A$1309,0)))=0,"待核",IF(COUNT(INDEX('SKU明细'!$D$11:$D$1309,MATCH("32582-PK-37",'SKU明细'!$A$11:$A$1309,0)),INDEX('SKU明细'!$D$11:$D$1309,MATCH("32582-PK-37.5",'SKU明细'!$A$11:$A$1309,0)),INDEX('SKU明细'!$D$11:$D$1309,MATCH("32582-PK-38",'SKU明细'!$A$11:$A$1309,0)),INDEX('SKU明细'!$D$11:$D$1309,MATCH("32582-PK-38.5",'SKU明细'!$A$11:$A$1309,0)),INDEX('SKU明细'!$D$11:$D$1309,MATCH("32582-PK-39",'SKU明细'!$A$11:$A$1309,0)),INDEX('SKU明细'!$D$11:$D$1309,MATCH("32582-PK-39.5",'SKU明细'!$A$11:$A$1309,0)),INDEX('SKU明细'!$D$11:$D$1309,MATCH("32582-PK-40",'SKU明细'!$A$11:$A$1309,0)),INDEX('SKU明细'!$D$11:$D$1309,MATCH("32582-PK-40.5",'SKU明细'!$A$11:$A$1309,0)),INDEX('SKU明细'!$D$11:$D$1309,MATCH("32582-PK-41",'SKU明细'!$A$11:$A$1309,0)),INDEX('SKU明细'!$D$11:$D$1309,MATCH("32582-PK-41.5",'SKU明细'!$A$11:$A$1309,0)),INDEX('SKU明细'!$D$11:$D$1309,MATCH("32582-PK-42",'SKU明细'!$A$11:$A$1309,0)))&lt;11,"另有待核","已核"))</x:f>
        <x:v>已核</x:v>
      </x:c>
      <x:c r="V108" s="37" t="str">
        <x:v>停售、在售</x:v>
      </x:c>
      <x:c r="W108" s="11" t="n">
        <x:f>IF(COUNT(INDEX('SKU明细'!$BV$11:$BV$1309,MATCH("32582-PK-37",'SKU明细'!$A$11:$A$1309,0)),INDEX('SKU明细'!$BV$11:$BV$1309,MATCH("32582-PK-37.5",'SKU明细'!$A$11:$A$1309,0)),INDEX('SKU明细'!$BV$11:$BV$1309,MATCH("32582-PK-38",'SKU明细'!$A$11:$A$1309,0)),INDEX('SKU明细'!$BV$11:$BV$1309,MATCH("32582-PK-38.5",'SKU明细'!$A$11:$A$1309,0)),INDEX('SKU明细'!$BV$11:$BV$1309,MATCH("32582-PK-39",'SKU明细'!$A$11:$A$1309,0)),INDEX('SKU明细'!$BV$11:$BV$1309,MATCH("32582-PK-39.5",'SKU明细'!$A$11:$A$1309,0)),INDEX('SKU明细'!$BV$11:$BV$1309,MATCH("32582-PK-40",'SKU明细'!$A$11:$A$1309,0)),INDEX('SKU明细'!$BV$11:$BV$1309,MATCH("32582-PK-40.5",'SKU明细'!$A$11:$A$1309,0)),INDEX('SKU明细'!$BV$11:$BV$1309,MATCH("32582-PK-41",'SKU明细'!$A$11:$A$1309,0)),INDEX('SKU明细'!$BV$11:$BV$1309,MATCH("32582-PK-41.5",'SKU明细'!$A$11:$A$1309,0)),INDEX('SKU明细'!$BV$11:$BV$1309,MATCH("32582-PK-42",'SKU明细'!$A$11:$A$1309,0)))=11,SUM(INDEX('SKU明细'!$BV$11:$BV$1309,MATCH("32582-PK-37",'SKU明细'!$A$11:$A$1309,0)),INDEX('SKU明细'!$BV$11:$BV$1309,MATCH("32582-PK-37.5",'SKU明细'!$A$11:$A$1309,0)),INDEX('SKU明细'!$BV$11:$BV$1309,MATCH("32582-PK-38",'SKU明细'!$A$11:$A$1309,0)),INDEX('SKU明细'!$BV$11:$BV$1309,MATCH("32582-PK-38.5",'SKU明细'!$A$11:$A$1309,0)),INDEX('SKU明细'!$BV$11:$BV$1309,MATCH("32582-PK-39",'SKU明细'!$A$11:$A$1309,0)),INDEX('SKU明细'!$BV$11:$BV$1309,MATCH("32582-PK-39.5",'SKU明细'!$A$11:$A$1309,0)),INDEX('SKU明细'!$BV$11:$BV$1309,MATCH("32582-PK-40",'SKU明细'!$A$11:$A$1309,0)),INDEX('SKU明细'!$BV$11:$BV$1309,MATCH("32582-PK-40.5",'SKU明细'!$A$11:$A$1309,0)),INDEX('SKU明细'!$BV$11:$BV$1309,MATCH("32582-PK-41",'SKU明细'!$A$11:$A$1309,0)),INDEX('SKU明细'!$BV$11:$BV$1309,MATCH("32582-PK-41.5",'SKU明细'!$A$11:$A$1309,0)),INDEX('SKU明细'!$BV$11:$BV$1309,MATCH("32582-PK-42",'SKU明细'!$A$11:$A$1309,0))),"待核")</x:f>
        <x:v>0.1320191416111551</x:v>
      </x:c>
      <x:c r="X108" s="11" t="n">
        <x:f>INDEX('SKU明细'!$BW$11:$BW$1309,MATCH("32582-PK-37",'SKU明细'!$A$11:$A$1309,0))</x:f>
        <x:v>1.0395067087630607</x:v>
      </x:c>
      <x:c r="Y108" s="13" t="n">
        <x:f>IF(COUNT(INDEX('SKU明细'!$BY$11:$BY$1309,MATCH("32582-PK-37",'SKU明细'!$A$11:$A$1309,0)),INDEX('SKU明细'!$BY$11:$BY$1309,MATCH("32582-PK-37.5",'SKU明细'!$A$11:$A$1309,0)),INDEX('SKU明细'!$BY$11:$BY$1309,MATCH("32582-PK-38",'SKU明细'!$A$11:$A$1309,0)),INDEX('SKU明细'!$BY$11:$BY$1309,MATCH("32582-PK-38.5",'SKU明细'!$A$11:$A$1309,0)),INDEX('SKU明细'!$BY$11:$BY$1309,MATCH("32582-PK-39",'SKU明细'!$A$11:$A$1309,0)),INDEX('SKU明细'!$BY$11:$BY$1309,MATCH("32582-PK-39.5",'SKU明细'!$A$11:$A$1309,0)),INDEX('SKU明细'!$BY$11:$BY$1309,MATCH("32582-PK-40",'SKU明细'!$A$11:$A$1309,0)),INDEX('SKU明细'!$BY$11:$BY$1309,MATCH("32582-PK-40.5",'SKU明细'!$A$11:$A$1309,0)),INDEX('SKU明细'!$BY$11:$BY$1309,MATCH("32582-PK-41",'SKU明细'!$A$11:$A$1309,0)),INDEX('SKU明细'!$BY$11:$BY$1309,MATCH("32582-PK-41.5",'SKU明细'!$A$11:$A$1309,0)),INDEX('SKU明细'!$BY$11:$BY$1309,MATCH("32582-PK-42",'SKU明细'!$A$11:$A$1309,0)))=11,SUM(INDEX('SKU明细'!$BY$11:$BY$1309,MATCH("32582-PK-37",'SKU明细'!$A$11:$A$1309,0)),INDEX('SKU明细'!$BY$11:$BY$1309,MATCH("32582-PK-37.5",'SKU明细'!$A$11:$A$1309,0)),INDEX('SKU明细'!$BY$11:$BY$1309,MATCH("32582-PK-38",'SKU明细'!$A$11:$A$1309,0)),INDEX('SKU明细'!$BY$11:$BY$1309,MATCH("32582-PK-38.5",'SKU明细'!$A$11:$A$1309,0)),INDEX('SKU明细'!$BY$11:$BY$1309,MATCH("32582-PK-39",'SKU明细'!$A$11:$A$1309,0)),INDEX('SKU明细'!$BY$11:$BY$1309,MATCH("32582-PK-39.5",'SKU明细'!$A$11:$A$1309,0)),INDEX('SKU明细'!$BY$11:$BY$1309,MATCH("32582-PK-40",'SKU明细'!$A$11:$A$1309,0)),INDEX('SKU明细'!$BY$11:$BY$1309,MATCH("32582-PK-40.5",'SKU明细'!$A$11:$A$1309,0)),INDEX('SKU明细'!$BY$11:$BY$1309,MATCH("32582-PK-41",'SKU明细'!$A$11:$A$1309,0)),INDEX('SKU明细'!$BY$11:$BY$1309,MATCH("32582-PK-41.5",'SKU明细'!$A$11:$A$1309,0)),INDEX('SKU明细'!$BY$11:$BY$1309,MATCH("32582-PK-42",'SKU明细'!$A$11:$A$1309,0))),"待核")</x:f>
        <x:v>1.6468174006792358</x:v>
      </x:c>
      <x:c r="Z108" s="11" t="n">
        <x:f>INDEX('SKU明细'!$BZ$11:$BZ$1309,MATCH("32582-PK-37",'SKU明细'!$A$11:$A$1309,0))</x:f>
        <x:v>0.9890368360033146</x:v>
      </x:c>
      <x:c r="AA108" s="13" t="n">
        <x:f>IF(COUNT(INDEX('SKU明细'!$CB$11:$CB$1309,MATCH("32582-PK-37",'SKU明细'!$A$11:$A$1309,0)),INDEX('SKU明细'!$CB$11:$CB$1309,MATCH("32582-PK-37.5",'SKU明细'!$A$11:$A$1309,0)),INDEX('SKU明细'!$CB$11:$CB$1309,MATCH("32582-PK-38",'SKU明细'!$A$11:$A$1309,0)),INDEX('SKU明细'!$CB$11:$CB$1309,MATCH("32582-PK-38.5",'SKU明细'!$A$11:$A$1309,0)),INDEX('SKU明细'!$CB$11:$CB$1309,MATCH("32582-PK-39",'SKU明细'!$A$11:$A$1309,0)),INDEX('SKU明细'!$CB$11:$CB$1309,MATCH("32582-PK-39.5",'SKU明细'!$A$11:$A$1309,0)),INDEX('SKU明细'!$CB$11:$CB$1309,MATCH("32582-PK-40",'SKU明细'!$A$11:$A$1309,0)),INDEX('SKU明细'!$CB$11:$CB$1309,MATCH("32582-PK-40.5",'SKU明细'!$A$11:$A$1309,0)),INDEX('SKU明细'!$CB$11:$CB$1309,MATCH("32582-PK-41",'SKU明细'!$A$11:$A$1309,0)),INDEX('SKU明细'!$CB$11:$CB$1309,MATCH("32582-PK-41.5",'SKU明细'!$A$11:$A$1309,0)),INDEX('SKU明细'!$CB$11:$CB$1309,MATCH("32582-PK-42",'SKU明细'!$A$11:$A$1309,0)))=11,SUM(INDEX('SKU明细'!$CB$11:$CB$1309,MATCH("32582-PK-37",'SKU明细'!$A$11:$A$1309,0)),INDEX('SKU明细'!$CB$11:$CB$1309,MATCH("32582-PK-37.5",'SKU明细'!$A$11:$A$1309,0)),INDEX('SKU明细'!$CB$11:$CB$1309,MATCH("32582-PK-38",'SKU明细'!$A$11:$A$1309,0)),INDEX('SKU明细'!$CB$11:$CB$1309,MATCH("32582-PK-38.5",'SKU明细'!$A$11:$A$1309,0)),INDEX('SKU明细'!$CB$11:$CB$1309,MATCH("32582-PK-39",'SKU明细'!$A$11:$A$1309,0)),INDEX('SKU明细'!$CB$11:$CB$1309,MATCH("32582-PK-39.5",'SKU明细'!$A$11:$A$1309,0)),INDEX('SKU明细'!$CB$11:$CB$1309,MATCH("32582-PK-40",'SKU明细'!$A$11:$A$1309,0)),INDEX('SKU明细'!$CB$11:$CB$1309,MATCH("32582-PK-40.5",'SKU明细'!$A$11:$A$1309,0)),INDEX('SKU明细'!$CB$11:$CB$1309,MATCH("32582-PK-41",'SKU明细'!$A$11:$A$1309,0)),INDEX('SKU明细'!$CB$11:$CB$1309,MATCH("32582-PK-41.5",'SKU明细'!$A$11:$A$1309,0)),INDEX('SKU明细'!$CB$11:$CB$1309,MATCH("32582-PK-42",'SKU明细'!$A$11:$A$1309,0))),"待核")</x:f>
        <x:v>3.9171538233291114</x:v>
      </x:c>
      <x:c r="AB108" s="11" t="n">
        <x:f>INDEX('SKU明细'!$CC$11:$CC$1309,MATCH("32582-PK-37",'SKU明细'!$A$11:$A$1309,0))</x:f>
        <x:v>0.7800796503018808</x:v>
      </x:c>
      <x:c r="AC108" s="13" t="n">
        <x:f>IF(COUNT(INDEX('SKU明细'!$CE$11:$CE$1309,MATCH("32582-PK-37",'SKU明细'!$A$11:$A$1309,0)),INDEX('SKU明细'!$CE$11:$CE$1309,MATCH("32582-PK-37.5",'SKU明细'!$A$11:$A$1309,0)),INDEX('SKU明细'!$CE$11:$CE$1309,MATCH("32582-PK-38",'SKU明细'!$A$11:$A$1309,0)),INDEX('SKU明细'!$CE$11:$CE$1309,MATCH("32582-PK-38.5",'SKU明细'!$A$11:$A$1309,0)),INDEX('SKU明细'!$CE$11:$CE$1309,MATCH("32582-PK-39",'SKU明细'!$A$11:$A$1309,0)),INDEX('SKU明细'!$CE$11:$CE$1309,MATCH("32582-PK-39.5",'SKU明细'!$A$11:$A$1309,0)),INDEX('SKU明细'!$CE$11:$CE$1309,MATCH("32582-PK-40",'SKU明细'!$A$11:$A$1309,0)),INDEX('SKU明细'!$CE$11:$CE$1309,MATCH("32582-PK-40.5",'SKU明细'!$A$11:$A$1309,0)),INDEX('SKU明细'!$CE$11:$CE$1309,MATCH("32582-PK-41",'SKU明细'!$A$11:$A$1309,0)),INDEX('SKU明细'!$CE$11:$CE$1309,MATCH("32582-PK-41.5",'SKU明细'!$A$11:$A$1309,0)),INDEX('SKU明细'!$CE$11:$CE$1309,MATCH("32582-PK-42",'SKU明细'!$A$11:$A$1309,0)))=11,SUM(INDEX('SKU明细'!$CE$11:$CE$1309,MATCH("32582-PK-37",'SKU明细'!$A$11:$A$1309,0)),INDEX('SKU明细'!$CE$11:$CE$1309,MATCH("32582-PK-37.5",'SKU明细'!$A$11:$A$1309,0)),INDEX('SKU明细'!$CE$11:$CE$1309,MATCH("32582-PK-38",'SKU明细'!$A$11:$A$1309,0)),INDEX('SKU明细'!$CE$11:$CE$1309,MATCH("32582-PK-38.5",'SKU明细'!$A$11:$A$1309,0)),INDEX('SKU明细'!$CE$11:$CE$1309,MATCH("32582-PK-39",'SKU明细'!$A$11:$A$1309,0)),INDEX('SKU明细'!$CE$11:$CE$1309,MATCH("32582-PK-39.5",'SKU明细'!$A$11:$A$1309,0)),INDEX('SKU明细'!$CE$11:$CE$1309,MATCH("32582-PK-40",'SKU明细'!$A$11:$A$1309,0)),INDEX('SKU明细'!$CE$11:$CE$1309,MATCH("32582-PK-40.5",'SKU明细'!$A$11:$A$1309,0)),INDEX('SKU明细'!$CE$11:$CE$1309,MATCH("32582-PK-41",'SKU明细'!$A$11:$A$1309,0)),INDEX('SKU明细'!$CE$11:$CE$1309,MATCH("32582-PK-41.5",'SKU明细'!$A$11:$A$1309,0)),INDEX('SKU明细'!$CE$11:$CE$1309,MATCH("32582-PK-42",'SKU明细'!$A$11:$A$1309,0))),"待核")</x:f>
        <x:v>3.192548820456715</x:v>
      </x:c>
      <x:c r="AD108" s="11" t="n">
        <x:f>INDEX('SKU明细'!$CF$11:$CF$1309,MATCH("32582-PK-37",'SKU明细'!$A$11:$A$1309,0))</x:f>
        <x:v>1.2908918272824135</x:v>
      </x:c>
      <x:c r="AE108" s="13" t="n">
        <x:f>IF(COUNT(INDEX('SKU明细'!$CH$11:$CH$1309,MATCH("32582-PK-37",'SKU明细'!$A$11:$A$1309,0)),INDEX('SKU明细'!$CH$11:$CH$1309,MATCH("32582-PK-37.5",'SKU明细'!$A$11:$A$1309,0)),INDEX('SKU明细'!$CH$11:$CH$1309,MATCH("32582-PK-38",'SKU明细'!$A$11:$A$1309,0)),INDEX('SKU明细'!$CH$11:$CH$1309,MATCH("32582-PK-38.5",'SKU明细'!$A$11:$A$1309,0)),INDEX('SKU明细'!$CH$11:$CH$1309,MATCH("32582-PK-39",'SKU明细'!$A$11:$A$1309,0)),INDEX('SKU明细'!$CH$11:$CH$1309,MATCH("32582-PK-39.5",'SKU明细'!$A$11:$A$1309,0)),INDEX('SKU明细'!$CH$11:$CH$1309,MATCH("32582-PK-40",'SKU明细'!$A$11:$A$1309,0)),INDEX('SKU明细'!$CH$11:$CH$1309,MATCH("32582-PK-40.5",'SKU明细'!$A$11:$A$1309,0)),INDEX('SKU明细'!$CH$11:$CH$1309,MATCH("32582-PK-41",'SKU明细'!$A$11:$A$1309,0)),INDEX('SKU明细'!$CH$11:$CH$1309,MATCH("32582-PK-41.5",'SKU明细'!$A$11:$A$1309,0)),INDEX('SKU明细'!$CH$11:$CH$1309,MATCH("32582-PK-42",'SKU明细'!$A$11:$A$1309,0)))=11,SUM(INDEX('SKU明细'!$CH$11:$CH$1309,MATCH("32582-PK-37",'SKU明细'!$A$11:$A$1309,0)),INDEX('SKU明细'!$CH$11:$CH$1309,MATCH("32582-PK-37.5",'SKU明细'!$A$11:$A$1309,0)),INDEX('SKU明细'!$CH$11:$CH$1309,MATCH("32582-PK-38",'SKU明细'!$A$11:$A$1309,0)),INDEX('SKU明细'!$CH$11:$CH$1309,MATCH("32582-PK-38.5",'SKU明细'!$A$11:$A$1309,0)),INDEX('SKU明细'!$CH$11:$CH$1309,MATCH("32582-PK-39",'SKU明细'!$A$11:$A$1309,0)),INDEX('SKU明细'!$CH$11:$CH$1309,MATCH("32582-PK-39.5",'SKU明细'!$A$11:$A$1309,0)),INDEX('SKU明细'!$CH$11:$CH$1309,MATCH("32582-PK-40",'SKU明细'!$A$11:$A$1309,0)),INDEX('SKU明细'!$CH$11:$CH$1309,MATCH("32582-PK-40.5",'SKU明细'!$A$11:$A$1309,0)),INDEX('SKU明细'!$CH$11:$CH$1309,MATCH("32582-PK-41",'SKU明细'!$A$11:$A$1309,0)),INDEX('SKU明细'!$CH$11:$CH$1309,MATCH("32582-PK-41.5",'SKU明细'!$A$11:$A$1309,0)),INDEX('SKU明细'!$CH$11:$CH$1309,MATCH("32582-PK-42",'SKU明细'!$A$11:$A$1309,0))),"待核")</x:f>
        <x:v>2.8971813261615558</x:v>
      </x:c>
      <x:c r="AF108" s="13" t="n">
        <x:f>IF(COUNT(INDEX('SKU明细'!$CI$11:$CI$1309,MATCH("32582-PK-37",'SKU明细'!$A$11:$A$1309,0)),INDEX('SKU明细'!$CI$11:$CI$1309,MATCH("32582-PK-37.5",'SKU明细'!$A$11:$A$1309,0)),INDEX('SKU明细'!$CI$11:$CI$1309,MATCH("32582-PK-38",'SKU明细'!$A$11:$A$1309,0)),INDEX('SKU明细'!$CI$11:$CI$1309,MATCH("32582-PK-38.5",'SKU明细'!$A$11:$A$1309,0)),INDEX('SKU明细'!$CI$11:$CI$1309,MATCH("32582-PK-39",'SKU明细'!$A$11:$A$1309,0)),INDEX('SKU明细'!$CI$11:$CI$1309,MATCH("32582-PK-39.5",'SKU明细'!$A$11:$A$1309,0)),INDEX('SKU明细'!$CI$11:$CI$1309,MATCH("32582-PK-40",'SKU明细'!$A$11:$A$1309,0)),INDEX('SKU明细'!$CI$11:$CI$1309,MATCH("32582-PK-40.5",'SKU明细'!$A$11:$A$1309,0)),INDEX('SKU明细'!$CI$11:$CI$1309,MATCH("32582-PK-41",'SKU明细'!$A$11:$A$1309,0)),INDEX('SKU明细'!$CI$11:$CI$1309,MATCH("32582-PK-41.5",'SKU明细'!$A$11:$A$1309,0)),INDEX('SKU明细'!$CI$11:$CI$1309,MATCH("32582-PK-42",'SKU明细'!$A$11:$A$1309,0)))=11,SUM(INDEX('SKU明细'!$CI$11:$CI$1309,MATCH("32582-PK-37",'SKU明细'!$A$11:$A$1309,0)),INDEX('SKU明细'!$CI$11:$CI$1309,MATCH("32582-PK-37.5",'SKU明细'!$A$11:$A$1309,0)),INDEX('SKU明细'!$CI$11:$CI$1309,MATCH("32582-PK-38",'SKU明细'!$A$11:$A$1309,0)),INDEX('SKU明细'!$CI$11:$CI$1309,MATCH("32582-PK-38.5",'SKU明细'!$A$11:$A$1309,0)),INDEX('SKU明细'!$CI$11:$CI$1309,MATCH("32582-PK-39",'SKU明细'!$A$11:$A$1309,0)),INDEX('SKU明细'!$CI$11:$CI$1309,MATCH("32582-PK-39.5",'SKU明细'!$A$11:$A$1309,0)),INDEX('SKU明细'!$CI$11:$CI$1309,MATCH("32582-PK-40",'SKU明细'!$A$11:$A$1309,0)),INDEX('SKU明细'!$CI$11:$CI$1309,MATCH("32582-PK-40.5",'SKU明细'!$A$11:$A$1309,0)),INDEX('SKU明细'!$CI$11:$CI$1309,MATCH("32582-PK-41",'SKU明细'!$A$11:$A$1309,0)),INDEX('SKU明细'!$CI$11:$CI$1309,MATCH("32582-PK-41.5",'SKU明细'!$A$11:$A$1309,0)),INDEX('SKU明细'!$CI$11:$CI$1309,MATCH("32582-PK-42",'SKU明细'!$A$11:$A$1309,0))),"待核")</x:f>
        <x:v>11.653701370626619</x:v>
      </x:c>
    </x:row>
    <x:row r="109" ht="40" customHeight="1">
      <x:c r="A109" s="37" t="str">
        <x:v>32582</x:v>
      </x:c>
      <x:c r="B109" s="37" t="str">
        <x:v>徐新怡</x:v>
      </x:c>
      <x:c r="C109" s="37" t="str">
        <x:v>红色</x:v>
      </x:c>
      <x:c r="D109" s="37" t="str">
        <x:v>RD</x:v>
      </x:c>
      <x:c r="E109" s="37" t="str">
        <x:v>32582-RD</x:v>
      </x:c>
      <x:c r="F109" s="37"/>
      <x:c r="G109" s="38" t="str">
        <x:f>"—"</x:f>
        <x:v>—</x:v>
      </x:c>
      <x:c r="H109" s="38" t="n">
        <x:f>IF(COUNT(INDEX('SKU明细'!$D$11:$D$1309,MATCH("32582-RD-37",'SKU明细'!$A$11:$A$1309,0)))=0,"待核",IF(COUNT(INDEX('SKU明细'!$D$11:$D$1309,MATCH("32582-RD-37",'SKU明细'!$A$11:$A$1309,0)))&lt;1,SUM(INDEX('SKU明细'!$D$11:$D$1309,MATCH("32582-RD-37",'SKU明细'!$A$11:$A$1309,0)))&amp;" + 待核",SUM(INDEX('SKU明细'!$D$11:$D$1309,MATCH("32582-RD-37",'SKU明细'!$A$11:$A$1309,0)))))</x:f>
        <x:v>0</x:v>
      </x:c>
      <x:c r="I109" s="38" t="n">
        <x:f>IF(COUNT(INDEX('SKU明细'!$D$11:$D$1309,MATCH("32582-RD-37.5",'SKU明细'!$A$11:$A$1309,0)))=0,"待核",IF(COUNT(INDEX('SKU明细'!$D$11:$D$1309,MATCH("32582-RD-37.5",'SKU明细'!$A$11:$A$1309,0)))&lt;1,SUM(INDEX('SKU明细'!$D$11:$D$1309,MATCH("32582-RD-37.5",'SKU明细'!$A$11:$A$1309,0)))&amp;" + 待核",SUM(INDEX('SKU明细'!$D$11:$D$1309,MATCH("32582-RD-37.5",'SKU明细'!$A$11:$A$1309,0)))))</x:f>
        <x:v>0</x:v>
      </x:c>
      <x:c r="J109" s="38" t="n">
        <x:f>IF(COUNT(INDEX('SKU明细'!$D$11:$D$1309,MATCH("32582-RD-38",'SKU明细'!$A$11:$A$1309,0)))=0,"待核",IF(COUNT(INDEX('SKU明细'!$D$11:$D$1309,MATCH("32582-RD-38",'SKU明细'!$A$11:$A$1309,0)))&lt;1,SUM(INDEX('SKU明细'!$D$11:$D$1309,MATCH("32582-RD-38",'SKU明细'!$A$11:$A$1309,0)))&amp;" + 待核",SUM(INDEX('SKU明细'!$D$11:$D$1309,MATCH("32582-RD-38",'SKU明细'!$A$11:$A$1309,0)))))</x:f>
        <x:v>0</x:v>
      </x:c>
      <x:c r="K109" s="38" t="n">
        <x:f>IF(COUNT(INDEX('SKU明细'!$D$11:$D$1309,MATCH("32582-RD-38.5",'SKU明细'!$A$11:$A$1309,0)))=0,"待核",IF(COUNT(INDEX('SKU明细'!$D$11:$D$1309,MATCH("32582-RD-38.5",'SKU明细'!$A$11:$A$1309,0)))&lt;1,SUM(INDEX('SKU明细'!$D$11:$D$1309,MATCH("32582-RD-38.5",'SKU明细'!$A$11:$A$1309,0)))&amp;" + 待核",SUM(INDEX('SKU明细'!$D$11:$D$1309,MATCH("32582-RD-38.5",'SKU明细'!$A$11:$A$1309,0)))))</x:f>
        <x:v>0</x:v>
      </x:c>
      <x:c r="L109" s="38" t="n">
        <x:f>IF(COUNT(INDEX('SKU明细'!$D$11:$D$1309,MATCH("32582-RD-39",'SKU明细'!$A$11:$A$1309,0)))=0,"待核",IF(COUNT(INDEX('SKU明细'!$D$11:$D$1309,MATCH("32582-RD-39",'SKU明细'!$A$11:$A$1309,0)))&lt;1,SUM(INDEX('SKU明细'!$D$11:$D$1309,MATCH("32582-RD-39",'SKU明细'!$A$11:$A$1309,0)))&amp;" + 待核",SUM(INDEX('SKU明细'!$D$11:$D$1309,MATCH("32582-RD-39",'SKU明细'!$A$11:$A$1309,0)))))</x:f>
        <x:v>0</x:v>
      </x:c>
      <x:c r="M109" s="38" t="n">
        <x:f>IF(COUNT(INDEX('SKU明细'!$D$11:$D$1309,MATCH("32582-RD-39.5",'SKU明细'!$A$11:$A$1309,0)))=0,"待核",IF(COUNT(INDEX('SKU明细'!$D$11:$D$1309,MATCH("32582-RD-39.5",'SKU明细'!$A$11:$A$1309,0)))&lt;1,SUM(INDEX('SKU明细'!$D$11:$D$1309,MATCH("32582-RD-39.5",'SKU明细'!$A$11:$A$1309,0)))&amp;" + 待核",SUM(INDEX('SKU明细'!$D$11:$D$1309,MATCH("32582-RD-39.5",'SKU明细'!$A$11:$A$1309,0)))))</x:f>
        <x:v>0</x:v>
      </x:c>
      <x:c r="N109" s="38" t="n">
        <x:f>IF(COUNT(INDEX('SKU明细'!$D$11:$D$1309,MATCH("32582-RD-40",'SKU明细'!$A$11:$A$1309,0)))=0,"待核",IF(COUNT(INDEX('SKU明细'!$D$11:$D$1309,MATCH("32582-RD-40",'SKU明细'!$A$11:$A$1309,0)))&lt;1,SUM(INDEX('SKU明细'!$D$11:$D$1309,MATCH("32582-RD-40",'SKU明细'!$A$11:$A$1309,0)))&amp;" + 待核",SUM(INDEX('SKU明细'!$D$11:$D$1309,MATCH("32582-RD-40",'SKU明细'!$A$11:$A$1309,0)))))</x:f>
        <x:v>0</x:v>
      </x:c>
      <x:c r="O109" s="38" t="n">
        <x:f>IF(COUNT(INDEX('SKU明细'!$D$11:$D$1309,MATCH("32582-RD-40.5",'SKU明细'!$A$11:$A$1309,0)))=0,"待核",IF(COUNT(INDEX('SKU明细'!$D$11:$D$1309,MATCH("32582-RD-40.5",'SKU明细'!$A$11:$A$1309,0)))&lt;1,SUM(INDEX('SKU明细'!$D$11:$D$1309,MATCH("32582-RD-40.5",'SKU明细'!$A$11:$A$1309,0)))&amp;" + 待核",SUM(INDEX('SKU明细'!$D$11:$D$1309,MATCH("32582-RD-40.5",'SKU明细'!$A$11:$A$1309,0)))))</x:f>
        <x:v>0</x:v>
      </x:c>
      <x:c r="P109" s="38" t="n">
        <x:f>IF(COUNT(INDEX('SKU明细'!$D$11:$D$1309,MATCH("32582-RD-41",'SKU明细'!$A$11:$A$1309,0)))=0,"待核",IF(COUNT(INDEX('SKU明细'!$D$11:$D$1309,MATCH("32582-RD-41",'SKU明细'!$A$11:$A$1309,0)))&lt;1,SUM(INDEX('SKU明细'!$D$11:$D$1309,MATCH("32582-RD-41",'SKU明细'!$A$11:$A$1309,0)))&amp;" + 待核",SUM(INDEX('SKU明细'!$D$11:$D$1309,MATCH("32582-RD-41",'SKU明细'!$A$11:$A$1309,0)))))</x:f>
        <x:v>0</x:v>
      </x:c>
      <x:c r="Q109" s="38" t="n">
        <x:f>IF(COUNT(INDEX('SKU明细'!$D$11:$D$1309,MATCH("32582-RD-41.5",'SKU明细'!$A$11:$A$1309,0)))=0,"待核",IF(COUNT(INDEX('SKU明细'!$D$11:$D$1309,MATCH("32582-RD-41.5",'SKU明细'!$A$11:$A$1309,0)))&lt;1,SUM(INDEX('SKU明细'!$D$11:$D$1309,MATCH("32582-RD-41.5",'SKU明细'!$A$11:$A$1309,0)))&amp;" + 待核",SUM(INDEX('SKU明细'!$D$11:$D$1309,MATCH("32582-RD-41.5",'SKU明细'!$A$11:$A$1309,0)))))</x:f>
        <x:v>0</x:v>
      </x:c>
      <x:c r="R109" s="38" t="n">
        <x:f>IF(COUNT(INDEX('SKU明细'!$D$11:$D$1309,MATCH("32582-RD-42",'SKU明细'!$A$11:$A$1309,0)))=0,"待核",IF(COUNT(INDEX('SKU明细'!$D$11:$D$1309,MATCH("32582-RD-42",'SKU明细'!$A$11:$A$1309,0)))&lt;1,SUM(INDEX('SKU明细'!$D$11:$D$1309,MATCH("32582-RD-42",'SKU明细'!$A$11:$A$1309,0)))&amp;" + 待核",SUM(INDEX('SKU明细'!$D$11:$D$1309,MATCH("32582-RD-42",'SKU明细'!$A$11:$A$1309,0)))))</x:f>
        <x:v>0</x:v>
      </x:c>
      <x:c r="S109" s="38" t="n">
        <x:f>IF(COUNT(INDEX('SKU明细'!$D$11:$D$1309,MATCH("32582-RD-37",'SKU明细'!$A$11:$A$1309,0)),INDEX('SKU明细'!$D$11:$D$1309,MATCH("32582-RD-37.5",'SKU明细'!$A$11:$A$1309,0)),INDEX('SKU明细'!$D$11:$D$1309,MATCH("32582-RD-38",'SKU明细'!$A$11:$A$1309,0)),INDEX('SKU明细'!$D$11:$D$1309,MATCH("32582-RD-38.5",'SKU明细'!$A$11:$A$1309,0)),INDEX('SKU明细'!$D$11:$D$1309,MATCH("32582-RD-39",'SKU明细'!$A$11:$A$1309,0)),INDEX('SKU明细'!$D$11:$D$1309,MATCH("32582-RD-39.5",'SKU明细'!$A$11:$A$1309,0)),INDEX('SKU明细'!$D$11:$D$1309,MATCH("32582-RD-40",'SKU明细'!$A$11:$A$1309,0)),INDEX('SKU明细'!$D$11:$D$1309,MATCH("32582-RD-40.5",'SKU明细'!$A$11:$A$1309,0)),INDEX('SKU明细'!$D$11:$D$1309,MATCH("32582-RD-41",'SKU明细'!$A$11:$A$1309,0)),INDEX('SKU明细'!$D$11:$D$1309,MATCH("32582-RD-41.5",'SKU明细'!$A$11:$A$1309,0)),INDEX('SKU明细'!$D$11:$D$1309,MATCH("32582-RD-42",'SKU明细'!$A$11:$A$1309,0)))=0,"待核",SUM(INDEX('SKU明细'!$D$11:$D$1309,MATCH("32582-RD-37",'SKU明细'!$A$11:$A$1309,0)),INDEX('SKU明细'!$D$11:$D$1309,MATCH("32582-RD-37.5",'SKU明细'!$A$11:$A$1309,0)),INDEX('SKU明细'!$D$11:$D$1309,MATCH("32582-RD-38",'SKU明细'!$A$11:$A$1309,0)),INDEX('SKU明细'!$D$11:$D$1309,MATCH("32582-RD-38.5",'SKU明细'!$A$11:$A$1309,0)),INDEX('SKU明细'!$D$11:$D$1309,MATCH("32582-RD-39",'SKU明细'!$A$11:$A$1309,0)),INDEX('SKU明细'!$D$11:$D$1309,MATCH("32582-RD-39.5",'SKU明细'!$A$11:$A$1309,0)),INDEX('SKU明细'!$D$11:$D$1309,MATCH("32582-RD-40",'SKU明细'!$A$11:$A$1309,0)),INDEX('SKU明细'!$D$11:$D$1309,MATCH("32582-RD-40.5",'SKU明细'!$A$11:$A$1309,0)),INDEX('SKU明细'!$D$11:$D$1309,MATCH("32582-RD-41",'SKU明细'!$A$11:$A$1309,0)),INDEX('SKU明细'!$D$11:$D$1309,MATCH("32582-RD-41.5",'SKU明细'!$A$11:$A$1309,0)),INDEX('SKU明细'!$D$11:$D$1309,MATCH("32582-RD-42",'SKU明细'!$A$11:$A$1309,0))))</x:f>
        <x:v>0</x:v>
      </x:c>
      <x:c r="T109" s="38" t="n">
        <x:f>IF(COUNTIFS($A$9:$A$191,A109,$U$9:$U$191,"&lt;&gt;待核")=0,"待核",SUMIF($A$9:$A$191,A109,$S$9:$S$191))</x:f>
        <x:v>197</x:v>
      </x:c>
      <x:c r="U109" s="37" t="str">
        <x:f>IF(COUNT(INDEX('SKU明细'!$D$11:$D$1309,MATCH("32582-RD-37",'SKU明细'!$A$11:$A$1309,0)),INDEX('SKU明细'!$D$11:$D$1309,MATCH("32582-RD-37.5",'SKU明细'!$A$11:$A$1309,0)),INDEX('SKU明细'!$D$11:$D$1309,MATCH("32582-RD-38",'SKU明细'!$A$11:$A$1309,0)),INDEX('SKU明细'!$D$11:$D$1309,MATCH("32582-RD-38.5",'SKU明细'!$A$11:$A$1309,0)),INDEX('SKU明细'!$D$11:$D$1309,MATCH("32582-RD-39",'SKU明细'!$A$11:$A$1309,0)),INDEX('SKU明细'!$D$11:$D$1309,MATCH("32582-RD-39.5",'SKU明细'!$A$11:$A$1309,0)),INDEX('SKU明细'!$D$11:$D$1309,MATCH("32582-RD-40",'SKU明细'!$A$11:$A$1309,0)),INDEX('SKU明细'!$D$11:$D$1309,MATCH("32582-RD-40.5",'SKU明细'!$A$11:$A$1309,0)),INDEX('SKU明细'!$D$11:$D$1309,MATCH("32582-RD-41",'SKU明细'!$A$11:$A$1309,0)),INDEX('SKU明细'!$D$11:$D$1309,MATCH("32582-RD-41.5",'SKU明细'!$A$11:$A$1309,0)),INDEX('SKU明细'!$D$11:$D$1309,MATCH("32582-RD-42",'SKU明细'!$A$11:$A$1309,0)))=0,"待核",IF(COUNT(INDEX('SKU明细'!$D$11:$D$1309,MATCH("32582-RD-37",'SKU明细'!$A$11:$A$1309,0)),INDEX('SKU明细'!$D$11:$D$1309,MATCH("32582-RD-37.5",'SKU明细'!$A$11:$A$1309,0)),INDEX('SKU明细'!$D$11:$D$1309,MATCH("32582-RD-38",'SKU明细'!$A$11:$A$1309,0)),INDEX('SKU明细'!$D$11:$D$1309,MATCH("32582-RD-38.5",'SKU明细'!$A$11:$A$1309,0)),INDEX('SKU明细'!$D$11:$D$1309,MATCH("32582-RD-39",'SKU明细'!$A$11:$A$1309,0)),INDEX('SKU明细'!$D$11:$D$1309,MATCH("32582-RD-39.5",'SKU明细'!$A$11:$A$1309,0)),INDEX('SKU明细'!$D$11:$D$1309,MATCH("32582-RD-40",'SKU明细'!$A$11:$A$1309,0)),INDEX('SKU明细'!$D$11:$D$1309,MATCH("32582-RD-40.5",'SKU明细'!$A$11:$A$1309,0)),INDEX('SKU明细'!$D$11:$D$1309,MATCH("32582-RD-41",'SKU明细'!$A$11:$A$1309,0)),INDEX('SKU明细'!$D$11:$D$1309,MATCH("32582-RD-41.5",'SKU明细'!$A$11:$A$1309,0)),INDEX('SKU明细'!$D$11:$D$1309,MATCH("32582-RD-42",'SKU明细'!$A$11:$A$1309,0)))&lt;11,"另有待核","已核"))</x:f>
        <x:v>已核</x:v>
      </x:c>
      <x:c r="V109" s="37" t="str">
        <x:v>停售、在售</x:v>
      </x:c>
      <x:c r="W109" s="11" t="n">
        <x:f>IF(COUNT(INDEX('SKU明细'!$BV$11:$BV$1309,MATCH("32582-RD-37",'SKU明细'!$A$11:$A$1309,0)),INDEX('SKU明细'!$BV$11:$BV$1309,MATCH("32582-RD-37.5",'SKU明细'!$A$11:$A$1309,0)),INDEX('SKU明细'!$BV$11:$BV$1309,MATCH("32582-RD-38",'SKU明细'!$A$11:$A$1309,0)),INDEX('SKU明细'!$BV$11:$BV$1309,MATCH("32582-RD-38.5",'SKU明细'!$A$11:$A$1309,0)),INDEX('SKU明细'!$BV$11:$BV$1309,MATCH("32582-RD-39",'SKU明细'!$A$11:$A$1309,0)),INDEX('SKU明细'!$BV$11:$BV$1309,MATCH("32582-RD-39.5",'SKU明细'!$A$11:$A$1309,0)),INDEX('SKU明细'!$BV$11:$BV$1309,MATCH("32582-RD-40",'SKU明细'!$A$11:$A$1309,0)),INDEX('SKU明细'!$BV$11:$BV$1309,MATCH("32582-RD-40.5",'SKU明细'!$A$11:$A$1309,0)),INDEX('SKU明细'!$BV$11:$BV$1309,MATCH("32582-RD-41",'SKU明细'!$A$11:$A$1309,0)),INDEX('SKU明细'!$BV$11:$BV$1309,MATCH("32582-RD-41.5",'SKU明细'!$A$11:$A$1309,0)),INDEX('SKU明细'!$BV$11:$BV$1309,MATCH("32582-RD-42",'SKU明细'!$A$11:$A$1309,0)))=11,SUM(INDEX('SKU明细'!$BV$11:$BV$1309,MATCH("32582-RD-37",'SKU明细'!$A$11:$A$1309,0)),INDEX('SKU明细'!$BV$11:$BV$1309,MATCH("32582-RD-37.5",'SKU明细'!$A$11:$A$1309,0)),INDEX('SKU明细'!$BV$11:$BV$1309,MATCH("32582-RD-38",'SKU明细'!$A$11:$A$1309,0)),INDEX('SKU明细'!$BV$11:$BV$1309,MATCH("32582-RD-38.5",'SKU明细'!$A$11:$A$1309,0)),INDEX('SKU明细'!$BV$11:$BV$1309,MATCH("32582-RD-39",'SKU明细'!$A$11:$A$1309,0)),INDEX('SKU明细'!$BV$11:$BV$1309,MATCH("32582-RD-39.5",'SKU明细'!$A$11:$A$1309,0)),INDEX('SKU明细'!$BV$11:$BV$1309,MATCH("32582-RD-40",'SKU明细'!$A$11:$A$1309,0)),INDEX('SKU明细'!$BV$11:$BV$1309,MATCH("32582-RD-40.5",'SKU明细'!$A$11:$A$1309,0)),INDEX('SKU明细'!$BV$11:$BV$1309,MATCH("32582-RD-41",'SKU明细'!$A$11:$A$1309,0)),INDEX('SKU明细'!$BV$11:$BV$1309,MATCH("32582-RD-41.5",'SKU明细'!$A$11:$A$1309,0)),INDEX('SKU明细'!$BV$11:$BV$1309,MATCH("32582-RD-42",'SKU明细'!$A$11:$A$1309,0))),"待核")</x:f>
        <x:v>0.17414025453815726</x:v>
      </x:c>
      <x:c r="X109" s="11" t="n">
        <x:f>INDEX('SKU明细'!$BW$11:$BW$1309,MATCH("32582-RD-37",'SKU明细'!$A$11:$A$1309,0))</x:f>
        <x:v>1.0395067087630607</x:v>
      </x:c>
      <x:c r="Y109" s="13" t="n">
        <x:f>IF(COUNT(INDEX('SKU明细'!$BY$11:$BY$1309,MATCH("32582-RD-37",'SKU明细'!$A$11:$A$1309,0)),INDEX('SKU明细'!$BY$11:$BY$1309,MATCH("32582-RD-37.5",'SKU明细'!$A$11:$A$1309,0)),INDEX('SKU明细'!$BY$11:$BY$1309,MATCH("32582-RD-38",'SKU明细'!$A$11:$A$1309,0)),INDEX('SKU明细'!$BY$11:$BY$1309,MATCH("32582-RD-38.5",'SKU明细'!$A$11:$A$1309,0)),INDEX('SKU明细'!$BY$11:$BY$1309,MATCH("32582-RD-39",'SKU明细'!$A$11:$A$1309,0)),INDEX('SKU明细'!$BY$11:$BY$1309,MATCH("32582-RD-39.5",'SKU明细'!$A$11:$A$1309,0)),INDEX('SKU明细'!$BY$11:$BY$1309,MATCH("32582-RD-40",'SKU明细'!$A$11:$A$1309,0)),INDEX('SKU明细'!$BY$11:$BY$1309,MATCH("32582-RD-40.5",'SKU明细'!$A$11:$A$1309,0)),INDEX('SKU明细'!$BY$11:$BY$1309,MATCH("32582-RD-41",'SKU明细'!$A$11:$A$1309,0)),INDEX('SKU明细'!$BY$11:$BY$1309,MATCH("32582-RD-41.5",'SKU明细'!$A$11:$A$1309,0)),INDEX('SKU明细'!$BY$11:$BY$1309,MATCH("32582-RD-42",'SKU明细'!$A$11:$A$1309,0)))=11,SUM(INDEX('SKU明细'!$BY$11:$BY$1309,MATCH("32582-RD-37",'SKU明细'!$A$11:$A$1309,0)),INDEX('SKU明细'!$BY$11:$BY$1309,MATCH("32582-RD-37.5",'SKU明细'!$A$11:$A$1309,0)),INDEX('SKU明细'!$BY$11:$BY$1309,MATCH("32582-RD-38",'SKU明细'!$A$11:$A$1309,0)),INDEX('SKU明细'!$BY$11:$BY$1309,MATCH("32582-RD-38.5",'SKU明细'!$A$11:$A$1309,0)),INDEX('SKU明细'!$BY$11:$BY$1309,MATCH("32582-RD-39",'SKU明细'!$A$11:$A$1309,0)),INDEX('SKU明细'!$BY$11:$BY$1309,MATCH("32582-RD-39.5",'SKU明细'!$A$11:$A$1309,0)),INDEX('SKU明细'!$BY$11:$BY$1309,MATCH("32582-RD-40",'SKU明细'!$A$11:$A$1309,0)),INDEX('SKU明细'!$BY$11:$BY$1309,MATCH("32582-RD-40.5",'SKU明细'!$A$11:$A$1309,0)),INDEX('SKU明细'!$BY$11:$BY$1309,MATCH("32582-RD-41",'SKU明细'!$A$11:$A$1309,0)),INDEX('SKU明细'!$BY$11:$BY$1309,MATCH("32582-RD-41.5",'SKU明细'!$A$11:$A$1309,0)),INDEX('SKU明细'!$BY$11:$BY$1309,MATCH("32582-RD-42",'SKU明细'!$A$11:$A$1309,0))),"待核")</x:f>
        <x:v>2.172239554297458</x:v>
      </x:c>
      <x:c r="Z109" s="11" t="n">
        <x:f>INDEX('SKU明细'!$BZ$11:$BZ$1309,MATCH("32582-RD-37",'SKU明细'!$A$11:$A$1309,0))</x:f>
        <x:v>0.9890368360033146</x:v>
      </x:c>
      <x:c r="AA109" s="13" t="n">
        <x:f>IF(COUNT(INDEX('SKU明细'!$CB$11:$CB$1309,MATCH("32582-RD-37",'SKU明细'!$A$11:$A$1309,0)),INDEX('SKU明细'!$CB$11:$CB$1309,MATCH("32582-RD-37.5",'SKU明细'!$A$11:$A$1309,0)),INDEX('SKU明细'!$CB$11:$CB$1309,MATCH("32582-RD-38",'SKU明细'!$A$11:$A$1309,0)),INDEX('SKU明细'!$CB$11:$CB$1309,MATCH("32582-RD-38.5",'SKU明细'!$A$11:$A$1309,0)),INDEX('SKU明细'!$CB$11:$CB$1309,MATCH("32582-RD-39",'SKU明细'!$A$11:$A$1309,0)),INDEX('SKU明细'!$CB$11:$CB$1309,MATCH("32582-RD-39.5",'SKU明细'!$A$11:$A$1309,0)),INDEX('SKU明细'!$CB$11:$CB$1309,MATCH("32582-RD-40",'SKU明细'!$A$11:$A$1309,0)),INDEX('SKU明细'!$CB$11:$CB$1309,MATCH("32582-RD-40.5",'SKU明细'!$A$11:$A$1309,0)),INDEX('SKU明细'!$CB$11:$CB$1309,MATCH("32582-RD-41",'SKU明细'!$A$11:$A$1309,0)),INDEX('SKU明细'!$CB$11:$CB$1309,MATCH("32582-RD-41.5",'SKU明细'!$A$11:$A$1309,0)),INDEX('SKU明细'!$CB$11:$CB$1309,MATCH("32582-RD-42",'SKU明细'!$A$11:$A$1309,0)))=11,SUM(INDEX('SKU明细'!$CB$11:$CB$1309,MATCH("32582-RD-37",'SKU明细'!$A$11:$A$1309,0)),INDEX('SKU明细'!$CB$11:$CB$1309,MATCH("32582-RD-37.5",'SKU明细'!$A$11:$A$1309,0)),INDEX('SKU明细'!$CB$11:$CB$1309,MATCH("32582-RD-38",'SKU明细'!$A$11:$A$1309,0)),INDEX('SKU明细'!$CB$11:$CB$1309,MATCH("32582-RD-38.5",'SKU明细'!$A$11:$A$1309,0)),INDEX('SKU明细'!$CB$11:$CB$1309,MATCH("32582-RD-39",'SKU明细'!$A$11:$A$1309,0)),INDEX('SKU明细'!$CB$11:$CB$1309,MATCH("32582-RD-39.5",'SKU明细'!$A$11:$A$1309,0)),INDEX('SKU明细'!$CB$11:$CB$1309,MATCH("32582-RD-40",'SKU明细'!$A$11:$A$1309,0)),INDEX('SKU明细'!$CB$11:$CB$1309,MATCH("32582-RD-40.5",'SKU明细'!$A$11:$A$1309,0)),INDEX('SKU明细'!$CB$11:$CB$1309,MATCH("32582-RD-41",'SKU明细'!$A$11:$A$1309,0)),INDEX('SKU明细'!$CB$11:$CB$1309,MATCH("32582-RD-41.5",'SKU明细'!$A$11:$A$1309,0)),INDEX('SKU明细'!$CB$11:$CB$1309,MATCH("32582-RD-42",'SKU明细'!$A$11:$A$1309,0))),"待核")</x:f>
        <x:v>5.166933791076927</x:v>
      </x:c>
      <x:c r="AB109" s="11" t="n">
        <x:f>INDEX('SKU明细'!$CC$11:$CC$1309,MATCH("32582-RD-37",'SKU明细'!$A$11:$A$1309,0))</x:f>
        <x:v>0.7800796503018808</x:v>
      </x:c>
      <x:c r="AC109" s="13" t="n">
        <x:f>IF(COUNT(INDEX('SKU明细'!$CE$11:$CE$1309,MATCH("32582-RD-37",'SKU明细'!$A$11:$A$1309,0)),INDEX('SKU明细'!$CE$11:$CE$1309,MATCH("32582-RD-37.5",'SKU明细'!$A$11:$A$1309,0)),INDEX('SKU明细'!$CE$11:$CE$1309,MATCH("32582-RD-38",'SKU明细'!$A$11:$A$1309,0)),INDEX('SKU明细'!$CE$11:$CE$1309,MATCH("32582-RD-38.5",'SKU明细'!$A$11:$A$1309,0)),INDEX('SKU明细'!$CE$11:$CE$1309,MATCH("32582-RD-39",'SKU明细'!$A$11:$A$1309,0)),INDEX('SKU明细'!$CE$11:$CE$1309,MATCH("32582-RD-39.5",'SKU明细'!$A$11:$A$1309,0)),INDEX('SKU明细'!$CE$11:$CE$1309,MATCH("32582-RD-40",'SKU明细'!$A$11:$A$1309,0)),INDEX('SKU明细'!$CE$11:$CE$1309,MATCH("32582-RD-40.5",'SKU明细'!$A$11:$A$1309,0)),INDEX('SKU明细'!$CE$11:$CE$1309,MATCH("32582-RD-41",'SKU明细'!$A$11:$A$1309,0)),INDEX('SKU明细'!$CE$11:$CE$1309,MATCH("32582-RD-41.5",'SKU明细'!$A$11:$A$1309,0)),INDEX('SKU明细'!$CE$11:$CE$1309,MATCH("32582-RD-42",'SKU明细'!$A$11:$A$1309,0)))=11,SUM(INDEX('SKU明细'!$CE$11:$CE$1309,MATCH("32582-RD-37",'SKU明细'!$A$11:$A$1309,0)),INDEX('SKU明细'!$CE$11:$CE$1309,MATCH("32582-RD-37.5",'SKU明细'!$A$11:$A$1309,0)),INDEX('SKU明细'!$CE$11:$CE$1309,MATCH("32582-RD-38",'SKU明细'!$A$11:$A$1309,0)),INDEX('SKU明细'!$CE$11:$CE$1309,MATCH("32582-RD-38.5",'SKU明细'!$A$11:$A$1309,0)),INDEX('SKU明细'!$CE$11:$CE$1309,MATCH("32582-RD-39",'SKU明细'!$A$11:$A$1309,0)),INDEX('SKU明细'!$CE$11:$CE$1309,MATCH("32582-RD-39.5",'SKU明细'!$A$11:$A$1309,0)),INDEX('SKU明细'!$CE$11:$CE$1309,MATCH("32582-RD-40",'SKU明细'!$A$11:$A$1309,0)),INDEX('SKU明细'!$CE$11:$CE$1309,MATCH("32582-RD-40.5",'SKU明细'!$A$11:$A$1309,0)),INDEX('SKU明细'!$CE$11:$CE$1309,MATCH("32582-RD-41",'SKU明细'!$A$11:$A$1309,0)),INDEX('SKU明细'!$CE$11:$CE$1309,MATCH("32582-RD-41.5",'SKU明细'!$A$11:$A$1309,0)),INDEX('SKU明细'!$CE$11:$CE$1309,MATCH("32582-RD-42",'SKU明细'!$A$11:$A$1309,0))),"待核")</x:f>
        <x:v>4.211141334771793</x:v>
      </x:c>
      <x:c r="AD109" s="11" t="n">
        <x:f>INDEX('SKU明细'!$CF$11:$CF$1309,MATCH("32582-RD-37",'SKU明细'!$A$11:$A$1309,0))</x:f>
        <x:v>1.2908918272824135</x:v>
      </x:c>
      <x:c r="AE109" s="13" t="n">
        <x:f>IF(COUNT(INDEX('SKU明细'!$CH$11:$CH$1309,MATCH("32582-RD-37",'SKU明细'!$A$11:$A$1309,0)),INDEX('SKU明细'!$CH$11:$CH$1309,MATCH("32582-RD-37.5",'SKU明细'!$A$11:$A$1309,0)),INDEX('SKU明细'!$CH$11:$CH$1309,MATCH("32582-RD-38",'SKU明细'!$A$11:$A$1309,0)),INDEX('SKU明细'!$CH$11:$CH$1309,MATCH("32582-RD-38.5",'SKU明细'!$A$11:$A$1309,0)),INDEX('SKU明细'!$CH$11:$CH$1309,MATCH("32582-RD-39",'SKU明细'!$A$11:$A$1309,0)),INDEX('SKU明细'!$CH$11:$CH$1309,MATCH("32582-RD-39.5",'SKU明细'!$A$11:$A$1309,0)),INDEX('SKU明细'!$CH$11:$CH$1309,MATCH("32582-RD-40",'SKU明细'!$A$11:$A$1309,0)),INDEX('SKU明细'!$CH$11:$CH$1309,MATCH("32582-RD-40.5",'SKU明细'!$A$11:$A$1309,0)),INDEX('SKU明细'!$CH$11:$CH$1309,MATCH("32582-RD-41",'SKU明细'!$A$11:$A$1309,0)),INDEX('SKU明细'!$CH$11:$CH$1309,MATCH("32582-RD-41.5",'SKU明细'!$A$11:$A$1309,0)),INDEX('SKU明细'!$CH$11:$CH$1309,MATCH("32582-RD-42",'SKU明细'!$A$11:$A$1309,0)))=11,SUM(INDEX('SKU明细'!$CH$11:$CH$1309,MATCH("32582-RD-37",'SKU明细'!$A$11:$A$1309,0)),INDEX('SKU明细'!$CH$11:$CH$1309,MATCH("32582-RD-37.5",'SKU明细'!$A$11:$A$1309,0)),INDEX('SKU明细'!$CH$11:$CH$1309,MATCH("32582-RD-38",'SKU明细'!$A$11:$A$1309,0)),INDEX('SKU明细'!$CH$11:$CH$1309,MATCH("32582-RD-38.5",'SKU明细'!$A$11:$A$1309,0)),INDEX('SKU明细'!$CH$11:$CH$1309,MATCH("32582-RD-39",'SKU明细'!$A$11:$A$1309,0)),INDEX('SKU明细'!$CH$11:$CH$1309,MATCH("32582-RD-39.5",'SKU明细'!$A$11:$A$1309,0)),INDEX('SKU明细'!$CH$11:$CH$1309,MATCH("32582-RD-40",'SKU明细'!$A$11:$A$1309,0)),INDEX('SKU明细'!$CH$11:$CH$1309,MATCH("32582-RD-40.5",'SKU明细'!$A$11:$A$1309,0)),INDEX('SKU明细'!$CH$11:$CH$1309,MATCH("32582-RD-41",'SKU明细'!$A$11:$A$1309,0)),INDEX('SKU明细'!$CH$11:$CH$1309,MATCH("32582-RD-41.5",'SKU明细'!$A$11:$A$1309,0)),INDEX('SKU明细'!$CH$11:$CH$1309,MATCH("32582-RD-42",'SKU明细'!$A$11:$A$1309,0))),"待核")</x:f>
        <x:v>3.8215359335311687</x:v>
      </x:c>
      <x:c r="AF109" s="13" t="n">
        <x:f>IF(COUNT(INDEX('SKU明细'!$CI$11:$CI$1309,MATCH("32582-RD-37",'SKU明细'!$A$11:$A$1309,0)),INDEX('SKU明细'!$CI$11:$CI$1309,MATCH("32582-RD-37.5",'SKU明细'!$A$11:$A$1309,0)),INDEX('SKU明细'!$CI$11:$CI$1309,MATCH("32582-RD-38",'SKU明细'!$A$11:$A$1309,0)),INDEX('SKU明细'!$CI$11:$CI$1309,MATCH("32582-RD-38.5",'SKU明细'!$A$11:$A$1309,0)),INDEX('SKU明细'!$CI$11:$CI$1309,MATCH("32582-RD-39",'SKU明细'!$A$11:$A$1309,0)),INDEX('SKU明细'!$CI$11:$CI$1309,MATCH("32582-RD-39.5",'SKU明细'!$A$11:$A$1309,0)),INDEX('SKU明细'!$CI$11:$CI$1309,MATCH("32582-RD-40",'SKU明细'!$A$11:$A$1309,0)),INDEX('SKU明细'!$CI$11:$CI$1309,MATCH("32582-RD-40.5",'SKU明细'!$A$11:$A$1309,0)),INDEX('SKU明细'!$CI$11:$CI$1309,MATCH("32582-RD-41",'SKU明细'!$A$11:$A$1309,0)),INDEX('SKU明细'!$CI$11:$CI$1309,MATCH("32582-RD-41.5",'SKU明细'!$A$11:$A$1309,0)),INDEX('SKU明细'!$CI$11:$CI$1309,MATCH("32582-RD-42",'SKU明细'!$A$11:$A$1309,0)))=11,SUM(INDEX('SKU明细'!$CI$11:$CI$1309,MATCH("32582-RD-37",'SKU明细'!$A$11:$A$1309,0)),INDEX('SKU明细'!$CI$11:$CI$1309,MATCH("32582-RD-37.5",'SKU明细'!$A$11:$A$1309,0)),INDEX('SKU明细'!$CI$11:$CI$1309,MATCH("32582-RD-38",'SKU明细'!$A$11:$A$1309,0)),INDEX('SKU明细'!$CI$11:$CI$1309,MATCH("32582-RD-38.5",'SKU明细'!$A$11:$A$1309,0)),INDEX('SKU明细'!$CI$11:$CI$1309,MATCH("32582-RD-39",'SKU明细'!$A$11:$A$1309,0)),INDEX('SKU明细'!$CI$11:$CI$1309,MATCH("32582-RD-39.5",'SKU明细'!$A$11:$A$1309,0)),INDEX('SKU明细'!$CI$11:$CI$1309,MATCH("32582-RD-40",'SKU明细'!$A$11:$A$1309,0)),INDEX('SKU明细'!$CI$11:$CI$1309,MATCH("32582-RD-40.5",'SKU明细'!$A$11:$A$1309,0)),INDEX('SKU明细'!$CI$11:$CI$1309,MATCH("32582-RD-41",'SKU明细'!$A$11:$A$1309,0)),INDEX('SKU明细'!$CI$11:$CI$1309,MATCH("32582-RD-41.5",'SKU明细'!$A$11:$A$1309,0)),INDEX('SKU明细'!$CI$11:$CI$1309,MATCH("32582-RD-42",'SKU明细'!$A$11:$A$1309,0))),"待核")</x:f>
        <x:v>15.37185061367735</x:v>
      </x:c>
    </x:row>
    <x:row r="110" ht="40" customHeight="1">
      <x:c r="A110" s="37" t="str">
        <x:v>32582</x:v>
      </x:c>
      <x:c r="B110" s="37" t="str">
        <x:v>徐新怡</x:v>
      </x:c>
      <x:c r="C110" s="37" t="str">
        <x:v>驼色</x:v>
      </x:c>
      <x:c r="D110" s="37" t="str">
        <x:v>TN</x:v>
      </x:c>
      <x:c r="E110" s="37" t="str">
        <x:v>32582-TN</x:v>
      </x:c>
      <x:c r="F110" s="37"/>
      <x:c r="G110" s="38" t="str">
        <x:f>"—"</x:f>
        <x:v>—</x:v>
      </x:c>
      <x:c r="H110" s="38" t="n">
        <x:f>IF(COUNT(INDEX('SKU明细'!$D$11:$D$1309,MATCH("32582-TN-37",'SKU明细'!$A$11:$A$1309,0)))=0,"待核",IF(COUNT(INDEX('SKU明细'!$D$11:$D$1309,MATCH("32582-TN-37",'SKU明细'!$A$11:$A$1309,0)))&lt;1,SUM(INDEX('SKU明细'!$D$11:$D$1309,MATCH("32582-TN-37",'SKU明细'!$A$11:$A$1309,0)))&amp;" + 待核",SUM(INDEX('SKU明细'!$D$11:$D$1309,MATCH("32582-TN-37",'SKU明细'!$A$11:$A$1309,0)))))</x:f>
        <x:v>0</x:v>
      </x:c>
      <x:c r="I110" s="38" t="n">
        <x:f>IF(COUNT(INDEX('SKU明细'!$D$11:$D$1309,MATCH("32582-TN-37.5",'SKU明细'!$A$11:$A$1309,0)))=0,"待核",IF(COUNT(INDEX('SKU明细'!$D$11:$D$1309,MATCH("32582-TN-37.5",'SKU明细'!$A$11:$A$1309,0)))&lt;1,SUM(INDEX('SKU明细'!$D$11:$D$1309,MATCH("32582-TN-37.5",'SKU明细'!$A$11:$A$1309,0)))&amp;" + 待核",SUM(INDEX('SKU明细'!$D$11:$D$1309,MATCH("32582-TN-37.5",'SKU明细'!$A$11:$A$1309,0)))))</x:f>
        <x:v>0</x:v>
      </x:c>
      <x:c r="J110" s="38" t="n">
        <x:f>IF(COUNT(INDEX('SKU明细'!$D$11:$D$1309,MATCH("32582-TN-38",'SKU明细'!$A$11:$A$1309,0)))=0,"待核",IF(COUNT(INDEX('SKU明细'!$D$11:$D$1309,MATCH("32582-TN-38",'SKU明细'!$A$11:$A$1309,0)))&lt;1,SUM(INDEX('SKU明细'!$D$11:$D$1309,MATCH("32582-TN-38",'SKU明细'!$A$11:$A$1309,0)))&amp;" + 待核",SUM(INDEX('SKU明细'!$D$11:$D$1309,MATCH("32582-TN-38",'SKU明细'!$A$11:$A$1309,0)))))</x:f>
        <x:v>0</x:v>
      </x:c>
      <x:c r="K110" s="38" t="n">
        <x:f>IF(COUNT(INDEX('SKU明细'!$D$11:$D$1309,MATCH("32582-TN-38.5",'SKU明细'!$A$11:$A$1309,0)))=0,"待核",IF(COUNT(INDEX('SKU明细'!$D$11:$D$1309,MATCH("32582-TN-38.5",'SKU明细'!$A$11:$A$1309,0)))&lt;1,SUM(INDEX('SKU明细'!$D$11:$D$1309,MATCH("32582-TN-38.5",'SKU明细'!$A$11:$A$1309,0)))&amp;" + 待核",SUM(INDEX('SKU明细'!$D$11:$D$1309,MATCH("32582-TN-38.5",'SKU明细'!$A$11:$A$1309,0)))))</x:f>
        <x:v>0</x:v>
      </x:c>
      <x:c r="L110" s="38" t="n">
        <x:f>IF(COUNT(INDEX('SKU明细'!$D$11:$D$1309,MATCH("32582-TN-39",'SKU明细'!$A$11:$A$1309,0)))=0,"待核",IF(COUNT(INDEX('SKU明细'!$D$11:$D$1309,MATCH("32582-TN-39",'SKU明细'!$A$11:$A$1309,0)))&lt;1,SUM(INDEX('SKU明细'!$D$11:$D$1309,MATCH("32582-TN-39",'SKU明细'!$A$11:$A$1309,0)))&amp;" + 待核",SUM(INDEX('SKU明细'!$D$11:$D$1309,MATCH("32582-TN-39",'SKU明细'!$A$11:$A$1309,0)))))</x:f>
        <x:v>0</x:v>
      </x:c>
      <x:c r="M110" s="38" t="n">
        <x:f>IF(COUNT(INDEX('SKU明细'!$D$11:$D$1309,MATCH("32582-TN-39.5",'SKU明细'!$A$11:$A$1309,0)))=0,"待核",IF(COUNT(INDEX('SKU明细'!$D$11:$D$1309,MATCH("32582-TN-39.5",'SKU明细'!$A$11:$A$1309,0)))&lt;1,SUM(INDEX('SKU明细'!$D$11:$D$1309,MATCH("32582-TN-39.5",'SKU明细'!$A$11:$A$1309,0)))&amp;" + 待核",SUM(INDEX('SKU明细'!$D$11:$D$1309,MATCH("32582-TN-39.5",'SKU明细'!$A$11:$A$1309,0)))))</x:f>
        <x:v>0</x:v>
      </x:c>
      <x:c r="N110" s="38" t="n">
        <x:f>IF(COUNT(INDEX('SKU明细'!$D$11:$D$1309,MATCH("32582-TN-40",'SKU明细'!$A$11:$A$1309,0)))=0,"待核",IF(COUNT(INDEX('SKU明细'!$D$11:$D$1309,MATCH("32582-TN-40",'SKU明细'!$A$11:$A$1309,0)))&lt;1,SUM(INDEX('SKU明细'!$D$11:$D$1309,MATCH("32582-TN-40",'SKU明细'!$A$11:$A$1309,0)))&amp;" + 待核",SUM(INDEX('SKU明细'!$D$11:$D$1309,MATCH("32582-TN-40",'SKU明细'!$A$11:$A$1309,0)))))</x:f>
        <x:v>0</x:v>
      </x:c>
      <x:c r="O110" s="38" t="n">
        <x:f>IF(COUNT(INDEX('SKU明细'!$D$11:$D$1309,MATCH("32582-TN-40.5",'SKU明细'!$A$11:$A$1309,0)))=0,"待核",IF(COUNT(INDEX('SKU明细'!$D$11:$D$1309,MATCH("32582-TN-40.5",'SKU明细'!$A$11:$A$1309,0)))&lt;1,SUM(INDEX('SKU明细'!$D$11:$D$1309,MATCH("32582-TN-40.5",'SKU明细'!$A$11:$A$1309,0)))&amp;" + 待核",SUM(INDEX('SKU明细'!$D$11:$D$1309,MATCH("32582-TN-40.5",'SKU明细'!$A$11:$A$1309,0)))))</x:f>
        <x:v>0</x:v>
      </x:c>
      <x:c r="P110" s="38" t="n">
        <x:f>IF(COUNT(INDEX('SKU明细'!$D$11:$D$1309,MATCH("32582-TN-41",'SKU明细'!$A$11:$A$1309,0)))=0,"待核",IF(COUNT(INDEX('SKU明细'!$D$11:$D$1309,MATCH("32582-TN-41",'SKU明细'!$A$11:$A$1309,0)))&lt;1,SUM(INDEX('SKU明细'!$D$11:$D$1309,MATCH("32582-TN-41",'SKU明细'!$A$11:$A$1309,0)))&amp;" + 待核",SUM(INDEX('SKU明细'!$D$11:$D$1309,MATCH("32582-TN-41",'SKU明细'!$A$11:$A$1309,0)))))</x:f>
        <x:v>0</x:v>
      </x:c>
      <x:c r="Q110" s="38" t="n">
        <x:f>IF(COUNT(INDEX('SKU明细'!$D$11:$D$1309,MATCH("32582-TN-41.5",'SKU明细'!$A$11:$A$1309,0)))=0,"待核",IF(COUNT(INDEX('SKU明细'!$D$11:$D$1309,MATCH("32582-TN-41.5",'SKU明细'!$A$11:$A$1309,0)))&lt;1,SUM(INDEX('SKU明细'!$D$11:$D$1309,MATCH("32582-TN-41.5",'SKU明细'!$A$11:$A$1309,0)))&amp;" + 待核",SUM(INDEX('SKU明细'!$D$11:$D$1309,MATCH("32582-TN-41.5",'SKU明细'!$A$11:$A$1309,0)))))</x:f>
        <x:v>0</x:v>
      </x:c>
      <x:c r="R110" s="38" t="n">
        <x:f>IF(COUNT(INDEX('SKU明细'!$D$11:$D$1309,MATCH("32582-TN-42",'SKU明细'!$A$11:$A$1309,0)))=0,"待核",IF(COUNT(INDEX('SKU明细'!$D$11:$D$1309,MATCH("32582-TN-42",'SKU明细'!$A$11:$A$1309,0)))&lt;1,SUM(INDEX('SKU明细'!$D$11:$D$1309,MATCH("32582-TN-42",'SKU明细'!$A$11:$A$1309,0)))&amp;" + 待核",SUM(INDEX('SKU明细'!$D$11:$D$1309,MATCH("32582-TN-42",'SKU明细'!$A$11:$A$1309,0)))))</x:f>
        <x:v>0</x:v>
      </x:c>
      <x:c r="S110" s="38" t="n">
        <x:f>IF(COUNT(INDEX('SKU明细'!$D$11:$D$1309,MATCH("32582-TN-37",'SKU明细'!$A$11:$A$1309,0)),INDEX('SKU明细'!$D$11:$D$1309,MATCH("32582-TN-37.5",'SKU明细'!$A$11:$A$1309,0)),INDEX('SKU明细'!$D$11:$D$1309,MATCH("32582-TN-38",'SKU明细'!$A$11:$A$1309,0)),INDEX('SKU明细'!$D$11:$D$1309,MATCH("32582-TN-38.5",'SKU明细'!$A$11:$A$1309,0)),INDEX('SKU明细'!$D$11:$D$1309,MATCH("32582-TN-39",'SKU明细'!$A$11:$A$1309,0)),INDEX('SKU明细'!$D$11:$D$1309,MATCH("32582-TN-39.5",'SKU明细'!$A$11:$A$1309,0)),INDEX('SKU明细'!$D$11:$D$1309,MATCH("32582-TN-40",'SKU明细'!$A$11:$A$1309,0)),INDEX('SKU明细'!$D$11:$D$1309,MATCH("32582-TN-40.5",'SKU明细'!$A$11:$A$1309,0)),INDEX('SKU明细'!$D$11:$D$1309,MATCH("32582-TN-41",'SKU明细'!$A$11:$A$1309,0)),INDEX('SKU明细'!$D$11:$D$1309,MATCH("32582-TN-41.5",'SKU明细'!$A$11:$A$1309,0)),INDEX('SKU明细'!$D$11:$D$1309,MATCH("32582-TN-42",'SKU明细'!$A$11:$A$1309,0)))=0,"待核",SUM(INDEX('SKU明细'!$D$11:$D$1309,MATCH("32582-TN-37",'SKU明细'!$A$11:$A$1309,0)),INDEX('SKU明细'!$D$11:$D$1309,MATCH("32582-TN-37.5",'SKU明细'!$A$11:$A$1309,0)),INDEX('SKU明细'!$D$11:$D$1309,MATCH("32582-TN-38",'SKU明细'!$A$11:$A$1309,0)),INDEX('SKU明细'!$D$11:$D$1309,MATCH("32582-TN-38.5",'SKU明细'!$A$11:$A$1309,0)),INDEX('SKU明细'!$D$11:$D$1309,MATCH("32582-TN-39",'SKU明细'!$A$11:$A$1309,0)),INDEX('SKU明细'!$D$11:$D$1309,MATCH("32582-TN-39.5",'SKU明细'!$A$11:$A$1309,0)),INDEX('SKU明细'!$D$11:$D$1309,MATCH("32582-TN-40",'SKU明细'!$A$11:$A$1309,0)),INDEX('SKU明细'!$D$11:$D$1309,MATCH("32582-TN-40.5",'SKU明细'!$A$11:$A$1309,0)),INDEX('SKU明细'!$D$11:$D$1309,MATCH("32582-TN-41",'SKU明细'!$A$11:$A$1309,0)),INDEX('SKU明细'!$D$11:$D$1309,MATCH("32582-TN-41.5",'SKU明细'!$A$11:$A$1309,0)),INDEX('SKU明细'!$D$11:$D$1309,MATCH("32582-TN-42",'SKU明细'!$A$11:$A$1309,0))))</x:f>
        <x:v>0</x:v>
      </x:c>
      <x:c r="T110" s="38" t="n">
        <x:f>IF(COUNTIFS($A$9:$A$191,A110,$U$9:$U$191,"&lt;&gt;待核")=0,"待核",SUMIF($A$9:$A$191,A110,$S$9:$S$191))</x:f>
        <x:v>197</x:v>
      </x:c>
      <x:c r="U110" s="37" t="str">
        <x:f>IF(COUNT(INDEX('SKU明细'!$D$11:$D$1309,MATCH("32582-TN-37",'SKU明细'!$A$11:$A$1309,0)),INDEX('SKU明细'!$D$11:$D$1309,MATCH("32582-TN-37.5",'SKU明细'!$A$11:$A$1309,0)),INDEX('SKU明细'!$D$11:$D$1309,MATCH("32582-TN-38",'SKU明细'!$A$11:$A$1309,0)),INDEX('SKU明细'!$D$11:$D$1309,MATCH("32582-TN-38.5",'SKU明细'!$A$11:$A$1309,0)),INDEX('SKU明细'!$D$11:$D$1309,MATCH("32582-TN-39",'SKU明细'!$A$11:$A$1309,0)),INDEX('SKU明细'!$D$11:$D$1309,MATCH("32582-TN-39.5",'SKU明细'!$A$11:$A$1309,0)),INDEX('SKU明细'!$D$11:$D$1309,MATCH("32582-TN-40",'SKU明细'!$A$11:$A$1309,0)),INDEX('SKU明细'!$D$11:$D$1309,MATCH("32582-TN-40.5",'SKU明细'!$A$11:$A$1309,0)),INDEX('SKU明细'!$D$11:$D$1309,MATCH("32582-TN-41",'SKU明细'!$A$11:$A$1309,0)),INDEX('SKU明细'!$D$11:$D$1309,MATCH("32582-TN-41.5",'SKU明细'!$A$11:$A$1309,0)),INDEX('SKU明细'!$D$11:$D$1309,MATCH("32582-TN-42",'SKU明细'!$A$11:$A$1309,0)))=0,"待核",IF(COUNT(INDEX('SKU明细'!$D$11:$D$1309,MATCH("32582-TN-37",'SKU明细'!$A$11:$A$1309,0)),INDEX('SKU明细'!$D$11:$D$1309,MATCH("32582-TN-37.5",'SKU明细'!$A$11:$A$1309,0)),INDEX('SKU明细'!$D$11:$D$1309,MATCH("32582-TN-38",'SKU明细'!$A$11:$A$1309,0)),INDEX('SKU明细'!$D$11:$D$1309,MATCH("32582-TN-38.5",'SKU明细'!$A$11:$A$1309,0)),INDEX('SKU明细'!$D$11:$D$1309,MATCH("32582-TN-39",'SKU明细'!$A$11:$A$1309,0)),INDEX('SKU明细'!$D$11:$D$1309,MATCH("32582-TN-39.5",'SKU明细'!$A$11:$A$1309,0)),INDEX('SKU明细'!$D$11:$D$1309,MATCH("32582-TN-40",'SKU明细'!$A$11:$A$1309,0)),INDEX('SKU明细'!$D$11:$D$1309,MATCH("32582-TN-40.5",'SKU明细'!$A$11:$A$1309,0)),INDEX('SKU明细'!$D$11:$D$1309,MATCH("32582-TN-41",'SKU明细'!$A$11:$A$1309,0)),INDEX('SKU明细'!$D$11:$D$1309,MATCH("32582-TN-41.5",'SKU明细'!$A$11:$A$1309,0)),INDEX('SKU明细'!$D$11:$D$1309,MATCH("32582-TN-42",'SKU明细'!$A$11:$A$1309,0)))&lt;11,"另有待核","已核"))</x:f>
        <x:v>已核</x:v>
      </x:c>
      <x:c r="V110" s="37" t="str">
        <x:v>在售、停售</x:v>
      </x:c>
      <x:c r="W110" s="11" t="n">
        <x:f>IF(COUNT(INDEX('SKU明细'!$BV$11:$BV$1309,MATCH("32582-TN-37",'SKU明细'!$A$11:$A$1309,0)),INDEX('SKU明细'!$BV$11:$BV$1309,MATCH("32582-TN-37.5",'SKU明细'!$A$11:$A$1309,0)),INDEX('SKU明细'!$BV$11:$BV$1309,MATCH("32582-TN-38",'SKU明细'!$A$11:$A$1309,0)),INDEX('SKU明细'!$BV$11:$BV$1309,MATCH("32582-TN-38.5",'SKU明细'!$A$11:$A$1309,0)),INDEX('SKU明细'!$BV$11:$BV$1309,MATCH("32582-TN-39",'SKU明细'!$A$11:$A$1309,0)),INDEX('SKU明细'!$BV$11:$BV$1309,MATCH("32582-TN-39.5",'SKU明细'!$A$11:$A$1309,0)),INDEX('SKU明细'!$BV$11:$BV$1309,MATCH("32582-TN-40",'SKU明细'!$A$11:$A$1309,0)),INDEX('SKU明细'!$BV$11:$BV$1309,MATCH("32582-TN-40.5",'SKU明细'!$A$11:$A$1309,0)),INDEX('SKU明细'!$BV$11:$BV$1309,MATCH("32582-TN-41",'SKU明细'!$A$11:$A$1309,0)),INDEX('SKU明细'!$BV$11:$BV$1309,MATCH("32582-TN-41.5",'SKU明细'!$A$11:$A$1309,0)),INDEX('SKU明细'!$BV$11:$BV$1309,MATCH("32582-TN-42",'SKU明细'!$A$11:$A$1309,0)))=11,SUM(INDEX('SKU明细'!$BV$11:$BV$1309,MATCH("32582-TN-37",'SKU明细'!$A$11:$A$1309,0)),INDEX('SKU明细'!$BV$11:$BV$1309,MATCH("32582-TN-37.5",'SKU明细'!$A$11:$A$1309,0)),INDEX('SKU明细'!$BV$11:$BV$1309,MATCH("32582-TN-38",'SKU明细'!$A$11:$A$1309,0)),INDEX('SKU明细'!$BV$11:$BV$1309,MATCH("32582-TN-38.5",'SKU明细'!$A$11:$A$1309,0)),INDEX('SKU明细'!$BV$11:$BV$1309,MATCH("32582-TN-39",'SKU明细'!$A$11:$A$1309,0)),INDEX('SKU明细'!$BV$11:$BV$1309,MATCH("32582-TN-39.5",'SKU明细'!$A$11:$A$1309,0)),INDEX('SKU明细'!$BV$11:$BV$1309,MATCH("32582-TN-40",'SKU明细'!$A$11:$A$1309,0)),INDEX('SKU明细'!$BV$11:$BV$1309,MATCH("32582-TN-40.5",'SKU明细'!$A$11:$A$1309,0)),INDEX('SKU明细'!$BV$11:$BV$1309,MATCH("32582-TN-41",'SKU明细'!$A$11:$A$1309,0)),INDEX('SKU明细'!$BV$11:$BV$1309,MATCH("32582-TN-41.5",'SKU明细'!$A$11:$A$1309,0)),INDEX('SKU明细'!$BV$11:$BV$1309,MATCH("32582-TN-42",'SKU明细'!$A$11:$A$1309,0))),"待核")</x:f>
        <x:v>1.2063042155814399</x:v>
      </x:c>
      <x:c r="X110" s="11" t="n">
        <x:f>INDEX('SKU明细'!$BW$11:$BW$1309,MATCH("32582-TN-37",'SKU明细'!$A$11:$A$1309,0))</x:f>
        <x:v>1.0395067087630607</x:v>
      </x:c>
      <x:c r="Y110" s="13" t="n">
        <x:f>IF(COUNT(INDEX('SKU明细'!$BY$11:$BY$1309,MATCH("32582-TN-37",'SKU明细'!$A$11:$A$1309,0)),INDEX('SKU明细'!$BY$11:$BY$1309,MATCH("32582-TN-37.5",'SKU明细'!$A$11:$A$1309,0)),INDEX('SKU明细'!$BY$11:$BY$1309,MATCH("32582-TN-38",'SKU明细'!$A$11:$A$1309,0)),INDEX('SKU明细'!$BY$11:$BY$1309,MATCH("32582-TN-38.5",'SKU明细'!$A$11:$A$1309,0)),INDEX('SKU明细'!$BY$11:$BY$1309,MATCH("32582-TN-39",'SKU明细'!$A$11:$A$1309,0)),INDEX('SKU明细'!$BY$11:$BY$1309,MATCH("32582-TN-39.5",'SKU明细'!$A$11:$A$1309,0)),INDEX('SKU明细'!$BY$11:$BY$1309,MATCH("32582-TN-40",'SKU明细'!$A$11:$A$1309,0)),INDEX('SKU明细'!$BY$11:$BY$1309,MATCH("32582-TN-40.5",'SKU明细'!$A$11:$A$1309,0)),INDEX('SKU明细'!$BY$11:$BY$1309,MATCH("32582-TN-41",'SKU明细'!$A$11:$A$1309,0)),INDEX('SKU明细'!$BY$11:$BY$1309,MATCH("32582-TN-41.5",'SKU明细'!$A$11:$A$1309,0)),INDEX('SKU明细'!$BY$11:$BY$1309,MATCH("32582-TN-42",'SKU明细'!$A$11:$A$1309,0)))=11,SUM(INDEX('SKU明细'!$BY$11:$BY$1309,MATCH("32582-TN-37",'SKU明细'!$A$11:$A$1309,0)),INDEX('SKU明细'!$BY$11:$BY$1309,MATCH("32582-TN-37.5",'SKU明细'!$A$11:$A$1309,0)),INDEX('SKU明细'!$BY$11:$BY$1309,MATCH("32582-TN-38",'SKU明细'!$A$11:$A$1309,0)),INDEX('SKU明细'!$BY$11:$BY$1309,MATCH("32582-TN-38.5",'SKU明细'!$A$11:$A$1309,0)),INDEX('SKU明细'!$BY$11:$BY$1309,MATCH("32582-TN-39",'SKU明细'!$A$11:$A$1309,0)),INDEX('SKU明细'!$BY$11:$BY$1309,MATCH("32582-TN-39.5",'SKU明细'!$A$11:$A$1309,0)),INDEX('SKU明细'!$BY$11:$BY$1309,MATCH("32582-TN-40",'SKU明细'!$A$11:$A$1309,0)),INDEX('SKU明细'!$BY$11:$BY$1309,MATCH("32582-TN-40.5",'SKU明细'!$A$11:$A$1309,0)),INDEX('SKU明细'!$BY$11:$BY$1309,MATCH("32582-TN-41",'SKU明细'!$A$11:$A$1309,0)),INDEX('SKU明细'!$BY$11:$BY$1309,MATCH("32582-TN-41.5",'SKU明细'!$A$11:$A$1309,0)),INDEX('SKU明细'!$BY$11:$BY$1309,MATCH("32582-TN-42",'SKU明细'!$A$11:$A$1309,0))),"待核")</x:f>
        <x:v>15.047535898872814</x:v>
      </x:c>
      <x:c r="Z110" s="11" t="n">
        <x:f>INDEX('SKU明细'!$BZ$11:$BZ$1309,MATCH("32582-TN-37",'SKU明细'!$A$11:$A$1309,0))</x:f>
        <x:v>0.9890368360033146</x:v>
      </x:c>
      <x:c r="AA110" s="13" t="n">
        <x:f>IF(COUNT(INDEX('SKU明细'!$CB$11:$CB$1309,MATCH("32582-TN-37",'SKU明细'!$A$11:$A$1309,0)),INDEX('SKU明细'!$CB$11:$CB$1309,MATCH("32582-TN-37.5",'SKU明细'!$A$11:$A$1309,0)),INDEX('SKU明细'!$CB$11:$CB$1309,MATCH("32582-TN-38",'SKU明细'!$A$11:$A$1309,0)),INDEX('SKU明细'!$CB$11:$CB$1309,MATCH("32582-TN-38.5",'SKU明细'!$A$11:$A$1309,0)),INDEX('SKU明细'!$CB$11:$CB$1309,MATCH("32582-TN-39",'SKU明细'!$A$11:$A$1309,0)),INDEX('SKU明细'!$CB$11:$CB$1309,MATCH("32582-TN-39.5",'SKU明细'!$A$11:$A$1309,0)),INDEX('SKU明细'!$CB$11:$CB$1309,MATCH("32582-TN-40",'SKU明细'!$A$11:$A$1309,0)),INDEX('SKU明细'!$CB$11:$CB$1309,MATCH("32582-TN-40.5",'SKU明细'!$A$11:$A$1309,0)),INDEX('SKU明细'!$CB$11:$CB$1309,MATCH("32582-TN-41",'SKU明细'!$A$11:$A$1309,0)),INDEX('SKU明细'!$CB$11:$CB$1309,MATCH("32582-TN-41.5",'SKU明细'!$A$11:$A$1309,0)),INDEX('SKU明细'!$CB$11:$CB$1309,MATCH("32582-TN-42",'SKU明细'!$A$11:$A$1309,0)))=11,SUM(INDEX('SKU明细'!$CB$11:$CB$1309,MATCH("32582-TN-37",'SKU明细'!$A$11:$A$1309,0)),INDEX('SKU明细'!$CB$11:$CB$1309,MATCH("32582-TN-37.5",'SKU明细'!$A$11:$A$1309,0)),INDEX('SKU明细'!$CB$11:$CB$1309,MATCH("32582-TN-38",'SKU明细'!$A$11:$A$1309,0)),INDEX('SKU明细'!$CB$11:$CB$1309,MATCH("32582-TN-38.5",'SKU明细'!$A$11:$A$1309,0)),INDEX('SKU明细'!$CB$11:$CB$1309,MATCH("32582-TN-39",'SKU明细'!$A$11:$A$1309,0)),INDEX('SKU明细'!$CB$11:$CB$1309,MATCH("32582-TN-39.5",'SKU明细'!$A$11:$A$1309,0)),INDEX('SKU明细'!$CB$11:$CB$1309,MATCH("32582-TN-40",'SKU明细'!$A$11:$A$1309,0)),INDEX('SKU明细'!$CB$11:$CB$1309,MATCH("32582-TN-40.5",'SKU明细'!$A$11:$A$1309,0)),INDEX('SKU明细'!$CB$11:$CB$1309,MATCH("32582-TN-41",'SKU明细'!$A$11:$A$1309,0)),INDEX('SKU明细'!$CB$11:$CB$1309,MATCH("32582-TN-41.5",'SKU明细'!$A$11:$A$1309,0)),INDEX('SKU明细'!$CB$11:$CB$1309,MATCH("32582-TN-42",'SKU明细'!$A$11:$A$1309,0))),"待核")</x:f>
        <x:v>35.79237913908382</x:v>
      </x:c>
      <x:c r="AB110" s="11" t="n">
        <x:f>INDEX('SKU明细'!$CC$11:$CC$1309,MATCH("32582-TN-37",'SKU明细'!$A$11:$A$1309,0))</x:f>
        <x:v>0.7800796503018808</x:v>
      </x:c>
      <x:c r="AC110" s="13" t="n">
        <x:f>IF(COUNT(INDEX('SKU明细'!$CE$11:$CE$1309,MATCH("32582-TN-37",'SKU明细'!$A$11:$A$1309,0)),INDEX('SKU明细'!$CE$11:$CE$1309,MATCH("32582-TN-37.5",'SKU明细'!$A$11:$A$1309,0)),INDEX('SKU明细'!$CE$11:$CE$1309,MATCH("32582-TN-38",'SKU明细'!$A$11:$A$1309,0)),INDEX('SKU明细'!$CE$11:$CE$1309,MATCH("32582-TN-38.5",'SKU明细'!$A$11:$A$1309,0)),INDEX('SKU明细'!$CE$11:$CE$1309,MATCH("32582-TN-39",'SKU明细'!$A$11:$A$1309,0)),INDEX('SKU明细'!$CE$11:$CE$1309,MATCH("32582-TN-39.5",'SKU明细'!$A$11:$A$1309,0)),INDEX('SKU明细'!$CE$11:$CE$1309,MATCH("32582-TN-40",'SKU明细'!$A$11:$A$1309,0)),INDEX('SKU明细'!$CE$11:$CE$1309,MATCH("32582-TN-40.5",'SKU明细'!$A$11:$A$1309,0)),INDEX('SKU明细'!$CE$11:$CE$1309,MATCH("32582-TN-41",'SKU明细'!$A$11:$A$1309,0)),INDEX('SKU明细'!$CE$11:$CE$1309,MATCH("32582-TN-41.5",'SKU明细'!$A$11:$A$1309,0)),INDEX('SKU明细'!$CE$11:$CE$1309,MATCH("32582-TN-42",'SKU明细'!$A$11:$A$1309,0)))=11,SUM(INDEX('SKU明细'!$CE$11:$CE$1309,MATCH("32582-TN-37",'SKU明细'!$A$11:$A$1309,0)),INDEX('SKU明细'!$CE$11:$CE$1309,MATCH("32582-TN-37.5",'SKU明细'!$A$11:$A$1309,0)),INDEX('SKU明细'!$CE$11:$CE$1309,MATCH("32582-TN-38",'SKU明细'!$A$11:$A$1309,0)),INDEX('SKU明细'!$CE$11:$CE$1309,MATCH("32582-TN-38.5",'SKU明细'!$A$11:$A$1309,0)),INDEX('SKU明细'!$CE$11:$CE$1309,MATCH("32582-TN-39",'SKU明细'!$A$11:$A$1309,0)),INDEX('SKU明细'!$CE$11:$CE$1309,MATCH("32582-TN-39.5",'SKU明细'!$A$11:$A$1309,0)),INDEX('SKU明细'!$CE$11:$CE$1309,MATCH("32582-TN-40",'SKU明细'!$A$11:$A$1309,0)),INDEX('SKU明细'!$CE$11:$CE$1309,MATCH("32582-TN-40.5",'SKU明细'!$A$11:$A$1309,0)),INDEX('SKU明细'!$CE$11:$CE$1309,MATCH("32582-TN-41",'SKU明细'!$A$11:$A$1309,0)),INDEX('SKU明细'!$CE$11:$CE$1309,MATCH("32582-TN-41.5",'SKU明细'!$A$11:$A$1309,0)),INDEX('SKU明细'!$CE$11:$CE$1309,MATCH("32582-TN-42",'SKU明细'!$A$11:$A$1309,0))),"待核")</x:f>
        <x:v>29.171414490102077</x:v>
      </x:c>
      <x:c r="AD110" s="11" t="n">
        <x:f>INDEX('SKU明细'!$CF$11:$CF$1309,MATCH("32582-TN-37",'SKU明细'!$A$11:$A$1309,0))</x:f>
        <x:v>1.2908918272824135</x:v>
      </x:c>
      <x:c r="AE110" s="13" t="n">
        <x:f>IF(COUNT(INDEX('SKU明细'!$CH$11:$CH$1309,MATCH("32582-TN-37",'SKU明细'!$A$11:$A$1309,0)),INDEX('SKU明细'!$CH$11:$CH$1309,MATCH("32582-TN-37.5",'SKU明细'!$A$11:$A$1309,0)),INDEX('SKU明细'!$CH$11:$CH$1309,MATCH("32582-TN-38",'SKU明细'!$A$11:$A$1309,0)),INDEX('SKU明细'!$CH$11:$CH$1309,MATCH("32582-TN-38.5",'SKU明细'!$A$11:$A$1309,0)),INDEX('SKU明细'!$CH$11:$CH$1309,MATCH("32582-TN-39",'SKU明细'!$A$11:$A$1309,0)),INDEX('SKU明细'!$CH$11:$CH$1309,MATCH("32582-TN-39.5",'SKU明细'!$A$11:$A$1309,0)),INDEX('SKU明细'!$CH$11:$CH$1309,MATCH("32582-TN-40",'SKU明细'!$A$11:$A$1309,0)),INDEX('SKU明细'!$CH$11:$CH$1309,MATCH("32582-TN-40.5",'SKU明细'!$A$11:$A$1309,0)),INDEX('SKU明细'!$CH$11:$CH$1309,MATCH("32582-TN-41",'SKU明细'!$A$11:$A$1309,0)),INDEX('SKU明细'!$CH$11:$CH$1309,MATCH("32582-TN-41.5",'SKU明细'!$A$11:$A$1309,0)),INDEX('SKU明细'!$CH$11:$CH$1309,MATCH("32582-TN-42",'SKU明细'!$A$11:$A$1309,0)))=11,SUM(INDEX('SKU明细'!$CH$11:$CH$1309,MATCH("32582-TN-37",'SKU明细'!$A$11:$A$1309,0)),INDEX('SKU明细'!$CH$11:$CH$1309,MATCH("32582-TN-37.5",'SKU明细'!$A$11:$A$1309,0)),INDEX('SKU明细'!$CH$11:$CH$1309,MATCH("32582-TN-38",'SKU明细'!$A$11:$A$1309,0)),INDEX('SKU明细'!$CH$11:$CH$1309,MATCH("32582-TN-38.5",'SKU明细'!$A$11:$A$1309,0)),INDEX('SKU明细'!$CH$11:$CH$1309,MATCH("32582-TN-39",'SKU明细'!$A$11:$A$1309,0)),INDEX('SKU明细'!$CH$11:$CH$1309,MATCH("32582-TN-39.5",'SKU明细'!$A$11:$A$1309,0)),INDEX('SKU明细'!$CH$11:$CH$1309,MATCH("32582-TN-40",'SKU明细'!$A$11:$A$1309,0)),INDEX('SKU明细'!$CH$11:$CH$1309,MATCH("32582-TN-40.5",'SKU明细'!$A$11:$A$1309,0)),INDEX('SKU明细'!$CH$11:$CH$1309,MATCH("32582-TN-41",'SKU明细'!$A$11:$A$1309,0)),INDEX('SKU明细'!$CH$11:$CH$1309,MATCH("32582-TN-41.5",'SKU明细'!$A$11:$A$1309,0)),INDEX('SKU明细'!$CH$11:$CH$1309,MATCH("32582-TN-42",'SKU明细'!$A$11:$A$1309,0))),"待核")</x:f>
        <x:v>26.472540302876855</x:v>
      </x:c>
      <x:c r="AF110" s="13" t="n">
        <x:f>IF(COUNT(INDEX('SKU明细'!$CI$11:$CI$1309,MATCH("32582-TN-37",'SKU明细'!$A$11:$A$1309,0)),INDEX('SKU明细'!$CI$11:$CI$1309,MATCH("32582-TN-37.5",'SKU明细'!$A$11:$A$1309,0)),INDEX('SKU明细'!$CI$11:$CI$1309,MATCH("32582-TN-38",'SKU明细'!$A$11:$A$1309,0)),INDEX('SKU明细'!$CI$11:$CI$1309,MATCH("32582-TN-38.5",'SKU明细'!$A$11:$A$1309,0)),INDEX('SKU明细'!$CI$11:$CI$1309,MATCH("32582-TN-39",'SKU明细'!$A$11:$A$1309,0)),INDEX('SKU明细'!$CI$11:$CI$1309,MATCH("32582-TN-39.5",'SKU明细'!$A$11:$A$1309,0)),INDEX('SKU明细'!$CI$11:$CI$1309,MATCH("32582-TN-40",'SKU明细'!$A$11:$A$1309,0)),INDEX('SKU明细'!$CI$11:$CI$1309,MATCH("32582-TN-40.5",'SKU明细'!$A$11:$A$1309,0)),INDEX('SKU明细'!$CI$11:$CI$1309,MATCH("32582-TN-41",'SKU明细'!$A$11:$A$1309,0)),INDEX('SKU明细'!$CI$11:$CI$1309,MATCH("32582-TN-41.5",'SKU明细'!$A$11:$A$1309,0)),INDEX('SKU明细'!$CI$11:$CI$1309,MATCH("32582-TN-42",'SKU明细'!$A$11:$A$1309,0)))=11,SUM(INDEX('SKU明细'!$CI$11:$CI$1309,MATCH("32582-TN-37",'SKU明细'!$A$11:$A$1309,0)),INDEX('SKU明细'!$CI$11:$CI$1309,MATCH("32582-TN-37.5",'SKU明细'!$A$11:$A$1309,0)),INDEX('SKU明细'!$CI$11:$CI$1309,MATCH("32582-TN-38",'SKU明细'!$A$11:$A$1309,0)),INDEX('SKU明细'!$CI$11:$CI$1309,MATCH("32582-TN-38.5",'SKU明细'!$A$11:$A$1309,0)),INDEX('SKU明细'!$CI$11:$CI$1309,MATCH("32582-TN-39",'SKU明细'!$A$11:$A$1309,0)),INDEX('SKU明细'!$CI$11:$CI$1309,MATCH("32582-TN-39.5",'SKU明细'!$A$11:$A$1309,0)),INDEX('SKU明细'!$CI$11:$CI$1309,MATCH("32582-TN-40",'SKU明细'!$A$11:$A$1309,0)),INDEX('SKU明细'!$CI$11:$CI$1309,MATCH("32582-TN-40.5",'SKU明细'!$A$11:$A$1309,0)),INDEX('SKU明细'!$CI$11:$CI$1309,MATCH("32582-TN-41",'SKU明细'!$A$11:$A$1309,0)),INDEX('SKU明细'!$CI$11:$CI$1309,MATCH("32582-TN-41.5",'SKU明细'!$A$11:$A$1309,0)),INDEX('SKU明细'!$CI$11:$CI$1309,MATCH("32582-TN-42",'SKU明细'!$A$11:$A$1309,0))),"待核")</x:f>
        <x:v>106.48386983093556</x:v>
      </x:c>
    </x:row>
    <x:row r="111" ht="40" customHeight="1">
      <x:c r="A111" s="37" t="str">
        <x:v>32582</x:v>
      </x:c>
      <x:c r="B111" s="37" t="str">
        <x:v>徐新怡</x:v>
      </x:c>
      <x:c r="C111" s="37" t="str">
        <x:v>白色</x:v>
      </x:c>
      <x:c r="D111" s="37" t="str">
        <x:v>WT0P</x:v>
      </x:c>
      <x:c r="E111" s="37" t="str">
        <x:v>32582-WT0P</x:v>
      </x:c>
      <x:c r="F111" s="37"/>
      <x:c r="G111" s="38" t="str">
        <x:f>"—"</x:f>
        <x:v>—</x:v>
      </x:c>
      <x:c r="H111" s="38" t="n">
        <x:f>IF(COUNT(INDEX('SKU明细'!$D$11:$D$1309,MATCH("32582-WT0P-37",'SKU明细'!$A$11:$A$1309,0)))=0,"待核",IF(COUNT(INDEX('SKU明细'!$D$11:$D$1309,MATCH("32582-WT0P-37",'SKU明细'!$A$11:$A$1309,0)))&lt;1,SUM(INDEX('SKU明细'!$D$11:$D$1309,MATCH("32582-WT0P-37",'SKU明细'!$A$11:$A$1309,0)))&amp;" + 待核",SUM(INDEX('SKU明细'!$D$11:$D$1309,MATCH("32582-WT0P-37",'SKU明细'!$A$11:$A$1309,0)))))</x:f>
        <x:v>0</x:v>
      </x:c>
      <x:c r="I111" s="38" t="n">
        <x:f>IF(COUNT(INDEX('SKU明细'!$D$11:$D$1309,MATCH("32582-WT0P-37.5",'SKU明细'!$A$11:$A$1309,0)))=0,"待核",IF(COUNT(INDEX('SKU明细'!$D$11:$D$1309,MATCH("32582-WT0P-37.5",'SKU明细'!$A$11:$A$1309,0)))&lt;1,SUM(INDEX('SKU明细'!$D$11:$D$1309,MATCH("32582-WT0P-37.5",'SKU明细'!$A$11:$A$1309,0)))&amp;" + 待核",SUM(INDEX('SKU明细'!$D$11:$D$1309,MATCH("32582-WT0P-37.5",'SKU明细'!$A$11:$A$1309,0)))))</x:f>
        <x:v>0</x:v>
      </x:c>
      <x:c r="J111" s="38" t="n">
        <x:f>IF(COUNT(INDEX('SKU明细'!$D$11:$D$1309,MATCH("32582-WT0P-38",'SKU明细'!$A$11:$A$1309,0)))=0,"待核",IF(COUNT(INDEX('SKU明细'!$D$11:$D$1309,MATCH("32582-WT0P-38",'SKU明细'!$A$11:$A$1309,0)))&lt;1,SUM(INDEX('SKU明细'!$D$11:$D$1309,MATCH("32582-WT0P-38",'SKU明细'!$A$11:$A$1309,0)))&amp;" + 待核",SUM(INDEX('SKU明细'!$D$11:$D$1309,MATCH("32582-WT0P-38",'SKU明细'!$A$11:$A$1309,0)))))</x:f>
        <x:v>0</x:v>
      </x:c>
      <x:c r="K111" s="38" t="n">
        <x:f>IF(COUNT(INDEX('SKU明细'!$D$11:$D$1309,MATCH("32582-WT0P-38.5",'SKU明细'!$A$11:$A$1309,0)))=0,"待核",IF(COUNT(INDEX('SKU明细'!$D$11:$D$1309,MATCH("32582-WT0P-38.5",'SKU明细'!$A$11:$A$1309,0)))&lt;1,SUM(INDEX('SKU明细'!$D$11:$D$1309,MATCH("32582-WT0P-38.5",'SKU明细'!$A$11:$A$1309,0)))&amp;" + 待核",SUM(INDEX('SKU明细'!$D$11:$D$1309,MATCH("32582-WT0P-38.5",'SKU明细'!$A$11:$A$1309,0)))))</x:f>
        <x:v>0</x:v>
      </x:c>
      <x:c r="L111" s="38" t="n">
        <x:f>IF(COUNT(INDEX('SKU明细'!$D$11:$D$1309,MATCH("32582-WT0P-39",'SKU明细'!$A$11:$A$1309,0)))=0,"待核",IF(COUNT(INDEX('SKU明细'!$D$11:$D$1309,MATCH("32582-WT0P-39",'SKU明细'!$A$11:$A$1309,0)))&lt;1,SUM(INDEX('SKU明细'!$D$11:$D$1309,MATCH("32582-WT0P-39",'SKU明细'!$A$11:$A$1309,0)))&amp;" + 待核",SUM(INDEX('SKU明细'!$D$11:$D$1309,MATCH("32582-WT0P-39",'SKU明细'!$A$11:$A$1309,0)))))</x:f>
        <x:v>0</x:v>
      </x:c>
      <x:c r="M111" s="38" t="n">
        <x:f>IF(COUNT(INDEX('SKU明细'!$D$11:$D$1309,MATCH("32582-WT0P-39.5",'SKU明细'!$A$11:$A$1309,0)))=0,"待核",IF(COUNT(INDEX('SKU明细'!$D$11:$D$1309,MATCH("32582-WT0P-39.5",'SKU明细'!$A$11:$A$1309,0)))&lt;1,SUM(INDEX('SKU明细'!$D$11:$D$1309,MATCH("32582-WT0P-39.5",'SKU明细'!$A$11:$A$1309,0)))&amp;" + 待核",SUM(INDEX('SKU明细'!$D$11:$D$1309,MATCH("32582-WT0P-39.5",'SKU明细'!$A$11:$A$1309,0)))))</x:f>
        <x:v>0</x:v>
      </x:c>
      <x:c r="N111" s="38" t="n">
        <x:f>IF(COUNT(INDEX('SKU明细'!$D$11:$D$1309,MATCH("32582-WT0P-40",'SKU明细'!$A$11:$A$1309,0)))=0,"待核",IF(COUNT(INDEX('SKU明细'!$D$11:$D$1309,MATCH("32582-WT0P-40",'SKU明细'!$A$11:$A$1309,0)))&lt;1,SUM(INDEX('SKU明细'!$D$11:$D$1309,MATCH("32582-WT0P-40",'SKU明细'!$A$11:$A$1309,0)))&amp;" + 待核",SUM(INDEX('SKU明细'!$D$11:$D$1309,MATCH("32582-WT0P-40",'SKU明细'!$A$11:$A$1309,0)))))</x:f>
        <x:v>0</x:v>
      </x:c>
      <x:c r="O111" s="38" t="n">
        <x:f>IF(COUNT(INDEX('SKU明细'!$D$11:$D$1309,MATCH("32582-WT0P-40.5",'SKU明细'!$A$11:$A$1309,0)))=0,"待核",IF(COUNT(INDEX('SKU明细'!$D$11:$D$1309,MATCH("32582-WT0P-40.5",'SKU明细'!$A$11:$A$1309,0)))&lt;1,SUM(INDEX('SKU明细'!$D$11:$D$1309,MATCH("32582-WT0P-40.5",'SKU明细'!$A$11:$A$1309,0)))&amp;" + 待核",SUM(INDEX('SKU明细'!$D$11:$D$1309,MATCH("32582-WT0P-40.5",'SKU明细'!$A$11:$A$1309,0)))))</x:f>
        <x:v>0</x:v>
      </x:c>
      <x:c r="P111" s="38" t="n">
        <x:f>IF(COUNT(INDEX('SKU明细'!$D$11:$D$1309,MATCH("32582-WT0P-41",'SKU明细'!$A$11:$A$1309,0)))=0,"待核",IF(COUNT(INDEX('SKU明细'!$D$11:$D$1309,MATCH("32582-WT0P-41",'SKU明细'!$A$11:$A$1309,0)))&lt;1,SUM(INDEX('SKU明细'!$D$11:$D$1309,MATCH("32582-WT0P-41",'SKU明细'!$A$11:$A$1309,0)))&amp;" + 待核",SUM(INDEX('SKU明细'!$D$11:$D$1309,MATCH("32582-WT0P-41",'SKU明细'!$A$11:$A$1309,0)))))</x:f>
        <x:v>0</x:v>
      </x:c>
      <x:c r="Q111" s="38" t="str">
        <x:f>"—"</x:f>
        <x:v>—</x:v>
      </x:c>
      <x:c r="R111" s="38" t="n">
        <x:f>IF(COUNT(INDEX('SKU明细'!$D$11:$D$1309,MATCH("32582-WT0P-42",'SKU明细'!$A$11:$A$1309,0)))=0,"待核",IF(COUNT(INDEX('SKU明细'!$D$11:$D$1309,MATCH("32582-WT0P-42",'SKU明细'!$A$11:$A$1309,0)))&lt;1,SUM(INDEX('SKU明细'!$D$11:$D$1309,MATCH("32582-WT0P-42",'SKU明细'!$A$11:$A$1309,0)))&amp;" + 待核",SUM(INDEX('SKU明细'!$D$11:$D$1309,MATCH("32582-WT0P-42",'SKU明细'!$A$11:$A$1309,0)))))</x:f>
        <x:v>0</x:v>
      </x:c>
      <x:c r="S111" s="38" t="n">
        <x:f>IF(COUNT(INDEX('SKU明细'!$D$11:$D$1309,MATCH("32582-WT0P-37",'SKU明细'!$A$11:$A$1309,0)),INDEX('SKU明细'!$D$11:$D$1309,MATCH("32582-WT0P-37.5",'SKU明细'!$A$11:$A$1309,0)),INDEX('SKU明细'!$D$11:$D$1309,MATCH("32582-WT0P-38",'SKU明细'!$A$11:$A$1309,0)),INDEX('SKU明细'!$D$11:$D$1309,MATCH("32582-WT0P-38.5",'SKU明细'!$A$11:$A$1309,0)),INDEX('SKU明细'!$D$11:$D$1309,MATCH("32582-WT0P-39",'SKU明细'!$A$11:$A$1309,0)),INDEX('SKU明细'!$D$11:$D$1309,MATCH("32582-WT0P-39.5",'SKU明细'!$A$11:$A$1309,0)),INDEX('SKU明细'!$D$11:$D$1309,MATCH("32582-WT0P-40",'SKU明细'!$A$11:$A$1309,0)),INDEX('SKU明细'!$D$11:$D$1309,MATCH("32582-WT0P-40.5",'SKU明细'!$A$11:$A$1309,0)),INDEX('SKU明细'!$D$11:$D$1309,MATCH("32582-WT0P-41",'SKU明细'!$A$11:$A$1309,0)),INDEX('SKU明细'!$D$11:$D$1309,MATCH("32582-WT0P-42",'SKU明细'!$A$11:$A$1309,0)))=0,"待核",SUM(INDEX('SKU明细'!$D$11:$D$1309,MATCH("32582-WT0P-37",'SKU明细'!$A$11:$A$1309,0)),INDEX('SKU明细'!$D$11:$D$1309,MATCH("32582-WT0P-37.5",'SKU明细'!$A$11:$A$1309,0)),INDEX('SKU明细'!$D$11:$D$1309,MATCH("32582-WT0P-38",'SKU明细'!$A$11:$A$1309,0)),INDEX('SKU明细'!$D$11:$D$1309,MATCH("32582-WT0P-38.5",'SKU明细'!$A$11:$A$1309,0)),INDEX('SKU明细'!$D$11:$D$1309,MATCH("32582-WT0P-39",'SKU明细'!$A$11:$A$1309,0)),INDEX('SKU明细'!$D$11:$D$1309,MATCH("32582-WT0P-39.5",'SKU明细'!$A$11:$A$1309,0)),INDEX('SKU明细'!$D$11:$D$1309,MATCH("32582-WT0P-40",'SKU明细'!$A$11:$A$1309,0)),INDEX('SKU明细'!$D$11:$D$1309,MATCH("32582-WT0P-40.5",'SKU明细'!$A$11:$A$1309,0)),INDEX('SKU明细'!$D$11:$D$1309,MATCH("32582-WT0P-41",'SKU明细'!$A$11:$A$1309,0)),INDEX('SKU明细'!$D$11:$D$1309,MATCH("32582-WT0P-42",'SKU明细'!$A$11:$A$1309,0))))</x:f>
        <x:v>0</x:v>
      </x:c>
      <x:c r="T111" s="38" t="n">
        <x:f>IF(COUNTIFS($A$9:$A$191,A111,$U$9:$U$191,"&lt;&gt;待核")=0,"待核",SUMIF($A$9:$A$191,A111,$S$9:$S$191))</x:f>
        <x:v>197</x:v>
      </x:c>
      <x:c r="U111" s="37" t="str">
        <x:f>IF(COUNT(INDEX('SKU明细'!$D$11:$D$1309,MATCH("32582-WT0P-37",'SKU明细'!$A$11:$A$1309,0)),INDEX('SKU明细'!$D$11:$D$1309,MATCH("32582-WT0P-37.5",'SKU明细'!$A$11:$A$1309,0)),INDEX('SKU明细'!$D$11:$D$1309,MATCH("32582-WT0P-38",'SKU明细'!$A$11:$A$1309,0)),INDEX('SKU明细'!$D$11:$D$1309,MATCH("32582-WT0P-38.5",'SKU明细'!$A$11:$A$1309,0)),INDEX('SKU明细'!$D$11:$D$1309,MATCH("32582-WT0P-39",'SKU明细'!$A$11:$A$1309,0)),INDEX('SKU明细'!$D$11:$D$1309,MATCH("32582-WT0P-39.5",'SKU明细'!$A$11:$A$1309,0)),INDEX('SKU明细'!$D$11:$D$1309,MATCH("32582-WT0P-40",'SKU明细'!$A$11:$A$1309,0)),INDEX('SKU明细'!$D$11:$D$1309,MATCH("32582-WT0P-40.5",'SKU明细'!$A$11:$A$1309,0)),INDEX('SKU明细'!$D$11:$D$1309,MATCH("32582-WT0P-41",'SKU明细'!$A$11:$A$1309,0)),INDEX('SKU明细'!$D$11:$D$1309,MATCH("32582-WT0P-42",'SKU明细'!$A$11:$A$1309,0)))=0,"待核",IF(COUNT(INDEX('SKU明细'!$D$11:$D$1309,MATCH("32582-WT0P-37",'SKU明细'!$A$11:$A$1309,0)),INDEX('SKU明细'!$D$11:$D$1309,MATCH("32582-WT0P-37.5",'SKU明细'!$A$11:$A$1309,0)),INDEX('SKU明细'!$D$11:$D$1309,MATCH("32582-WT0P-38",'SKU明细'!$A$11:$A$1309,0)),INDEX('SKU明细'!$D$11:$D$1309,MATCH("32582-WT0P-38.5",'SKU明细'!$A$11:$A$1309,0)),INDEX('SKU明细'!$D$11:$D$1309,MATCH("32582-WT0P-39",'SKU明细'!$A$11:$A$1309,0)),INDEX('SKU明细'!$D$11:$D$1309,MATCH("32582-WT0P-39.5",'SKU明细'!$A$11:$A$1309,0)),INDEX('SKU明细'!$D$11:$D$1309,MATCH("32582-WT0P-40",'SKU明细'!$A$11:$A$1309,0)),INDEX('SKU明细'!$D$11:$D$1309,MATCH("32582-WT0P-40.5",'SKU明细'!$A$11:$A$1309,0)),INDEX('SKU明细'!$D$11:$D$1309,MATCH("32582-WT0P-41",'SKU明细'!$A$11:$A$1309,0)),INDEX('SKU明细'!$D$11:$D$1309,MATCH("32582-WT0P-42",'SKU明细'!$A$11:$A$1309,0)))&lt;10,"另有待核","已核"))</x:f>
        <x:v>已核</x:v>
      </x:c>
      <x:c r="V111" s="37" t="str">
        <x:v>在售</x:v>
      </x:c>
      <x:c r="W111" s="11" t="n">
        <x:f>IF(COUNT(INDEX('SKU明细'!$BV$11:$BV$1309,MATCH("32582-WT0P-37",'SKU明细'!$A$11:$A$1309,0)),INDEX('SKU明细'!$BV$11:$BV$1309,MATCH("32582-WT0P-37.5",'SKU明细'!$A$11:$A$1309,0)),INDEX('SKU明细'!$BV$11:$BV$1309,MATCH("32582-WT0P-38",'SKU明细'!$A$11:$A$1309,0)),INDEX('SKU明细'!$BV$11:$BV$1309,MATCH("32582-WT0P-38.5",'SKU明细'!$A$11:$A$1309,0)),INDEX('SKU明细'!$BV$11:$BV$1309,MATCH("32582-WT0P-39",'SKU明细'!$A$11:$A$1309,0)),INDEX('SKU明细'!$BV$11:$BV$1309,MATCH("32582-WT0P-39.5",'SKU明细'!$A$11:$A$1309,0)),INDEX('SKU明细'!$BV$11:$BV$1309,MATCH("32582-WT0P-40",'SKU明细'!$A$11:$A$1309,0)),INDEX('SKU明细'!$BV$11:$BV$1309,MATCH("32582-WT0P-40.5",'SKU明细'!$A$11:$A$1309,0)),INDEX('SKU明细'!$BV$11:$BV$1309,MATCH("32582-WT0P-41",'SKU明细'!$A$11:$A$1309,0)),INDEX('SKU明细'!$BV$11:$BV$1309,MATCH("32582-WT0P-42",'SKU明细'!$A$11:$A$1309,0)))=10,SUM(INDEX('SKU明细'!$BV$11:$BV$1309,MATCH("32582-WT0P-37",'SKU明细'!$A$11:$A$1309,0)),INDEX('SKU明细'!$BV$11:$BV$1309,MATCH("32582-WT0P-37.5",'SKU明细'!$A$11:$A$1309,0)),INDEX('SKU明细'!$BV$11:$BV$1309,MATCH("32582-WT0P-38",'SKU明细'!$A$11:$A$1309,0)),INDEX('SKU明细'!$BV$11:$BV$1309,MATCH("32582-WT0P-38.5",'SKU明细'!$A$11:$A$1309,0)),INDEX('SKU明细'!$BV$11:$BV$1309,MATCH("32582-WT0P-39",'SKU明细'!$A$11:$A$1309,0)),INDEX('SKU明细'!$BV$11:$BV$1309,MATCH("32582-WT0P-39.5",'SKU明细'!$A$11:$A$1309,0)),INDEX('SKU明细'!$BV$11:$BV$1309,MATCH("32582-WT0P-40",'SKU明细'!$A$11:$A$1309,0)),INDEX('SKU明细'!$BV$11:$BV$1309,MATCH("32582-WT0P-40.5",'SKU明细'!$A$11:$A$1309,0)),INDEX('SKU明细'!$BV$11:$BV$1309,MATCH("32582-WT0P-41",'SKU明细'!$A$11:$A$1309,0)),INDEX('SKU明细'!$BV$11:$BV$1309,MATCH("32582-WT0P-42",'SKU明细'!$A$11:$A$1309,0))),"待核")</x:f>
        <x:v>0.21965946994830324</x:v>
      </x:c>
      <x:c r="X111" s="11" t="n">
        <x:f>INDEX('SKU明细'!$BW$11:$BW$1309,MATCH("32582-WT0P-37",'SKU明细'!$A$11:$A$1309,0))</x:f>
        <x:v>1.0395067087630607</x:v>
      </x:c>
      <x:c r="Y111" s="13" t="n">
        <x:f>IF(COUNT(INDEX('SKU明细'!$BY$11:$BY$1309,MATCH("32582-WT0P-37",'SKU明细'!$A$11:$A$1309,0)),INDEX('SKU明细'!$BY$11:$BY$1309,MATCH("32582-WT0P-37.5",'SKU明细'!$A$11:$A$1309,0)),INDEX('SKU明细'!$BY$11:$BY$1309,MATCH("32582-WT0P-38",'SKU明细'!$A$11:$A$1309,0)),INDEX('SKU明细'!$BY$11:$BY$1309,MATCH("32582-WT0P-38.5",'SKU明细'!$A$11:$A$1309,0)),INDEX('SKU明细'!$BY$11:$BY$1309,MATCH("32582-WT0P-39",'SKU明细'!$A$11:$A$1309,0)),INDEX('SKU明细'!$BY$11:$BY$1309,MATCH("32582-WT0P-39.5",'SKU明细'!$A$11:$A$1309,0)),INDEX('SKU明细'!$BY$11:$BY$1309,MATCH("32582-WT0P-40",'SKU明细'!$A$11:$A$1309,0)),INDEX('SKU明细'!$BY$11:$BY$1309,MATCH("32582-WT0P-40.5",'SKU明细'!$A$11:$A$1309,0)),INDEX('SKU明细'!$BY$11:$BY$1309,MATCH("32582-WT0P-41",'SKU明细'!$A$11:$A$1309,0)),INDEX('SKU明细'!$BY$11:$BY$1309,MATCH("32582-WT0P-42",'SKU明细'!$A$11:$A$1309,0)))=10,SUM(INDEX('SKU明细'!$BY$11:$BY$1309,MATCH("32582-WT0P-37",'SKU明细'!$A$11:$A$1309,0)),INDEX('SKU明细'!$BY$11:$BY$1309,MATCH("32582-WT0P-37.5",'SKU明细'!$A$11:$A$1309,0)),INDEX('SKU明细'!$BY$11:$BY$1309,MATCH("32582-WT0P-38",'SKU明细'!$A$11:$A$1309,0)),INDEX('SKU明细'!$BY$11:$BY$1309,MATCH("32582-WT0P-38.5",'SKU明细'!$A$11:$A$1309,0)),INDEX('SKU明细'!$BY$11:$BY$1309,MATCH("32582-WT0P-39",'SKU明细'!$A$11:$A$1309,0)),INDEX('SKU明细'!$BY$11:$BY$1309,MATCH("32582-WT0P-39.5",'SKU明细'!$A$11:$A$1309,0)),INDEX('SKU明细'!$BY$11:$BY$1309,MATCH("32582-WT0P-40",'SKU明细'!$A$11:$A$1309,0)),INDEX('SKU明细'!$BY$11:$BY$1309,MATCH("32582-WT0P-40.5",'SKU明细'!$A$11:$A$1309,0)),INDEX('SKU明细'!$BY$11:$BY$1309,MATCH("32582-WT0P-41",'SKU明细'!$A$11:$A$1309,0)),INDEX('SKU明细'!$BY$11:$BY$1309,MATCH("32582-WT0P-42",'SKU明细'!$A$11:$A$1309,0))),"待核")</x:f>
        <x:v>2.740049911855189</x:v>
      </x:c>
      <x:c r="Z111" s="11" t="n">
        <x:f>INDEX('SKU明细'!$BZ$11:$BZ$1309,MATCH("32582-WT0P-37",'SKU明细'!$A$11:$A$1309,0))</x:f>
        <x:v>0.9890368360033146</x:v>
      </x:c>
      <x:c r="AA111" s="13" t="n">
        <x:f>IF(COUNT(INDEX('SKU明细'!$CB$11:$CB$1309,MATCH("32582-WT0P-37",'SKU明细'!$A$11:$A$1309,0)),INDEX('SKU明细'!$CB$11:$CB$1309,MATCH("32582-WT0P-37.5",'SKU明细'!$A$11:$A$1309,0)),INDEX('SKU明细'!$CB$11:$CB$1309,MATCH("32582-WT0P-38",'SKU明细'!$A$11:$A$1309,0)),INDEX('SKU明细'!$CB$11:$CB$1309,MATCH("32582-WT0P-38.5",'SKU明细'!$A$11:$A$1309,0)),INDEX('SKU明细'!$CB$11:$CB$1309,MATCH("32582-WT0P-39",'SKU明细'!$A$11:$A$1309,0)),INDEX('SKU明细'!$CB$11:$CB$1309,MATCH("32582-WT0P-39.5",'SKU明细'!$A$11:$A$1309,0)),INDEX('SKU明细'!$CB$11:$CB$1309,MATCH("32582-WT0P-40",'SKU明细'!$A$11:$A$1309,0)),INDEX('SKU明细'!$CB$11:$CB$1309,MATCH("32582-WT0P-40.5",'SKU明细'!$A$11:$A$1309,0)),INDEX('SKU明细'!$CB$11:$CB$1309,MATCH("32582-WT0P-41",'SKU明细'!$A$11:$A$1309,0)),INDEX('SKU明细'!$CB$11:$CB$1309,MATCH("32582-WT0P-42",'SKU明细'!$A$11:$A$1309,0)))=10,SUM(INDEX('SKU明细'!$CB$11:$CB$1309,MATCH("32582-WT0P-37",'SKU明细'!$A$11:$A$1309,0)),INDEX('SKU明细'!$CB$11:$CB$1309,MATCH("32582-WT0P-37.5",'SKU明细'!$A$11:$A$1309,0)),INDEX('SKU明细'!$CB$11:$CB$1309,MATCH("32582-WT0P-38",'SKU明细'!$A$11:$A$1309,0)),INDEX('SKU明细'!$CB$11:$CB$1309,MATCH("32582-WT0P-38.5",'SKU明细'!$A$11:$A$1309,0)),INDEX('SKU明细'!$CB$11:$CB$1309,MATCH("32582-WT0P-39",'SKU明细'!$A$11:$A$1309,0)),INDEX('SKU明细'!$CB$11:$CB$1309,MATCH("32582-WT0P-39.5",'SKU明细'!$A$11:$A$1309,0)),INDEX('SKU明细'!$CB$11:$CB$1309,MATCH("32582-WT0P-40",'SKU明细'!$A$11:$A$1309,0)),INDEX('SKU明细'!$CB$11:$CB$1309,MATCH("32582-WT0P-40.5",'SKU明细'!$A$11:$A$1309,0)),INDEX('SKU明细'!$CB$11:$CB$1309,MATCH("32582-WT0P-41",'SKU明细'!$A$11:$A$1309,0)),INDEX('SKU明细'!$CB$11:$CB$1309,MATCH("32582-WT0P-42",'SKU明细'!$A$11:$A$1309,0))),"待核")</x:f>
        <x:v>6.517539214675049</x:v>
      </x:c>
      <x:c r="AB111" s="11" t="n">
        <x:f>INDEX('SKU明细'!$CC$11:$CC$1309,MATCH("32582-WT0P-37",'SKU明细'!$A$11:$A$1309,0))</x:f>
        <x:v>0.7800796503018808</x:v>
      </x:c>
      <x:c r="AC111" s="13" t="n">
        <x:f>IF(COUNT(INDEX('SKU明细'!$CE$11:$CE$1309,MATCH("32582-WT0P-37",'SKU明细'!$A$11:$A$1309,0)),INDEX('SKU明细'!$CE$11:$CE$1309,MATCH("32582-WT0P-37.5",'SKU明细'!$A$11:$A$1309,0)),INDEX('SKU明细'!$CE$11:$CE$1309,MATCH("32582-WT0P-38",'SKU明细'!$A$11:$A$1309,0)),INDEX('SKU明细'!$CE$11:$CE$1309,MATCH("32582-WT0P-38.5",'SKU明细'!$A$11:$A$1309,0)),INDEX('SKU明细'!$CE$11:$CE$1309,MATCH("32582-WT0P-39",'SKU明细'!$A$11:$A$1309,0)),INDEX('SKU明细'!$CE$11:$CE$1309,MATCH("32582-WT0P-39.5",'SKU明细'!$A$11:$A$1309,0)),INDEX('SKU明细'!$CE$11:$CE$1309,MATCH("32582-WT0P-40",'SKU明细'!$A$11:$A$1309,0)),INDEX('SKU明细'!$CE$11:$CE$1309,MATCH("32582-WT0P-40.5",'SKU明细'!$A$11:$A$1309,0)),INDEX('SKU明细'!$CE$11:$CE$1309,MATCH("32582-WT0P-41",'SKU明细'!$A$11:$A$1309,0)),INDEX('SKU明细'!$CE$11:$CE$1309,MATCH("32582-WT0P-42",'SKU明细'!$A$11:$A$1309,0)))=10,SUM(INDEX('SKU明细'!$CE$11:$CE$1309,MATCH("32582-WT0P-37",'SKU明细'!$A$11:$A$1309,0)),INDEX('SKU明细'!$CE$11:$CE$1309,MATCH("32582-WT0P-37.5",'SKU明细'!$A$11:$A$1309,0)),INDEX('SKU明细'!$CE$11:$CE$1309,MATCH("32582-WT0P-38",'SKU明细'!$A$11:$A$1309,0)),INDEX('SKU明细'!$CE$11:$CE$1309,MATCH("32582-WT0P-38.5",'SKU明细'!$A$11:$A$1309,0)),INDEX('SKU明细'!$CE$11:$CE$1309,MATCH("32582-WT0P-39",'SKU明细'!$A$11:$A$1309,0)),INDEX('SKU明细'!$CE$11:$CE$1309,MATCH("32582-WT0P-39.5",'SKU明细'!$A$11:$A$1309,0)),INDEX('SKU明细'!$CE$11:$CE$1309,MATCH("32582-WT0P-40",'SKU明细'!$A$11:$A$1309,0)),INDEX('SKU明细'!$CE$11:$CE$1309,MATCH("32582-WT0P-40.5",'SKU明细'!$A$11:$A$1309,0)),INDEX('SKU明细'!$CE$11:$CE$1309,MATCH("32582-WT0P-41",'SKU明细'!$A$11:$A$1309,0)),INDEX('SKU明细'!$CE$11:$CE$1309,MATCH("32582-WT0P-42",'SKU明细'!$A$11:$A$1309,0))),"待核")</x:f>
        <x:v>5.311908357585834</x:v>
      </x:c>
      <x:c r="AD111" s="11" t="n">
        <x:f>INDEX('SKU明细'!$CF$11:$CF$1309,MATCH("32582-WT0P-37",'SKU明细'!$A$11:$A$1309,0))</x:f>
        <x:v>1.2908918272824135</x:v>
      </x:c>
      <x:c r="AE111" s="13" t="n">
        <x:f>IF(COUNT(INDEX('SKU明细'!$CH$11:$CH$1309,MATCH("32582-WT0P-37",'SKU明细'!$A$11:$A$1309,0)),INDEX('SKU明细'!$CH$11:$CH$1309,MATCH("32582-WT0P-37.5",'SKU明细'!$A$11:$A$1309,0)),INDEX('SKU明细'!$CH$11:$CH$1309,MATCH("32582-WT0P-38",'SKU明细'!$A$11:$A$1309,0)),INDEX('SKU明细'!$CH$11:$CH$1309,MATCH("32582-WT0P-38.5",'SKU明细'!$A$11:$A$1309,0)),INDEX('SKU明细'!$CH$11:$CH$1309,MATCH("32582-WT0P-39",'SKU明细'!$A$11:$A$1309,0)),INDEX('SKU明细'!$CH$11:$CH$1309,MATCH("32582-WT0P-39.5",'SKU明细'!$A$11:$A$1309,0)),INDEX('SKU明细'!$CH$11:$CH$1309,MATCH("32582-WT0P-40",'SKU明细'!$A$11:$A$1309,0)),INDEX('SKU明细'!$CH$11:$CH$1309,MATCH("32582-WT0P-40.5",'SKU明细'!$A$11:$A$1309,0)),INDEX('SKU明细'!$CH$11:$CH$1309,MATCH("32582-WT0P-41",'SKU明细'!$A$11:$A$1309,0)),INDEX('SKU明细'!$CH$11:$CH$1309,MATCH("32582-WT0P-42",'SKU明细'!$A$11:$A$1309,0)))=10,SUM(INDEX('SKU明细'!$CH$11:$CH$1309,MATCH("32582-WT0P-37",'SKU明细'!$A$11:$A$1309,0)),INDEX('SKU明细'!$CH$11:$CH$1309,MATCH("32582-WT0P-37.5",'SKU明细'!$A$11:$A$1309,0)),INDEX('SKU明细'!$CH$11:$CH$1309,MATCH("32582-WT0P-38",'SKU明细'!$A$11:$A$1309,0)),INDEX('SKU明细'!$CH$11:$CH$1309,MATCH("32582-WT0P-38.5",'SKU明细'!$A$11:$A$1309,0)),INDEX('SKU明细'!$CH$11:$CH$1309,MATCH("32582-WT0P-39",'SKU明细'!$A$11:$A$1309,0)),INDEX('SKU明细'!$CH$11:$CH$1309,MATCH("32582-WT0P-39.5",'SKU明细'!$A$11:$A$1309,0)),INDEX('SKU明细'!$CH$11:$CH$1309,MATCH("32582-WT0P-40",'SKU明细'!$A$11:$A$1309,0)),INDEX('SKU明细'!$CH$11:$CH$1309,MATCH("32582-WT0P-40.5",'SKU明细'!$A$11:$A$1309,0)),INDEX('SKU明细'!$CH$11:$CH$1309,MATCH("32582-WT0P-41",'SKU明细'!$A$11:$A$1309,0)),INDEX('SKU明细'!$CH$11:$CH$1309,MATCH("32582-WT0P-42",'SKU明细'!$A$11:$A$1309,0))),"待核")</x:f>
        <x:v>4.820462447204676</x:v>
      </x:c>
      <x:c r="AF111" s="13" t="n">
        <x:f>IF(COUNT(INDEX('SKU明细'!$CI$11:$CI$1309,MATCH("32582-WT0P-37",'SKU明细'!$A$11:$A$1309,0)),INDEX('SKU明细'!$CI$11:$CI$1309,MATCH("32582-WT0P-37.5",'SKU明细'!$A$11:$A$1309,0)),INDEX('SKU明细'!$CI$11:$CI$1309,MATCH("32582-WT0P-38",'SKU明细'!$A$11:$A$1309,0)),INDEX('SKU明细'!$CI$11:$CI$1309,MATCH("32582-WT0P-38.5",'SKU明细'!$A$11:$A$1309,0)),INDEX('SKU明细'!$CI$11:$CI$1309,MATCH("32582-WT0P-39",'SKU明细'!$A$11:$A$1309,0)),INDEX('SKU明细'!$CI$11:$CI$1309,MATCH("32582-WT0P-39.5",'SKU明细'!$A$11:$A$1309,0)),INDEX('SKU明细'!$CI$11:$CI$1309,MATCH("32582-WT0P-40",'SKU明细'!$A$11:$A$1309,0)),INDEX('SKU明细'!$CI$11:$CI$1309,MATCH("32582-WT0P-40.5",'SKU明细'!$A$11:$A$1309,0)),INDEX('SKU明细'!$CI$11:$CI$1309,MATCH("32582-WT0P-41",'SKU明细'!$A$11:$A$1309,0)),INDEX('SKU明细'!$CI$11:$CI$1309,MATCH("32582-WT0P-42",'SKU明细'!$A$11:$A$1309,0)))=10,SUM(INDEX('SKU明细'!$CI$11:$CI$1309,MATCH("32582-WT0P-37",'SKU明细'!$A$11:$A$1309,0)),INDEX('SKU明细'!$CI$11:$CI$1309,MATCH("32582-WT0P-37.5",'SKU明细'!$A$11:$A$1309,0)),INDEX('SKU明细'!$CI$11:$CI$1309,MATCH("32582-WT0P-38",'SKU明细'!$A$11:$A$1309,0)),INDEX('SKU明细'!$CI$11:$CI$1309,MATCH("32582-WT0P-38.5",'SKU明细'!$A$11:$A$1309,0)),INDEX('SKU明细'!$CI$11:$CI$1309,MATCH("32582-WT0P-39",'SKU明细'!$A$11:$A$1309,0)),INDEX('SKU明细'!$CI$11:$CI$1309,MATCH("32582-WT0P-39.5",'SKU明细'!$A$11:$A$1309,0)),INDEX('SKU明细'!$CI$11:$CI$1309,MATCH("32582-WT0P-40",'SKU明细'!$A$11:$A$1309,0)),INDEX('SKU明细'!$CI$11:$CI$1309,MATCH("32582-WT0P-40.5",'SKU明细'!$A$11:$A$1309,0)),INDEX('SKU明细'!$CI$11:$CI$1309,MATCH("32582-WT0P-41",'SKU明细'!$A$11:$A$1309,0)),INDEX('SKU明细'!$CI$11:$CI$1309,MATCH("32582-WT0P-42",'SKU明细'!$A$11:$A$1309,0))),"待核")</x:f>
        <x:v>19.38995993132075</x:v>
      </x:c>
    </x:row>
    <x:row r="112" ht="40" customHeight="1">
      <x:c r="A112" s="35" t="str">
        <x:v>S02b</x:v>
      </x:c>
      <x:c r="B112" s="35" t="str">
        <x:v>陈晨</x:v>
      </x:c>
      <x:c r="C112" s="35" t="str">
        <x:v>黑色</x:v>
      </x:c>
      <x:c r="D112" s="35" t="str">
        <x:v>BK</x:v>
      </x:c>
      <x:c r="E112" s="35" t="str">
        <x:v>S02b-BK</x:v>
      </x:c>
      <x:c r="F112" s="35"/>
      <x:c r="G112" s="36" t="str">
        <x:f>"—"</x:f>
        <x:v>—</x:v>
      </x:c>
      <x:c r="H112" s="36" t="n">
        <x:f>IF(COUNT(INDEX('SKU明细'!$D$11:$D$1309,MATCH("S02b-BK-37",'SKU明细'!$A$11:$A$1309,0)))=0,"待核",IF(COUNT(INDEX('SKU明细'!$D$11:$D$1309,MATCH("S02b-BK-37",'SKU明细'!$A$11:$A$1309,0)))&lt;1,SUM(INDEX('SKU明细'!$D$11:$D$1309,MATCH("S02b-BK-37",'SKU明细'!$A$11:$A$1309,0)))&amp;" + 待核",SUM(INDEX('SKU明细'!$D$11:$D$1309,MATCH("S02b-BK-37",'SKU明细'!$A$11:$A$1309,0)))))</x:f>
        <x:v>0</x:v>
      </x:c>
      <x:c r="I112" s="36" t="str">
        <x:f>"—"</x:f>
        <x:v>—</x:v>
      </x:c>
      <x:c r="J112" s="36" t="n">
        <x:f>IF(COUNT(INDEX('SKU明细'!$D$11:$D$1309,MATCH("S02b-BK-38",'SKU明细'!$A$11:$A$1309,0)))=0,"待核",IF(COUNT(INDEX('SKU明细'!$D$11:$D$1309,MATCH("S02b-BK-38",'SKU明细'!$A$11:$A$1309,0)))&lt;1,SUM(INDEX('SKU明细'!$D$11:$D$1309,MATCH("S02b-BK-38",'SKU明细'!$A$11:$A$1309,0)))&amp;" + 待核",SUM(INDEX('SKU明细'!$D$11:$D$1309,MATCH("S02b-BK-38",'SKU明细'!$A$11:$A$1309,0)))))</x:f>
        <x:v>0</x:v>
      </x:c>
      <x:c r="K112" s="36" t="str">
        <x:f>"—"</x:f>
        <x:v>—</x:v>
      </x:c>
      <x:c r="L112" s="36" t="n">
        <x:f>IF(COUNT(INDEX('SKU明细'!$D$11:$D$1309,MATCH("S02b-BK-39",'SKU明细'!$A$11:$A$1309,0)))=0,"待核",IF(COUNT(INDEX('SKU明细'!$D$11:$D$1309,MATCH("S02b-BK-39",'SKU明细'!$A$11:$A$1309,0)))&lt;1,SUM(INDEX('SKU明细'!$D$11:$D$1309,MATCH("S02b-BK-39",'SKU明细'!$A$11:$A$1309,0)))&amp;" + 待核",SUM(INDEX('SKU明细'!$D$11:$D$1309,MATCH("S02b-BK-39",'SKU明细'!$A$11:$A$1309,0)))))</x:f>
        <x:v>0</x:v>
      </x:c>
      <x:c r="M112" s="36" t="str">
        <x:f>"—"</x:f>
        <x:v>—</x:v>
      </x:c>
      <x:c r="N112" s="36" t="n">
        <x:f>IF(COUNT(INDEX('SKU明细'!$D$11:$D$1309,MATCH("S02b-BK-40",'SKU明细'!$A$11:$A$1309,0)))=0,"待核",IF(COUNT(INDEX('SKU明细'!$D$11:$D$1309,MATCH("S02b-BK-40",'SKU明细'!$A$11:$A$1309,0)))&lt;1,SUM(INDEX('SKU明细'!$D$11:$D$1309,MATCH("S02b-BK-40",'SKU明细'!$A$11:$A$1309,0)))&amp;" + 待核",SUM(INDEX('SKU明细'!$D$11:$D$1309,MATCH("S02b-BK-40",'SKU明细'!$A$11:$A$1309,0)))))</x:f>
        <x:v>0</x:v>
      </x:c>
      <x:c r="O112" s="36" t="str">
        <x:f>"—"</x:f>
        <x:v>—</x:v>
      </x:c>
      <x:c r="P112" s="36" t="n">
        <x:f>IF(COUNT(INDEX('SKU明细'!$D$11:$D$1309,MATCH("S02b-BK-41",'SKU明细'!$A$11:$A$1309,0)))=0,"待核",IF(COUNT(INDEX('SKU明细'!$D$11:$D$1309,MATCH("S02b-BK-41",'SKU明细'!$A$11:$A$1309,0)))&lt;1,SUM(INDEX('SKU明细'!$D$11:$D$1309,MATCH("S02b-BK-41",'SKU明细'!$A$11:$A$1309,0)))&amp;" + 待核",SUM(INDEX('SKU明细'!$D$11:$D$1309,MATCH("S02b-BK-41",'SKU明细'!$A$11:$A$1309,0)))))</x:f>
        <x:v>0</x:v>
      </x:c>
      <x:c r="Q112" s="36" t="str">
        <x:f>"—"</x:f>
        <x:v>—</x:v>
      </x:c>
      <x:c r="R112" s="36" t="n">
        <x:f>IF(COUNT(INDEX('SKU明细'!$D$11:$D$1309,MATCH("S02b-BK-42",'SKU明细'!$A$11:$A$1309,0)))=0,"待核",IF(COUNT(INDEX('SKU明细'!$D$11:$D$1309,MATCH("S02b-BK-42",'SKU明细'!$A$11:$A$1309,0)))&lt;1,SUM(INDEX('SKU明细'!$D$11:$D$1309,MATCH("S02b-BK-42",'SKU明细'!$A$11:$A$1309,0)))&amp;" + 待核",SUM(INDEX('SKU明细'!$D$11:$D$1309,MATCH("S02b-BK-42",'SKU明细'!$A$11:$A$1309,0)))))</x:f>
        <x:v>0</x:v>
      </x:c>
      <x:c r="S112" s="36" t="n">
        <x:f>IF(COUNT(INDEX('SKU明细'!$D$11:$D$1309,MATCH("S02b-BK-37",'SKU明细'!$A$11:$A$1309,0)),INDEX('SKU明细'!$D$11:$D$1309,MATCH("S02b-BK-38",'SKU明细'!$A$11:$A$1309,0)),INDEX('SKU明细'!$D$11:$D$1309,MATCH("S02b-BK-39",'SKU明细'!$A$11:$A$1309,0)),INDEX('SKU明细'!$D$11:$D$1309,MATCH("S02b-BK-40",'SKU明细'!$A$11:$A$1309,0)),INDEX('SKU明细'!$D$11:$D$1309,MATCH("S02b-BK-41",'SKU明细'!$A$11:$A$1309,0)),INDEX('SKU明细'!$D$11:$D$1309,MATCH("S02b-BK-42",'SKU明细'!$A$11:$A$1309,0)))=0,"待核",SUM(INDEX('SKU明细'!$D$11:$D$1309,MATCH("S02b-BK-37",'SKU明细'!$A$11:$A$1309,0)),INDEX('SKU明细'!$D$11:$D$1309,MATCH("S02b-BK-38",'SKU明细'!$A$11:$A$1309,0)),INDEX('SKU明细'!$D$11:$D$1309,MATCH("S02b-BK-39",'SKU明细'!$A$11:$A$1309,0)),INDEX('SKU明细'!$D$11:$D$1309,MATCH("S02b-BK-40",'SKU明细'!$A$11:$A$1309,0)),INDEX('SKU明细'!$D$11:$D$1309,MATCH("S02b-BK-41",'SKU明细'!$A$11:$A$1309,0)),INDEX('SKU明细'!$D$11:$D$1309,MATCH("S02b-BK-42",'SKU明细'!$A$11:$A$1309,0))))</x:f>
        <x:v>0</x:v>
      </x:c>
      <x:c r="T112" s="36" t="n">
        <x:f>IF(COUNTIFS($A$9:$A$191,A112,$U$9:$U$191,"&lt;&gt;待核")=0,"待核",SUMIF($A$9:$A$191,A112,$S$9:$S$191))</x:f>
        <x:v>168</x:v>
      </x:c>
      <x:c r="U112" s="35" t="str">
        <x:f>IF(COUNT(INDEX('SKU明细'!$D$11:$D$1309,MATCH("S02b-BK-37",'SKU明细'!$A$11:$A$1309,0)),INDEX('SKU明细'!$D$11:$D$1309,MATCH("S02b-BK-38",'SKU明细'!$A$11:$A$1309,0)),INDEX('SKU明细'!$D$11:$D$1309,MATCH("S02b-BK-39",'SKU明细'!$A$11:$A$1309,0)),INDEX('SKU明细'!$D$11:$D$1309,MATCH("S02b-BK-40",'SKU明细'!$A$11:$A$1309,0)),INDEX('SKU明细'!$D$11:$D$1309,MATCH("S02b-BK-41",'SKU明细'!$A$11:$A$1309,0)),INDEX('SKU明细'!$D$11:$D$1309,MATCH("S02b-BK-42",'SKU明细'!$A$11:$A$1309,0)))=0,"待核",IF(COUNT(INDEX('SKU明细'!$D$11:$D$1309,MATCH("S02b-BK-37",'SKU明细'!$A$11:$A$1309,0)),INDEX('SKU明细'!$D$11:$D$1309,MATCH("S02b-BK-38",'SKU明细'!$A$11:$A$1309,0)),INDEX('SKU明细'!$D$11:$D$1309,MATCH("S02b-BK-39",'SKU明细'!$A$11:$A$1309,0)),INDEX('SKU明细'!$D$11:$D$1309,MATCH("S02b-BK-40",'SKU明细'!$A$11:$A$1309,0)),INDEX('SKU明细'!$D$11:$D$1309,MATCH("S02b-BK-41",'SKU明细'!$A$11:$A$1309,0)),INDEX('SKU明细'!$D$11:$D$1309,MATCH("S02b-BK-42",'SKU明细'!$A$11:$A$1309,0)))&lt;6,"另有待核","已核"))</x:f>
        <x:v>已核</x:v>
      </x:c>
      <x:c r="V112" s="35" t="str">
        <x:v>在售</x:v>
      </x:c>
      <x:c r="W112" s="11" t="n">
        <x:f>IF(COUNT(INDEX('SKU明细'!$BV$11:$BV$1309,MATCH("S02b-BK-37",'SKU明细'!$A$11:$A$1309,0)),INDEX('SKU明细'!$BV$11:$BV$1309,MATCH("S02b-BK-38",'SKU明细'!$A$11:$A$1309,0)),INDEX('SKU明细'!$BV$11:$BV$1309,MATCH("S02b-BK-39",'SKU明细'!$A$11:$A$1309,0)),INDEX('SKU明细'!$BV$11:$BV$1309,MATCH("S02b-BK-40",'SKU明细'!$A$11:$A$1309,0)),INDEX('SKU明细'!$BV$11:$BV$1309,MATCH("S02b-BK-41",'SKU明细'!$A$11:$A$1309,0)),INDEX('SKU明细'!$BV$11:$BV$1309,MATCH("S02b-BK-42",'SKU明细'!$A$11:$A$1309,0)))=6,SUM(INDEX('SKU明细'!$BV$11:$BV$1309,MATCH("S02b-BK-37",'SKU明细'!$A$11:$A$1309,0)),INDEX('SKU明细'!$BV$11:$BV$1309,MATCH("S02b-BK-38",'SKU明细'!$A$11:$A$1309,0)),INDEX('SKU明细'!$BV$11:$BV$1309,MATCH("S02b-BK-39",'SKU明细'!$A$11:$A$1309,0)),INDEX('SKU明细'!$BV$11:$BV$1309,MATCH("S02b-BK-40",'SKU明细'!$A$11:$A$1309,0)),INDEX('SKU明细'!$BV$11:$BV$1309,MATCH("S02b-BK-41",'SKU明细'!$A$11:$A$1309,0)),INDEX('SKU明细'!$BV$11:$BV$1309,MATCH("S02b-BK-42",'SKU明细'!$A$11:$A$1309,0))),"待核")</x:f>
        <x:v>2.262132262051421</x:v>
      </x:c>
      <x:c r="X112" s="11" t="n">
        <x:f>INDEX('SKU明细'!$BW$11:$BW$1309,MATCH("S02b-BK-37",'SKU明细'!$A$11:$A$1309,0))</x:f>
        <x:v>0.9658602967882928</x:v>
      </x:c>
      <x:c r="Y112" s="13" t="n">
        <x:f>IF(COUNT(INDEX('SKU明细'!$BY$11:$BY$1309,MATCH("S02b-BK-37",'SKU明细'!$A$11:$A$1309,0)),INDEX('SKU明细'!$BY$11:$BY$1309,MATCH("S02b-BK-38",'SKU明细'!$A$11:$A$1309,0)),INDEX('SKU明细'!$BY$11:$BY$1309,MATCH("S02b-BK-39",'SKU明细'!$A$11:$A$1309,0)),INDEX('SKU明细'!$BY$11:$BY$1309,MATCH("S02b-BK-40",'SKU明细'!$A$11:$A$1309,0)),INDEX('SKU明细'!$BY$11:$BY$1309,MATCH("S02b-BK-41",'SKU明细'!$A$11:$A$1309,0)),INDEX('SKU明细'!$BY$11:$BY$1309,MATCH("S02b-BK-42",'SKU明细'!$A$11:$A$1309,0)))=6,SUM(INDEX('SKU明细'!$BY$11:$BY$1309,MATCH("S02b-BK-37",'SKU明细'!$A$11:$A$1309,0)),INDEX('SKU明细'!$BY$11:$BY$1309,MATCH("S02b-BK-38",'SKU明细'!$A$11:$A$1309,0)),INDEX('SKU明细'!$BY$11:$BY$1309,MATCH("S02b-BK-39",'SKU明细'!$A$11:$A$1309,0)),INDEX('SKU明细'!$BY$11:$BY$1309,MATCH("S02b-BK-40",'SKU明细'!$A$11:$A$1309,0)),INDEX('SKU明细'!$BY$11:$BY$1309,MATCH("S02b-BK-41",'SKU明细'!$A$11:$A$1309,0)),INDEX('SKU明细'!$BY$11:$BY$1309,MATCH("S02b-BK-42",'SKU明细'!$A$11:$A$1309,0))),"待核")</x:f>
        <x:v>26.21884485599229</x:v>
      </x:c>
      <x:c r="Z112" s="11" t="n">
        <x:f>INDEX('SKU明细'!$BZ$11:$BZ$1309,MATCH("S02b-BK-37",'SKU明细'!$A$11:$A$1309,0))</x:f>
        <x:v>1.1727174450092641</x:v>
      </x:c>
      <x:c r="AA112" s="13" t="n">
        <x:f>IF(COUNT(INDEX('SKU明细'!$CB$11:$CB$1309,MATCH("S02b-BK-37",'SKU明细'!$A$11:$A$1309,0)),INDEX('SKU明细'!$CB$11:$CB$1309,MATCH("S02b-BK-38",'SKU明细'!$A$11:$A$1309,0)),INDEX('SKU明细'!$CB$11:$CB$1309,MATCH("S02b-BK-39",'SKU明细'!$A$11:$A$1309,0)),INDEX('SKU明细'!$CB$11:$CB$1309,MATCH("S02b-BK-40",'SKU明细'!$A$11:$A$1309,0)),INDEX('SKU明细'!$CB$11:$CB$1309,MATCH("S02b-BK-41",'SKU明细'!$A$11:$A$1309,0)),INDEX('SKU明细'!$CB$11:$CB$1309,MATCH("S02b-BK-42",'SKU明细'!$A$11:$A$1309,0)))=6,SUM(INDEX('SKU明细'!$CB$11:$CB$1309,MATCH("S02b-BK-37",'SKU明细'!$A$11:$A$1309,0)),INDEX('SKU明细'!$CB$11:$CB$1309,MATCH("S02b-BK-38",'SKU明细'!$A$11:$A$1309,0)),INDEX('SKU明细'!$CB$11:$CB$1309,MATCH("S02b-BK-39",'SKU明细'!$A$11:$A$1309,0)),INDEX('SKU明细'!$CB$11:$CB$1309,MATCH("S02b-BK-40",'SKU明细'!$A$11:$A$1309,0)),INDEX('SKU明细'!$CB$11:$CB$1309,MATCH("S02b-BK-41",'SKU明细'!$A$11:$A$1309,0)),INDEX('SKU明细'!$CB$11:$CB$1309,MATCH("S02b-BK-42",'SKU明细'!$A$11:$A$1309,0))),"待核")</x:f>
        <x:v>79.5852589987791</x:v>
      </x:c>
      <x:c r="AB112" s="11" t="n">
        <x:f>INDEX('SKU明细'!$CC$11:$CC$1309,MATCH("S02b-BK-37",'SKU明细'!$A$11:$A$1309,0))</x:f>
        <x:v>0.8763339075184018</x:v>
      </x:c>
      <x:c r="AC112" s="13" t="n">
        <x:f>IF(COUNT(INDEX('SKU明细'!$CE$11:$CE$1309,MATCH("S02b-BK-37",'SKU明细'!$A$11:$A$1309,0)),INDEX('SKU明细'!$CE$11:$CE$1309,MATCH("S02b-BK-38",'SKU明细'!$A$11:$A$1309,0)),INDEX('SKU明细'!$CE$11:$CE$1309,MATCH("S02b-BK-39",'SKU明细'!$A$11:$A$1309,0)),INDEX('SKU明细'!$CE$11:$CE$1309,MATCH("S02b-BK-40",'SKU明细'!$A$11:$A$1309,0)),INDEX('SKU明细'!$CE$11:$CE$1309,MATCH("S02b-BK-41",'SKU明细'!$A$11:$A$1309,0)),INDEX('SKU明细'!$CE$11:$CE$1309,MATCH("S02b-BK-42",'SKU明细'!$A$11:$A$1309,0)))=6,SUM(INDEX('SKU明细'!$CE$11:$CE$1309,MATCH("S02b-BK-37",'SKU明细'!$A$11:$A$1309,0)),INDEX('SKU明细'!$CE$11:$CE$1309,MATCH("S02b-BK-38",'SKU明细'!$A$11:$A$1309,0)),INDEX('SKU明细'!$CE$11:$CE$1309,MATCH("S02b-BK-39",'SKU明细'!$A$11:$A$1309,0)),INDEX('SKU明细'!$CE$11:$CE$1309,MATCH("S02b-BK-40",'SKU明细'!$A$11:$A$1309,0)),INDEX('SKU明细'!$CE$11:$CE$1309,MATCH("S02b-BK-41",'SKU明细'!$A$11:$A$1309,0)),INDEX('SKU明细'!$CE$11:$CE$1309,MATCH("S02b-BK-42",'SKU明细'!$A$11:$A$1309,0))),"待核")</x:f>
        <x:v>61.45387934033586</x:v>
      </x:c>
      <x:c r="AD112" s="11" t="n">
        <x:f>INDEX('SKU明细'!$CF$11:$CF$1309,MATCH("S02b-BK-37",'SKU明细'!$A$11:$A$1309,0))</x:f>
        <x:v>1.2204399948507247</x:v>
      </x:c>
      <x:c r="AE112" s="13" t="n">
        <x:f>IF(COUNT(INDEX('SKU明细'!$CH$11:$CH$1309,MATCH("S02b-BK-37",'SKU明细'!$A$11:$A$1309,0)),INDEX('SKU明细'!$CH$11:$CH$1309,MATCH("S02b-BK-38",'SKU明细'!$A$11:$A$1309,0)),INDEX('SKU明细'!$CH$11:$CH$1309,MATCH("S02b-BK-39",'SKU明细'!$A$11:$A$1309,0)),INDEX('SKU明细'!$CH$11:$CH$1309,MATCH("S02b-BK-40",'SKU明细'!$A$11:$A$1309,0)),INDEX('SKU明细'!$CH$11:$CH$1309,MATCH("S02b-BK-41",'SKU明细'!$A$11:$A$1309,0)),INDEX('SKU明细'!$CH$11:$CH$1309,MATCH("S02b-BK-42",'SKU明细'!$A$11:$A$1309,0)))=6,SUM(INDEX('SKU明细'!$CH$11:$CH$1309,MATCH("S02b-BK-37",'SKU明细'!$A$11:$A$1309,0)),INDEX('SKU明细'!$CH$11:$CH$1309,MATCH("S02b-BK-38",'SKU明细'!$A$11:$A$1309,0)),INDEX('SKU明细'!$CH$11:$CH$1309,MATCH("S02b-BK-39",'SKU明细'!$A$11:$A$1309,0)),INDEX('SKU明细'!$CH$11:$CH$1309,MATCH("S02b-BK-40",'SKU明细'!$A$11:$A$1309,0)),INDEX('SKU明细'!$CH$11:$CH$1309,MATCH("S02b-BK-41",'SKU明细'!$A$11:$A$1309,0)),INDEX('SKU明细'!$CH$11:$CH$1309,MATCH("S02b-BK-42",'SKU明细'!$A$11:$A$1309,0))),"待核")</x:f>
        <x:v>46.933543666244816</x:v>
      </x:c>
      <x:c r="AF112" s="13" t="n">
        <x:f>IF(COUNT(INDEX('SKU明细'!$CI$11:$CI$1309,MATCH("S02b-BK-37",'SKU明细'!$A$11:$A$1309,0)),INDEX('SKU明细'!$CI$11:$CI$1309,MATCH("S02b-BK-38",'SKU明细'!$A$11:$A$1309,0)),INDEX('SKU明细'!$CI$11:$CI$1309,MATCH("S02b-BK-39",'SKU明细'!$A$11:$A$1309,0)),INDEX('SKU明细'!$CI$11:$CI$1309,MATCH("S02b-BK-40",'SKU明细'!$A$11:$A$1309,0)),INDEX('SKU明细'!$CI$11:$CI$1309,MATCH("S02b-BK-41",'SKU明细'!$A$11:$A$1309,0)),INDEX('SKU明细'!$CI$11:$CI$1309,MATCH("S02b-BK-42",'SKU明细'!$A$11:$A$1309,0)))=6,SUM(INDEX('SKU明细'!$CI$11:$CI$1309,MATCH("S02b-BK-37",'SKU明细'!$A$11:$A$1309,0)),INDEX('SKU明细'!$CI$11:$CI$1309,MATCH("S02b-BK-38",'SKU明细'!$A$11:$A$1309,0)),INDEX('SKU明细'!$CI$11:$CI$1309,MATCH("S02b-BK-39",'SKU明细'!$A$11:$A$1309,0)),INDEX('SKU明细'!$CI$11:$CI$1309,MATCH("S02b-BK-40",'SKU明细'!$A$11:$A$1309,0)),INDEX('SKU明细'!$CI$11:$CI$1309,MATCH("S02b-BK-41",'SKU明细'!$A$11:$A$1309,0)),INDEX('SKU明细'!$CI$11:$CI$1309,MATCH("S02b-BK-42",'SKU明细'!$A$11:$A$1309,0))),"待核")</x:f>
        <x:v>214.19152686135203</x:v>
      </x:c>
    </x:row>
    <x:row r="113" ht="40" customHeight="1">
      <x:c r="A113" s="35" t="str">
        <x:v>S02b</x:v>
      </x:c>
      <x:c r="B113" s="35" t="str">
        <x:v>陈晨</x:v>
      </x:c>
      <x:c r="C113" s="35" t="str">
        <x:v>黑色</x:v>
      </x:c>
      <x:c r="D113" s="35" t="str">
        <x:v>BK1</x:v>
      </x:c>
      <x:c r="E113" s="35" t="str">
        <x:v>S02b-BK1</x:v>
      </x:c>
      <x:c r="F113" s="35"/>
      <x:c r="G113" s="36" t="str">
        <x:f>"—"</x:f>
        <x:v>—</x:v>
      </x:c>
      <x:c r="H113" s="36" t="str">
        <x:f>"—"</x:f>
        <x:v>—</x:v>
      </x:c>
      <x:c r="I113" s="36" t="str">
        <x:f>"—"</x:f>
        <x:v>—</x:v>
      </x:c>
      <x:c r="J113" s="36" t="str">
        <x:f>"—"</x:f>
        <x:v>—</x:v>
      </x:c>
      <x:c r="K113" s="36" t="str">
        <x:f>"—"</x:f>
        <x:v>—</x:v>
      </x:c>
      <x:c r="L113" s="36" t="str">
        <x:f>"—"</x:f>
        <x:v>—</x:v>
      </x:c>
      <x:c r="M113" s="36" t="n">
        <x:f>IF(COUNT(INDEX('SKU明细'!$D$11:$D$1309,MATCH("S02b-BK1-40",'SKU明细'!$A$11:$A$1309,0)))=0,"待核",IF(COUNT(INDEX('SKU明细'!$D$11:$D$1309,MATCH("S02b-BK1-40",'SKU明细'!$A$11:$A$1309,0)))&lt;1,SUM(INDEX('SKU明细'!$D$11:$D$1309,MATCH("S02b-BK1-40",'SKU明细'!$A$11:$A$1309,0)))&amp;" + 待核",SUM(INDEX('SKU明细'!$D$11:$D$1309,MATCH("S02b-BK1-40",'SKU明细'!$A$11:$A$1309,0)))))</x:f>
        <x:v>0</x:v>
      </x:c>
      <x:c r="N113" s="36" t="str">
        <x:f>"—"</x:f>
        <x:v>—</x:v>
      </x:c>
      <x:c r="O113" s="36" t="str">
        <x:f>"—"</x:f>
        <x:v>—</x:v>
      </x:c>
      <x:c r="P113" s="36" t="str">
        <x:f>"—"</x:f>
        <x:v>—</x:v>
      </x:c>
      <x:c r="Q113" s="36" t="str">
        <x:f>"—"</x:f>
        <x:v>—</x:v>
      </x:c>
      <x:c r="R113" s="36" t="str">
        <x:f>"—"</x:f>
        <x:v>—</x:v>
      </x:c>
      <x:c r="S113" s="36" t="n">
        <x:f>IF(COUNT(INDEX('SKU明细'!$D$11:$D$1309,MATCH("S02b-BK1-40",'SKU明细'!$A$11:$A$1309,0)))=0,"待核",SUM(INDEX('SKU明细'!$D$11:$D$1309,MATCH("S02b-BK1-40",'SKU明细'!$A$11:$A$1309,0))))</x:f>
        <x:v>0</x:v>
      </x:c>
      <x:c r="T113" s="36" t="n">
        <x:f>IF(COUNTIFS($A$9:$A$191,A113,$U$9:$U$191,"&lt;&gt;待核")=0,"待核",SUMIF($A$9:$A$191,A113,$S$9:$S$191))</x:f>
        <x:v>168</x:v>
      </x:c>
      <x:c r="U113" s="35" t="str">
        <x:f>IF(COUNT(INDEX('SKU明细'!$D$11:$D$1309,MATCH("S02b-BK1-40",'SKU明细'!$A$11:$A$1309,0)))=0,"待核",IF(COUNT(INDEX('SKU明细'!$D$11:$D$1309,MATCH("S02b-BK1-40",'SKU明细'!$A$11:$A$1309,0)))&lt;1,"另有待核","已核"))</x:f>
        <x:v>已核</x:v>
      </x:c>
      <x:c r="V113" s="35" t="str">
        <x:v>停售</x:v>
      </x:c>
      <x:c r="W113" s="11" t="n">
        <x:f>IF(COUNT(INDEX('SKU明细'!$BV$11:$BV$1309,MATCH("S02b-BK1-40",'SKU明细'!$A$11:$A$1309,0)))=1,SUM(INDEX('SKU明细'!$BV$11:$BV$1309,MATCH("S02b-BK1-40",'SKU明细'!$A$11:$A$1309,0))),"待核")</x:f>
        <x:v>0.2965881019927698</x:v>
      </x:c>
      <x:c r="X113" s="11" t="n">
        <x:f>INDEX('SKU明细'!$BW$11:$BW$1309,MATCH("S02b-BK1-40",'SKU明细'!$A$11:$A$1309,0))</x:f>
        <x:v>0.9658602967882928</x:v>
      </x:c>
      <x:c r="Y113" s="13" t="n">
        <x:f>IF(COUNT(INDEX('SKU明细'!$BY$11:$BY$1309,MATCH("S02b-BK1-40",'SKU明细'!$A$11:$A$1309,0)))=1,SUM(INDEX('SKU明细'!$BY$11:$BY$1309,MATCH("S02b-BK1-40",'SKU明细'!$A$11:$A$1309,0))),"待核")</x:f>
        <x:v>3.437552066575357</x:v>
      </x:c>
      <x:c r="Z113" s="11" t="n">
        <x:f>INDEX('SKU明细'!$BZ$11:$BZ$1309,MATCH("S02b-BK1-40",'SKU明细'!$A$11:$A$1309,0))</x:f>
        <x:v>1.1727174450092641</x:v>
      </x:c>
      <x:c r="AA113" s="13" t="n">
        <x:f>IF(COUNT(INDEX('SKU明细'!$CB$11:$CB$1309,MATCH("S02b-BK1-40",'SKU明细'!$A$11:$A$1309,0)))=1,SUM(INDEX('SKU明细'!$CB$11:$CB$1309,MATCH("S02b-BK1-40",'SKU明细'!$A$11:$A$1309,0))),"待核")</x:f>
        <x:v>10.434421235673241</x:v>
      </x:c>
      <x:c r="AB113" s="11" t="n">
        <x:f>INDEX('SKU明细'!$CC$11:$CC$1309,MATCH("S02b-BK1-40",'SKU明细'!$A$11:$A$1309,0))</x:f>
        <x:v>0.8763339075184018</x:v>
      </x:c>
      <x:c r="AC113" s="13" t="n">
        <x:f>IF(COUNT(INDEX('SKU明细'!$CE$11:$CE$1309,MATCH("S02b-BK1-40",'SKU明细'!$A$11:$A$1309,0)))=1,SUM(INDEX('SKU明细'!$CE$11:$CE$1309,MATCH("S02b-BK1-40",'SKU明细'!$A$11:$A$1309,0))),"待核")</x:f>
        <x:v>8.057216520626499</x:v>
      </x:c>
      <x:c r="AD113" s="11" t="n">
        <x:f>INDEX('SKU明细'!$CF$11:$CF$1309,MATCH("S02b-BK1-40",'SKU明细'!$A$11:$A$1309,0))</x:f>
        <x:v>1.2204399948507247</x:v>
      </x:c>
      <x:c r="AE113" s="13" t="n">
        <x:f>IF(COUNT(INDEX('SKU明细'!$CH$11:$CH$1309,MATCH("S02b-BK1-40",'SKU明细'!$A$11:$A$1309,0)))=1,SUM(INDEX('SKU明细'!$CH$11:$CH$1309,MATCH("S02b-BK1-40",'SKU明细'!$A$11:$A$1309,0))),"待核")</x:f>
        <x:v>6.153455688370317</x:v>
      </x:c>
      <x:c r="AF113" s="13" t="n">
        <x:f>IF(COUNT(INDEX('SKU明细'!$CI$11:$CI$1309,MATCH("S02b-BK1-40",'SKU明细'!$A$11:$A$1309,0)))=1,SUM(INDEX('SKU明细'!$CI$11:$CI$1309,MATCH("S02b-BK1-40",'SKU明细'!$A$11:$A$1309,0))),"待核")</x:f>
        <x:v>28.082645511245413</x:v>
      </x:c>
    </x:row>
    <x:row r="114" ht="40" customHeight="1">
      <x:c r="A114" s="35" t="str">
        <x:v>S02b</x:v>
      </x:c>
      <x:c r="B114" s="35" t="str">
        <x:v>陈晨</x:v>
      </x:c>
      <x:c r="C114" s="35" t="str">
        <x:v>豹纹</x:v>
      </x:c>
      <x:c r="D114" s="35" t="str">
        <x:v>LP</x:v>
      </x:c>
      <x:c r="E114" s="35" t="str">
        <x:v>S02b-LP</x:v>
      </x:c>
      <x:c r="F114" s="35"/>
      <x:c r="G114" s="36" t="str">
        <x:f>"—"</x:f>
        <x:v>—</x:v>
      </x:c>
      <x:c r="H114" s="36" t="n">
        <x:f>IF(COUNT(INDEX('SKU明细'!$D$11:$D$1309,MATCH("S02b-LP-37",'SKU明细'!$A$11:$A$1309,0)))=0,"待核",IF(COUNT(INDEX('SKU明细'!$D$11:$D$1309,MATCH("S02b-LP-37",'SKU明细'!$A$11:$A$1309,0)))&lt;1,SUM(INDEX('SKU明细'!$D$11:$D$1309,MATCH("S02b-LP-37",'SKU明细'!$A$11:$A$1309,0)))&amp;" + 待核",SUM(INDEX('SKU明细'!$D$11:$D$1309,MATCH("S02b-LP-37",'SKU明细'!$A$11:$A$1309,0)))))</x:f>
        <x:v>11</x:v>
      </x:c>
      <x:c r="I114" s="36" t="str">
        <x:f>"—"</x:f>
        <x:v>—</x:v>
      </x:c>
      <x:c r="J114" s="36" t="n">
        <x:f>IF(COUNT(INDEX('SKU明细'!$D$11:$D$1309,MATCH("S02b-LP-38",'SKU明细'!$A$11:$A$1309,0)))=0,"待核",IF(COUNT(INDEX('SKU明细'!$D$11:$D$1309,MATCH("S02b-LP-38",'SKU明细'!$A$11:$A$1309,0)))&lt;1,SUM(INDEX('SKU明细'!$D$11:$D$1309,MATCH("S02b-LP-38",'SKU明细'!$A$11:$A$1309,0)))&amp;" + 待核",SUM(INDEX('SKU明细'!$D$11:$D$1309,MATCH("S02b-LP-38",'SKU明细'!$A$11:$A$1309,0)))))</x:f>
        <x:v>25</x:v>
      </x:c>
      <x:c r="K114" s="36" t="str">
        <x:f>"—"</x:f>
        <x:v>—</x:v>
      </x:c>
      <x:c r="L114" s="36" t="n">
        <x:f>IF(COUNT(INDEX('SKU明细'!$D$11:$D$1309,MATCH("S02b-LP-39",'SKU明细'!$A$11:$A$1309,0)))=0,"待核",IF(COUNT(INDEX('SKU明细'!$D$11:$D$1309,MATCH("S02b-LP-39",'SKU明细'!$A$11:$A$1309,0)))&lt;1,SUM(INDEX('SKU明细'!$D$11:$D$1309,MATCH("S02b-LP-39",'SKU明细'!$A$11:$A$1309,0)))&amp;" + 待核",SUM(INDEX('SKU明细'!$D$11:$D$1309,MATCH("S02b-LP-39",'SKU明细'!$A$11:$A$1309,0)))))</x:f>
        <x:v>10</x:v>
      </x:c>
      <x:c r="M114" s="36" t="str">
        <x:f>"—"</x:f>
        <x:v>—</x:v>
      </x:c>
      <x:c r="N114" s="36" t="n">
        <x:f>IF(COUNT(INDEX('SKU明细'!$D$11:$D$1309,MATCH("S02b-LP-40",'SKU明细'!$A$11:$A$1309,0)))=0,"待核",IF(COUNT(INDEX('SKU明细'!$D$11:$D$1309,MATCH("S02b-LP-40",'SKU明细'!$A$11:$A$1309,0)))&lt;1,SUM(INDEX('SKU明细'!$D$11:$D$1309,MATCH("S02b-LP-40",'SKU明细'!$A$11:$A$1309,0)))&amp;" + 待核",SUM(INDEX('SKU明细'!$D$11:$D$1309,MATCH("S02b-LP-40",'SKU明细'!$A$11:$A$1309,0)))))</x:f>
        <x:v>74</x:v>
      </x:c>
      <x:c r="O114" s="36" t="str">
        <x:f>"—"</x:f>
        <x:v>—</x:v>
      </x:c>
      <x:c r="P114" s="36" t="n">
        <x:f>IF(COUNT(INDEX('SKU明细'!$D$11:$D$1309,MATCH("S02b-LP-41",'SKU明细'!$A$11:$A$1309,0)))=0,"待核",IF(COUNT(INDEX('SKU明细'!$D$11:$D$1309,MATCH("S02b-LP-41",'SKU明细'!$A$11:$A$1309,0)))&lt;1,SUM(INDEX('SKU明细'!$D$11:$D$1309,MATCH("S02b-LP-41",'SKU明细'!$A$11:$A$1309,0)))&amp;" + 待核",SUM(INDEX('SKU明细'!$D$11:$D$1309,MATCH("S02b-LP-41",'SKU明细'!$A$11:$A$1309,0)))))</x:f>
        <x:v>0</x:v>
      </x:c>
      <x:c r="Q114" s="36" t="str">
        <x:f>"—"</x:f>
        <x:v>—</x:v>
      </x:c>
      <x:c r="R114" s="36" t="n">
        <x:f>IF(COUNT(INDEX('SKU明细'!$D$11:$D$1309,MATCH("S02b-LP-42",'SKU明细'!$A$11:$A$1309,0)))=0,"待核",IF(COUNT(INDEX('SKU明细'!$D$11:$D$1309,MATCH("S02b-LP-42",'SKU明细'!$A$11:$A$1309,0)))&lt;1,SUM(INDEX('SKU明细'!$D$11:$D$1309,MATCH("S02b-LP-42",'SKU明细'!$A$11:$A$1309,0)))&amp;" + 待核",SUM(INDEX('SKU明细'!$D$11:$D$1309,MATCH("S02b-LP-42",'SKU明细'!$A$11:$A$1309,0)))))</x:f>
        <x:v>16</x:v>
      </x:c>
      <x:c r="S114" s="36" t="n">
        <x:f>IF(COUNT(INDEX('SKU明细'!$D$11:$D$1309,MATCH("S02b-LP-37",'SKU明细'!$A$11:$A$1309,0)),INDEX('SKU明细'!$D$11:$D$1309,MATCH("S02b-LP-38",'SKU明细'!$A$11:$A$1309,0)),INDEX('SKU明细'!$D$11:$D$1309,MATCH("S02b-LP-39",'SKU明细'!$A$11:$A$1309,0)),INDEX('SKU明细'!$D$11:$D$1309,MATCH("S02b-LP-40",'SKU明细'!$A$11:$A$1309,0)),INDEX('SKU明细'!$D$11:$D$1309,MATCH("S02b-LP-41",'SKU明细'!$A$11:$A$1309,0)),INDEX('SKU明细'!$D$11:$D$1309,MATCH("S02b-LP-42",'SKU明细'!$A$11:$A$1309,0)))=0,"待核",SUM(INDEX('SKU明细'!$D$11:$D$1309,MATCH("S02b-LP-37",'SKU明细'!$A$11:$A$1309,0)),INDEX('SKU明细'!$D$11:$D$1309,MATCH("S02b-LP-38",'SKU明细'!$A$11:$A$1309,0)),INDEX('SKU明细'!$D$11:$D$1309,MATCH("S02b-LP-39",'SKU明细'!$A$11:$A$1309,0)),INDEX('SKU明细'!$D$11:$D$1309,MATCH("S02b-LP-40",'SKU明细'!$A$11:$A$1309,0)),INDEX('SKU明细'!$D$11:$D$1309,MATCH("S02b-LP-41",'SKU明细'!$A$11:$A$1309,0)),INDEX('SKU明细'!$D$11:$D$1309,MATCH("S02b-LP-42",'SKU明细'!$A$11:$A$1309,0))))</x:f>
        <x:v>136</x:v>
      </x:c>
      <x:c r="T114" s="36" t="n">
        <x:f>IF(COUNTIFS($A$9:$A$191,A114,$U$9:$U$191,"&lt;&gt;待核")=0,"待核",SUMIF($A$9:$A$191,A114,$S$9:$S$191))</x:f>
        <x:v>168</x:v>
      </x:c>
      <x:c r="U114" s="35" t="str">
        <x:f>IF(COUNT(INDEX('SKU明细'!$D$11:$D$1309,MATCH("S02b-LP-37",'SKU明细'!$A$11:$A$1309,0)),INDEX('SKU明细'!$D$11:$D$1309,MATCH("S02b-LP-38",'SKU明细'!$A$11:$A$1309,0)),INDEX('SKU明细'!$D$11:$D$1309,MATCH("S02b-LP-39",'SKU明细'!$A$11:$A$1309,0)),INDEX('SKU明细'!$D$11:$D$1309,MATCH("S02b-LP-40",'SKU明细'!$A$11:$A$1309,0)),INDEX('SKU明细'!$D$11:$D$1309,MATCH("S02b-LP-41",'SKU明细'!$A$11:$A$1309,0)),INDEX('SKU明细'!$D$11:$D$1309,MATCH("S02b-LP-42",'SKU明细'!$A$11:$A$1309,0)))=0,"待核",IF(COUNT(INDEX('SKU明细'!$D$11:$D$1309,MATCH("S02b-LP-37",'SKU明细'!$A$11:$A$1309,0)),INDEX('SKU明细'!$D$11:$D$1309,MATCH("S02b-LP-38",'SKU明细'!$A$11:$A$1309,0)),INDEX('SKU明细'!$D$11:$D$1309,MATCH("S02b-LP-39",'SKU明细'!$A$11:$A$1309,0)),INDEX('SKU明细'!$D$11:$D$1309,MATCH("S02b-LP-40",'SKU明细'!$A$11:$A$1309,0)),INDEX('SKU明细'!$D$11:$D$1309,MATCH("S02b-LP-41",'SKU明细'!$A$11:$A$1309,0)),INDEX('SKU明细'!$D$11:$D$1309,MATCH("S02b-LP-42",'SKU明细'!$A$11:$A$1309,0)))&lt;6,"另有待核","已核"))</x:f>
        <x:v>已核</x:v>
      </x:c>
      <x:c r="V114" s="35" t="str">
        <x:v>在售</x:v>
      </x:c>
      <x:c r="W114" s="11" t="n">
        <x:f>IF(COUNT(INDEX('SKU明细'!$BV$11:$BV$1309,MATCH("S02b-LP-37",'SKU明细'!$A$11:$A$1309,0)),INDEX('SKU明细'!$BV$11:$BV$1309,MATCH("S02b-LP-38",'SKU明细'!$A$11:$A$1309,0)),INDEX('SKU明细'!$BV$11:$BV$1309,MATCH("S02b-LP-39",'SKU明细'!$A$11:$A$1309,0)),INDEX('SKU明细'!$BV$11:$BV$1309,MATCH("S02b-LP-40",'SKU明细'!$A$11:$A$1309,0)),INDEX('SKU明细'!$BV$11:$BV$1309,MATCH("S02b-LP-41",'SKU明细'!$A$11:$A$1309,0)),INDEX('SKU明细'!$BV$11:$BV$1309,MATCH("S02b-LP-42",'SKU明细'!$A$11:$A$1309,0)))=6,SUM(INDEX('SKU明细'!$BV$11:$BV$1309,MATCH("S02b-LP-37",'SKU明细'!$A$11:$A$1309,0)),INDEX('SKU明细'!$BV$11:$BV$1309,MATCH("S02b-LP-38",'SKU明细'!$A$11:$A$1309,0)),INDEX('SKU明细'!$BV$11:$BV$1309,MATCH("S02b-LP-39",'SKU明细'!$A$11:$A$1309,0)),INDEX('SKU明细'!$BV$11:$BV$1309,MATCH("S02b-LP-40",'SKU明细'!$A$11:$A$1309,0)),INDEX('SKU明细'!$BV$11:$BV$1309,MATCH("S02b-LP-41",'SKU明细'!$A$11:$A$1309,0)),INDEX('SKU明细'!$BV$11:$BV$1309,MATCH("S02b-LP-42",'SKU明细'!$A$11:$A$1309,0))),"待核")</x:f>
        <x:v>6.683971887079779</x:v>
      </x:c>
      <x:c r="X114" s="11" t="n">
        <x:f>INDEX('SKU明细'!$BW$11:$BW$1309,MATCH("S02b-LP-37",'SKU明细'!$A$11:$A$1309,0))</x:f>
        <x:v>0.9658602967882928</x:v>
      </x:c>
      <x:c r="Y114" s="13" t="n">
        <x:f>IF(COUNT(INDEX('SKU明细'!$BY$11:$BY$1309,MATCH("S02b-LP-37",'SKU明细'!$A$11:$A$1309,0)),INDEX('SKU明细'!$BY$11:$BY$1309,MATCH("S02b-LP-38",'SKU明细'!$A$11:$A$1309,0)),INDEX('SKU明细'!$BY$11:$BY$1309,MATCH("S02b-LP-39",'SKU明细'!$A$11:$A$1309,0)),INDEX('SKU明细'!$BY$11:$BY$1309,MATCH("S02b-LP-40",'SKU明细'!$A$11:$A$1309,0)),INDEX('SKU明细'!$BY$11:$BY$1309,MATCH("S02b-LP-41",'SKU明细'!$A$11:$A$1309,0)),INDEX('SKU明细'!$BY$11:$BY$1309,MATCH("S02b-LP-42",'SKU明细'!$A$11:$A$1309,0)))=6,SUM(INDEX('SKU明细'!$BY$11:$BY$1309,MATCH("S02b-LP-37",'SKU明细'!$A$11:$A$1309,0)),INDEX('SKU明细'!$BY$11:$BY$1309,MATCH("S02b-LP-38",'SKU明细'!$A$11:$A$1309,0)),INDEX('SKU明细'!$BY$11:$BY$1309,MATCH("S02b-LP-39",'SKU明细'!$A$11:$A$1309,0)),INDEX('SKU明细'!$BY$11:$BY$1309,MATCH("S02b-LP-40",'SKU明细'!$A$11:$A$1309,0)),INDEX('SKU明细'!$BY$11:$BY$1309,MATCH("S02b-LP-41",'SKU明细'!$A$11:$A$1309,0)),INDEX('SKU明细'!$BY$11:$BY$1309,MATCH("S02b-LP-42",'SKU明细'!$A$11:$A$1309,0))),"待核")</x:f>
        <x:v>77.46939684695376</x:v>
      </x:c>
      <x:c r="Z114" s="11" t="n">
        <x:f>INDEX('SKU明细'!$BZ$11:$BZ$1309,MATCH("S02b-LP-37",'SKU明细'!$A$11:$A$1309,0))</x:f>
        <x:v>1.1727174450092641</x:v>
      </x:c>
      <x:c r="AA114" s="13" t="n">
        <x:f>IF(COUNT(INDEX('SKU明细'!$CB$11:$CB$1309,MATCH("S02b-LP-37",'SKU明细'!$A$11:$A$1309,0)),INDEX('SKU明细'!$CB$11:$CB$1309,MATCH("S02b-LP-38",'SKU明细'!$A$11:$A$1309,0)),INDEX('SKU明细'!$CB$11:$CB$1309,MATCH("S02b-LP-39",'SKU明细'!$A$11:$A$1309,0)),INDEX('SKU明细'!$CB$11:$CB$1309,MATCH("S02b-LP-40",'SKU明细'!$A$11:$A$1309,0)),INDEX('SKU明细'!$CB$11:$CB$1309,MATCH("S02b-LP-41",'SKU明细'!$A$11:$A$1309,0)),INDEX('SKU明细'!$CB$11:$CB$1309,MATCH("S02b-LP-42",'SKU明细'!$A$11:$A$1309,0)))=6,SUM(INDEX('SKU明细'!$CB$11:$CB$1309,MATCH("S02b-LP-37",'SKU明细'!$A$11:$A$1309,0)),INDEX('SKU明细'!$CB$11:$CB$1309,MATCH("S02b-LP-38",'SKU明细'!$A$11:$A$1309,0)),INDEX('SKU明细'!$CB$11:$CB$1309,MATCH("S02b-LP-39",'SKU明细'!$A$11:$A$1309,0)),INDEX('SKU明细'!$CB$11:$CB$1309,MATCH("S02b-LP-40",'SKU明细'!$A$11:$A$1309,0)),INDEX('SKU明细'!$CB$11:$CB$1309,MATCH("S02b-LP-41",'SKU明细'!$A$11:$A$1309,0)),INDEX('SKU明细'!$CB$11:$CB$1309,MATCH("S02b-LP-42",'SKU明细'!$A$11:$A$1309,0))),"待核")</x:f>
        <x:v>235.1523130178984</x:v>
      </x:c>
      <x:c r="AB114" s="11" t="n">
        <x:f>INDEX('SKU明细'!$CC$11:$CC$1309,MATCH("S02b-LP-37",'SKU明细'!$A$11:$A$1309,0))</x:f>
        <x:v>0.8763339075184018</x:v>
      </x:c>
      <x:c r="AC114" s="13" t="n">
        <x:f>IF(COUNT(INDEX('SKU明细'!$CE$11:$CE$1309,MATCH("S02b-LP-37",'SKU明细'!$A$11:$A$1309,0)),INDEX('SKU明细'!$CE$11:$CE$1309,MATCH("S02b-LP-38",'SKU明细'!$A$11:$A$1309,0)),INDEX('SKU明细'!$CE$11:$CE$1309,MATCH("S02b-LP-39",'SKU明细'!$A$11:$A$1309,0)),INDEX('SKU明细'!$CE$11:$CE$1309,MATCH("S02b-LP-40",'SKU明细'!$A$11:$A$1309,0)),INDEX('SKU明细'!$CE$11:$CE$1309,MATCH("S02b-LP-41",'SKU明细'!$A$11:$A$1309,0)),INDEX('SKU明细'!$CE$11:$CE$1309,MATCH("S02b-LP-42",'SKU明细'!$A$11:$A$1309,0)))=6,SUM(INDEX('SKU明细'!$CE$11:$CE$1309,MATCH("S02b-LP-37",'SKU明细'!$A$11:$A$1309,0)),INDEX('SKU明细'!$CE$11:$CE$1309,MATCH("S02b-LP-38",'SKU明细'!$A$11:$A$1309,0)),INDEX('SKU明细'!$CE$11:$CE$1309,MATCH("S02b-LP-39",'SKU明细'!$A$11:$A$1309,0)),INDEX('SKU明细'!$CE$11:$CE$1309,MATCH("S02b-LP-40",'SKU明细'!$A$11:$A$1309,0)),INDEX('SKU明细'!$CE$11:$CE$1309,MATCH("S02b-LP-41",'SKU明细'!$A$11:$A$1309,0)),INDEX('SKU明细'!$CE$11:$CE$1309,MATCH("S02b-LP-42",'SKU明细'!$A$11:$A$1309,0))),"待核")</x:f>
        <x:v>181.5791272479808</x:v>
      </x:c>
      <x:c r="AD114" s="11" t="n">
        <x:f>INDEX('SKU明细'!$CF$11:$CF$1309,MATCH("S02b-LP-37",'SKU明细'!$A$11:$A$1309,0))</x:f>
        <x:v>1.2204399948507247</x:v>
      </x:c>
      <x:c r="AE114" s="13" t="n">
        <x:f>IF(COUNT(INDEX('SKU明细'!$CH$11:$CH$1309,MATCH("S02b-LP-37",'SKU明细'!$A$11:$A$1309,0)),INDEX('SKU明细'!$CH$11:$CH$1309,MATCH("S02b-LP-38",'SKU明细'!$A$11:$A$1309,0)),INDEX('SKU明细'!$CH$11:$CH$1309,MATCH("S02b-LP-39",'SKU明细'!$A$11:$A$1309,0)),INDEX('SKU明细'!$CH$11:$CH$1309,MATCH("S02b-LP-40",'SKU明细'!$A$11:$A$1309,0)),INDEX('SKU明细'!$CH$11:$CH$1309,MATCH("S02b-LP-41",'SKU明细'!$A$11:$A$1309,0)),INDEX('SKU明细'!$CH$11:$CH$1309,MATCH("S02b-LP-42",'SKU明细'!$A$11:$A$1309,0)))=6,SUM(INDEX('SKU明细'!$CH$11:$CH$1309,MATCH("S02b-LP-37",'SKU明细'!$A$11:$A$1309,0)),INDEX('SKU明细'!$CH$11:$CH$1309,MATCH("S02b-LP-38",'SKU明细'!$A$11:$A$1309,0)),INDEX('SKU明细'!$CH$11:$CH$1309,MATCH("S02b-LP-39",'SKU明细'!$A$11:$A$1309,0)),INDEX('SKU明细'!$CH$11:$CH$1309,MATCH("S02b-LP-40",'SKU明细'!$A$11:$A$1309,0)),INDEX('SKU明细'!$CH$11:$CH$1309,MATCH("S02b-LP-41",'SKU明细'!$A$11:$A$1309,0)),INDEX('SKU明细'!$CH$11:$CH$1309,MATCH("S02b-LP-42",'SKU明细'!$A$11:$A$1309,0))),"待核")</x:f>
        <x:v>138.67557246265056</x:v>
      </x:c>
      <x:c r="AF114" s="13" t="n">
        <x:f>IF(COUNT(INDEX('SKU明细'!$CI$11:$CI$1309,MATCH("S02b-LP-37",'SKU明细'!$A$11:$A$1309,0)),INDEX('SKU明细'!$CI$11:$CI$1309,MATCH("S02b-LP-38",'SKU明细'!$A$11:$A$1309,0)),INDEX('SKU明细'!$CI$11:$CI$1309,MATCH("S02b-LP-39",'SKU明细'!$A$11:$A$1309,0)),INDEX('SKU明细'!$CI$11:$CI$1309,MATCH("S02b-LP-40",'SKU明细'!$A$11:$A$1309,0)),INDEX('SKU明细'!$CI$11:$CI$1309,MATCH("S02b-LP-41",'SKU明细'!$A$11:$A$1309,0)),INDEX('SKU明细'!$CI$11:$CI$1309,MATCH("S02b-LP-42",'SKU明细'!$A$11:$A$1309,0)))=6,SUM(INDEX('SKU明细'!$CI$11:$CI$1309,MATCH("S02b-LP-37",'SKU明细'!$A$11:$A$1309,0)),INDEX('SKU明细'!$CI$11:$CI$1309,MATCH("S02b-LP-38",'SKU明细'!$A$11:$A$1309,0)),INDEX('SKU明细'!$CI$11:$CI$1309,MATCH("S02b-LP-39",'SKU明细'!$A$11:$A$1309,0)),INDEX('SKU明细'!$CI$11:$CI$1309,MATCH("S02b-LP-40",'SKU明细'!$A$11:$A$1309,0)),INDEX('SKU明细'!$CI$11:$CI$1309,MATCH("S02b-LP-41",'SKU明细'!$A$11:$A$1309,0)),INDEX('SKU明细'!$CI$11:$CI$1309,MATCH("S02b-LP-42",'SKU明细'!$A$11:$A$1309,0))),"待核")</x:f>
        <x:v>632.8764095754835</x:v>
      </x:c>
    </x:row>
    <x:row r="115" ht="40" customHeight="1">
      <x:c r="A115" s="35" t="str">
        <x:v>S02b</x:v>
      </x:c>
      <x:c r="B115" s="35" t="str">
        <x:v>陈晨</x:v>
      </x:c>
      <x:c r="C115" s="35" t="str">
        <x:v>豹纹</x:v>
      </x:c>
      <x:c r="D115" s="35" t="str">
        <x:v>LP1</x:v>
      </x:c>
      <x:c r="E115" s="35" t="str">
        <x:v>S02b-LP1</x:v>
      </x:c>
      <x:c r="F115" s="35"/>
      <x:c r="G115" s="36" t="str">
        <x:f>"—"</x:f>
        <x:v>—</x:v>
      </x:c>
      <x:c r="H115" s="36" t="str">
        <x:f>"—"</x:f>
        <x:v>—</x:v>
      </x:c>
      <x:c r="I115" s="36" t="str">
        <x:f>"—"</x:f>
        <x:v>—</x:v>
      </x:c>
      <x:c r="J115" s="36" t="str">
        <x:f>"—"</x:f>
        <x:v>—</x:v>
      </x:c>
      <x:c r="K115" s="36" t="str">
        <x:f>"—"</x:f>
        <x:v>—</x:v>
      </x:c>
      <x:c r="L115" s="36" t="str">
        <x:f>"—"</x:f>
        <x:v>—</x:v>
      </x:c>
      <x:c r="M115" s="36" t="str">
        <x:f>"—"</x:f>
        <x:v>—</x:v>
      </x:c>
      <x:c r="N115" s="36" t="str">
        <x:f>"—"</x:f>
        <x:v>—</x:v>
      </x:c>
      <x:c r="O115" s="36" t="n">
        <x:f>IF(COUNT(INDEX('SKU明细'!$D$11:$D$1309,MATCH("S02b-LP1-41",'SKU明细'!$A$11:$A$1309,0)))=0,"待核",IF(COUNT(INDEX('SKU明细'!$D$11:$D$1309,MATCH("S02b-LP1-41",'SKU明细'!$A$11:$A$1309,0)))&lt;1,SUM(INDEX('SKU明细'!$D$11:$D$1309,MATCH("S02b-LP1-41",'SKU明细'!$A$11:$A$1309,0)))&amp;" + 待核",SUM(INDEX('SKU明细'!$D$11:$D$1309,MATCH("S02b-LP1-41",'SKU明细'!$A$11:$A$1309,0)))))</x:f>
        <x:v>0</x:v>
      </x:c>
      <x:c r="P115" s="36" t="str">
        <x:f>"—"</x:f>
        <x:v>—</x:v>
      </x:c>
      <x:c r="Q115" s="36" t="str">
        <x:f>"—"</x:f>
        <x:v>—</x:v>
      </x:c>
      <x:c r="R115" s="36" t="str">
        <x:f>"—"</x:f>
        <x:v>—</x:v>
      </x:c>
      <x:c r="S115" s="36" t="n">
        <x:f>IF(COUNT(INDEX('SKU明细'!$D$11:$D$1309,MATCH("S02b-LP1-41",'SKU明细'!$A$11:$A$1309,0)))=0,"待核",SUM(INDEX('SKU明细'!$D$11:$D$1309,MATCH("S02b-LP1-41",'SKU明细'!$A$11:$A$1309,0))))</x:f>
        <x:v>0</x:v>
      </x:c>
      <x:c r="T115" s="36" t="n">
        <x:f>IF(COUNTIFS($A$9:$A$191,A115,$U$9:$U$191,"&lt;&gt;待核")=0,"待核",SUMIF($A$9:$A$191,A115,$S$9:$S$191))</x:f>
        <x:v>168</x:v>
      </x:c>
      <x:c r="U115" s="35" t="str">
        <x:f>IF(COUNT(INDEX('SKU明细'!$D$11:$D$1309,MATCH("S02b-LP1-41",'SKU明细'!$A$11:$A$1309,0)))=0,"待核",IF(COUNT(INDEX('SKU明细'!$D$11:$D$1309,MATCH("S02b-LP1-41",'SKU明细'!$A$11:$A$1309,0)))&lt;1,"另有待核","已核"))</x:f>
        <x:v>已核</x:v>
      </x:c>
      <x:c r="V115" s="35" t="str">
        <x:v>在售</x:v>
      </x:c>
      <x:c r="W115" s="11" t="n">
        <x:f>IF(COUNT(INDEX('SKU明细'!$BV$11:$BV$1309,MATCH("S02b-LP1-41",'SKU明细'!$A$11:$A$1309,0)))=1,SUM(INDEX('SKU明细'!$BV$11:$BV$1309,MATCH("S02b-LP1-41",'SKU明细'!$A$11:$A$1309,0))),"待核")</x:f>
        <x:v>0.9097399478138397</x:v>
      </x:c>
      <x:c r="X115" s="11" t="n">
        <x:f>INDEX('SKU明细'!$BW$11:$BW$1309,MATCH("S02b-LP1-41",'SKU明细'!$A$11:$A$1309,0))</x:f>
        <x:v>0.9658602967882928</x:v>
      </x:c>
      <x:c r="Y115" s="13" t="n">
        <x:f>IF(COUNT(INDEX('SKU明细'!$BY$11:$BY$1309,MATCH("S02b-LP1-41",'SKU明细'!$A$11:$A$1309,0)))=1,SUM(INDEX('SKU明细'!$BY$11:$BY$1309,MATCH("S02b-LP1-41",'SKU明细'!$A$11:$A$1309,0))),"待核")</x:f>
        <x:v>10.544180351947695</x:v>
      </x:c>
      <x:c r="Z115" s="11" t="n">
        <x:f>INDEX('SKU明细'!$BZ$11:$BZ$1309,MATCH("S02b-LP1-41",'SKU明细'!$A$11:$A$1309,0))</x:f>
        <x:v>1.1727174450092641</x:v>
      </x:c>
      <x:c r="AA115" s="13" t="n">
        <x:f>IF(COUNT(INDEX('SKU明细'!$CB$11:$CB$1309,MATCH("S02b-LP1-41",'SKU明细'!$A$11:$A$1309,0)))=1,SUM(INDEX('SKU明细'!$CB$11:$CB$1309,MATCH("S02b-LP1-41",'SKU明细'!$A$11:$A$1309,0))),"待核")</x:f>
        <x:v>32.00603721669322</x:v>
      </x:c>
      <x:c r="AB115" s="11" t="n">
        <x:f>INDEX('SKU明细'!$CC$11:$CC$1309,MATCH("S02b-LP1-41",'SKU明细'!$A$11:$A$1309,0))</x:f>
        <x:v>0.8763339075184018</x:v>
      </x:c>
      <x:c r="AC115" s="13" t="n">
        <x:f>IF(COUNT(INDEX('SKU明细'!$CE$11:$CE$1309,MATCH("S02b-LP1-41",'SKU明细'!$A$11:$A$1309,0)))=1,SUM(INDEX('SKU明细'!$CE$11:$CE$1309,MATCH("S02b-LP1-41",'SKU明细'!$A$11:$A$1309,0))),"待核")</x:f>
        <x:v>24.71431486209196</x:v>
      </x:c>
      <x:c r="AD115" s="11" t="n">
        <x:f>INDEX('SKU明细'!$CF$11:$CF$1309,MATCH("S02b-LP1-41",'SKU明细'!$A$11:$A$1309,0))</x:f>
        <x:v>1.2204399948507247</x:v>
      </x:c>
      <x:c r="AE115" s="13" t="n">
        <x:f>IF(COUNT(INDEX('SKU明细'!$CH$11:$CH$1309,MATCH("S02b-LP1-41",'SKU明细'!$A$11:$A$1309,0)))=1,SUM(INDEX('SKU明细'!$CH$11:$CH$1309,MATCH("S02b-LP1-41",'SKU明细'!$A$11:$A$1309,0))),"待核")</x:f>
        <x:v>18.87481129283216</x:v>
      </x:c>
      <x:c r="AF115" s="13" t="n">
        <x:f>IF(COUNT(INDEX('SKU明细'!$CI$11:$CI$1309,MATCH("S02b-LP1-41",'SKU明细'!$A$11:$A$1309,0)))=1,SUM(INDEX('SKU明细'!$CI$11:$CI$1309,MATCH("S02b-LP1-41",'SKU明细'!$A$11:$A$1309,0))),"待核")</x:f>
        <x:v>86.13934372356505</x:v>
      </x:c>
    </x:row>
    <x:row r="116" ht="40" customHeight="1">
      <x:c r="A116" s="35" t="str">
        <x:v>S02b</x:v>
      </x:c>
      <x:c r="B116" s="35" t="str">
        <x:v>陈晨</x:v>
      </x:c>
      <x:c r="C116" s="35" t="str">
        <x:v>裸色</x:v>
      </x:c>
      <x:c r="D116" s="35" t="str">
        <x:v>ND</x:v>
      </x:c>
      <x:c r="E116" s="35" t="str">
        <x:v>S02b-ND</x:v>
      </x:c>
      <x:c r="F116" s="35"/>
      <x:c r="G116" s="36" t="str">
        <x:f>"—"</x:f>
        <x:v>—</x:v>
      </x:c>
      <x:c r="H116" s="36" t="n">
        <x:f>IF(COUNT(INDEX('SKU明细'!$D$11:$D$1309,MATCH("S02b-ND-37",'SKU明细'!$A$11:$A$1309,0)))=0,"待核",IF(COUNT(INDEX('SKU明细'!$D$11:$D$1309,MATCH("S02b-ND-37",'SKU明细'!$A$11:$A$1309,0)))&lt;1,SUM(INDEX('SKU明细'!$D$11:$D$1309,MATCH("S02b-ND-37",'SKU明细'!$A$11:$A$1309,0)))&amp;" + 待核",SUM(INDEX('SKU明细'!$D$11:$D$1309,MATCH("S02b-ND-37",'SKU明细'!$A$11:$A$1309,0)))))</x:f>
        <x:v>0</x:v>
      </x:c>
      <x:c r="I116" s="36" t="str">
        <x:f>"—"</x:f>
        <x:v>—</x:v>
      </x:c>
      <x:c r="J116" s="36" t="n">
        <x:f>IF(COUNT(INDEX('SKU明细'!$D$11:$D$1309,MATCH("S02b-ND-38",'SKU明细'!$A$11:$A$1309,0)))=0,"待核",IF(COUNT(INDEX('SKU明细'!$D$11:$D$1309,MATCH("S02b-ND-38",'SKU明细'!$A$11:$A$1309,0)))&lt;1,SUM(INDEX('SKU明细'!$D$11:$D$1309,MATCH("S02b-ND-38",'SKU明细'!$A$11:$A$1309,0)))&amp;" + 待核",SUM(INDEX('SKU明细'!$D$11:$D$1309,MATCH("S02b-ND-38",'SKU明细'!$A$11:$A$1309,0)))))</x:f>
        <x:v>0</x:v>
      </x:c>
      <x:c r="K116" s="36" t="str">
        <x:f>"—"</x:f>
        <x:v>—</x:v>
      </x:c>
      <x:c r="L116" s="36" t="n">
        <x:f>IF(COUNT(INDEX('SKU明细'!$D$11:$D$1309,MATCH("S02b-ND-39",'SKU明细'!$A$11:$A$1309,0)))=0,"待核",IF(COUNT(INDEX('SKU明细'!$D$11:$D$1309,MATCH("S02b-ND-39",'SKU明细'!$A$11:$A$1309,0)))&lt;1,SUM(INDEX('SKU明细'!$D$11:$D$1309,MATCH("S02b-ND-39",'SKU明细'!$A$11:$A$1309,0)))&amp;" + 待核",SUM(INDEX('SKU明细'!$D$11:$D$1309,MATCH("S02b-ND-39",'SKU明细'!$A$11:$A$1309,0)))))</x:f>
        <x:v>0</x:v>
      </x:c>
      <x:c r="M116" s="36" t="str">
        <x:f>"—"</x:f>
        <x:v>—</x:v>
      </x:c>
      <x:c r="N116" s="36" t="n">
        <x:f>IF(COUNT(INDEX('SKU明细'!$D$11:$D$1309,MATCH("S02b-ND-40",'SKU明细'!$A$11:$A$1309,0)))=0,"待核",IF(COUNT(INDEX('SKU明细'!$D$11:$D$1309,MATCH("S02b-ND-40",'SKU明细'!$A$11:$A$1309,0)))&lt;1,SUM(INDEX('SKU明细'!$D$11:$D$1309,MATCH("S02b-ND-40",'SKU明细'!$A$11:$A$1309,0)))&amp;" + 待核",SUM(INDEX('SKU明细'!$D$11:$D$1309,MATCH("S02b-ND-40",'SKU明细'!$A$11:$A$1309,0)))))</x:f>
        <x:v>0</x:v>
      </x:c>
      <x:c r="O116" s="36" t="str">
        <x:f>"—"</x:f>
        <x:v>—</x:v>
      </x:c>
      <x:c r="P116" s="36" t="n">
        <x:f>IF(COUNT(INDEX('SKU明细'!$D$11:$D$1309,MATCH("S02b-ND-41",'SKU明细'!$A$11:$A$1309,0)))=0,"待核",IF(COUNT(INDEX('SKU明细'!$D$11:$D$1309,MATCH("S02b-ND-41",'SKU明细'!$A$11:$A$1309,0)))&lt;1,SUM(INDEX('SKU明细'!$D$11:$D$1309,MATCH("S02b-ND-41",'SKU明细'!$A$11:$A$1309,0)))&amp;" + 待核",SUM(INDEX('SKU明细'!$D$11:$D$1309,MATCH("S02b-ND-41",'SKU明细'!$A$11:$A$1309,0)))))</x:f>
        <x:v>0</x:v>
      </x:c>
      <x:c r="Q116" s="36" t="str">
        <x:f>"—"</x:f>
        <x:v>—</x:v>
      </x:c>
      <x:c r="R116" s="36" t="n">
        <x:f>IF(COUNT(INDEX('SKU明细'!$D$11:$D$1309,MATCH("S02b-ND-42",'SKU明细'!$A$11:$A$1309,0)))=0,"待核",IF(COUNT(INDEX('SKU明细'!$D$11:$D$1309,MATCH("S02b-ND-42",'SKU明细'!$A$11:$A$1309,0)))&lt;1,SUM(INDEX('SKU明细'!$D$11:$D$1309,MATCH("S02b-ND-42",'SKU明细'!$A$11:$A$1309,0)))&amp;" + 待核",SUM(INDEX('SKU明细'!$D$11:$D$1309,MATCH("S02b-ND-42",'SKU明细'!$A$11:$A$1309,0)))))</x:f>
        <x:v>0</x:v>
      </x:c>
      <x:c r="S116" s="36" t="n">
        <x:f>IF(COUNT(INDEX('SKU明细'!$D$11:$D$1309,MATCH("S02b-ND-37",'SKU明细'!$A$11:$A$1309,0)),INDEX('SKU明细'!$D$11:$D$1309,MATCH("S02b-ND-38",'SKU明细'!$A$11:$A$1309,0)),INDEX('SKU明细'!$D$11:$D$1309,MATCH("S02b-ND-39",'SKU明细'!$A$11:$A$1309,0)),INDEX('SKU明细'!$D$11:$D$1309,MATCH("S02b-ND-40",'SKU明细'!$A$11:$A$1309,0)),INDEX('SKU明细'!$D$11:$D$1309,MATCH("S02b-ND-41",'SKU明细'!$A$11:$A$1309,0)),INDEX('SKU明细'!$D$11:$D$1309,MATCH("S02b-ND-42",'SKU明细'!$A$11:$A$1309,0)))=0,"待核",SUM(INDEX('SKU明细'!$D$11:$D$1309,MATCH("S02b-ND-37",'SKU明细'!$A$11:$A$1309,0)),INDEX('SKU明细'!$D$11:$D$1309,MATCH("S02b-ND-38",'SKU明细'!$A$11:$A$1309,0)),INDEX('SKU明细'!$D$11:$D$1309,MATCH("S02b-ND-39",'SKU明细'!$A$11:$A$1309,0)),INDEX('SKU明细'!$D$11:$D$1309,MATCH("S02b-ND-40",'SKU明细'!$A$11:$A$1309,0)),INDEX('SKU明细'!$D$11:$D$1309,MATCH("S02b-ND-41",'SKU明细'!$A$11:$A$1309,0)),INDEX('SKU明细'!$D$11:$D$1309,MATCH("S02b-ND-42",'SKU明细'!$A$11:$A$1309,0))))</x:f>
        <x:v>0</x:v>
      </x:c>
      <x:c r="T116" s="36" t="n">
        <x:f>IF(COUNTIFS($A$9:$A$191,A116,$U$9:$U$191,"&lt;&gt;待核")=0,"待核",SUMIF($A$9:$A$191,A116,$S$9:$S$191))</x:f>
        <x:v>168</x:v>
      </x:c>
      <x:c r="U116" s="35" t="str">
        <x:f>IF(COUNT(INDEX('SKU明细'!$D$11:$D$1309,MATCH("S02b-ND-37",'SKU明细'!$A$11:$A$1309,0)),INDEX('SKU明细'!$D$11:$D$1309,MATCH("S02b-ND-38",'SKU明细'!$A$11:$A$1309,0)),INDEX('SKU明细'!$D$11:$D$1309,MATCH("S02b-ND-39",'SKU明细'!$A$11:$A$1309,0)),INDEX('SKU明细'!$D$11:$D$1309,MATCH("S02b-ND-40",'SKU明细'!$A$11:$A$1309,0)),INDEX('SKU明细'!$D$11:$D$1309,MATCH("S02b-ND-41",'SKU明细'!$A$11:$A$1309,0)),INDEX('SKU明细'!$D$11:$D$1309,MATCH("S02b-ND-42",'SKU明细'!$A$11:$A$1309,0)))=0,"待核",IF(COUNT(INDEX('SKU明细'!$D$11:$D$1309,MATCH("S02b-ND-37",'SKU明细'!$A$11:$A$1309,0)),INDEX('SKU明细'!$D$11:$D$1309,MATCH("S02b-ND-38",'SKU明细'!$A$11:$A$1309,0)),INDEX('SKU明细'!$D$11:$D$1309,MATCH("S02b-ND-39",'SKU明细'!$A$11:$A$1309,0)),INDEX('SKU明细'!$D$11:$D$1309,MATCH("S02b-ND-40",'SKU明细'!$A$11:$A$1309,0)),INDEX('SKU明细'!$D$11:$D$1309,MATCH("S02b-ND-41",'SKU明细'!$A$11:$A$1309,0)),INDEX('SKU明细'!$D$11:$D$1309,MATCH("S02b-ND-42",'SKU明细'!$A$11:$A$1309,0)))&lt;6,"另有待核","已核"))</x:f>
        <x:v>已核</x:v>
      </x:c>
      <x:c r="V116" s="35" t="str">
        <x:v>在售</x:v>
      </x:c>
      <x:c r="W116" s="11" t="n">
        <x:f>IF(COUNT(INDEX('SKU明细'!$BV$11:$BV$1309,MATCH("S02b-ND-37",'SKU明细'!$A$11:$A$1309,0)),INDEX('SKU明细'!$BV$11:$BV$1309,MATCH("S02b-ND-38",'SKU明细'!$A$11:$A$1309,0)),INDEX('SKU明细'!$BV$11:$BV$1309,MATCH("S02b-ND-39",'SKU明细'!$A$11:$A$1309,0)),INDEX('SKU明细'!$BV$11:$BV$1309,MATCH("S02b-ND-40",'SKU明细'!$A$11:$A$1309,0)),INDEX('SKU明细'!$BV$11:$BV$1309,MATCH("S02b-ND-41",'SKU明细'!$A$11:$A$1309,0)),INDEX('SKU明细'!$BV$11:$BV$1309,MATCH("S02b-ND-42",'SKU明细'!$A$11:$A$1309,0)))=6,SUM(INDEX('SKU明细'!$BV$11:$BV$1309,MATCH("S02b-ND-37",'SKU明细'!$A$11:$A$1309,0)),INDEX('SKU明细'!$BV$11:$BV$1309,MATCH("S02b-ND-38",'SKU明细'!$A$11:$A$1309,0)),INDEX('SKU明细'!$BV$11:$BV$1309,MATCH("S02b-ND-39",'SKU明细'!$A$11:$A$1309,0)),INDEX('SKU明细'!$BV$11:$BV$1309,MATCH("S02b-ND-40",'SKU明细'!$A$11:$A$1309,0)),INDEX('SKU明细'!$BV$11:$BV$1309,MATCH("S02b-ND-41",'SKU明细'!$A$11:$A$1309,0)),INDEX('SKU明细'!$BV$11:$BV$1309,MATCH("S02b-ND-42",'SKU明细'!$A$11:$A$1309,0))),"待核")</x:f>
        <x:v>1.225060317963602</x:v>
      </x:c>
      <x:c r="X116" s="11" t="n">
        <x:f>INDEX('SKU明细'!$BW$11:$BW$1309,MATCH("S02b-ND-37",'SKU明细'!$A$11:$A$1309,0))</x:f>
        <x:v>0.9658602967882928</x:v>
      </x:c>
      <x:c r="Y116" s="13" t="n">
        <x:f>IF(COUNT(INDEX('SKU明细'!$BY$11:$BY$1309,MATCH("S02b-ND-37",'SKU明细'!$A$11:$A$1309,0)),INDEX('SKU明细'!$BY$11:$BY$1309,MATCH("S02b-ND-38",'SKU明细'!$A$11:$A$1309,0)),INDEX('SKU明细'!$BY$11:$BY$1309,MATCH("S02b-ND-39",'SKU明细'!$A$11:$A$1309,0)),INDEX('SKU明细'!$BY$11:$BY$1309,MATCH("S02b-ND-40",'SKU明细'!$A$11:$A$1309,0)),INDEX('SKU明细'!$BY$11:$BY$1309,MATCH("S02b-ND-41",'SKU明细'!$A$11:$A$1309,0)),INDEX('SKU明细'!$BY$11:$BY$1309,MATCH("S02b-ND-42",'SKU明细'!$A$11:$A$1309,0)))=6,SUM(INDEX('SKU明细'!$BY$11:$BY$1309,MATCH("S02b-ND-37",'SKU明细'!$A$11:$A$1309,0)),INDEX('SKU明细'!$BY$11:$BY$1309,MATCH("S02b-ND-38",'SKU明细'!$A$11:$A$1309,0)),INDEX('SKU明细'!$BY$11:$BY$1309,MATCH("S02b-ND-39",'SKU明细'!$A$11:$A$1309,0)),INDEX('SKU明细'!$BY$11:$BY$1309,MATCH("S02b-ND-40",'SKU明细'!$A$11:$A$1309,0)),INDEX('SKU明细'!$BY$11:$BY$1309,MATCH("S02b-ND-41",'SKU明细'!$A$11:$A$1309,0)),INDEX('SKU明细'!$BY$11:$BY$1309,MATCH("S02b-ND-42",'SKU明细'!$A$11:$A$1309,0))),"待核")</x:f>
        <x:v>14.19884546750262</x:v>
      </x:c>
      <x:c r="Z116" s="11" t="n">
        <x:f>INDEX('SKU明细'!$BZ$11:$BZ$1309,MATCH("S02b-ND-37",'SKU明细'!$A$11:$A$1309,0))</x:f>
        <x:v>1.1727174450092641</x:v>
      </x:c>
      <x:c r="AA116" s="13" t="n">
        <x:f>IF(COUNT(INDEX('SKU明细'!$CB$11:$CB$1309,MATCH("S02b-ND-37",'SKU明细'!$A$11:$A$1309,0)),INDEX('SKU明细'!$CB$11:$CB$1309,MATCH("S02b-ND-38",'SKU明细'!$A$11:$A$1309,0)),INDEX('SKU明细'!$CB$11:$CB$1309,MATCH("S02b-ND-39",'SKU明细'!$A$11:$A$1309,0)),INDEX('SKU明细'!$CB$11:$CB$1309,MATCH("S02b-ND-40",'SKU明细'!$A$11:$A$1309,0)),INDEX('SKU明细'!$CB$11:$CB$1309,MATCH("S02b-ND-41",'SKU明细'!$A$11:$A$1309,0)),INDEX('SKU明细'!$CB$11:$CB$1309,MATCH("S02b-ND-42",'SKU明细'!$A$11:$A$1309,0)))=6,SUM(INDEX('SKU明细'!$CB$11:$CB$1309,MATCH("S02b-ND-37",'SKU明细'!$A$11:$A$1309,0)),INDEX('SKU明细'!$CB$11:$CB$1309,MATCH("S02b-ND-38",'SKU明细'!$A$11:$A$1309,0)),INDEX('SKU明细'!$CB$11:$CB$1309,MATCH("S02b-ND-39",'SKU明细'!$A$11:$A$1309,0)),INDEX('SKU明细'!$CB$11:$CB$1309,MATCH("S02b-ND-40",'SKU明细'!$A$11:$A$1309,0)),INDEX('SKU明细'!$CB$11:$CB$1309,MATCH("S02b-ND-41",'SKU明细'!$A$11:$A$1309,0)),INDEX('SKU明细'!$CB$11:$CB$1309,MATCH("S02b-ND-42",'SKU明细'!$A$11:$A$1309,0))),"待核")</x:f>
        <x:v>43.099488181935364</x:v>
      </x:c>
      <x:c r="AB116" s="11" t="n">
        <x:f>INDEX('SKU明细'!$CC$11:$CC$1309,MATCH("S02b-ND-37",'SKU明细'!$A$11:$A$1309,0))</x:f>
        <x:v>0.8763339075184018</x:v>
      </x:c>
      <x:c r="AC116" s="13" t="n">
        <x:f>IF(COUNT(INDEX('SKU明细'!$CE$11:$CE$1309,MATCH("S02b-ND-37",'SKU明细'!$A$11:$A$1309,0)),INDEX('SKU明细'!$CE$11:$CE$1309,MATCH("S02b-ND-38",'SKU明细'!$A$11:$A$1309,0)),INDEX('SKU明细'!$CE$11:$CE$1309,MATCH("S02b-ND-39",'SKU明细'!$A$11:$A$1309,0)),INDEX('SKU明细'!$CE$11:$CE$1309,MATCH("S02b-ND-40",'SKU明细'!$A$11:$A$1309,0)),INDEX('SKU明细'!$CE$11:$CE$1309,MATCH("S02b-ND-41",'SKU明细'!$A$11:$A$1309,0)),INDEX('SKU明细'!$CE$11:$CE$1309,MATCH("S02b-ND-42",'SKU明细'!$A$11:$A$1309,0)))=6,SUM(INDEX('SKU明细'!$CE$11:$CE$1309,MATCH("S02b-ND-37",'SKU明细'!$A$11:$A$1309,0)),INDEX('SKU明细'!$CE$11:$CE$1309,MATCH("S02b-ND-38",'SKU明细'!$A$11:$A$1309,0)),INDEX('SKU明细'!$CE$11:$CE$1309,MATCH("S02b-ND-39",'SKU明细'!$A$11:$A$1309,0)),INDEX('SKU明细'!$CE$11:$CE$1309,MATCH("S02b-ND-40",'SKU明细'!$A$11:$A$1309,0)),INDEX('SKU明细'!$CE$11:$CE$1309,MATCH("S02b-ND-41",'SKU明细'!$A$11:$A$1309,0)),INDEX('SKU明细'!$CE$11:$CE$1309,MATCH("S02b-ND-42",'SKU明细'!$A$11:$A$1309,0))),"待核")</x:f>
        <x:v>33.28041875699016</x:v>
      </x:c>
      <x:c r="AD116" s="11" t="n">
        <x:f>INDEX('SKU明细'!$CF$11:$CF$1309,MATCH("S02b-ND-37",'SKU明细'!$A$11:$A$1309,0))</x:f>
        <x:v>1.2204399948507247</x:v>
      </x:c>
      <x:c r="AE116" s="13" t="n">
        <x:f>IF(COUNT(INDEX('SKU明细'!$CH$11:$CH$1309,MATCH("S02b-ND-37",'SKU明细'!$A$11:$A$1309,0)),INDEX('SKU明细'!$CH$11:$CH$1309,MATCH("S02b-ND-38",'SKU明细'!$A$11:$A$1309,0)),INDEX('SKU明细'!$CH$11:$CH$1309,MATCH("S02b-ND-39",'SKU明细'!$A$11:$A$1309,0)),INDEX('SKU明细'!$CH$11:$CH$1309,MATCH("S02b-ND-40",'SKU明细'!$A$11:$A$1309,0)),INDEX('SKU明细'!$CH$11:$CH$1309,MATCH("S02b-ND-41",'SKU明细'!$A$11:$A$1309,0)),INDEX('SKU明细'!$CH$11:$CH$1309,MATCH("S02b-ND-42",'SKU明细'!$A$11:$A$1309,0)))=6,SUM(INDEX('SKU明细'!$CH$11:$CH$1309,MATCH("S02b-ND-37",'SKU明细'!$A$11:$A$1309,0)),INDEX('SKU明细'!$CH$11:$CH$1309,MATCH("S02b-ND-38",'SKU明细'!$A$11:$A$1309,0)),INDEX('SKU明细'!$CH$11:$CH$1309,MATCH("S02b-ND-39",'SKU明细'!$A$11:$A$1309,0)),INDEX('SKU明细'!$CH$11:$CH$1309,MATCH("S02b-ND-40",'SKU明细'!$A$11:$A$1309,0)),INDEX('SKU明细'!$CH$11:$CH$1309,MATCH("S02b-ND-41",'SKU明细'!$A$11:$A$1309,0)),INDEX('SKU明细'!$CH$11:$CH$1309,MATCH("S02b-ND-42",'SKU明细'!$A$11:$A$1309,0))),"待核")</x:f>
        <x:v>25.416914338504537</x:v>
      </x:c>
      <x:c r="AF116" s="13" t="n">
        <x:f>IF(COUNT(INDEX('SKU明细'!$CI$11:$CI$1309,MATCH("S02b-ND-37",'SKU明细'!$A$11:$A$1309,0)),INDEX('SKU明细'!$CI$11:$CI$1309,MATCH("S02b-ND-38",'SKU明细'!$A$11:$A$1309,0)),INDEX('SKU明细'!$CI$11:$CI$1309,MATCH("S02b-ND-39",'SKU明细'!$A$11:$A$1309,0)),INDEX('SKU明细'!$CI$11:$CI$1309,MATCH("S02b-ND-40",'SKU明细'!$A$11:$A$1309,0)),INDEX('SKU明细'!$CI$11:$CI$1309,MATCH("S02b-ND-41",'SKU明细'!$A$11:$A$1309,0)),INDEX('SKU明细'!$CI$11:$CI$1309,MATCH("S02b-ND-42",'SKU明细'!$A$11:$A$1309,0)))=6,SUM(INDEX('SKU明细'!$CI$11:$CI$1309,MATCH("S02b-ND-37",'SKU明细'!$A$11:$A$1309,0)),INDEX('SKU明细'!$CI$11:$CI$1309,MATCH("S02b-ND-38",'SKU明细'!$A$11:$A$1309,0)),INDEX('SKU明细'!$CI$11:$CI$1309,MATCH("S02b-ND-39",'SKU明细'!$A$11:$A$1309,0)),INDEX('SKU明细'!$CI$11:$CI$1309,MATCH("S02b-ND-40",'SKU明细'!$A$11:$A$1309,0)),INDEX('SKU明细'!$CI$11:$CI$1309,MATCH("S02b-ND-41",'SKU明细'!$A$11:$A$1309,0)),INDEX('SKU明细'!$CI$11:$CI$1309,MATCH("S02b-ND-42",'SKU明细'!$A$11:$A$1309,0))),"待核")</x:f>
        <x:v>115.99566674493269</x:v>
      </x:c>
    </x:row>
    <x:row r="117" ht="40" customHeight="1">
      <x:c r="A117" s="35" t="str">
        <x:v>S02b</x:v>
      </x:c>
      <x:c r="B117" s="35" t="str">
        <x:v>陈晨</x:v>
      </x:c>
      <x:c r="C117" s="35" t="str">
        <x:v>裸色</x:v>
      </x:c>
      <x:c r="D117" s="35" t="str">
        <x:v>ND1</x:v>
      </x:c>
      <x:c r="E117" s="35" t="str">
        <x:v>S02b-ND1</x:v>
      </x:c>
      <x:c r="F117" s="35"/>
      <x:c r="G117" s="36" t="str">
        <x:f>"—"</x:f>
        <x:v>—</x:v>
      </x:c>
      <x:c r="H117" s="36" t="str">
        <x:f>"—"</x:f>
        <x:v>—</x:v>
      </x:c>
      <x:c r="I117" s="36" t="n">
        <x:f>IF(COUNT(INDEX('SKU明细'!$D$11:$D$1309,MATCH("S02b-ND1-37",'SKU明细'!$A$11:$A$1309,0)))=0,"待核",IF(COUNT(INDEX('SKU明细'!$D$11:$D$1309,MATCH("S02b-ND1-37",'SKU明细'!$A$11:$A$1309,0)))&lt;1,SUM(INDEX('SKU明细'!$D$11:$D$1309,MATCH("S02b-ND1-37",'SKU明细'!$A$11:$A$1309,0)))&amp;" + 待核",SUM(INDEX('SKU明细'!$D$11:$D$1309,MATCH("S02b-ND1-37",'SKU明细'!$A$11:$A$1309,0)))))</x:f>
        <x:v>0</x:v>
      </x:c>
      <x:c r="J117" s="36" t="str">
        <x:f>"—"</x:f>
        <x:v>—</x:v>
      </x:c>
      <x:c r="K117" s="36" t="str">
        <x:f>"—"</x:f>
        <x:v>—</x:v>
      </x:c>
      <x:c r="L117" s="36" t="str">
        <x:f>"—"</x:f>
        <x:v>—</x:v>
      </x:c>
      <x:c r="M117" s="36" t="str">
        <x:f>"—"</x:f>
        <x:v>—</x:v>
      </x:c>
      <x:c r="N117" s="36" t="str">
        <x:f>"—"</x:f>
        <x:v>—</x:v>
      </x:c>
      <x:c r="O117" s="36" t="str">
        <x:f>"—"</x:f>
        <x:v>—</x:v>
      </x:c>
      <x:c r="P117" s="36" t="str">
        <x:f>"—"</x:f>
        <x:v>—</x:v>
      </x:c>
      <x:c r="Q117" s="36" t="str">
        <x:f>"—"</x:f>
        <x:v>—</x:v>
      </x:c>
      <x:c r="R117" s="36" t="str">
        <x:f>"—"</x:f>
        <x:v>—</x:v>
      </x:c>
      <x:c r="S117" s="36" t="n">
        <x:f>IF(COUNT(INDEX('SKU明细'!$D$11:$D$1309,MATCH("S02b-ND1-37",'SKU明细'!$A$11:$A$1309,0)))=0,"待核",SUM(INDEX('SKU明细'!$D$11:$D$1309,MATCH("S02b-ND1-37",'SKU明细'!$A$11:$A$1309,0))))</x:f>
        <x:v>0</x:v>
      </x:c>
      <x:c r="T117" s="36" t="n">
        <x:f>IF(COUNTIFS($A$9:$A$191,A117,$U$9:$U$191,"&lt;&gt;待核")=0,"待核",SUMIF($A$9:$A$191,A117,$S$9:$S$191))</x:f>
        <x:v>168</x:v>
      </x:c>
      <x:c r="U117" s="35" t="str">
        <x:f>IF(COUNT(INDEX('SKU明细'!$D$11:$D$1309,MATCH("S02b-ND1-37",'SKU明细'!$A$11:$A$1309,0)))=0,"待核",IF(COUNT(INDEX('SKU明细'!$D$11:$D$1309,MATCH("S02b-ND1-37",'SKU明细'!$A$11:$A$1309,0)))&lt;1,"另有待核","已核"))</x:f>
        <x:v>已核</x:v>
      </x:c>
      <x:c r="V117" s="35" t="str">
        <x:v>在售</x:v>
      </x:c>
      <x:c r="W117" s="11" t="n">
        <x:f>IF(COUNT(INDEX('SKU明细'!$BV$11:$BV$1309,MATCH("S02b-ND1-37",'SKU明细'!$A$11:$A$1309,0)))=1,SUM(INDEX('SKU明细'!$BV$11:$BV$1309,MATCH("S02b-ND1-37",'SKU明细'!$A$11:$A$1309,0))),"待核")</x:f>
        <x:v>0.05818096484134367</x:v>
      </x:c>
      <x:c r="X117" s="11" t="n">
        <x:f>INDEX('SKU明细'!$BW$11:$BW$1309,MATCH("S02b-ND1-37",'SKU明细'!$A$11:$A$1309,0))</x:f>
        <x:v>0.9658602967882928</x:v>
      </x:c>
      <x:c r="Y117" s="13" t="n">
        <x:f>IF(COUNT(INDEX('SKU明细'!$BY$11:$BY$1309,MATCH("S02b-ND1-37",'SKU明细'!$A$11:$A$1309,0)))=1,SUM(INDEX('SKU明细'!$BY$11:$BY$1309,MATCH("S02b-ND1-37",'SKU明细'!$A$11:$A$1309,0))),"待核")</x:f>
        <x:v>0.6743362076290731</x:v>
      </x:c>
      <x:c r="Z117" s="11" t="n">
        <x:f>INDEX('SKU明细'!$BZ$11:$BZ$1309,MATCH("S02b-ND1-37",'SKU明细'!$A$11:$A$1309,0))</x:f>
        <x:v>1.1727174450092641</x:v>
      </x:c>
      <x:c r="AA117" s="13" t="n">
        <x:f>IF(COUNT(INDEX('SKU明细'!$CB$11:$CB$1309,MATCH("S02b-ND1-37",'SKU明细'!$A$11:$A$1309,0)))=1,SUM(INDEX('SKU明细'!$CB$11:$CB$1309,MATCH("S02b-ND1-37",'SKU明细'!$A$11:$A$1309,0))),"待核")</x:f>
        <x:v>2.046894973107431</x:v>
      </x:c>
      <x:c r="AB117" s="11" t="n">
        <x:f>INDEX('SKU明细'!$CC$11:$CC$1309,MATCH("S02b-ND1-37",'SKU明细'!$A$11:$A$1309,0))</x:f>
        <x:v>0.8763339075184018</x:v>
      </x:c>
      <x:c r="AC117" s="13" t="n">
        <x:f>IF(COUNT(INDEX('SKU明细'!$CE$11:$CE$1309,MATCH("S02b-ND1-37",'SKU明细'!$A$11:$A$1309,0)))=1,SUM(INDEX('SKU明细'!$CE$11:$CE$1309,MATCH("S02b-ND1-37",'SKU明细'!$A$11:$A$1309,0))),"待核")</x:f>
        <x:v>1.580564520140769</x:v>
      </x:c>
      <x:c r="AD117" s="11" t="n">
        <x:f>INDEX('SKU明细'!$CF$11:$CF$1309,MATCH("S02b-ND1-37",'SKU明细'!$A$11:$A$1309,0))</x:f>
        <x:v>1.2204399948507247</x:v>
      </x:c>
      <x:c r="AE117" s="13" t="n">
        <x:f>IF(COUNT(INDEX('SKU明细'!$CH$11:$CH$1309,MATCH("S02b-ND1-37",'SKU明细'!$A$11:$A$1309,0)))=1,SUM(INDEX('SKU明细'!$CH$11:$CH$1309,MATCH("S02b-ND1-37",'SKU明细'!$A$11:$A$1309,0))),"待核")</x:f>
        <x:v>1.2071083993334544</x:v>
      </x:c>
      <x:c r="AF117" s="13" t="n">
        <x:f>IF(COUNT(INDEX('SKU明细'!$CI$11:$CI$1309,MATCH("S02b-ND1-37",'SKU明细'!$A$11:$A$1309,0)))=1,SUM(INDEX('SKU明细'!$CI$11:$CI$1309,MATCH("S02b-ND1-37",'SKU明细'!$A$11:$A$1309,0))),"待核")</x:f>
        <x:v>5.508904100210727</x:v>
      </x:c>
    </x:row>
    <x:row r="118" ht="40" customHeight="1">
      <x:c r="A118" s="35" t="str">
        <x:v>S02b</x:v>
      </x:c>
      <x:c r="B118" s="35" t="str">
        <x:v>陈晨</x:v>
      </x:c>
      <x:c r="C118" s="35" t="str">
        <x:v>藏青色</x:v>
      </x:c>
      <x:c r="D118" s="35" t="str">
        <x:v>NY</x:v>
      </x:c>
      <x:c r="E118" s="35" t="str">
        <x:v>S02b-NY</x:v>
      </x:c>
      <x:c r="F118" s="35"/>
      <x:c r="G118" s="36" t="str">
        <x:f>"—"</x:f>
        <x:v>—</x:v>
      </x:c>
      <x:c r="H118" s="36" t="n">
        <x:f>IF(COUNT(INDEX('SKU明细'!$D$11:$D$1309,MATCH("S02b-NY-37",'SKU明细'!$A$11:$A$1309,0)))=0,"待核",IF(COUNT(INDEX('SKU明细'!$D$11:$D$1309,MATCH("S02b-NY-37",'SKU明细'!$A$11:$A$1309,0)))&lt;1,SUM(INDEX('SKU明细'!$D$11:$D$1309,MATCH("S02b-NY-37",'SKU明细'!$A$11:$A$1309,0)))&amp;" + 待核",SUM(INDEX('SKU明细'!$D$11:$D$1309,MATCH("S02b-NY-37",'SKU明细'!$A$11:$A$1309,0)))))</x:f>
        <x:v>0</x:v>
      </x:c>
      <x:c r="I118" s="36" t="str">
        <x:f>"—"</x:f>
        <x:v>—</x:v>
      </x:c>
      <x:c r="J118" s="36" t="n">
        <x:f>IF(COUNT(INDEX('SKU明细'!$D$11:$D$1309,MATCH("S02b-NY-38",'SKU明细'!$A$11:$A$1309,0)))=0,"待核",IF(COUNT(INDEX('SKU明细'!$D$11:$D$1309,MATCH("S02b-NY-38",'SKU明细'!$A$11:$A$1309,0)))&lt;1,SUM(INDEX('SKU明细'!$D$11:$D$1309,MATCH("S02b-NY-38",'SKU明细'!$A$11:$A$1309,0)))&amp;" + 待核",SUM(INDEX('SKU明细'!$D$11:$D$1309,MATCH("S02b-NY-38",'SKU明细'!$A$11:$A$1309,0)))))</x:f>
        <x:v>0</x:v>
      </x:c>
      <x:c r="K118" s="36" t="str">
        <x:f>"—"</x:f>
        <x:v>—</x:v>
      </x:c>
      <x:c r="L118" s="36" t="n">
        <x:f>IF(COUNT(INDEX('SKU明细'!$D$11:$D$1309,MATCH("S02b-NY-39",'SKU明细'!$A$11:$A$1309,0)))=0,"待核",IF(COUNT(INDEX('SKU明细'!$D$11:$D$1309,MATCH("S02b-NY-39",'SKU明细'!$A$11:$A$1309,0)))&lt;1,SUM(INDEX('SKU明细'!$D$11:$D$1309,MATCH("S02b-NY-39",'SKU明细'!$A$11:$A$1309,0)))&amp;" + 待核",SUM(INDEX('SKU明细'!$D$11:$D$1309,MATCH("S02b-NY-39",'SKU明细'!$A$11:$A$1309,0)))))</x:f>
        <x:v>11</x:v>
      </x:c>
      <x:c r="M118" s="36" t="str">
        <x:f>"—"</x:f>
        <x:v>—</x:v>
      </x:c>
      <x:c r="N118" s="36" t="n">
        <x:f>IF(COUNT(INDEX('SKU明细'!$D$11:$D$1309,MATCH("S02b-NY-40",'SKU明细'!$A$11:$A$1309,0)))=0,"待核",IF(COUNT(INDEX('SKU明细'!$D$11:$D$1309,MATCH("S02b-NY-40",'SKU明细'!$A$11:$A$1309,0)))&lt;1,SUM(INDEX('SKU明细'!$D$11:$D$1309,MATCH("S02b-NY-40",'SKU明细'!$A$11:$A$1309,0)))&amp;" + 待核",SUM(INDEX('SKU明细'!$D$11:$D$1309,MATCH("S02b-NY-40",'SKU明细'!$A$11:$A$1309,0)))))</x:f>
        <x:v>16</x:v>
      </x:c>
      <x:c r="O118" s="36" t="str">
        <x:f>"—"</x:f>
        <x:v>—</x:v>
      </x:c>
      <x:c r="P118" s="36" t="n">
        <x:f>IF(COUNT(INDEX('SKU明细'!$D$11:$D$1309,MATCH("S02b-NY-41",'SKU明细'!$A$11:$A$1309,0)))=0,"待核",IF(COUNT(INDEX('SKU明细'!$D$11:$D$1309,MATCH("S02b-NY-41",'SKU明细'!$A$11:$A$1309,0)))&lt;1,SUM(INDEX('SKU明细'!$D$11:$D$1309,MATCH("S02b-NY-41",'SKU明细'!$A$11:$A$1309,0)))&amp;" + 待核",SUM(INDEX('SKU明细'!$D$11:$D$1309,MATCH("S02b-NY-41",'SKU明细'!$A$11:$A$1309,0)))))</x:f>
        <x:v>5</x:v>
      </x:c>
      <x:c r="Q118" s="36" t="str">
        <x:f>"—"</x:f>
        <x:v>—</x:v>
      </x:c>
      <x:c r="R118" s="36" t="n">
        <x:f>IF(COUNT(INDEX('SKU明细'!$D$11:$D$1309,MATCH("S02b-NY-42",'SKU明细'!$A$11:$A$1309,0)))=0,"待核",IF(COUNT(INDEX('SKU明细'!$D$11:$D$1309,MATCH("S02b-NY-42",'SKU明细'!$A$11:$A$1309,0)))&lt;1,SUM(INDEX('SKU明细'!$D$11:$D$1309,MATCH("S02b-NY-42",'SKU明细'!$A$11:$A$1309,0)))&amp;" + 待核",SUM(INDEX('SKU明细'!$D$11:$D$1309,MATCH("S02b-NY-42",'SKU明细'!$A$11:$A$1309,0)))))</x:f>
        <x:v>0</x:v>
      </x:c>
      <x:c r="S118" s="36" t="n">
        <x:f>IF(COUNT(INDEX('SKU明细'!$D$11:$D$1309,MATCH("S02b-NY-37",'SKU明细'!$A$11:$A$1309,0)),INDEX('SKU明细'!$D$11:$D$1309,MATCH("S02b-NY-38",'SKU明细'!$A$11:$A$1309,0)),INDEX('SKU明细'!$D$11:$D$1309,MATCH("S02b-NY-39",'SKU明细'!$A$11:$A$1309,0)),INDEX('SKU明细'!$D$11:$D$1309,MATCH("S02b-NY-40",'SKU明细'!$A$11:$A$1309,0)),INDEX('SKU明细'!$D$11:$D$1309,MATCH("S02b-NY-41",'SKU明细'!$A$11:$A$1309,0)),INDEX('SKU明细'!$D$11:$D$1309,MATCH("S02b-NY-42",'SKU明细'!$A$11:$A$1309,0)))=0,"待核",SUM(INDEX('SKU明细'!$D$11:$D$1309,MATCH("S02b-NY-37",'SKU明细'!$A$11:$A$1309,0)),INDEX('SKU明细'!$D$11:$D$1309,MATCH("S02b-NY-38",'SKU明细'!$A$11:$A$1309,0)),INDEX('SKU明细'!$D$11:$D$1309,MATCH("S02b-NY-39",'SKU明细'!$A$11:$A$1309,0)),INDEX('SKU明细'!$D$11:$D$1309,MATCH("S02b-NY-40",'SKU明细'!$A$11:$A$1309,0)),INDEX('SKU明细'!$D$11:$D$1309,MATCH("S02b-NY-41",'SKU明细'!$A$11:$A$1309,0)),INDEX('SKU明细'!$D$11:$D$1309,MATCH("S02b-NY-42",'SKU明细'!$A$11:$A$1309,0))))</x:f>
        <x:v>32</x:v>
      </x:c>
      <x:c r="T118" s="36" t="n">
        <x:f>IF(COUNTIFS($A$9:$A$191,A118,$U$9:$U$191,"&lt;&gt;待核")=0,"待核",SUMIF($A$9:$A$191,A118,$S$9:$S$191))</x:f>
        <x:v>168</x:v>
      </x:c>
      <x:c r="U118" s="35" t="str">
        <x:f>IF(COUNT(INDEX('SKU明细'!$D$11:$D$1309,MATCH("S02b-NY-37",'SKU明细'!$A$11:$A$1309,0)),INDEX('SKU明细'!$D$11:$D$1309,MATCH("S02b-NY-38",'SKU明细'!$A$11:$A$1309,0)),INDEX('SKU明细'!$D$11:$D$1309,MATCH("S02b-NY-39",'SKU明细'!$A$11:$A$1309,0)),INDEX('SKU明细'!$D$11:$D$1309,MATCH("S02b-NY-40",'SKU明细'!$A$11:$A$1309,0)),INDEX('SKU明细'!$D$11:$D$1309,MATCH("S02b-NY-41",'SKU明细'!$A$11:$A$1309,0)),INDEX('SKU明细'!$D$11:$D$1309,MATCH("S02b-NY-42",'SKU明细'!$A$11:$A$1309,0)))=0,"待核",IF(COUNT(INDEX('SKU明细'!$D$11:$D$1309,MATCH("S02b-NY-37",'SKU明细'!$A$11:$A$1309,0)),INDEX('SKU明细'!$D$11:$D$1309,MATCH("S02b-NY-38",'SKU明细'!$A$11:$A$1309,0)),INDEX('SKU明细'!$D$11:$D$1309,MATCH("S02b-NY-39",'SKU明细'!$A$11:$A$1309,0)),INDEX('SKU明细'!$D$11:$D$1309,MATCH("S02b-NY-40",'SKU明细'!$A$11:$A$1309,0)),INDEX('SKU明细'!$D$11:$D$1309,MATCH("S02b-NY-41",'SKU明细'!$A$11:$A$1309,0)),INDEX('SKU明细'!$D$11:$D$1309,MATCH("S02b-NY-42",'SKU明细'!$A$11:$A$1309,0)))&lt;6,"另有待核","已核"))</x:f>
        <x:v>已核</x:v>
      </x:c>
      <x:c r="V118" s="35" t="str">
        <x:v>在售</x:v>
      </x:c>
      <x:c r="W118" s="11" t="n">
        <x:f>IF(COUNT(INDEX('SKU明细'!$BV$11:$BV$1309,MATCH("S02b-NY-37",'SKU明细'!$A$11:$A$1309,0)),INDEX('SKU明细'!$BV$11:$BV$1309,MATCH("S02b-NY-38",'SKU明细'!$A$11:$A$1309,0)),INDEX('SKU明细'!$BV$11:$BV$1309,MATCH("S02b-NY-39",'SKU明细'!$A$11:$A$1309,0)),INDEX('SKU明细'!$BV$11:$BV$1309,MATCH("S02b-NY-40",'SKU明细'!$A$11:$A$1309,0)),INDEX('SKU明细'!$BV$11:$BV$1309,MATCH("S02b-NY-41",'SKU明细'!$A$11:$A$1309,0)),INDEX('SKU明细'!$BV$11:$BV$1309,MATCH("S02b-NY-42",'SKU明细'!$A$11:$A$1309,0)))=6,SUM(INDEX('SKU明细'!$BV$11:$BV$1309,MATCH("S02b-NY-37",'SKU明细'!$A$11:$A$1309,0)),INDEX('SKU明细'!$BV$11:$BV$1309,MATCH("S02b-NY-38",'SKU明细'!$A$11:$A$1309,0)),INDEX('SKU明细'!$BV$11:$BV$1309,MATCH("S02b-NY-39",'SKU明细'!$A$11:$A$1309,0)),INDEX('SKU明细'!$BV$11:$BV$1309,MATCH("S02b-NY-40",'SKU明细'!$A$11:$A$1309,0)),INDEX('SKU明细'!$BV$11:$BV$1309,MATCH("S02b-NY-41",'SKU明细'!$A$11:$A$1309,0)),INDEX('SKU明细'!$BV$11:$BV$1309,MATCH("S02b-NY-42",'SKU明细'!$A$11:$A$1309,0))),"待核")</x:f>
        <x:v>3.229983476717252</x:v>
      </x:c>
      <x:c r="X118" s="11" t="n">
        <x:f>INDEX('SKU明细'!$BW$11:$BW$1309,MATCH("S02b-NY-37",'SKU明细'!$A$11:$A$1309,0))</x:f>
        <x:v>0.9658602967882928</x:v>
      </x:c>
      <x:c r="Y118" s="13" t="n">
        <x:f>IF(COUNT(INDEX('SKU明细'!$BY$11:$BY$1309,MATCH("S02b-NY-37",'SKU明细'!$A$11:$A$1309,0)),INDEX('SKU明细'!$BY$11:$BY$1309,MATCH("S02b-NY-38",'SKU明细'!$A$11:$A$1309,0)),INDEX('SKU明细'!$BY$11:$BY$1309,MATCH("S02b-NY-39",'SKU明细'!$A$11:$A$1309,0)),INDEX('SKU明细'!$BY$11:$BY$1309,MATCH("S02b-NY-40",'SKU明细'!$A$11:$A$1309,0)),INDEX('SKU明细'!$BY$11:$BY$1309,MATCH("S02b-NY-41",'SKU明细'!$A$11:$A$1309,0)),INDEX('SKU明细'!$BY$11:$BY$1309,MATCH("S02b-NY-42",'SKU明细'!$A$11:$A$1309,0)))=6,SUM(INDEX('SKU明细'!$BY$11:$BY$1309,MATCH("S02b-NY-37",'SKU明细'!$A$11:$A$1309,0)),INDEX('SKU明细'!$BY$11:$BY$1309,MATCH("S02b-NY-38",'SKU明细'!$A$11:$A$1309,0)),INDEX('SKU明细'!$BY$11:$BY$1309,MATCH("S02b-NY-39",'SKU明细'!$A$11:$A$1309,0)),INDEX('SKU明细'!$BY$11:$BY$1309,MATCH("S02b-NY-40",'SKU明细'!$A$11:$A$1309,0)),INDEX('SKU明细'!$BY$11:$BY$1309,MATCH("S02b-NY-41",'SKU明细'!$A$11:$A$1309,0)),INDEX('SKU明细'!$BY$11:$BY$1309,MATCH("S02b-NY-42",'SKU明细'!$A$11:$A$1309,0))),"待核")</x:f>
        <x:v>37.43655359332088</x:v>
      </x:c>
      <x:c r="Z118" s="11" t="n">
        <x:f>INDEX('SKU明细'!$BZ$11:$BZ$1309,MATCH("S02b-NY-37",'SKU明细'!$A$11:$A$1309,0))</x:f>
        <x:v>1.1727174450092641</x:v>
      </x:c>
      <x:c r="AA118" s="13" t="n">
        <x:f>IF(COUNT(INDEX('SKU明细'!$CB$11:$CB$1309,MATCH("S02b-NY-37",'SKU明细'!$A$11:$A$1309,0)),INDEX('SKU明细'!$CB$11:$CB$1309,MATCH("S02b-NY-38",'SKU明细'!$A$11:$A$1309,0)),INDEX('SKU明细'!$CB$11:$CB$1309,MATCH("S02b-NY-39",'SKU明细'!$A$11:$A$1309,0)),INDEX('SKU明细'!$CB$11:$CB$1309,MATCH("S02b-NY-40",'SKU明细'!$A$11:$A$1309,0)),INDEX('SKU明细'!$CB$11:$CB$1309,MATCH("S02b-NY-41",'SKU明细'!$A$11:$A$1309,0)),INDEX('SKU明细'!$CB$11:$CB$1309,MATCH("S02b-NY-42",'SKU明细'!$A$11:$A$1309,0)))=6,SUM(INDEX('SKU明细'!$CB$11:$CB$1309,MATCH("S02b-NY-37",'SKU明细'!$A$11:$A$1309,0)),INDEX('SKU明细'!$CB$11:$CB$1309,MATCH("S02b-NY-38",'SKU明细'!$A$11:$A$1309,0)),INDEX('SKU明细'!$CB$11:$CB$1309,MATCH("S02b-NY-39",'SKU明细'!$A$11:$A$1309,0)),INDEX('SKU明细'!$CB$11:$CB$1309,MATCH("S02b-NY-40",'SKU明细'!$A$11:$A$1309,0)),INDEX('SKU明细'!$CB$11:$CB$1309,MATCH("S02b-NY-41",'SKU明细'!$A$11:$A$1309,0)),INDEX('SKU明细'!$CB$11:$CB$1309,MATCH("S02b-NY-42",'SKU明细'!$A$11:$A$1309,0))),"待核")</x:f>
        <x:v>113.63573910713987</x:v>
      </x:c>
      <x:c r="AB118" s="11" t="n">
        <x:f>INDEX('SKU明细'!$CC$11:$CC$1309,MATCH("S02b-NY-37",'SKU明细'!$A$11:$A$1309,0))</x:f>
        <x:v>0.8763339075184018</x:v>
      </x:c>
      <x:c r="AC118" s="13" t="n">
        <x:f>IF(COUNT(INDEX('SKU明细'!$CE$11:$CE$1309,MATCH("S02b-NY-37",'SKU明细'!$A$11:$A$1309,0)),INDEX('SKU明细'!$CE$11:$CE$1309,MATCH("S02b-NY-38",'SKU明细'!$A$11:$A$1309,0)),INDEX('SKU明细'!$CE$11:$CE$1309,MATCH("S02b-NY-39",'SKU明细'!$A$11:$A$1309,0)),INDEX('SKU明细'!$CE$11:$CE$1309,MATCH("S02b-NY-40",'SKU明细'!$A$11:$A$1309,0)),INDEX('SKU明细'!$CE$11:$CE$1309,MATCH("S02b-NY-41",'SKU明细'!$A$11:$A$1309,0)),INDEX('SKU明细'!$CE$11:$CE$1309,MATCH("S02b-NY-42",'SKU明细'!$A$11:$A$1309,0)))=6,SUM(INDEX('SKU明细'!$CE$11:$CE$1309,MATCH("S02b-NY-37",'SKU明细'!$A$11:$A$1309,0)),INDEX('SKU明细'!$CE$11:$CE$1309,MATCH("S02b-NY-38",'SKU明细'!$A$11:$A$1309,0)),INDEX('SKU明细'!$CE$11:$CE$1309,MATCH("S02b-NY-39",'SKU明细'!$A$11:$A$1309,0)),INDEX('SKU明细'!$CE$11:$CE$1309,MATCH("S02b-NY-40",'SKU明细'!$A$11:$A$1309,0)),INDEX('SKU明细'!$CE$11:$CE$1309,MATCH("S02b-NY-41",'SKU明细'!$A$11:$A$1309,0)),INDEX('SKU明细'!$CE$11:$CE$1309,MATCH("S02b-NY-42",'SKU明细'!$A$11:$A$1309,0))),"待核")</x:f>
        <x:v>87.74686528251657</x:v>
      </x:c>
      <x:c r="AD118" s="11" t="n">
        <x:f>INDEX('SKU明细'!$CF$11:$CF$1309,MATCH("S02b-NY-37",'SKU明细'!$A$11:$A$1309,0))</x:f>
        <x:v>1.2204399948507247</x:v>
      </x:c>
      <x:c r="AE118" s="13" t="n">
        <x:f>IF(COUNT(INDEX('SKU明细'!$CH$11:$CH$1309,MATCH("S02b-NY-37",'SKU明细'!$A$11:$A$1309,0)),INDEX('SKU明细'!$CH$11:$CH$1309,MATCH("S02b-NY-38",'SKU明细'!$A$11:$A$1309,0)),INDEX('SKU明细'!$CH$11:$CH$1309,MATCH("S02b-NY-39",'SKU明细'!$A$11:$A$1309,0)),INDEX('SKU明细'!$CH$11:$CH$1309,MATCH("S02b-NY-40",'SKU明细'!$A$11:$A$1309,0)),INDEX('SKU明细'!$CH$11:$CH$1309,MATCH("S02b-NY-41",'SKU明细'!$A$11:$A$1309,0)),INDEX('SKU明细'!$CH$11:$CH$1309,MATCH("S02b-NY-42",'SKU明细'!$A$11:$A$1309,0)))=6,SUM(INDEX('SKU明细'!$CH$11:$CH$1309,MATCH("S02b-NY-37",'SKU明细'!$A$11:$A$1309,0)),INDEX('SKU明细'!$CH$11:$CH$1309,MATCH("S02b-NY-38",'SKU明细'!$A$11:$A$1309,0)),INDEX('SKU明细'!$CH$11:$CH$1309,MATCH("S02b-NY-39",'SKU明细'!$A$11:$A$1309,0)),INDEX('SKU明细'!$CH$11:$CH$1309,MATCH("S02b-NY-40",'SKU明细'!$A$11:$A$1309,0)),INDEX('SKU明细'!$CH$11:$CH$1309,MATCH("S02b-NY-41",'SKU明细'!$A$11:$A$1309,0)),INDEX('SKU明细'!$CH$11:$CH$1309,MATCH("S02b-NY-42",'SKU明细'!$A$11:$A$1309,0))),"待核")</x:f>
        <x:v>67.01401730077639</x:v>
      </x:c>
      <x:c r="AF118" s="13" t="n">
        <x:f>IF(COUNT(INDEX('SKU明细'!$CI$11:$CI$1309,MATCH("S02b-NY-37",'SKU明细'!$A$11:$A$1309,0)),INDEX('SKU明细'!$CI$11:$CI$1309,MATCH("S02b-NY-38",'SKU明细'!$A$11:$A$1309,0)),INDEX('SKU明细'!$CI$11:$CI$1309,MATCH("S02b-NY-39",'SKU明细'!$A$11:$A$1309,0)),INDEX('SKU明细'!$CI$11:$CI$1309,MATCH("S02b-NY-40",'SKU明细'!$A$11:$A$1309,0)),INDEX('SKU明细'!$CI$11:$CI$1309,MATCH("S02b-NY-41",'SKU明细'!$A$11:$A$1309,0)),INDEX('SKU明细'!$CI$11:$CI$1309,MATCH("S02b-NY-42",'SKU明细'!$A$11:$A$1309,0)))=6,SUM(INDEX('SKU明细'!$CI$11:$CI$1309,MATCH("S02b-NY-37",'SKU明细'!$A$11:$A$1309,0)),INDEX('SKU明细'!$CI$11:$CI$1309,MATCH("S02b-NY-38",'SKU明细'!$A$11:$A$1309,0)),INDEX('SKU明细'!$CI$11:$CI$1309,MATCH("S02b-NY-39",'SKU明细'!$A$11:$A$1309,0)),INDEX('SKU明细'!$CI$11:$CI$1309,MATCH("S02b-NY-40",'SKU明细'!$A$11:$A$1309,0)),INDEX('SKU明细'!$CI$11:$CI$1309,MATCH("S02b-NY-41",'SKU明细'!$A$11:$A$1309,0)),INDEX('SKU明细'!$CI$11:$CI$1309,MATCH("S02b-NY-42",'SKU明细'!$A$11:$A$1309,0))),"待核")</x:f>
        <x:v>305.83317528375375</x:v>
      </x:c>
    </x:row>
    <x:row r="119" ht="40" customHeight="1">
      <x:c r="A119" s="37" t="str">
        <x:v>1S01</x:v>
      </x:c>
      <x:c r="B119" s="37" t="str">
        <x:v>徐新怡</x:v>
      </x:c>
      <x:c r="C119" s="37" t="str">
        <x:v>牛仔蓝</x:v>
      </x:c>
      <x:c r="D119" s="37" t="str">
        <x:v>BEP</x:v>
      </x:c>
      <x:c r="E119" s="37" t="str">
        <x:v>1S01-BEP</x:v>
      </x:c>
      <x:c r="F119" s="37"/>
      <x:c r="G119" s="38" t="str">
        <x:f>"—"</x:f>
        <x:v>—</x:v>
      </x:c>
      <x:c r="H119" s="38" t="n">
        <x:f>IF(COUNT(INDEX('SKU明细'!$D$11:$D$1309,MATCH("1S01-BEP-37",'SKU明细'!$A$11:$A$1309,0)))=0,"待核",IF(COUNT(INDEX('SKU明细'!$D$11:$D$1309,MATCH("1S01-BEP-37",'SKU明细'!$A$11:$A$1309,0)))&lt;1,SUM(INDEX('SKU明细'!$D$11:$D$1309,MATCH("1S01-BEP-37",'SKU明细'!$A$11:$A$1309,0)))&amp;" + 待核",SUM(INDEX('SKU明细'!$D$11:$D$1309,MATCH("1S01-BEP-37",'SKU明细'!$A$11:$A$1309,0)))))</x:f>
        <x:v>0</x:v>
      </x:c>
      <x:c r="I119" s="38" t="n">
        <x:f>IF(COUNT(INDEX('SKU明细'!$D$11:$D$1309,MATCH("1S01-BEP-37.5",'SKU明细'!$A$11:$A$1309,0)))=0,"待核",IF(COUNT(INDEX('SKU明细'!$D$11:$D$1309,MATCH("1S01-BEP-37.5",'SKU明细'!$A$11:$A$1309,0)))&lt;1,SUM(INDEX('SKU明细'!$D$11:$D$1309,MATCH("1S01-BEP-37.5",'SKU明细'!$A$11:$A$1309,0)))&amp;" + 待核",SUM(INDEX('SKU明细'!$D$11:$D$1309,MATCH("1S01-BEP-37.5",'SKU明细'!$A$11:$A$1309,0)))))</x:f>
        <x:v>0</x:v>
      </x:c>
      <x:c r="J119" s="38" t="n">
        <x:f>IF(COUNT(INDEX('SKU明细'!$D$11:$D$1309,MATCH("1S01-BEP-38",'SKU明细'!$A$11:$A$1309,0)))=0,"待核",IF(COUNT(INDEX('SKU明细'!$D$11:$D$1309,MATCH("1S01-BEP-38",'SKU明细'!$A$11:$A$1309,0)))&lt;1,SUM(INDEX('SKU明细'!$D$11:$D$1309,MATCH("1S01-BEP-38",'SKU明细'!$A$11:$A$1309,0)))&amp;" + 待核",SUM(INDEX('SKU明细'!$D$11:$D$1309,MATCH("1S01-BEP-38",'SKU明细'!$A$11:$A$1309,0)))))</x:f>
        <x:v>0</x:v>
      </x:c>
      <x:c r="K119" s="38" t="n">
        <x:f>IF(COUNT(INDEX('SKU明细'!$D$11:$D$1309,MATCH("1S01-BEP-38.5",'SKU明细'!$A$11:$A$1309,0)))=0,"待核",IF(COUNT(INDEX('SKU明细'!$D$11:$D$1309,MATCH("1S01-BEP-38.5",'SKU明细'!$A$11:$A$1309,0)))&lt;1,SUM(INDEX('SKU明细'!$D$11:$D$1309,MATCH("1S01-BEP-38.5",'SKU明细'!$A$11:$A$1309,0)))&amp;" + 待核",SUM(INDEX('SKU明细'!$D$11:$D$1309,MATCH("1S01-BEP-38.5",'SKU明细'!$A$11:$A$1309,0)))))</x:f>
        <x:v>0</x:v>
      </x:c>
      <x:c r="L119" s="38" t="n">
        <x:f>IF(COUNT(INDEX('SKU明细'!$D$11:$D$1309,MATCH("1S01-BEP-39",'SKU明细'!$A$11:$A$1309,0)))=0,"待核",IF(COUNT(INDEX('SKU明细'!$D$11:$D$1309,MATCH("1S01-BEP-39",'SKU明细'!$A$11:$A$1309,0)))&lt;1,SUM(INDEX('SKU明细'!$D$11:$D$1309,MATCH("1S01-BEP-39",'SKU明细'!$A$11:$A$1309,0)))&amp;" + 待核",SUM(INDEX('SKU明细'!$D$11:$D$1309,MATCH("1S01-BEP-39",'SKU明细'!$A$11:$A$1309,0)))))</x:f>
        <x:v>0</x:v>
      </x:c>
      <x:c r="M119" s="38" t="n">
        <x:f>IF(COUNT(INDEX('SKU明细'!$D$11:$D$1309,MATCH("1S01-BEP-39.5",'SKU明细'!$A$11:$A$1309,0)))=0,"待核",IF(COUNT(INDEX('SKU明细'!$D$11:$D$1309,MATCH("1S01-BEP-39.5",'SKU明细'!$A$11:$A$1309,0)))&lt;1,SUM(INDEX('SKU明细'!$D$11:$D$1309,MATCH("1S01-BEP-39.5",'SKU明细'!$A$11:$A$1309,0)))&amp;" + 待核",SUM(INDEX('SKU明细'!$D$11:$D$1309,MATCH("1S01-BEP-39.5",'SKU明细'!$A$11:$A$1309,0)))))</x:f>
        <x:v>0</x:v>
      </x:c>
      <x:c r="N119" s="38" t="n">
        <x:f>IF(COUNT(INDEX('SKU明细'!$D$11:$D$1309,MATCH("1S01-BEP-40",'SKU明细'!$A$11:$A$1309,0)))=0,"待核",IF(COUNT(INDEX('SKU明细'!$D$11:$D$1309,MATCH("1S01-BEP-40",'SKU明细'!$A$11:$A$1309,0)))&lt;1,SUM(INDEX('SKU明细'!$D$11:$D$1309,MATCH("1S01-BEP-40",'SKU明细'!$A$11:$A$1309,0)))&amp;" + 待核",SUM(INDEX('SKU明细'!$D$11:$D$1309,MATCH("1S01-BEP-40",'SKU明细'!$A$11:$A$1309,0)))))</x:f>
        <x:v>0</x:v>
      </x:c>
      <x:c r="O119" s="38" t="n">
        <x:f>IF(COUNT(INDEX('SKU明细'!$D$11:$D$1309,MATCH("1S01-BEP-40.5",'SKU明细'!$A$11:$A$1309,0)))=0,"待核",IF(COUNT(INDEX('SKU明细'!$D$11:$D$1309,MATCH("1S01-BEP-40.5",'SKU明细'!$A$11:$A$1309,0)))&lt;1,SUM(INDEX('SKU明细'!$D$11:$D$1309,MATCH("1S01-BEP-40.5",'SKU明细'!$A$11:$A$1309,0)))&amp;" + 待核",SUM(INDEX('SKU明细'!$D$11:$D$1309,MATCH("1S01-BEP-40.5",'SKU明细'!$A$11:$A$1309,0)))))</x:f>
        <x:v>0</x:v>
      </x:c>
      <x:c r="P119" s="38" t="n">
        <x:f>IF(COUNT(INDEX('SKU明细'!$D$11:$D$1309,MATCH("1S01-BEP-41",'SKU明细'!$A$11:$A$1309,0)))=0,"待核",IF(COUNT(INDEX('SKU明细'!$D$11:$D$1309,MATCH("1S01-BEP-41",'SKU明细'!$A$11:$A$1309,0)))&lt;1,SUM(INDEX('SKU明细'!$D$11:$D$1309,MATCH("1S01-BEP-41",'SKU明细'!$A$11:$A$1309,0)))&amp;" + 待核",SUM(INDEX('SKU明细'!$D$11:$D$1309,MATCH("1S01-BEP-41",'SKU明细'!$A$11:$A$1309,0)))))</x:f>
        <x:v>2</x:v>
      </x:c>
      <x:c r="Q119" s="38" t="n">
        <x:f>IF(COUNT(INDEX('SKU明细'!$D$11:$D$1309,MATCH("1S01-BEP-41.5",'SKU明细'!$A$11:$A$1309,0)))=0,"待核",IF(COUNT(INDEX('SKU明细'!$D$11:$D$1309,MATCH("1S01-BEP-41.5",'SKU明细'!$A$11:$A$1309,0)))&lt;1,SUM(INDEX('SKU明细'!$D$11:$D$1309,MATCH("1S01-BEP-41.5",'SKU明细'!$A$11:$A$1309,0)))&amp;" + 待核",SUM(INDEX('SKU明细'!$D$11:$D$1309,MATCH("1S01-BEP-41.5",'SKU明细'!$A$11:$A$1309,0)))))</x:f>
        <x:v>0</x:v>
      </x:c>
      <x:c r="R119" s="38" t="n">
        <x:f>IF(COUNT(INDEX('SKU明细'!$D$11:$D$1309,MATCH("1S01-BEP-42",'SKU明细'!$A$11:$A$1309,0)))=0,"待核",IF(COUNT(INDEX('SKU明细'!$D$11:$D$1309,MATCH("1S01-BEP-42",'SKU明细'!$A$11:$A$1309,0)))&lt;1,SUM(INDEX('SKU明细'!$D$11:$D$1309,MATCH("1S01-BEP-42",'SKU明细'!$A$11:$A$1309,0)))&amp;" + 待核",SUM(INDEX('SKU明细'!$D$11:$D$1309,MATCH("1S01-BEP-42",'SKU明细'!$A$11:$A$1309,0)))))</x:f>
        <x:v>0</x:v>
      </x:c>
      <x:c r="S119" s="38" t="n">
        <x:f>IF(COUNT(INDEX('SKU明细'!$D$11:$D$1309,MATCH("1S01-BEP-37",'SKU明细'!$A$11:$A$1309,0)),INDEX('SKU明细'!$D$11:$D$1309,MATCH("1S01-BEP-37.5",'SKU明细'!$A$11:$A$1309,0)),INDEX('SKU明细'!$D$11:$D$1309,MATCH("1S01-BEP-38",'SKU明细'!$A$11:$A$1309,0)),INDEX('SKU明细'!$D$11:$D$1309,MATCH("1S01-BEP-38.5",'SKU明细'!$A$11:$A$1309,0)),INDEX('SKU明细'!$D$11:$D$1309,MATCH("1S01-BEP-39",'SKU明细'!$A$11:$A$1309,0)),INDEX('SKU明细'!$D$11:$D$1309,MATCH("1S01-BEP-39.5",'SKU明细'!$A$11:$A$1309,0)),INDEX('SKU明细'!$D$11:$D$1309,MATCH("1S01-BEP-40",'SKU明细'!$A$11:$A$1309,0)),INDEX('SKU明细'!$D$11:$D$1309,MATCH("1S01-BEP-40.5",'SKU明细'!$A$11:$A$1309,0)),INDEX('SKU明细'!$D$11:$D$1309,MATCH("1S01-BEP-41",'SKU明细'!$A$11:$A$1309,0)),INDEX('SKU明细'!$D$11:$D$1309,MATCH("1S01-BEP-41.5",'SKU明细'!$A$11:$A$1309,0)),INDEX('SKU明细'!$D$11:$D$1309,MATCH("1S01-BEP-42",'SKU明细'!$A$11:$A$1309,0)))=0,"待核",SUM(INDEX('SKU明细'!$D$11:$D$1309,MATCH("1S01-BEP-37",'SKU明细'!$A$11:$A$1309,0)),INDEX('SKU明细'!$D$11:$D$1309,MATCH("1S01-BEP-37.5",'SKU明细'!$A$11:$A$1309,0)),INDEX('SKU明细'!$D$11:$D$1309,MATCH("1S01-BEP-38",'SKU明细'!$A$11:$A$1309,0)),INDEX('SKU明细'!$D$11:$D$1309,MATCH("1S01-BEP-38.5",'SKU明细'!$A$11:$A$1309,0)),INDEX('SKU明细'!$D$11:$D$1309,MATCH("1S01-BEP-39",'SKU明细'!$A$11:$A$1309,0)),INDEX('SKU明细'!$D$11:$D$1309,MATCH("1S01-BEP-39.5",'SKU明细'!$A$11:$A$1309,0)),INDEX('SKU明细'!$D$11:$D$1309,MATCH("1S01-BEP-40",'SKU明细'!$A$11:$A$1309,0)),INDEX('SKU明细'!$D$11:$D$1309,MATCH("1S01-BEP-40.5",'SKU明细'!$A$11:$A$1309,0)),INDEX('SKU明细'!$D$11:$D$1309,MATCH("1S01-BEP-41",'SKU明细'!$A$11:$A$1309,0)),INDEX('SKU明细'!$D$11:$D$1309,MATCH("1S01-BEP-41.5",'SKU明细'!$A$11:$A$1309,0)),INDEX('SKU明细'!$D$11:$D$1309,MATCH("1S01-BEP-42",'SKU明细'!$A$11:$A$1309,0))))</x:f>
        <x:v>2</x:v>
      </x:c>
      <x:c r="T119" s="38" t="n">
        <x:f>IF(COUNTIFS($A$9:$A$191,A119,$U$9:$U$191,"&lt;&gt;待核")=0,"待核",SUMIF($A$9:$A$191,A119,$S$9:$S$191))</x:f>
        <x:v>141</x:v>
      </x:c>
      <x:c r="U119" s="37" t="str">
        <x:f>IF(COUNT(INDEX('SKU明细'!$D$11:$D$1309,MATCH("1S01-BEP-37",'SKU明细'!$A$11:$A$1309,0)),INDEX('SKU明细'!$D$11:$D$1309,MATCH("1S01-BEP-37.5",'SKU明细'!$A$11:$A$1309,0)),INDEX('SKU明细'!$D$11:$D$1309,MATCH("1S01-BEP-38",'SKU明细'!$A$11:$A$1309,0)),INDEX('SKU明细'!$D$11:$D$1309,MATCH("1S01-BEP-38.5",'SKU明细'!$A$11:$A$1309,0)),INDEX('SKU明细'!$D$11:$D$1309,MATCH("1S01-BEP-39",'SKU明细'!$A$11:$A$1309,0)),INDEX('SKU明细'!$D$11:$D$1309,MATCH("1S01-BEP-39.5",'SKU明细'!$A$11:$A$1309,0)),INDEX('SKU明细'!$D$11:$D$1309,MATCH("1S01-BEP-40",'SKU明细'!$A$11:$A$1309,0)),INDEX('SKU明细'!$D$11:$D$1309,MATCH("1S01-BEP-40.5",'SKU明细'!$A$11:$A$1309,0)),INDEX('SKU明细'!$D$11:$D$1309,MATCH("1S01-BEP-41",'SKU明细'!$A$11:$A$1309,0)),INDEX('SKU明细'!$D$11:$D$1309,MATCH("1S01-BEP-41.5",'SKU明细'!$A$11:$A$1309,0)),INDEX('SKU明细'!$D$11:$D$1309,MATCH("1S01-BEP-42",'SKU明细'!$A$11:$A$1309,0)))=0,"待核",IF(COUNT(INDEX('SKU明细'!$D$11:$D$1309,MATCH("1S01-BEP-37",'SKU明细'!$A$11:$A$1309,0)),INDEX('SKU明细'!$D$11:$D$1309,MATCH("1S01-BEP-37.5",'SKU明细'!$A$11:$A$1309,0)),INDEX('SKU明细'!$D$11:$D$1309,MATCH("1S01-BEP-38",'SKU明细'!$A$11:$A$1309,0)),INDEX('SKU明细'!$D$11:$D$1309,MATCH("1S01-BEP-38.5",'SKU明细'!$A$11:$A$1309,0)),INDEX('SKU明细'!$D$11:$D$1309,MATCH("1S01-BEP-39",'SKU明细'!$A$11:$A$1309,0)),INDEX('SKU明细'!$D$11:$D$1309,MATCH("1S01-BEP-39.5",'SKU明细'!$A$11:$A$1309,0)),INDEX('SKU明细'!$D$11:$D$1309,MATCH("1S01-BEP-40",'SKU明细'!$A$11:$A$1309,0)),INDEX('SKU明细'!$D$11:$D$1309,MATCH("1S01-BEP-40.5",'SKU明细'!$A$11:$A$1309,0)),INDEX('SKU明细'!$D$11:$D$1309,MATCH("1S01-BEP-41",'SKU明细'!$A$11:$A$1309,0)),INDEX('SKU明细'!$D$11:$D$1309,MATCH("1S01-BEP-41.5",'SKU明细'!$A$11:$A$1309,0)),INDEX('SKU明细'!$D$11:$D$1309,MATCH("1S01-BEP-42",'SKU明细'!$A$11:$A$1309,0)))&lt;11,"另有待核","已核"))</x:f>
        <x:v>已核</x:v>
      </x:c>
      <x:c r="V119" s="37" t="str">
        <x:v>在售、停售</x:v>
      </x:c>
      <x:c r="W119" s="11" t="n">
        <x:f>IF(COUNT(INDEX('SKU明细'!$BV$11:$BV$1309,MATCH("1S01-BEP-37",'SKU明细'!$A$11:$A$1309,0)),INDEX('SKU明细'!$BV$11:$BV$1309,MATCH("1S01-BEP-37.5",'SKU明细'!$A$11:$A$1309,0)),INDEX('SKU明细'!$BV$11:$BV$1309,MATCH("1S01-BEP-38",'SKU明细'!$A$11:$A$1309,0)),INDEX('SKU明细'!$BV$11:$BV$1309,MATCH("1S01-BEP-38.5",'SKU明细'!$A$11:$A$1309,0)),INDEX('SKU明细'!$BV$11:$BV$1309,MATCH("1S01-BEP-39",'SKU明细'!$A$11:$A$1309,0)),INDEX('SKU明细'!$BV$11:$BV$1309,MATCH("1S01-BEP-39.5",'SKU明细'!$A$11:$A$1309,0)),INDEX('SKU明细'!$BV$11:$BV$1309,MATCH("1S01-BEP-40",'SKU明细'!$A$11:$A$1309,0)),INDEX('SKU明细'!$BV$11:$BV$1309,MATCH("1S01-BEP-40.5",'SKU明细'!$A$11:$A$1309,0)),INDEX('SKU明细'!$BV$11:$BV$1309,MATCH("1S01-BEP-41",'SKU明细'!$A$11:$A$1309,0)),INDEX('SKU明细'!$BV$11:$BV$1309,MATCH("1S01-BEP-41.5",'SKU明细'!$A$11:$A$1309,0)),INDEX('SKU明细'!$BV$11:$BV$1309,MATCH("1S01-BEP-42",'SKU明细'!$A$11:$A$1309,0)))=11,SUM(INDEX('SKU明细'!$BV$11:$BV$1309,MATCH("1S01-BEP-37",'SKU明细'!$A$11:$A$1309,0)),INDEX('SKU明细'!$BV$11:$BV$1309,MATCH("1S01-BEP-37.5",'SKU明细'!$A$11:$A$1309,0)),INDEX('SKU明细'!$BV$11:$BV$1309,MATCH("1S01-BEP-38",'SKU明细'!$A$11:$A$1309,0)),INDEX('SKU明细'!$BV$11:$BV$1309,MATCH("1S01-BEP-38.5",'SKU明细'!$A$11:$A$1309,0)),INDEX('SKU明细'!$BV$11:$BV$1309,MATCH("1S01-BEP-39",'SKU明细'!$A$11:$A$1309,0)),INDEX('SKU明细'!$BV$11:$BV$1309,MATCH("1S01-BEP-39.5",'SKU明细'!$A$11:$A$1309,0)),INDEX('SKU明细'!$BV$11:$BV$1309,MATCH("1S01-BEP-40",'SKU明细'!$A$11:$A$1309,0)),INDEX('SKU明细'!$BV$11:$BV$1309,MATCH("1S01-BEP-40.5",'SKU明细'!$A$11:$A$1309,0)),INDEX('SKU明细'!$BV$11:$BV$1309,MATCH("1S01-BEP-41",'SKU明细'!$A$11:$A$1309,0)),INDEX('SKU明细'!$BV$11:$BV$1309,MATCH("1S01-BEP-41.5",'SKU明细'!$A$11:$A$1309,0)),INDEX('SKU明细'!$BV$11:$BV$1309,MATCH("1S01-BEP-42",'SKU明细'!$A$11:$A$1309,0))),"待核")</x:f>
        <x:v>1.0895600676000732</x:v>
      </x:c>
      <x:c r="X119" s="11" t="n">
        <x:f>INDEX('SKU明细'!$BW$11:$BW$1309,MATCH("1S01-BEP-37",'SKU明细'!$A$11:$A$1309,0))</x:f>
        <x:v>0.8729500662042875</x:v>
      </x:c>
      <x:c r="Y119" s="13" t="n">
        <x:f>IF(COUNT(INDEX('SKU明细'!$BY$11:$BY$1309,MATCH("1S01-BEP-37",'SKU明细'!$A$11:$A$1309,0)),INDEX('SKU明细'!$BY$11:$BY$1309,MATCH("1S01-BEP-37.5",'SKU明细'!$A$11:$A$1309,0)),INDEX('SKU明细'!$BY$11:$BY$1309,MATCH("1S01-BEP-38",'SKU明细'!$A$11:$A$1309,0)),INDEX('SKU明细'!$BY$11:$BY$1309,MATCH("1S01-BEP-38.5",'SKU明细'!$A$11:$A$1309,0)),INDEX('SKU明细'!$BY$11:$BY$1309,MATCH("1S01-BEP-39",'SKU明细'!$A$11:$A$1309,0)),INDEX('SKU明细'!$BY$11:$BY$1309,MATCH("1S01-BEP-39.5",'SKU明细'!$A$11:$A$1309,0)),INDEX('SKU明细'!$BY$11:$BY$1309,MATCH("1S01-BEP-40",'SKU明细'!$A$11:$A$1309,0)),INDEX('SKU明细'!$BY$11:$BY$1309,MATCH("1S01-BEP-40.5",'SKU明细'!$A$11:$A$1309,0)),INDEX('SKU明细'!$BY$11:$BY$1309,MATCH("1S01-BEP-41",'SKU明细'!$A$11:$A$1309,0)),INDEX('SKU明细'!$BY$11:$BY$1309,MATCH("1S01-BEP-41.5",'SKU明细'!$A$11:$A$1309,0)),INDEX('SKU明细'!$BY$11:$BY$1309,MATCH("1S01-BEP-42",'SKU明细'!$A$11:$A$1309,0)))=11,SUM(INDEX('SKU明细'!$BY$11:$BY$1309,MATCH("1S01-BEP-37",'SKU明细'!$A$11:$A$1309,0)),INDEX('SKU明细'!$BY$11:$BY$1309,MATCH("1S01-BEP-37.5",'SKU明细'!$A$11:$A$1309,0)),INDEX('SKU明细'!$BY$11:$BY$1309,MATCH("1S01-BEP-38",'SKU明细'!$A$11:$A$1309,0)),INDEX('SKU明细'!$BY$11:$BY$1309,MATCH("1S01-BEP-38.5",'SKU明细'!$A$11:$A$1309,0)),INDEX('SKU明细'!$BY$11:$BY$1309,MATCH("1S01-BEP-39",'SKU明细'!$A$11:$A$1309,0)),INDEX('SKU明细'!$BY$11:$BY$1309,MATCH("1S01-BEP-39.5",'SKU明细'!$A$11:$A$1309,0)),INDEX('SKU明细'!$BY$11:$BY$1309,MATCH("1S01-BEP-40",'SKU明细'!$A$11:$A$1309,0)),INDEX('SKU明细'!$BY$11:$BY$1309,MATCH("1S01-BEP-40.5",'SKU明细'!$A$11:$A$1309,0)),INDEX('SKU明细'!$BY$11:$BY$1309,MATCH("1S01-BEP-41",'SKU明细'!$A$11:$A$1309,0)),INDEX('SKU明细'!$BY$11:$BY$1309,MATCH("1S01-BEP-41.5",'SKU明细'!$A$11:$A$1309,0)),INDEX('SKU明细'!$BY$11:$BY$1309,MATCH("1S01-BEP-42",'SKU明细'!$A$11:$A$1309,0))),"待核")</x:f>
        <x:v>11.413578397740382</x:v>
      </x:c>
      <x:c r="Z119" s="11" t="n">
        <x:f>INDEX('SKU明细'!$BZ$11:$BZ$1309,MATCH("1S01-BEP-37",'SKU明细'!$A$11:$A$1309,0))</x:f>
        <x:v>0.8057375774163482</x:v>
      </x:c>
      <x:c r="AA119" s="13" t="n">
        <x:f>IF(COUNT(INDEX('SKU明细'!$CB$11:$CB$1309,MATCH("1S01-BEP-37",'SKU明细'!$A$11:$A$1309,0)),INDEX('SKU明细'!$CB$11:$CB$1309,MATCH("1S01-BEP-37.5",'SKU明细'!$A$11:$A$1309,0)),INDEX('SKU明细'!$CB$11:$CB$1309,MATCH("1S01-BEP-38",'SKU明细'!$A$11:$A$1309,0)),INDEX('SKU明细'!$CB$11:$CB$1309,MATCH("1S01-BEP-38.5",'SKU明细'!$A$11:$A$1309,0)),INDEX('SKU明细'!$CB$11:$CB$1309,MATCH("1S01-BEP-39",'SKU明细'!$A$11:$A$1309,0)),INDEX('SKU明细'!$CB$11:$CB$1309,MATCH("1S01-BEP-39.5",'SKU明细'!$A$11:$A$1309,0)),INDEX('SKU明细'!$CB$11:$CB$1309,MATCH("1S01-BEP-40",'SKU明细'!$A$11:$A$1309,0)),INDEX('SKU明细'!$CB$11:$CB$1309,MATCH("1S01-BEP-40.5",'SKU明细'!$A$11:$A$1309,0)),INDEX('SKU明细'!$CB$11:$CB$1309,MATCH("1S01-BEP-41",'SKU明细'!$A$11:$A$1309,0)),INDEX('SKU明细'!$CB$11:$CB$1309,MATCH("1S01-BEP-41.5",'SKU明细'!$A$11:$A$1309,0)),INDEX('SKU明细'!$CB$11:$CB$1309,MATCH("1S01-BEP-42",'SKU明细'!$A$11:$A$1309,0)))=11,SUM(INDEX('SKU明细'!$CB$11:$CB$1309,MATCH("1S01-BEP-37",'SKU明细'!$A$11:$A$1309,0)),INDEX('SKU明细'!$CB$11:$CB$1309,MATCH("1S01-BEP-37.5",'SKU明细'!$A$11:$A$1309,0)),INDEX('SKU明细'!$CB$11:$CB$1309,MATCH("1S01-BEP-38",'SKU明细'!$A$11:$A$1309,0)),INDEX('SKU明细'!$CB$11:$CB$1309,MATCH("1S01-BEP-38.5",'SKU明细'!$A$11:$A$1309,0)),INDEX('SKU明细'!$CB$11:$CB$1309,MATCH("1S01-BEP-39",'SKU明细'!$A$11:$A$1309,0)),INDEX('SKU明细'!$CB$11:$CB$1309,MATCH("1S01-BEP-39.5",'SKU明细'!$A$11:$A$1309,0)),INDEX('SKU明细'!$CB$11:$CB$1309,MATCH("1S01-BEP-40",'SKU明细'!$A$11:$A$1309,0)),INDEX('SKU明细'!$CB$11:$CB$1309,MATCH("1S01-BEP-40.5",'SKU明细'!$A$11:$A$1309,0)),INDEX('SKU明细'!$CB$11:$CB$1309,MATCH("1S01-BEP-41",'SKU明细'!$A$11:$A$1309,0)),INDEX('SKU明细'!$CB$11:$CB$1309,MATCH("1S01-BEP-41.5",'SKU明细'!$A$11:$A$1309,0)),INDEX('SKU明细'!$CB$11:$CB$1309,MATCH("1S01-BEP-42",'SKU明细'!$A$11:$A$1309,0))),"待核")</x:f>
        <x:v>26.336984679530264</x:v>
      </x:c>
      <x:c r="AB119" s="11" t="n">
        <x:f>INDEX('SKU明细'!$CC$11:$CC$1309,MATCH("1S01-BEP-37",'SKU明细'!$A$11:$A$1309,0))</x:f>
        <x:v>0.532550303142279</x:v>
      </x:c>
      <x:c r="AC119" s="13" t="n">
        <x:f>IF(COUNT(INDEX('SKU明细'!$CE$11:$CE$1309,MATCH("1S01-BEP-37",'SKU明细'!$A$11:$A$1309,0)),INDEX('SKU明细'!$CE$11:$CE$1309,MATCH("1S01-BEP-37.5",'SKU明细'!$A$11:$A$1309,0)),INDEX('SKU明细'!$CE$11:$CE$1309,MATCH("1S01-BEP-38",'SKU明细'!$A$11:$A$1309,0)),INDEX('SKU明细'!$CE$11:$CE$1309,MATCH("1S01-BEP-38.5",'SKU明细'!$A$11:$A$1309,0)),INDEX('SKU明细'!$CE$11:$CE$1309,MATCH("1S01-BEP-39",'SKU明细'!$A$11:$A$1309,0)),INDEX('SKU明细'!$CE$11:$CE$1309,MATCH("1S01-BEP-39.5",'SKU明细'!$A$11:$A$1309,0)),INDEX('SKU明细'!$CE$11:$CE$1309,MATCH("1S01-BEP-40",'SKU明细'!$A$11:$A$1309,0)),INDEX('SKU明细'!$CE$11:$CE$1309,MATCH("1S01-BEP-40.5",'SKU明细'!$A$11:$A$1309,0)),INDEX('SKU明细'!$CE$11:$CE$1309,MATCH("1S01-BEP-41",'SKU明细'!$A$11:$A$1309,0)),INDEX('SKU明细'!$CE$11:$CE$1309,MATCH("1S01-BEP-41.5",'SKU明细'!$A$11:$A$1309,0)),INDEX('SKU明细'!$CE$11:$CE$1309,MATCH("1S01-BEP-42",'SKU明细'!$A$11:$A$1309,0)))=11,SUM(INDEX('SKU明细'!$CE$11:$CE$1309,MATCH("1S01-BEP-37",'SKU明细'!$A$11:$A$1309,0)),INDEX('SKU明细'!$CE$11:$CE$1309,MATCH("1S01-BEP-37.5",'SKU明细'!$A$11:$A$1309,0)),INDEX('SKU明细'!$CE$11:$CE$1309,MATCH("1S01-BEP-38",'SKU明细'!$A$11:$A$1309,0)),INDEX('SKU明细'!$CE$11:$CE$1309,MATCH("1S01-BEP-38.5",'SKU明细'!$A$11:$A$1309,0)),INDEX('SKU明细'!$CE$11:$CE$1309,MATCH("1S01-BEP-39",'SKU明细'!$A$11:$A$1309,0)),INDEX('SKU明细'!$CE$11:$CE$1309,MATCH("1S01-BEP-39.5",'SKU明细'!$A$11:$A$1309,0)),INDEX('SKU明细'!$CE$11:$CE$1309,MATCH("1S01-BEP-40",'SKU明细'!$A$11:$A$1309,0)),INDEX('SKU明细'!$CE$11:$CE$1309,MATCH("1S01-BEP-40.5",'SKU明细'!$A$11:$A$1309,0)),INDEX('SKU明细'!$CE$11:$CE$1309,MATCH("1S01-BEP-41",'SKU明细'!$A$11:$A$1309,0)),INDEX('SKU明细'!$CE$11:$CE$1309,MATCH("1S01-BEP-41.5",'SKU明细'!$A$11:$A$1309,0)),INDEX('SKU明细'!$CE$11:$CE$1309,MATCH("1S01-BEP-42",'SKU明细'!$A$11:$A$1309,0))),"待核")</x:f>
        <x:v>17.987611873056373</x:v>
      </x:c>
      <x:c r="AD119" s="11" t="n">
        <x:f>INDEX('SKU明细'!$CF$11:$CF$1309,MATCH("1S01-BEP-37",'SKU明细'!$A$11:$A$1309,0))</x:f>
        <x:v>0.7517299265337036</x:v>
      </x:c>
      <x:c r="AE119" s="13" t="n">
        <x:f>IF(COUNT(INDEX('SKU明细'!$CH$11:$CH$1309,MATCH("1S01-BEP-37",'SKU明细'!$A$11:$A$1309,0)),INDEX('SKU明细'!$CH$11:$CH$1309,MATCH("1S01-BEP-37.5",'SKU明细'!$A$11:$A$1309,0)),INDEX('SKU明细'!$CH$11:$CH$1309,MATCH("1S01-BEP-38",'SKU明细'!$A$11:$A$1309,0)),INDEX('SKU明细'!$CH$11:$CH$1309,MATCH("1S01-BEP-38.5",'SKU明细'!$A$11:$A$1309,0)),INDEX('SKU明细'!$CH$11:$CH$1309,MATCH("1S01-BEP-39",'SKU明细'!$A$11:$A$1309,0)),INDEX('SKU明细'!$CH$11:$CH$1309,MATCH("1S01-BEP-39.5",'SKU明细'!$A$11:$A$1309,0)),INDEX('SKU明细'!$CH$11:$CH$1309,MATCH("1S01-BEP-40",'SKU明细'!$A$11:$A$1309,0)),INDEX('SKU明细'!$CH$11:$CH$1309,MATCH("1S01-BEP-40.5",'SKU明细'!$A$11:$A$1309,0)),INDEX('SKU明细'!$CH$11:$CH$1309,MATCH("1S01-BEP-41",'SKU明细'!$A$11:$A$1309,0)),INDEX('SKU明细'!$CH$11:$CH$1309,MATCH("1S01-BEP-41.5",'SKU明细'!$A$11:$A$1309,0)),INDEX('SKU明细'!$CH$11:$CH$1309,MATCH("1S01-BEP-42",'SKU明细'!$A$11:$A$1309,0)))=11,SUM(INDEX('SKU明细'!$CH$11:$CH$1309,MATCH("1S01-BEP-37",'SKU明细'!$A$11:$A$1309,0)),INDEX('SKU明细'!$CH$11:$CH$1309,MATCH("1S01-BEP-37.5",'SKU明细'!$A$11:$A$1309,0)),INDEX('SKU明细'!$CH$11:$CH$1309,MATCH("1S01-BEP-38",'SKU明细'!$A$11:$A$1309,0)),INDEX('SKU明细'!$CH$11:$CH$1309,MATCH("1S01-BEP-38.5",'SKU明细'!$A$11:$A$1309,0)),INDEX('SKU明细'!$CH$11:$CH$1309,MATCH("1S01-BEP-39",'SKU明细'!$A$11:$A$1309,0)),INDEX('SKU明细'!$CH$11:$CH$1309,MATCH("1S01-BEP-39.5",'SKU明细'!$A$11:$A$1309,0)),INDEX('SKU明细'!$CH$11:$CH$1309,MATCH("1S01-BEP-40",'SKU明细'!$A$11:$A$1309,0)),INDEX('SKU明细'!$CH$11:$CH$1309,MATCH("1S01-BEP-40.5",'SKU明细'!$A$11:$A$1309,0)),INDEX('SKU明细'!$CH$11:$CH$1309,MATCH("1S01-BEP-41",'SKU明细'!$A$11:$A$1309,0)),INDEX('SKU明细'!$CH$11:$CH$1309,MATCH("1S01-BEP-41.5",'SKU明细'!$A$11:$A$1309,0)),INDEX('SKU明细'!$CH$11:$CH$1309,MATCH("1S01-BEP-42",'SKU明细'!$A$11:$A$1309,0))),"待核")</x:f>
        <x:v>13.923933462708021</x:v>
      </x:c>
      <x:c r="AF119" s="13" t="n">
        <x:f>IF(COUNT(INDEX('SKU明细'!$CI$11:$CI$1309,MATCH("1S01-BEP-37",'SKU明细'!$A$11:$A$1309,0)),INDEX('SKU明细'!$CI$11:$CI$1309,MATCH("1S01-BEP-37.5",'SKU明细'!$A$11:$A$1309,0)),INDEX('SKU明细'!$CI$11:$CI$1309,MATCH("1S01-BEP-38",'SKU明细'!$A$11:$A$1309,0)),INDEX('SKU明细'!$CI$11:$CI$1309,MATCH("1S01-BEP-38.5",'SKU明细'!$A$11:$A$1309,0)),INDEX('SKU明细'!$CI$11:$CI$1309,MATCH("1S01-BEP-39",'SKU明细'!$A$11:$A$1309,0)),INDEX('SKU明细'!$CI$11:$CI$1309,MATCH("1S01-BEP-39.5",'SKU明细'!$A$11:$A$1309,0)),INDEX('SKU明细'!$CI$11:$CI$1309,MATCH("1S01-BEP-40",'SKU明细'!$A$11:$A$1309,0)),INDEX('SKU明细'!$CI$11:$CI$1309,MATCH("1S01-BEP-40.5",'SKU明细'!$A$11:$A$1309,0)),INDEX('SKU明细'!$CI$11:$CI$1309,MATCH("1S01-BEP-41",'SKU明细'!$A$11:$A$1309,0)),INDEX('SKU明细'!$CI$11:$CI$1309,MATCH("1S01-BEP-41.5",'SKU明细'!$A$11:$A$1309,0)),INDEX('SKU明细'!$CI$11:$CI$1309,MATCH("1S01-BEP-42",'SKU明细'!$A$11:$A$1309,0)))=11,SUM(INDEX('SKU明细'!$CI$11:$CI$1309,MATCH("1S01-BEP-37",'SKU明细'!$A$11:$A$1309,0)),INDEX('SKU明细'!$CI$11:$CI$1309,MATCH("1S01-BEP-37.5",'SKU明细'!$A$11:$A$1309,0)),INDEX('SKU明细'!$CI$11:$CI$1309,MATCH("1S01-BEP-38",'SKU明细'!$A$11:$A$1309,0)),INDEX('SKU明细'!$CI$11:$CI$1309,MATCH("1S01-BEP-38.5",'SKU明细'!$A$11:$A$1309,0)),INDEX('SKU明细'!$CI$11:$CI$1309,MATCH("1S01-BEP-39",'SKU明细'!$A$11:$A$1309,0)),INDEX('SKU明细'!$CI$11:$CI$1309,MATCH("1S01-BEP-39.5",'SKU明细'!$A$11:$A$1309,0)),INDEX('SKU明细'!$CI$11:$CI$1309,MATCH("1S01-BEP-40",'SKU明细'!$A$11:$A$1309,0)),INDEX('SKU明细'!$CI$11:$CI$1309,MATCH("1S01-BEP-40.5",'SKU明细'!$A$11:$A$1309,0)),INDEX('SKU明细'!$CI$11:$CI$1309,MATCH("1S01-BEP-41",'SKU明细'!$A$11:$A$1309,0)),INDEX('SKU明细'!$CI$11:$CI$1309,MATCH("1S01-BEP-41.5",'SKU明细'!$A$11:$A$1309,0)),INDEX('SKU明细'!$CI$11:$CI$1309,MATCH("1S01-BEP-42",'SKU明细'!$A$11:$A$1309,0))),"待核")</x:f>
        <x:v>69.66210841303504</x:v>
      </x:c>
    </x:row>
    <x:row r="120" ht="40" customHeight="1">
      <x:c r="A120" s="37" t="str">
        <x:v>1S01</x:v>
      </x:c>
      <x:c r="B120" s="37" t="str">
        <x:v>徐新怡</x:v>
      </x:c>
      <x:c r="C120" s="37" t="str">
        <x:v>米色</x:v>
      </x:c>
      <x:c r="D120" s="37" t="str">
        <x:v>BG</x:v>
      </x:c>
      <x:c r="E120" s="37" t="str">
        <x:v>1S01-BG</x:v>
      </x:c>
      <x:c r="F120" s="37"/>
      <x:c r="G120" s="38" t="n">
        <x:f>IF(COUNT(INDEX('SKU明细'!$D$11:$D$1309,MATCH("1S01-BG-36",'SKU明细'!$A$11:$A$1309,0)))=0,"待核",IF(COUNT(INDEX('SKU明细'!$D$11:$D$1309,MATCH("1S01-BG-36",'SKU明细'!$A$11:$A$1309,0)))&lt;1,SUM(INDEX('SKU明细'!$D$11:$D$1309,MATCH("1S01-BG-36",'SKU明细'!$A$11:$A$1309,0)))&amp;" + 待核",SUM(INDEX('SKU明细'!$D$11:$D$1309,MATCH("1S01-BG-36",'SKU明细'!$A$11:$A$1309,0)))))</x:f>
        <x:v>0</x:v>
      </x:c>
      <x:c r="H120" s="38" t="n">
        <x:f>IF(COUNT(INDEX('SKU明细'!$D$11:$D$1309,MATCH("1S01-BG-37",'SKU明细'!$A$11:$A$1309,0)))=0,"待核",IF(COUNT(INDEX('SKU明细'!$D$11:$D$1309,MATCH("1S01-BG-37",'SKU明细'!$A$11:$A$1309,0)))&lt;1,SUM(INDEX('SKU明细'!$D$11:$D$1309,MATCH("1S01-BG-37",'SKU明细'!$A$11:$A$1309,0)))&amp;" + 待核",SUM(INDEX('SKU明细'!$D$11:$D$1309,MATCH("1S01-BG-37",'SKU明细'!$A$11:$A$1309,0)))))</x:f>
        <x:v>0</x:v>
      </x:c>
      <x:c r="I120" s="38" t="n">
        <x:f>IF(COUNT(INDEX('SKU明细'!$D$11:$D$1309,MATCH("1S01-BG-37.5",'SKU明细'!$A$11:$A$1309,0)))=0,"待核",IF(COUNT(INDEX('SKU明细'!$D$11:$D$1309,MATCH("1S01-BG-37.5",'SKU明细'!$A$11:$A$1309,0)))&lt;1,SUM(INDEX('SKU明细'!$D$11:$D$1309,MATCH("1S01-BG-37.5",'SKU明细'!$A$11:$A$1309,0)))&amp;" + 待核",SUM(INDEX('SKU明细'!$D$11:$D$1309,MATCH("1S01-BG-37.5",'SKU明细'!$A$11:$A$1309,0)))))</x:f>
        <x:v>0</x:v>
      </x:c>
      <x:c r="J120" s="38" t="n">
        <x:f>IF(COUNT(INDEX('SKU明细'!$D$11:$D$1309,MATCH("1S01-BG-38",'SKU明细'!$A$11:$A$1309,0)))=0,"待核",IF(COUNT(INDEX('SKU明细'!$D$11:$D$1309,MATCH("1S01-BG-38",'SKU明细'!$A$11:$A$1309,0)))&lt;1,SUM(INDEX('SKU明细'!$D$11:$D$1309,MATCH("1S01-BG-38",'SKU明细'!$A$11:$A$1309,0)))&amp;" + 待核",SUM(INDEX('SKU明细'!$D$11:$D$1309,MATCH("1S01-BG-38",'SKU明细'!$A$11:$A$1309,0)))))</x:f>
        <x:v>0</x:v>
      </x:c>
      <x:c r="K120" s="38" t="n">
        <x:f>IF(COUNT(INDEX('SKU明细'!$D$11:$D$1309,MATCH("1S01-BG-38.5",'SKU明细'!$A$11:$A$1309,0)))=0,"待核",IF(COUNT(INDEX('SKU明细'!$D$11:$D$1309,MATCH("1S01-BG-38.5",'SKU明细'!$A$11:$A$1309,0)))&lt;1,SUM(INDEX('SKU明细'!$D$11:$D$1309,MATCH("1S01-BG-38.5",'SKU明细'!$A$11:$A$1309,0)))&amp;" + 待核",SUM(INDEX('SKU明细'!$D$11:$D$1309,MATCH("1S01-BG-38.5",'SKU明细'!$A$11:$A$1309,0)))))</x:f>
        <x:v>0</x:v>
      </x:c>
      <x:c r="L120" s="38" t="n">
        <x:f>IF(COUNT(INDEX('SKU明细'!$D$11:$D$1309,MATCH("1S01-BG-39",'SKU明细'!$A$11:$A$1309,0)))=0,"待核",IF(COUNT(INDEX('SKU明细'!$D$11:$D$1309,MATCH("1S01-BG-39",'SKU明细'!$A$11:$A$1309,0)))&lt;1,SUM(INDEX('SKU明细'!$D$11:$D$1309,MATCH("1S01-BG-39",'SKU明细'!$A$11:$A$1309,0)))&amp;" + 待核",SUM(INDEX('SKU明细'!$D$11:$D$1309,MATCH("1S01-BG-39",'SKU明细'!$A$11:$A$1309,0)))))</x:f>
        <x:v>0</x:v>
      </x:c>
      <x:c r="M120" s="38" t="n">
        <x:f>IF(COUNT(INDEX('SKU明细'!$D$11:$D$1309,MATCH("1S01-BG-39.5",'SKU明细'!$A$11:$A$1309,0)))=0,"待核",IF(COUNT(INDEX('SKU明细'!$D$11:$D$1309,MATCH("1S01-BG-39.5",'SKU明细'!$A$11:$A$1309,0)))&lt;1,SUM(INDEX('SKU明细'!$D$11:$D$1309,MATCH("1S01-BG-39.5",'SKU明细'!$A$11:$A$1309,0)))&amp;" + 待核",SUM(INDEX('SKU明细'!$D$11:$D$1309,MATCH("1S01-BG-39.5",'SKU明细'!$A$11:$A$1309,0)))))</x:f>
        <x:v>0</x:v>
      </x:c>
      <x:c r="N120" s="38" t="n">
        <x:f>IF(COUNT(INDEX('SKU明细'!$D$11:$D$1309,MATCH("1S01-BG-40",'SKU明细'!$A$11:$A$1309,0)))=0,"待核",IF(COUNT(INDEX('SKU明细'!$D$11:$D$1309,MATCH("1S01-BG-40",'SKU明细'!$A$11:$A$1309,0)))&lt;1,SUM(INDEX('SKU明细'!$D$11:$D$1309,MATCH("1S01-BG-40",'SKU明细'!$A$11:$A$1309,0)))&amp;" + 待核",SUM(INDEX('SKU明细'!$D$11:$D$1309,MATCH("1S01-BG-40",'SKU明细'!$A$11:$A$1309,0)))))</x:f>
        <x:v>0</x:v>
      </x:c>
      <x:c r="O120" s="38" t="n">
        <x:f>IF(COUNT(INDEX('SKU明细'!$D$11:$D$1309,MATCH("1S01-BG-40.5",'SKU明细'!$A$11:$A$1309,0)))=0,"待核",IF(COUNT(INDEX('SKU明细'!$D$11:$D$1309,MATCH("1S01-BG-40.5",'SKU明细'!$A$11:$A$1309,0)))&lt;1,SUM(INDEX('SKU明细'!$D$11:$D$1309,MATCH("1S01-BG-40.5",'SKU明细'!$A$11:$A$1309,0)))&amp;" + 待核",SUM(INDEX('SKU明细'!$D$11:$D$1309,MATCH("1S01-BG-40.5",'SKU明细'!$A$11:$A$1309,0)))))</x:f>
        <x:v>0</x:v>
      </x:c>
      <x:c r="P120" s="38" t="n">
        <x:f>IF(COUNT(INDEX('SKU明细'!$D$11:$D$1309,MATCH("1S01-BG-41",'SKU明细'!$A$11:$A$1309,0)))=0,"待核",IF(COUNT(INDEX('SKU明细'!$D$11:$D$1309,MATCH("1S01-BG-41",'SKU明细'!$A$11:$A$1309,0)))&lt;1,SUM(INDEX('SKU明细'!$D$11:$D$1309,MATCH("1S01-BG-41",'SKU明细'!$A$11:$A$1309,0)))&amp;" + 待核",SUM(INDEX('SKU明细'!$D$11:$D$1309,MATCH("1S01-BG-41",'SKU明细'!$A$11:$A$1309,0)))))</x:f>
        <x:v>0</x:v>
      </x:c>
      <x:c r="Q120" s="38" t="n">
        <x:f>IF(COUNT(INDEX('SKU明细'!$D$11:$D$1309,MATCH("1S01-BG-41.5",'SKU明细'!$A$11:$A$1309,0)))=0,"待核",IF(COUNT(INDEX('SKU明细'!$D$11:$D$1309,MATCH("1S01-BG-41.5",'SKU明细'!$A$11:$A$1309,0)))&lt;1,SUM(INDEX('SKU明细'!$D$11:$D$1309,MATCH("1S01-BG-41.5",'SKU明细'!$A$11:$A$1309,0)))&amp;" + 待核",SUM(INDEX('SKU明细'!$D$11:$D$1309,MATCH("1S01-BG-41.5",'SKU明细'!$A$11:$A$1309,0)))))</x:f>
        <x:v>0</x:v>
      </x:c>
      <x:c r="R120" s="38" t="n">
        <x:f>IF(COUNT(INDEX('SKU明细'!$D$11:$D$1309,MATCH("1S01-BG-42",'SKU明细'!$A$11:$A$1309,0)))=0,"待核",IF(COUNT(INDEX('SKU明细'!$D$11:$D$1309,MATCH("1S01-BG-42",'SKU明细'!$A$11:$A$1309,0)))&lt;1,SUM(INDEX('SKU明细'!$D$11:$D$1309,MATCH("1S01-BG-42",'SKU明细'!$A$11:$A$1309,0)))&amp;" + 待核",SUM(INDEX('SKU明细'!$D$11:$D$1309,MATCH("1S01-BG-42",'SKU明细'!$A$11:$A$1309,0)))))</x:f>
        <x:v>0</x:v>
      </x:c>
      <x:c r="S120" s="38" t="n">
        <x:f>IF(COUNT(INDEX('SKU明细'!$D$11:$D$1309,MATCH("1S01-BG-36",'SKU明细'!$A$11:$A$1309,0)),INDEX('SKU明细'!$D$11:$D$1309,MATCH("1S01-BG-37",'SKU明细'!$A$11:$A$1309,0)),INDEX('SKU明细'!$D$11:$D$1309,MATCH("1S01-BG-37.5",'SKU明细'!$A$11:$A$1309,0)),INDEX('SKU明细'!$D$11:$D$1309,MATCH("1S01-BG-38",'SKU明细'!$A$11:$A$1309,0)),INDEX('SKU明细'!$D$11:$D$1309,MATCH("1S01-BG-38.5",'SKU明细'!$A$11:$A$1309,0)),INDEX('SKU明细'!$D$11:$D$1309,MATCH("1S01-BG-39",'SKU明细'!$A$11:$A$1309,0)),INDEX('SKU明细'!$D$11:$D$1309,MATCH("1S01-BG-39.5",'SKU明细'!$A$11:$A$1309,0)),INDEX('SKU明细'!$D$11:$D$1309,MATCH("1S01-BG-40",'SKU明细'!$A$11:$A$1309,0)),INDEX('SKU明细'!$D$11:$D$1309,MATCH("1S01-BG-40.5",'SKU明细'!$A$11:$A$1309,0)),INDEX('SKU明细'!$D$11:$D$1309,MATCH("1S01-BG-41",'SKU明细'!$A$11:$A$1309,0)),INDEX('SKU明细'!$D$11:$D$1309,MATCH("1S01-BG-41.5",'SKU明细'!$A$11:$A$1309,0)),INDEX('SKU明细'!$D$11:$D$1309,MATCH("1S01-BG-42",'SKU明细'!$A$11:$A$1309,0)))=0,"待核",SUM(INDEX('SKU明细'!$D$11:$D$1309,MATCH("1S01-BG-36",'SKU明细'!$A$11:$A$1309,0)),INDEX('SKU明细'!$D$11:$D$1309,MATCH("1S01-BG-37",'SKU明细'!$A$11:$A$1309,0)),INDEX('SKU明细'!$D$11:$D$1309,MATCH("1S01-BG-37.5",'SKU明细'!$A$11:$A$1309,0)),INDEX('SKU明细'!$D$11:$D$1309,MATCH("1S01-BG-38",'SKU明细'!$A$11:$A$1309,0)),INDEX('SKU明细'!$D$11:$D$1309,MATCH("1S01-BG-38.5",'SKU明细'!$A$11:$A$1309,0)),INDEX('SKU明细'!$D$11:$D$1309,MATCH("1S01-BG-39",'SKU明细'!$A$11:$A$1309,0)),INDEX('SKU明细'!$D$11:$D$1309,MATCH("1S01-BG-39.5",'SKU明细'!$A$11:$A$1309,0)),INDEX('SKU明细'!$D$11:$D$1309,MATCH("1S01-BG-40",'SKU明细'!$A$11:$A$1309,0)),INDEX('SKU明细'!$D$11:$D$1309,MATCH("1S01-BG-40.5",'SKU明细'!$A$11:$A$1309,0)),INDEX('SKU明细'!$D$11:$D$1309,MATCH("1S01-BG-41",'SKU明细'!$A$11:$A$1309,0)),INDEX('SKU明细'!$D$11:$D$1309,MATCH("1S01-BG-41.5",'SKU明细'!$A$11:$A$1309,0)),INDEX('SKU明细'!$D$11:$D$1309,MATCH("1S01-BG-42",'SKU明细'!$A$11:$A$1309,0))))</x:f>
        <x:v>0</x:v>
      </x:c>
      <x:c r="T120" s="38" t="n">
        <x:f>IF(COUNTIFS($A$9:$A$191,A120,$U$9:$U$191,"&lt;&gt;待核")=0,"待核",SUMIF($A$9:$A$191,A120,$S$9:$S$191))</x:f>
        <x:v>141</x:v>
      </x:c>
      <x:c r="U120" s="37" t="str">
        <x:f>IF(COUNT(INDEX('SKU明细'!$D$11:$D$1309,MATCH("1S01-BG-36",'SKU明细'!$A$11:$A$1309,0)),INDEX('SKU明细'!$D$11:$D$1309,MATCH("1S01-BG-37",'SKU明细'!$A$11:$A$1309,0)),INDEX('SKU明细'!$D$11:$D$1309,MATCH("1S01-BG-37.5",'SKU明细'!$A$11:$A$1309,0)),INDEX('SKU明细'!$D$11:$D$1309,MATCH("1S01-BG-38",'SKU明细'!$A$11:$A$1309,0)),INDEX('SKU明细'!$D$11:$D$1309,MATCH("1S01-BG-38.5",'SKU明细'!$A$11:$A$1309,0)),INDEX('SKU明细'!$D$11:$D$1309,MATCH("1S01-BG-39",'SKU明细'!$A$11:$A$1309,0)),INDEX('SKU明细'!$D$11:$D$1309,MATCH("1S01-BG-39.5",'SKU明细'!$A$11:$A$1309,0)),INDEX('SKU明细'!$D$11:$D$1309,MATCH("1S01-BG-40",'SKU明细'!$A$11:$A$1309,0)),INDEX('SKU明细'!$D$11:$D$1309,MATCH("1S01-BG-40.5",'SKU明细'!$A$11:$A$1309,0)),INDEX('SKU明细'!$D$11:$D$1309,MATCH("1S01-BG-41",'SKU明细'!$A$11:$A$1309,0)),INDEX('SKU明细'!$D$11:$D$1309,MATCH("1S01-BG-41.5",'SKU明细'!$A$11:$A$1309,0)),INDEX('SKU明细'!$D$11:$D$1309,MATCH("1S01-BG-42",'SKU明细'!$A$11:$A$1309,0)))=0,"待核",IF(COUNT(INDEX('SKU明细'!$D$11:$D$1309,MATCH("1S01-BG-36",'SKU明细'!$A$11:$A$1309,0)),INDEX('SKU明细'!$D$11:$D$1309,MATCH("1S01-BG-37",'SKU明细'!$A$11:$A$1309,0)),INDEX('SKU明细'!$D$11:$D$1309,MATCH("1S01-BG-37.5",'SKU明细'!$A$11:$A$1309,0)),INDEX('SKU明细'!$D$11:$D$1309,MATCH("1S01-BG-38",'SKU明细'!$A$11:$A$1309,0)),INDEX('SKU明细'!$D$11:$D$1309,MATCH("1S01-BG-38.5",'SKU明细'!$A$11:$A$1309,0)),INDEX('SKU明细'!$D$11:$D$1309,MATCH("1S01-BG-39",'SKU明细'!$A$11:$A$1309,0)),INDEX('SKU明细'!$D$11:$D$1309,MATCH("1S01-BG-39.5",'SKU明细'!$A$11:$A$1309,0)),INDEX('SKU明细'!$D$11:$D$1309,MATCH("1S01-BG-40",'SKU明细'!$A$11:$A$1309,0)),INDEX('SKU明细'!$D$11:$D$1309,MATCH("1S01-BG-40.5",'SKU明细'!$A$11:$A$1309,0)),INDEX('SKU明细'!$D$11:$D$1309,MATCH("1S01-BG-41",'SKU明细'!$A$11:$A$1309,0)),INDEX('SKU明细'!$D$11:$D$1309,MATCH("1S01-BG-41.5",'SKU明细'!$A$11:$A$1309,0)),INDEX('SKU明细'!$D$11:$D$1309,MATCH("1S01-BG-42",'SKU明细'!$A$11:$A$1309,0)))&lt;12,"另有待核","已核"))</x:f>
        <x:v>已核</x:v>
      </x:c>
      <x:c r="V120" s="37" t="str">
        <x:v>停售、在售</x:v>
      </x:c>
      <x:c r="W120" s="11" t="n">
        <x:f>IF(COUNT(INDEX('SKU明细'!$BV$11:$BV$1309,MATCH("1S01-BG-36",'SKU明细'!$A$11:$A$1309,0)),INDEX('SKU明细'!$BV$11:$BV$1309,MATCH("1S01-BG-37",'SKU明细'!$A$11:$A$1309,0)),INDEX('SKU明细'!$BV$11:$BV$1309,MATCH("1S01-BG-37.5",'SKU明细'!$A$11:$A$1309,0)),INDEX('SKU明细'!$BV$11:$BV$1309,MATCH("1S01-BG-38",'SKU明细'!$A$11:$A$1309,0)),INDEX('SKU明细'!$BV$11:$BV$1309,MATCH("1S01-BG-38.5",'SKU明细'!$A$11:$A$1309,0)),INDEX('SKU明细'!$BV$11:$BV$1309,MATCH("1S01-BG-39",'SKU明细'!$A$11:$A$1309,0)),INDEX('SKU明细'!$BV$11:$BV$1309,MATCH("1S01-BG-39.5",'SKU明细'!$A$11:$A$1309,0)),INDEX('SKU明细'!$BV$11:$BV$1309,MATCH("1S01-BG-40",'SKU明细'!$A$11:$A$1309,0)),INDEX('SKU明细'!$BV$11:$BV$1309,MATCH("1S01-BG-40.5",'SKU明细'!$A$11:$A$1309,0)),INDEX('SKU明细'!$BV$11:$BV$1309,MATCH("1S01-BG-41",'SKU明细'!$A$11:$A$1309,0)),INDEX('SKU明细'!$BV$11:$BV$1309,MATCH("1S01-BG-41.5",'SKU明细'!$A$11:$A$1309,0)),INDEX('SKU明细'!$BV$11:$BV$1309,MATCH("1S01-BG-42",'SKU明细'!$A$11:$A$1309,0)))=12,SUM(INDEX('SKU明细'!$BV$11:$BV$1309,MATCH("1S01-BG-36",'SKU明细'!$A$11:$A$1309,0)),INDEX('SKU明细'!$BV$11:$BV$1309,MATCH("1S01-BG-37",'SKU明细'!$A$11:$A$1309,0)),INDEX('SKU明细'!$BV$11:$BV$1309,MATCH("1S01-BG-37.5",'SKU明细'!$A$11:$A$1309,0)),INDEX('SKU明细'!$BV$11:$BV$1309,MATCH("1S01-BG-38",'SKU明细'!$A$11:$A$1309,0)),INDEX('SKU明细'!$BV$11:$BV$1309,MATCH("1S01-BG-38.5",'SKU明细'!$A$11:$A$1309,0)),INDEX('SKU明细'!$BV$11:$BV$1309,MATCH("1S01-BG-39",'SKU明细'!$A$11:$A$1309,0)),INDEX('SKU明细'!$BV$11:$BV$1309,MATCH("1S01-BG-39.5",'SKU明细'!$A$11:$A$1309,0)),INDEX('SKU明细'!$BV$11:$BV$1309,MATCH("1S01-BG-40",'SKU明细'!$A$11:$A$1309,0)),INDEX('SKU明细'!$BV$11:$BV$1309,MATCH("1S01-BG-40.5",'SKU明细'!$A$11:$A$1309,0)),INDEX('SKU明细'!$BV$11:$BV$1309,MATCH("1S01-BG-41",'SKU明细'!$A$11:$A$1309,0)),INDEX('SKU明细'!$BV$11:$BV$1309,MATCH("1S01-BG-41.5",'SKU明细'!$A$11:$A$1309,0)),INDEX('SKU明细'!$BV$11:$BV$1309,MATCH("1S01-BG-42",'SKU明细'!$A$11:$A$1309,0))),"待核")</x:f>
        <x:v>7.573401752019575</x:v>
      </x:c>
      <x:c r="X120" s="11" t="n">
        <x:f>INDEX('SKU明细'!$BW$11:$BW$1309,MATCH("1S01-BG-36",'SKU明细'!$A$11:$A$1309,0))</x:f>
        <x:v>0.8729500662042875</x:v>
      </x:c>
      <x:c r="Y120" s="13" t="n">
        <x:f>IF(COUNT(INDEX('SKU明细'!$BY$11:$BY$1309,MATCH("1S01-BG-36",'SKU明细'!$A$11:$A$1309,0)),INDEX('SKU明细'!$BY$11:$BY$1309,MATCH("1S01-BG-37",'SKU明细'!$A$11:$A$1309,0)),INDEX('SKU明细'!$BY$11:$BY$1309,MATCH("1S01-BG-37.5",'SKU明细'!$A$11:$A$1309,0)),INDEX('SKU明细'!$BY$11:$BY$1309,MATCH("1S01-BG-38",'SKU明细'!$A$11:$A$1309,0)),INDEX('SKU明细'!$BY$11:$BY$1309,MATCH("1S01-BG-38.5",'SKU明细'!$A$11:$A$1309,0)),INDEX('SKU明细'!$BY$11:$BY$1309,MATCH("1S01-BG-39",'SKU明细'!$A$11:$A$1309,0)),INDEX('SKU明细'!$BY$11:$BY$1309,MATCH("1S01-BG-39.5",'SKU明细'!$A$11:$A$1309,0)),INDEX('SKU明细'!$BY$11:$BY$1309,MATCH("1S01-BG-40",'SKU明细'!$A$11:$A$1309,0)),INDEX('SKU明细'!$BY$11:$BY$1309,MATCH("1S01-BG-40.5",'SKU明细'!$A$11:$A$1309,0)),INDEX('SKU明细'!$BY$11:$BY$1309,MATCH("1S01-BG-41",'SKU明细'!$A$11:$A$1309,0)),INDEX('SKU明细'!$BY$11:$BY$1309,MATCH("1S01-BG-41.5",'SKU明细'!$A$11:$A$1309,0)),INDEX('SKU明细'!$BY$11:$BY$1309,MATCH("1S01-BG-42",'SKU明细'!$A$11:$A$1309,0)))=12,SUM(INDEX('SKU明细'!$BY$11:$BY$1309,MATCH("1S01-BG-36",'SKU明细'!$A$11:$A$1309,0)),INDEX('SKU明细'!$BY$11:$BY$1309,MATCH("1S01-BG-37",'SKU明细'!$A$11:$A$1309,0)),INDEX('SKU明细'!$BY$11:$BY$1309,MATCH("1S01-BG-37.5",'SKU明细'!$A$11:$A$1309,0)),INDEX('SKU明细'!$BY$11:$BY$1309,MATCH("1S01-BG-38",'SKU明细'!$A$11:$A$1309,0)),INDEX('SKU明细'!$BY$11:$BY$1309,MATCH("1S01-BG-38.5",'SKU明细'!$A$11:$A$1309,0)),INDEX('SKU明细'!$BY$11:$BY$1309,MATCH("1S01-BG-39",'SKU明细'!$A$11:$A$1309,0)),INDEX('SKU明细'!$BY$11:$BY$1309,MATCH("1S01-BG-39.5",'SKU明细'!$A$11:$A$1309,0)),INDEX('SKU明细'!$BY$11:$BY$1309,MATCH("1S01-BG-40",'SKU明细'!$A$11:$A$1309,0)),INDEX('SKU明细'!$BY$11:$BY$1309,MATCH("1S01-BG-40.5",'SKU明细'!$A$11:$A$1309,0)),INDEX('SKU明细'!$BY$11:$BY$1309,MATCH("1S01-BG-41",'SKU明细'!$A$11:$A$1309,0)),INDEX('SKU明细'!$BY$11:$BY$1309,MATCH("1S01-BG-41.5",'SKU明细'!$A$11:$A$1309,0)),INDEX('SKU明细'!$BY$11:$BY$1309,MATCH("1S01-BG-42",'SKU明细'!$A$11:$A$1309,0))),"待核")</x:f>
        <x:v>79.33441872980588</x:v>
      </x:c>
      <x:c r="Z120" s="11" t="n">
        <x:f>INDEX('SKU明细'!$BZ$11:$BZ$1309,MATCH("1S01-BG-36",'SKU明细'!$A$11:$A$1309,0))</x:f>
        <x:v>0.8057375774163482</x:v>
      </x:c>
      <x:c r="AA120" s="13" t="n">
        <x:f>IF(COUNT(INDEX('SKU明细'!$CB$11:$CB$1309,MATCH("1S01-BG-36",'SKU明细'!$A$11:$A$1309,0)),INDEX('SKU明细'!$CB$11:$CB$1309,MATCH("1S01-BG-37",'SKU明细'!$A$11:$A$1309,0)),INDEX('SKU明细'!$CB$11:$CB$1309,MATCH("1S01-BG-37.5",'SKU明细'!$A$11:$A$1309,0)),INDEX('SKU明细'!$CB$11:$CB$1309,MATCH("1S01-BG-38",'SKU明细'!$A$11:$A$1309,0)),INDEX('SKU明细'!$CB$11:$CB$1309,MATCH("1S01-BG-38.5",'SKU明细'!$A$11:$A$1309,0)),INDEX('SKU明细'!$CB$11:$CB$1309,MATCH("1S01-BG-39",'SKU明细'!$A$11:$A$1309,0)),INDEX('SKU明细'!$CB$11:$CB$1309,MATCH("1S01-BG-39.5",'SKU明细'!$A$11:$A$1309,0)),INDEX('SKU明细'!$CB$11:$CB$1309,MATCH("1S01-BG-40",'SKU明细'!$A$11:$A$1309,0)),INDEX('SKU明细'!$CB$11:$CB$1309,MATCH("1S01-BG-40.5",'SKU明细'!$A$11:$A$1309,0)),INDEX('SKU明细'!$CB$11:$CB$1309,MATCH("1S01-BG-41",'SKU明细'!$A$11:$A$1309,0)),INDEX('SKU明细'!$CB$11:$CB$1309,MATCH("1S01-BG-41.5",'SKU明细'!$A$11:$A$1309,0)),INDEX('SKU明细'!$CB$11:$CB$1309,MATCH("1S01-BG-42",'SKU明细'!$A$11:$A$1309,0)))=12,SUM(INDEX('SKU明细'!$CB$11:$CB$1309,MATCH("1S01-BG-36",'SKU明细'!$A$11:$A$1309,0)),INDEX('SKU明细'!$CB$11:$CB$1309,MATCH("1S01-BG-37",'SKU明细'!$A$11:$A$1309,0)),INDEX('SKU明细'!$CB$11:$CB$1309,MATCH("1S01-BG-37.5",'SKU明细'!$A$11:$A$1309,0)),INDEX('SKU明细'!$CB$11:$CB$1309,MATCH("1S01-BG-38",'SKU明细'!$A$11:$A$1309,0)),INDEX('SKU明细'!$CB$11:$CB$1309,MATCH("1S01-BG-38.5",'SKU明细'!$A$11:$A$1309,0)),INDEX('SKU明细'!$CB$11:$CB$1309,MATCH("1S01-BG-39",'SKU明细'!$A$11:$A$1309,0)),INDEX('SKU明细'!$CB$11:$CB$1309,MATCH("1S01-BG-39.5",'SKU明细'!$A$11:$A$1309,0)),INDEX('SKU明细'!$CB$11:$CB$1309,MATCH("1S01-BG-40",'SKU明细'!$A$11:$A$1309,0)),INDEX('SKU明细'!$CB$11:$CB$1309,MATCH("1S01-BG-40.5",'SKU明细'!$A$11:$A$1309,0)),INDEX('SKU明细'!$CB$11:$CB$1309,MATCH("1S01-BG-41",'SKU明细'!$A$11:$A$1309,0)),INDEX('SKU明细'!$CB$11:$CB$1309,MATCH("1S01-BG-41.5",'SKU明细'!$A$11:$A$1309,0)),INDEX('SKU明细'!$CB$11:$CB$1309,MATCH("1S01-BG-42",'SKU明细'!$A$11:$A$1309,0))),"待核")</x:f>
        <x:v>183.0652314141894</x:v>
      </x:c>
      <x:c r="AB120" s="11" t="n">
        <x:f>INDEX('SKU明细'!$CC$11:$CC$1309,MATCH("1S01-BG-36",'SKU明细'!$A$11:$A$1309,0))</x:f>
        <x:v>0.532550303142279</x:v>
      </x:c>
      <x:c r="AC120" s="13" t="n">
        <x:f>IF(COUNT(INDEX('SKU明细'!$CE$11:$CE$1309,MATCH("1S01-BG-36",'SKU明细'!$A$11:$A$1309,0)),INDEX('SKU明细'!$CE$11:$CE$1309,MATCH("1S01-BG-37",'SKU明细'!$A$11:$A$1309,0)),INDEX('SKU明细'!$CE$11:$CE$1309,MATCH("1S01-BG-37.5",'SKU明细'!$A$11:$A$1309,0)),INDEX('SKU明细'!$CE$11:$CE$1309,MATCH("1S01-BG-38",'SKU明细'!$A$11:$A$1309,0)),INDEX('SKU明细'!$CE$11:$CE$1309,MATCH("1S01-BG-38.5",'SKU明细'!$A$11:$A$1309,0)),INDEX('SKU明细'!$CE$11:$CE$1309,MATCH("1S01-BG-39",'SKU明细'!$A$11:$A$1309,0)),INDEX('SKU明细'!$CE$11:$CE$1309,MATCH("1S01-BG-39.5",'SKU明细'!$A$11:$A$1309,0)),INDEX('SKU明细'!$CE$11:$CE$1309,MATCH("1S01-BG-40",'SKU明细'!$A$11:$A$1309,0)),INDEX('SKU明细'!$CE$11:$CE$1309,MATCH("1S01-BG-40.5",'SKU明细'!$A$11:$A$1309,0)),INDEX('SKU明细'!$CE$11:$CE$1309,MATCH("1S01-BG-41",'SKU明细'!$A$11:$A$1309,0)),INDEX('SKU明细'!$CE$11:$CE$1309,MATCH("1S01-BG-41.5",'SKU明细'!$A$11:$A$1309,0)),INDEX('SKU明细'!$CE$11:$CE$1309,MATCH("1S01-BG-42",'SKU明细'!$A$11:$A$1309,0)))=12,SUM(INDEX('SKU明细'!$CE$11:$CE$1309,MATCH("1S01-BG-36",'SKU明细'!$A$11:$A$1309,0)),INDEX('SKU明细'!$CE$11:$CE$1309,MATCH("1S01-BG-37",'SKU明细'!$A$11:$A$1309,0)),INDEX('SKU明细'!$CE$11:$CE$1309,MATCH("1S01-BG-37.5",'SKU明细'!$A$11:$A$1309,0)),INDEX('SKU明细'!$CE$11:$CE$1309,MATCH("1S01-BG-38",'SKU明细'!$A$11:$A$1309,0)),INDEX('SKU明细'!$CE$11:$CE$1309,MATCH("1S01-BG-38.5",'SKU明细'!$A$11:$A$1309,0)),INDEX('SKU明细'!$CE$11:$CE$1309,MATCH("1S01-BG-39",'SKU明细'!$A$11:$A$1309,0)),INDEX('SKU明细'!$CE$11:$CE$1309,MATCH("1S01-BG-39.5",'SKU明细'!$A$11:$A$1309,0)),INDEX('SKU明细'!$CE$11:$CE$1309,MATCH("1S01-BG-40",'SKU明细'!$A$11:$A$1309,0)),INDEX('SKU明细'!$CE$11:$CE$1309,MATCH("1S01-BG-40.5",'SKU明细'!$A$11:$A$1309,0)),INDEX('SKU明细'!$CE$11:$CE$1309,MATCH("1S01-BG-41",'SKU明细'!$A$11:$A$1309,0)),INDEX('SKU明细'!$CE$11:$CE$1309,MATCH("1S01-BG-41.5",'SKU明细'!$A$11:$A$1309,0)),INDEX('SKU明细'!$CE$11:$CE$1309,MATCH("1S01-BG-42",'SKU明细'!$A$11:$A$1309,0))),"待核")</x:f>
        <x:v>125.02973936454507</x:v>
      </x:c>
      <x:c r="AD120" s="11" t="n">
        <x:f>INDEX('SKU明细'!$CF$11:$CF$1309,MATCH("1S01-BG-36",'SKU明细'!$A$11:$A$1309,0))</x:f>
        <x:v>0.7517299265337036</x:v>
      </x:c>
      <x:c r="AE120" s="13" t="n">
        <x:f>IF(COUNT(INDEX('SKU明细'!$CH$11:$CH$1309,MATCH("1S01-BG-36",'SKU明细'!$A$11:$A$1309,0)),INDEX('SKU明细'!$CH$11:$CH$1309,MATCH("1S01-BG-37",'SKU明细'!$A$11:$A$1309,0)),INDEX('SKU明细'!$CH$11:$CH$1309,MATCH("1S01-BG-37.5",'SKU明细'!$A$11:$A$1309,0)),INDEX('SKU明细'!$CH$11:$CH$1309,MATCH("1S01-BG-38",'SKU明细'!$A$11:$A$1309,0)),INDEX('SKU明细'!$CH$11:$CH$1309,MATCH("1S01-BG-38.5",'SKU明细'!$A$11:$A$1309,0)),INDEX('SKU明细'!$CH$11:$CH$1309,MATCH("1S01-BG-39",'SKU明细'!$A$11:$A$1309,0)),INDEX('SKU明细'!$CH$11:$CH$1309,MATCH("1S01-BG-39.5",'SKU明细'!$A$11:$A$1309,0)),INDEX('SKU明细'!$CH$11:$CH$1309,MATCH("1S01-BG-40",'SKU明细'!$A$11:$A$1309,0)),INDEX('SKU明细'!$CH$11:$CH$1309,MATCH("1S01-BG-40.5",'SKU明细'!$A$11:$A$1309,0)),INDEX('SKU明细'!$CH$11:$CH$1309,MATCH("1S01-BG-41",'SKU明细'!$A$11:$A$1309,0)),INDEX('SKU明细'!$CH$11:$CH$1309,MATCH("1S01-BG-41.5",'SKU明细'!$A$11:$A$1309,0)),INDEX('SKU明细'!$CH$11:$CH$1309,MATCH("1S01-BG-42",'SKU明细'!$A$11:$A$1309,0)))=12,SUM(INDEX('SKU明细'!$CH$11:$CH$1309,MATCH("1S01-BG-36",'SKU明细'!$A$11:$A$1309,0)),INDEX('SKU明细'!$CH$11:$CH$1309,MATCH("1S01-BG-37",'SKU明细'!$A$11:$A$1309,0)),INDEX('SKU明细'!$CH$11:$CH$1309,MATCH("1S01-BG-37.5",'SKU明细'!$A$11:$A$1309,0)),INDEX('SKU明细'!$CH$11:$CH$1309,MATCH("1S01-BG-38",'SKU明细'!$A$11:$A$1309,0)),INDEX('SKU明细'!$CH$11:$CH$1309,MATCH("1S01-BG-38.5",'SKU明细'!$A$11:$A$1309,0)),INDEX('SKU明细'!$CH$11:$CH$1309,MATCH("1S01-BG-39",'SKU明细'!$A$11:$A$1309,0)),INDEX('SKU明细'!$CH$11:$CH$1309,MATCH("1S01-BG-39.5",'SKU明细'!$A$11:$A$1309,0)),INDEX('SKU明细'!$CH$11:$CH$1309,MATCH("1S01-BG-40",'SKU明细'!$A$11:$A$1309,0)),INDEX('SKU明细'!$CH$11:$CH$1309,MATCH("1S01-BG-40.5",'SKU明细'!$A$11:$A$1309,0)),INDEX('SKU明细'!$CH$11:$CH$1309,MATCH("1S01-BG-41",'SKU明细'!$A$11:$A$1309,0)),INDEX('SKU明细'!$CH$11:$CH$1309,MATCH("1S01-BG-41.5",'SKU明细'!$A$11:$A$1309,0)),INDEX('SKU明细'!$CH$11:$CH$1309,MATCH("1S01-BG-42",'SKU明细'!$A$11:$A$1309,0))),"待核")</x:f>
        <x:v>96.78359662515027</x:v>
      </x:c>
      <x:c r="AF120" s="13" t="n">
        <x:f>IF(COUNT(INDEX('SKU明细'!$CI$11:$CI$1309,MATCH("1S01-BG-36",'SKU明细'!$A$11:$A$1309,0)),INDEX('SKU明细'!$CI$11:$CI$1309,MATCH("1S01-BG-37",'SKU明细'!$A$11:$A$1309,0)),INDEX('SKU明细'!$CI$11:$CI$1309,MATCH("1S01-BG-37.5",'SKU明细'!$A$11:$A$1309,0)),INDEX('SKU明细'!$CI$11:$CI$1309,MATCH("1S01-BG-38",'SKU明细'!$A$11:$A$1309,0)),INDEX('SKU明细'!$CI$11:$CI$1309,MATCH("1S01-BG-38.5",'SKU明细'!$A$11:$A$1309,0)),INDEX('SKU明细'!$CI$11:$CI$1309,MATCH("1S01-BG-39",'SKU明细'!$A$11:$A$1309,0)),INDEX('SKU明细'!$CI$11:$CI$1309,MATCH("1S01-BG-39.5",'SKU明细'!$A$11:$A$1309,0)),INDEX('SKU明细'!$CI$11:$CI$1309,MATCH("1S01-BG-40",'SKU明细'!$A$11:$A$1309,0)),INDEX('SKU明细'!$CI$11:$CI$1309,MATCH("1S01-BG-40.5",'SKU明细'!$A$11:$A$1309,0)),INDEX('SKU明细'!$CI$11:$CI$1309,MATCH("1S01-BG-41",'SKU明细'!$A$11:$A$1309,0)),INDEX('SKU明细'!$CI$11:$CI$1309,MATCH("1S01-BG-41.5",'SKU明细'!$A$11:$A$1309,0)),INDEX('SKU明细'!$CI$11:$CI$1309,MATCH("1S01-BG-42",'SKU明细'!$A$11:$A$1309,0)))=12,SUM(INDEX('SKU明细'!$CI$11:$CI$1309,MATCH("1S01-BG-36",'SKU明细'!$A$11:$A$1309,0)),INDEX('SKU明细'!$CI$11:$CI$1309,MATCH("1S01-BG-37",'SKU明细'!$A$11:$A$1309,0)),INDEX('SKU明细'!$CI$11:$CI$1309,MATCH("1S01-BG-37.5",'SKU明细'!$A$11:$A$1309,0)),INDEX('SKU明细'!$CI$11:$CI$1309,MATCH("1S01-BG-38",'SKU明细'!$A$11:$A$1309,0)),INDEX('SKU明细'!$CI$11:$CI$1309,MATCH("1S01-BG-38.5",'SKU明细'!$A$11:$A$1309,0)),INDEX('SKU明细'!$CI$11:$CI$1309,MATCH("1S01-BG-39",'SKU明细'!$A$11:$A$1309,0)),INDEX('SKU明细'!$CI$11:$CI$1309,MATCH("1S01-BG-39.5",'SKU明细'!$A$11:$A$1309,0)),INDEX('SKU明细'!$CI$11:$CI$1309,MATCH("1S01-BG-40",'SKU明细'!$A$11:$A$1309,0)),INDEX('SKU明细'!$CI$11:$CI$1309,MATCH("1S01-BG-40.5",'SKU明细'!$A$11:$A$1309,0)),INDEX('SKU明细'!$CI$11:$CI$1309,MATCH("1S01-BG-41",'SKU明细'!$A$11:$A$1309,0)),INDEX('SKU明细'!$CI$11:$CI$1309,MATCH("1S01-BG-41.5",'SKU明细'!$A$11:$A$1309,0)),INDEX('SKU明细'!$CI$11:$CI$1309,MATCH("1S01-BG-42",'SKU明细'!$A$11:$A$1309,0))),"待核")</x:f>
        <x:v>484.21298613369055</x:v>
      </x:c>
    </x:row>
    <x:row r="121" ht="40" customHeight="1">
      <x:c r="A121" s="37" t="str">
        <x:v>1S01</x:v>
      </x:c>
      <x:c r="B121" s="37" t="str">
        <x:v>徐新怡</x:v>
      </x:c>
      <x:c r="C121" s="37" t="str">
        <x:v>黑色</x:v>
      </x:c>
      <x:c r="D121" s="37" t="str">
        <x:v>BKP</x:v>
      </x:c>
      <x:c r="E121" s="37" t="str">
        <x:v>1S01-BKP</x:v>
      </x:c>
      <x:c r="F121" s="37"/>
      <x:c r="G121" s="38" t="n">
        <x:f>IF(COUNT(INDEX('SKU明细'!$D$11:$D$1309,MATCH("1S01-BKP-36",'SKU明细'!$A$11:$A$1309,0)))=0,"待核",IF(COUNT(INDEX('SKU明细'!$D$11:$D$1309,MATCH("1S01-BKP-36",'SKU明细'!$A$11:$A$1309,0)))&lt;1,SUM(INDEX('SKU明细'!$D$11:$D$1309,MATCH("1S01-BKP-36",'SKU明细'!$A$11:$A$1309,0)))&amp;" + 待核",SUM(INDEX('SKU明细'!$D$11:$D$1309,MATCH("1S01-BKP-36",'SKU明细'!$A$11:$A$1309,0)))))</x:f>
        <x:v>0</x:v>
      </x:c>
      <x:c r="H121" s="38" t="n">
        <x:f>IF(COUNT(INDEX('SKU明细'!$D$11:$D$1309,MATCH("1S01-BKP-37",'SKU明细'!$A$11:$A$1309,0)))=0,"待核",IF(COUNT(INDEX('SKU明细'!$D$11:$D$1309,MATCH("1S01-BKP-37",'SKU明细'!$A$11:$A$1309,0)))&lt;1,SUM(INDEX('SKU明细'!$D$11:$D$1309,MATCH("1S01-BKP-37",'SKU明细'!$A$11:$A$1309,0)))&amp;" + 待核",SUM(INDEX('SKU明细'!$D$11:$D$1309,MATCH("1S01-BKP-37",'SKU明细'!$A$11:$A$1309,0)))))</x:f>
        <x:v>0</x:v>
      </x:c>
      <x:c r="I121" s="38" t="n">
        <x:f>IF(COUNT(INDEX('SKU明细'!$D$11:$D$1309,MATCH("1S01-BKP-37.5",'SKU明细'!$A$11:$A$1309,0)))=0,"待核",IF(COUNT(INDEX('SKU明细'!$D$11:$D$1309,MATCH("1S01-BKP-37.5",'SKU明细'!$A$11:$A$1309,0)))&lt;1,SUM(INDEX('SKU明细'!$D$11:$D$1309,MATCH("1S01-BKP-37.5",'SKU明细'!$A$11:$A$1309,0)))&amp;" + 待核",SUM(INDEX('SKU明细'!$D$11:$D$1309,MATCH("1S01-BKP-37.5",'SKU明细'!$A$11:$A$1309,0)))))</x:f>
        <x:v>0</x:v>
      </x:c>
      <x:c r="J121" s="38" t="n">
        <x:f>IF(COUNT(INDEX('SKU明细'!$D$11:$D$1309,MATCH("1S01-BKP-38",'SKU明细'!$A$11:$A$1309,0)))=0,"待核",IF(COUNT(INDEX('SKU明细'!$D$11:$D$1309,MATCH("1S01-BKP-38",'SKU明细'!$A$11:$A$1309,0)))&lt;1,SUM(INDEX('SKU明细'!$D$11:$D$1309,MATCH("1S01-BKP-38",'SKU明细'!$A$11:$A$1309,0)))&amp;" + 待核",SUM(INDEX('SKU明细'!$D$11:$D$1309,MATCH("1S01-BKP-38",'SKU明细'!$A$11:$A$1309,0)))))</x:f>
        <x:v>1</x:v>
      </x:c>
      <x:c r="K121" s="38" t="n">
        <x:f>IF(COUNT(INDEX('SKU明细'!$D$11:$D$1309,MATCH("1S01-BKP-38.5",'SKU明细'!$A$11:$A$1309,0)))=0,"待核",IF(COUNT(INDEX('SKU明细'!$D$11:$D$1309,MATCH("1S01-BKP-38.5",'SKU明细'!$A$11:$A$1309,0)))&lt;1,SUM(INDEX('SKU明细'!$D$11:$D$1309,MATCH("1S01-BKP-38.5",'SKU明细'!$A$11:$A$1309,0)))&amp;" + 待核",SUM(INDEX('SKU明细'!$D$11:$D$1309,MATCH("1S01-BKP-38.5",'SKU明细'!$A$11:$A$1309,0)))))</x:f>
        <x:v>0</x:v>
      </x:c>
      <x:c r="L121" s="38" t="n">
        <x:f>IF(COUNT(INDEX('SKU明细'!$D$11:$D$1309,MATCH("1S01-BKP-39",'SKU明细'!$A$11:$A$1309,0)))=0,"待核",IF(COUNT(INDEX('SKU明细'!$D$11:$D$1309,MATCH("1S01-BKP-39",'SKU明细'!$A$11:$A$1309,0)))&lt;1,SUM(INDEX('SKU明细'!$D$11:$D$1309,MATCH("1S01-BKP-39",'SKU明细'!$A$11:$A$1309,0)))&amp;" + 待核",SUM(INDEX('SKU明细'!$D$11:$D$1309,MATCH("1S01-BKP-39",'SKU明细'!$A$11:$A$1309,0)))))</x:f>
        <x:v>0</x:v>
      </x:c>
      <x:c r="M121" s="38" t="n">
        <x:f>IF(COUNT(INDEX('SKU明细'!$D$11:$D$1309,MATCH("1S01-BKP-39.5",'SKU明细'!$A$11:$A$1309,0)))=0,"待核",IF(COUNT(INDEX('SKU明细'!$D$11:$D$1309,MATCH("1S01-BKP-39.5",'SKU明细'!$A$11:$A$1309,0)))&lt;1,SUM(INDEX('SKU明细'!$D$11:$D$1309,MATCH("1S01-BKP-39.5",'SKU明细'!$A$11:$A$1309,0)))&amp;" + 待核",SUM(INDEX('SKU明细'!$D$11:$D$1309,MATCH("1S01-BKP-39.5",'SKU明细'!$A$11:$A$1309,0)))))</x:f>
        <x:v>0</x:v>
      </x:c>
      <x:c r="N121" s="38" t="n">
        <x:f>IF(COUNT(INDEX('SKU明细'!$D$11:$D$1309,MATCH("1S01-BKP-40",'SKU明细'!$A$11:$A$1309,0)))=0,"待核",IF(COUNT(INDEX('SKU明细'!$D$11:$D$1309,MATCH("1S01-BKP-40",'SKU明细'!$A$11:$A$1309,0)))&lt;1,SUM(INDEX('SKU明细'!$D$11:$D$1309,MATCH("1S01-BKP-40",'SKU明细'!$A$11:$A$1309,0)))&amp;" + 待核",SUM(INDEX('SKU明细'!$D$11:$D$1309,MATCH("1S01-BKP-40",'SKU明细'!$A$11:$A$1309,0)))))</x:f>
        <x:v>1</x:v>
      </x:c>
      <x:c r="O121" s="38" t="n">
        <x:f>IF(COUNT(INDEX('SKU明细'!$D$11:$D$1309,MATCH("1S01-BKP-40.5",'SKU明细'!$A$11:$A$1309,0)))=0,"待核",IF(COUNT(INDEX('SKU明细'!$D$11:$D$1309,MATCH("1S01-BKP-40.5",'SKU明细'!$A$11:$A$1309,0)))&lt;1,SUM(INDEX('SKU明细'!$D$11:$D$1309,MATCH("1S01-BKP-40.5",'SKU明细'!$A$11:$A$1309,0)))&amp;" + 待核",SUM(INDEX('SKU明细'!$D$11:$D$1309,MATCH("1S01-BKP-40.5",'SKU明细'!$A$11:$A$1309,0)))))</x:f>
        <x:v>0</x:v>
      </x:c>
      <x:c r="P121" s="38" t="n">
        <x:f>IF(COUNT(INDEX('SKU明细'!$D$11:$D$1309,MATCH("1S01-BKP-41",'SKU明细'!$A$11:$A$1309,0)))=0,"待核",IF(COUNT(INDEX('SKU明细'!$D$11:$D$1309,MATCH("1S01-BKP-41",'SKU明细'!$A$11:$A$1309,0)))&lt;1,SUM(INDEX('SKU明细'!$D$11:$D$1309,MATCH("1S01-BKP-41",'SKU明细'!$A$11:$A$1309,0)))&amp;" + 待核",SUM(INDEX('SKU明细'!$D$11:$D$1309,MATCH("1S01-BKP-41",'SKU明细'!$A$11:$A$1309,0)))))</x:f>
        <x:v>0</x:v>
      </x:c>
      <x:c r="Q121" s="38" t="str">
        <x:f>IF(COUNT(INDEX('SKU明细'!$D$11:$D$1309,MATCH("1S01-BKP-41.5",'SKU明细'!$A$11:$A$1309,0)))=0,"待核",IF(COUNT(INDEX('SKU明细'!$D$11:$D$1309,MATCH("1S01-BKP-41.5",'SKU明细'!$A$11:$A$1309,0)))&lt;1,SUM(INDEX('SKU明细'!$D$11:$D$1309,MATCH("1S01-BKP-41.5",'SKU明细'!$A$11:$A$1309,0)))&amp;" + 待核",SUM(INDEX('SKU明细'!$D$11:$D$1309,MATCH("1S01-BKP-41.5",'SKU明细'!$A$11:$A$1309,0)))))</x:f>
        <x:v>待核</x:v>
      </x:c>
      <x:c r="R121" s="38" t="n">
        <x:f>IF(COUNT(INDEX('SKU明细'!$D$11:$D$1309,MATCH("1S01-BKP-42",'SKU明细'!$A$11:$A$1309,0)))=0,"待核",IF(COUNT(INDEX('SKU明细'!$D$11:$D$1309,MATCH("1S01-BKP-42",'SKU明细'!$A$11:$A$1309,0)))&lt;1,SUM(INDEX('SKU明细'!$D$11:$D$1309,MATCH("1S01-BKP-42",'SKU明细'!$A$11:$A$1309,0)))&amp;" + 待核",SUM(INDEX('SKU明细'!$D$11:$D$1309,MATCH("1S01-BKP-42",'SKU明细'!$A$11:$A$1309,0)))))</x:f>
        <x:v>0</x:v>
      </x:c>
      <x:c r="S121" s="38" t="n">
        <x:f>IF(COUNT(INDEX('SKU明细'!$D$11:$D$1309,MATCH("1S01-BKP-36",'SKU明细'!$A$11:$A$1309,0)),INDEX('SKU明细'!$D$11:$D$1309,MATCH("1S01-BKP-37",'SKU明细'!$A$11:$A$1309,0)),INDEX('SKU明细'!$D$11:$D$1309,MATCH("1S01-BKP-37.5",'SKU明细'!$A$11:$A$1309,0)),INDEX('SKU明细'!$D$11:$D$1309,MATCH("1S01-BKP-38",'SKU明细'!$A$11:$A$1309,0)),INDEX('SKU明细'!$D$11:$D$1309,MATCH("1S01-BKP-38.5",'SKU明细'!$A$11:$A$1309,0)),INDEX('SKU明细'!$D$11:$D$1309,MATCH("1S01-BKP-39",'SKU明细'!$A$11:$A$1309,0)),INDEX('SKU明细'!$D$11:$D$1309,MATCH("1S01-BKP-39.5",'SKU明细'!$A$11:$A$1309,0)),INDEX('SKU明细'!$D$11:$D$1309,MATCH("1S01-BKP-40",'SKU明细'!$A$11:$A$1309,0)),INDEX('SKU明细'!$D$11:$D$1309,MATCH("1S01-BKP-40.5",'SKU明细'!$A$11:$A$1309,0)),INDEX('SKU明细'!$D$11:$D$1309,MATCH("1S01-BKP-41",'SKU明细'!$A$11:$A$1309,0)),INDEX('SKU明细'!$D$11:$D$1309,MATCH("1S01-BKP-41.5",'SKU明细'!$A$11:$A$1309,0)),INDEX('SKU明细'!$D$11:$D$1309,MATCH("1S01-BKP-42",'SKU明细'!$A$11:$A$1309,0)))=0,"待核",SUM(INDEX('SKU明细'!$D$11:$D$1309,MATCH("1S01-BKP-36",'SKU明细'!$A$11:$A$1309,0)),INDEX('SKU明细'!$D$11:$D$1309,MATCH("1S01-BKP-37",'SKU明细'!$A$11:$A$1309,0)),INDEX('SKU明细'!$D$11:$D$1309,MATCH("1S01-BKP-37.5",'SKU明细'!$A$11:$A$1309,0)),INDEX('SKU明细'!$D$11:$D$1309,MATCH("1S01-BKP-38",'SKU明细'!$A$11:$A$1309,0)),INDEX('SKU明细'!$D$11:$D$1309,MATCH("1S01-BKP-38.5",'SKU明细'!$A$11:$A$1309,0)),INDEX('SKU明细'!$D$11:$D$1309,MATCH("1S01-BKP-39",'SKU明细'!$A$11:$A$1309,0)),INDEX('SKU明细'!$D$11:$D$1309,MATCH("1S01-BKP-39.5",'SKU明细'!$A$11:$A$1309,0)),INDEX('SKU明细'!$D$11:$D$1309,MATCH("1S01-BKP-40",'SKU明细'!$A$11:$A$1309,0)),INDEX('SKU明细'!$D$11:$D$1309,MATCH("1S01-BKP-40.5",'SKU明细'!$A$11:$A$1309,0)),INDEX('SKU明细'!$D$11:$D$1309,MATCH("1S01-BKP-41",'SKU明细'!$A$11:$A$1309,0)),INDEX('SKU明细'!$D$11:$D$1309,MATCH("1S01-BKP-41.5",'SKU明细'!$A$11:$A$1309,0)),INDEX('SKU明细'!$D$11:$D$1309,MATCH("1S01-BKP-42",'SKU明细'!$A$11:$A$1309,0))))</x:f>
        <x:v>2</x:v>
      </x:c>
      <x:c r="T121" s="38" t="n">
        <x:f>IF(COUNTIFS($A$9:$A$191,A121,$U$9:$U$191,"&lt;&gt;待核")=0,"待核",SUMIF($A$9:$A$191,A121,$S$9:$S$191))</x:f>
        <x:v>141</x:v>
      </x:c>
      <x:c r="U121" s="37" t="str">
        <x:f>IF(COUNT(INDEX('SKU明细'!$D$11:$D$1309,MATCH("1S01-BKP-36",'SKU明细'!$A$11:$A$1309,0)),INDEX('SKU明细'!$D$11:$D$1309,MATCH("1S01-BKP-37",'SKU明细'!$A$11:$A$1309,0)),INDEX('SKU明细'!$D$11:$D$1309,MATCH("1S01-BKP-37.5",'SKU明细'!$A$11:$A$1309,0)),INDEX('SKU明细'!$D$11:$D$1309,MATCH("1S01-BKP-38",'SKU明细'!$A$11:$A$1309,0)),INDEX('SKU明细'!$D$11:$D$1309,MATCH("1S01-BKP-38.5",'SKU明细'!$A$11:$A$1309,0)),INDEX('SKU明细'!$D$11:$D$1309,MATCH("1S01-BKP-39",'SKU明细'!$A$11:$A$1309,0)),INDEX('SKU明细'!$D$11:$D$1309,MATCH("1S01-BKP-39.5",'SKU明细'!$A$11:$A$1309,0)),INDEX('SKU明细'!$D$11:$D$1309,MATCH("1S01-BKP-40",'SKU明细'!$A$11:$A$1309,0)),INDEX('SKU明细'!$D$11:$D$1309,MATCH("1S01-BKP-40.5",'SKU明细'!$A$11:$A$1309,0)),INDEX('SKU明细'!$D$11:$D$1309,MATCH("1S01-BKP-41",'SKU明细'!$A$11:$A$1309,0)),INDEX('SKU明细'!$D$11:$D$1309,MATCH("1S01-BKP-41.5",'SKU明细'!$A$11:$A$1309,0)),INDEX('SKU明细'!$D$11:$D$1309,MATCH("1S01-BKP-42",'SKU明细'!$A$11:$A$1309,0)))=0,"待核",IF(COUNT(INDEX('SKU明细'!$D$11:$D$1309,MATCH("1S01-BKP-36",'SKU明细'!$A$11:$A$1309,0)),INDEX('SKU明细'!$D$11:$D$1309,MATCH("1S01-BKP-37",'SKU明细'!$A$11:$A$1309,0)),INDEX('SKU明细'!$D$11:$D$1309,MATCH("1S01-BKP-37.5",'SKU明细'!$A$11:$A$1309,0)),INDEX('SKU明细'!$D$11:$D$1309,MATCH("1S01-BKP-38",'SKU明细'!$A$11:$A$1309,0)),INDEX('SKU明细'!$D$11:$D$1309,MATCH("1S01-BKP-38.5",'SKU明细'!$A$11:$A$1309,0)),INDEX('SKU明细'!$D$11:$D$1309,MATCH("1S01-BKP-39",'SKU明细'!$A$11:$A$1309,0)),INDEX('SKU明细'!$D$11:$D$1309,MATCH("1S01-BKP-39.5",'SKU明细'!$A$11:$A$1309,0)),INDEX('SKU明细'!$D$11:$D$1309,MATCH("1S01-BKP-40",'SKU明细'!$A$11:$A$1309,0)),INDEX('SKU明细'!$D$11:$D$1309,MATCH("1S01-BKP-40.5",'SKU明细'!$A$11:$A$1309,0)),INDEX('SKU明细'!$D$11:$D$1309,MATCH("1S01-BKP-41",'SKU明细'!$A$11:$A$1309,0)),INDEX('SKU明细'!$D$11:$D$1309,MATCH("1S01-BKP-41.5",'SKU明细'!$A$11:$A$1309,0)),INDEX('SKU明细'!$D$11:$D$1309,MATCH("1S01-BKP-42",'SKU明细'!$A$11:$A$1309,0)))&lt;12,"另有待核","已核"))</x:f>
        <x:v>另有待核</x:v>
      </x:c>
      <x:c r="V121" s="37" t="str">
        <x:v>停售、在售</x:v>
      </x:c>
      <x:c r="W121" s="11" t="n">
        <x:f>IF(COUNT(INDEX('SKU明细'!$BV$11:$BV$1309,MATCH("1S01-BKP-36",'SKU明细'!$A$11:$A$1309,0)),INDEX('SKU明细'!$BV$11:$BV$1309,MATCH("1S01-BKP-37",'SKU明细'!$A$11:$A$1309,0)),INDEX('SKU明细'!$BV$11:$BV$1309,MATCH("1S01-BKP-37.5",'SKU明细'!$A$11:$A$1309,0)),INDEX('SKU明细'!$BV$11:$BV$1309,MATCH("1S01-BKP-38",'SKU明细'!$A$11:$A$1309,0)),INDEX('SKU明细'!$BV$11:$BV$1309,MATCH("1S01-BKP-38.5",'SKU明细'!$A$11:$A$1309,0)),INDEX('SKU明细'!$BV$11:$BV$1309,MATCH("1S01-BKP-39",'SKU明细'!$A$11:$A$1309,0)),INDEX('SKU明细'!$BV$11:$BV$1309,MATCH("1S01-BKP-39.5",'SKU明细'!$A$11:$A$1309,0)),INDEX('SKU明细'!$BV$11:$BV$1309,MATCH("1S01-BKP-40",'SKU明细'!$A$11:$A$1309,0)),INDEX('SKU明细'!$BV$11:$BV$1309,MATCH("1S01-BKP-40.5",'SKU明细'!$A$11:$A$1309,0)),INDEX('SKU明细'!$BV$11:$BV$1309,MATCH("1S01-BKP-41",'SKU明细'!$A$11:$A$1309,0)),INDEX('SKU明细'!$BV$11:$BV$1309,MATCH("1S01-BKP-41.5",'SKU明细'!$A$11:$A$1309,0)),INDEX('SKU明细'!$BV$11:$BV$1309,MATCH("1S01-BKP-42",'SKU明细'!$A$11:$A$1309,0)))=12,SUM(INDEX('SKU明细'!$BV$11:$BV$1309,MATCH("1S01-BKP-36",'SKU明细'!$A$11:$A$1309,0)),INDEX('SKU明细'!$BV$11:$BV$1309,MATCH("1S01-BKP-37",'SKU明细'!$A$11:$A$1309,0)),INDEX('SKU明细'!$BV$11:$BV$1309,MATCH("1S01-BKP-37.5",'SKU明细'!$A$11:$A$1309,0)),INDEX('SKU明细'!$BV$11:$BV$1309,MATCH("1S01-BKP-38",'SKU明细'!$A$11:$A$1309,0)),INDEX('SKU明细'!$BV$11:$BV$1309,MATCH("1S01-BKP-38.5",'SKU明细'!$A$11:$A$1309,0)),INDEX('SKU明细'!$BV$11:$BV$1309,MATCH("1S01-BKP-39",'SKU明细'!$A$11:$A$1309,0)),INDEX('SKU明细'!$BV$11:$BV$1309,MATCH("1S01-BKP-39.5",'SKU明细'!$A$11:$A$1309,0)),INDEX('SKU明细'!$BV$11:$BV$1309,MATCH("1S01-BKP-40",'SKU明细'!$A$11:$A$1309,0)),INDEX('SKU明细'!$BV$11:$BV$1309,MATCH("1S01-BKP-40.5",'SKU明细'!$A$11:$A$1309,0)),INDEX('SKU明细'!$BV$11:$BV$1309,MATCH("1S01-BKP-41",'SKU明细'!$A$11:$A$1309,0)),INDEX('SKU明细'!$BV$11:$BV$1309,MATCH("1S01-BKP-41.5",'SKU明细'!$A$11:$A$1309,0)),INDEX('SKU明细'!$BV$11:$BV$1309,MATCH("1S01-BKP-42",'SKU明细'!$A$11:$A$1309,0))),"待核")</x:f>
        <x:v>0.3536622365617518</x:v>
      </x:c>
      <x:c r="X121" s="11" t="n">
        <x:f>INDEX('SKU明细'!$BW$11:$BW$1309,MATCH("1S01-BKP-36",'SKU明细'!$A$11:$A$1309,0))</x:f>
        <x:v>0.8729500662042875</x:v>
      </x:c>
      <x:c r="Y121" s="13" t="n">
        <x:f>IF(COUNT(INDEX('SKU明细'!$BY$11:$BY$1309,MATCH("1S01-BKP-36",'SKU明细'!$A$11:$A$1309,0)),INDEX('SKU明细'!$BY$11:$BY$1309,MATCH("1S01-BKP-37",'SKU明细'!$A$11:$A$1309,0)),INDEX('SKU明细'!$BY$11:$BY$1309,MATCH("1S01-BKP-37.5",'SKU明细'!$A$11:$A$1309,0)),INDEX('SKU明细'!$BY$11:$BY$1309,MATCH("1S01-BKP-38",'SKU明细'!$A$11:$A$1309,0)),INDEX('SKU明细'!$BY$11:$BY$1309,MATCH("1S01-BKP-38.5",'SKU明细'!$A$11:$A$1309,0)),INDEX('SKU明细'!$BY$11:$BY$1309,MATCH("1S01-BKP-39",'SKU明细'!$A$11:$A$1309,0)),INDEX('SKU明细'!$BY$11:$BY$1309,MATCH("1S01-BKP-39.5",'SKU明细'!$A$11:$A$1309,0)),INDEX('SKU明细'!$BY$11:$BY$1309,MATCH("1S01-BKP-40",'SKU明细'!$A$11:$A$1309,0)),INDEX('SKU明细'!$BY$11:$BY$1309,MATCH("1S01-BKP-40.5",'SKU明细'!$A$11:$A$1309,0)),INDEX('SKU明细'!$BY$11:$BY$1309,MATCH("1S01-BKP-41",'SKU明细'!$A$11:$A$1309,0)),INDEX('SKU明细'!$BY$11:$BY$1309,MATCH("1S01-BKP-41.5",'SKU明细'!$A$11:$A$1309,0)),INDEX('SKU明细'!$BY$11:$BY$1309,MATCH("1S01-BKP-42",'SKU明细'!$A$11:$A$1309,0)))=12,SUM(INDEX('SKU明细'!$BY$11:$BY$1309,MATCH("1S01-BKP-36",'SKU明细'!$A$11:$A$1309,0)),INDEX('SKU明细'!$BY$11:$BY$1309,MATCH("1S01-BKP-37",'SKU明细'!$A$11:$A$1309,0)),INDEX('SKU明细'!$BY$11:$BY$1309,MATCH("1S01-BKP-37.5",'SKU明细'!$A$11:$A$1309,0)),INDEX('SKU明细'!$BY$11:$BY$1309,MATCH("1S01-BKP-38",'SKU明细'!$A$11:$A$1309,0)),INDEX('SKU明细'!$BY$11:$BY$1309,MATCH("1S01-BKP-38.5",'SKU明细'!$A$11:$A$1309,0)),INDEX('SKU明细'!$BY$11:$BY$1309,MATCH("1S01-BKP-39",'SKU明细'!$A$11:$A$1309,0)),INDEX('SKU明细'!$BY$11:$BY$1309,MATCH("1S01-BKP-39.5",'SKU明细'!$A$11:$A$1309,0)),INDEX('SKU明细'!$BY$11:$BY$1309,MATCH("1S01-BKP-40",'SKU明细'!$A$11:$A$1309,0)),INDEX('SKU明细'!$BY$11:$BY$1309,MATCH("1S01-BKP-40.5",'SKU明细'!$A$11:$A$1309,0)),INDEX('SKU明细'!$BY$11:$BY$1309,MATCH("1S01-BKP-41",'SKU明细'!$A$11:$A$1309,0)),INDEX('SKU明细'!$BY$11:$BY$1309,MATCH("1S01-BKP-41.5",'SKU明细'!$A$11:$A$1309,0)),INDEX('SKU明细'!$BY$11:$BY$1309,MATCH("1S01-BKP-42",'SKU明细'!$A$11:$A$1309,0))),"待核")</x:f>
        <x:v>3.7047536738464517</x:v>
      </x:c>
      <x:c r="Z121" s="11" t="n">
        <x:f>INDEX('SKU明细'!$BZ$11:$BZ$1309,MATCH("1S01-BKP-36",'SKU明细'!$A$11:$A$1309,0))</x:f>
        <x:v>0.8057375774163482</x:v>
      </x:c>
      <x:c r="AA121" s="13" t="n">
        <x:f>IF(COUNT(INDEX('SKU明细'!$CB$11:$CB$1309,MATCH("1S01-BKP-36",'SKU明细'!$A$11:$A$1309,0)),INDEX('SKU明细'!$CB$11:$CB$1309,MATCH("1S01-BKP-37",'SKU明细'!$A$11:$A$1309,0)),INDEX('SKU明细'!$CB$11:$CB$1309,MATCH("1S01-BKP-37.5",'SKU明细'!$A$11:$A$1309,0)),INDEX('SKU明细'!$CB$11:$CB$1309,MATCH("1S01-BKP-38",'SKU明细'!$A$11:$A$1309,0)),INDEX('SKU明细'!$CB$11:$CB$1309,MATCH("1S01-BKP-38.5",'SKU明细'!$A$11:$A$1309,0)),INDEX('SKU明细'!$CB$11:$CB$1309,MATCH("1S01-BKP-39",'SKU明细'!$A$11:$A$1309,0)),INDEX('SKU明细'!$CB$11:$CB$1309,MATCH("1S01-BKP-39.5",'SKU明细'!$A$11:$A$1309,0)),INDEX('SKU明细'!$CB$11:$CB$1309,MATCH("1S01-BKP-40",'SKU明细'!$A$11:$A$1309,0)),INDEX('SKU明细'!$CB$11:$CB$1309,MATCH("1S01-BKP-40.5",'SKU明细'!$A$11:$A$1309,0)),INDEX('SKU明细'!$CB$11:$CB$1309,MATCH("1S01-BKP-41",'SKU明细'!$A$11:$A$1309,0)),INDEX('SKU明细'!$CB$11:$CB$1309,MATCH("1S01-BKP-41.5",'SKU明细'!$A$11:$A$1309,0)),INDEX('SKU明细'!$CB$11:$CB$1309,MATCH("1S01-BKP-42",'SKU明细'!$A$11:$A$1309,0)))=12,SUM(INDEX('SKU明细'!$CB$11:$CB$1309,MATCH("1S01-BKP-36",'SKU明细'!$A$11:$A$1309,0)),INDEX('SKU明细'!$CB$11:$CB$1309,MATCH("1S01-BKP-37",'SKU明细'!$A$11:$A$1309,0)),INDEX('SKU明细'!$CB$11:$CB$1309,MATCH("1S01-BKP-37.5",'SKU明细'!$A$11:$A$1309,0)),INDEX('SKU明细'!$CB$11:$CB$1309,MATCH("1S01-BKP-38",'SKU明细'!$A$11:$A$1309,0)),INDEX('SKU明细'!$CB$11:$CB$1309,MATCH("1S01-BKP-38.5",'SKU明细'!$A$11:$A$1309,0)),INDEX('SKU明细'!$CB$11:$CB$1309,MATCH("1S01-BKP-39",'SKU明细'!$A$11:$A$1309,0)),INDEX('SKU明细'!$CB$11:$CB$1309,MATCH("1S01-BKP-39.5",'SKU明细'!$A$11:$A$1309,0)),INDEX('SKU明细'!$CB$11:$CB$1309,MATCH("1S01-BKP-40",'SKU明细'!$A$11:$A$1309,0)),INDEX('SKU明细'!$CB$11:$CB$1309,MATCH("1S01-BKP-40.5",'SKU明细'!$A$11:$A$1309,0)),INDEX('SKU明细'!$CB$11:$CB$1309,MATCH("1S01-BKP-41",'SKU明细'!$A$11:$A$1309,0)),INDEX('SKU明细'!$CB$11:$CB$1309,MATCH("1S01-BKP-41.5",'SKU明细'!$A$11:$A$1309,0)),INDEX('SKU明细'!$CB$11:$CB$1309,MATCH("1S01-BKP-42",'SKU明细'!$A$11:$A$1309,0))),"待核")</x:f>
        <x:v>8.5487686113274</x:v>
      </x:c>
      <x:c r="AB121" s="11" t="n">
        <x:f>INDEX('SKU明细'!$CC$11:$CC$1309,MATCH("1S01-BKP-36",'SKU明细'!$A$11:$A$1309,0))</x:f>
        <x:v>0.532550303142279</x:v>
      </x:c>
      <x:c r="AC121" s="13" t="n">
        <x:f>IF(COUNT(INDEX('SKU明细'!$CE$11:$CE$1309,MATCH("1S01-BKP-36",'SKU明细'!$A$11:$A$1309,0)),INDEX('SKU明细'!$CE$11:$CE$1309,MATCH("1S01-BKP-37",'SKU明细'!$A$11:$A$1309,0)),INDEX('SKU明细'!$CE$11:$CE$1309,MATCH("1S01-BKP-37.5",'SKU明细'!$A$11:$A$1309,0)),INDEX('SKU明细'!$CE$11:$CE$1309,MATCH("1S01-BKP-38",'SKU明细'!$A$11:$A$1309,0)),INDEX('SKU明细'!$CE$11:$CE$1309,MATCH("1S01-BKP-38.5",'SKU明细'!$A$11:$A$1309,0)),INDEX('SKU明细'!$CE$11:$CE$1309,MATCH("1S01-BKP-39",'SKU明细'!$A$11:$A$1309,0)),INDEX('SKU明细'!$CE$11:$CE$1309,MATCH("1S01-BKP-39.5",'SKU明细'!$A$11:$A$1309,0)),INDEX('SKU明细'!$CE$11:$CE$1309,MATCH("1S01-BKP-40",'SKU明细'!$A$11:$A$1309,0)),INDEX('SKU明细'!$CE$11:$CE$1309,MATCH("1S01-BKP-40.5",'SKU明细'!$A$11:$A$1309,0)),INDEX('SKU明细'!$CE$11:$CE$1309,MATCH("1S01-BKP-41",'SKU明细'!$A$11:$A$1309,0)),INDEX('SKU明细'!$CE$11:$CE$1309,MATCH("1S01-BKP-41.5",'SKU明细'!$A$11:$A$1309,0)),INDEX('SKU明细'!$CE$11:$CE$1309,MATCH("1S01-BKP-42",'SKU明细'!$A$11:$A$1309,0)))=12,SUM(INDEX('SKU明细'!$CE$11:$CE$1309,MATCH("1S01-BKP-36",'SKU明细'!$A$11:$A$1309,0)),INDEX('SKU明细'!$CE$11:$CE$1309,MATCH("1S01-BKP-37",'SKU明细'!$A$11:$A$1309,0)),INDEX('SKU明细'!$CE$11:$CE$1309,MATCH("1S01-BKP-37.5",'SKU明细'!$A$11:$A$1309,0)),INDEX('SKU明细'!$CE$11:$CE$1309,MATCH("1S01-BKP-38",'SKU明细'!$A$11:$A$1309,0)),INDEX('SKU明细'!$CE$11:$CE$1309,MATCH("1S01-BKP-38.5",'SKU明细'!$A$11:$A$1309,0)),INDEX('SKU明细'!$CE$11:$CE$1309,MATCH("1S01-BKP-39",'SKU明细'!$A$11:$A$1309,0)),INDEX('SKU明细'!$CE$11:$CE$1309,MATCH("1S01-BKP-39.5",'SKU明细'!$A$11:$A$1309,0)),INDEX('SKU明细'!$CE$11:$CE$1309,MATCH("1S01-BKP-40",'SKU明细'!$A$11:$A$1309,0)),INDEX('SKU明细'!$CE$11:$CE$1309,MATCH("1S01-BKP-40.5",'SKU明细'!$A$11:$A$1309,0)),INDEX('SKU明细'!$CE$11:$CE$1309,MATCH("1S01-BKP-41",'SKU明细'!$A$11:$A$1309,0)),INDEX('SKU明细'!$CE$11:$CE$1309,MATCH("1S01-BKP-41.5",'SKU明细'!$A$11:$A$1309,0)),INDEX('SKU明细'!$CE$11:$CE$1309,MATCH("1S01-BKP-42",'SKU明细'!$A$11:$A$1309,0))),"待核")</x:f>
        <x:v>5.838630870019057</x:v>
      </x:c>
      <x:c r="AD121" s="11" t="n">
        <x:f>INDEX('SKU明细'!$CF$11:$CF$1309,MATCH("1S01-BKP-36",'SKU明细'!$A$11:$A$1309,0))</x:f>
        <x:v>0.7517299265337036</x:v>
      </x:c>
      <x:c r="AE121" s="13" t="n">
        <x:f>IF(COUNT(INDEX('SKU明细'!$CH$11:$CH$1309,MATCH("1S01-BKP-36",'SKU明细'!$A$11:$A$1309,0)),INDEX('SKU明细'!$CH$11:$CH$1309,MATCH("1S01-BKP-37",'SKU明细'!$A$11:$A$1309,0)),INDEX('SKU明细'!$CH$11:$CH$1309,MATCH("1S01-BKP-37.5",'SKU明细'!$A$11:$A$1309,0)),INDEX('SKU明细'!$CH$11:$CH$1309,MATCH("1S01-BKP-38",'SKU明细'!$A$11:$A$1309,0)),INDEX('SKU明细'!$CH$11:$CH$1309,MATCH("1S01-BKP-38.5",'SKU明细'!$A$11:$A$1309,0)),INDEX('SKU明细'!$CH$11:$CH$1309,MATCH("1S01-BKP-39",'SKU明细'!$A$11:$A$1309,0)),INDEX('SKU明细'!$CH$11:$CH$1309,MATCH("1S01-BKP-39.5",'SKU明细'!$A$11:$A$1309,0)),INDEX('SKU明细'!$CH$11:$CH$1309,MATCH("1S01-BKP-40",'SKU明细'!$A$11:$A$1309,0)),INDEX('SKU明细'!$CH$11:$CH$1309,MATCH("1S01-BKP-40.5",'SKU明细'!$A$11:$A$1309,0)),INDEX('SKU明细'!$CH$11:$CH$1309,MATCH("1S01-BKP-41",'SKU明细'!$A$11:$A$1309,0)),INDEX('SKU明细'!$CH$11:$CH$1309,MATCH("1S01-BKP-41.5",'SKU明细'!$A$11:$A$1309,0)),INDEX('SKU明细'!$CH$11:$CH$1309,MATCH("1S01-BKP-42",'SKU明细'!$A$11:$A$1309,0)))=12,SUM(INDEX('SKU明细'!$CH$11:$CH$1309,MATCH("1S01-BKP-36",'SKU明细'!$A$11:$A$1309,0)),INDEX('SKU明细'!$CH$11:$CH$1309,MATCH("1S01-BKP-37",'SKU明细'!$A$11:$A$1309,0)),INDEX('SKU明细'!$CH$11:$CH$1309,MATCH("1S01-BKP-37.5",'SKU明细'!$A$11:$A$1309,0)),INDEX('SKU明细'!$CH$11:$CH$1309,MATCH("1S01-BKP-38",'SKU明细'!$A$11:$A$1309,0)),INDEX('SKU明细'!$CH$11:$CH$1309,MATCH("1S01-BKP-38.5",'SKU明细'!$A$11:$A$1309,0)),INDEX('SKU明细'!$CH$11:$CH$1309,MATCH("1S01-BKP-39",'SKU明细'!$A$11:$A$1309,0)),INDEX('SKU明细'!$CH$11:$CH$1309,MATCH("1S01-BKP-39.5",'SKU明细'!$A$11:$A$1309,0)),INDEX('SKU明细'!$CH$11:$CH$1309,MATCH("1S01-BKP-40",'SKU明细'!$A$11:$A$1309,0)),INDEX('SKU明细'!$CH$11:$CH$1309,MATCH("1S01-BKP-40.5",'SKU明细'!$A$11:$A$1309,0)),INDEX('SKU明细'!$CH$11:$CH$1309,MATCH("1S01-BKP-41",'SKU明细'!$A$11:$A$1309,0)),INDEX('SKU明细'!$CH$11:$CH$1309,MATCH("1S01-BKP-41.5",'SKU明细'!$A$11:$A$1309,0)),INDEX('SKU明细'!$CH$11:$CH$1309,MATCH("1S01-BKP-42",'SKU明细'!$A$11:$A$1309,0))),"待核")</x:f>
        <x:v>4.519594280841287</x:v>
      </x:c>
      <x:c r="AF121" s="13" t="n">
        <x:f>IF(COUNT(INDEX('SKU明细'!$CI$11:$CI$1309,MATCH("1S01-BKP-36",'SKU明细'!$A$11:$A$1309,0)),INDEX('SKU明细'!$CI$11:$CI$1309,MATCH("1S01-BKP-37",'SKU明细'!$A$11:$A$1309,0)),INDEX('SKU明细'!$CI$11:$CI$1309,MATCH("1S01-BKP-37.5",'SKU明细'!$A$11:$A$1309,0)),INDEX('SKU明细'!$CI$11:$CI$1309,MATCH("1S01-BKP-38",'SKU明细'!$A$11:$A$1309,0)),INDEX('SKU明细'!$CI$11:$CI$1309,MATCH("1S01-BKP-38.5",'SKU明细'!$A$11:$A$1309,0)),INDEX('SKU明细'!$CI$11:$CI$1309,MATCH("1S01-BKP-39",'SKU明细'!$A$11:$A$1309,0)),INDEX('SKU明细'!$CI$11:$CI$1309,MATCH("1S01-BKP-39.5",'SKU明细'!$A$11:$A$1309,0)),INDEX('SKU明细'!$CI$11:$CI$1309,MATCH("1S01-BKP-40",'SKU明细'!$A$11:$A$1309,0)),INDEX('SKU明细'!$CI$11:$CI$1309,MATCH("1S01-BKP-40.5",'SKU明细'!$A$11:$A$1309,0)),INDEX('SKU明细'!$CI$11:$CI$1309,MATCH("1S01-BKP-41",'SKU明细'!$A$11:$A$1309,0)),INDEX('SKU明细'!$CI$11:$CI$1309,MATCH("1S01-BKP-41.5",'SKU明细'!$A$11:$A$1309,0)),INDEX('SKU明细'!$CI$11:$CI$1309,MATCH("1S01-BKP-42",'SKU明细'!$A$11:$A$1309,0)))=12,SUM(INDEX('SKU明细'!$CI$11:$CI$1309,MATCH("1S01-BKP-36",'SKU明细'!$A$11:$A$1309,0)),INDEX('SKU明细'!$CI$11:$CI$1309,MATCH("1S01-BKP-37",'SKU明细'!$A$11:$A$1309,0)),INDEX('SKU明细'!$CI$11:$CI$1309,MATCH("1S01-BKP-37.5",'SKU明细'!$A$11:$A$1309,0)),INDEX('SKU明细'!$CI$11:$CI$1309,MATCH("1S01-BKP-38",'SKU明细'!$A$11:$A$1309,0)),INDEX('SKU明细'!$CI$11:$CI$1309,MATCH("1S01-BKP-38.5",'SKU明细'!$A$11:$A$1309,0)),INDEX('SKU明细'!$CI$11:$CI$1309,MATCH("1S01-BKP-39",'SKU明细'!$A$11:$A$1309,0)),INDEX('SKU明细'!$CI$11:$CI$1309,MATCH("1S01-BKP-39.5",'SKU明细'!$A$11:$A$1309,0)),INDEX('SKU明细'!$CI$11:$CI$1309,MATCH("1S01-BKP-40",'SKU明细'!$A$11:$A$1309,0)),INDEX('SKU明细'!$CI$11:$CI$1309,MATCH("1S01-BKP-40.5",'SKU明细'!$A$11:$A$1309,0)),INDEX('SKU明细'!$CI$11:$CI$1309,MATCH("1S01-BKP-41",'SKU明细'!$A$11:$A$1309,0)),INDEX('SKU明细'!$CI$11:$CI$1309,MATCH("1S01-BKP-41.5",'SKU明细'!$A$11:$A$1309,0)),INDEX('SKU明细'!$CI$11:$CI$1309,MATCH("1S01-BKP-42",'SKU明细'!$A$11:$A$1309,0))),"待核")</x:f>
        <x:v>22.611747436034193</x:v>
      </x:c>
    </x:row>
    <x:row r="122" ht="40" customHeight="1">
      <x:c r="A122" s="37" t="str">
        <x:v>1S01</x:v>
      </x:c>
      <x:c r="B122" s="37" t="str">
        <x:v>徐新怡</x:v>
      </x:c>
      <x:c r="C122" s="37" t="str">
        <x:v>黑色石头纹</x:v>
      </x:c>
      <x:c r="D122" s="37" t="str">
        <x:v>BKX</x:v>
      </x:c>
      <x:c r="E122" s="37" t="str">
        <x:v>1S01-BKX</x:v>
      </x:c>
      <x:c r="F122" s="37"/>
      <x:c r="G122" s="38" t="str">
        <x:f>"—"</x:f>
        <x:v>—</x:v>
      </x:c>
      <x:c r="H122" s="38" t="str">
        <x:f>IF(COUNT(INDEX('SKU明细'!$D$11:$D$1309,MATCH("1S01-BKX-37",'SKU明细'!$A$11:$A$1309,0)))=0,"待核",IF(COUNT(INDEX('SKU明细'!$D$11:$D$1309,MATCH("1S01-BKX-37",'SKU明细'!$A$11:$A$1309,0)))&lt;1,SUM(INDEX('SKU明细'!$D$11:$D$1309,MATCH("1S01-BKX-37",'SKU明细'!$A$11:$A$1309,0)))&amp;" + 待核",SUM(INDEX('SKU明细'!$D$11:$D$1309,MATCH("1S01-BKX-37",'SKU明细'!$A$11:$A$1309,0)))))</x:f>
        <x:v>待核</x:v>
      </x:c>
      <x:c r="I122" s="38" t="str">
        <x:f>IF(COUNT(INDEX('SKU明细'!$D$11:$D$1309,MATCH("1S01-BKX-37.5",'SKU明细'!$A$11:$A$1309,0)))=0,"待核",IF(COUNT(INDEX('SKU明细'!$D$11:$D$1309,MATCH("1S01-BKX-37.5",'SKU明细'!$A$11:$A$1309,0)))&lt;1,SUM(INDEX('SKU明细'!$D$11:$D$1309,MATCH("1S01-BKX-37.5",'SKU明细'!$A$11:$A$1309,0)))&amp;" + 待核",SUM(INDEX('SKU明细'!$D$11:$D$1309,MATCH("1S01-BKX-37.5",'SKU明细'!$A$11:$A$1309,0)))))</x:f>
        <x:v>待核</x:v>
      </x:c>
      <x:c r="J122" s="38" t="str">
        <x:f>IF(COUNT(INDEX('SKU明细'!$D$11:$D$1309,MATCH("1S01-BKX-38",'SKU明细'!$A$11:$A$1309,0)))=0,"待核",IF(COUNT(INDEX('SKU明细'!$D$11:$D$1309,MATCH("1S01-BKX-38",'SKU明细'!$A$11:$A$1309,0)))&lt;1,SUM(INDEX('SKU明细'!$D$11:$D$1309,MATCH("1S01-BKX-38",'SKU明细'!$A$11:$A$1309,0)))&amp;" + 待核",SUM(INDEX('SKU明细'!$D$11:$D$1309,MATCH("1S01-BKX-38",'SKU明细'!$A$11:$A$1309,0)))))</x:f>
        <x:v>待核</x:v>
      </x:c>
      <x:c r="K122" s="38" t="str">
        <x:f>IF(COUNT(INDEX('SKU明细'!$D$11:$D$1309,MATCH("1S01-BKX-38.5",'SKU明细'!$A$11:$A$1309,0)))=0,"待核",IF(COUNT(INDEX('SKU明细'!$D$11:$D$1309,MATCH("1S01-BKX-38.5",'SKU明细'!$A$11:$A$1309,0)))&lt;1,SUM(INDEX('SKU明细'!$D$11:$D$1309,MATCH("1S01-BKX-38.5",'SKU明细'!$A$11:$A$1309,0)))&amp;" + 待核",SUM(INDEX('SKU明细'!$D$11:$D$1309,MATCH("1S01-BKX-38.5",'SKU明细'!$A$11:$A$1309,0)))))</x:f>
        <x:v>待核</x:v>
      </x:c>
      <x:c r="L122" s="38" t="str">
        <x:f>IF(COUNT(INDEX('SKU明细'!$D$11:$D$1309,MATCH("1S01-BKX-39",'SKU明细'!$A$11:$A$1309,0)))=0,"待核",IF(COUNT(INDEX('SKU明细'!$D$11:$D$1309,MATCH("1S01-BKX-39",'SKU明细'!$A$11:$A$1309,0)))&lt;1,SUM(INDEX('SKU明细'!$D$11:$D$1309,MATCH("1S01-BKX-39",'SKU明细'!$A$11:$A$1309,0)))&amp;" + 待核",SUM(INDEX('SKU明细'!$D$11:$D$1309,MATCH("1S01-BKX-39",'SKU明细'!$A$11:$A$1309,0)))))</x:f>
        <x:v>待核</x:v>
      </x:c>
      <x:c r="M122" s="38" t="str">
        <x:f>IF(COUNT(INDEX('SKU明细'!$D$11:$D$1309,MATCH("1S01-BKX-39.5",'SKU明细'!$A$11:$A$1309,0)))=0,"待核",IF(COUNT(INDEX('SKU明细'!$D$11:$D$1309,MATCH("1S01-BKX-39.5",'SKU明细'!$A$11:$A$1309,0)))&lt;1,SUM(INDEX('SKU明细'!$D$11:$D$1309,MATCH("1S01-BKX-39.5",'SKU明细'!$A$11:$A$1309,0)))&amp;" + 待核",SUM(INDEX('SKU明细'!$D$11:$D$1309,MATCH("1S01-BKX-39.5",'SKU明细'!$A$11:$A$1309,0)))))</x:f>
        <x:v>待核</x:v>
      </x:c>
      <x:c r="N122" s="38" t="str">
        <x:f>IF(COUNT(INDEX('SKU明细'!$D$11:$D$1309,MATCH("1S01-BKX-40",'SKU明细'!$A$11:$A$1309,0)))=0,"待核",IF(COUNT(INDEX('SKU明细'!$D$11:$D$1309,MATCH("1S01-BKX-40",'SKU明细'!$A$11:$A$1309,0)))&lt;1,SUM(INDEX('SKU明细'!$D$11:$D$1309,MATCH("1S01-BKX-40",'SKU明细'!$A$11:$A$1309,0)))&amp;" + 待核",SUM(INDEX('SKU明细'!$D$11:$D$1309,MATCH("1S01-BKX-40",'SKU明细'!$A$11:$A$1309,0)))))</x:f>
        <x:v>待核</x:v>
      </x:c>
      <x:c r="O122" s="38" t="str">
        <x:f>IF(COUNT(INDEX('SKU明细'!$D$11:$D$1309,MATCH("1S01-BKX-40.5",'SKU明细'!$A$11:$A$1309,0)))=0,"待核",IF(COUNT(INDEX('SKU明细'!$D$11:$D$1309,MATCH("1S01-BKX-40.5",'SKU明细'!$A$11:$A$1309,0)))&lt;1,SUM(INDEX('SKU明细'!$D$11:$D$1309,MATCH("1S01-BKX-40.5",'SKU明细'!$A$11:$A$1309,0)))&amp;" + 待核",SUM(INDEX('SKU明细'!$D$11:$D$1309,MATCH("1S01-BKX-40.5",'SKU明细'!$A$11:$A$1309,0)))))</x:f>
        <x:v>待核</x:v>
      </x:c>
      <x:c r="P122" s="38" t="str">
        <x:f>IF(COUNT(INDEX('SKU明细'!$D$11:$D$1309,MATCH("1S01-BKX-41",'SKU明细'!$A$11:$A$1309,0)))=0,"待核",IF(COUNT(INDEX('SKU明细'!$D$11:$D$1309,MATCH("1S01-BKX-41",'SKU明细'!$A$11:$A$1309,0)))&lt;1,SUM(INDEX('SKU明细'!$D$11:$D$1309,MATCH("1S01-BKX-41",'SKU明细'!$A$11:$A$1309,0)))&amp;" + 待核",SUM(INDEX('SKU明细'!$D$11:$D$1309,MATCH("1S01-BKX-41",'SKU明细'!$A$11:$A$1309,0)))))</x:f>
        <x:v>待核</x:v>
      </x:c>
      <x:c r="Q122" s="38" t="str">
        <x:f>IF(COUNT(INDEX('SKU明细'!$D$11:$D$1309,MATCH("1S01-BKX-41.5",'SKU明细'!$A$11:$A$1309,0)))=0,"待核",IF(COUNT(INDEX('SKU明细'!$D$11:$D$1309,MATCH("1S01-BKX-41.5",'SKU明细'!$A$11:$A$1309,0)))&lt;1,SUM(INDEX('SKU明细'!$D$11:$D$1309,MATCH("1S01-BKX-41.5",'SKU明细'!$A$11:$A$1309,0)))&amp;" + 待核",SUM(INDEX('SKU明细'!$D$11:$D$1309,MATCH("1S01-BKX-41.5",'SKU明细'!$A$11:$A$1309,0)))))</x:f>
        <x:v>待核</x:v>
      </x:c>
      <x:c r="R122" s="38" t="str">
        <x:f>IF(COUNT(INDEX('SKU明细'!$D$11:$D$1309,MATCH("1S01-BKX-42",'SKU明细'!$A$11:$A$1309,0)))=0,"待核",IF(COUNT(INDEX('SKU明细'!$D$11:$D$1309,MATCH("1S01-BKX-42",'SKU明细'!$A$11:$A$1309,0)))&lt;1,SUM(INDEX('SKU明细'!$D$11:$D$1309,MATCH("1S01-BKX-42",'SKU明细'!$A$11:$A$1309,0)))&amp;" + 待核",SUM(INDEX('SKU明细'!$D$11:$D$1309,MATCH("1S01-BKX-42",'SKU明细'!$A$11:$A$1309,0)))))</x:f>
        <x:v>待核</x:v>
      </x:c>
      <x:c r="S122" s="38" t="str">
        <x:f>IF(COUNT(INDEX('SKU明细'!$D$11:$D$1309,MATCH("1S01-BKX-37",'SKU明细'!$A$11:$A$1309,0)),INDEX('SKU明细'!$D$11:$D$1309,MATCH("1S01-BKX-37.5",'SKU明细'!$A$11:$A$1309,0)),INDEX('SKU明细'!$D$11:$D$1309,MATCH("1S01-BKX-38",'SKU明细'!$A$11:$A$1309,0)),INDEX('SKU明细'!$D$11:$D$1309,MATCH("1S01-BKX-38.5",'SKU明细'!$A$11:$A$1309,0)),INDEX('SKU明细'!$D$11:$D$1309,MATCH("1S01-BKX-39",'SKU明细'!$A$11:$A$1309,0)),INDEX('SKU明细'!$D$11:$D$1309,MATCH("1S01-BKX-39.5",'SKU明细'!$A$11:$A$1309,0)),INDEX('SKU明细'!$D$11:$D$1309,MATCH("1S01-BKX-40",'SKU明细'!$A$11:$A$1309,0)),INDEX('SKU明细'!$D$11:$D$1309,MATCH("1S01-BKX-40.5",'SKU明细'!$A$11:$A$1309,0)),INDEX('SKU明细'!$D$11:$D$1309,MATCH("1S01-BKX-41",'SKU明细'!$A$11:$A$1309,0)),INDEX('SKU明细'!$D$11:$D$1309,MATCH("1S01-BKX-41.5",'SKU明细'!$A$11:$A$1309,0)),INDEX('SKU明细'!$D$11:$D$1309,MATCH("1S01-BKX-42",'SKU明细'!$A$11:$A$1309,0)))=0,"待核",SUM(INDEX('SKU明细'!$D$11:$D$1309,MATCH("1S01-BKX-37",'SKU明细'!$A$11:$A$1309,0)),INDEX('SKU明细'!$D$11:$D$1309,MATCH("1S01-BKX-37.5",'SKU明细'!$A$11:$A$1309,0)),INDEX('SKU明细'!$D$11:$D$1309,MATCH("1S01-BKX-38",'SKU明细'!$A$11:$A$1309,0)),INDEX('SKU明细'!$D$11:$D$1309,MATCH("1S01-BKX-38.5",'SKU明细'!$A$11:$A$1309,0)),INDEX('SKU明细'!$D$11:$D$1309,MATCH("1S01-BKX-39",'SKU明细'!$A$11:$A$1309,0)),INDEX('SKU明细'!$D$11:$D$1309,MATCH("1S01-BKX-39.5",'SKU明细'!$A$11:$A$1309,0)),INDEX('SKU明细'!$D$11:$D$1309,MATCH("1S01-BKX-40",'SKU明细'!$A$11:$A$1309,0)),INDEX('SKU明细'!$D$11:$D$1309,MATCH("1S01-BKX-40.5",'SKU明细'!$A$11:$A$1309,0)),INDEX('SKU明细'!$D$11:$D$1309,MATCH("1S01-BKX-41",'SKU明细'!$A$11:$A$1309,0)),INDEX('SKU明细'!$D$11:$D$1309,MATCH("1S01-BKX-41.5",'SKU明细'!$A$11:$A$1309,0)),INDEX('SKU明细'!$D$11:$D$1309,MATCH("1S01-BKX-42",'SKU明细'!$A$11:$A$1309,0))))</x:f>
        <x:v>待核</x:v>
      </x:c>
      <x:c r="T122" s="38" t="n">
        <x:f>IF(COUNTIFS($A$9:$A$191,A122,$U$9:$U$191,"&lt;&gt;待核")=0,"待核",SUMIF($A$9:$A$191,A122,$S$9:$S$191))</x:f>
        <x:v>141</x:v>
      </x:c>
      <x:c r="U122" s="37" t="str">
        <x:f>IF(COUNT(INDEX('SKU明细'!$D$11:$D$1309,MATCH("1S01-BKX-37",'SKU明细'!$A$11:$A$1309,0)),INDEX('SKU明细'!$D$11:$D$1309,MATCH("1S01-BKX-37.5",'SKU明细'!$A$11:$A$1309,0)),INDEX('SKU明细'!$D$11:$D$1309,MATCH("1S01-BKX-38",'SKU明细'!$A$11:$A$1309,0)),INDEX('SKU明细'!$D$11:$D$1309,MATCH("1S01-BKX-38.5",'SKU明细'!$A$11:$A$1309,0)),INDEX('SKU明细'!$D$11:$D$1309,MATCH("1S01-BKX-39",'SKU明细'!$A$11:$A$1309,0)),INDEX('SKU明细'!$D$11:$D$1309,MATCH("1S01-BKX-39.5",'SKU明细'!$A$11:$A$1309,0)),INDEX('SKU明细'!$D$11:$D$1309,MATCH("1S01-BKX-40",'SKU明细'!$A$11:$A$1309,0)),INDEX('SKU明细'!$D$11:$D$1309,MATCH("1S01-BKX-40.5",'SKU明细'!$A$11:$A$1309,0)),INDEX('SKU明细'!$D$11:$D$1309,MATCH("1S01-BKX-41",'SKU明细'!$A$11:$A$1309,0)),INDEX('SKU明细'!$D$11:$D$1309,MATCH("1S01-BKX-41.5",'SKU明细'!$A$11:$A$1309,0)),INDEX('SKU明细'!$D$11:$D$1309,MATCH("1S01-BKX-42",'SKU明细'!$A$11:$A$1309,0)))=0,"待核",IF(COUNT(INDEX('SKU明细'!$D$11:$D$1309,MATCH("1S01-BKX-37",'SKU明细'!$A$11:$A$1309,0)),INDEX('SKU明细'!$D$11:$D$1309,MATCH("1S01-BKX-37.5",'SKU明细'!$A$11:$A$1309,0)),INDEX('SKU明细'!$D$11:$D$1309,MATCH("1S01-BKX-38",'SKU明细'!$A$11:$A$1309,0)),INDEX('SKU明细'!$D$11:$D$1309,MATCH("1S01-BKX-38.5",'SKU明细'!$A$11:$A$1309,0)),INDEX('SKU明细'!$D$11:$D$1309,MATCH("1S01-BKX-39",'SKU明细'!$A$11:$A$1309,0)),INDEX('SKU明细'!$D$11:$D$1309,MATCH("1S01-BKX-39.5",'SKU明细'!$A$11:$A$1309,0)),INDEX('SKU明细'!$D$11:$D$1309,MATCH("1S01-BKX-40",'SKU明细'!$A$11:$A$1309,0)),INDEX('SKU明细'!$D$11:$D$1309,MATCH("1S01-BKX-40.5",'SKU明细'!$A$11:$A$1309,0)),INDEX('SKU明细'!$D$11:$D$1309,MATCH("1S01-BKX-41",'SKU明细'!$A$11:$A$1309,0)),INDEX('SKU明细'!$D$11:$D$1309,MATCH("1S01-BKX-41.5",'SKU明细'!$A$11:$A$1309,0)),INDEX('SKU明细'!$D$11:$D$1309,MATCH("1S01-BKX-42",'SKU明细'!$A$11:$A$1309,0)))&lt;11,"另有待核","已核"))</x:f>
        <x:v>待核</x:v>
      </x:c>
      <x:c r="V122" s="37" t="str">
        <x:v>未匹配Listing</x:v>
      </x:c>
      <x:c r="W122" s="11" t="n">
        <x:f>IF(COUNT(INDEX('SKU明细'!$BV$11:$BV$1309,MATCH("1S01-BKX-37",'SKU明细'!$A$11:$A$1309,0)),INDEX('SKU明细'!$BV$11:$BV$1309,MATCH("1S01-BKX-37.5",'SKU明细'!$A$11:$A$1309,0)),INDEX('SKU明细'!$BV$11:$BV$1309,MATCH("1S01-BKX-38",'SKU明细'!$A$11:$A$1309,0)),INDEX('SKU明细'!$BV$11:$BV$1309,MATCH("1S01-BKX-38.5",'SKU明细'!$A$11:$A$1309,0)),INDEX('SKU明细'!$BV$11:$BV$1309,MATCH("1S01-BKX-39",'SKU明细'!$A$11:$A$1309,0)),INDEX('SKU明细'!$BV$11:$BV$1309,MATCH("1S01-BKX-39.5",'SKU明细'!$A$11:$A$1309,0)),INDEX('SKU明细'!$BV$11:$BV$1309,MATCH("1S01-BKX-40",'SKU明细'!$A$11:$A$1309,0)),INDEX('SKU明细'!$BV$11:$BV$1309,MATCH("1S01-BKX-40.5",'SKU明细'!$A$11:$A$1309,0)),INDEX('SKU明细'!$BV$11:$BV$1309,MATCH("1S01-BKX-41",'SKU明细'!$A$11:$A$1309,0)),INDEX('SKU明细'!$BV$11:$BV$1309,MATCH("1S01-BKX-41.5",'SKU明细'!$A$11:$A$1309,0)),INDEX('SKU明细'!$BV$11:$BV$1309,MATCH("1S01-BKX-42",'SKU明细'!$A$11:$A$1309,0)))=11,SUM(INDEX('SKU明细'!$BV$11:$BV$1309,MATCH("1S01-BKX-37",'SKU明细'!$A$11:$A$1309,0)),INDEX('SKU明细'!$BV$11:$BV$1309,MATCH("1S01-BKX-37.5",'SKU明细'!$A$11:$A$1309,0)),INDEX('SKU明细'!$BV$11:$BV$1309,MATCH("1S01-BKX-38",'SKU明细'!$A$11:$A$1309,0)),INDEX('SKU明细'!$BV$11:$BV$1309,MATCH("1S01-BKX-38.5",'SKU明细'!$A$11:$A$1309,0)),INDEX('SKU明细'!$BV$11:$BV$1309,MATCH("1S01-BKX-39",'SKU明细'!$A$11:$A$1309,0)),INDEX('SKU明细'!$BV$11:$BV$1309,MATCH("1S01-BKX-39.5",'SKU明细'!$A$11:$A$1309,0)),INDEX('SKU明细'!$BV$11:$BV$1309,MATCH("1S01-BKX-40",'SKU明细'!$A$11:$A$1309,0)),INDEX('SKU明细'!$BV$11:$BV$1309,MATCH("1S01-BKX-40.5",'SKU明细'!$A$11:$A$1309,0)),INDEX('SKU明细'!$BV$11:$BV$1309,MATCH("1S01-BKX-41",'SKU明细'!$A$11:$A$1309,0)),INDEX('SKU明细'!$BV$11:$BV$1309,MATCH("1S01-BKX-41.5",'SKU明细'!$A$11:$A$1309,0)),INDEX('SKU明细'!$BV$11:$BV$1309,MATCH("1S01-BKX-42",'SKU明细'!$A$11:$A$1309,0))),"待核")</x:f>
        <x:v>0</x:v>
      </x:c>
      <x:c r="X122" s="11" t="n">
        <x:f>INDEX('SKU明细'!$BW$11:$BW$1309,MATCH("1S01-BKX-37",'SKU明细'!$A$11:$A$1309,0))</x:f>
        <x:v>0.8729500662042875</x:v>
      </x:c>
      <x:c r="Y122" s="13" t="n">
        <x:f>IF(COUNT(INDEX('SKU明细'!$BY$11:$BY$1309,MATCH("1S01-BKX-37",'SKU明细'!$A$11:$A$1309,0)),INDEX('SKU明细'!$BY$11:$BY$1309,MATCH("1S01-BKX-37.5",'SKU明细'!$A$11:$A$1309,0)),INDEX('SKU明细'!$BY$11:$BY$1309,MATCH("1S01-BKX-38",'SKU明细'!$A$11:$A$1309,0)),INDEX('SKU明细'!$BY$11:$BY$1309,MATCH("1S01-BKX-38.5",'SKU明细'!$A$11:$A$1309,0)),INDEX('SKU明细'!$BY$11:$BY$1309,MATCH("1S01-BKX-39",'SKU明细'!$A$11:$A$1309,0)),INDEX('SKU明细'!$BY$11:$BY$1309,MATCH("1S01-BKX-39.5",'SKU明细'!$A$11:$A$1309,0)),INDEX('SKU明细'!$BY$11:$BY$1309,MATCH("1S01-BKX-40",'SKU明细'!$A$11:$A$1309,0)),INDEX('SKU明细'!$BY$11:$BY$1309,MATCH("1S01-BKX-40.5",'SKU明细'!$A$11:$A$1309,0)),INDEX('SKU明细'!$BY$11:$BY$1309,MATCH("1S01-BKX-41",'SKU明细'!$A$11:$A$1309,0)),INDEX('SKU明细'!$BY$11:$BY$1309,MATCH("1S01-BKX-41.5",'SKU明细'!$A$11:$A$1309,0)),INDEX('SKU明细'!$BY$11:$BY$1309,MATCH("1S01-BKX-42",'SKU明细'!$A$11:$A$1309,0)))=11,SUM(INDEX('SKU明细'!$BY$11:$BY$1309,MATCH("1S01-BKX-37",'SKU明细'!$A$11:$A$1309,0)),INDEX('SKU明细'!$BY$11:$BY$1309,MATCH("1S01-BKX-37.5",'SKU明细'!$A$11:$A$1309,0)),INDEX('SKU明细'!$BY$11:$BY$1309,MATCH("1S01-BKX-38",'SKU明细'!$A$11:$A$1309,0)),INDEX('SKU明细'!$BY$11:$BY$1309,MATCH("1S01-BKX-38.5",'SKU明细'!$A$11:$A$1309,0)),INDEX('SKU明细'!$BY$11:$BY$1309,MATCH("1S01-BKX-39",'SKU明细'!$A$11:$A$1309,0)),INDEX('SKU明细'!$BY$11:$BY$1309,MATCH("1S01-BKX-39.5",'SKU明细'!$A$11:$A$1309,0)),INDEX('SKU明细'!$BY$11:$BY$1309,MATCH("1S01-BKX-40",'SKU明细'!$A$11:$A$1309,0)),INDEX('SKU明细'!$BY$11:$BY$1309,MATCH("1S01-BKX-40.5",'SKU明细'!$A$11:$A$1309,0)),INDEX('SKU明细'!$BY$11:$BY$1309,MATCH("1S01-BKX-41",'SKU明细'!$A$11:$A$1309,0)),INDEX('SKU明细'!$BY$11:$BY$1309,MATCH("1S01-BKX-41.5",'SKU明细'!$A$11:$A$1309,0)),INDEX('SKU明细'!$BY$11:$BY$1309,MATCH("1S01-BKX-42",'SKU明细'!$A$11:$A$1309,0))),"待核")</x:f>
        <x:v>0</x:v>
      </x:c>
      <x:c r="Z122" s="11" t="n">
        <x:f>INDEX('SKU明细'!$BZ$11:$BZ$1309,MATCH("1S01-BKX-37",'SKU明细'!$A$11:$A$1309,0))</x:f>
        <x:v>0.8057375774163482</x:v>
      </x:c>
      <x:c r="AA122" s="13" t="n">
        <x:f>IF(COUNT(INDEX('SKU明细'!$CB$11:$CB$1309,MATCH("1S01-BKX-37",'SKU明细'!$A$11:$A$1309,0)),INDEX('SKU明细'!$CB$11:$CB$1309,MATCH("1S01-BKX-37.5",'SKU明细'!$A$11:$A$1309,0)),INDEX('SKU明细'!$CB$11:$CB$1309,MATCH("1S01-BKX-38",'SKU明细'!$A$11:$A$1309,0)),INDEX('SKU明细'!$CB$11:$CB$1309,MATCH("1S01-BKX-38.5",'SKU明细'!$A$11:$A$1309,0)),INDEX('SKU明细'!$CB$11:$CB$1309,MATCH("1S01-BKX-39",'SKU明细'!$A$11:$A$1309,0)),INDEX('SKU明细'!$CB$11:$CB$1309,MATCH("1S01-BKX-39.5",'SKU明细'!$A$11:$A$1309,0)),INDEX('SKU明细'!$CB$11:$CB$1309,MATCH("1S01-BKX-40",'SKU明细'!$A$11:$A$1309,0)),INDEX('SKU明细'!$CB$11:$CB$1309,MATCH("1S01-BKX-40.5",'SKU明细'!$A$11:$A$1309,0)),INDEX('SKU明细'!$CB$11:$CB$1309,MATCH("1S01-BKX-41",'SKU明细'!$A$11:$A$1309,0)),INDEX('SKU明细'!$CB$11:$CB$1309,MATCH("1S01-BKX-41.5",'SKU明细'!$A$11:$A$1309,0)),INDEX('SKU明细'!$CB$11:$CB$1309,MATCH("1S01-BKX-42",'SKU明细'!$A$11:$A$1309,0)))=11,SUM(INDEX('SKU明细'!$CB$11:$CB$1309,MATCH("1S01-BKX-37",'SKU明细'!$A$11:$A$1309,0)),INDEX('SKU明细'!$CB$11:$CB$1309,MATCH("1S01-BKX-37.5",'SKU明细'!$A$11:$A$1309,0)),INDEX('SKU明细'!$CB$11:$CB$1309,MATCH("1S01-BKX-38",'SKU明细'!$A$11:$A$1309,0)),INDEX('SKU明细'!$CB$11:$CB$1309,MATCH("1S01-BKX-38.5",'SKU明细'!$A$11:$A$1309,0)),INDEX('SKU明细'!$CB$11:$CB$1309,MATCH("1S01-BKX-39",'SKU明细'!$A$11:$A$1309,0)),INDEX('SKU明细'!$CB$11:$CB$1309,MATCH("1S01-BKX-39.5",'SKU明细'!$A$11:$A$1309,0)),INDEX('SKU明细'!$CB$11:$CB$1309,MATCH("1S01-BKX-40",'SKU明细'!$A$11:$A$1309,0)),INDEX('SKU明细'!$CB$11:$CB$1309,MATCH("1S01-BKX-40.5",'SKU明细'!$A$11:$A$1309,0)),INDEX('SKU明细'!$CB$11:$CB$1309,MATCH("1S01-BKX-41",'SKU明细'!$A$11:$A$1309,0)),INDEX('SKU明细'!$CB$11:$CB$1309,MATCH("1S01-BKX-41.5",'SKU明细'!$A$11:$A$1309,0)),INDEX('SKU明细'!$CB$11:$CB$1309,MATCH("1S01-BKX-42",'SKU明细'!$A$11:$A$1309,0))),"待核")</x:f>
        <x:v>0</x:v>
      </x:c>
      <x:c r="AB122" s="11" t="n">
        <x:f>INDEX('SKU明细'!$CC$11:$CC$1309,MATCH("1S01-BKX-37",'SKU明细'!$A$11:$A$1309,0))</x:f>
        <x:v>0.532550303142279</x:v>
      </x:c>
      <x:c r="AC122" s="13" t="n">
        <x:f>IF(COUNT(INDEX('SKU明细'!$CE$11:$CE$1309,MATCH("1S01-BKX-37",'SKU明细'!$A$11:$A$1309,0)),INDEX('SKU明细'!$CE$11:$CE$1309,MATCH("1S01-BKX-37.5",'SKU明细'!$A$11:$A$1309,0)),INDEX('SKU明细'!$CE$11:$CE$1309,MATCH("1S01-BKX-38",'SKU明细'!$A$11:$A$1309,0)),INDEX('SKU明细'!$CE$11:$CE$1309,MATCH("1S01-BKX-38.5",'SKU明细'!$A$11:$A$1309,0)),INDEX('SKU明细'!$CE$11:$CE$1309,MATCH("1S01-BKX-39",'SKU明细'!$A$11:$A$1309,0)),INDEX('SKU明细'!$CE$11:$CE$1309,MATCH("1S01-BKX-39.5",'SKU明细'!$A$11:$A$1309,0)),INDEX('SKU明细'!$CE$11:$CE$1309,MATCH("1S01-BKX-40",'SKU明细'!$A$11:$A$1309,0)),INDEX('SKU明细'!$CE$11:$CE$1309,MATCH("1S01-BKX-40.5",'SKU明细'!$A$11:$A$1309,0)),INDEX('SKU明细'!$CE$11:$CE$1309,MATCH("1S01-BKX-41",'SKU明细'!$A$11:$A$1309,0)),INDEX('SKU明细'!$CE$11:$CE$1309,MATCH("1S01-BKX-41.5",'SKU明细'!$A$11:$A$1309,0)),INDEX('SKU明细'!$CE$11:$CE$1309,MATCH("1S01-BKX-42",'SKU明细'!$A$11:$A$1309,0)))=11,SUM(INDEX('SKU明细'!$CE$11:$CE$1309,MATCH("1S01-BKX-37",'SKU明细'!$A$11:$A$1309,0)),INDEX('SKU明细'!$CE$11:$CE$1309,MATCH("1S01-BKX-37.5",'SKU明细'!$A$11:$A$1309,0)),INDEX('SKU明细'!$CE$11:$CE$1309,MATCH("1S01-BKX-38",'SKU明细'!$A$11:$A$1309,0)),INDEX('SKU明细'!$CE$11:$CE$1309,MATCH("1S01-BKX-38.5",'SKU明细'!$A$11:$A$1309,0)),INDEX('SKU明细'!$CE$11:$CE$1309,MATCH("1S01-BKX-39",'SKU明细'!$A$11:$A$1309,0)),INDEX('SKU明细'!$CE$11:$CE$1309,MATCH("1S01-BKX-39.5",'SKU明细'!$A$11:$A$1309,0)),INDEX('SKU明细'!$CE$11:$CE$1309,MATCH("1S01-BKX-40",'SKU明细'!$A$11:$A$1309,0)),INDEX('SKU明细'!$CE$11:$CE$1309,MATCH("1S01-BKX-40.5",'SKU明细'!$A$11:$A$1309,0)),INDEX('SKU明细'!$CE$11:$CE$1309,MATCH("1S01-BKX-41",'SKU明细'!$A$11:$A$1309,0)),INDEX('SKU明细'!$CE$11:$CE$1309,MATCH("1S01-BKX-41.5",'SKU明细'!$A$11:$A$1309,0)),INDEX('SKU明细'!$CE$11:$CE$1309,MATCH("1S01-BKX-42",'SKU明细'!$A$11:$A$1309,0))),"待核")</x:f>
        <x:v>0</x:v>
      </x:c>
      <x:c r="AD122" s="11" t="n">
        <x:f>INDEX('SKU明细'!$CF$11:$CF$1309,MATCH("1S01-BKX-37",'SKU明细'!$A$11:$A$1309,0))</x:f>
        <x:v>0.7517299265337036</x:v>
      </x:c>
      <x:c r="AE122" s="13" t="n">
        <x:f>IF(COUNT(INDEX('SKU明细'!$CH$11:$CH$1309,MATCH("1S01-BKX-37",'SKU明细'!$A$11:$A$1309,0)),INDEX('SKU明细'!$CH$11:$CH$1309,MATCH("1S01-BKX-37.5",'SKU明细'!$A$11:$A$1309,0)),INDEX('SKU明细'!$CH$11:$CH$1309,MATCH("1S01-BKX-38",'SKU明细'!$A$11:$A$1309,0)),INDEX('SKU明细'!$CH$11:$CH$1309,MATCH("1S01-BKX-38.5",'SKU明细'!$A$11:$A$1309,0)),INDEX('SKU明细'!$CH$11:$CH$1309,MATCH("1S01-BKX-39",'SKU明细'!$A$11:$A$1309,0)),INDEX('SKU明细'!$CH$11:$CH$1309,MATCH("1S01-BKX-39.5",'SKU明细'!$A$11:$A$1309,0)),INDEX('SKU明细'!$CH$11:$CH$1309,MATCH("1S01-BKX-40",'SKU明细'!$A$11:$A$1309,0)),INDEX('SKU明细'!$CH$11:$CH$1309,MATCH("1S01-BKX-40.5",'SKU明细'!$A$11:$A$1309,0)),INDEX('SKU明细'!$CH$11:$CH$1309,MATCH("1S01-BKX-41",'SKU明细'!$A$11:$A$1309,0)),INDEX('SKU明细'!$CH$11:$CH$1309,MATCH("1S01-BKX-41.5",'SKU明细'!$A$11:$A$1309,0)),INDEX('SKU明细'!$CH$11:$CH$1309,MATCH("1S01-BKX-42",'SKU明细'!$A$11:$A$1309,0)))=11,SUM(INDEX('SKU明细'!$CH$11:$CH$1309,MATCH("1S01-BKX-37",'SKU明细'!$A$11:$A$1309,0)),INDEX('SKU明细'!$CH$11:$CH$1309,MATCH("1S01-BKX-37.5",'SKU明细'!$A$11:$A$1309,0)),INDEX('SKU明细'!$CH$11:$CH$1309,MATCH("1S01-BKX-38",'SKU明细'!$A$11:$A$1309,0)),INDEX('SKU明细'!$CH$11:$CH$1309,MATCH("1S01-BKX-38.5",'SKU明细'!$A$11:$A$1309,0)),INDEX('SKU明细'!$CH$11:$CH$1309,MATCH("1S01-BKX-39",'SKU明细'!$A$11:$A$1309,0)),INDEX('SKU明细'!$CH$11:$CH$1309,MATCH("1S01-BKX-39.5",'SKU明细'!$A$11:$A$1309,0)),INDEX('SKU明细'!$CH$11:$CH$1309,MATCH("1S01-BKX-40",'SKU明细'!$A$11:$A$1309,0)),INDEX('SKU明细'!$CH$11:$CH$1309,MATCH("1S01-BKX-40.5",'SKU明细'!$A$11:$A$1309,0)),INDEX('SKU明细'!$CH$11:$CH$1309,MATCH("1S01-BKX-41",'SKU明细'!$A$11:$A$1309,0)),INDEX('SKU明细'!$CH$11:$CH$1309,MATCH("1S01-BKX-41.5",'SKU明细'!$A$11:$A$1309,0)),INDEX('SKU明细'!$CH$11:$CH$1309,MATCH("1S01-BKX-42",'SKU明细'!$A$11:$A$1309,0))),"待核")</x:f>
        <x:v>0</x:v>
      </x:c>
      <x:c r="AF122" s="13" t="n">
        <x:f>IF(COUNT(INDEX('SKU明细'!$CI$11:$CI$1309,MATCH("1S01-BKX-37",'SKU明细'!$A$11:$A$1309,0)),INDEX('SKU明细'!$CI$11:$CI$1309,MATCH("1S01-BKX-37.5",'SKU明细'!$A$11:$A$1309,0)),INDEX('SKU明细'!$CI$11:$CI$1309,MATCH("1S01-BKX-38",'SKU明细'!$A$11:$A$1309,0)),INDEX('SKU明细'!$CI$11:$CI$1309,MATCH("1S01-BKX-38.5",'SKU明细'!$A$11:$A$1309,0)),INDEX('SKU明细'!$CI$11:$CI$1309,MATCH("1S01-BKX-39",'SKU明细'!$A$11:$A$1309,0)),INDEX('SKU明细'!$CI$11:$CI$1309,MATCH("1S01-BKX-39.5",'SKU明细'!$A$11:$A$1309,0)),INDEX('SKU明细'!$CI$11:$CI$1309,MATCH("1S01-BKX-40",'SKU明细'!$A$11:$A$1309,0)),INDEX('SKU明细'!$CI$11:$CI$1309,MATCH("1S01-BKX-40.5",'SKU明细'!$A$11:$A$1309,0)),INDEX('SKU明细'!$CI$11:$CI$1309,MATCH("1S01-BKX-41",'SKU明细'!$A$11:$A$1309,0)),INDEX('SKU明细'!$CI$11:$CI$1309,MATCH("1S01-BKX-41.5",'SKU明细'!$A$11:$A$1309,0)),INDEX('SKU明细'!$CI$11:$CI$1309,MATCH("1S01-BKX-42",'SKU明细'!$A$11:$A$1309,0)))=11,SUM(INDEX('SKU明细'!$CI$11:$CI$1309,MATCH("1S01-BKX-37",'SKU明细'!$A$11:$A$1309,0)),INDEX('SKU明细'!$CI$11:$CI$1309,MATCH("1S01-BKX-37.5",'SKU明细'!$A$11:$A$1309,0)),INDEX('SKU明细'!$CI$11:$CI$1309,MATCH("1S01-BKX-38",'SKU明细'!$A$11:$A$1309,0)),INDEX('SKU明细'!$CI$11:$CI$1309,MATCH("1S01-BKX-38.5",'SKU明细'!$A$11:$A$1309,0)),INDEX('SKU明细'!$CI$11:$CI$1309,MATCH("1S01-BKX-39",'SKU明细'!$A$11:$A$1309,0)),INDEX('SKU明细'!$CI$11:$CI$1309,MATCH("1S01-BKX-39.5",'SKU明细'!$A$11:$A$1309,0)),INDEX('SKU明细'!$CI$11:$CI$1309,MATCH("1S01-BKX-40",'SKU明细'!$A$11:$A$1309,0)),INDEX('SKU明细'!$CI$11:$CI$1309,MATCH("1S01-BKX-40.5",'SKU明细'!$A$11:$A$1309,0)),INDEX('SKU明细'!$CI$11:$CI$1309,MATCH("1S01-BKX-41",'SKU明细'!$A$11:$A$1309,0)),INDEX('SKU明细'!$CI$11:$CI$1309,MATCH("1S01-BKX-41.5",'SKU明细'!$A$11:$A$1309,0)),INDEX('SKU明细'!$CI$11:$CI$1309,MATCH("1S01-BKX-42",'SKU明细'!$A$11:$A$1309,0))),"待核")</x:f>
        <x:v>0</x:v>
      </x:c>
    </x:row>
    <x:row r="123" ht="40" customHeight="1">
      <x:c r="A123" s="37" t="str">
        <x:v>1S01</x:v>
      </x:c>
      <x:c r="B123" s="37" t="str">
        <x:v>徐新怡</x:v>
      </x:c>
      <x:c r="C123" s="37" t="str">
        <x:v>黑色</x:v>
      </x:c>
      <x:c r="D123" s="37" t="str">
        <x:v>BLK</x:v>
      </x:c>
      <x:c r="E123" s="37" t="str">
        <x:v>1S01-BLK</x:v>
      </x:c>
      <x:c r="F123" s="37"/>
      <x:c r="G123" s="38" t="n">
        <x:f>IF(COUNT(INDEX('SKU明细'!$D$11:$D$1309,MATCH("1S01-BLK-36",'SKU明细'!$A$11:$A$1309,0)))=0,"待核",IF(COUNT(INDEX('SKU明细'!$D$11:$D$1309,MATCH("1S01-BLK-36",'SKU明细'!$A$11:$A$1309,0)))&lt;1,SUM(INDEX('SKU明细'!$D$11:$D$1309,MATCH("1S01-BLK-36",'SKU明细'!$A$11:$A$1309,0)))&amp;" + 待核",SUM(INDEX('SKU明细'!$D$11:$D$1309,MATCH("1S01-BLK-36",'SKU明细'!$A$11:$A$1309,0)))))</x:f>
        <x:v>0</x:v>
      </x:c>
      <x:c r="H123" s="38" t="n">
        <x:f>IF(COUNT(INDEX('SKU明细'!$D$11:$D$1309,MATCH("1S01-BLK-37",'SKU明细'!$A$11:$A$1309,0)))=0,"待核",IF(COUNT(INDEX('SKU明细'!$D$11:$D$1309,MATCH("1S01-BLK-37",'SKU明细'!$A$11:$A$1309,0)))&lt;1,SUM(INDEX('SKU明细'!$D$11:$D$1309,MATCH("1S01-BLK-37",'SKU明细'!$A$11:$A$1309,0)))&amp;" + 待核",SUM(INDEX('SKU明细'!$D$11:$D$1309,MATCH("1S01-BLK-37",'SKU明细'!$A$11:$A$1309,0)))))</x:f>
        <x:v>0</x:v>
      </x:c>
      <x:c r="I123" s="38" t="n">
        <x:f>IF(COUNT(INDEX('SKU明细'!$D$11:$D$1309,MATCH("1S01-BLK-37.5",'SKU明细'!$A$11:$A$1309,0)))=0,"待核",IF(COUNT(INDEX('SKU明细'!$D$11:$D$1309,MATCH("1S01-BLK-37.5",'SKU明细'!$A$11:$A$1309,0)))&lt;1,SUM(INDEX('SKU明细'!$D$11:$D$1309,MATCH("1S01-BLK-37.5",'SKU明细'!$A$11:$A$1309,0)))&amp;" + 待核",SUM(INDEX('SKU明细'!$D$11:$D$1309,MATCH("1S01-BLK-37.5",'SKU明细'!$A$11:$A$1309,0)))))</x:f>
        <x:v>0</x:v>
      </x:c>
      <x:c r="J123" s="38" t="n">
        <x:f>IF(COUNT(INDEX('SKU明细'!$D$11:$D$1309,MATCH("1S01-BLK-38",'SKU明细'!$A$11:$A$1309,0)))=0,"待核",IF(COUNT(INDEX('SKU明细'!$D$11:$D$1309,MATCH("1S01-BLK-38",'SKU明细'!$A$11:$A$1309,0)))&lt;1,SUM(INDEX('SKU明细'!$D$11:$D$1309,MATCH("1S01-BLK-38",'SKU明细'!$A$11:$A$1309,0)))&amp;" + 待核",SUM(INDEX('SKU明细'!$D$11:$D$1309,MATCH("1S01-BLK-38",'SKU明细'!$A$11:$A$1309,0)))))</x:f>
        <x:v>4</x:v>
      </x:c>
      <x:c r="K123" s="38" t="n">
        <x:f>IF(COUNT(INDEX('SKU明细'!$D$11:$D$1309,MATCH("1S01-BLK-38.5",'SKU明细'!$A$11:$A$1309,0)))=0,"待核",IF(COUNT(INDEX('SKU明细'!$D$11:$D$1309,MATCH("1S01-BLK-38.5",'SKU明细'!$A$11:$A$1309,0)))&lt;1,SUM(INDEX('SKU明细'!$D$11:$D$1309,MATCH("1S01-BLK-38.5",'SKU明细'!$A$11:$A$1309,0)))&amp;" + 待核",SUM(INDEX('SKU明细'!$D$11:$D$1309,MATCH("1S01-BLK-38.5",'SKU明细'!$A$11:$A$1309,0)))))</x:f>
        <x:v>0</x:v>
      </x:c>
      <x:c r="L123" s="38" t="n">
        <x:f>IF(COUNT(INDEX('SKU明细'!$D$11:$D$1309,MATCH("1S01-BLK-39",'SKU明细'!$A$11:$A$1309,0)))=0,"待核",IF(COUNT(INDEX('SKU明细'!$D$11:$D$1309,MATCH("1S01-BLK-39",'SKU明细'!$A$11:$A$1309,0)))&lt;1,SUM(INDEX('SKU明细'!$D$11:$D$1309,MATCH("1S01-BLK-39",'SKU明细'!$A$11:$A$1309,0)))&amp;" + 待核",SUM(INDEX('SKU明细'!$D$11:$D$1309,MATCH("1S01-BLK-39",'SKU明细'!$A$11:$A$1309,0)))))</x:f>
        <x:v>0</x:v>
      </x:c>
      <x:c r="M123" s="38" t="n">
        <x:f>IF(COUNT(INDEX('SKU明细'!$D$11:$D$1309,MATCH("1S01-BLK-39.5",'SKU明细'!$A$11:$A$1309,0)))=0,"待核",IF(COUNT(INDEX('SKU明细'!$D$11:$D$1309,MATCH("1S01-BLK-39.5",'SKU明细'!$A$11:$A$1309,0)))&lt;1,SUM(INDEX('SKU明细'!$D$11:$D$1309,MATCH("1S01-BLK-39.5",'SKU明细'!$A$11:$A$1309,0)))&amp;" + 待核",SUM(INDEX('SKU明细'!$D$11:$D$1309,MATCH("1S01-BLK-39.5",'SKU明细'!$A$11:$A$1309,0)))))</x:f>
        <x:v>0</x:v>
      </x:c>
      <x:c r="N123" s="38" t="n">
        <x:f>IF(COUNT(INDEX('SKU明细'!$D$11:$D$1309,MATCH("1S01-BLK-40",'SKU明细'!$A$11:$A$1309,0)))=0,"待核",IF(COUNT(INDEX('SKU明细'!$D$11:$D$1309,MATCH("1S01-BLK-40",'SKU明细'!$A$11:$A$1309,0)))&lt;1,SUM(INDEX('SKU明细'!$D$11:$D$1309,MATCH("1S01-BLK-40",'SKU明细'!$A$11:$A$1309,0)))&amp;" + 待核",SUM(INDEX('SKU明细'!$D$11:$D$1309,MATCH("1S01-BLK-40",'SKU明细'!$A$11:$A$1309,0)))))</x:f>
        <x:v>0</x:v>
      </x:c>
      <x:c r="O123" s="38" t="n">
        <x:f>IF(COUNT(INDEX('SKU明细'!$D$11:$D$1309,MATCH("1S01-BLK-40.5",'SKU明细'!$A$11:$A$1309,0)))=0,"待核",IF(COUNT(INDEX('SKU明细'!$D$11:$D$1309,MATCH("1S01-BLK-40.5",'SKU明细'!$A$11:$A$1309,0)))&lt;1,SUM(INDEX('SKU明细'!$D$11:$D$1309,MATCH("1S01-BLK-40.5",'SKU明细'!$A$11:$A$1309,0)))&amp;" + 待核",SUM(INDEX('SKU明细'!$D$11:$D$1309,MATCH("1S01-BLK-40.5",'SKU明细'!$A$11:$A$1309,0)))))</x:f>
        <x:v>0</x:v>
      </x:c>
      <x:c r="P123" s="38" t="n">
        <x:f>IF(COUNT(INDEX('SKU明细'!$D$11:$D$1309,MATCH("1S01-BLK-41",'SKU明细'!$A$11:$A$1309,0)))=0,"待核",IF(COUNT(INDEX('SKU明细'!$D$11:$D$1309,MATCH("1S01-BLK-41",'SKU明细'!$A$11:$A$1309,0)))&lt;1,SUM(INDEX('SKU明细'!$D$11:$D$1309,MATCH("1S01-BLK-41",'SKU明细'!$A$11:$A$1309,0)))&amp;" + 待核",SUM(INDEX('SKU明细'!$D$11:$D$1309,MATCH("1S01-BLK-41",'SKU明细'!$A$11:$A$1309,0)))))</x:f>
        <x:v>20</x:v>
      </x:c>
      <x:c r="Q123" s="38" t="n">
        <x:f>IF(COUNT(INDEX('SKU明细'!$D$11:$D$1309,MATCH("1S01-BLK-41.5",'SKU明细'!$A$11:$A$1309,0)))=0,"待核",IF(COUNT(INDEX('SKU明细'!$D$11:$D$1309,MATCH("1S01-BLK-41.5",'SKU明细'!$A$11:$A$1309,0)))&lt;1,SUM(INDEX('SKU明细'!$D$11:$D$1309,MATCH("1S01-BLK-41.5",'SKU明细'!$A$11:$A$1309,0)))&amp;" + 待核",SUM(INDEX('SKU明细'!$D$11:$D$1309,MATCH("1S01-BLK-41.5",'SKU明细'!$A$11:$A$1309,0)))))</x:f>
        <x:v>0</x:v>
      </x:c>
      <x:c r="R123" s="38" t="n">
        <x:f>IF(COUNT(INDEX('SKU明细'!$D$11:$D$1309,MATCH("1S01-BLK-42",'SKU明细'!$A$11:$A$1309,0)))=0,"待核",IF(COUNT(INDEX('SKU明细'!$D$11:$D$1309,MATCH("1S01-BLK-42",'SKU明细'!$A$11:$A$1309,0)))&lt;1,SUM(INDEX('SKU明细'!$D$11:$D$1309,MATCH("1S01-BLK-42",'SKU明细'!$A$11:$A$1309,0)))&amp;" + 待核",SUM(INDEX('SKU明细'!$D$11:$D$1309,MATCH("1S01-BLK-42",'SKU明细'!$A$11:$A$1309,0)))))</x:f>
        <x:v>0</x:v>
      </x:c>
      <x:c r="S123" s="38" t="n">
        <x:f>IF(COUNT(INDEX('SKU明细'!$D$11:$D$1309,MATCH("1S01-BLK-36",'SKU明细'!$A$11:$A$1309,0)),INDEX('SKU明细'!$D$11:$D$1309,MATCH("1S01-BLK-37",'SKU明细'!$A$11:$A$1309,0)),INDEX('SKU明细'!$D$11:$D$1309,MATCH("1S01-BLK-37.5",'SKU明细'!$A$11:$A$1309,0)),INDEX('SKU明细'!$D$11:$D$1309,MATCH("1S01-BLK-38",'SKU明细'!$A$11:$A$1309,0)),INDEX('SKU明细'!$D$11:$D$1309,MATCH("1S01-BLK-38.5",'SKU明细'!$A$11:$A$1309,0)),INDEX('SKU明细'!$D$11:$D$1309,MATCH("1S01-BLK-39",'SKU明细'!$A$11:$A$1309,0)),INDEX('SKU明细'!$D$11:$D$1309,MATCH("1S01-BLK-39.5",'SKU明细'!$A$11:$A$1309,0)),INDEX('SKU明细'!$D$11:$D$1309,MATCH("1S01-BLK-40",'SKU明细'!$A$11:$A$1309,0)),INDEX('SKU明细'!$D$11:$D$1309,MATCH("1S01-BLK-40.5",'SKU明细'!$A$11:$A$1309,0)),INDEX('SKU明细'!$D$11:$D$1309,MATCH("1S01-BLK-41",'SKU明细'!$A$11:$A$1309,0)),INDEX('SKU明细'!$D$11:$D$1309,MATCH("1S01-BLK-41.5",'SKU明细'!$A$11:$A$1309,0)),INDEX('SKU明细'!$D$11:$D$1309,MATCH("1S01-BLK-42",'SKU明细'!$A$11:$A$1309,0)))=0,"待核",SUM(INDEX('SKU明细'!$D$11:$D$1309,MATCH("1S01-BLK-36",'SKU明细'!$A$11:$A$1309,0)),INDEX('SKU明细'!$D$11:$D$1309,MATCH("1S01-BLK-37",'SKU明细'!$A$11:$A$1309,0)),INDEX('SKU明细'!$D$11:$D$1309,MATCH("1S01-BLK-37.5",'SKU明细'!$A$11:$A$1309,0)),INDEX('SKU明细'!$D$11:$D$1309,MATCH("1S01-BLK-38",'SKU明细'!$A$11:$A$1309,0)),INDEX('SKU明细'!$D$11:$D$1309,MATCH("1S01-BLK-38.5",'SKU明细'!$A$11:$A$1309,0)),INDEX('SKU明细'!$D$11:$D$1309,MATCH("1S01-BLK-39",'SKU明细'!$A$11:$A$1309,0)),INDEX('SKU明细'!$D$11:$D$1309,MATCH("1S01-BLK-39.5",'SKU明细'!$A$11:$A$1309,0)),INDEX('SKU明细'!$D$11:$D$1309,MATCH("1S01-BLK-40",'SKU明细'!$A$11:$A$1309,0)),INDEX('SKU明细'!$D$11:$D$1309,MATCH("1S01-BLK-40.5",'SKU明细'!$A$11:$A$1309,0)),INDEX('SKU明细'!$D$11:$D$1309,MATCH("1S01-BLK-41",'SKU明细'!$A$11:$A$1309,0)),INDEX('SKU明细'!$D$11:$D$1309,MATCH("1S01-BLK-41.5",'SKU明细'!$A$11:$A$1309,0)),INDEX('SKU明细'!$D$11:$D$1309,MATCH("1S01-BLK-42",'SKU明细'!$A$11:$A$1309,0))))</x:f>
        <x:v>24</x:v>
      </x:c>
      <x:c r="T123" s="38" t="n">
        <x:f>IF(COUNTIFS($A$9:$A$191,A123,$U$9:$U$191,"&lt;&gt;待核")=0,"待核",SUMIF($A$9:$A$191,A123,$S$9:$S$191))</x:f>
        <x:v>141</x:v>
      </x:c>
      <x:c r="U123" s="37" t="str">
        <x:f>IF(COUNT(INDEX('SKU明细'!$D$11:$D$1309,MATCH("1S01-BLK-36",'SKU明细'!$A$11:$A$1309,0)),INDEX('SKU明细'!$D$11:$D$1309,MATCH("1S01-BLK-37",'SKU明细'!$A$11:$A$1309,0)),INDEX('SKU明细'!$D$11:$D$1309,MATCH("1S01-BLK-37.5",'SKU明细'!$A$11:$A$1309,0)),INDEX('SKU明细'!$D$11:$D$1309,MATCH("1S01-BLK-38",'SKU明细'!$A$11:$A$1309,0)),INDEX('SKU明细'!$D$11:$D$1309,MATCH("1S01-BLK-38.5",'SKU明细'!$A$11:$A$1309,0)),INDEX('SKU明细'!$D$11:$D$1309,MATCH("1S01-BLK-39",'SKU明细'!$A$11:$A$1309,0)),INDEX('SKU明细'!$D$11:$D$1309,MATCH("1S01-BLK-39.5",'SKU明细'!$A$11:$A$1309,0)),INDEX('SKU明细'!$D$11:$D$1309,MATCH("1S01-BLK-40",'SKU明细'!$A$11:$A$1309,0)),INDEX('SKU明细'!$D$11:$D$1309,MATCH("1S01-BLK-40.5",'SKU明细'!$A$11:$A$1309,0)),INDEX('SKU明细'!$D$11:$D$1309,MATCH("1S01-BLK-41",'SKU明细'!$A$11:$A$1309,0)),INDEX('SKU明细'!$D$11:$D$1309,MATCH("1S01-BLK-41.5",'SKU明细'!$A$11:$A$1309,0)),INDEX('SKU明细'!$D$11:$D$1309,MATCH("1S01-BLK-42",'SKU明细'!$A$11:$A$1309,0)))=0,"待核",IF(COUNT(INDEX('SKU明细'!$D$11:$D$1309,MATCH("1S01-BLK-36",'SKU明细'!$A$11:$A$1309,0)),INDEX('SKU明细'!$D$11:$D$1309,MATCH("1S01-BLK-37",'SKU明细'!$A$11:$A$1309,0)),INDEX('SKU明细'!$D$11:$D$1309,MATCH("1S01-BLK-37.5",'SKU明细'!$A$11:$A$1309,0)),INDEX('SKU明细'!$D$11:$D$1309,MATCH("1S01-BLK-38",'SKU明细'!$A$11:$A$1309,0)),INDEX('SKU明细'!$D$11:$D$1309,MATCH("1S01-BLK-38.5",'SKU明细'!$A$11:$A$1309,0)),INDEX('SKU明细'!$D$11:$D$1309,MATCH("1S01-BLK-39",'SKU明细'!$A$11:$A$1309,0)),INDEX('SKU明细'!$D$11:$D$1309,MATCH("1S01-BLK-39.5",'SKU明细'!$A$11:$A$1309,0)),INDEX('SKU明细'!$D$11:$D$1309,MATCH("1S01-BLK-40",'SKU明细'!$A$11:$A$1309,0)),INDEX('SKU明细'!$D$11:$D$1309,MATCH("1S01-BLK-40.5",'SKU明细'!$A$11:$A$1309,0)),INDEX('SKU明细'!$D$11:$D$1309,MATCH("1S01-BLK-41",'SKU明细'!$A$11:$A$1309,0)),INDEX('SKU明细'!$D$11:$D$1309,MATCH("1S01-BLK-41.5",'SKU明细'!$A$11:$A$1309,0)),INDEX('SKU明细'!$D$11:$D$1309,MATCH("1S01-BLK-42",'SKU明细'!$A$11:$A$1309,0)))&lt;12,"另有待核","已核"))</x:f>
        <x:v>已核</x:v>
      </x:c>
      <x:c r="V123" s="37" t="str">
        <x:v>停售、在售</x:v>
      </x:c>
      <x:c r="W123" s="11" t="n">
        <x:f>IF(COUNT(INDEX('SKU明细'!$BV$11:$BV$1309,MATCH("1S01-BLK-36",'SKU明细'!$A$11:$A$1309,0)),INDEX('SKU明细'!$BV$11:$BV$1309,MATCH("1S01-BLK-37",'SKU明细'!$A$11:$A$1309,0)),INDEX('SKU明细'!$BV$11:$BV$1309,MATCH("1S01-BLK-37.5",'SKU明细'!$A$11:$A$1309,0)),INDEX('SKU明细'!$BV$11:$BV$1309,MATCH("1S01-BLK-38",'SKU明细'!$A$11:$A$1309,0)),INDEX('SKU明细'!$BV$11:$BV$1309,MATCH("1S01-BLK-38.5",'SKU明细'!$A$11:$A$1309,0)),INDEX('SKU明细'!$BV$11:$BV$1309,MATCH("1S01-BLK-39",'SKU明细'!$A$11:$A$1309,0)),INDEX('SKU明细'!$BV$11:$BV$1309,MATCH("1S01-BLK-39.5",'SKU明细'!$A$11:$A$1309,0)),INDEX('SKU明细'!$BV$11:$BV$1309,MATCH("1S01-BLK-40",'SKU明细'!$A$11:$A$1309,0)),INDEX('SKU明细'!$BV$11:$BV$1309,MATCH("1S01-BLK-40.5",'SKU明细'!$A$11:$A$1309,0)),INDEX('SKU明细'!$BV$11:$BV$1309,MATCH("1S01-BLK-41",'SKU明细'!$A$11:$A$1309,0)),INDEX('SKU明细'!$BV$11:$BV$1309,MATCH("1S01-BLK-41.5",'SKU明细'!$A$11:$A$1309,0)),INDEX('SKU明细'!$BV$11:$BV$1309,MATCH("1S01-BLK-42",'SKU明细'!$A$11:$A$1309,0)))=12,SUM(INDEX('SKU明细'!$BV$11:$BV$1309,MATCH("1S01-BLK-36",'SKU明细'!$A$11:$A$1309,0)),INDEX('SKU明细'!$BV$11:$BV$1309,MATCH("1S01-BLK-37",'SKU明细'!$A$11:$A$1309,0)),INDEX('SKU明细'!$BV$11:$BV$1309,MATCH("1S01-BLK-37.5",'SKU明细'!$A$11:$A$1309,0)),INDEX('SKU明细'!$BV$11:$BV$1309,MATCH("1S01-BLK-38",'SKU明细'!$A$11:$A$1309,0)),INDEX('SKU明细'!$BV$11:$BV$1309,MATCH("1S01-BLK-38.5",'SKU明细'!$A$11:$A$1309,0)),INDEX('SKU明细'!$BV$11:$BV$1309,MATCH("1S01-BLK-39",'SKU明细'!$A$11:$A$1309,0)),INDEX('SKU明细'!$BV$11:$BV$1309,MATCH("1S01-BLK-39.5",'SKU明细'!$A$11:$A$1309,0)),INDEX('SKU明细'!$BV$11:$BV$1309,MATCH("1S01-BLK-40",'SKU明细'!$A$11:$A$1309,0)),INDEX('SKU明细'!$BV$11:$BV$1309,MATCH("1S01-BLK-40.5",'SKU明细'!$A$11:$A$1309,0)),INDEX('SKU明细'!$BV$11:$BV$1309,MATCH("1S01-BLK-41",'SKU明细'!$A$11:$A$1309,0)),INDEX('SKU明细'!$BV$11:$BV$1309,MATCH("1S01-BLK-41.5",'SKU明细'!$A$11:$A$1309,0)),INDEX('SKU明细'!$BV$11:$BV$1309,MATCH("1S01-BLK-42",'SKU明细'!$A$11:$A$1309,0))),"待核")</x:f>
        <x:v>6.2314584474131065</x:v>
      </x:c>
      <x:c r="X123" s="11" t="n">
        <x:f>INDEX('SKU明细'!$BW$11:$BW$1309,MATCH("1S01-BLK-36",'SKU明细'!$A$11:$A$1309,0))</x:f>
        <x:v>0.8729500662042875</x:v>
      </x:c>
      <x:c r="Y123" s="13" t="n">
        <x:f>IF(COUNT(INDEX('SKU明细'!$BY$11:$BY$1309,MATCH("1S01-BLK-36",'SKU明细'!$A$11:$A$1309,0)),INDEX('SKU明细'!$BY$11:$BY$1309,MATCH("1S01-BLK-37",'SKU明细'!$A$11:$A$1309,0)),INDEX('SKU明细'!$BY$11:$BY$1309,MATCH("1S01-BLK-37.5",'SKU明细'!$A$11:$A$1309,0)),INDEX('SKU明细'!$BY$11:$BY$1309,MATCH("1S01-BLK-38",'SKU明细'!$A$11:$A$1309,0)),INDEX('SKU明细'!$BY$11:$BY$1309,MATCH("1S01-BLK-38.5",'SKU明细'!$A$11:$A$1309,0)),INDEX('SKU明细'!$BY$11:$BY$1309,MATCH("1S01-BLK-39",'SKU明细'!$A$11:$A$1309,0)),INDEX('SKU明细'!$BY$11:$BY$1309,MATCH("1S01-BLK-39.5",'SKU明细'!$A$11:$A$1309,0)),INDEX('SKU明细'!$BY$11:$BY$1309,MATCH("1S01-BLK-40",'SKU明细'!$A$11:$A$1309,0)),INDEX('SKU明细'!$BY$11:$BY$1309,MATCH("1S01-BLK-40.5",'SKU明细'!$A$11:$A$1309,0)),INDEX('SKU明细'!$BY$11:$BY$1309,MATCH("1S01-BLK-41",'SKU明细'!$A$11:$A$1309,0)),INDEX('SKU明细'!$BY$11:$BY$1309,MATCH("1S01-BLK-41.5",'SKU明细'!$A$11:$A$1309,0)),INDEX('SKU明细'!$BY$11:$BY$1309,MATCH("1S01-BLK-42",'SKU明细'!$A$11:$A$1309,0)))=12,SUM(INDEX('SKU明细'!$BY$11:$BY$1309,MATCH("1S01-BLK-36",'SKU明细'!$A$11:$A$1309,0)),INDEX('SKU明细'!$BY$11:$BY$1309,MATCH("1S01-BLK-37",'SKU明细'!$A$11:$A$1309,0)),INDEX('SKU明细'!$BY$11:$BY$1309,MATCH("1S01-BLK-37.5",'SKU明细'!$A$11:$A$1309,0)),INDEX('SKU明细'!$BY$11:$BY$1309,MATCH("1S01-BLK-38",'SKU明细'!$A$11:$A$1309,0)),INDEX('SKU明细'!$BY$11:$BY$1309,MATCH("1S01-BLK-38.5",'SKU明细'!$A$11:$A$1309,0)),INDEX('SKU明细'!$BY$11:$BY$1309,MATCH("1S01-BLK-39",'SKU明细'!$A$11:$A$1309,0)),INDEX('SKU明细'!$BY$11:$BY$1309,MATCH("1S01-BLK-39.5",'SKU明细'!$A$11:$A$1309,0)),INDEX('SKU明细'!$BY$11:$BY$1309,MATCH("1S01-BLK-40",'SKU明细'!$A$11:$A$1309,0)),INDEX('SKU明细'!$BY$11:$BY$1309,MATCH("1S01-BLK-40.5",'SKU明细'!$A$11:$A$1309,0)),INDEX('SKU明细'!$BY$11:$BY$1309,MATCH("1S01-BLK-41",'SKU明细'!$A$11:$A$1309,0)),INDEX('SKU明细'!$BY$11:$BY$1309,MATCH("1S01-BLK-41.5",'SKU明细'!$A$11:$A$1309,0)),INDEX('SKU明细'!$BY$11:$BY$1309,MATCH("1S01-BLK-42",'SKU明细'!$A$11:$A$1309,0))),"待核")</x:f>
        <x:v>65.27702477062246</x:v>
      </x:c>
      <x:c r="Z123" s="11" t="n">
        <x:f>INDEX('SKU明细'!$BZ$11:$BZ$1309,MATCH("1S01-BLK-36",'SKU明细'!$A$11:$A$1309,0))</x:f>
        <x:v>0.8057375774163482</x:v>
      </x:c>
      <x:c r="AA123" s="13" t="n">
        <x:f>IF(COUNT(INDEX('SKU明细'!$CB$11:$CB$1309,MATCH("1S01-BLK-36",'SKU明细'!$A$11:$A$1309,0)),INDEX('SKU明细'!$CB$11:$CB$1309,MATCH("1S01-BLK-37",'SKU明细'!$A$11:$A$1309,0)),INDEX('SKU明细'!$CB$11:$CB$1309,MATCH("1S01-BLK-37.5",'SKU明细'!$A$11:$A$1309,0)),INDEX('SKU明细'!$CB$11:$CB$1309,MATCH("1S01-BLK-38",'SKU明细'!$A$11:$A$1309,0)),INDEX('SKU明细'!$CB$11:$CB$1309,MATCH("1S01-BLK-38.5",'SKU明细'!$A$11:$A$1309,0)),INDEX('SKU明细'!$CB$11:$CB$1309,MATCH("1S01-BLK-39",'SKU明细'!$A$11:$A$1309,0)),INDEX('SKU明细'!$CB$11:$CB$1309,MATCH("1S01-BLK-39.5",'SKU明细'!$A$11:$A$1309,0)),INDEX('SKU明细'!$CB$11:$CB$1309,MATCH("1S01-BLK-40",'SKU明细'!$A$11:$A$1309,0)),INDEX('SKU明细'!$CB$11:$CB$1309,MATCH("1S01-BLK-40.5",'SKU明细'!$A$11:$A$1309,0)),INDEX('SKU明细'!$CB$11:$CB$1309,MATCH("1S01-BLK-41",'SKU明细'!$A$11:$A$1309,0)),INDEX('SKU明细'!$CB$11:$CB$1309,MATCH("1S01-BLK-41.5",'SKU明细'!$A$11:$A$1309,0)),INDEX('SKU明细'!$CB$11:$CB$1309,MATCH("1S01-BLK-42",'SKU明细'!$A$11:$A$1309,0)))=12,SUM(INDEX('SKU明细'!$CB$11:$CB$1309,MATCH("1S01-BLK-36",'SKU明细'!$A$11:$A$1309,0)),INDEX('SKU明细'!$CB$11:$CB$1309,MATCH("1S01-BLK-37",'SKU明细'!$A$11:$A$1309,0)),INDEX('SKU明细'!$CB$11:$CB$1309,MATCH("1S01-BLK-37.5",'SKU明细'!$A$11:$A$1309,0)),INDEX('SKU明细'!$CB$11:$CB$1309,MATCH("1S01-BLK-38",'SKU明细'!$A$11:$A$1309,0)),INDEX('SKU明细'!$CB$11:$CB$1309,MATCH("1S01-BLK-38.5",'SKU明细'!$A$11:$A$1309,0)),INDEX('SKU明细'!$CB$11:$CB$1309,MATCH("1S01-BLK-39",'SKU明细'!$A$11:$A$1309,0)),INDEX('SKU明细'!$CB$11:$CB$1309,MATCH("1S01-BLK-39.5",'SKU明细'!$A$11:$A$1309,0)),INDEX('SKU明细'!$CB$11:$CB$1309,MATCH("1S01-BLK-40",'SKU明细'!$A$11:$A$1309,0)),INDEX('SKU明细'!$CB$11:$CB$1309,MATCH("1S01-BLK-40.5",'SKU明细'!$A$11:$A$1309,0)),INDEX('SKU明细'!$CB$11:$CB$1309,MATCH("1S01-BLK-41",'SKU明细'!$A$11:$A$1309,0)),INDEX('SKU明细'!$CB$11:$CB$1309,MATCH("1S01-BLK-41.5",'SKU明细'!$A$11:$A$1309,0)),INDEX('SKU明细'!$CB$11:$CB$1309,MATCH("1S01-BLK-42",'SKU明细'!$A$11:$A$1309,0))),"待核")</x:f>
        <x:v>150.62760699567826</x:v>
      </x:c>
      <x:c r="AB123" s="11" t="n">
        <x:f>INDEX('SKU明细'!$CC$11:$CC$1309,MATCH("1S01-BLK-36",'SKU明细'!$A$11:$A$1309,0))</x:f>
        <x:v>0.532550303142279</x:v>
      </x:c>
      <x:c r="AC123" s="13" t="n">
        <x:f>IF(COUNT(INDEX('SKU明细'!$CE$11:$CE$1309,MATCH("1S01-BLK-36",'SKU明细'!$A$11:$A$1309,0)),INDEX('SKU明细'!$CE$11:$CE$1309,MATCH("1S01-BLK-37",'SKU明细'!$A$11:$A$1309,0)),INDEX('SKU明细'!$CE$11:$CE$1309,MATCH("1S01-BLK-37.5",'SKU明细'!$A$11:$A$1309,0)),INDEX('SKU明细'!$CE$11:$CE$1309,MATCH("1S01-BLK-38",'SKU明细'!$A$11:$A$1309,0)),INDEX('SKU明细'!$CE$11:$CE$1309,MATCH("1S01-BLK-38.5",'SKU明细'!$A$11:$A$1309,0)),INDEX('SKU明细'!$CE$11:$CE$1309,MATCH("1S01-BLK-39",'SKU明细'!$A$11:$A$1309,0)),INDEX('SKU明细'!$CE$11:$CE$1309,MATCH("1S01-BLK-39.5",'SKU明细'!$A$11:$A$1309,0)),INDEX('SKU明细'!$CE$11:$CE$1309,MATCH("1S01-BLK-40",'SKU明细'!$A$11:$A$1309,0)),INDEX('SKU明细'!$CE$11:$CE$1309,MATCH("1S01-BLK-40.5",'SKU明细'!$A$11:$A$1309,0)),INDEX('SKU明细'!$CE$11:$CE$1309,MATCH("1S01-BLK-41",'SKU明细'!$A$11:$A$1309,0)),INDEX('SKU明细'!$CE$11:$CE$1309,MATCH("1S01-BLK-41.5",'SKU明细'!$A$11:$A$1309,0)),INDEX('SKU明细'!$CE$11:$CE$1309,MATCH("1S01-BLK-42",'SKU明细'!$A$11:$A$1309,0)))=12,SUM(INDEX('SKU明细'!$CE$11:$CE$1309,MATCH("1S01-BLK-36",'SKU明细'!$A$11:$A$1309,0)),INDEX('SKU明细'!$CE$11:$CE$1309,MATCH("1S01-BLK-37",'SKU明细'!$A$11:$A$1309,0)),INDEX('SKU明细'!$CE$11:$CE$1309,MATCH("1S01-BLK-37.5",'SKU明细'!$A$11:$A$1309,0)),INDEX('SKU明细'!$CE$11:$CE$1309,MATCH("1S01-BLK-38",'SKU明细'!$A$11:$A$1309,0)),INDEX('SKU明细'!$CE$11:$CE$1309,MATCH("1S01-BLK-38.5",'SKU明细'!$A$11:$A$1309,0)),INDEX('SKU明细'!$CE$11:$CE$1309,MATCH("1S01-BLK-39",'SKU明细'!$A$11:$A$1309,0)),INDEX('SKU明细'!$CE$11:$CE$1309,MATCH("1S01-BLK-39.5",'SKU明细'!$A$11:$A$1309,0)),INDEX('SKU明细'!$CE$11:$CE$1309,MATCH("1S01-BLK-40",'SKU明细'!$A$11:$A$1309,0)),INDEX('SKU明细'!$CE$11:$CE$1309,MATCH("1S01-BLK-40.5",'SKU明细'!$A$11:$A$1309,0)),INDEX('SKU明细'!$CE$11:$CE$1309,MATCH("1S01-BLK-41",'SKU明细'!$A$11:$A$1309,0)),INDEX('SKU明细'!$CE$11:$CE$1309,MATCH("1S01-BLK-41.5",'SKU明细'!$A$11:$A$1309,0)),INDEX('SKU明细'!$CE$11:$CE$1309,MATCH("1S01-BLK-42",'SKU明细'!$A$11:$A$1309,0))),"待核")</x:f>
        <x:v>102.87551764083932</x:v>
      </x:c>
      <x:c r="AD123" s="11" t="n">
        <x:f>INDEX('SKU明细'!$CF$11:$CF$1309,MATCH("1S01-BLK-36",'SKU明细'!$A$11:$A$1309,0))</x:f>
        <x:v>0.7517299265337036</x:v>
      </x:c>
      <x:c r="AE123" s="13" t="n">
        <x:f>IF(COUNT(INDEX('SKU明细'!$CH$11:$CH$1309,MATCH("1S01-BLK-36",'SKU明细'!$A$11:$A$1309,0)),INDEX('SKU明细'!$CH$11:$CH$1309,MATCH("1S01-BLK-37",'SKU明细'!$A$11:$A$1309,0)),INDEX('SKU明细'!$CH$11:$CH$1309,MATCH("1S01-BLK-37.5",'SKU明细'!$A$11:$A$1309,0)),INDEX('SKU明细'!$CH$11:$CH$1309,MATCH("1S01-BLK-38",'SKU明细'!$A$11:$A$1309,0)),INDEX('SKU明细'!$CH$11:$CH$1309,MATCH("1S01-BLK-38.5",'SKU明细'!$A$11:$A$1309,0)),INDEX('SKU明细'!$CH$11:$CH$1309,MATCH("1S01-BLK-39",'SKU明细'!$A$11:$A$1309,0)),INDEX('SKU明细'!$CH$11:$CH$1309,MATCH("1S01-BLK-39.5",'SKU明细'!$A$11:$A$1309,0)),INDEX('SKU明细'!$CH$11:$CH$1309,MATCH("1S01-BLK-40",'SKU明细'!$A$11:$A$1309,0)),INDEX('SKU明细'!$CH$11:$CH$1309,MATCH("1S01-BLK-40.5",'SKU明细'!$A$11:$A$1309,0)),INDEX('SKU明细'!$CH$11:$CH$1309,MATCH("1S01-BLK-41",'SKU明细'!$A$11:$A$1309,0)),INDEX('SKU明细'!$CH$11:$CH$1309,MATCH("1S01-BLK-41.5",'SKU明细'!$A$11:$A$1309,0)),INDEX('SKU明细'!$CH$11:$CH$1309,MATCH("1S01-BLK-42",'SKU明细'!$A$11:$A$1309,0)))=12,SUM(INDEX('SKU明细'!$CH$11:$CH$1309,MATCH("1S01-BLK-36",'SKU明细'!$A$11:$A$1309,0)),INDEX('SKU明细'!$CH$11:$CH$1309,MATCH("1S01-BLK-37",'SKU明细'!$A$11:$A$1309,0)),INDEX('SKU明细'!$CH$11:$CH$1309,MATCH("1S01-BLK-37.5",'SKU明细'!$A$11:$A$1309,0)),INDEX('SKU明细'!$CH$11:$CH$1309,MATCH("1S01-BLK-38",'SKU明细'!$A$11:$A$1309,0)),INDEX('SKU明细'!$CH$11:$CH$1309,MATCH("1S01-BLK-38.5",'SKU明细'!$A$11:$A$1309,0)),INDEX('SKU明细'!$CH$11:$CH$1309,MATCH("1S01-BLK-39",'SKU明细'!$A$11:$A$1309,0)),INDEX('SKU明细'!$CH$11:$CH$1309,MATCH("1S01-BLK-39.5",'SKU明细'!$A$11:$A$1309,0)),INDEX('SKU明细'!$CH$11:$CH$1309,MATCH("1S01-BLK-40",'SKU明细'!$A$11:$A$1309,0)),INDEX('SKU明细'!$CH$11:$CH$1309,MATCH("1S01-BLK-40.5",'SKU明细'!$A$11:$A$1309,0)),INDEX('SKU明细'!$CH$11:$CH$1309,MATCH("1S01-BLK-41",'SKU明细'!$A$11:$A$1309,0)),INDEX('SKU明细'!$CH$11:$CH$1309,MATCH("1S01-BLK-41.5",'SKU明细'!$A$11:$A$1309,0)),INDEX('SKU明细'!$CH$11:$CH$1309,MATCH("1S01-BLK-42",'SKU明细'!$A$11:$A$1309,0))),"待核")</x:f>
        <x:v>79.63435461481859</x:v>
      </x:c>
      <x:c r="AF123" s="13" t="n">
        <x:f>IF(COUNT(INDEX('SKU明细'!$CI$11:$CI$1309,MATCH("1S01-BLK-36",'SKU明细'!$A$11:$A$1309,0)),INDEX('SKU明细'!$CI$11:$CI$1309,MATCH("1S01-BLK-37",'SKU明细'!$A$11:$A$1309,0)),INDEX('SKU明细'!$CI$11:$CI$1309,MATCH("1S01-BLK-37.5",'SKU明细'!$A$11:$A$1309,0)),INDEX('SKU明细'!$CI$11:$CI$1309,MATCH("1S01-BLK-38",'SKU明细'!$A$11:$A$1309,0)),INDEX('SKU明细'!$CI$11:$CI$1309,MATCH("1S01-BLK-38.5",'SKU明细'!$A$11:$A$1309,0)),INDEX('SKU明细'!$CI$11:$CI$1309,MATCH("1S01-BLK-39",'SKU明细'!$A$11:$A$1309,0)),INDEX('SKU明细'!$CI$11:$CI$1309,MATCH("1S01-BLK-39.5",'SKU明细'!$A$11:$A$1309,0)),INDEX('SKU明细'!$CI$11:$CI$1309,MATCH("1S01-BLK-40",'SKU明细'!$A$11:$A$1309,0)),INDEX('SKU明细'!$CI$11:$CI$1309,MATCH("1S01-BLK-40.5",'SKU明细'!$A$11:$A$1309,0)),INDEX('SKU明细'!$CI$11:$CI$1309,MATCH("1S01-BLK-41",'SKU明细'!$A$11:$A$1309,0)),INDEX('SKU明细'!$CI$11:$CI$1309,MATCH("1S01-BLK-41.5",'SKU明细'!$A$11:$A$1309,0)),INDEX('SKU明细'!$CI$11:$CI$1309,MATCH("1S01-BLK-42",'SKU明细'!$A$11:$A$1309,0)))=12,SUM(INDEX('SKU明细'!$CI$11:$CI$1309,MATCH("1S01-BLK-36",'SKU明细'!$A$11:$A$1309,0)),INDEX('SKU明细'!$CI$11:$CI$1309,MATCH("1S01-BLK-37",'SKU明细'!$A$11:$A$1309,0)),INDEX('SKU明细'!$CI$11:$CI$1309,MATCH("1S01-BLK-37.5",'SKU明细'!$A$11:$A$1309,0)),INDEX('SKU明细'!$CI$11:$CI$1309,MATCH("1S01-BLK-38",'SKU明细'!$A$11:$A$1309,0)),INDEX('SKU明细'!$CI$11:$CI$1309,MATCH("1S01-BLK-38.5",'SKU明细'!$A$11:$A$1309,0)),INDEX('SKU明细'!$CI$11:$CI$1309,MATCH("1S01-BLK-39",'SKU明细'!$A$11:$A$1309,0)),INDEX('SKU明细'!$CI$11:$CI$1309,MATCH("1S01-BLK-39.5",'SKU明细'!$A$11:$A$1309,0)),INDEX('SKU明细'!$CI$11:$CI$1309,MATCH("1S01-BLK-40",'SKU明细'!$A$11:$A$1309,0)),INDEX('SKU明细'!$CI$11:$CI$1309,MATCH("1S01-BLK-40.5",'SKU明细'!$A$11:$A$1309,0)),INDEX('SKU明细'!$CI$11:$CI$1309,MATCH("1S01-BLK-41",'SKU明细'!$A$11:$A$1309,0)),INDEX('SKU明细'!$CI$11:$CI$1309,MATCH("1S01-BLK-41.5",'SKU明细'!$A$11:$A$1309,0)),INDEX('SKU明细'!$CI$11:$CI$1309,MATCH("1S01-BLK-42",'SKU明细'!$A$11:$A$1309,0))),"待核")</x:f>
        <x:v>398.41450402195863</x:v>
      </x:c>
    </x:row>
    <x:row r="124" ht="40" customHeight="1">
      <x:c r="A124" s="37" t="str">
        <x:v>1S01</x:v>
      </x:c>
      <x:c r="B124" s="37" t="str">
        <x:v>徐新怡</x:v>
      </x:c>
      <x:c r="C124" s="37" t="str">
        <x:v>深棕色</x:v>
      </x:c>
      <x:c r="D124" s="37" t="str">
        <x:v>BW</x:v>
      </x:c>
      <x:c r="E124" s="37" t="str">
        <x:v>1S01-BW</x:v>
      </x:c>
      <x:c r="F124" s="37"/>
      <x:c r="G124" s="38" t="str">
        <x:f>"—"</x:f>
        <x:v>—</x:v>
      </x:c>
      <x:c r="H124" s="38" t="n">
        <x:f>IF(COUNT(INDEX('SKU明细'!$D$11:$D$1309,MATCH("1S01-BW-6",'SKU明细'!$A$11:$A$1309,0)))=0,"待核",IF(COUNT(INDEX('SKU明细'!$D$11:$D$1309,MATCH("1S01-BW-6",'SKU明细'!$A$11:$A$1309,0)))&lt;1,SUM(INDEX('SKU明细'!$D$11:$D$1309,MATCH("1S01-BW-6",'SKU明细'!$A$11:$A$1309,0)))&amp;" + 待核",SUM(INDEX('SKU明细'!$D$11:$D$1309,MATCH("1S01-BW-6",'SKU明细'!$A$11:$A$1309,0)))))</x:f>
        <x:v>0</x:v>
      </x:c>
      <x:c r="I124" s="38" t="n">
        <x:f>IF(COUNT(INDEX('SKU明细'!$D$11:$D$1309,MATCH("1S01-BW-37.5",'SKU明细'!$A$11:$A$1309,0)))=0,"待核",IF(COUNT(INDEX('SKU明细'!$D$11:$D$1309,MATCH("1S01-BW-37.5",'SKU明细'!$A$11:$A$1309,0)))&lt;1,SUM(INDEX('SKU明细'!$D$11:$D$1309,MATCH("1S01-BW-37.5",'SKU明细'!$A$11:$A$1309,0)))&amp;" + 待核",SUM(INDEX('SKU明细'!$D$11:$D$1309,MATCH("1S01-BW-37.5",'SKU明细'!$A$11:$A$1309,0)))))</x:f>
        <x:v>0</x:v>
      </x:c>
      <x:c r="J124" s="38" t="n">
        <x:f>IF(COUNT(INDEX('SKU明细'!$D$11:$D$1309,MATCH("1S01-BW-7",'SKU明细'!$A$11:$A$1309,0)))=0,"待核",IF(COUNT(INDEX('SKU明细'!$D$11:$D$1309,MATCH("1S01-BW-7",'SKU明细'!$A$11:$A$1309,0)))&lt;1,SUM(INDEX('SKU明细'!$D$11:$D$1309,MATCH("1S01-BW-7",'SKU明细'!$A$11:$A$1309,0)))&amp;" + 待核",SUM(INDEX('SKU明细'!$D$11:$D$1309,MATCH("1S01-BW-7",'SKU明细'!$A$11:$A$1309,0)))))</x:f>
        <x:v>0</x:v>
      </x:c>
      <x:c r="K124" s="38" t="n">
        <x:f>IF(COUNT(INDEX('SKU明细'!$D$11:$D$1309,MATCH("1S01-BW-38.5",'SKU明细'!$A$11:$A$1309,0)))=0,"待核",IF(COUNT(INDEX('SKU明细'!$D$11:$D$1309,MATCH("1S01-BW-38.5",'SKU明细'!$A$11:$A$1309,0)))&lt;1,SUM(INDEX('SKU明细'!$D$11:$D$1309,MATCH("1S01-BW-38.5",'SKU明细'!$A$11:$A$1309,0)))&amp;" + 待核",SUM(INDEX('SKU明细'!$D$11:$D$1309,MATCH("1S01-BW-38.5",'SKU明细'!$A$11:$A$1309,0)))))</x:f>
        <x:v>0</x:v>
      </x:c>
      <x:c r="L124" s="38" t="n">
        <x:f>IF(COUNT(INDEX('SKU明细'!$D$11:$D$1309,MATCH("1S01-BW-8",'SKU明细'!$A$11:$A$1309,0)))=0,"待核",IF(COUNT(INDEX('SKU明细'!$D$11:$D$1309,MATCH("1S01-BW-8",'SKU明细'!$A$11:$A$1309,0)))&lt;1,SUM(INDEX('SKU明细'!$D$11:$D$1309,MATCH("1S01-BW-8",'SKU明细'!$A$11:$A$1309,0)))&amp;" + 待核",SUM(INDEX('SKU明细'!$D$11:$D$1309,MATCH("1S01-BW-8",'SKU明细'!$A$11:$A$1309,0)))))</x:f>
        <x:v>0</x:v>
      </x:c>
      <x:c r="M124" s="38" t="n">
        <x:f>IF(COUNT(INDEX('SKU明细'!$D$11:$D$1309,MATCH("1S01-BW-39.5",'SKU明细'!$A$11:$A$1309,0)))=0,"待核",IF(COUNT(INDEX('SKU明细'!$D$11:$D$1309,MATCH("1S01-BW-39.5",'SKU明细'!$A$11:$A$1309,0)))&lt;1,SUM(INDEX('SKU明细'!$D$11:$D$1309,MATCH("1S01-BW-39.5",'SKU明细'!$A$11:$A$1309,0)))&amp;" + 待核",SUM(INDEX('SKU明细'!$D$11:$D$1309,MATCH("1S01-BW-39.5",'SKU明细'!$A$11:$A$1309,0)))))</x:f>
        <x:v>0</x:v>
      </x:c>
      <x:c r="N124" s="38" t="n">
        <x:f>IF(COUNT(INDEX('SKU明细'!$D$11:$D$1309,MATCH("1S01-BW-9",'SKU明细'!$A$11:$A$1309,0)))=0,"待核",IF(COUNT(INDEX('SKU明细'!$D$11:$D$1309,MATCH("1S01-BW-9",'SKU明细'!$A$11:$A$1309,0)))&lt;1,SUM(INDEX('SKU明细'!$D$11:$D$1309,MATCH("1S01-BW-9",'SKU明细'!$A$11:$A$1309,0)))&amp;" + 待核",SUM(INDEX('SKU明细'!$D$11:$D$1309,MATCH("1S01-BW-9",'SKU明细'!$A$11:$A$1309,0)))))</x:f>
        <x:v>0</x:v>
      </x:c>
      <x:c r="O124" s="38" t="n">
        <x:f>IF(COUNT(INDEX('SKU明细'!$D$11:$D$1309,MATCH("1S01-BW-40.5",'SKU明细'!$A$11:$A$1309,0)))=0,"待核",IF(COUNT(INDEX('SKU明细'!$D$11:$D$1309,MATCH("1S01-BW-40.5",'SKU明细'!$A$11:$A$1309,0)))&lt;1,SUM(INDEX('SKU明细'!$D$11:$D$1309,MATCH("1S01-BW-40.5",'SKU明细'!$A$11:$A$1309,0)))&amp;" + 待核",SUM(INDEX('SKU明细'!$D$11:$D$1309,MATCH("1S01-BW-40.5",'SKU明细'!$A$11:$A$1309,0)))))</x:f>
        <x:v>0</x:v>
      </x:c>
      <x:c r="P124" s="38" t="n">
        <x:f>IF(COUNT(INDEX('SKU明细'!$D$11:$D$1309,MATCH("1S01-BW-10",'SKU明细'!$A$11:$A$1309,0)))=0,"待核",IF(COUNT(INDEX('SKU明细'!$D$11:$D$1309,MATCH("1S01-BW-10",'SKU明细'!$A$11:$A$1309,0)))&lt;1,SUM(INDEX('SKU明细'!$D$11:$D$1309,MATCH("1S01-BW-10",'SKU明细'!$A$11:$A$1309,0)))&amp;" + 待核",SUM(INDEX('SKU明细'!$D$11:$D$1309,MATCH("1S01-BW-10",'SKU明细'!$A$11:$A$1309,0)))))</x:f>
        <x:v>0</x:v>
      </x:c>
      <x:c r="Q124" s="38" t="n">
        <x:f>IF(COUNT(INDEX('SKU明细'!$D$11:$D$1309,MATCH("1S01-BW-41.5",'SKU明细'!$A$11:$A$1309,0)))=0,"待核",IF(COUNT(INDEX('SKU明细'!$D$11:$D$1309,MATCH("1S01-BW-41.5",'SKU明细'!$A$11:$A$1309,0)))&lt;1,SUM(INDEX('SKU明细'!$D$11:$D$1309,MATCH("1S01-BW-41.5",'SKU明细'!$A$11:$A$1309,0)))&amp;" + 待核",SUM(INDEX('SKU明细'!$D$11:$D$1309,MATCH("1S01-BW-41.5",'SKU明细'!$A$11:$A$1309,0)))))</x:f>
        <x:v>0</x:v>
      </x:c>
      <x:c r="R124" s="38" t="n">
        <x:f>IF(COUNT(INDEX('SKU明细'!$D$11:$D$1309,MATCH("1S01-BW-11",'SKU明细'!$A$11:$A$1309,0)))=0,"待核",IF(COUNT(INDEX('SKU明细'!$D$11:$D$1309,MATCH("1S01-BW-11",'SKU明细'!$A$11:$A$1309,0)))&lt;1,SUM(INDEX('SKU明细'!$D$11:$D$1309,MATCH("1S01-BW-11",'SKU明细'!$A$11:$A$1309,0)))&amp;" + 待核",SUM(INDEX('SKU明细'!$D$11:$D$1309,MATCH("1S01-BW-11",'SKU明细'!$A$11:$A$1309,0)))))</x:f>
        <x:v>0</x:v>
      </x:c>
      <x:c r="S124" s="38" t="n">
        <x:f>IF(COUNT(INDEX('SKU明细'!$D$11:$D$1309,MATCH("1S01-BW-6",'SKU明细'!$A$11:$A$1309,0)),INDEX('SKU明细'!$D$11:$D$1309,MATCH("1S01-BW-37.5",'SKU明细'!$A$11:$A$1309,0)),INDEX('SKU明细'!$D$11:$D$1309,MATCH("1S01-BW-7",'SKU明细'!$A$11:$A$1309,0)),INDEX('SKU明细'!$D$11:$D$1309,MATCH("1S01-BW-38.5",'SKU明细'!$A$11:$A$1309,0)),INDEX('SKU明细'!$D$11:$D$1309,MATCH("1S01-BW-8",'SKU明细'!$A$11:$A$1309,0)),INDEX('SKU明细'!$D$11:$D$1309,MATCH("1S01-BW-39.5",'SKU明细'!$A$11:$A$1309,0)),INDEX('SKU明细'!$D$11:$D$1309,MATCH("1S01-BW-9",'SKU明细'!$A$11:$A$1309,0)),INDEX('SKU明细'!$D$11:$D$1309,MATCH("1S01-BW-40.5",'SKU明细'!$A$11:$A$1309,0)),INDEX('SKU明细'!$D$11:$D$1309,MATCH("1S01-BW-10",'SKU明细'!$A$11:$A$1309,0)),INDEX('SKU明细'!$D$11:$D$1309,MATCH("1S01-BW-41.5",'SKU明细'!$A$11:$A$1309,0)),INDEX('SKU明细'!$D$11:$D$1309,MATCH("1S01-BW-11",'SKU明细'!$A$11:$A$1309,0)))=0,"待核",SUM(INDEX('SKU明细'!$D$11:$D$1309,MATCH("1S01-BW-6",'SKU明细'!$A$11:$A$1309,0)),INDEX('SKU明细'!$D$11:$D$1309,MATCH("1S01-BW-37.5",'SKU明细'!$A$11:$A$1309,0)),INDEX('SKU明细'!$D$11:$D$1309,MATCH("1S01-BW-7",'SKU明细'!$A$11:$A$1309,0)),INDEX('SKU明细'!$D$11:$D$1309,MATCH("1S01-BW-38.5",'SKU明细'!$A$11:$A$1309,0)),INDEX('SKU明细'!$D$11:$D$1309,MATCH("1S01-BW-8",'SKU明细'!$A$11:$A$1309,0)),INDEX('SKU明细'!$D$11:$D$1309,MATCH("1S01-BW-39.5",'SKU明细'!$A$11:$A$1309,0)),INDEX('SKU明细'!$D$11:$D$1309,MATCH("1S01-BW-9",'SKU明细'!$A$11:$A$1309,0)),INDEX('SKU明细'!$D$11:$D$1309,MATCH("1S01-BW-40.5",'SKU明细'!$A$11:$A$1309,0)),INDEX('SKU明细'!$D$11:$D$1309,MATCH("1S01-BW-10",'SKU明细'!$A$11:$A$1309,0)),INDEX('SKU明细'!$D$11:$D$1309,MATCH("1S01-BW-41.5",'SKU明细'!$A$11:$A$1309,0)),INDEX('SKU明细'!$D$11:$D$1309,MATCH("1S01-BW-11",'SKU明细'!$A$11:$A$1309,0))))</x:f>
        <x:v>0</x:v>
      </x:c>
      <x:c r="T124" s="38" t="n">
        <x:f>IF(COUNTIFS($A$9:$A$191,A124,$U$9:$U$191,"&lt;&gt;待核")=0,"待核",SUMIF($A$9:$A$191,A124,$S$9:$S$191))</x:f>
        <x:v>141</x:v>
      </x:c>
      <x:c r="U124" s="37" t="str">
        <x:f>IF(COUNT(INDEX('SKU明细'!$D$11:$D$1309,MATCH("1S01-BW-6",'SKU明细'!$A$11:$A$1309,0)),INDEX('SKU明细'!$D$11:$D$1309,MATCH("1S01-BW-37.5",'SKU明细'!$A$11:$A$1309,0)),INDEX('SKU明细'!$D$11:$D$1309,MATCH("1S01-BW-7",'SKU明细'!$A$11:$A$1309,0)),INDEX('SKU明细'!$D$11:$D$1309,MATCH("1S01-BW-38.5",'SKU明细'!$A$11:$A$1309,0)),INDEX('SKU明细'!$D$11:$D$1309,MATCH("1S01-BW-8",'SKU明细'!$A$11:$A$1309,0)),INDEX('SKU明细'!$D$11:$D$1309,MATCH("1S01-BW-39.5",'SKU明细'!$A$11:$A$1309,0)),INDEX('SKU明细'!$D$11:$D$1309,MATCH("1S01-BW-9",'SKU明细'!$A$11:$A$1309,0)),INDEX('SKU明细'!$D$11:$D$1309,MATCH("1S01-BW-40.5",'SKU明细'!$A$11:$A$1309,0)),INDEX('SKU明细'!$D$11:$D$1309,MATCH("1S01-BW-10",'SKU明细'!$A$11:$A$1309,0)),INDEX('SKU明细'!$D$11:$D$1309,MATCH("1S01-BW-41.5",'SKU明细'!$A$11:$A$1309,0)),INDEX('SKU明细'!$D$11:$D$1309,MATCH("1S01-BW-11",'SKU明细'!$A$11:$A$1309,0)))=0,"待核",IF(COUNT(INDEX('SKU明细'!$D$11:$D$1309,MATCH("1S01-BW-6",'SKU明细'!$A$11:$A$1309,0)),INDEX('SKU明细'!$D$11:$D$1309,MATCH("1S01-BW-37.5",'SKU明细'!$A$11:$A$1309,0)),INDEX('SKU明细'!$D$11:$D$1309,MATCH("1S01-BW-7",'SKU明细'!$A$11:$A$1309,0)),INDEX('SKU明细'!$D$11:$D$1309,MATCH("1S01-BW-38.5",'SKU明细'!$A$11:$A$1309,0)),INDEX('SKU明细'!$D$11:$D$1309,MATCH("1S01-BW-8",'SKU明细'!$A$11:$A$1309,0)),INDEX('SKU明细'!$D$11:$D$1309,MATCH("1S01-BW-39.5",'SKU明细'!$A$11:$A$1309,0)),INDEX('SKU明细'!$D$11:$D$1309,MATCH("1S01-BW-9",'SKU明细'!$A$11:$A$1309,0)),INDEX('SKU明细'!$D$11:$D$1309,MATCH("1S01-BW-40.5",'SKU明细'!$A$11:$A$1309,0)),INDEX('SKU明细'!$D$11:$D$1309,MATCH("1S01-BW-10",'SKU明细'!$A$11:$A$1309,0)),INDEX('SKU明细'!$D$11:$D$1309,MATCH("1S01-BW-41.5",'SKU明细'!$A$11:$A$1309,0)),INDEX('SKU明细'!$D$11:$D$1309,MATCH("1S01-BW-11",'SKU明细'!$A$11:$A$1309,0)))&lt;11,"另有待核","已核"))</x:f>
        <x:v>已核</x:v>
      </x:c>
      <x:c r="V124" s="37" t="str">
        <x:v>停售</x:v>
      </x:c>
      <x:c r="W124" s="11" t="n">
        <x:f>IF(COUNT(INDEX('SKU明细'!$BV$11:$BV$1309,MATCH("1S01-BW-6",'SKU明细'!$A$11:$A$1309,0)),INDEX('SKU明细'!$BV$11:$BV$1309,MATCH("1S01-BW-37.5",'SKU明细'!$A$11:$A$1309,0)),INDEX('SKU明细'!$BV$11:$BV$1309,MATCH("1S01-BW-7",'SKU明细'!$A$11:$A$1309,0)),INDEX('SKU明细'!$BV$11:$BV$1309,MATCH("1S01-BW-38.5",'SKU明细'!$A$11:$A$1309,0)),INDEX('SKU明细'!$BV$11:$BV$1309,MATCH("1S01-BW-8",'SKU明细'!$A$11:$A$1309,0)),INDEX('SKU明细'!$BV$11:$BV$1309,MATCH("1S01-BW-39.5",'SKU明细'!$A$11:$A$1309,0)),INDEX('SKU明细'!$BV$11:$BV$1309,MATCH("1S01-BW-9",'SKU明细'!$A$11:$A$1309,0)),INDEX('SKU明细'!$BV$11:$BV$1309,MATCH("1S01-BW-40.5",'SKU明细'!$A$11:$A$1309,0)),INDEX('SKU明细'!$BV$11:$BV$1309,MATCH("1S01-BW-10",'SKU明细'!$A$11:$A$1309,0)),INDEX('SKU明细'!$BV$11:$BV$1309,MATCH("1S01-BW-41.5",'SKU明细'!$A$11:$A$1309,0)),INDEX('SKU明细'!$BV$11:$BV$1309,MATCH("1S01-BW-11",'SKU明细'!$A$11:$A$1309,0)))=11,SUM(INDEX('SKU明细'!$BV$11:$BV$1309,MATCH("1S01-BW-6",'SKU明细'!$A$11:$A$1309,0)),INDEX('SKU明细'!$BV$11:$BV$1309,MATCH("1S01-BW-37.5",'SKU明细'!$A$11:$A$1309,0)),INDEX('SKU明细'!$BV$11:$BV$1309,MATCH("1S01-BW-7",'SKU明细'!$A$11:$A$1309,0)),INDEX('SKU明细'!$BV$11:$BV$1309,MATCH("1S01-BW-38.5",'SKU明细'!$A$11:$A$1309,0)),INDEX('SKU明细'!$BV$11:$BV$1309,MATCH("1S01-BW-8",'SKU明细'!$A$11:$A$1309,0)),INDEX('SKU明细'!$BV$11:$BV$1309,MATCH("1S01-BW-39.5",'SKU明细'!$A$11:$A$1309,0)),INDEX('SKU明细'!$BV$11:$BV$1309,MATCH("1S01-BW-9",'SKU明细'!$A$11:$A$1309,0)),INDEX('SKU明细'!$BV$11:$BV$1309,MATCH("1S01-BW-40.5",'SKU明细'!$A$11:$A$1309,0)),INDEX('SKU明细'!$BV$11:$BV$1309,MATCH("1S01-BW-10",'SKU明细'!$A$11:$A$1309,0)),INDEX('SKU明细'!$BV$11:$BV$1309,MATCH("1S01-BW-41.5",'SKU明细'!$A$11:$A$1309,0)),INDEX('SKU明细'!$BV$11:$BV$1309,MATCH("1S01-BW-11",'SKU明细'!$A$11:$A$1309,0))),"待核")</x:f>
        <x:v>0</x:v>
      </x:c>
      <x:c r="X124" s="11" t="n">
        <x:f>INDEX('SKU明细'!$BW$11:$BW$1309,MATCH("1S01-BW-6",'SKU明细'!$A$11:$A$1309,0))</x:f>
        <x:v>0.8729500662042875</x:v>
      </x:c>
      <x:c r="Y124" s="13" t="n">
        <x:f>IF(COUNT(INDEX('SKU明细'!$BY$11:$BY$1309,MATCH("1S01-BW-6",'SKU明细'!$A$11:$A$1309,0)),INDEX('SKU明细'!$BY$11:$BY$1309,MATCH("1S01-BW-37.5",'SKU明细'!$A$11:$A$1309,0)),INDEX('SKU明细'!$BY$11:$BY$1309,MATCH("1S01-BW-7",'SKU明细'!$A$11:$A$1309,0)),INDEX('SKU明细'!$BY$11:$BY$1309,MATCH("1S01-BW-38.5",'SKU明细'!$A$11:$A$1309,0)),INDEX('SKU明细'!$BY$11:$BY$1309,MATCH("1S01-BW-8",'SKU明细'!$A$11:$A$1309,0)),INDEX('SKU明细'!$BY$11:$BY$1309,MATCH("1S01-BW-39.5",'SKU明细'!$A$11:$A$1309,0)),INDEX('SKU明细'!$BY$11:$BY$1309,MATCH("1S01-BW-9",'SKU明细'!$A$11:$A$1309,0)),INDEX('SKU明细'!$BY$11:$BY$1309,MATCH("1S01-BW-40.5",'SKU明细'!$A$11:$A$1309,0)),INDEX('SKU明细'!$BY$11:$BY$1309,MATCH("1S01-BW-10",'SKU明细'!$A$11:$A$1309,0)),INDEX('SKU明细'!$BY$11:$BY$1309,MATCH("1S01-BW-41.5",'SKU明细'!$A$11:$A$1309,0)),INDEX('SKU明细'!$BY$11:$BY$1309,MATCH("1S01-BW-11",'SKU明细'!$A$11:$A$1309,0)))=11,SUM(INDEX('SKU明细'!$BY$11:$BY$1309,MATCH("1S01-BW-6",'SKU明细'!$A$11:$A$1309,0)),INDEX('SKU明细'!$BY$11:$BY$1309,MATCH("1S01-BW-37.5",'SKU明细'!$A$11:$A$1309,0)),INDEX('SKU明细'!$BY$11:$BY$1309,MATCH("1S01-BW-7",'SKU明细'!$A$11:$A$1309,0)),INDEX('SKU明细'!$BY$11:$BY$1309,MATCH("1S01-BW-38.5",'SKU明细'!$A$11:$A$1309,0)),INDEX('SKU明细'!$BY$11:$BY$1309,MATCH("1S01-BW-8",'SKU明细'!$A$11:$A$1309,0)),INDEX('SKU明细'!$BY$11:$BY$1309,MATCH("1S01-BW-39.5",'SKU明细'!$A$11:$A$1309,0)),INDEX('SKU明细'!$BY$11:$BY$1309,MATCH("1S01-BW-9",'SKU明细'!$A$11:$A$1309,0)),INDEX('SKU明细'!$BY$11:$BY$1309,MATCH("1S01-BW-40.5",'SKU明细'!$A$11:$A$1309,0)),INDEX('SKU明细'!$BY$11:$BY$1309,MATCH("1S01-BW-10",'SKU明细'!$A$11:$A$1309,0)),INDEX('SKU明细'!$BY$11:$BY$1309,MATCH("1S01-BW-41.5",'SKU明细'!$A$11:$A$1309,0)),INDEX('SKU明细'!$BY$11:$BY$1309,MATCH("1S01-BW-11",'SKU明细'!$A$11:$A$1309,0))),"待核")</x:f>
        <x:v>0</x:v>
      </x:c>
      <x:c r="Z124" s="11" t="n">
        <x:f>INDEX('SKU明细'!$BZ$11:$BZ$1309,MATCH("1S01-BW-6",'SKU明细'!$A$11:$A$1309,0))</x:f>
        <x:v>0.8057375774163482</x:v>
      </x:c>
      <x:c r="AA124" s="13" t="n">
        <x:f>IF(COUNT(INDEX('SKU明细'!$CB$11:$CB$1309,MATCH("1S01-BW-6",'SKU明细'!$A$11:$A$1309,0)),INDEX('SKU明细'!$CB$11:$CB$1309,MATCH("1S01-BW-37.5",'SKU明细'!$A$11:$A$1309,0)),INDEX('SKU明细'!$CB$11:$CB$1309,MATCH("1S01-BW-7",'SKU明细'!$A$11:$A$1309,0)),INDEX('SKU明细'!$CB$11:$CB$1309,MATCH("1S01-BW-38.5",'SKU明细'!$A$11:$A$1309,0)),INDEX('SKU明细'!$CB$11:$CB$1309,MATCH("1S01-BW-8",'SKU明细'!$A$11:$A$1309,0)),INDEX('SKU明细'!$CB$11:$CB$1309,MATCH("1S01-BW-39.5",'SKU明细'!$A$11:$A$1309,0)),INDEX('SKU明细'!$CB$11:$CB$1309,MATCH("1S01-BW-9",'SKU明细'!$A$11:$A$1309,0)),INDEX('SKU明细'!$CB$11:$CB$1309,MATCH("1S01-BW-40.5",'SKU明细'!$A$11:$A$1309,0)),INDEX('SKU明细'!$CB$11:$CB$1309,MATCH("1S01-BW-10",'SKU明细'!$A$11:$A$1309,0)),INDEX('SKU明细'!$CB$11:$CB$1309,MATCH("1S01-BW-41.5",'SKU明细'!$A$11:$A$1309,0)),INDEX('SKU明细'!$CB$11:$CB$1309,MATCH("1S01-BW-11",'SKU明细'!$A$11:$A$1309,0)))=11,SUM(INDEX('SKU明细'!$CB$11:$CB$1309,MATCH("1S01-BW-6",'SKU明细'!$A$11:$A$1309,0)),INDEX('SKU明细'!$CB$11:$CB$1309,MATCH("1S01-BW-37.5",'SKU明细'!$A$11:$A$1309,0)),INDEX('SKU明细'!$CB$11:$CB$1309,MATCH("1S01-BW-7",'SKU明细'!$A$11:$A$1309,0)),INDEX('SKU明细'!$CB$11:$CB$1309,MATCH("1S01-BW-38.5",'SKU明细'!$A$11:$A$1309,0)),INDEX('SKU明细'!$CB$11:$CB$1309,MATCH("1S01-BW-8",'SKU明细'!$A$11:$A$1309,0)),INDEX('SKU明细'!$CB$11:$CB$1309,MATCH("1S01-BW-39.5",'SKU明细'!$A$11:$A$1309,0)),INDEX('SKU明细'!$CB$11:$CB$1309,MATCH("1S01-BW-9",'SKU明细'!$A$11:$A$1309,0)),INDEX('SKU明细'!$CB$11:$CB$1309,MATCH("1S01-BW-40.5",'SKU明细'!$A$11:$A$1309,0)),INDEX('SKU明细'!$CB$11:$CB$1309,MATCH("1S01-BW-10",'SKU明细'!$A$11:$A$1309,0)),INDEX('SKU明细'!$CB$11:$CB$1309,MATCH("1S01-BW-41.5",'SKU明细'!$A$11:$A$1309,0)),INDEX('SKU明细'!$CB$11:$CB$1309,MATCH("1S01-BW-11",'SKU明细'!$A$11:$A$1309,0))),"待核")</x:f>
        <x:v>0</x:v>
      </x:c>
      <x:c r="AB124" s="11" t="n">
        <x:f>INDEX('SKU明细'!$CC$11:$CC$1309,MATCH("1S01-BW-6",'SKU明细'!$A$11:$A$1309,0))</x:f>
        <x:v>0.532550303142279</x:v>
      </x:c>
      <x:c r="AC124" s="13" t="n">
        <x:f>IF(COUNT(INDEX('SKU明细'!$CE$11:$CE$1309,MATCH("1S01-BW-6",'SKU明细'!$A$11:$A$1309,0)),INDEX('SKU明细'!$CE$11:$CE$1309,MATCH("1S01-BW-37.5",'SKU明细'!$A$11:$A$1309,0)),INDEX('SKU明细'!$CE$11:$CE$1309,MATCH("1S01-BW-7",'SKU明细'!$A$11:$A$1309,0)),INDEX('SKU明细'!$CE$11:$CE$1309,MATCH("1S01-BW-38.5",'SKU明细'!$A$11:$A$1309,0)),INDEX('SKU明细'!$CE$11:$CE$1309,MATCH("1S01-BW-8",'SKU明细'!$A$11:$A$1309,0)),INDEX('SKU明细'!$CE$11:$CE$1309,MATCH("1S01-BW-39.5",'SKU明细'!$A$11:$A$1309,0)),INDEX('SKU明细'!$CE$11:$CE$1309,MATCH("1S01-BW-9",'SKU明细'!$A$11:$A$1309,0)),INDEX('SKU明细'!$CE$11:$CE$1309,MATCH("1S01-BW-40.5",'SKU明细'!$A$11:$A$1309,0)),INDEX('SKU明细'!$CE$11:$CE$1309,MATCH("1S01-BW-10",'SKU明细'!$A$11:$A$1309,0)),INDEX('SKU明细'!$CE$11:$CE$1309,MATCH("1S01-BW-41.5",'SKU明细'!$A$11:$A$1309,0)),INDEX('SKU明细'!$CE$11:$CE$1309,MATCH("1S01-BW-11",'SKU明细'!$A$11:$A$1309,0)))=11,SUM(INDEX('SKU明细'!$CE$11:$CE$1309,MATCH("1S01-BW-6",'SKU明细'!$A$11:$A$1309,0)),INDEX('SKU明细'!$CE$11:$CE$1309,MATCH("1S01-BW-37.5",'SKU明细'!$A$11:$A$1309,0)),INDEX('SKU明细'!$CE$11:$CE$1309,MATCH("1S01-BW-7",'SKU明细'!$A$11:$A$1309,0)),INDEX('SKU明细'!$CE$11:$CE$1309,MATCH("1S01-BW-38.5",'SKU明细'!$A$11:$A$1309,0)),INDEX('SKU明细'!$CE$11:$CE$1309,MATCH("1S01-BW-8",'SKU明细'!$A$11:$A$1309,0)),INDEX('SKU明细'!$CE$11:$CE$1309,MATCH("1S01-BW-39.5",'SKU明细'!$A$11:$A$1309,0)),INDEX('SKU明细'!$CE$11:$CE$1309,MATCH("1S01-BW-9",'SKU明细'!$A$11:$A$1309,0)),INDEX('SKU明细'!$CE$11:$CE$1309,MATCH("1S01-BW-40.5",'SKU明细'!$A$11:$A$1309,0)),INDEX('SKU明细'!$CE$11:$CE$1309,MATCH("1S01-BW-10",'SKU明细'!$A$11:$A$1309,0)),INDEX('SKU明细'!$CE$11:$CE$1309,MATCH("1S01-BW-41.5",'SKU明细'!$A$11:$A$1309,0)),INDEX('SKU明细'!$CE$11:$CE$1309,MATCH("1S01-BW-11",'SKU明细'!$A$11:$A$1309,0))),"待核")</x:f>
        <x:v>0</x:v>
      </x:c>
      <x:c r="AD124" s="11" t="n">
        <x:f>INDEX('SKU明细'!$CF$11:$CF$1309,MATCH("1S01-BW-6",'SKU明细'!$A$11:$A$1309,0))</x:f>
        <x:v>0.7517299265337036</x:v>
      </x:c>
      <x:c r="AE124" s="13" t="n">
        <x:f>IF(COUNT(INDEX('SKU明细'!$CH$11:$CH$1309,MATCH("1S01-BW-6",'SKU明细'!$A$11:$A$1309,0)),INDEX('SKU明细'!$CH$11:$CH$1309,MATCH("1S01-BW-37.5",'SKU明细'!$A$11:$A$1309,0)),INDEX('SKU明细'!$CH$11:$CH$1309,MATCH("1S01-BW-7",'SKU明细'!$A$11:$A$1309,0)),INDEX('SKU明细'!$CH$11:$CH$1309,MATCH("1S01-BW-38.5",'SKU明细'!$A$11:$A$1309,0)),INDEX('SKU明细'!$CH$11:$CH$1309,MATCH("1S01-BW-8",'SKU明细'!$A$11:$A$1309,0)),INDEX('SKU明细'!$CH$11:$CH$1309,MATCH("1S01-BW-39.5",'SKU明细'!$A$11:$A$1309,0)),INDEX('SKU明细'!$CH$11:$CH$1309,MATCH("1S01-BW-9",'SKU明细'!$A$11:$A$1309,0)),INDEX('SKU明细'!$CH$11:$CH$1309,MATCH("1S01-BW-40.5",'SKU明细'!$A$11:$A$1309,0)),INDEX('SKU明细'!$CH$11:$CH$1309,MATCH("1S01-BW-10",'SKU明细'!$A$11:$A$1309,0)),INDEX('SKU明细'!$CH$11:$CH$1309,MATCH("1S01-BW-41.5",'SKU明细'!$A$11:$A$1309,0)),INDEX('SKU明细'!$CH$11:$CH$1309,MATCH("1S01-BW-11",'SKU明细'!$A$11:$A$1309,0)))=11,SUM(INDEX('SKU明细'!$CH$11:$CH$1309,MATCH("1S01-BW-6",'SKU明细'!$A$11:$A$1309,0)),INDEX('SKU明细'!$CH$11:$CH$1309,MATCH("1S01-BW-37.5",'SKU明细'!$A$11:$A$1309,0)),INDEX('SKU明细'!$CH$11:$CH$1309,MATCH("1S01-BW-7",'SKU明细'!$A$11:$A$1309,0)),INDEX('SKU明细'!$CH$11:$CH$1309,MATCH("1S01-BW-38.5",'SKU明细'!$A$11:$A$1309,0)),INDEX('SKU明细'!$CH$11:$CH$1309,MATCH("1S01-BW-8",'SKU明细'!$A$11:$A$1309,0)),INDEX('SKU明细'!$CH$11:$CH$1309,MATCH("1S01-BW-39.5",'SKU明细'!$A$11:$A$1309,0)),INDEX('SKU明细'!$CH$11:$CH$1309,MATCH("1S01-BW-9",'SKU明细'!$A$11:$A$1309,0)),INDEX('SKU明细'!$CH$11:$CH$1309,MATCH("1S01-BW-40.5",'SKU明细'!$A$11:$A$1309,0)),INDEX('SKU明细'!$CH$11:$CH$1309,MATCH("1S01-BW-10",'SKU明细'!$A$11:$A$1309,0)),INDEX('SKU明细'!$CH$11:$CH$1309,MATCH("1S01-BW-41.5",'SKU明细'!$A$11:$A$1309,0)),INDEX('SKU明细'!$CH$11:$CH$1309,MATCH("1S01-BW-11",'SKU明细'!$A$11:$A$1309,0))),"待核")</x:f>
        <x:v>0</x:v>
      </x:c>
      <x:c r="AF124" s="13" t="n">
        <x:f>IF(COUNT(INDEX('SKU明细'!$CI$11:$CI$1309,MATCH("1S01-BW-6",'SKU明细'!$A$11:$A$1309,0)),INDEX('SKU明细'!$CI$11:$CI$1309,MATCH("1S01-BW-37.5",'SKU明细'!$A$11:$A$1309,0)),INDEX('SKU明细'!$CI$11:$CI$1309,MATCH("1S01-BW-7",'SKU明细'!$A$11:$A$1309,0)),INDEX('SKU明细'!$CI$11:$CI$1309,MATCH("1S01-BW-38.5",'SKU明细'!$A$11:$A$1309,0)),INDEX('SKU明细'!$CI$11:$CI$1309,MATCH("1S01-BW-8",'SKU明细'!$A$11:$A$1309,0)),INDEX('SKU明细'!$CI$11:$CI$1309,MATCH("1S01-BW-39.5",'SKU明细'!$A$11:$A$1309,0)),INDEX('SKU明细'!$CI$11:$CI$1309,MATCH("1S01-BW-9",'SKU明细'!$A$11:$A$1309,0)),INDEX('SKU明细'!$CI$11:$CI$1309,MATCH("1S01-BW-40.5",'SKU明细'!$A$11:$A$1309,0)),INDEX('SKU明细'!$CI$11:$CI$1309,MATCH("1S01-BW-10",'SKU明细'!$A$11:$A$1309,0)),INDEX('SKU明细'!$CI$11:$CI$1309,MATCH("1S01-BW-41.5",'SKU明细'!$A$11:$A$1309,0)),INDEX('SKU明细'!$CI$11:$CI$1309,MATCH("1S01-BW-11",'SKU明细'!$A$11:$A$1309,0)))=11,SUM(INDEX('SKU明细'!$CI$11:$CI$1309,MATCH("1S01-BW-6",'SKU明细'!$A$11:$A$1309,0)),INDEX('SKU明细'!$CI$11:$CI$1309,MATCH("1S01-BW-37.5",'SKU明细'!$A$11:$A$1309,0)),INDEX('SKU明细'!$CI$11:$CI$1309,MATCH("1S01-BW-7",'SKU明细'!$A$11:$A$1309,0)),INDEX('SKU明细'!$CI$11:$CI$1309,MATCH("1S01-BW-38.5",'SKU明细'!$A$11:$A$1309,0)),INDEX('SKU明细'!$CI$11:$CI$1309,MATCH("1S01-BW-8",'SKU明细'!$A$11:$A$1309,0)),INDEX('SKU明细'!$CI$11:$CI$1309,MATCH("1S01-BW-39.5",'SKU明细'!$A$11:$A$1309,0)),INDEX('SKU明细'!$CI$11:$CI$1309,MATCH("1S01-BW-9",'SKU明细'!$A$11:$A$1309,0)),INDEX('SKU明细'!$CI$11:$CI$1309,MATCH("1S01-BW-40.5",'SKU明细'!$A$11:$A$1309,0)),INDEX('SKU明细'!$CI$11:$CI$1309,MATCH("1S01-BW-10",'SKU明细'!$A$11:$A$1309,0)),INDEX('SKU明细'!$CI$11:$CI$1309,MATCH("1S01-BW-41.5",'SKU明细'!$A$11:$A$1309,0)),INDEX('SKU明细'!$CI$11:$CI$1309,MATCH("1S01-BW-11",'SKU明细'!$A$11:$A$1309,0))),"待核")</x:f>
        <x:v>0</x:v>
      </x:c>
    </x:row>
    <x:row r="125" ht="40" customHeight="1">
      <x:c r="A125" s="37" t="str">
        <x:v>1S01</x:v>
      </x:c>
      <x:c r="B125" s="37" t="str">
        <x:v>徐新怡</x:v>
      </x:c>
      <x:c r="C125" s="37" t="str">
        <x:v>香槟金</x:v>
      </x:c>
      <x:c r="D125" s="37" t="str">
        <x:v>CPG</x:v>
      </x:c>
      <x:c r="E125" s="37" t="str">
        <x:v>1S01-CPG</x:v>
      </x:c>
      <x:c r="F125" s="37"/>
      <x:c r="G125" s="38" t="str">
        <x:f>"—"</x:f>
        <x:v>—</x:v>
      </x:c>
      <x:c r="H125" s="38" t="str">
        <x:f>IF(COUNT(INDEX('SKU明细'!$D$11:$D$1309,MATCH("1S01-CPG-6",'SKU明细'!$A$11:$A$1309,0)))=0,"待核",IF(COUNT(INDEX('SKU明细'!$D$11:$D$1309,MATCH("1S01-CPG-6",'SKU明细'!$A$11:$A$1309,0)))&lt;1,SUM(INDEX('SKU明细'!$D$11:$D$1309,MATCH("1S01-CPG-6",'SKU明细'!$A$11:$A$1309,0)))&amp;" + 待核",SUM(INDEX('SKU明细'!$D$11:$D$1309,MATCH("1S01-CPG-6",'SKU明细'!$A$11:$A$1309,0)))))</x:f>
        <x:v>待核</x:v>
      </x:c>
      <x:c r="I125" s="38" t="str">
        <x:f>IF(COUNT(INDEX('SKU明细'!$D$11:$D$1309,MATCH("1S01-CPG-37.5",'SKU明细'!$A$11:$A$1309,0)))=0,"待核",IF(COUNT(INDEX('SKU明细'!$D$11:$D$1309,MATCH("1S01-CPG-37.5",'SKU明细'!$A$11:$A$1309,0)))&lt;1,SUM(INDEX('SKU明细'!$D$11:$D$1309,MATCH("1S01-CPG-37.5",'SKU明细'!$A$11:$A$1309,0)))&amp;" + 待核",SUM(INDEX('SKU明细'!$D$11:$D$1309,MATCH("1S01-CPG-37.5",'SKU明细'!$A$11:$A$1309,0)))))</x:f>
        <x:v>待核</x:v>
      </x:c>
      <x:c r="J125" s="38" t="str">
        <x:f>IF(COUNT(INDEX('SKU明细'!$D$11:$D$1309,MATCH("1S01-CPG-7",'SKU明细'!$A$11:$A$1309,0)))=0,"待核",IF(COUNT(INDEX('SKU明细'!$D$11:$D$1309,MATCH("1S01-CPG-7",'SKU明细'!$A$11:$A$1309,0)))&lt;1,SUM(INDEX('SKU明细'!$D$11:$D$1309,MATCH("1S01-CPG-7",'SKU明细'!$A$11:$A$1309,0)))&amp;" + 待核",SUM(INDEX('SKU明细'!$D$11:$D$1309,MATCH("1S01-CPG-7",'SKU明细'!$A$11:$A$1309,0)))))</x:f>
        <x:v>待核</x:v>
      </x:c>
      <x:c r="K125" s="38" t="str">
        <x:f>IF(COUNT(INDEX('SKU明细'!$D$11:$D$1309,MATCH("1S01-CPG-38.5",'SKU明细'!$A$11:$A$1309,0)))=0,"待核",IF(COUNT(INDEX('SKU明细'!$D$11:$D$1309,MATCH("1S01-CPG-38.5",'SKU明细'!$A$11:$A$1309,0)))&lt;1,SUM(INDEX('SKU明细'!$D$11:$D$1309,MATCH("1S01-CPG-38.5",'SKU明细'!$A$11:$A$1309,0)))&amp;" + 待核",SUM(INDEX('SKU明细'!$D$11:$D$1309,MATCH("1S01-CPG-38.5",'SKU明细'!$A$11:$A$1309,0)))))</x:f>
        <x:v>待核</x:v>
      </x:c>
      <x:c r="L125" s="38" t="str">
        <x:f>IF(COUNT(INDEX('SKU明细'!$D$11:$D$1309,MATCH("1S01-CPG-8",'SKU明细'!$A$11:$A$1309,0)))=0,"待核",IF(COUNT(INDEX('SKU明细'!$D$11:$D$1309,MATCH("1S01-CPG-8",'SKU明细'!$A$11:$A$1309,0)))&lt;1,SUM(INDEX('SKU明细'!$D$11:$D$1309,MATCH("1S01-CPG-8",'SKU明细'!$A$11:$A$1309,0)))&amp;" + 待核",SUM(INDEX('SKU明细'!$D$11:$D$1309,MATCH("1S01-CPG-8",'SKU明细'!$A$11:$A$1309,0)))))</x:f>
        <x:v>待核</x:v>
      </x:c>
      <x:c r="M125" s="38" t="str">
        <x:f>IF(COUNT(INDEX('SKU明细'!$D$11:$D$1309,MATCH("1S01-CPG-39.5",'SKU明细'!$A$11:$A$1309,0)))=0,"待核",IF(COUNT(INDEX('SKU明细'!$D$11:$D$1309,MATCH("1S01-CPG-39.5",'SKU明细'!$A$11:$A$1309,0)))&lt;1,SUM(INDEX('SKU明细'!$D$11:$D$1309,MATCH("1S01-CPG-39.5",'SKU明细'!$A$11:$A$1309,0)))&amp;" + 待核",SUM(INDEX('SKU明细'!$D$11:$D$1309,MATCH("1S01-CPG-39.5",'SKU明细'!$A$11:$A$1309,0)))))</x:f>
        <x:v>待核</x:v>
      </x:c>
      <x:c r="N125" s="38" t="str">
        <x:f>IF(COUNT(INDEX('SKU明细'!$D$11:$D$1309,MATCH("1S01-CPG-9",'SKU明细'!$A$11:$A$1309,0)))=0,"待核",IF(COUNT(INDEX('SKU明细'!$D$11:$D$1309,MATCH("1S01-CPG-9",'SKU明细'!$A$11:$A$1309,0)))&lt;1,SUM(INDEX('SKU明细'!$D$11:$D$1309,MATCH("1S01-CPG-9",'SKU明细'!$A$11:$A$1309,0)))&amp;" + 待核",SUM(INDEX('SKU明细'!$D$11:$D$1309,MATCH("1S01-CPG-9",'SKU明细'!$A$11:$A$1309,0)))))</x:f>
        <x:v>待核</x:v>
      </x:c>
      <x:c r="O125" s="38" t="str">
        <x:f>IF(COUNT(INDEX('SKU明细'!$D$11:$D$1309,MATCH("1S01-CPG-40.5",'SKU明细'!$A$11:$A$1309,0)))=0,"待核",IF(COUNT(INDEX('SKU明细'!$D$11:$D$1309,MATCH("1S01-CPG-40.5",'SKU明细'!$A$11:$A$1309,0)))&lt;1,SUM(INDEX('SKU明细'!$D$11:$D$1309,MATCH("1S01-CPG-40.5",'SKU明细'!$A$11:$A$1309,0)))&amp;" + 待核",SUM(INDEX('SKU明细'!$D$11:$D$1309,MATCH("1S01-CPG-40.5",'SKU明细'!$A$11:$A$1309,0)))))</x:f>
        <x:v>待核</x:v>
      </x:c>
      <x:c r="P125" s="38" t="str">
        <x:f>IF(COUNT(INDEX('SKU明细'!$D$11:$D$1309,MATCH("1S01-CPG-10",'SKU明细'!$A$11:$A$1309,0)))=0,"待核",IF(COUNT(INDEX('SKU明细'!$D$11:$D$1309,MATCH("1S01-CPG-10",'SKU明细'!$A$11:$A$1309,0)))&lt;1,SUM(INDEX('SKU明细'!$D$11:$D$1309,MATCH("1S01-CPG-10",'SKU明细'!$A$11:$A$1309,0)))&amp;" + 待核",SUM(INDEX('SKU明细'!$D$11:$D$1309,MATCH("1S01-CPG-10",'SKU明细'!$A$11:$A$1309,0)))))</x:f>
        <x:v>待核</x:v>
      </x:c>
      <x:c r="Q125" s="38" t="str">
        <x:f>IF(COUNT(INDEX('SKU明细'!$D$11:$D$1309,MATCH("1S01-CPG-41.5",'SKU明细'!$A$11:$A$1309,0)))=0,"待核",IF(COUNT(INDEX('SKU明细'!$D$11:$D$1309,MATCH("1S01-CPG-41.5",'SKU明细'!$A$11:$A$1309,0)))&lt;1,SUM(INDEX('SKU明细'!$D$11:$D$1309,MATCH("1S01-CPG-41.5",'SKU明细'!$A$11:$A$1309,0)))&amp;" + 待核",SUM(INDEX('SKU明细'!$D$11:$D$1309,MATCH("1S01-CPG-41.5",'SKU明细'!$A$11:$A$1309,0)))))</x:f>
        <x:v>待核</x:v>
      </x:c>
      <x:c r="R125" s="38" t="str">
        <x:f>IF(COUNT(INDEX('SKU明细'!$D$11:$D$1309,MATCH("1S01-CPG-11",'SKU明细'!$A$11:$A$1309,0)))=0,"待核",IF(COUNT(INDEX('SKU明细'!$D$11:$D$1309,MATCH("1S01-CPG-11",'SKU明细'!$A$11:$A$1309,0)))&lt;1,SUM(INDEX('SKU明细'!$D$11:$D$1309,MATCH("1S01-CPG-11",'SKU明细'!$A$11:$A$1309,0)))&amp;" + 待核",SUM(INDEX('SKU明细'!$D$11:$D$1309,MATCH("1S01-CPG-11",'SKU明细'!$A$11:$A$1309,0)))))</x:f>
        <x:v>待核</x:v>
      </x:c>
      <x:c r="S125" s="38" t="str">
        <x:f>IF(COUNT(INDEX('SKU明细'!$D$11:$D$1309,MATCH("1S01-CPG-6",'SKU明细'!$A$11:$A$1309,0)),INDEX('SKU明细'!$D$11:$D$1309,MATCH("1S01-CPG-37.5",'SKU明细'!$A$11:$A$1309,0)),INDEX('SKU明细'!$D$11:$D$1309,MATCH("1S01-CPG-7",'SKU明细'!$A$11:$A$1309,0)),INDEX('SKU明细'!$D$11:$D$1309,MATCH("1S01-CPG-38.5",'SKU明细'!$A$11:$A$1309,0)),INDEX('SKU明细'!$D$11:$D$1309,MATCH("1S01-CPG-8",'SKU明细'!$A$11:$A$1309,0)),INDEX('SKU明细'!$D$11:$D$1309,MATCH("1S01-CPG-39.5",'SKU明细'!$A$11:$A$1309,0)),INDEX('SKU明细'!$D$11:$D$1309,MATCH("1S01-CPG-9",'SKU明细'!$A$11:$A$1309,0)),INDEX('SKU明细'!$D$11:$D$1309,MATCH("1S01-CPG-40.5",'SKU明细'!$A$11:$A$1309,0)),INDEX('SKU明细'!$D$11:$D$1309,MATCH("1S01-CPG-10",'SKU明细'!$A$11:$A$1309,0)),INDEX('SKU明细'!$D$11:$D$1309,MATCH("1S01-CPG-41.5",'SKU明细'!$A$11:$A$1309,0)),INDEX('SKU明细'!$D$11:$D$1309,MATCH("1S01-CPG-11",'SKU明细'!$A$11:$A$1309,0)))=0,"待核",SUM(INDEX('SKU明细'!$D$11:$D$1309,MATCH("1S01-CPG-6",'SKU明细'!$A$11:$A$1309,0)),INDEX('SKU明细'!$D$11:$D$1309,MATCH("1S01-CPG-37.5",'SKU明细'!$A$11:$A$1309,0)),INDEX('SKU明细'!$D$11:$D$1309,MATCH("1S01-CPG-7",'SKU明细'!$A$11:$A$1309,0)),INDEX('SKU明细'!$D$11:$D$1309,MATCH("1S01-CPG-38.5",'SKU明细'!$A$11:$A$1309,0)),INDEX('SKU明细'!$D$11:$D$1309,MATCH("1S01-CPG-8",'SKU明细'!$A$11:$A$1309,0)),INDEX('SKU明细'!$D$11:$D$1309,MATCH("1S01-CPG-39.5",'SKU明细'!$A$11:$A$1309,0)),INDEX('SKU明细'!$D$11:$D$1309,MATCH("1S01-CPG-9",'SKU明细'!$A$11:$A$1309,0)),INDEX('SKU明细'!$D$11:$D$1309,MATCH("1S01-CPG-40.5",'SKU明细'!$A$11:$A$1309,0)),INDEX('SKU明细'!$D$11:$D$1309,MATCH("1S01-CPG-10",'SKU明细'!$A$11:$A$1309,0)),INDEX('SKU明细'!$D$11:$D$1309,MATCH("1S01-CPG-41.5",'SKU明细'!$A$11:$A$1309,0)),INDEX('SKU明细'!$D$11:$D$1309,MATCH("1S01-CPG-11",'SKU明细'!$A$11:$A$1309,0))))</x:f>
        <x:v>待核</x:v>
      </x:c>
      <x:c r="T125" s="38" t="n">
        <x:f>IF(COUNTIFS($A$9:$A$191,A125,$U$9:$U$191,"&lt;&gt;待核")=0,"待核",SUMIF($A$9:$A$191,A125,$S$9:$S$191))</x:f>
        <x:v>141</x:v>
      </x:c>
      <x:c r="U125" s="37" t="str">
        <x:f>IF(COUNT(INDEX('SKU明细'!$D$11:$D$1309,MATCH("1S01-CPG-6",'SKU明细'!$A$11:$A$1309,0)),INDEX('SKU明细'!$D$11:$D$1309,MATCH("1S01-CPG-37.5",'SKU明细'!$A$11:$A$1309,0)),INDEX('SKU明细'!$D$11:$D$1309,MATCH("1S01-CPG-7",'SKU明细'!$A$11:$A$1309,0)),INDEX('SKU明细'!$D$11:$D$1309,MATCH("1S01-CPG-38.5",'SKU明细'!$A$11:$A$1309,0)),INDEX('SKU明细'!$D$11:$D$1309,MATCH("1S01-CPG-8",'SKU明细'!$A$11:$A$1309,0)),INDEX('SKU明细'!$D$11:$D$1309,MATCH("1S01-CPG-39.5",'SKU明细'!$A$11:$A$1309,0)),INDEX('SKU明细'!$D$11:$D$1309,MATCH("1S01-CPG-9",'SKU明细'!$A$11:$A$1309,0)),INDEX('SKU明细'!$D$11:$D$1309,MATCH("1S01-CPG-40.5",'SKU明细'!$A$11:$A$1309,0)),INDEX('SKU明细'!$D$11:$D$1309,MATCH("1S01-CPG-10",'SKU明细'!$A$11:$A$1309,0)),INDEX('SKU明细'!$D$11:$D$1309,MATCH("1S01-CPG-41.5",'SKU明细'!$A$11:$A$1309,0)),INDEX('SKU明细'!$D$11:$D$1309,MATCH("1S01-CPG-11",'SKU明细'!$A$11:$A$1309,0)))=0,"待核",IF(COUNT(INDEX('SKU明细'!$D$11:$D$1309,MATCH("1S01-CPG-6",'SKU明细'!$A$11:$A$1309,0)),INDEX('SKU明细'!$D$11:$D$1309,MATCH("1S01-CPG-37.5",'SKU明细'!$A$11:$A$1309,0)),INDEX('SKU明细'!$D$11:$D$1309,MATCH("1S01-CPG-7",'SKU明细'!$A$11:$A$1309,0)),INDEX('SKU明细'!$D$11:$D$1309,MATCH("1S01-CPG-38.5",'SKU明细'!$A$11:$A$1309,0)),INDEX('SKU明细'!$D$11:$D$1309,MATCH("1S01-CPG-8",'SKU明细'!$A$11:$A$1309,0)),INDEX('SKU明细'!$D$11:$D$1309,MATCH("1S01-CPG-39.5",'SKU明细'!$A$11:$A$1309,0)),INDEX('SKU明细'!$D$11:$D$1309,MATCH("1S01-CPG-9",'SKU明细'!$A$11:$A$1309,0)),INDEX('SKU明细'!$D$11:$D$1309,MATCH("1S01-CPG-40.5",'SKU明细'!$A$11:$A$1309,0)),INDEX('SKU明细'!$D$11:$D$1309,MATCH("1S01-CPG-10",'SKU明细'!$A$11:$A$1309,0)),INDEX('SKU明细'!$D$11:$D$1309,MATCH("1S01-CPG-41.5",'SKU明细'!$A$11:$A$1309,0)),INDEX('SKU明细'!$D$11:$D$1309,MATCH("1S01-CPG-11",'SKU明细'!$A$11:$A$1309,0)))&lt;11,"另有待核","已核"))</x:f>
        <x:v>待核</x:v>
      </x:c>
      <x:c r="V125" s="37" t="str">
        <x:v>停售</x:v>
      </x:c>
      <x:c r="W125" s="11" t="n">
        <x:f>IF(COUNT(INDEX('SKU明细'!$BV$11:$BV$1309,MATCH("1S01-CPG-6",'SKU明细'!$A$11:$A$1309,0)),INDEX('SKU明细'!$BV$11:$BV$1309,MATCH("1S01-CPG-37.5",'SKU明细'!$A$11:$A$1309,0)),INDEX('SKU明细'!$BV$11:$BV$1309,MATCH("1S01-CPG-7",'SKU明细'!$A$11:$A$1309,0)),INDEX('SKU明细'!$BV$11:$BV$1309,MATCH("1S01-CPG-38.5",'SKU明细'!$A$11:$A$1309,0)),INDEX('SKU明细'!$BV$11:$BV$1309,MATCH("1S01-CPG-8",'SKU明细'!$A$11:$A$1309,0)),INDEX('SKU明细'!$BV$11:$BV$1309,MATCH("1S01-CPG-39.5",'SKU明细'!$A$11:$A$1309,0)),INDEX('SKU明细'!$BV$11:$BV$1309,MATCH("1S01-CPG-9",'SKU明细'!$A$11:$A$1309,0)),INDEX('SKU明细'!$BV$11:$BV$1309,MATCH("1S01-CPG-40.5",'SKU明细'!$A$11:$A$1309,0)),INDEX('SKU明细'!$BV$11:$BV$1309,MATCH("1S01-CPG-10",'SKU明细'!$A$11:$A$1309,0)),INDEX('SKU明细'!$BV$11:$BV$1309,MATCH("1S01-CPG-41.5",'SKU明细'!$A$11:$A$1309,0)),INDEX('SKU明细'!$BV$11:$BV$1309,MATCH("1S01-CPG-11",'SKU明细'!$A$11:$A$1309,0)))=11,SUM(INDEX('SKU明细'!$BV$11:$BV$1309,MATCH("1S01-CPG-6",'SKU明细'!$A$11:$A$1309,0)),INDEX('SKU明细'!$BV$11:$BV$1309,MATCH("1S01-CPG-37.5",'SKU明细'!$A$11:$A$1309,0)),INDEX('SKU明细'!$BV$11:$BV$1309,MATCH("1S01-CPG-7",'SKU明细'!$A$11:$A$1309,0)),INDEX('SKU明细'!$BV$11:$BV$1309,MATCH("1S01-CPG-38.5",'SKU明细'!$A$11:$A$1309,0)),INDEX('SKU明细'!$BV$11:$BV$1309,MATCH("1S01-CPG-8",'SKU明细'!$A$11:$A$1309,0)),INDEX('SKU明细'!$BV$11:$BV$1309,MATCH("1S01-CPG-39.5",'SKU明细'!$A$11:$A$1309,0)),INDEX('SKU明细'!$BV$11:$BV$1309,MATCH("1S01-CPG-9",'SKU明细'!$A$11:$A$1309,0)),INDEX('SKU明细'!$BV$11:$BV$1309,MATCH("1S01-CPG-40.5",'SKU明细'!$A$11:$A$1309,0)),INDEX('SKU明细'!$BV$11:$BV$1309,MATCH("1S01-CPG-10",'SKU明细'!$A$11:$A$1309,0)),INDEX('SKU明细'!$BV$11:$BV$1309,MATCH("1S01-CPG-41.5",'SKU明细'!$A$11:$A$1309,0)),INDEX('SKU明细'!$BV$11:$BV$1309,MATCH("1S01-CPG-11",'SKU明细'!$A$11:$A$1309,0))),"待核")</x:f>
        <x:v>0</x:v>
      </x:c>
      <x:c r="X125" s="11" t="n">
        <x:f>INDEX('SKU明细'!$BW$11:$BW$1309,MATCH("1S01-CPG-6",'SKU明细'!$A$11:$A$1309,0))</x:f>
        <x:v>0.8729500662042875</x:v>
      </x:c>
      <x:c r="Y125" s="13" t="n">
        <x:f>IF(COUNT(INDEX('SKU明细'!$BY$11:$BY$1309,MATCH("1S01-CPG-6",'SKU明细'!$A$11:$A$1309,0)),INDEX('SKU明细'!$BY$11:$BY$1309,MATCH("1S01-CPG-37.5",'SKU明细'!$A$11:$A$1309,0)),INDEX('SKU明细'!$BY$11:$BY$1309,MATCH("1S01-CPG-7",'SKU明细'!$A$11:$A$1309,0)),INDEX('SKU明细'!$BY$11:$BY$1309,MATCH("1S01-CPG-38.5",'SKU明细'!$A$11:$A$1309,0)),INDEX('SKU明细'!$BY$11:$BY$1309,MATCH("1S01-CPG-8",'SKU明细'!$A$11:$A$1309,0)),INDEX('SKU明细'!$BY$11:$BY$1309,MATCH("1S01-CPG-39.5",'SKU明细'!$A$11:$A$1309,0)),INDEX('SKU明细'!$BY$11:$BY$1309,MATCH("1S01-CPG-9",'SKU明细'!$A$11:$A$1309,0)),INDEX('SKU明细'!$BY$11:$BY$1309,MATCH("1S01-CPG-40.5",'SKU明细'!$A$11:$A$1309,0)),INDEX('SKU明细'!$BY$11:$BY$1309,MATCH("1S01-CPG-10",'SKU明细'!$A$11:$A$1309,0)),INDEX('SKU明细'!$BY$11:$BY$1309,MATCH("1S01-CPG-41.5",'SKU明细'!$A$11:$A$1309,0)),INDEX('SKU明细'!$BY$11:$BY$1309,MATCH("1S01-CPG-11",'SKU明细'!$A$11:$A$1309,0)))=11,SUM(INDEX('SKU明细'!$BY$11:$BY$1309,MATCH("1S01-CPG-6",'SKU明细'!$A$11:$A$1309,0)),INDEX('SKU明细'!$BY$11:$BY$1309,MATCH("1S01-CPG-37.5",'SKU明细'!$A$11:$A$1309,0)),INDEX('SKU明细'!$BY$11:$BY$1309,MATCH("1S01-CPG-7",'SKU明细'!$A$11:$A$1309,0)),INDEX('SKU明细'!$BY$11:$BY$1309,MATCH("1S01-CPG-38.5",'SKU明细'!$A$11:$A$1309,0)),INDEX('SKU明细'!$BY$11:$BY$1309,MATCH("1S01-CPG-8",'SKU明细'!$A$11:$A$1309,0)),INDEX('SKU明细'!$BY$11:$BY$1309,MATCH("1S01-CPG-39.5",'SKU明细'!$A$11:$A$1309,0)),INDEX('SKU明细'!$BY$11:$BY$1309,MATCH("1S01-CPG-9",'SKU明细'!$A$11:$A$1309,0)),INDEX('SKU明细'!$BY$11:$BY$1309,MATCH("1S01-CPG-40.5",'SKU明细'!$A$11:$A$1309,0)),INDEX('SKU明细'!$BY$11:$BY$1309,MATCH("1S01-CPG-10",'SKU明细'!$A$11:$A$1309,0)),INDEX('SKU明细'!$BY$11:$BY$1309,MATCH("1S01-CPG-41.5",'SKU明细'!$A$11:$A$1309,0)),INDEX('SKU明细'!$BY$11:$BY$1309,MATCH("1S01-CPG-11",'SKU明细'!$A$11:$A$1309,0))),"待核")</x:f>
        <x:v>0</x:v>
      </x:c>
      <x:c r="Z125" s="11" t="n">
        <x:f>INDEX('SKU明细'!$BZ$11:$BZ$1309,MATCH("1S01-CPG-6",'SKU明细'!$A$11:$A$1309,0))</x:f>
        <x:v>0.8057375774163482</x:v>
      </x:c>
      <x:c r="AA125" s="13" t="n">
        <x:f>IF(COUNT(INDEX('SKU明细'!$CB$11:$CB$1309,MATCH("1S01-CPG-6",'SKU明细'!$A$11:$A$1309,0)),INDEX('SKU明细'!$CB$11:$CB$1309,MATCH("1S01-CPG-37.5",'SKU明细'!$A$11:$A$1309,0)),INDEX('SKU明细'!$CB$11:$CB$1309,MATCH("1S01-CPG-7",'SKU明细'!$A$11:$A$1309,0)),INDEX('SKU明细'!$CB$11:$CB$1309,MATCH("1S01-CPG-38.5",'SKU明细'!$A$11:$A$1309,0)),INDEX('SKU明细'!$CB$11:$CB$1309,MATCH("1S01-CPG-8",'SKU明细'!$A$11:$A$1309,0)),INDEX('SKU明细'!$CB$11:$CB$1309,MATCH("1S01-CPG-39.5",'SKU明细'!$A$11:$A$1309,0)),INDEX('SKU明细'!$CB$11:$CB$1309,MATCH("1S01-CPG-9",'SKU明细'!$A$11:$A$1309,0)),INDEX('SKU明细'!$CB$11:$CB$1309,MATCH("1S01-CPG-40.5",'SKU明细'!$A$11:$A$1309,0)),INDEX('SKU明细'!$CB$11:$CB$1309,MATCH("1S01-CPG-10",'SKU明细'!$A$11:$A$1309,0)),INDEX('SKU明细'!$CB$11:$CB$1309,MATCH("1S01-CPG-41.5",'SKU明细'!$A$11:$A$1309,0)),INDEX('SKU明细'!$CB$11:$CB$1309,MATCH("1S01-CPG-11",'SKU明细'!$A$11:$A$1309,0)))=11,SUM(INDEX('SKU明细'!$CB$11:$CB$1309,MATCH("1S01-CPG-6",'SKU明细'!$A$11:$A$1309,0)),INDEX('SKU明细'!$CB$11:$CB$1309,MATCH("1S01-CPG-37.5",'SKU明细'!$A$11:$A$1309,0)),INDEX('SKU明细'!$CB$11:$CB$1309,MATCH("1S01-CPG-7",'SKU明细'!$A$11:$A$1309,0)),INDEX('SKU明细'!$CB$11:$CB$1309,MATCH("1S01-CPG-38.5",'SKU明细'!$A$11:$A$1309,0)),INDEX('SKU明细'!$CB$11:$CB$1309,MATCH("1S01-CPG-8",'SKU明细'!$A$11:$A$1309,0)),INDEX('SKU明细'!$CB$11:$CB$1309,MATCH("1S01-CPG-39.5",'SKU明细'!$A$11:$A$1309,0)),INDEX('SKU明细'!$CB$11:$CB$1309,MATCH("1S01-CPG-9",'SKU明细'!$A$11:$A$1309,0)),INDEX('SKU明细'!$CB$11:$CB$1309,MATCH("1S01-CPG-40.5",'SKU明细'!$A$11:$A$1309,0)),INDEX('SKU明细'!$CB$11:$CB$1309,MATCH("1S01-CPG-10",'SKU明细'!$A$11:$A$1309,0)),INDEX('SKU明细'!$CB$11:$CB$1309,MATCH("1S01-CPG-41.5",'SKU明细'!$A$11:$A$1309,0)),INDEX('SKU明细'!$CB$11:$CB$1309,MATCH("1S01-CPG-11",'SKU明细'!$A$11:$A$1309,0))),"待核")</x:f>
        <x:v>0</x:v>
      </x:c>
      <x:c r="AB125" s="11" t="n">
        <x:f>INDEX('SKU明细'!$CC$11:$CC$1309,MATCH("1S01-CPG-6",'SKU明细'!$A$11:$A$1309,0))</x:f>
        <x:v>0.532550303142279</x:v>
      </x:c>
      <x:c r="AC125" s="13" t="n">
        <x:f>IF(COUNT(INDEX('SKU明细'!$CE$11:$CE$1309,MATCH("1S01-CPG-6",'SKU明细'!$A$11:$A$1309,0)),INDEX('SKU明细'!$CE$11:$CE$1309,MATCH("1S01-CPG-37.5",'SKU明细'!$A$11:$A$1309,0)),INDEX('SKU明细'!$CE$11:$CE$1309,MATCH("1S01-CPG-7",'SKU明细'!$A$11:$A$1309,0)),INDEX('SKU明细'!$CE$11:$CE$1309,MATCH("1S01-CPG-38.5",'SKU明细'!$A$11:$A$1309,0)),INDEX('SKU明细'!$CE$11:$CE$1309,MATCH("1S01-CPG-8",'SKU明细'!$A$11:$A$1309,0)),INDEX('SKU明细'!$CE$11:$CE$1309,MATCH("1S01-CPG-39.5",'SKU明细'!$A$11:$A$1309,0)),INDEX('SKU明细'!$CE$11:$CE$1309,MATCH("1S01-CPG-9",'SKU明细'!$A$11:$A$1309,0)),INDEX('SKU明细'!$CE$11:$CE$1309,MATCH("1S01-CPG-40.5",'SKU明细'!$A$11:$A$1309,0)),INDEX('SKU明细'!$CE$11:$CE$1309,MATCH("1S01-CPG-10",'SKU明细'!$A$11:$A$1309,0)),INDEX('SKU明细'!$CE$11:$CE$1309,MATCH("1S01-CPG-41.5",'SKU明细'!$A$11:$A$1309,0)),INDEX('SKU明细'!$CE$11:$CE$1309,MATCH("1S01-CPG-11",'SKU明细'!$A$11:$A$1309,0)))=11,SUM(INDEX('SKU明细'!$CE$11:$CE$1309,MATCH("1S01-CPG-6",'SKU明细'!$A$11:$A$1309,0)),INDEX('SKU明细'!$CE$11:$CE$1309,MATCH("1S01-CPG-37.5",'SKU明细'!$A$11:$A$1309,0)),INDEX('SKU明细'!$CE$11:$CE$1309,MATCH("1S01-CPG-7",'SKU明细'!$A$11:$A$1309,0)),INDEX('SKU明细'!$CE$11:$CE$1309,MATCH("1S01-CPG-38.5",'SKU明细'!$A$11:$A$1309,0)),INDEX('SKU明细'!$CE$11:$CE$1309,MATCH("1S01-CPG-8",'SKU明细'!$A$11:$A$1309,0)),INDEX('SKU明细'!$CE$11:$CE$1309,MATCH("1S01-CPG-39.5",'SKU明细'!$A$11:$A$1309,0)),INDEX('SKU明细'!$CE$11:$CE$1309,MATCH("1S01-CPG-9",'SKU明细'!$A$11:$A$1309,0)),INDEX('SKU明细'!$CE$11:$CE$1309,MATCH("1S01-CPG-40.5",'SKU明细'!$A$11:$A$1309,0)),INDEX('SKU明细'!$CE$11:$CE$1309,MATCH("1S01-CPG-10",'SKU明细'!$A$11:$A$1309,0)),INDEX('SKU明细'!$CE$11:$CE$1309,MATCH("1S01-CPG-41.5",'SKU明细'!$A$11:$A$1309,0)),INDEX('SKU明细'!$CE$11:$CE$1309,MATCH("1S01-CPG-11",'SKU明细'!$A$11:$A$1309,0))),"待核")</x:f>
        <x:v>0</x:v>
      </x:c>
      <x:c r="AD125" s="11" t="n">
        <x:f>INDEX('SKU明细'!$CF$11:$CF$1309,MATCH("1S01-CPG-6",'SKU明细'!$A$11:$A$1309,0))</x:f>
        <x:v>0.7517299265337036</x:v>
      </x:c>
      <x:c r="AE125" s="13" t="n">
        <x:f>IF(COUNT(INDEX('SKU明细'!$CH$11:$CH$1309,MATCH("1S01-CPG-6",'SKU明细'!$A$11:$A$1309,0)),INDEX('SKU明细'!$CH$11:$CH$1309,MATCH("1S01-CPG-37.5",'SKU明细'!$A$11:$A$1309,0)),INDEX('SKU明细'!$CH$11:$CH$1309,MATCH("1S01-CPG-7",'SKU明细'!$A$11:$A$1309,0)),INDEX('SKU明细'!$CH$11:$CH$1309,MATCH("1S01-CPG-38.5",'SKU明细'!$A$11:$A$1309,0)),INDEX('SKU明细'!$CH$11:$CH$1309,MATCH("1S01-CPG-8",'SKU明细'!$A$11:$A$1309,0)),INDEX('SKU明细'!$CH$11:$CH$1309,MATCH("1S01-CPG-39.5",'SKU明细'!$A$11:$A$1309,0)),INDEX('SKU明细'!$CH$11:$CH$1309,MATCH("1S01-CPG-9",'SKU明细'!$A$11:$A$1309,0)),INDEX('SKU明细'!$CH$11:$CH$1309,MATCH("1S01-CPG-40.5",'SKU明细'!$A$11:$A$1309,0)),INDEX('SKU明细'!$CH$11:$CH$1309,MATCH("1S01-CPG-10",'SKU明细'!$A$11:$A$1309,0)),INDEX('SKU明细'!$CH$11:$CH$1309,MATCH("1S01-CPG-41.5",'SKU明细'!$A$11:$A$1309,0)),INDEX('SKU明细'!$CH$11:$CH$1309,MATCH("1S01-CPG-11",'SKU明细'!$A$11:$A$1309,0)))=11,SUM(INDEX('SKU明细'!$CH$11:$CH$1309,MATCH("1S01-CPG-6",'SKU明细'!$A$11:$A$1309,0)),INDEX('SKU明细'!$CH$11:$CH$1309,MATCH("1S01-CPG-37.5",'SKU明细'!$A$11:$A$1309,0)),INDEX('SKU明细'!$CH$11:$CH$1309,MATCH("1S01-CPG-7",'SKU明细'!$A$11:$A$1309,0)),INDEX('SKU明细'!$CH$11:$CH$1309,MATCH("1S01-CPG-38.5",'SKU明细'!$A$11:$A$1309,0)),INDEX('SKU明细'!$CH$11:$CH$1309,MATCH("1S01-CPG-8",'SKU明细'!$A$11:$A$1309,0)),INDEX('SKU明细'!$CH$11:$CH$1309,MATCH("1S01-CPG-39.5",'SKU明细'!$A$11:$A$1309,0)),INDEX('SKU明细'!$CH$11:$CH$1309,MATCH("1S01-CPG-9",'SKU明细'!$A$11:$A$1309,0)),INDEX('SKU明细'!$CH$11:$CH$1309,MATCH("1S01-CPG-40.5",'SKU明细'!$A$11:$A$1309,0)),INDEX('SKU明细'!$CH$11:$CH$1309,MATCH("1S01-CPG-10",'SKU明细'!$A$11:$A$1309,0)),INDEX('SKU明细'!$CH$11:$CH$1309,MATCH("1S01-CPG-41.5",'SKU明细'!$A$11:$A$1309,0)),INDEX('SKU明细'!$CH$11:$CH$1309,MATCH("1S01-CPG-11",'SKU明细'!$A$11:$A$1309,0))),"待核")</x:f>
        <x:v>0</x:v>
      </x:c>
      <x:c r="AF125" s="13" t="n">
        <x:f>IF(COUNT(INDEX('SKU明细'!$CI$11:$CI$1309,MATCH("1S01-CPG-6",'SKU明细'!$A$11:$A$1309,0)),INDEX('SKU明细'!$CI$11:$CI$1309,MATCH("1S01-CPG-37.5",'SKU明细'!$A$11:$A$1309,0)),INDEX('SKU明细'!$CI$11:$CI$1309,MATCH("1S01-CPG-7",'SKU明细'!$A$11:$A$1309,0)),INDEX('SKU明细'!$CI$11:$CI$1309,MATCH("1S01-CPG-38.5",'SKU明细'!$A$11:$A$1309,0)),INDEX('SKU明细'!$CI$11:$CI$1309,MATCH("1S01-CPG-8",'SKU明细'!$A$11:$A$1309,0)),INDEX('SKU明细'!$CI$11:$CI$1309,MATCH("1S01-CPG-39.5",'SKU明细'!$A$11:$A$1309,0)),INDEX('SKU明细'!$CI$11:$CI$1309,MATCH("1S01-CPG-9",'SKU明细'!$A$11:$A$1309,0)),INDEX('SKU明细'!$CI$11:$CI$1309,MATCH("1S01-CPG-40.5",'SKU明细'!$A$11:$A$1309,0)),INDEX('SKU明细'!$CI$11:$CI$1309,MATCH("1S01-CPG-10",'SKU明细'!$A$11:$A$1309,0)),INDEX('SKU明细'!$CI$11:$CI$1309,MATCH("1S01-CPG-41.5",'SKU明细'!$A$11:$A$1309,0)),INDEX('SKU明细'!$CI$11:$CI$1309,MATCH("1S01-CPG-11",'SKU明细'!$A$11:$A$1309,0)))=11,SUM(INDEX('SKU明细'!$CI$11:$CI$1309,MATCH("1S01-CPG-6",'SKU明细'!$A$11:$A$1309,0)),INDEX('SKU明细'!$CI$11:$CI$1309,MATCH("1S01-CPG-37.5",'SKU明细'!$A$11:$A$1309,0)),INDEX('SKU明细'!$CI$11:$CI$1309,MATCH("1S01-CPG-7",'SKU明细'!$A$11:$A$1309,0)),INDEX('SKU明细'!$CI$11:$CI$1309,MATCH("1S01-CPG-38.5",'SKU明细'!$A$11:$A$1309,0)),INDEX('SKU明细'!$CI$11:$CI$1309,MATCH("1S01-CPG-8",'SKU明细'!$A$11:$A$1309,0)),INDEX('SKU明细'!$CI$11:$CI$1309,MATCH("1S01-CPG-39.5",'SKU明细'!$A$11:$A$1309,0)),INDEX('SKU明细'!$CI$11:$CI$1309,MATCH("1S01-CPG-9",'SKU明细'!$A$11:$A$1309,0)),INDEX('SKU明细'!$CI$11:$CI$1309,MATCH("1S01-CPG-40.5",'SKU明细'!$A$11:$A$1309,0)),INDEX('SKU明细'!$CI$11:$CI$1309,MATCH("1S01-CPG-10",'SKU明细'!$A$11:$A$1309,0)),INDEX('SKU明细'!$CI$11:$CI$1309,MATCH("1S01-CPG-41.5",'SKU明细'!$A$11:$A$1309,0)),INDEX('SKU明细'!$CI$11:$CI$1309,MATCH("1S01-CPG-11",'SKU明细'!$A$11:$A$1309,0))),"待核")</x:f>
        <x:v>0</x:v>
      </x:c>
    </x:row>
    <x:row r="126" ht="40" customHeight="1">
      <x:c r="A126" s="37" t="str">
        <x:v>1S01</x:v>
      </x:c>
      <x:c r="B126" s="37" t="str">
        <x:v>徐新怡</x:v>
      </x:c>
      <x:c r="C126" s="37" t="str">
        <x:v>深米色</x:v>
      </x:c>
      <x:c r="D126" s="37" t="str">
        <x:v>DB</x:v>
      </x:c>
      <x:c r="E126" s="37" t="str">
        <x:v>1S01-DB</x:v>
      </x:c>
      <x:c r="F126" s="37"/>
      <x:c r="G126" s="38" t="str">
        <x:f>"—"</x:f>
        <x:v>—</x:v>
      </x:c>
      <x:c r="H126" s="38" t="n">
        <x:f>IF(COUNT(INDEX('SKU明细'!$D$11:$D$1309,MATCH("1S01-DB-37",'SKU明细'!$A$11:$A$1309,0)))=0,"待核",IF(COUNT(INDEX('SKU明细'!$D$11:$D$1309,MATCH("1S01-DB-37",'SKU明细'!$A$11:$A$1309,0)))&lt;1,SUM(INDEX('SKU明细'!$D$11:$D$1309,MATCH("1S01-DB-37",'SKU明细'!$A$11:$A$1309,0)))&amp;" + 待核",SUM(INDEX('SKU明细'!$D$11:$D$1309,MATCH("1S01-DB-37",'SKU明细'!$A$11:$A$1309,0)))))</x:f>
        <x:v>0</x:v>
      </x:c>
      <x:c r="I126" s="38" t="n">
        <x:f>IF(COUNT(INDEX('SKU明细'!$D$11:$D$1309,MATCH("1S01-DB-37.5",'SKU明细'!$A$11:$A$1309,0)))=0,"待核",IF(COUNT(INDEX('SKU明细'!$D$11:$D$1309,MATCH("1S01-DB-37.5",'SKU明细'!$A$11:$A$1309,0)))&lt;1,SUM(INDEX('SKU明细'!$D$11:$D$1309,MATCH("1S01-DB-37.5",'SKU明细'!$A$11:$A$1309,0)))&amp;" + 待核",SUM(INDEX('SKU明细'!$D$11:$D$1309,MATCH("1S01-DB-37.5",'SKU明细'!$A$11:$A$1309,0)))))</x:f>
        <x:v>0</x:v>
      </x:c>
      <x:c r="J126" s="38" t="n">
        <x:f>IF(COUNT(INDEX('SKU明细'!$D$11:$D$1309,MATCH("1S01-DB-38",'SKU明细'!$A$11:$A$1309,0)))=0,"待核",IF(COUNT(INDEX('SKU明细'!$D$11:$D$1309,MATCH("1S01-DB-38",'SKU明细'!$A$11:$A$1309,0)))&lt;1,SUM(INDEX('SKU明细'!$D$11:$D$1309,MATCH("1S01-DB-38",'SKU明细'!$A$11:$A$1309,0)))&amp;" + 待核",SUM(INDEX('SKU明细'!$D$11:$D$1309,MATCH("1S01-DB-38",'SKU明细'!$A$11:$A$1309,0)))))</x:f>
        <x:v>0</x:v>
      </x:c>
      <x:c r="K126" s="38" t="n">
        <x:f>IF(COUNT(INDEX('SKU明细'!$D$11:$D$1309,MATCH("1S01-DB-38.5",'SKU明细'!$A$11:$A$1309,0)))=0,"待核",IF(COUNT(INDEX('SKU明细'!$D$11:$D$1309,MATCH("1S01-DB-38.5",'SKU明细'!$A$11:$A$1309,0)))&lt;1,SUM(INDEX('SKU明细'!$D$11:$D$1309,MATCH("1S01-DB-38.5",'SKU明细'!$A$11:$A$1309,0)))&amp;" + 待核",SUM(INDEX('SKU明细'!$D$11:$D$1309,MATCH("1S01-DB-38.5",'SKU明细'!$A$11:$A$1309,0)))))</x:f>
        <x:v>0</x:v>
      </x:c>
      <x:c r="L126" s="38" t="n">
        <x:f>IF(COUNT(INDEX('SKU明细'!$D$11:$D$1309,MATCH("1S01-DB-39",'SKU明细'!$A$11:$A$1309,0)))=0,"待核",IF(COUNT(INDEX('SKU明细'!$D$11:$D$1309,MATCH("1S01-DB-39",'SKU明细'!$A$11:$A$1309,0)))&lt;1,SUM(INDEX('SKU明细'!$D$11:$D$1309,MATCH("1S01-DB-39",'SKU明细'!$A$11:$A$1309,0)))&amp;" + 待核",SUM(INDEX('SKU明细'!$D$11:$D$1309,MATCH("1S01-DB-39",'SKU明细'!$A$11:$A$1309,0)))))</x:f>
        <x:v>0</x:v>
      </x:c>
      <x:c r="M126" s="38" t="n">
        <x:f>IF(COUNT(INDEX('SKU明细'!$D$11:$D$1309,MATCH("1S01-DB-39.5",'SKU明细'!$A$11:$A$1309,0)))=0,"待核",IF(COUNT(INDEX('SKU明细'!$D$11:$D$1309,MATCH("1S01-DB-39.5",'SKU明细'!$A$11:$A$1309,0)))&lt;1,SUM(INDEX('SKU明细'!$D$11:$D$1309,MATCH("1S01-DB-39.5",'SKU明细'!$A$11:$A$1309,0)))&amp;" + 待核",SUM(INDEX('SKU明细'!$D$11:$D$1309,MATCH("1S01-DB-39.5",'SKU明细'!$A$11:$A$1309,0)))))</x:f>
        <x:v>0</x:v>
      </x:c>
      <x:c r="N126" s="38" t="n">
        <x:f>IF(COUNT(INDEX('SKU明细'!$D$11:$D$1309,MATCH("1S01-DB-40",'SKU明细'!$A$11:$A$1309,0)))=0,"待核",IF(COUNT(INDEX('SKU明细'!$D$11:$D$1309,MATCH("1S01-DB-40",'SKU明细'!$A$11:$A$1309,0)))&lt;1,SUM(INDEX('SKU明细'!$D$11:$D$1309,MATCH("1S01-DB-40",'SKU明细'!$A$11:$A$1309,0)))&amp;" + 待核",SUM(INDEX('SKU明细'!$D$11:$D$1309,MATCH("1S01-DB-40",'SKU明细'!$A$11:$A$1309,0)))))</x:f>
        <x:v>0</x:v>
      </x:c>
      <x:c r="O126" s="38" t="n">
        <x:f>IF(COUNT(INDEX('SKU明细'!$D$11:$D$1309,MATCH("1S01-DB-40.5",'SKU明细'!$A$11:$A$1309,0)))=0,"待核",IF(COUNT(INDEX('SKU明细'!$D$11:$D$1309,MATCH("1S01-DB-40.5",'SKU明细'!$A$11:$A$1309,0)))&lt;1,SUM(INDEX('SKU明细'!$D$11:$D$1309,MATCH("1S01-DB-40.5",'SKU明细'!$A$11:$A$1309,0)))&amp;" + 待核",SUM(INDEX('SKU明细'!$D$11:$D$1309,MATCH("1S01-DB-40.5",'SKU明细'!$A$11:$A$1309,0)))))</x:f>
        <x:v>0</x:v>
      </x:c>
      <x:c r="P126" s="38" t="n">
        <x:f>IF(COUNT(INDEX('SKU明细'!$D$11:$D$1309,MATCH("1S01-DB-41",'SKU明细'!$A$11:$A$1309,0)))=0,"待核",IF(COUNT(INDEX('SKU明细'!$D$11:$D$1309,MATCH("1S01-DB-41",'SKU明细'!$A$11:$A$1309,0)))&lt;1,SUM(INDEX('SKU明细'!$D$11:$D$1309,MATCH("1S01-DB-41",'SKU明细'!$A$11:$A$1309,0)))&amp;" + 待核",SUM(INDEX('SKU明细'!$D$11:$D$1309,MATCH("1S01-DB-41",'SKU明细'!$A$11:$A$1309,0)))))</x:f>
        <x:v>0</x:v>
      </x:c>
      <x:c r="Q126" s="38" t="n">
        <x:f>IF(COUNT(INDEX('SKU明细'!$D$11:$D$1309,MATCH("1S01-DB-41.5",'SKU明细'!$A$11:$A$1309,0)))=0,"待核",IF(COUNT(INDEX('SKU明细'!$D$11:$D$1309,MATCH("1S01-DB-41.5",'SKU明细'!$A$11:$A$1309,0)))&lt;1,SUM(INDEX('SKU明细'!$D$11:$D$1309,MATCH("1S01-DB-41.5",'SKU明细'!$A$11:$A$1309,0)))&amp;" + 待核",SUM(INDEX('SKU明细'!$D$11:$D$1309,MATCH("1S01-DB-41.5",'SKU明细'!$A$11:$A$1309,0)))))</x:f>
        <x:v>0</x:v>
      </x:c>
      <x:c r="R126" s="38" t="n">
        <x:f>IF(COUNT(INDEX('SKU明细'!$D$11:$D$1309,MATCH("1S01-DB-42",'SKU明细'!$A$11:$A$1309,0)))=0,"待核",IF(COUNT(INDEX('SKU明细'!$D$11:$D$1309,MATCH("1S01-DB-42",'SKU明细'!$A$11:$A$1309,0)))&lt;1,SUM(INDEX('SKU明细'!$D$11:$D$1309,MATCH("1S01-DB-42",'SKU明细'!$A$11:$A$1309,0)))&amp;" + 待核",SUM(INDEX('SKU明细'!$D$11:$D$1309,MATCH("1S01-DB-42",'SKU明细'!$A$11:$A$1309,0)))))</x:f>
        <x:v>0</x:v>
      </x:c>
      <x:c r="S126" s="38" t="n">
        <x:f>IF(COUNT(INDEX('SKU明细'!$D$11:$D$1309,MATCH("1S01-DB-37",'SKU明细'!$A$11:$A$1309,0)),INDEX('SKU明细'!$D$11:$D$1309,MATCH("1S01-DB-37.5",'SKU明细'!$A$11:$A$1309,0)),INDEX('SKU明细'!$D$11:$D$1309,MATCH("1S01-DB-38",'SKU明细'!$A$11:$A$1309,0)),INDEX('SKU明细'!$D$11:$D$1309,MATCH("1S01-DB-38.5",'SKU明细'!$A$11:$A$1309,0)),INDEX('SKU明细'!$D$11:$D$1309,MATCH("1S01-DB-39",'SKU明细'!$A$11:$A$1309,0)),INDEX('SKU明细'!$D$11:$D$1309,MATCH("1S01-DB-39.5",'SKU明细'!$A$11:$A$1309,0)),INDEX('SKU明细'!$D$11:$D$1309,MATCH("1S01-DB-40",'SKU明细'!$A$11:$A$1309,0)),INDEX('SKU明细'!$D$11:$D$1309,MATCH("1S01-DB-40.5",'SKU明细'!$A$11:$A$1309,0)),INDEX('SKU明细'!$D$11:$D$1309,MATCH("1S01-DB-41",'SKU明细'!$A$11:$A$1309,0)),INDEX('SKU明细'!$D$11:$D$1309,MATCH("1S01-DB-41.5",'SKU明细'!$A$11:$A$1309,0)),INDEX('SKU明细'!$D$11:$D$1309,MATCH("1S01-DB-42",'SKU明细'!$A$11:$A$1309,0)))=0,"待核",SUM(INDEX('SKU明细'!$D$11:$D$1309,MATCH("1S01-DB-37",'SKU明细'!$A$11:$A$1309,0)),INDEX('SKU明细'!$D$11:$D$1309,MATCH("1S01-DB-37.5",'SKU明细'!$A$11:$A$1309,0)),INDEX('SKU明细'!$D$11:$D$1309,MATCH("1S01-DB-38",'SKU明细'!$A$11:$A$1309,0)),INDEX('SKU明细'!$D$11:$D$1309,MATCH("1S01-DB-38.5",'SKU明细'!$A$11:$A$1309,0)),INDEX('SKU明细'!$D$11:$D$1309,MATCH("1S01-DB-39",'SKU明细'!$A$11:$A$1309,0)),INDEX('SKU明细'!$D$11:$D$1309,MATCH("1S01-DB-39.5",'SKU明细'!$A$11:$A$1309,0)),INDEX('SKU明细'!$D$11:$D$1309,MATCH("1S01-DB-40",'SKU明细'!$A$11:$A$1309,0)),INDEX('SKU明细'!$D$11:$D$1309,MATCH("1S01-DB-40.5",'SKU明细'!$A$11:$A$1309,0)),INDEX('SKU明细'!$D$11:$D$1309,MATCH("1S01-DB-41",'SKU明细'!$A$11:$A$1309,0)),INDEX('SKU明细'!$D$11:$D$1309,MATCH("1S01-DB-41.5",'SKU明细'!$A$11:$A$1309,0)),INDEX('SKU明细'!$D$11:$D$1309,MATCH("1S01-DB-42",'SKU明细'!$A$11:$A$1309,0))))</x:f>
        <x:v>0</x:v>
      </x:c>
      <x:c r="T126" s="38" t="n">
        <x:f>IF(COUNTIFS($A$9:$A$191,A126,$U$9:$U$191,"&lt;&gt;待核")=0,"待核",SUMIF($A$9:$A$191,A126,$S$9:$S$191))</x:f>
        <x:v>141</x:v>
      </x:c>
      <x:c r="U126" s="37" t="str">
        <x:f>IF(COUNT(INDEX('SKU明细'!$D$11:$D$1309,MATCH("1S01-DB-37",'SKU明细'!$A$11:$A$1309,0)),INDEX('SKU明细'!$D$11:$D$1309,MATCH("1S01-DB-37.5",'SKU明细'!$A$11:$A$1309,0)),INDEX('SKU明细'!$D$11:$D$1309,MATCH("1S01-DB-38",'SKU明细'!$A$11:$A$1309,0)),INDEX('SKU明细'!$D$11:$D$1309,MATCH("1S01-DB-38.5",'SKU明细'!$A$11:$A$1309,0)),INDEX('SKU明细'!$D$11:$D$1309,MATCH("1S01-DB-39",'SKU明细'!$A$11:$A$1309,0)),INDEX('SKU明细'!$D$11:$D$1309,MATCH("1S01-DB-39.5",'SKU明细'!$A$11:$A$1309,0)),INDEX('SKU明细'!$D$11:$D$1309,MATCH("1S01-DB-40",'SKU明细'!$A$11:$A$1309,0)),INDEX('SKU明细'!$D$11:$D$1309,MATCH("1S01-DB-40.5",'SKU明细'!$A$11:$A$1309,0)),INDEX('SKU明细'!$D$11:$D$1309,MATCH("1S01-DB-41",'SKU明细'!$A$11:$A$1309,0)),INDEX('SKU明细'!$D$11:$D$1309,MATCH("1S01-DB-41.5",'SKU明细'!$A$11:$A$1309,0)),INDEX('SKU明细'!$D$11:$D$1309,MATCH("1S01-DB-42",'SKU明细'!$A$11:$A$1309,0)))=0,"待核",IF(COUNT(INDEX('SKU明细'!$D$11:$D$1309,MATCH("1S01-DB-37",'SKU明细'!$A$11:$A$1309,0)),INDEX('SKU明细'!$D$11:$D$1309,MATCH("1S01-DB-37.5",'SKU明细'!$A$11:$A$1309,0)),INDEX('SKU明细'!$D$11:$D$1309,MATCH("1S01-DB-38",'SKU明细'!$A$11:$A$1309,0)),INDEX('SKU明细'!$D$11:$D$1309,MATCH("1S01-DB-38.5",'SKU明细'!$A$11:$A$1309,0)),INDEX('SKU明细'!$D$11:$D$1309,MATCH("1S01-DB-39",'SKU明细'!$A$11:$A$1309,0)),INDEX('SKU明细'!$D$11:$D$1309,MATCH("1S01-DB-39.5",'SKU明细'!$A$11:$A$1309,0)),INDEX('SKU明细'!$D$11:$D$1309,MATCH("1S01-DB-40",'SKU明细'!$A$11:$A$1309,0)),INDEX('SKU明细'!$D$11:$D$1309,MATCH("1S01-DB-40.5",'SKU明细'!$A$11:$A$1309,0)),INDEX('SKU明细'!$D$11:$D$1309,MATCH("1S01-DB-41",'SKU明细'!$A$11:$A$1309,0)),INDEX('SKU明细'!$D$11:$D$1309,MATCH("1S01-DB-41.5",'SKU明细'!$A$11:$A$1309,0)),INDEX('SKU明细'!$D$11:$D$1309,MATCH("1S01-DB-42",'SKU明细'!$A$11:$A$1309,0)))&lt;11,"另有待核","已核"))</x:f>
        <x:v>已核</x:v>
      </x:c>
      <x:c r="V126" s="37" t="str">
        <x:v>停售</x:v>
      </x:c>
      <x:c r="W126" s="11" t="n">
        <x:f>IF(COUNT(INDEX('SKU明细'!$BV$11:$BV$1309,MATCH("1S01-DB-37",'SKU明细'!$A$11:$A$1309,0)),INDEX('SKU明细'!$BV$11:$BV$1309,MATCH("1S01-DB-37.5",'SKU明细'!$A$11:$A$1309,0)),INDEX('SKU明细'!$BV$11:$BV$1309,MATCH("1S01-DB-38",'SKU明细'!$A$11:$A$1309,0)),INDEX('SKU明细'!$BV$11:$BV$1309,MATCH("1S01-DB-38.5",'SKU明细'!$A$11:$A$1309,0)),INDEX('SKU明细'!$BV$11:$BV$1309,MATCH("1S01-DB-39",'SKU明细'!$A$11:$A$1309,0)),INDEX('SKU明细'!$BV$11:$BV$1309,MATCH("1S01-DB-39.5",'SKU明细'!$A$11:$A$1309,0)),INDEX('SKU明细'!$BV$11:$BV$1309,MATCH("1S01-DB-40",'SKU明细'!$A$11:$A$1309,0)),INDEX('SKU明细'!$BV$11:$BV$1309,MATCH("1S01-DB-40.5",'SKU明细'!$A$11:$A$1309,0)),INDEX('SKU明细'!$BV$11:$BV$1309,MATCH("1S01-DB-41",'SKU明细'!$A$11:$A$1309,0)),INDEX('SKU明细'!$BV$11:$BV$1309,MATCH("1S01-DB-41.5",'SKU明细'!$A$11:$A$1309,0)),INDEX('SKU明细'!$BV$11:$BV$1309,MATCH("1S01-DB-42",'SKU明细'!$A$11:$A$1309,0)))=11,SUM(INDEX('SKU明细'!$BV$11:$BV$1309,MATCH("1S01-DB-37",'SKU明细'!$A$11:$A$1309,0)),INDEX('SKU明细'!$BV$11:$BV$1309,MATCH("1S01-DB-37.5",'SKU明细'!$A$11:$A$1309,0)),INDEX('SKU明细'!$BV$11:$BV$1309,MATCH("1S01-DB-38",'SKU明细'!$A$11:$A$1309,0)),INDEX('SKU明细'!$BV$11:$BV$1309,MATCH("1S01-DB-38.5",'SKU明细'!$A$11:$A$1309,0)),INDEX('SKU明细'!$BV$11:$BV$1309,MATCH("1S01-DB-39",'SKU明细'!$A$11:$A$1309,0)),INDEX('SKU明细'!$BV$11:$BV$1309,MATCH("1S01-DB-39.5",'SKU明细'!$A$11:$A$1309,0)),INDEX('SKU明细'!$BV$11:$BV$1309,MATCH("1S01-DB-40",'SKU明细'!$A$11:$A$1309,0)),INDEX('SKU明细'!$BV$11:$BV$1309,MATCH("1S01-DB-40.5",'SKU明细'!$A$11:$A$1309,0)),INDEX('SKU明细'!$BV$11:$BV$1309,MATCH("1S01-DB-41",'SKU明细'!$A$11:$A$1309,0)),INDEX('SKU明细'!$BV$11:$BV$1309,MATCH("1S01-DB-41.5",'SKU明细'!$A$11:$A$1309,0)),INDEX('SKU明细'!$BV$11:$BV$1309,MATCH("1S01-DB-42",'SKU明细'!$A$11:$A$1309,0))),"待核")</x:f>
        <x:v>0</x:v>
      </x:c>
      <x:c r="X126" s="11" t="n">
        <x:f>INDEX('SKU明细'!$BW$11:$BW$1309,MATCH("1S01-DB-37",'SKU明细'!$A$11:$A$1309,0))</x:f>
        <x:v>0.8729500662042875</x:v>
      </x:c>
      <x:c r="Y126" s="13" t="n">
        <x:f>IF(COUNT(INDEX('SKU明细'!$BY$11:$BY$1309,MATCH("1S01-DB-37",'SKU明细'!$A$11:$A$1309,0)),INDEX('SKU明细'!$BY$11:$BY$1309,MATCH("1S01-DB-37.5",'SKU明细'!$A$11:$A$1309,0)),INDEX('SKU明细'!$BY$11:$BY$1309,MATCH("1S01-DB-38",'SKU明细'!$A$11:$A$1309,0)),INDEX('SKU明细'!$BY$11:$BY$1309,MATCH("1S01-DB-38.5",'SKU明细'!$A$11:$A$1309,0)),INDEX('SKU明细'!$BY$11:$BY$1309,MATCH("1S01-DB-39",'SKU明细'!$A$11:$A$1309,0)),INDEX('SKU明细'!$BY$11:$BY$1309,MATCH("1S01-DB-39.5",'SKU明细'!$A$11:$A$1309,0)),INDEX('SKU明细'!$BY$11:$BY$1309,MATCH("1S01-DB-40",'SKU明细'!$A$11:$A$1309,0)),INDEX('SKU明细'!$BY$11:$BY$1309,MATCH("1S01-DB-40.5",'SKU明细'!$A$11:$A$1309,0)),INDEX('SKU明细'!$BY$11:$BY$1309,MATCH("1S01-DB-41",'SKU明细'!$A$11:$A$1309,0)),INDEX('SKU明细'!$BY$11:$BY$1309,MATCH("1S01-DB-41.5",'SKU明细'!$A$11:$A$1309,0)),INDEX('SKU明细'!$BY$11:$BY$1309,MATCH("1S01-DB-42",'SKU明细'!$A$11:$A$1309,0)))=11,SUM(INDEX('SKU明细'!$BY$11:$BY$1309,MATCH("1S01-DB-37",'SKU明细'!$A$11:$A$1309,0)),INDEX('SKU明细'!$BY$11:$BY$1309,MATCH("1S01-DB-37.5",'SKU明细'!$A$11:$A$1309,0)),INDEX('SKU明细'!$BY$11:$BY$1309,MATCH("1S01-DB-38",'SKU明细'!$A$11:$A$1309,0)),INDEX('SKU明细'!$BY$11:$BY$1309,MATCH("1S01-DB-38.5",'SKU明细'!$A$11:$A$1309,0)),INDEX('SKU明细'!$BY$11:$BY$1309,MATCH("1S01-DB-39",'SKU明细'!$A$11:$A$1309,0)),INDEX('SKU明细'!$BY$11:$BY$1309,MATCH("1S01-DB-39.5",'SKU明细'!$A$11:$A$1309,0)),INDEX('SKU明细'!$BY$11:$BY$1309,MATCH("1S01-DB-40",'SKU明细'!$A$11:$A$1309,0)),INDEX('SKU明细'!$BY$11:$BY$1309,MATCH("1S01-DB-40.5",'SKU明细'!$A$11:$A$1309,0)),INDEX('SKU明细'!$BY$11:$BY$1309,MATCH("1S01-DB-41",'SKU明细'!$A$11:$A$1309,0)),INDEX('SKU明细'!$BY$11:$BY$1309,MATCH("1S01-DB-41.5",'SKU明细'!$A$11:$A$1309,0)),INDEX('SKU明细'!$BY$11:$BY$1309,MATCH("1S01-DB-42",'SKU明细'!$A$11:$A$1309,0))),"待核")</x:f>
        <x:v>0</x:v>
      </x:c>
      <x:c r="Z126" s="11" t="n">
        <x:f>INDEX('SKU明细'!$BZ$11:$BZ$1309,MATCH("1S01-DB-37",'SKU明细'!$A$11:$A$1309,0))</x:f>
        <x:v>0.8057375774163482</x:v>
      </x:c>
      <x:c r="AA126" s="13" t="n">
        <x:f>IF(COUNT(INDEX('SKU明细'!$CB$11:$CB$1309,MATCH("1S01-DB-37",'SKU明细'!$A$11:$A$1309,0)),INDEX('SKU明细'!$CB$11:$CB$1309,MATCH("1S01-DB-37.5",'SKU明细'!$A$11:$A$1309,0)),INDEX('SKU明细'!$CB$11:$CB$1309,MATCH("1S01-DB-38",'SKU明细'!$A$11:$A$1309,0)),INDEX('SKU明细'!$CB$11:$CB$1309,MATCH("1S01-DB-38.5",'SKU明细'!$A$11:$A$1309,0)),INDEX('SKU明细'!$CB$11:$CB$1309,MATCH("1S01-DB-39",'SKU明细'!$A$11:$A$1309,0)),INDEX('SKU明细'!$CB$11:$CB$1309,MATCH("1S01-DB-39.5",'SKU明细'!$A$11:$A$1309,0)),INDEX('SKU明细'!$CB$11:$CB$1309,MATCH("1S01-DB-40",'SKU明细'!$A$11:$A$1309,0)),INDEX('SKU明细'!$CB$11:$CB$1309,MATCH("1S01-DB-40.5",'SKU明细'!$A$11:$A$1309,0)),INDEX('SKU明细'!$CB$11:$CB$1309,MATCH("1S01-DB-41",'SKU明细'!$A$11:$A$1309,0)),INDEX('SKU明细'!$CB$11:$CB$1309,MATCH("1S01-DB-41.5",'SKU明细'!$A$11:$A$1309,0)),INDEX('SKU明细'!$CB$11:$CB$1309,MATCH("1S01-DB-42",'SKU明细'!$A$11:$A$1309,0)))=11,SUM(INDEX('SKU明细'!$CB$11:$CB$1309,MATCH("1S01-DB-37",'SKU明细'!$A$11:$A$1309,0)),INDEX('SKU明细'!$CB$11:$CB$1309,MATCH("1S01-DB-37.5",'SKU明细'!$A$11:$A$1309,0)),INDEX('SKU明细'!$CB$11:$CB$1309,MATCH("1S01-DB-38",'SKU明细'!$A$11:$A$1309,0)),INDEX('SKU明细'!$CB$11:$CB$1309,MATCH("1S01-DB-38.5",'SKU明细'!$A$11:$A$1309,0)),INDEX('SKU明细'!$CB$11:$CB$1309,MATCH("1S01-DB-39",'SKU明细'!$A$11:$A$1309,0)),INDEX('SKU明细'!$CB$11:$CB$1309,MATCH("1S01-DB-39.5",'SKU明细'!$A$11:$A$1309,0)),INDEX('SKU明细'!$CB$11:$CB$1309,MATCH("1S01-DB-40",'SKU明细'!$A$11:$A$1309,0)),INDEX('SKU明细'!$CB$11:$CB$1309,MATCH("1S01-DB-40.5",'SKU明细'!$A$11:$A$1309,0)),INDEX('SKU明细'!$CB$11:$CB$1309,MATCH("1S01-DB-41",'SKU明细'!$A$11:$A$1309,0)),INDEX('SKU明细'!$CB$11:$CB$1309,MATCH("1S01-DB-41.5",'SKU明细'!$A$11:$A$1309,0)),INDEX('SKU明细'!$CB$11:$CB$1309,MATCH("1S01-DB-42",'SKU明细'!$A$11:$A$1309,0))),"待核")</x:f>
        <x:v>0</x:v>
      </x:c>
      <x:c r="AB126" s="11" t="n">
        <x:f>INDEX('SKU明细'!$CC$11:$CC$1309,MATCH("1S01-DB-37",'SKU明细'!$A$11:$A$1309,0))</x:f>
        <x:v>0.532550303142279</x:v>
      </x:c>
      <x:c r="AC126" s="13" t="n">
        <x:f>IF(COUNT(INDEX('SKU明细'!$CE$11:$CE$1309,MATCH("1S01-DB-37",'SKU明细'!$A$11:$A$1309,0)),INDEX('SKU明细'!$CE$11:$CE$1309,MATCH("1S01-DB-37.5",'SKU明细'!$A$11:$A$1309,0)),INDEX('SKU明细'!$CE$11:$CE$1309,MATCH("1S01-DB-38",'SKU明细'!$A$11:$A$1309,0)),INDEX('SKU明细'!$CE$11:$CE$1309,MATCH("1S01-DB-38.5",'SKU明细'!$A$11:$A$1309,0)),INDEX('SKU明细'!$CE$11:$CE$1309,MATCH("1S01-DB-39",'SKU明细'!$A$11:$A$1309,0)),INDEX('SKU明细'!$CE$11:$CE$1309,MATCH("1S01-DB-39.5",'SKU明细'!$A$11:$A$1309,0)),INDEX('SKU明细'!$CE$11:$CE$1309,MATCH("1S01-DB-40",'SKU明细'!$A$11:$A$1309,0)),INDEX('SKU明细'!$CE$11:$CE$1309,MATCH("1S01-DB-40.5",'SKU明细'!$A$11:$A$1309,0)),INDEX('SKU明细'!$CE$11:$CE$1309,MATCH("1S01-DB-41",'SKU明细'!$A$11:$A$1309,0)),INDEX('SKU明细'!$CE$11:$CE$1309,MATCH("1S01-DB-41.5",'SKU明细'!$A$11:$A$1309,0)),INDEX('SKU明细'!$CE$11:$CE$1309,MATCH("1S01-DB-42",'SKU明细'!$A$11:$A$1309,0)))=11,SUM(INDEX('SKU明细'!$CE$11:$CE$1309,MATCH("1S01-DB-37",'SKU明细'!$A$11:$A$1309,0)),INDEX('SKU明细'!$CE$11:$CE$1309,MATCH("1S01-DB-37.5",'SKU明细'!$A$11:$A$1309,0)),INDEX('SKU明细'!$CE$11:$CE$1309,MATCH("1S01-DB-38",'SKU明细'!$A$11:$A$1309,0)),INDEX('SKU明细'!$CE$11:$CE$1309,MATCH("1S01-DB-38.5",'SKU明细'!$A$11:$A$1309,0)),INDEX('SKU明细'!$CE$11:$CE$1309,MATCH("1S01-DB-39",'SKU明细'!$A$11:$A$1309,0)),INDEX('SKU明细'!$CE$11:$CE$1309,MATCH("1S01-DB-39.5",'SKU明细'!$A$11:$A$1309,0)),INDEX('SKU明细'!$CE$11:$CE$1309,MATCH("1S01-DB-40",'SKU明细'!$A$11:$A$1309,0)),INDEX('SKU明细'!$CE$11:$CE$1309,MATCH("1S01-DB-40.5",'SKU明细'!$A$11:$A$1309,0)),INDEX('SKU明细'!$CE$11:$CE$1309,MATCH("1S01-DB-41",'SKU明细'!$A$11:$A$1309,0)),INDEX('SKU明细'!$CE$11:$CE$1309,MATCH("1S01-DB-41.5",'SKU明细'!$A$11:$A$1309,0)),INDEX('SKU明细'!$CE$11:$CE$1309,MATCH("1S01-DB-42",'SKU明细'!$A$11:$A$1309,0))),"待核")</x:f>
        <x:v>0</x:v>
      </x:c>
      <x:c r="AD126" s="11" t="n">
        <x:f>INDEX('SKU明细'!$CF$11:$CF$1309,MATCH("1S01-DB-37",'SKU明细'!$A$11:$A$1309,0))</x:f>
        <x:v>0.7517299265337036</x:v>
      </x:c>
      <x:c r="AE126" s="13" t="n">
        <x:f>IF(COUNT(INDEX('SKU明细'!$CH$11:$CH$1309,MATCH("1S01-DB-37",'SKU明细'!$A$11:$A$1309,0)),INDEX('SKU明细'!$CH$11:$CH$1309,MATCH("1S01-DB-37.5",'SKU明细'!$A$11:$A$1309,0)),INDEX('SKU明细'!$CH$11:$CH$1309,MATCH("1S01-DB-38",'SKU明细'!$A$11:$A$1309,0)),INDEX('SKU明细'!$CH$11:$CH$1309,MATCH("1S01-DB-38.5",'SKU明细'!$A$11:$A$1309,0)),INDEX('SKU明细'!$CH$11:$CH$1309,MATCH("1S01-DB-39",'SKU明细'!$A$11:$A$1309,0)),INDEX('SKU明细'!$CH$11:$CH$1309,MATCH("1S01-DB-39.5",'SKU明细'!$A$11:$A$1309,0)),INDEX('SKU明细'!$CH$11:$CH$1309,MATCH("1S01-DB-40",'SKU明细'!$A$11:$A$1309,0)),INDEX('SKU明细'!$CH$11:$CH$1309,MATCH("1S01-DB-40.5",'SKU明细'!$A$11:$A$1309,0)),INDEX('SKU明细'!$CH$11:$CH$1309,MATCH("1S01-DB-41",'SKU明细'!$A$11:$A$1309,0)),INDEX('SKU明细'!$CH$11:$CH$1309,MATCH("1S01-DB-41.5",'SKU明细'!$A$11:$A$1309,0)),INDEX('SKU明细'!$CH$11:$CH$1309,MATCH("1S01-DB-42",'SKU明细'!$A$11:$A$1309,0)))=11,SUM(INDEX('SKU明细'!$CH$11:$CH$1309,MATCH("1S01-DB-37",'SKU明细'!$A$11:$A$1309,0)),INDEX('SKU明细'!$CH$11:$CH$1309,MATCH("1S01-DB-37.5",'SKU明细'!$A$11:$A$1309,0)),INDEX('SKU明细'!$CH$11:$CH$1309,MATCH("1S01-DB-38",'SKU明细'!$A$11:$A$1309,0)),INDEX('SKU明细'!$CH$11:$CH$1309,MATCH("1S01-DB-38.5",'SKU明细'!$A$11:$A$1309,0)),INDEX('SKU明细'!$CH$11:$CH$1309,MATCH("1S01-DB-39",'SKU明细'!$A$11:$A$1309,0)),INDEX('SKU明细'!$CH$11:$CH$1309,MATCH("1S01-DB-39.5",'SKU明细'!$A$11:$A$1309,0)),INDEX('SKU明细'!$CH$11:$CH$1309,MATCH("1S01-DB-40",'SKU明细'!$A$11:$A$1309,0)),INDEX('SKU明细'!$CH$11:$CH$1309,MATCH("1S01-DB-40.5",'SKU明细'!$A$11:$A$1309,0)),INDEX('SKU明细'!$CH$11:$CH$1309,MATCH("1S01-DB-41",'SKU明细'!$A$11:$A$1309,0)),INDEX('SKU明细'!$CH$11:$CH$1309,MATCH("1S01-DB-41.5",'SKU明细'!$A$11:$A$1309,0)),INDEX('SKU明细'!$CH$11:$CH$1309,MATCH("1S01-DB-42",'SKU明细'!$A$11:$A$1309,0))),"待核")</x:f>
        <x:v>0</x:v>
      </x:c>
      <x:c r="AF126" s="13" t="n">
        <x:f>IF(COUNT(INDEX('SKU明细'!$CI$11:$CI$1309,MATCH("1S01-DB-37",'SKU明细'!$A$11:$A$1309,0)),INDEX('SKU明细'!$CI$11:$CI$1309,MATCH("1S01-DB-37.5",'SKU明细'!$A$11:$A$1309,0)),INDEX('SKU明细'!$CI$11:$CI$1309,MATCH("1S01-DB-38",'SKU明细'!$A$11:$A$1309,0)),INDEX('SKU明细'!$CI$11:$CI$1309,MATCH("1S01-DB-38.5",'SKU明细'!$A$11:$A$1309,0)),INDEX('SKU明细'!$CI$11:$CI$1309,MATCH("1S01-DB-39",'SKU明细'!$A$11:$A$1309,0)),INDEX('SKU明细'!$CI$11:$CI$1309,MATCH("1S01-DB-39.5",'SKU明细'!$A$11:$A$1309,0)),INDEX('SKU明细'!$CI$11:$CI$1309,MATCH("1S01-DB-40",'SKU明细'!$A$11:$A$1309,0)),INDEX('SKU明细'!$CI$11:$CI$1309,MATCH("1S01-DB-40.5",'SKU明细'!$A$11:$A$1309,0)),INDEX('SKU明细'!$CI$11:$CI$1309,MATCH("1S01-DB-41",'SKU明细'!$A$11:$A$1309,0)),INDEX('SKU明细'!$CI$11:$CI$1309,MATCH("1S01-DB-41.5",'SKU明细'!$A$11:$A$1309,0)),INDEX('SKU明细'!$CI$11:$CI$1309,MATCH("1S01-DB-42",'SKU明细'!$A$11:$A$1309,0)))=11,SUM(INDEX('SKU明细'!$CI$11:$CI$1309,MATCH("1S01-DB-37",'SKU明细'!$A$11:$A$1309,0)),INDEX('SKU明细'!$CI$11:$CI$1309,MATCH("1S01-DB-37.5",'SKU明细'!$A$11:$A$1309,0)),INDEX('SKU明细'!$CI$11:$CI$1309,MATCH("1S01-DB-38",'SKU明细'!$A$11:$A$1309,0)),INDEX('SKU明细'!$CI$11:$CI$1309,MATCH("1S01-DB-38.5",'SKU明细'!$A$11:$A$1309,0)),INDEX('SKU明细'!$CI$11:$CI$1309,MATCH("1S01-DB-39",'SKU明细'!$A$11:$A$1309,0)),INDEX('SKU明细'!$CI$11:$CI$1309,MATCH("1S01-DB-39.5",'SKU明细'!$A$11:$A$1309,0)),INDEX('SKU明细'!$CI$11:$CI$1309,MATCH("1S01-DB-40",'SKU明细'!$A$11:$A$1309,0)),INDEX('SKU明细'!$CI$11:$CI$1309,MATCH("1S01-DB-40.5",'SKU明细'!$A$11:$A$1309,0)),INDEX('SKU明细'!$CI$11:$CI$1309,MATCH("1S01-DB-41",'SKU明细'!$A$11:$A$1309,0)),INDEX('SKU明细'!$CI$11:$CI$1309,MATCH("1S01-DB-41.5",'SKU明细'!$A$11:$A$1309,0)),INDEX('SKU明细'!$CI$11:$CI$1309,MATCH("1S01-DB-42",'SKU明细'!$A$11:$A$1309,0))),"待核")</x:f>
        <x:v>0</x:v>
      </x:c>
    </x:row>
    <x:row r="127" ht="40" customHeight="1">
      <x:c r="A127" s="37" t="str">
        <x:v>1S01</x:v>
      </x:c>
      <x:c r="B127" s="37" t="str">
        <x:v>徐新怡</x:v>
      </x:c>
      <x:c r="C127" s="37" t="str">
        <x:v>米色</x:v>
      </x:c>
      <x:c r="D127" s="37" t="str">
        <x:v>DPB</x:v>
      </x:c>
      <x:c r="E127" s="37" t="str">
        <x:v>1S01-DPB</x:v>
      </x:c>
      <x:c r="F127" s="37"/>
      <x:c r="G127" s="38" t="n">
        <x:f>IF(COUNT(INDEX('SKU明细'!$D$11:$D$1309,MATCH("1S01-DPB-5",'SKU明细'!$A$11:$A$1309,0)))=0,"待核",IF(COUNT(INDEX('SKU明细'!$D$11:$D$1309,MATCH("1S01-DPB-5",'SKU明细'!$A$11:$A$1309,0)))&lt;1,SUM(INDEX('SKU明细'!$D$11:$D$1309,MATCH("1S01-DPB-5",'SKU明细'!$A$11:$A$1309,0)))&amp;" + 待核",SUM(INDEX('SKU明细'!$D$11:$D$1309,MATCH("1S01-DPB-5",'SKU明细'!$A$11:$A$1309,0)))))</x:f>
        <x:v>0</x:v>
      </x:c>
      <x:c r="H127" s="38" t="n">
        <x:f>IF(COUNT(INDEX('SKU明细'!$D$11:$D$1309,MATCH("1S01-DPB-6",'SKU明细'!$A$11:$A$1309,0)))=0,"待核",IF(COUNT(INDEX('SKU明细'!$D$11:$D$1309,MATCH("1S01-DPB-6",'SKU明细'!$A$11:$A$1309,0)))&lt;1,SUM(INDEX('SKU明细'!$D$11:$D$1309,MATCH("1S01-DPB-6",'SKU明细'!$A$11:$A$1309,0)))&amp;" + 待核",SUM(INDEX('SKU明细'!$D$11:$D$1309,MATCH("1S01-DPB-6",'SKU明细'!$A$11:$A$1309,0)))))</x:f>
        <x:v>0</x:v>
      </x:c>
      <x:c r="I127" s="38" t="n">
        <x:f>IF(COUNT(INDEX('SKU明细'!$D$11:$D$1309,MATCH("1S01-DPB-37.5",'SKU明细'!$A$11:$A$1309,0)))=0,"待核",IF(COUNT(INDEX('SKU明细'!$D$11:$D$1309,MATCH("1S01-DPB-37.5",'SKU明细'!$A$11:$A$1309,0)))&lt;1,SUM(INDEX('SKU明细'!$D$11:$D$1309,MATCH("1S01-DPB-37.5",'SKU明细'!$A$11:$A$1309,0)))&amp;" + 待核",SUM(INDEX('SKU明细'!$D$11:$D$1309,MATCH("1S01-DPB-37.5",'SKU明细'!$A$11:$A$1309,0)))))</x:f>
        <x:v>0</x:v>
      </x:c>
      <x:c r="J127" s="38" t="n">
        <x:f>IF(COUNT(INDEX('SKU明细'!$D$11:$D$1309,MATCH("1S01-DPB-7",'SKU明细'!$A$11:$A$1309,0)))=0,"待核",IF(COUNT(INDEX('SKU明细'!$D$11:$D$1309,MATCH("1S01-DPB-7",'SKU明细'!$A$11:$A$1309,0)))&lt;1,SUM(INDEX('SKU明细'!$D$11:$D$1309,MATCH("1S01-DPB-7",'SKU明细'!$A$11:$A$1309,0)))&amp;" + 待核",SUM(INDEX('SKU明细'!$D$11:$D$1309,MATCH("1S01-DPB-7",'SKU明细'!$A$11:$A$1309,0)))))</x:f>
        <x:v>0</x:v>
      </x:c>
      <x:c r="K127" s="38" t="str">
        <x:f>IF(COUNT(INDEX('SKU明细'!$D$11:$D$1309,MATCH("1S01-DPB-38.5",'SKU明细'!$A$11:$A$1309,0)))=0,"待核",IF(COUNT(INDEX('SKU明细'!$D$11:$D$1309,MATCH("1S01-DPB-38.5",'SKU明细'!$A$11:$A$1309,0)))&lt;1,SUM(INDEX('SKU明细'!$D$11:$D$1309,MATCH("1S01-DPB-38.5",'SKU明细'!$A$11:$A$1309,0)))&amp;" + 待核",SUM(INDEX('SKU明细'!$D$11:$D$1309,MATCH("1S01-DPB-38.5",'SKU明细'!$A$11:$A$1309,0)))))</x:f>
        <x:v>待核</x:v>
      </x:c>
      <x:c r="L127" s="38" t="n">
        <x:f>IF(COUNT(INDEX('SKU明细'!$D$11:$D$1309,MATCH("1S01-DPB-8",'SKU明细'!$A$11:$A$1309,0)))=0,"待核",IF(COUNT(INDEX('SKU明细'!$D$11:$D$1309,MATCH("1S01-DPB-8",'SKU明细'!$A$11:$A$1309,0)))&lt;1,SUM(INDEX('SKU明细'!$D$11:$D$1309,MATCH("1S01-DPB-8",'SKU明细'!$A$11:$A$1309,0)))&amp;" + 待核",SUM(INDEX('SKU明细'!$D$11:$D$1309,MATCH("1S01-DPB-8",'SKU明细'!$A$11:$A$1309,0)))))</x:f>
        <x:v>0</x:v>
      </x:c>
      <x:c r="M127" s="38" t="n">
        <x:f>IF(COUNT(INDEX('SKU明细'!$D$11:$D$1309,MATCH("1S01-DPB-39.5",'SKU明细'!$A$11:$A$1309,0)))=0,"待核",IF(COUNT(INDEX('SKU明细'!$D$11:$D$1309,MATCH("1S01-DPB-39.5",'SKU明细'!$A$11:$A$1309,0)))&lt;1,SUM(INDEX('SKU明细'!$D$11:$D$1309,MATCH("1S01-DPB-39.5",'SKU明细'!$A$11:$A$1309,0)))&amp;" + 待核",SUM(INDEX('SKU明细'!$D$11:$D$1309,MATCH("1S01-DPB-39.5",'SKU明细'!$A$11:$A$1309,0)))))</x:f>
        <x:v>0</x:v>
      </x:c>
      <x:c r="N127" s="38" t="n">
        <x:f>IF(COUNT(INDEX('SKU明细'!$D$11:$D$1309,MATCH("1S01-DPB-9",'SKU明细'!$A$11:$A$1309,0)))=0,"待核",IF(COUNT(INDEX('SKU明细'!$D$11:$D$1309,MATCH("1S01-DPB-9",'SKU明细'!$A$11:$A$1309,0)))&lt;1,SUM(INDEX('SKU明细'!$D$11:$D$1309,MATCH("1S01-DPB-9",'SKU明细'!$A$11:$A$1309,0)))&amp;" + 待核",SUM(INDEX('SKU明细'!$D$11:$D$1309,MATCH("1S01-DPB-9",'SKU明细'!$A$11:$A$1309,0)))))</x:f>
        <x:v>0</x:v>
      </x:c>
      <x:c r="O127" s="38" t="n">
        <x:f>IF(COUNT(INDEX('SKU明细'!$D$11:$D$1309,MATCH("1S01-DPB-40.5",'SKU明细'!$A$11:$A$1309,0)))=0,"待核",IF(COUNT(INDEX('SKU明细'!$D$11:$D$1309,MATCH("1S01-DPB-40.5",'SKU明细'!$A$11:$A$1309,0)))&lt;1,SUM(INDEX('SKU明细'!$D$11:$D$1309,MATCH("1S01-DPB-40.5",'SKU明细'!$A$11:$A$1309,0)))&amp;" + 待核",SUM(INDEX('SKU明细'!$D$11:$D$1309,MATCH("1S01-DPB-40.5",'SKU明细'!$A$11:$A$1309,0)))))</x:f>
        <x:v>0</x:v>
      </x:c>
      <x:c r="P127" s="38" t="n">
        <x:f>IF(COUNT(INDEX('SKU明细'!$D$11:$D$1309,MATCH("1S01-DPB-10",'SKU明细'!$A$11:$A$1309,0)))=0,"待核",IF(COUNT(INDEX('SKU明细'!$D$11:$D$1309,MATCH("1S01-DPB-10",'SKU明细'!$A$11:$A$1309,0)))&lt;1,SUM(INDEX('SKU明细'!$D$11:$D$1309,MATCH("1S01-DPB-10",'SKU明细'!$A$11:$A$1309,0)))&amp;" + 待核",SUM(INDEX('SKU明细'!$D$11:$D$1309,MATCH("1S01-DPB-10",'SKU明细'!$A$11:$A$1309,0)))))</x:f>
        <x:v>0</x:v>
      </x:c>
      <x:c r="Q127" s="38" t="n">
        <x:f>IF(COUNT(INDEX('SKU明细'!$D$11:$D$1309,MATCH("1S01-DPB-41.5",'SKU明细'!$A$11:$A$1309,0)))=0,"待核",IF(COUNT(INDEX('SKU明细'!$D$11:$D$1309,MATCH("1S01-DPB-41.5",'SKU明细'!$A$11:$A$1309,0)))&lt;1,SUM(INDEX('SKU明细'!$D$11:$D$1309,MATCH("1S01-DPB-41.5",'SKU明细'!$A$11:$A$1309,0)))&amp;" + 待核",SUM(INDEX('SKU明细'!$D$11:$D$1309,MATCH("1S01-DPB-41.5",'SKU明细'!$A$11:$A$1309,0)))))</x:f>
        <x:v>0</x:v>
      </x:c>
      <x:c r="R127" s="38" t="n">
        <x:f>IF(COUNT(INDEX('SKU明细'!$D$11:$D$1309,MATCH("1S01-DPB-11",'SKU明细'!$A$11:$A$1309,0)))=0,"待核",IF(COUNT(INDEX('SKU明细'!$D$11:$D$1309,MATCH("1S01-DPB-11",'SKU明细'!$A$11:$A$1309,0)))&lt;1,SUM(INDEX('SKU明细'!$D$11:$D$1309,MATCH("1S01-DPB-11",'SKU明细'!$A$11:$A$1309,0)))&amp;" + 待核",SUM(INDEX('SKU明细'!$D$11:$D$1309,MATCH("1S01-DPB-11",'SKU明细'!$A$11:$A$1309,0)))))</x:f>
        <x:v>0</x:v>
      </x:c>
      <x:c r="S127" s="38" t="n">
        <x:f>IF(COUNT(INDEX('SKU明细'!$D$11:$D$1309,MATCH("1S01-DPB-5",'SKU明细'!$A$11:$A$1309,0)),INDEX('SKU明细'!$D$11:$D$1309,MATCH("1S01-DPB-6",'SKU明细'!$A$11:$A$1309,0)),INDEX('SKU明细'!$D$11:$D$1309,MATCH("1S01-DPB-37.5",'SKU明细'!$A$11:$A$1309,0)),INDEX('SKU明细'!$D$11:$D$1309,MATCH("1S01-DPB-7",'SKU明细'!$A$11:$A$1309,0)),INDEX('SKU明细'!$D$11:$D$1309,MATCH("1S01-DPB-38.5",'SKU明细'!$A$11:$A$1309,0)),INDEX('SKU明细'!$D$11:$D$1309,MATCH("1S01-DPB-8",'SKU明细'!$A$11:$A$1309,0)),INDEX('SKU明细'!$D$11:$D$1309,MATCH("1S01-DPB-39.5",'SKU明细'!$A$11:$A$1309,0)),INDEX('SKU明细'!$D$11:$D$1309,MATCH("1S01-DPB-9",'SKU明细'!$A$11:$A$1309,0)),INDEX('SKU明细'!$D$11:$D$1309,MATCH("1S01-DPB-40.5",'SKU明细'!$A$11:$A$1309,0)),INDEX('SKU明细'!$D$11:$D$1309,MATCH("1S01-DPB-10",'SKU明细'!$A$11:$A$1309,0)),INDEX('SKU明细'!$D$11:$D$1309,MATCH("1S01-DPB-41.5",'SKU明细'!$A$11:$A$1309,0)),INDEX('SKU明细'!$D$11:$D$1309,MATCH("1S01-DPB-11",'SKU明细'!$A$11:$A$1309,0)))=0,"待核",SUM(INDEX('SKU明细'!$D$11:$D$1309,MATCH("1S01-DPB-5",'SKU明细'!$A$11:$A$1309,0)),INDEX('SKU明细'!$D$11:$D$1309,MATCH("1S01-DPB-6",'SKU明细'!$A$11:$A$1309,0)),INDEX('SKU明细'!$D$11:$D$1309,MATCH("1S01-DPB-37.5",'SKU明细'!$A$11:$A$1309,0)),INDEX('SKU明细'!$D$11:$D$1309,MATCH("1S01-DPB-7",'SKU明细'!$A$11:$A$1309,0)),INDEX('SKU明细'!$D$11:$D$1309,MATCH("1S01-DPB-38.5",'SKU明细'!$A$11:$A$1309,0)),INDEX('SKU明细'!$D$11:$D$1309,MATCH("1S01-DPB-8",'SKU明细'!$A$11:$A$1309,0)),INDEX('SKU明细'!$D$11:$D$1309,MATCH("1S01-DPB-39.5",'SKU明细'!$A$11:$A$1309,0)),INDEX('SKU明细'!$D$11:$D$1309,MATCH("1S01-DPB-9",'SKU明细'!$A$11:$A$1309,0)),INDEX('SKU明细'!$D$11:$D$1309,MATCH("1S01-DPB-40.5",'SKU明细'!$A$11:$A$1309,0)),INDEX('SKU明细'!$D$11:$D$1309,MATCH("1S01-DPB-10",'SKU明细'!$A$11:$A$1309,0)),INDEX('SKU明细'!$D$11:$D$1309,MATCH("1S01-DPB-41.5",'SKU明细'!$A$11:$A$1309,0)),INDEX('SKU明细'!$D$11:$D$1309,MATCH("1S01-DPB-11",'SKU明细'!$A$11:$A$1309,0))))</x:f>
        <x:v>0</x:v>
      </x:c>
      <x:c r="T127" s="38" t="n">
        <x:f>IF(COUNTIFS($A$9:$A$191,A127,$U$9:$U$191,"&lt;&gt;待核")=0,"待核",SUMIF($A$9:$A$191,A127,$S$9:$S$191))</x:f>
        <x:v>141</x:v>
      </x:c>
      <x:c r="U127" s="37" t="str">
        <x:f>IF(COUNT(INDEX('SKU明细'!$D$11:$D$1309,MATCH("1S01-DPB-5",'SKU明细'!$A$11:$A$1309,0)),INDEX('SKU明细'!$D$11:$D$1309,MATCH("1S01-DPB-6",'SKU明细'!$A$11:$A$1309,0)),INDEX('SKU明细'!$D$11:$D$1309,MATCH("1S01-DPB-37.5",'SKU明细'!$A$11:$A$1309,0)),INDEX('SKU明细'!$D$11:$D$1309,MATCH("1S01-DPB-7",'SKU明细'!$A$11:$A$1309,0)),INDEX('SKU明细'!$D$11:$D$1309,MATCH("1S01-DPB-38.5",'SKU明细'!$A$11:$A$1309,0)),INDEX('SKU明细'!$D$11:$D$1309,MATCH("1S01-DPB-8",'SKU明细'!$A$11:$A$1309,0)),INDEX('SKU明细'!$D$11:$D$1309,MATCH("1S01-DPB-39.5",'SKU明细'!$A$11:$A$1309,0)),INDEX('SKU明细'!$D$11:$D$1309,MATCH("1S01-DPB-9",'SKU明细'!$A$11:$A$1309,0)),INDEX('SKU明细'!$D$11:$D$1309,MATCH("1S01-DPB-40.5",'SKU明细'!$A$11:$A$1309,0)),INDEX('SKU明细'!$D$11:$D$1309,MATCH("1S01-DPB-10",'SKU明细'!$A$11:$A$1309,0)),INDEX('SKU明细'!$D$11:$D$1309,MATCH("1S01-DPB-41.5",'SKU明细'!$A$11:$A$1309,0)),INDEX('SKU明细'!$D$11:$D$1309,MATCH("1S01-DPB-11",'SKU明细'!$A$11:$A$1309,0)))=0,"待核",IF(COUNT(INDEX('SKU明细'!$D$11:$D$1309,MATCH("1S01-DPB-5",'SKU明细'!$A$11:$A$1309,0)),INDEX('SKU明细'!$D$11:$D$1309,MATCH("1S01-DPB-6",'SKU明细'!$A$11:$A$1309,0)),INDEX('SKU明细'!$D$11:$D$1309,MATCH("1S01-DPB-37.5",'SKU明细'!$A$11:$A$1309,0)),INDEX('SKU明细'!$D$11:$D$1309,MATCH("1S01-DPB-7",'SKU明细'!$A$11:$A$1309,0)),INDEX('SKU明细'!$D$11:$D$1309,MATCH("1S01-DPB-38.5",'SKU明细'!$A$11:$A$1309,0)),INDEX('SKU明细'!$D$11:$D$1309,MATCH("1S01-DPB-8",'SKU明细'!$A$11:$A$1309,0)),INDEX('SKU明细'!$D$11:$D$1309,MATCH("1S01-DPB-39.5",'SKU明细'!$A$11:$A$1309,0)),INDEX('SKU明细'!$D$11:$D$1309,MATCH("1S01-DPB-9",'SKU明细'!$A$11:$A$1309,0)),INDEX('SKU明细'!$D$11:$D$1309,MATCH("1S01-DPB-40.5",'SKU明细'!$A$11:$A$1309,0)),INDEX('SKU明细'!$D$11:$D$1309,MATCH("1S01-DPB-10",'SKU明细'!$A$11:$A$1309,0)),INDEX('SKU明细'!$D$11:$D$1309,MATCH("1S01-DPB-41.5",'SKU明细'!$A$11:$A$1309,0)),INDEX('SKU明细'!$D$11:$D$1309,MATCH("1S01-DPB-11",'SKU明细'!$A$11:$A$1309,0)))&lt;12,"另有待核","已核"))</x:f>
        <x:v>另有待核</x:v>
      </x:c>
      <x:c r="V127" s="37" t="str">
        <x:v>停售、在售</x:v>
      </x:c>
      <x:c r="W127" s="11" t="n">
        <x:f>IF(COUNT(INDEX('SKU明细'!$BV$11:$BV$1309,MATCH("1S01-DPB-5",'SKU明细'!$A$11:$A$1309,0)),INDEX('SKU明细'!$BV$11:$BV$1309,MATCH("1S01-DPB-6",'SKU明细'!$A$11:$A$1309,0)),INDEX('SKU明细'!$BV$11:$BV$1309,MATCH("1S01-DPB-37.5",'SKU明细'!$A$11:$A$1309,0)),INDEX('SKU明细'!$BV$11:$BV$1309,MATCH("1S01-DPB-7",'SKU明细'!$A$11:$A$1309,0)),INDEX('SKU明细'!$BV$11:$BV$1309,MATCH("1S01-DPB-38.5",'SKU明细'!$A$11:$A$1309,0)),INDEX('SKU明细'!$BV$11:$BV$1309,MATCH("1S01-DPB-8",'SKU明细'!$A$11:$A$1309,0)),INDEX('SKU明细'!$BV$11:$BV$1309,MATCH("1S01-DPB-39.5",'SKU明细'!$A$11:$A$1309,0)),INDEX('SKU明细'!$BV$11:$BV$1309,MATCH("1S01-DPB-9",'SKU明细'!$A$11:$A$1309,0)),INDEX('SKU明细'!$BV$11:$BV$1309,MATCH("1S01-DPB-40.5",'SKU明细'!$A$11:$A$1309,0)),INDEX('SKU明细'!$BV$11:$BV$1309,MATCH("1S01-DPB-10",'SKU明细'!$A$11:$A$1309,0)),INDEX('SKU明细'!$BV$11:$BV$1309,MATCH("1S01-DPB-41.5",'SKU明细'!$A$11:$A$1309,0)),INDEX('SKU明细'!$BV$11:$BV$1309,MATCH("1S01-DPB-11",'SKU明细'!$A$11:$A$1309,0)))=12,SUM(INDEX('SKU明细'!$BV$11:$BV$1309,MATCH("1S01-DPB-5",'SKU明细'!$A$11:$A$1309,0)),INDEX('SKU明细'!$BV$11:$BV$1309,MATCH("1S01-DPB-6",'SKU明细'!$A$11:$A$1309,0)),INDEX('SKU明细'!$BV$11:$BV$1309,MATCH("1S01-DPB-37.5",'SKU明细'!$A$11:$A$1309,0)),INDEX('SKU明细'!$BV$11:$BV$1309,MATCH("1S01-DPB-7",'SKU明细'!$A$11:$A$1309,0)),INDEX('SKU明细'!$BV$11:$BV$1309,MATCH("1S01-DPB-38.5",'SKU明细'!$A$11:$A$1309,0)),INDEX('SKU明细'!$BV$11:$BV$1309,MATCH("1S01-DPB-8",'SKU明细'!$A$11:$A$1309,0)),INDEX('SKU明细'!$BV$11:$BV$1309,MATCH("1S01-DPB-39.5",'SKU明细'!$A$11:$A$1309,0)),INDEX('SKU明细'!$BV$11:$BV$1309,MATCH("1S01-DPB-9",'SKU明细'!$A$11:$A$1309,0)),INDEX('SKU明细'!$BV$11:$BV$1309,MATCH("1S01-DPB-40.5",'SKU明细'!$A$11:$A$1309,0)),INDEX('SKU明细'!$BV$11:$BV$1309,MATCH("1S01-DPB-10",'SKU明细'!$A$11:$A$1309,0)),INDEX('SKU明细'!$BV$11:$BV$1309,MATCH("1S01-DPB-41.5",'SKU明细'!$A$11:$A$1309,0)),INDEX('SKU明细'!$BV$11:$BV$1309,MATCH("1S01-DPB-11",'SKU明细'!$A$11:$A$1309,0))),"待核")</x:f>
        <x:v>0.8134354698195523</x:v>
      </x:c>
      <x:c r="X127" s="11" t="n">
        <x:f>INDEX('SKU明细'!$BW$11:$BW$1309,MATCH("1S01-DPB-5",'SKU明细'!$A$11:$A$1309,0))</x:f>
        <x:v>0.8729500662042875</x:v>
      </x:c>
      <x:c r="Y127" s="13" t="n">
        <x:f>IF(COUNT(INDEX('SKU明细'!$BY$11:$BY$1309,MATCH("1S01-DPB-5",'SKU明细'!$A$11:$A$1309,0)),INDEX('SKU明细'!$BY$11:$BY$1309,MATCH("1S01-DPB-6",'SKU明细'!$A$11:$A$1309,0)),INDEX('SKU明细'!$BY$11:$BY$1309,MATCH("1S01-DPB-37.5",'SKU明细'!$A$11:$A$1309,0)),INDEX('SKU明细'!$BY$11:$BY$1309,MATCH("1S01-DPB-7",'SKU明细'!$A$11:$A$1309,0)),INDEX('SKU明细'!$BY$11:$BY$1309,MATCH("1S01-DPB-38.5",'SKU明细'!$A$11:$A$1309,0)),INDEX('SKU明细'!$BY$11:$BY$1309,MATCH("1S01-DPB-8",'SKU明细'!$A$11:$A$1309,0)),INDEX('SKU明细'!$BY$11:$BY$1309,MATCH("1S01-DPB-39.5",'SKU明细'!$A$11:$A$1309,0)),INDEX('SKU明细'!$BY$11:$BY$1309,MATCH("1S01-DPB-9",'SKU明细'!$A$11:$A$1309,0)),INDEX('SKU明细'!$BY$11:$BY$1309,MATCH("1S01-DPB-40.5",'SKU明细'!$A$11:$A$1309,0)),INDEX('SKU明细'!$BY$11:$BY$1309,MATCH("1S01-DPB-10",'SKU明细'!$A$11:$A$1309,0)),INDEX('SKU明细'!$BY$11:$BY$1309,MATCH("1S01-DPB-41.5",'SKU明细'!$A$11:$A$1309,0)),INDEX('SKU明细'!$BY$11:$BY$1309,MATCH("1S01-DPB-11",'SKU明细'!$A$11:$A$1309,0)))=12,SUM(INDEX('SKU明细'!$BY$11:$BY$1309,MATCH("1S01-DPB-5",'SKU明细'!$A$11:$A$1309,0)),INDEX('SKU明细'!$BY$11:$BY$1309,MATCH("1S01-DPB-6",'SKU明细'!$A$11:$A$1309,0)),INDEX('SKU明细'!$BY$11:$BY$1309,MATCH("1S01-DPB-37.5",'SKU明细'!$A$11:$A$1309,0)),INDEX('SKU明细'!$BY$11:$BY$1309,MATCH("1S01-DPB-7",'SKU明细'!$A$11:$A$1309,0)),INDEX('SKU明细'!$BY$11:$BY$1309,MATCH("1S01-DPB-38.5",'SKU明细'!$A$11:$A$1309,0)),INDEX('SKU明细'!$BY$11:$BY$1309,MATCH("1S01-DPB-8",'SKU明细'!$A$11:$A$1309,0)),INDEX('SKU明细'!$BY$11:$BY$1309,MATCH("1S01-DPB-39.5",'SKU明细'!$A$11:$A$1309,0)),INDEX('SKU明细'!$BY$11:$BY$1309,MATCH("1S01-DPB-9",'SKU明细'!$A$11:$A$1309,0)),INDEX('SKU明细'!$BY$11:$BY$1309,MATCH("1S01-DPB-40.5",'SKU明细'!$A$11:$A$1309,0)),INDEX('SKU明细'!$BY$11:$BY$1309,MATCH("1S01-DPB-10",'SKU明细'!$A$11:$A$1309,0)),INDEX('SKU明细'!$BY$11:$BY$1309,MATCH("1S01-DPB-41.5",'SKU明细'!$A$11:$A$1309,0)),INDEX('SKU明细'!$BY$11:$BY$1309,MATCH("1S01-DPB-11",'SKU明细'!$A$11:$A$1309,0))),"待核")</x:f>
        <x:v>8.521062566782726</x:v>
      </x:c>
      <x:c r="Z127" s="11" t="n">
        <x:f>INDEX('SKU明细'!$BZ$11:$BZ$1309,MATCH("1S01-DPB-5",'SKU明细'!$A$11:$A$1309,0))</x:f>
        <x:v>0.8057375774163482</x:v>
      </x:c>
      <x:c r="AA127" s="13" t="n">
        <x:f>IF(COUNT(INDEX('SKU明细'!$CB$11:$CB$1309,MATCH("1S01-DPB-5",'SKU明细'!$A$11:$A$1309,0)),INDEX('SKU明细'!$CB$11:$CB$1309,MATCH("1S01-DPB-6",'SKU明细'!$A$11:$A$1309,0)),INDEX('SKU明细'!$CB$11:$CB$1309,MATCH("1S01-DPB-37.5",'SKU明细'!$A$11:$A$1309,0)),INDEX('SKU明细'!$CB$11:$CB$1309,MATCH("1S01-DPB-7",'SKU明细'!$A$11:$A$1309,0)),INDEX('SKU明细'!$CB$11:$CB$1309,MATCH("1S01-DPB-38.5",'SKU明细'!$A$11:$A$1309,0)),INDEX('SKU明细'!$CB$11:$CB$1309,MATCH("1S01-DPB-8",'SKU明细'!$A$11:$A$1309,0)),INDEX('SKU明细'!$CB$11:$CB$1309,MATCH("1S01-DPB-39.5",'SKU明细'!$A$11:$A$1309,0)),INDEX('SKU明细'!$CB$11:$CB$1309,MATCH("1S01-DPB-9",'SKU明细'!$A$11:$A$1309,0)),INDEX('SKU明细'!$CB$11:$CB$1309,MATCH("1S01-DPB-40.5",'SKU明细'!$A$11:$A$1309,0)),INDEX('SKU明细'!$CB$11:$CB$1309,MATCH("1S01-DPB-10",'SKU明细'!$A$11:$A$1309,0)),INDEX('SKU明细'!$CB$11:$CB$1309,MATCH("1S01-DPB-41.5",'SKU明细'!$A$11:$A$1309,0)),INDEX('SKU明细'!$CB$11:$CB$1309,MATCH("1S01-DPB-11",'SKU明细'!$A$11:$A$1309,0)))=12,SUM(INDEX('SKU明细'!$CB$11:$CB$1309,MATCH("1S01-DPB-5",'SKU明细'!$A$11:$A$1309,0)),INDEX('SKU明细'!$CB$11:$CB$1309,MATCH("1S01-DPB-6",'SKU明细'!$A$11:$A$1309,0)),INDEX('SKU明细'!$CB$11:$CB$1309,MATCH("1S01-DPB-37.5",'SKU明细'!$A$11:$A$1309,0)),INDEX('SKU明细'!$CB$11:$CB$1309,MATCH("1S01-DPB-7",'SKU明细'!$A$11:$A$1309,0)),INDEX('SKU明细'!$CB$11:$CB$1309,MATCH("1S01-DPB-38.5",'SKU明细'!$A$11:$A$1309,0)),INDEX('SKU明细'!$CB$11:$CB$1309,MATCH("1S01-DPB-8",'SKU明细'!$A$11:$A$1309,0)),INDEX('SKU明细'!$CB$11:$CB$1309,MATCH("1S01-DPB-39.5",'SKU明细'!$A$11:$A$1309,0)),INDEX('SKU明细'!$CB$11:$CB$1309,MATCH("1S01-DPB-9",'SKU明细'!$A$11:$A$1309,0)),INDEX('SKU明细'!$CB$11:$CB$1309,MATCH("1S01-DPB-40.5",'SKU明细'!$A$11:$A$1309,0)),INDEX('SKU明细'!$CB$11:$CB$1309,MATCH("1S01-DPB-10",'SKU明细'!$A$11:$A$1309,0)),INDEX('SKU明细'!$CB$11:$CB$1309,MATCH("1S01-DPB-41.5",'SKU明细'!$A$11:$A$1309,0)),INDEX('SKU明细'!$CB$11:$CB$1309,MATCH("1S01-DPB-11",'SKU明细'!$A$11:$A$1309,0))),"待核")</x:f>
        <x:v>19.66246574510805</x:v>
      </x:c>
      <x:c r="AB127" s="11" t="n">
        <x:f>INDEX('SKU明细'!$CC$11:$CC$1309,MATCH("1S01-DPB-5",'SKU明细'!$A$11:$A$1309,0))</x:f>
        <x:v>0.532550303142279</x:v>
      </x:c>
      <x:c r="AC127" s="13" t="n">
        <x:f>IF(COUNT(INDEX('SKU明细'!$CE$11:$CE$1309,MATCH("1S01-DPB-5",'SKU明细'!$A$11:$A$1309,0)),INDEX('SKU明细'!$CE$11:$CE$1309,MATCH("1S01-DPB-6",'SKU明细'!$A$11:$A$1309,0)),INDEX('SKU明细'!$CE$11:$CE$1309,MATCH("1S01-DPB-37.5",'SKU明细'!$A$11:$A$1309,0)),INDEX('SKU明细'!$CE$11:$CE$1309,MATCH("1S01-DPB-7",'SKU明细'!$A$11:$A$1309,0)),INDEX('SKU明细'!$CE$11:$CE$1309,MATCH("1S01-DPB-38.5",'SKU明细'!$A$11:$A$1309,0)),INDEX('SKU明细'!$CE$11:$CE$1309,MATCH("1S01-DPB-8",'SKU明细'!$A$11:$A$1309,0)),INDEX('SKU明细'!$CE$11:$CE$1309,MATCH("1S01-DPB-39.5",'SKU明细'!$A$11:$A$1309,0)),INDEX('SKU明细'!$CE$11:$CE$1309,MATCH("1S01-DPB-9",'SKU明细'!$A$11:$A$1309,0)),INDEX('SKU明细'!$CE$11:$CE$1309,MATCH("1S01-DPB-40.5",'SKU明细'!$A$11:$A$1309,0)),INDEX('SKU明细'!$CE$11:$CE$1309,MATCH("1S01-DPB-10",'SKU明细'!$A$11:$A$1309,0)),INDEX('SKU明细'!$CE$11:$CE$1309,MATCH("1S01-DPB-41.5",'SKU明细'!$A$11:$A$1309,0)),INDEX('SKU明细'!$CE$11:$CE$1309,MATCH("1S01-DPB-11",'SKU明细'!$A$11:$A$1309,0)))=12,SUM(INDEX('SKU明细'!$CE$11:$CE$1309,MATCH("1S01-DPB-5",'SKU明细'!$A$11:$A$1309,0)),INDEX('SKU明细'!$CE$11:$CE$1309,MATCH("1S01-DPB-6",'SKU明细'!$A$11:$A$1309,0)),INDEX('SKU明细'!$CE$11:$CE$1309,MATCH("1S01-DPB-37.5",'SKU明细'!$A$11:$A$1309,0)),INDEX('SKU明细'!$CE$11:$CE$1309,MATCH("1S01-DPB-7",'SKU明细'!$A$11:$A$1309,0)),INDEX('SKU明细'!$CE$11:$CE$1309,MATCH("1S01-DPB-38.5",'SKU明细'!$A$11:$A$1309,0)),INDEX('SKU明细'!$CE$11:$CE$1309,MATCH("1S01-DPB-8",'SKU明细'!$A$11:$A$1309,0)),INDEX('SKU明细'!$CE$11:$CE$1309,MATCH("1S01-DPB-39.5",'SKU明细'!$A$11:$A$1309,0)),INDEX('SKU明细'!$CE$11:$CE$1309,MATCH("1S01-DPB-9",'SKU明细'!$A$11:$A$1309,0)),INDEX('SKU明细'!$CE$11:$CE$1309,MATCH("1S01-DPB-40.5",'SKU明细'!$A$11:$A$1309,0)),INDEX('SKU明细'!$CE$11:$CE$1309,MATCH("1S01-DPB-10",'SKU明细'!$A$11:$A$1309,0)),INDEX('SKU明细'!$CE$11:$CE$1309,MATCH("1S01-DPB-41.5",'SKU明细'!$A$11:$A$1309,0)),INDEX('SKU明细'!$CE$11:$CE$1309,MATCH("1S01-DPB-11",'SKU明细'!$A$11:$A$1309,0))),"待核")</x:f>
        <x:v>13.429054487211628</x:v>
      </x:c>
      <x:c r="AD127" s="11" t="n">
        <x:f>INDEX('SKU明细'!$CF$11:$CF$1309,MATCH("1S01-DPB-5",'SKU明细'!$A$11:$A$1309,0))</x:f>
        <x:v>0.7517299265337036</x:v>
      </x:c>
      <x:c r="AE127" s="13" t="n">
        <x:f>IF(COUNT(INDEX('SKU明细'!$CH$11:$CH$1309,MATCH("1S01-DPB-5",'SKU明细'!$A$11:$A$1309,0)),INDEX('SKU明细'!$CH$11:$CH$1309,MATCH("1S01-DPB-6",'SKU明细'!$A$11:$A$1309,0)),INDEX('SKU明细'!$CH$11:$CH$1309,MATCH("1S01-DPB-37.5",'SKU明细'!$A$11:$A$1309,0)),INDEX('SKU明细'!$CH$11:$CH$1309,MATCH("1S01-DPB-7",'SKU明细'!$A$11:$A$1309,0)),INDEX('SKU明细'!$CH$11:$CH$1309,MATCH("1S01-DPB-38.5",'SKU明细'!$A$11:$A$1309,0)),INDEX('SKU明细'!$CH$11:$CH$1309,MATCH("1S01-DPB-8",'SKU明细'!$A$11:$A$1309,0)),INDEX('SKU明细'!$CH$11:$CH$1309,MATCH("1S01-DPB-39.5",'SKU明细'!$A$11:$A$1309,0)),INDEX('SKU明细'!$CH$11:$CH$1309,MATCH("1S01-DPB-9",'SKU明细'!$A$11:$A$1309,0)),INDEX('SKU明细'!$CH$11:$CH$1309,MATCH("1S01-DPB-40.5",'SKU明细'!$A$11:$A$1309,0)),INDEX('SKU明细'!$CH$11:$CH$1309,MATCH("1S01-DPB-10",'SKU明细'!$A$11:$A$1309,0)),INDEX('SKU明细'!$CH$11:$CH$1309,MATCH("1S01-DPB-41.5",'SKU明细'!$A$11:$A$1309,0)),INDEX('SKU明细'!$CH$11:$CH$1309,MATCH("1S01-DPB-11",'SKU明细'!$A$11:$A$1309,0)))=12,SUM(INDEX('SKU明细'!$CH$11:$CH$1309,MATCH("1S01-DPB-5",'SKU明细'!$A$11:$A$1309,0)),INDEX('SKU明细'!$CH$11:$CH$1309,MATCH("1S01-DPB-6",'SKU明细'!$A$11:$A$1309,0)),INDEX('SKU明细'!$CH$11:$CH$1309,MATCH("1S01-DPB-37.5",'SKU明细'!$A$11:$A$1309,0)),INDEX('SKU明细'!$CH$11:$CH$1309,MATCH("1S01-DPB-7",'SKU明细'!$A$11:$A$1309,0)),INDEX('SKU明细'!$CH$11:$CH$1309,MATCH("1S01-DPB-38.5",'SKU明细'!$A$11:$A$1309,0)),INDEX('SKU明细'!$CH$11:$CH$1309,MATCH("1S01-DPB-8",'SKU明细'!$A$11:$A$1309,0)),INDEX('SKU明细'!$CH$11:$CH$1309,MATCH("1S01-DPB-39.5",'SKU明细'!$A$11:$A$1309,0)),INDEX('SKU明细'!$CH$11:$CH$1309,MATCH("1S01-DPB-9",'SKU明细'!$A$11:$A$1309,0)),INDEX('SKU明细'!$CH$11:$CH$1309,MATCH("1S01-DPB-40.5",'SKU明细'!$A$11:$A$1309,0)),INDEX('SKU明细'!$CH$11:$CH$1309,MATCH("1S01-DPB-10",'SKU明细'!$A$11:$A$1309,0)),INDEX('SKU明细'!$CH$11:$CH$1309,MATCH("1S01-DPB-41.5",'SKU明细'!$A$11:$A$1309,0)),INDEX('SKU明细'!$CH$11:$CH$1309,MATCH("1S01-DPB-11",'SKU明细'!$A$11:$A$1309,0))),"待核")</x:f>
        <x:v>10.395224361445132</x:v>
      </x:c>
      <x:c r="AF127" s="13" t="n">
        <x:f>IF(COUNT(INDEX('SKU明细'!$CI$11:$CI$1309,MATCH("1S01-DPB-5",'SKU明细'!$A$11:$A$1309,0)),INDEX('SKU明细'!$CI$11:$CI$1309,MATCH("1S01-DPB-6",'SKU明细'!$A$11:$A$1309,0)),INDEX('SKU明细'!$CI$11:$CI$1309,MATCH("1S01-DPB-37.5",'SKU明细'!$A$11:$A$1309,0)),INDEX('SKU明细'!$CI$11:$CI$1309,MATCH("1S01-DPB-7",'SKU明细'!$A$11:$A$1309,0)),INDEX('SKU明细'!$CI$11:$CI$1309,MATCH("1S01-DPB-38.5",'SKU明细'!$A$11:$A$1309,0)),INDEX('SKU明细'!$CI$11:$CI$1309,MATCH("1S01-DPB-8",'SKU明细'!$A$11:$A$1309,0)),INDEX('SKU明细'!$CI$11:$CI$1309,MATCH("1S01-DPB-39.5",'SKU明细'!$A$11:$A$1309,0)),INDEX('SKU明细'!$CI$11:$CI$1309,MATCH("1S01-DPB-9",'SKU明细'!$A$11:$A$1309,0)),INDEX('SKU明细'!$CI$11:$CI$1309,MATCH("1S01-DPB-40.5",'SKU明细'!$A$11:$A$1309,0)),INDEX('SKU明细'!$CI$11:$CI$1309,MATCH("1S01-DPB-10",'SKU明细'!$A$11:$A$1309,0)),INDEX('SKU明细'!$CI$11:$CI$1309,MATCH("1S01-DPB-41.5",'SKU明细'!$A$11:$A$1309,0)),INDEX('SKU明细'!$CI$11:$CI$1309,MATCH("1S01-DPB-11",'SKU明细'!$A$11:$A$1309,0)))=12,SUM(INDEX('SKU明细'!$CI$11:$CI$1309,MATCH("1S01-DPB-5",'SKU明细'!$A$11:$A$1309,0)),INDEX('SKU明细'!$CI$11:$CI$1309,MATCH("1S01-DPB-6",'SKU明细'!$A$11:$A$1309,0)),INDEX('SKU明细'!$CI$11:$CI$1309,MATCH("1S01-DPB-37.5",'SKU明细'!$A$11:$A$1309,0)),INDEX('SKU明细'!$CI$11:$CI$1309,MATCH("1S01-DPB-7",'SKU明细'!$A$11:$A$1309,0)),INDEX('SKU明细'!$CI$11:$CI$1309,MATCH("1S01-DPB-38.5",'SKU明细'!$A$11:$A$1309,0)),INDEX('SKU明细'!$CI$11:$CI$1309,MATCH("1S01-DPB-8",'SKU明细'!$A$11:$A$1309,0)),INDEX('SKU明细'!$CI$11:$CI$1309,MATCH("1S01-DPB-39.5",'SKU明细'!$A$11:$A$1309,0)),INDEX('SKU明细'!$CI$11:$CI$1309,MATCH("1S01-DPB-9",'SKU明细'!$A$11:$A$1309,0)),INDEX('SKU明细'!$CI$11:$CI$1309,MATCH("1S01-DPB-40.5",'SKU明细'!$A$11:$A$1309,0)),INDEX('SKU明细'!$CI$11:$CI$1309,MATCH("1S01-DPB-10",'SKU明细'!$A$11:$A$1309,0)),INDEX('SKU明细'!$CI$11:$CI$1309,MATCH("1S01-DPB-41.5",'SKU明细'!$A$11:$A$1309,0)),INDEX('SKU明细'!$CI$11:$CI$1309,MATCH("1S01-DPB-11",'SKU明细'!$A$11:$A$1309,0))),"待核")</x:f>
        <x:v>52.007807160547536</x:v>
      </x:c>
    </x:row>
    <x:row r="128" ht="40" customHeight="1">
      <x:c r="A128" s="37" t="str">
        <x:v>1S01</x:v>
      </x:c>
      <x:c r="B128" s="37" t="str">
        <x:v>徐新怡</x:v>
      </x:c>
      <x:c r="C128" s="37" t="str">
        <x:v>金色</x:v>
      </x:c>
      <x:c r="D128" s="37" t="str">
        <x:v>GD</x:v>
      </x:c>
      <x:c r="E128" s="37" t="str">
        <x:v>1S01-GD</x:v>
      </x:c>
      <x:c r="F128" s="37"/>
      <x:c r="G128" s="38" t="str">
        <x:f>IF(COUNT(INDEX('SKU明细'!$D$11:$D$1309,MATCH("1S01-GD-36",'SKU明细'!$A$11:$A$1309,0)))=0,"待核",IF(COUNT(INDEX('SKU明细'!$D$11:$D$1309,MATCH("1S01-GD-36",'SKU明细'!$A$11:$A$1309,0)))&lt;1,SUM(INDEX('SKU明细'!$D$11:$D$1309,MATCH("1S01-GD-36",'SKU明细'!$A$11:$A$1309,0)))&amp;" + 待核",SUM(INDEX('SKU明细'!$D$11:$D$1309,MATCH("1S01-GD-36",'SKU明细'!$A$11:$A$1309,0)))))</x:f>
        <x:v>待核</x:v>
      </x:c>
      <x:c r="H128" s="38" t="str">
        <x:f>IF(COUNT(INDEX('SKU明细'!$D$11:$D$1309,MATCH("1S01-GD-37",'SKU明细'!$A$11:$A$1309,0)))=0,"待核",IF(COUNT(INDEX('SKU明细'!$D$11:$D$1309,MATCH("1S01-GD-37",'SKU明细'!$A$11:$A$1309,0)))&lt;1,SUM(INDEX('SKU明细'!$D$11:$D$1309,MATCH("1S01-GD-37",'SKU明细'!$A$11:$A$1309,0)))&amp;" + 待核",SUM(INDEX('SKU明细'!$D$11:$D$1309,MATCH("1S01-GD-37",'SKU明细'!$A$11:$A$1309,0)))))</x:f>
        <x:v>待核</x:v>
      </x:c>
      <x:c r="I128" s="38" t="str">
        <x:f>"—"</x:f>
        <x:v>—</x:v>
      </x:c>
      <x:c r="J128" s="38" t="str">
        <x:f>IF(COUNT(INDEX('SKU明细'!$D$11:$D$1309,MATCH("1S01-GD-38",'SKU明细'!$A$11:$A$1309,0)))=0,"待核",IF(COUNT(INDEX('SKU明细'!$D$11:$D$1309,MATCH("1S01-GD-38",'SKU明细'!$A$11:$A$1309,0)))&lt;1,SUM(INDEX('SKU明细'!$D$11:$D$1309,MATCH("1S01-GD-38",'SKU明细'!$A$11:$A$1309,0)))&amp;" + 待核",SUM(INDEX('SKU明细'!$D$11:$D$1309,MATCH("1S01-GD-38",'SKU明细'!$A$11:$A$1309,0)))))</x:f>
        <x:v>待核</x:v>
      </x:c>
      <x:c r="K128" s="38" t="str">
        <x:f>"—"</x:f>
        <x:v>—</x:v>
      </x:c>
      <x:c r="L128" s="38" t="str">
        <x:f>IF(COUNT(INDEX('SKU明细'!$D$11:$D$1309,MATCH("1S01-GD-39",'SKU明细'!$A$11:$A$1309,0)))=0,"待核",IF(COUNT(INDEX('SKU明细'!$D$11:$D$1309,MATCH("1S01-GD-39",'SKU明细'!$A$11:$A$1309,0)))&lt;1,SUM(INDEX('SKU明细'!$D$11:$D$1309,MATCH("1S01-GD-39",'SKU明细'!$A$11:$A$1309,0)))&amp;" + 待核",SUM(INDEX('SKU明细'!$D$11:$D$1309,MATCH("1S01-GD-39",'SKU明细'!$A$11:$A$1309,0)))))</x:f>
        <x:v>待核</x:v>
      </x:c>
      <x:c r="M128" s="38" t="str">
        <x:f>"—"</x:f>
        <x:v>—</x:v>
      </x:c>
      <x:c r="N128" s="38" t="str">
        <x:f>IF(COUNT(INDEX('SKU明细'!$D$11:$D$1309,MATCH("1S01-GD-40",'SKU明细'!$A$11:$A$1309,0)))=0,"待核",IF(COUNT(INDEX('SKU明细'!$D$11:$D$1309,MATCH("1S01-GD-40",'SKU明细'!$A$11:$A$1309,0)))&lt;1,SUM(INDEX('SKU明细'!$D$11:$D$1309,MATCH("1S01-GD-40",'SKU明细'!$A$11:$A$1309,0)))&amp;" + 待核",SUM(INDEX('SKU明细'!$D$11:$D$1309,MATCH("1S01-GD-40",'SKU明细'!$A$11:$A$1309,0)))))</x:f>
        <x:v>待核</x:v>
      </x:c>
      <x:c r="O128" s="38" t="str">
        <x:f>"—"</x:f>
        <x:v>—</x:v>
      </x:c>
      <x:c r="P128" s="38" t="str">
        <x:f>IF(COUNT(INDEX('SKU明细'!$D$11:$D$1309,MATCH("1S01-GD-41",'SKU明细'!$A$11:$A$1309,0)))=0,"待核",IF(COUNT(INDEX('SKU明细'!$D$11:$D$1309,MATCH("1S01-GD-41",'SKU明细'!$A$11:$A$1309,0)))&lt;1,SUM(INDEX('SKU明细'!$D$11:$D$1309,MATCH("1S01-GD-41",'SKU明细'!$A$11:$A$1309,0)))&amp;" + 待核",SUM(INDEX('SKU明细'!$D$11:$D$1309,MATCH("1S01-GD-41",'SKU明细'!$A$11:$A$1309,0)))))</x:f>
        <x:v>待核</x:v>
      </x:c>
      <x:c r="Q128" s="38" t="str">
        <x:f>"—"</x:f>
        <x:v>—</x:v>
      </x:c>
      <x:c r="R128" s="38" t="str">
        <x:f>IF(COUNT(INDEX('SKU明细'!$D$11:$D$1309,MATCH("1S01-GD-42",'SKU明细'!$A$11:$A$1309,0)))=0,"待核",IF(COUNT(INDEX('SKU明细'!$D$11:$D$1309,MATCH("1S01-GD-42",'SKU明细'!$A$11:$A$1309,0)))&lt;1,SUM(INDEX('SKU明细'!$D$11:$D$1309,MATCH("1S01-GD-42",'SKU明细'!$A$11:$A$1309,0)))&amp;" + 待核",SUM(INDEX('SKU明细'!$D$11:$D$1309,MATCH("1S01-GD-42",'SKU明细'!$A$11:$A$1309,0)))))</x:f>
        <x:v>待核</x:v>
      </x:c>
      <x:c r="S128" s="38" t="str">
        <x:f>IF(COUNT(INDEX('SKU明细'!$D$11:$D$1309,MATCH("1S01-GD-36",'SKU明细'!$A$11:$A$1309,0)),INDEX('SKU明细'!$D$11:$D$1309,MATCH("1S01-GD-37",'SKU明细'!$A$11:$A$1309,0)),INDEX('SKU明细'!$D$11:$D$1309,MATCH("1S01-GD-38",'SKU明细'!$A$11:$A$1309,0)),INDEX('SKU明细'!$D$11:$D$1309,MATCH("1S01-GD-39",'SKU明细'!$A$11:$A$1309,0)),INDEX('SKU明细'!$D$11:$D$1309,MATCH("1S01-GD-40",'SKU明细'!$A$11:$A$1309,0)),INDEX('SKU明细'!$D$11:$D$1309,MATCH("1S01-GD-41",'SKU明细'!$A$11:$A$1309,0)),INDEX('SKU明细'!$D$11:$D$1309,MATCH("1S01-GD-42",'SKU明细'!$A$11:$A$1309,0)))=0,"待核",SUM(INDEX('SKU明细'!$D$11:$D$1309,MATCH("1S01-GD-36",'SKU明细'!$A$11:$A$1309,0)),INDEX('SKU明细'!$D$11:$D$1309,MATCH("1S01-GD-37",'SKU明细'!$A$11:$A$1309,0)),INDEX('SKU明细'!$D$11:$D$1309,MATCH("1S01-GD-38",'SKU明细'!$A$11:$A$1309,0)),INDEX('SKU明细'!$D$11:$D$1309,MATCH("1S01-GD-39",'SKU明细'!$A$11:$A$1309,0)),INDEX('SKU明细'!$D$11:$D$1309,MATCH("1S01-GD-40",'SKU明细'!$A$11:$A$1309,0)),INDEX('SKU明细'!$D$11:$D$1309,MATCH("1S01-GD-41",'SKU明细'!$A$11:$A$1309,0)),INDEX('SKU明细'!$D$11:$D$1309,MATCH("1S01-GD-42",'SKU明细'!$A$11:$A$1309,0))))</x:f>
        <x:v>待核</x:v>
      </x:c>
      <x:c r="T128" s="38" t="n">
        <x:f>IF(COUNTIFS($A$9:$A$191,A128,$U$9:$U$191,"&lt;&gt;待核")=0,"待核",SUMIF($A$9:$A$191,A128,$S$9:$S$191))</x:f>
        <x:v>141</x:v>
      </x:c>
      <x:c r="U128" s="37" t="str">
        <x:f>IF(COUNT(INDEX('SKU明细'!$D$11:$D$1309,MATCH("1S01-GD-36",'SKU明细'!$A$11:$A$1309,0)),INDEX('SKU明细'!$D$11:$D$1309,MATCH("1S01-GD-37",'SKU明细'!$A$11:$A$1309,0)),INDEX('SKU明细'!$D$11:$D$1309,MATCH("1S01-GD-38",'SKU明细'!$A$11:$A$1309,0)),INDEX('SKU明细'!$D$11:$D$1309,MATCH("1S01-GD-39",'SKU明细'!$A$11:$A$1309,0)),INDEX('SKU明细'!$D$11:$D$1309,MATCH("1S01-GD-40",'SKU明细'!$A$11:$A$1309,0)),INDEX('SKU明细'!$D$11:$D$1309,MATCH("1S01-GD-41",'SKU明细'!$A$11:$A$1309,0)),INDEX('SKU明细'!$D$11:$D$1309,MATCH("1S01-GD-42",'SKU明细'!$A$11:$A$1309,0)))=0,"待核",IF(COUNT(INDEX('SKU明细'!$D$11:$D$1309,MATCH("1S01-GD-36",'SKU明细'!$A$11:$A$1309,0)),INDEX('SKU明细'!$D$11:$D$1309,MATCH("1S01-GD-37",'SKU明细'!$A$11:$A$1309,0)),INDEX('SKU明细'!$D$11:$D$1309,MATCH("1S01-GD-38",'SKU明细'!$A$11:$A$1309,0)),INDEX('SKU明细'!$D$11:$D$1309,MATCH("1S01-GD-39",'SKU明细'!$A$11:$A$1309,0)),INDEX('SKU明细'!$D$11:$D$1309,MATCH("1S01-GD-40",'SKU明细'!$A$11:$A$1309,0)),INDEX('SKU明细'!$D$11:$D$1309,MATCH("1S01-GD-41",'SKU明细'!$A$11:$A$1309,0)),INDEX('SKU明细'!$D$11:$D$1309,MATCH("1S01-GD-42",'SKU明细'!$A$11:$A$1309,0)))&lt;7,"另有待核","已核"))</x:f>
        <x:v>待核</x:v>
      </x:c>
      <x:c r="V128" s="37" t="str">
        <x:v>停售</x:v>
      </x:c>
      <x:c r="W128" s="11" t="n">
        <x:f>IF(COUNT(INDEX('SKU明细'!$BV$11:$BV$1309,MATCH("1S01-GD-36",'SKU明细'!$A$11:$A$1309,0)),INDEX('SKU明细'!$BV$11:$BV$1309,MATCH("1S01-GD-37",'SKU明细'!$A$11:$A$1309,0)),INDEX('SKU明细'!$BV$11:$BV$1309,MATCH("1S01-GD-38",'SKU明细'!$A$11:$A$1309,0)),INDEX('SKU明细'!$BV$11:$BV$1309,MATCH("1S01-GD-39",'SKU明细'!$A$11:$A$1309,0)),INDEX('SKU明细'!$BV$11:$BV$1309,MATCH("1S01-GD-40",'SKU明细'!$A$11:$A$1309,0)),INDEX('SKU明细'!$BV$11:$BV$1309,MATCH("1S01-GD-41",'SKU明细'!$A$11:$A$1309,0)),INDEX('SKU明细'!$BV$11:$BV$1309,MATCH("1S01-GD-42",'SKU明细'!$A$11:$A$1309,0)))=7,SUM(INDEX('SKU明细'!$BV$11:$BV$1309,MATCH("1S01-GD-36",'SKU明细'!$A$11:$A$1309,0)),INDEX('SKU明细'!$BV$11:$BV$1309,MATCH("1S01-GD-37",'SKU明细'!$A$11:$A$1309,0)),INDEX('SKU明细'!$BV$11:$BV$1309,MATCH("1S01-GD-38",'SKU明细'!$A$11:$A$1309,0)),INDEX('SKU明细'!$BV$11:$BV$1309,MATCH("1S01-GD-39",'SKU明细'!$A$11:$A$1309,0)),INDEX('SKU明细'!$BV$11:$BV$1309,MATCH("1S01-GD-40",'SKU明细'!$A$11:$A$1309,0)),INDEX('SKU明细'!$BV$11:$BV$1309,MATCH("1S01-GD-41",'SKU明细'!$A$11:$A$1309,0)),INDEX('SKU明细'!$BV$11:$BV$1309,MATCH("1S01-GD-42",'SKU明细'!$A$11:$A$1309,0))),"待核")</x:f>
        <x:v>0</x:v>
      </x:c>
      <x:c r="X128" s="11" t="n">
        <x:f>INDEX('SKU明细'!$BW$11:$BW$1309,MATCH("1S01-GD-36",'SKU明细'!$A$11:$A$1309,0))</x:f>
        <x:v>0.8729500662042875</x:v>
      </x:c>
      <x:c r="Y128" s="13" t="n">
        <x:f>IF(COUNT(INDEX('SKU明细'!$BY$11:$BY$1309,MATCH("1S01-GD-36",'SKU明细'!$A$11:$A$1309,0)),INDEX('SKU明细'!$BY$11:$BY$1309,MATCH("1S01-GD-37",'SKU明细'!$A$11:$A$1309,0)),INDEX('SKU明细'!$BY$11:$BY$1309,MATCH("1S01-GD-38",'SKU明细'!$A$11:$A$1309,0)),INDEX('SKU明细'!$BY$11:$BY$1309,MATCH("1S01-GD-39",'SKU明细'!$A$11:$A$1309,0)),INDEX('SKU明细'!$BY$11:$BY$1309,MATCH("1S01-GD-40",'SKU明细'!$A$11:$A$1309,0)),INDEX('SKU明细'!$BY$11:$BY$1309,MATCH("1S01-GD-41",'SKU明细'!$A$11:$A$1309,0)),INDEX('SKU明细'!$BY$11:$BY$1309,MATCH("1S01-GD-42",'SKU明细'!$A$11:$A$1309,0)))=7,SUM(INDEX('SKU明细'!$BY$11:$BY$1309,MATCH("1S01-GD-36",'SKU明细'!$A$11:$A$1309,0)),INDEX('SKU明细'!$BY$11:$BY$1309,MATCH("1S01-GD-37",'SKU明细'!$A$11:$A$1309,0)),INDEX('SKU明细'!$BY$11:$BY$1309,MATCH("1S01-GD-38",'SKU明细'!$A$11:$A$1309,0)),INDEX('SKU明细'!$BY$11:$BY$1309,MATCH("1S01-GD-39",'SKU明细'!$A$11:$A$1309,0)),INDEX('SKU明细'!$BY$11:$BY$1309,MATCH("1S01-GD-40",'SKU明细'!$A$11:$A$1309,0)),INDEX('SKU明细'!$BY$11:$BY$1309,MATCH("1S01-GD-41",'SKU明细'!$A$11:$A$1309,0)),INDEX('SKU明细'!$BY$11:$BY$1309,MATCH("1S01-GD-42",'SKU明细'!$A$11:$A$1309,0))),"待核")</x:f>
        <x:v>0</x:v>
      </x:c>
      <x:c r="Z128" s="11" t="n">
        <x:f>INDEX('SKU明细'!$BZ$11:$BZ$1309,MATCH("1S01-GD-36",'SKU明细'!$A$11:$A$1309,0))</x:f>
        <x:v>0.8057375774163482</x:v>
      </x:c>
      <x:c r="AA128" s="13" t="n">
        <x:f>IF(COUNT(INDEX('SKU明细'!$CB$11:$CB$1309,MATCH("1S01-GD-36",'SKU明细'!$A$11:$A$1309,0)),INDEX('SKU明细'!$CB$11:$CB$1309,MATCH("1S01-GD-37",'SKU明细'!$A$11:$A$1309,0)),INDEX('SKU明细'!$CB$11:$CB$1309,MATCH("1S01-GD-38",'SKU明细'!$A$11:$A$1309,0)),INDEX('SKU明细'!$CB$11:$CB$1309,MATCH("1S01-GD-39",'SKU明细'!$A$11:$A$1309,0)),INDEX('SKU明细'!$CB$11:$CB$1309,MATCH("1S01-GD-40",'SKU明细'!$A$11:$A$1309,0)),INDEX('SKU明细'!$CB$11:$CB$1309,MATCH("1S01-GD-41",'SKU明细'!$A$11:$A$1309,0)),INDEX('SKU明细'!$CB$11:$CB$1309,MATCH("1S01-GD-42",'SKU明细'!$A$11:$A$1309,0)))=7,SUM(INDEX('SKU明细'!$CB$11:$CB$1309,MATCH("1S01-GD-36",'SKU明细'!$A$11:$A$1309,0)),INDEX('SKU明细'!$CB$11:$CB$1309,MATCH("1S01-GD-37",'SKU明细'!$A$11:$A$1309,0)),INDEX('SKU明细'!$CB$11:$CB$1309,MATCH("1S01-GD-38",'SKU明细'!$A$11:$A$1309,0)),INDEX('SKU明细'!$CB$11:$CB$1309,MATCH("1S01-GD-39",'SKU明细'!$A$11:$A$1309,0)),INDEX('SKU明细'!$CB$11:$CB$1309,MATCH("1S01-GD-40",'SKU明细'!$A$11:$A$1309,0)),INDEX('SKU明细'!$CB$11:$CB$1309,MATCH("1S01-GD-41",'SKU明细'!$A$11:$A$1309,0)),INDEX('SKU明细'!$CB$11:$CB$1309,MATCH("1S01-GD-42",'SKU明细'!$A$11:$A$1309,0))),"待核")</x:f>
        <x:v>0</x:v>
      </x:c>
      <x:c r="AB128" s="11" t="n">
        <x:f>INDEX('SKU明细'!$CC$11:$CC$1309,MATCH("1S01-GD-36",'SKU明细'!$A$11:$A$1309,0))</x:f>
        <x:v>0.532550303142279</x:v>
      </x:c>
      <x:c r="AC128" s="13" t="n">
        <x:f>IF(COUNT(INDEX('SKU明细'!$CE$11:$CE$1309,MATCH("1S01-GD-36",'SKU明细'!$A$11:$A$1309,0)),INDEX('SKU明细'!$CE$11:$CE$1309,MATCH("1S01-GD-37",'SKU明细'!$A$11:$A$1309,0)),INDEX('SKU明细'!$CE$11:$CE$1309,MATCH("1S01-GD-38",'SKU明细'!$A$11:$A$1309,0)),INDEX('SKU明细'!$CE$11:$CE$1309,MATCH("1S01-GD-39",'SKU明细'!$A$11:$A$1309,0)),INDEX('SKU明细'!$CE$11:$CE$1309,MATCH("1S01-GD-40",'SKU明细'!$A$11:$A$1309,0)),INDEX('SKU明细'!$CE$11:$CE$1309,MATCH("1S01-GD-41",'SKU明细'!$A$11:$A$1309,0)),INDEX('SKU明细'!$CE$11:$CE$1309,MATCH("1S01-GD-42",'SKU明细'!$A$11:$A$1309,0)))=7,SUM(INDEX('SKU明细'!$CE$11:$CE$1309,MATCH("1S01-GD-36",'SKU明细'!$A$11:$A$1309,0)),INDEX('SKU明细'!$CE$11:$CE$1309,MATCH("1S01-GD-37",'SKU明细'!$A$11:$A$1309,0)),INDEX('SKU明细'!$CE$11:$CE$1309,MATCH("1S01-GD-38",'SKU明细'!$A$11:$A$1309,0)),INDEX('SKU明细'!$CE$11:$CE$1309,MATCH("1S01-GD-39",'SKU明细'!$A$11:$A$1309,0)),INDEX('SKU明细'!$CE$11:$CE$1309,MATCH("1S01-GD-40",'SKU明细'!$A$11:$A$1309,0)),INDEX('SKU明细'!$CE$11:$CE$1309,MATCH("1S01-GD-41",'SKU明细'!$A$11:$A$1309,0)),INDEX('SKU明细'!$CE$11:$CE$1309,MATCH("1S01-GD-42",'SKU明细'!$A$11:$A$1309,0))),"待核")</x:f>
        <x:v>0</x:v>
      </x:c>
      <x:c r="AD128" s="11" t="n">
        <x:f>INDEX('SKU明细'!$CF$11:$CF$1309,MATCH("1S01-GD-36",'SKU明细'!$A$11:$A$1309,0))</x:f>
        <x:v>0.7517299265337036</x:v>
      </x:c>
      <x:c r="AE128" s="13" t="n">
        <x:f>IF(COUNT(INDEX('SKU明细'!$CH$11:$CH$1309,MATCH("1S01-GD-36",'SKU明细'!$A$11:$A$1309,0)),INDEX('SKU明细'!$CH$11:$CH$1309,MATCH("1S01-GD-37",'SKU明细'!$A$11:$A$1309,0)),INDEX('SKU明细'!$CH$11:$CH$1309,MATCH("1S01-GD-38",'SKU明细'!$A$11:$A$1309,0)),INDEX('SKU明细'!$CH$11:$CH$1309,MATCH("1S01-GD-39",'SKU明细'!$A$11:$A$1309,0)),INDEX('SKU明细'!$CH$11:$CH$1309,MATCH("1S01-GD-40",'SKU明细'!$A$11:$A$1309,0)),INDEX('SKU明细'!$CH$11:$CH$1309,MATCH("1S01-GD-41",'SKU明细'!$A$11:$A$1309,0)),INDEX('SKU明细'!$CH$11:$CH$1309,MATCH("1S01-GD-42",'SKU明细'!$A$11:$A$1309,0)))=7,SUM(INDEX('SKU明细'!$CH$11:$CH$1309,MATCH("1S01-GD-36",'SKU明细'!$A$11:$A$1309,0)),INDEX('SKU明细'!$CH$11:$CH$1309,MATCH("1S01-GD-37",'SKU明细'!$A$11:$A$1309,0)),INDEX('SKU明细'!$CH$11:$CH$1309,MATCH("1S01-GD-38",'SKU明细'!$A$11:$A$1309,0)),INDEX('SKU明细'!$CH$11:$CH$1309,MATCH("1S01-GD-39",'SKU明细'!$A$11:$A$1309,0)),INDEX('SKU明细'!$CH$11:$CH$1309,MATCH("1S01-GD-40",'SKU明细'!$A$11:$A$1309,0)),INDEX('SKU明细'!$CH$11:$CH$1309,MATCH("1S01-GD-41",'SKU明细'!$A$11:$A$1309,0)),INDEX('SKU明细'!$CH$11:$CH$1309,MATCH("1S01-GD-42",'SKU明细'!$A$11:$A$1309,0))),"待核")</x:f>
        <x:v>0</x:v>
      </x:c>
      <x:c r="AF128" s="13" t="n">
        <x:f>IF(COUNT(INDEX('SKU明细'!$CI$11:$CI$1309,MATCH("1S01-GD-36",'SKU明细'!$A$11:$A$1309,0)),INDEX('SKU明细'!$CI$11:$CI$1309,MATCH("1S01-GD-37",'SKU明细'!$A$11:$A$1309,0)),INDEX('SKU明细'!$CI$11:$CI$1309,MATCH("1S01-GD-38",'SKU明细'!$A$11:$A$1309,0)),INDEX('SKU明细'!$CI$11:$CI$1309,MATCH("1S01-GD-39",'SKU明细'!$A$11:$A$1309,0)),INDEX('SKU明细'!$CI$11:$CI$1309,MATCH("1S01-GD-40",'SKU明细'!$A$11:$A$1309,0)),INDEX('SKU明细'!$CI$11:$CI$1309,MATCH("1S01-GD-41",'SKU明细'!$A$11:$A$1309,0)),INDEX('SKU明细'!$CI$11:$CI$1309,MATCH("1S01-GD-42",'SKU明细'!$A$11:$A$1309,0)))=7,SUM(INDEX('SKU明细'!$CI$11:$CI$1309,MATCH("1S01-GD-36",'SKU明细'!$A$11:$A$1309,0)),INDEX('SKU明细'!$CI$11:$CI$1309,MATCH("1S01-GD-37",'SKU明细'!$A$11:$A$1309,0)),INDEX('SKU明细'!$CI$11:$CI$1309,MATCH("1S01-GD-38",'SKU明细'!$A$11:$A$1309,0)),INDEX('SKU明细'!$CI$11:$CI$1309,MATCH("1S01-GD-39",'SKU明细'!$A$11:$A$1309,0)),INDEX('SKU明细'!$CI$11:$CI$1309,MATCH("1S01-GD-40",'SKU明细'!$A$11:$A$1309,0)),INDEX('SKU明细'!$CI$11:$CI$1309,MATCH("1S01-GD-41",'SKU明细'!$A$11:$A$1309,0)),INDEX('SKU明细'!$CI$11:$CI$1309,MATCH("1S01-GD-42",'SKU明细'!$A$11:$A$1309,0))),"待核")</x:f>
        <x:v>0</x:v>
      </x:c>
    </x:row>
    <x:row r="129" ht="40" customHeight="1">
      <x:c r="A129" s="37" t="str">
        <x:v>1S01</x:v>
      </x:c>
      <x:c r="B129" s="37" t="str">
        <x:v>徐新怡</x:v>
      </x:c>
      <x:c r="C129" s="37" t="str">
        <x:v>豹纹</x:v>
      </x:c>
      <x:c r="D129" s="37" t="str">
        <x:v>LMN</x:v>
      </x:c>
      <x:c r="E129" s="37" t="str">
        <x:v>1S01-LMN</x:v>
      </x:c>
      <x:c r="F129" s="37"/>
      <x:c r="G129" s="38" t="n">
        <x:f>IF(COUNT(INDEX('SKU明细'!$D$11:$D$1309,MATCH("1S01-LMN-36",'SKU明细'!$A$11:$A$1309,0)))=0,"待核",IF(COUNT(INDEX('SKU明细'!$D$11:$D$1309,MATCH("1S01-LMN-36",'SKU明细'!$A$11:$A$1309,0)))&lt;1,SUM(INDEX('SKU明细'!$D$11:$D$1309,MATCH("1S01-LMN-36",'SKU明细'!$A$11:$A$1309,0)))&amp;" + 待核",SUM(INDEX('SKU明细'!$D$11:$D$1309,MATCH("1S01-LMN-36",'SKU明细'!$A$11:$A$1309,0)))))</x:f>
        <x:v>0</x:v>
      </x:c>
      <x:c r="H129" s="38" t="n">
        <x:f>IF(COUNT(INDEX('SKU明细'!$D$11:$D$1309,MATCH("1S01-LMN-37",'SKU明细'!$A$11:$A$1309,0)))=0,"待核",IF(COUNT(INDEX('SKU明细'!$D$11:$D$1309,MATCH("1S01-LMN-37",'SKU明细'!$A$11:$A$1309,0)))&lt;1,SUM(INDEX('SKU明细'!$D$11:$D$1309,MATCH("1S01-LMN-37",'SKU明细'!$A$11:$A$1309,0)))&amp;" + 待核",SUM(INDEX('SKU明细'!$D$11:$D$1309,MATCH("1S01-LMN-37",'SKU明细'!$A$11:$A$1309,0)))))</x:f>
        <x:v>0</x:v>
      </x:c>
      <x:c r="I129" s="38" t="n">
        <x:f>IF(COUNT(INDEX('SKU明细'!$D$11:$D$1309,MATCH("1S01-LMN-37.5",'SKU明细'!$A$11:$A$1309,0)))=0,"待核",IF(COUNT(INDEX('SKU明细'!$D$11:$D$1309,MATCH("1S01-LMN-37.5",'SKU明细'!$A$11:$A$1309,0)))&lt;1,SUM(INDEX('SKU明细'!$D$11:$D$1309,MATCH("1S01-LMN-37.5",'SKU明细'!$A$11:$A$1309,0)))&amp;" + 待核",SUM(INDEX('SKU明细'!$D$11:$D$1309,MATCH("1S01-LMN-37.5",'SKU明细'!$A$11:$A$1309,0)))))</x:f>
        <x:v>0</x:v>
      </x:c>
      <x:c r="J129" s="38" t="n">
        <x:f>IF(COUNT(INDEX('SKU明细'!$D$11:$D$1309,MATCH("1S01-LMN-38",'SKU明细'!$A$11:$A$1309,0)))=0,"待核",IF(COUNT(INDEX('SKU明细'!$D$11:$D$1309,MATCH("1S01-LMN-38",'SKU明细'!$A$11:$A$1309,0)))&lt;1,SUM(INDEX('SKU明细'!$D$11:$D$1309,MATCH("1S01-LMN-38",'SKU明细'!$A$11:$A$1309,0)))&amp;" + 待核",SUM(INDEX('SKU明细'!$D$11:$D$1309,MATCH("1S01-LMN-38",'SKU明细'!$A$11:$A$1309,0)))))</x:f>
        <x:v>20</x:v>
      </x:c>
      <x:c r="K129" s="38" t="n">
        <x:f>IF(COUNT(INDEX('SKU明细'!$D$11:$D$1309,MATCH("1S01-LMN-38.5",'SKU明细'!$A$11:$A$1309,0)))=0,"待核",IF(COUNT(INDEX('SKU明细'!$D$11:$D$1309,MATCH("1S01-LMN-38.5",'SKU明细'!$A$11:$A$1309,0)))&lt;1,SUM(INDEX('SKU明细'!$D$11:$D$1309,MATCH("1S01-LMN-38.5",'SKU明细'!$A$11:$A$1309,0)))&amp;" + 待核",SUM(INDEX('SKU明细'!$D$11:$D$1309,MATCH("1S01-LMN-38.5",'SKU明细'!$A$11:$A$1309,0)))))</x:f>
        <x:v>0</x:v>
      </x:c>
      <x:c r="L129" s="38" t="n">
        <x:f>IF(COUNT(INDEX('SKU明细'!$D$11:$D$1309,MATCH("1S01-LMN-39",'SKU明细'!$A$11:$A$1309,0)))=0,"待核",IF(COUNT(INDEX('SKU明细'!$D$11:$D$1309,MATCH("1S01-LMN-39",'SKU明细'!$A$11:$A$1309,0)))&lt;1,SUM(INDEX('SKU明细'!$D$11:$D$1309,MATCH("1S01-LMN-39",'SKU明细'!$A$11:$A$1309,0)))&amp;" + 待核",SUM(INDEX('SKU明细'!$D$11:$D$1309,MATCH("1S01-LMN-39",'SKU明细'!$A$11:$A$1309,0)))))</x:f>
        <x:v>11</x:v>
      </x:c>
      <x:c r="M129" s="38" t="n">
        <x:f>IF(COUNT(INDEX('SKU明细'!$D$11:$D$1309,MATCH("1S01-LMN-39.5",'SKU明细'!$A$11:$A$1309,0)))=0,"待核",IF(COUNT(INDEX('SKU明细'!$D$11:$D$1309,MATCH("1S01-LMN-39.5",'SKU明细'!$A$11:$A$1309,0)))&lt;1,SUM(INDEX('SKU明细'!$D$11:$D$1309,MATCH("1S01-LMN-39.5",'SKU明细'!$A$11:$A$1309,0)))&amp;" + 待核",SUM(INDEX('SKU明细'!$D$11:$D$1309,MATCH("1S01-LMN-39.5",'SKU明细'!$A$11:$A$1309,0)))))</x:f>
        <x:v>0</x:v>
      </x:c>
      <x:c r="N129" s="38" t="n">
        <x:f>IF(COUNT(INDEX('SKU明细'!$D$11:$D$1309,MATCH("1S01-LMN-40",'SKU明细'!$A$11:$A$1309,0)))=0,"待核",IF(COUNT(INDEX('SKU明细'!$D$11:$D$1309,MATCH("1S01-LMN-40",'SKU明细'!$A$11:$A$1309,0)))&lt;1,SUM(INDEX('SKU明细'!$D$11:$D$1309,MATCH("1S01-LMN-40",'SKU明细'!$A$11:$A$1309,0)))&amp;" + 待核",SUM(INDEX('SKU明细'!$D$11:$D$1309,MATCH("1S01-LMN-40",'SKU明细'!$A$11:$A$1309,0)))))</x:f>
        <x:v>57</x:v>
      </x:c>
      <x:c r="O129" s="38" t="n">
        <x:f>IF(COUNT(INDEX('SKU明细'!$D$11:$D$1309,MATCH("1S01-LMN-40.5",'SKU明细'!$A$11:$A$1309,0)))=0,"待核",IF(COUNT(INDEX('SKU明细'!$D$11:$D$1309,MATCH("1S01-LMN-40.5",'SKU明细'!$A$11:$A$1309,0)))&lt;1,SUM(INDEX('SKU明细'!$D$11:$D$1309,MATCH("1S01-LMN-40.5",'SKU明细'!$A$11:$A$1309,0)))&amp;" + 待核",SUM(INDEX('SKU明细'!$D$11:$D$1309,MATCH("1S01-LMN-40.5",'SKU明细'!$A$11:$A$1309,0)))))</x:f>
        <x:v>0</x:v>
      </x:c>
      <x:c r="P129" s="38" t="n">
        <x:f>IF(COUNT(INDEX('SKU明细'!$D$11:$D$1309,MATCH("1S01-LMN-41-FX",'SKU明细'!$A$11:$A$1309,0)))=0,"待核",IF(COUNT(INDEX('SKU明细'!$D$11:$D$1309,MATCH("1S01-LMN-41-FX",'SKU明细'!$A$11:$A$1309,0)))&lt;1,SUM(INDEX('SKU明细'!$D$11:$D$1309,MATCH("1S01-LMN-41-FX",'SKU明细'!$A$11:$A$1309,0)))&amp;" + 待核",SUM(INDEX('SKU明细'!$D$11:$D$1309,MATCH("1S01-LMN-41-FX",'SKU明细'!$A$11:$A$1309,0)))))</x:f>
        <x:v>0</x:v>
      </x:c>
      <x:c r="Q129" s="38" t="n">
        <x:f>IF(COUNT(INDEX('SKU明细'!$D$11:$D$1309,MATCH("1S01-LMN-41.5",'SKU明细'!$A$11:$A$1309,0)))=0,"待核",IF(COUNT(INDEX('SKU明细'!$D$11:$D$1309,MATCH("1S01-LMN-41.5",'SKU明细'!$A$11:$A$1309,0)))&lt;1,SUM(INDEX('SKU明细'!$D$11:$D$1309,MATCH("1S01-LMN-41.5",'SKU明细'!$A$11:$A$1309,0)))&amp;" + 待核",SUM(INDEX('SKU明细'!$D$11:$D$1309,MATCH("1S01-LMN-41.5",'SKU明细'!$A$11:$A$1309,0)))))</x:f>
        <x:v>9</x:v>
      </x:c>
      <x:c r="R129" s="38" t="n">
        <x:f>IF(COUNT(INDEX('SKU明细'!$D$11:$D$1309,MATCH("1S01-LMN-42-FX",'SKU明细'!$A$11:$A$1309,0)))=0,"待核",IF(COUNT(INDEX('SKU明细'!$D$11:$D$1309,MATCH("1S01-LMN-42-FX",'SKU明细'!$A$11:$A$1309,0)))&lt;1,SUM(INDEX('SKU明细'!$D$11:$D$1309,MATCH("1S01-LMN-42-FX",'SKU明细'!$A$11:$A$1309,0)))&amp;" + 待核",SUM(INDEX('SKU明细'!$D$11:$D$1309,MATCH("1S01-LMN-42-FX",'SKU明细'!$A$11:$A$1309,0)))))</x:f>
        <x:v>2</x:v>
      </x:c>
      <x:c r="S129" s="38" t="n">
        <x:f>IF(COUNT(INDEX('SKU明细'!$D$11:$D$1309,MATCH("1S01-LMN-36",'SKU明细'!$A$11:$A$1309,0)),INDEX('SKU明细'!$D$11:$D$1309,MATCH("1S01-LMN-37",'SKU明细'!$A$11:$A$1309,0)),INDEX('SKU明细'!$D$11:$D$1309,MATCH("1S01-LMN-37.5",'SKU明细'!$A$11:$A$1309,0)),INDEX('SKU明细'!$D$11:$D$1309,MATCH("1S01-LMN-38",'SKU明细'!$A$11:$A$1309,0)),INDEX('SKU明细'!$D$11:$D$1309,MATCH("1S01-LMN-38.5",'SKU明细'!$A$11:$A$1309,0)),INDEX('SKU明细'!$D$11:$D$1309,MATCH("1S01-LMN-39",'SKU明细'!$A$11:$A$1309,0)),INDEX('SKU明细'!$D$11:$D$1309,MATCH("1S01-LMN-39.5",'SKU明细'!$A$11:$A$1309,0)),INDEX('SKU明细'!$D$11:$D$1309,MATCH("1S01-LMN-40",'SKU明细'!$A$11:$A$1309,0)),INDEX('SKU明细'!$D$11:$D$1309,MATCH("1S01-LMN-40.5",'SKU明细'!$A$11:$A$1309,0)),INDEX('SKU明细'!$D$11:$D$1309,MATCH("1S01-LMN-41-FX",'SKU明细'!$A$11:$A$1309,0)),INDEX('SKU明细'!$D$11:$D$1309,MATCH("1S01-LMN-41.5",'SKU明细'!$A$11:$A$1309,0)),INDEX('SKU明细'!$D$11:$D$1309,MATCH("1S01-LMN-42-FX",'SKU明细'!$A$11:$A$1309,0)))=0,"待核",SUM(INDEX('SKU明细'!$D$11:$D$1309,MATCH("1S01-LMN-36",'SKU明细'!$A$11:$A$1309,0)),INDEX('SKU明细'!$D$11:$D$1309,MATCH("1S01-LMN-37",'SKU明细'!$A$11:$A$1309,0)),INDEX('SKU明细'!$D$11:$D$1309,MATCH("1S01-LMN-37.5",'SKU明细'!$A$11:$A$1309,0)),INDEX('SKU明细'!$D$11:$D$1309,MATCH("1S01-LMN-38",'SKU明细'!$A$11:$A$1309,0)),INDEX('SKU明细'!$D$11:$D$1309,MATCH("1S01-LMN-38.5",'SKU明细'!$A$11:$A$1309,0)),INDEX('SKU明细'!$D$11:$D$1309,MATCH("1S01-LMN-39",'SKU明细'!$A$11:$A$1309,0)),INDEX('SKU明细'!$D$11:$D$1309,MATCH("1S01-LMN-39.5",'SKU明细'!$A$11:$A$1309,0)),INDEX('SKU明细'!$D$11:$D$1309,MATCH("1S01-LMN-40",'SKU明细'!$A$11:$A$1309,0)),INDEX('SKU明细'!$D$11:$D$1309,MATCH("1S01-LMN-40.5",'SKU明细'!$A$11:$A$1309,0)),INDEX('SKU明细'!$D$11:$D$1309,MATCH("1S01-LMN-41-FX",'SKU明细'!$A$11:$A$1309,0)),INDEX('SKU明细'!$D$11:$D$1309,MATCH("1S01-LMN-41.5",'SKU明细'!$A$11:$A$1309,0)),INDEX('SKU明细'!$D$11:$D$1309,MATCH("1S01-LMN-42-FX",'SKU明细'!$A$11:$A$1309,0))))</x:f>
        <x:v>99</x:v>
      </x:c>
      <x:c r="T129" s="38" t="n">
        <x:f>IF(COUNTIFS($A$9:$A$191,A129,$U$9:$U$191,"&lt;&gt;待核")=0,"待核",SUMIF($A$9:$A$191,A129,$S$9:$S$191))</x:f>
        <x:v>141</x:v>
      </x:c>
      <x:c r="U129" s="37" t="str">
        <x:f>IF(COUNT(INDEX('SKU明细'!$D$11:$D$1309,MATCH("1S01-LMN-36",'SKU明细'!$A$11:$A$1309,0)),INDEX('SKU明细'!$D$11:$D$1309,MATCH("1S01-LMN-37",'SKU明细'!$A$11:$A$1309,0)),INDEX('SKU明细'!$D$11:$D$1309,MATCH("1S01-LMN-37.5",'SKU明细'!$A$11:$A$1309,0)),INDEX('SKU明细'!$D$11:$D$1309,MATCH("1S01-LMN-38",'SKU明细'!$A$11:$A$1309,0)),INDEX('SKU明细'!$D$11:$D$1309,MATCH("1S01-LMN-38.5",'SKU明细'!$A$11:$A$1309,0)),INDEX('SKU明细'!$D$11:$D$1309,MATCH("1S01-LMN-39",'SKU明细'!$A$11:$A$1309,0)),INDEX('SKU明细'!$D$11:$D$1309,MATCH("1S01-LMN-39.5",'SKU明细'!$A$11:$A$1309,0)),INDEX('SKU明细'!$D$11:$D$1309,MATCH("1S01-LMN-40",'SKU明细'!$A$11:$A$1309,0)),INDEX('SKU明细'!$D$11:$D$1309,MATCH("1S01-LMN-40.5",'SKU明细'!$A$11:$A$1309,0)),INDEX('SKU明细'!$D$11:$D$1309,MATCH("1S01-LMN-41-FX",'SKU明细'!$A$11:$A$1309,0)),INDEX('SKU明细'!$D$11:$D$1309,MATCH("1S01-LMN-41.5",'SKU明细'!$A$11:$A$1309,0)),INDEX('SKU明细'!$D$11:$D$1309,MATCH("1S01-LMN-42-FX",'SKU明细'!$A$11:$A$1309,0)))=0,"待核",IF(COUNT(INDEX('SKU明细'!$D$11:$D$1309,MATCH("1S01-LMN-36",'SKU明细'!$A$11:$A$1309,0)),INDEX('SKU明细'!$D$11:$D$1309,MATCH("1S01-LMN-37",'SKU明细'!$A$11:$A$1309,0)),INDEX('SKU明细'!$D$11:$D$1309,MATCH("1S01-LMN-37.5",'SKU明细'!$A$11:$A$1309,0)),INDEX('SKU明细'!$D$11:$D$1309,MATCH("1S01-LMN-38",'SKU明细'!$A$11:$A$1309,0)),INDEX('SKU明细'!$D$11:$D$1309,MATCH("1S01-LMN-38.5",'SKU明细'!$A$11:$A$1309,0)),INDEX('SKU明细'!$D$11:$D$1309,MATCH("1S01-LMN-39",'SKU明细'!$A$11:$A$1309,0)),INDEX('SKU明细'!$D$11:$D$1309,MATCH("1S01-LMN-39.5",'SKU明细'!$A$11:$A$1309,0)),INDEX('SKU明细'!$D$11:$D$1309,MATCH("1S01-LMN-40",'SKU明细'!$A$11:$A$1309,0)),INDEX('SKU明细'!$D$11:$D$1309,MATCH("1S01-LMN-40.5",'SKU明细'!$A$11:$A$1309,0)),INDEX('SKU明细'!$D$11:$D$1309,MATCH("1S01-LMN-41-FX",'SKU明细'!$A$11:$A$1309,0)),INDEX('SKU明细'!$D$11:$D$1309,MATCH("1S01-LMN-41.5",'SKU明细'!$A$11:$A$1309,0)),INDEX('SKU明细'!$D$11:$D$1309,MATCH("1S01-LMN-42-FX",'SKU明细'!$A$11:$A$1309,0)))&lt;12,"另有待核","已核"))</x:f>
        <x:v>已核</x:v>
      </x:c>
      <x:c r="V129" s="37" t="str">
        <x:v>停售、在售</x:v>
      </x:c>
      <x:c r="W129" s="11" t="n">
        <x:f>IF(COUNT(INDEX('SKU明细'!$BV$11:$BV$1309,MATCH("1S01-LMN-36",'SKU明细'!$A$11:$A$1309,0)),INDEX('SKU明细'!$BV$11:$BV$1309,MATCH("1S01-LMN-37",'SKU明细'!$A$11:$A$1309,0)),INDEX('SKU明细'!$BV$11:$BV$1309,MATCH("1S01-LMN-37.5",'SKU明细'!$A$11:$A$1309,0)),INDEX('SKU明细'!$BV$11:$BV$1309,MATCH("1S01-LMN-38",'SKU明细'!$A$11:$A$1309,0)),INDEX('SKU明细'!$BV$11:$BV$1309,MATCH("1S01-LMN-38.5",'SKU明细'!$A$11:$A$1309,0)),INDEX('SKU明细'!$BV$11:$BV$1309,MATCH("1S01-LMN-39",'SKU明细'!$A$11:$A$1309,0)),INDEX('SKU明细'!$BV$11:$BV$1309,MATCH("1S01-LMN-39.5",'SKU明细'!$A$11:$A$1309,0)),INDEX('SKU明细'!$BV$11:$BV$1309,MATCH("1S01-LMN-40",'SKU明细'!$A$11:$A$1309,0)),INDEX('SKU明细'!$BV$11:$BV$1309,MATCH("1S01-LMN-40.5",'SKU明细'!$A$11:$A$1309,0)),INDEX('SKU明细'!$BV$11:$BV$1309,MATCH("1S01-LMN-41-FX",'SKU明细'!$A$11:$A$1309,0)),INDEX('SKU明细'!$BV$11:$BV$1309,MATCH("1S01-LMN-41.5",'SKU明细'!$A$11:$A$1309,0)),INDEX('SKU明细'!$BV$11:$BV$1309,MATCH("1S01-LMN-42-FX",'SKU明细'!$A$11:$A$1309,0)))=12,SUM(INDEX('SKU明细'!$BV$11:$BV$1309,MATCH("1S01-LMN-36",'SKU明细'!$A$11:$A$1309,0)),INDEX('SKU明细'!$BV$11:$BV$1309,MATCH("1S01-LMN-37",'SKU明细'!$A$11:$A$1309,0)),INDEX('SKU明细'!$BV$11:$BV$1309,MATCH("1S01-LMN-37.5",'SKU明细'!$A$11:$A$1309,0)),INDEX('SKU明细'!$BV$11:$BV$1309,MATCH("1S01-LMN-38",'SKU明细'!$A$11:$A$1309,0)),INDEX('SKU明细'!$BV$11:$BV$1309,MATCH("1S01-LMN-38.5",'SKU明细'!$A$11:$A$1309,0)),INDEX('SKU明细'!$BV$11:$BV$1309,MATCH("1S01-LMN-39",'SKU明细'!$A$11:$A$1309,0)),INDEX('SKU明细'!$BV$11:$BV$1309,MATCH("1S01-LMN-39.5",'SKU明细'!$A$11:$A$1309,0)),INDEX('SKU明细'!$BV$11:$BV$1309,MATCH("1S01-LMN-40",'SKU明细'!$A$11:$A$1309,0)),INDEX('SKU明细'!$BV$11:$BV$1309,MATCH("1S01-LMN-40.5",'SKU明细'!$A$11:$A$1309,0)),INDEX('SKU明细'!$BV$11:$BV$1309,MATCH("1S01-LMN-41-FX",'SKU明细'!$A$11:$A$1309,0)),INDEX('SKU明细'!$BV$11:$BV$1309,MATCH("1S01-LMN-41.5",'SKU明细'!$A$11:$A$1309,0)),INDEX('SKU明细'!$BV$11:$BV$1309,MATCH("1S01-LMN-42-FX",'SKU明细'!$A$11:$A$1309,0))),"待核")</x:f>
        <x:v>2.9367051066815764</x:v>
      </x:c>
      <x:c r="X129" s="11" t="n">
        <x:f>INDEX('SKU明细'!$BW$11:$BW$1309,MATCH("1S01-LMN-36",'SKU明细'!$A$11:$A$1309,0))</x:f>
        <x:v>0.8729500662042875</x:v>
      </x:c>
      <x:c r="Y129" s="13" t="n">
        <x:f>IF(COUNT(INDEX('SKU明细'!$BY$11:$BY$1309,MATCH("1S01-LMN-36",'SKU明细'!$A$11:$A$1309,0)),INDEX('SKU明细'!$BY$11:$BY$1309,MATCH("1S01-LMN-37",'SKU明细'!$A$11:$A$1309,0)),INDEX('SKU明细'!$BY$11:$BY$1309,MATCH("1S01-LMN-37.5",'SKU明细'!$A$11:$A$1309,0)),INDEX('SKU明细'!$BY$11:$BY$1309,MATCH("1S01-LMN-38",'SKU明细'!$A$11:$A$1309,0)),INDEX('SKU明细'!$BY$11:$BY$1309,MATCH("1S01-LMN-38.5",'SKU明细'!$A$11:$A$1309,0)),INDEX('SKU明细'!$BY$11:$BY$1309,MATCH("1S01-LMN-39",'SKU明细'!$A$11:$A$1309,0)),INDEX('SKU明细'!$BY$11:$BY$1309,MATCH("1S01-LMN-39.5",'SKU明细'!$A$11:$A$1309,0)),INDEX('SKU明细'!$BY$11:$BY$1309,MATCH("1S01-LMN-40",'SKU明细'!$A$11:$A$1309,0)),INDEX('SKU明细'!$BY$11:$BY$1309,MATCH("1S01-LMN-40.5",'SKU明细'!$A$11:$A$1309,0)),INDEX('SKU明细'!$BY$11:$BY$1309,MATCH("1S01-LMN-41-FX",'SKU明细'!$A$11:$A$1309,0)),INDEX('SKU明细'!$BY$11:$BY$1309,MATCH("1S01-LMN-41.5",'SKU明细'!$A$11:$A$1309,0)),INDEX('SKU明细'!$BY$11:$BY$1309,MATCH("1S01-LMN-42-FX",'SKU明细'!$A$11:$A$1309,0)))=12,SUM(INDEX('SKU明细'!$BY$11:$BY$1309,MATCH("1S01-LMN-36",'SKU明细'!$A$11:$A$1309,0)),INDEX('SKU明细'!$BY$11:$BY$1309,MATCH("1S01-LMN-37",'SKU明细'!$A$11:$A$1309,0)),INDEX('SKU明细'!$BY$11:$BY$1309,MATCH("1S01-LMN-37.5",'SKU明细'!$A$11:$A$1309,0)),INDEX('SKU明细'!$BY$11:$BY$1309,MATCH("1S01-LMN-38",'SKU明细'!$A$11:$A$1309,0)),INDEX('SKU明细'!$BY$11:$BY$1309,MATCH("1S01-LMN-38.5",'SKU明细'!$A$11:$A$1309,0)),INDEX('SKU明细'!$BY$11:$BY$1309,MATCH("1S01-LMN-39",'SKU明细'!$A$11:$A$1309,0)),INDEX('SKU明细'!$BY$11:$BY$1309,MATCH("1S01-LMN-39.5",'SKU明细'!$A$11:$A$1309,0)),INDEX('SKU明细'!$BY$11:$BY$1309,MATCH("1S01-LMN-40",'SKU明细'!$A$11:$A$1309,0)),INDEX('SKU明细'!$BY$11:$BY$1309,MATCH("1S01-LMN-40.5",'SKU明细'!$A$11:$A$1309,0)),INDEX('SKU明细'!$BY$11:$BY$1309,MATCH("1S01-LMN-41-FX",'SKU明细'!$A$11:$A$1309,0)),INDEX('SKU明细'!$BY$11:$BY$1309,MATCH("1S01-LMN-41.5",'SKU明细'!$A$11:$A$1309,0)),INDEX('SKU明细'!$BY$11:$BY$1309,MATCH("1S01-LMN-42-FX",'SKU明细'!$A$11:$A$1309,0))),"待核")</x:f>
        <x:v>30.76316300760182</x:v>
      </x:c>
      <x:c r="Z129" s="11" t="n">
        <x:f>INDEX('SKU明细'!$BZ$11:$BZ$1309,MATCH("1S01-LMN-36",'SKU明细'!$A$11:$A$1309,0))</x:f>
        <x:v>0.8057375774163482</x:v>
      </x:c>
      <x:c r="AA129" s="13" t="n">
        <x:f>IF(COUNT(INDEX('SKU明细'!$CB$11:$CB$1309,MATCH("1S01-LMN-36",'SKU明细'!$A$11:$A$1309,0)),INDEX('SKU明细'!$CB$11:$CB$1309,MATCH("1S01-LMN-37",'SKU明细'!$A$11:$A$1309,0)),INDEX('SKU明细'!$CB$11:$CB$1309,MATCH("1S01-LMN-37.5",'SKU明细'!$A$11:$A$1309,0)),INDEX('SKU明细'!$CB$11:$CB$1309,MATCH("1S01-LMN-38",'SKU明细'!$A$11:$A$1309,0)),INDEX('SKU明细'!$CB$11:$CB$1309,MATCH("1S01-LMN-38.5",'SKU明细'!$A$11:$A$1309,0)),INDEX('SKU明细'!$CB$11:$CB$1309,MATCH("1S01-LMN-39",'SKU明细'!$A$11:$A$1309,0)),INDEX('SKU明细'!$CB$11:$CB$1309,MATCH("1S01-LMN-39.5",'SKU明细'!$A$11:$A$1309,0)),INDEX('SKU明细'!$CB$11:$CB$1309,MATCH("1S01-LMN-40",'SKU明细'!$A$11:$A$1309,0)),INDEX('SKU明细'!$CB$11:$CB$1309,MATCH("1S01-LMN-40.5",'SKU明细'!$A$11:$A$1309,0)),INDEX('SKU明细'!$CB$11:$CB$1309,MATCH("1S01-LMN-41-FX",'SKU明细'!$A$11:$A$1309,0)),INDEX('SKU明细'!$CB$11:$CB$1309,MATCH("1S01-LMN-41.5",'SKU明细'!$A$11:$A$1309,0)),INDEX('SKU明细'!$CB$11:$CB$1309,MATCH("1S01-LMN-42-FX",'SKU明细'!$A$11:$A$1309,0)))=12,SUM(INDEX('SKU明细'!$CB$11:$CB$1309,MATCH("1S01-LMN-36",'SKU明细'!$A$11:$A$1309,0)),INDEX('SKU明细'!$CB$11:$CB$1309,MATCH("1S01-LMN-37",'SKU明细'!$A$11:$A$1309,0)),INDEX('SKU明细'!$CB$11:$CB$1309,MATCH("1S01-LMN-37.5",'SKU明细'!$A$11:$A$1309,0)),INDEX('SKU明细'!$CB$11:$CB$1309,MATCH("1S01-LMN-38",'SKU明细'!$A$11:$A$1309,0)),INDEX('SKU明细'!$CB$11:$CB$1309,MATCH("1S01-LMN-38.5",'SKU明细'!$A$11:$A$1309,0)),INDEX('SKU明细'!$CB$11:$CB$1309,MATCH("1S01-LMN-39",'SKU明细'!$A$11:$A$1309,0)),INDEX('SKU明细'!$CB$11:$CB$1309,MATCH("1S01-LMN-39.5",'SKU明细'!$A$11:$A$1309,0)),INDEX('SKU明细'!$CB$11:$CB$1309,MATCH("1S01-LMN-40",'SKU明细'!$A$11:$A$1309,0)),INDEX('SKU明细'!$CB$11:$CB$1309,MATCH("1S01-LMN-40.5",'SKU明细'!$A$11:$A$1309,0)),INDEX('SKU明细'!$CB$11:$CB$1309,MATCH("1S01-LMN-41-FX",'SKU明细'!$A$11:$A$1309,0)),INDEX('SKU明细'!$CB$11:$CB$1309,MATCH("1S01-LMN-41.5",'SKU明细'!$A$11:$A$1309,0)),INDEX('SKU明细'!$CB$11:$CB$1309,MATCH("1S01-LMN-42-FX",'SKU明细'!$A$11:$A$1309,0))),"待核")</x:f>
        <x:v>70.98640974731495</x:v>
      </x:c>
      <x:c r="AB129" s="11" t="n">
        <x:f>INDEX('SKU明细'!$CC$11:$CC$1309,MATCH("1S01-LMN-36",'SKU明细'!$A$11:$A$1309,0))</x:f>
        <x:v>0.532550303142279</x:v>
      </x:c>
      <x:c r="AC129" s="13" t="n">
        <x:f>IF(COUNT(INDEX('SKU明细'!$CE$11:$CE$1309,MATCH("1S01-LMN-36",'SKU明细'!$A$11:$A$1309,0)),INDEX('SKU明细'!$CE$11:$CE$1309,MATCH("1S01-LMN-37",'SKU明细'!$A$11:$A$1309,0)),INDEX('SKU明细'!$CE$11:$CE$1309,MATCH("1S01-LMN-37.5",'SKU明细'!$A$11:$A$1309,0)),INDEX('SKU明细'!$CE$11:$CE$1309,MATCH("1S01-LMN-38",'SKU明细'!$A$11:$A$1309,0)),INDEX('SKU明细'!$CE$11:$CE$1309,MATCH("1S01-LMN-38.5",'SKU明细'!$A$11:$A$1309,0)),INDEX('SKU明细'!$CE$11:$CE$1309,MATCH("1S01-LMN-39",'SKU明细'!$A$11:$A$1309,0)),INDEX('SKU明细'!$CE$11:$CE$1309,MATCH("1S01-LMN-39.5",'SKU明细'!$A$11:$A$1309,0)),INDEX('SKU明细'!$CE$11:$CE$1309,MATCH("1S01-LMN-40",'SKU明细'!$A$11:$A$1309,0)),INDEX('SKU明细'!$CE$11:$CE$1309,MATCH("1S01-LMN-40.5",'SKU明细'!$A$11:$A$1309,0)),INDEX('SKU明细'!$CE$11:$CE$1309,MATCH("1S01-LMN-41-FX",'SKU明细'!$A$11:$A$1309,0)),INDEX('SKU明细'!$CE$11:$CE$1309,MATCH("1S01-LMN-41.5",'SKU明细'!$A$11:$A$1309,0)),INDEX('SKU明细'!$CE$11:$CE$1309,MATCH("1S01-LMN-42-FX",'SKU明细'!$A$11:$A$1309,0)))=12,SUM(INDEX('SKU明细'!$CE$11:$CE$1309,MATCH("1S01-LMN-36",'SKU明细'!$A$11:$A$1309,0)),INDEX('SKU明细'!$CE$11:$CE$1309,MATCH("1S01-LMN-37",'SKU明细'!$A$11:$A$1309,0)),INDEX('SKU明细'!$CE$11:$CE$1309,MATCH("1S01-LMN-37.5",'SKU明细'!$A$11:$A$1309,0)),INDEX('SKU明细'!$CE$11:$CE$1309,MATCH("1S01-LMN-38",'SKU明细'!$A$11:$A$1309,0)),INDEX('SKU明细'!$CE$11:$CE$1309,MATCH("1S01-LMN-38.5",'SKU明细'!$A$11:$A$1309,0)),INDEX('SKU明细'!$CE$11:$CE$1309,MATCH("1S01-LMN-39",'SKU明细'!$A$11:$A$1309,0)),INDEX('SKU明细'!$CE$11:$CE$1309,MATCH("1S01-LMN-39.5",'SKU明细'!$A$11:$A$1309,0)),INDEX('SKU明细'!$CE$11:$CE$1309,MATCH("1S01-LMN-40",'SKU明细'!$A$11:$A$1309,0)),INDEX('SKU明细'!$CE$11:$CE$1309,MATCH("1S01-LMN-40.5",'SKU明细'!$A$11:$A$1309,0)),INDEX('SKU明细'!$CE$11:$CE$1309,MATCH("1S01-LMN-41-FX",'SKU明细'!$A$11:$A$1309,0)),INDEX('SKU明细'!$CE$11:$CE$1309,MATCH("1S01-LMN-41.5",'SKU明细'!$A$11:$A$1309,0)),INDEX('SKU明细'!$CE$11:$CE$1309,MATCH("1S01-LMN-42-FX",'SKU明细'!$A$11:$A$1309,0))),"待核")</x:f>
        <x:v>48.482239038885325</x:v>
      </x:c>
      <x:c r="AD129" s="11" t="n">
        <x:f>INDEX('SKU明细'!$CF$11:$CF$1309,MATCH("1S01-LMN-36",'SKU明细'!$A$11:$A$1309,0))</x:f>
        <x:v>0.7517299265337036</x:v>
      </x:c>
      <x:c r="AE129" s="13" t="n">
        <x:f>IF(COUNT(INDEX('SKU明细'!$CH$11:$CH$1309,MATCH("1S01-LMN-36",'SKU明细'!$A$11:$A$1309,0)),INDEX('SKU明细'!$CH$11:$CH$1309,MATCH("1S01-LMN-37",'SKU明细'!$A$11:$A$1309,0)),INDEX('SKU明细'!$CH$11:$CH$1309,MATCH("1S01-LMN-37.5",'SKU明细'!$A$11:$A$1309,0)),INDEX('SKU明细'!$CH$11:$CH$1309,MATCH("1S01-LMN-38",'SKU明细'!$A$11:$A$1309,0)),INDEX('SKU明细'!$CH$11:$CH$1309,MATCH("1S01-LMN-38.5",'SKU明细'!$A$11:$A$1309,0)),INDEX('SKU明细'!$CH$11:$CH$1309,MATCH("1S01-LMN-39",'SKU明细'!$A$11:$A$1309,0)),INDEX('SKU明细'!$CH$11:$CH$1309,MATCH("1S01-LMN-39.5",'SKU明细'!$A$11:$A$1309,0)),INDEX('SKU明细'!$CH$11:$CH$1309,MATCH("1S01-LMN-40",'SKU明细'!$A$11:$A$1309,0)),INDEX('SKU明细'!$CH$11:$CH$1309,MATCH("1S01-LMN-40.5",'SKU明细'!$A$11:$A$1309,0)),INDEX('SKU明细'!$CH$11:$CH$1309,MATCH("1S01-LMN-41-FX",'SKU明细'!$A$11:$A$1309,0)),INDEX('SKU明细'!$CH$11:$CH$1309,MATCH("1S01-LMN-41.5",'SKU明细'!$A$11:$A$1309,0)),INDEX('SKU明细'!$CH$11:$CH$1309,MATCH("1S01-LMN-42-FX",'SKU明细'!$A$11:$A$1309,0)))=12,SUM(INDEX('SKU明细'!$CH$11:$CH$1309,MATCH("1S01-LMN-36",'SKU明细'!$A$11:$A$1309,0)),INDEX('SKU明细'!$CH$11:$CH$1309,MATCH("1S01-LMN-37",'SKU明细'!$A$11:$A$1309,0)),INDEX('SKU明细'!$CH$11:$CH$1309,MATCH("1S01-LMN-37.5",'SKU明细'!$A$11:$A$1309,0)),INDEX('SKU明细'!$CH$11:$CH$1309,MATCH("1S01-LMN-38",'SKU明细'!$A$11:$A$1309,0)),INDEX('SKU明细'!$CH$11:$CH$1309,MATCH("1S01-LMN-38.5",'SKU明细'!$A$11:$A$1309,0)),INDEX('SKU明细'!$CH$11:$CH$1309,MATCH("1S01-LMN-39",'SKU明细'!$A$11:$A$1309,0)),INDEX('SKU明细'!$CH$11:$CH$1309,MATCH("1S01-LMN-39.5",'SKU明细'!$A$11:$A$1309,0)),INDEX('SKU明细'!$CH$11:$CH$1309,MATCH("1S01-LMN-40",'SKU明细'!$A$11:$A$1309,0)),INDEX('SKU明细'!$CH$11:$CH$1309,MATCH("1S01-LMN-40.5",'SKU明细'!$A$11:$A$1309,0)),INDEX('SKU明细'!$CH$11:$CH$1309,MATCH("1S01-LMN-41-FX",'SKU明细'!$A$11:$A$1309,0)),INDEX('SKU明细'!$CH$11:$CH$1309,MATCH("1S01-LMN-41.5",'SKU明细'!$A$11:$A$1309,0)),INDEX('SKU明细'!$CH$11:$CH$1309,MATCH("1S01-LMN-42-FX",'SKU明细'!$A$11:$A$1309,0))),"待核")</x:f>
        <x:v>37.52935493964719</x:v>
      </x:c>
      <x:c r="AF129" s="13" t="n">
        <x:f>IF(COUNT(INDEX('SKU明细'!$CI$11:$CI$1309,MATCH("1S01-LMN-36",'SKU明细'!$A$11:$A$1309,0)),INDEX('SKU明细'!$CI$11:$CI$1309,MATCH("1S01-LMN-37",'SKU明细'!$A$11:$A$1309,0)),INDEX('SKU明细'!$CI$11:$CI$1309,MATCH("1S01-LMN-37.5",'SKU明细'!$A$11:$A$1309,0)),INDEX('SKU明细'!$CI$11:$CI$1309,MATCH("1S01-LMN-38",'SKU明细'!$A$11:$A$1309,0)),INDEX('SKU明细'!$CI$11:$CI$1309,MATCH("1S01-LMN-38.5",'SKU明细'!$A$11:$A$1309,0)),INDEX('SKU明细'!$CI$11:$CI$1309,MATCH("1S01-LMN-39",'SKU明细'!$A$11:$A$1309,0)),INDEX('SKU明细'!$CI$11:$CI$1309,MATCH("1S01-LMN-39.5",'SKU明细'!$A$11:$A$1309,0)),INDEX('SKU明细'!$CI$11:$CI$1309,MATCH("1S01-LMN-40",'SKU明细'!$A$11:$A$1309,0)),INDEX('SKU明细'!$CI$11:$CI$1309,MATCH("1S01-LMN-40.5",'SKU明细'!$A$11:$A$1309,0)),INDEX('SKU明细'!$CI$11:$CI$1309,MATCH("1S01-LMN-41-FX",'SKU明细'!$A$11:$A$1309,0)),INDEX('SKU明细'!$CI$11:$CI$1309,MATCH("1S01-LMN-41.5",'SKU明细'!$A$11:$A$1309,0)),INDEX('SKU明细'!$CI$11:$CI$1309,MATCH("1S01-LMN-42-FX",'SKU明细'!$A$11:$A$1309,0)))=12,SUM(INDEX('SKU明细'!$CI$11:$CI$1309,MATCH("1S01-LMN-36",'SKU明细'!$A$11:$A$1309,0)),INDEX('SKU明细'!$CI$11:$CI$1309,MATCH("1S01-LMN-37",'SKU明细'!$A$11:$A$1309,0)),INDEX('SKU明细'!$CI$11:$CI$1309,MATCH("1S01-LMN-37.5",'SKU明细'!$A$11:$A$1309,0)),INDEX('SKU明细'!$CI$11:$CI$1309,MATCH("1S01-LMN-38",'SKU明细'!$A$11:$A$1309,0)),INDEX('SKU明细'!$CI$11:$CI$1309,MATCH("1S01-LMN-38.5",'SKU明细'!$A$11:$A$1309,0)),INDEX('SKU明细'!$CI$11:$CI$1309,MATCH("1S01-LMN-39",'SKU明细'!$A$11:$A$1309,0)),INDEX('SKU明细'!$CI$11:$CI$1309,MATCH("1S01-LMN-39.5",'SKU明细'!$A$11:$A$1309,0)),INDEX('SKU明细'!$CI$11:$CI$1309,MATCH("1S01-LMN-40",'SKU明细'!$A$11:$A$1309,0)),INDEX('SKU明细'!$CI$11:$CI$1309,MATCH("1S01-LMN-40.5",'SKU明细'!$A$11:$A$1309,0)),INDEX('SKU明细'!$CI$11:$CI$1309,MATCH("1S01-LMN-41-FX",'SKU明细'!$A$11:$A$1309,0)),INDEX('SKU明细'!$CI$11:$CI$1309,MATCH("1S01-LMN-41.5",'SKU明细'!$A$11:$A$1309,0)),INDEX('SKU明细'!$CI$11:$CI$1309,MATCH("1S01-LMN-42-FX",'SKU明细'!$A$11:$A$1309,0))),"待核")</x:f>
        <x:v>187.7611667334493</x:v>
      </x:c>
    </x:row>
    <x:row r="130" ht="40" customHeight="1">
      <x:c r="A130" s="37" t="str">
        <x:v>1S01</x:v>
      </x:c>
      <x:c r="B130" s="37" t="str">
        <x:v>徐新怡</x:v>
      </x:c>
      <x:c r="C130" s="37" t="str">
        <x:v>香芋紫</x:v>
      </x:c>
      <x:c r="D130" s="37" t="str">
        <x:v>LP</x:v>
      </x:c>
      <x:c r="E130" s="37" t="str">
        <x:v>1S01-LP</x:v>
      </x:c>
      <x:c r="F130" s="37"/>
      <x:c r="G130" s="38" t="n">
        <x:f>IF(COUNT(INDEX('SKU明细'!$D$11:$D$1309,MATCH("1S01-LP-36",'SKU明细'!$A$11:$A$1309,0)))=0,"待核",IF(COUNT(INDEX('SKU明细'!$D$11:$D$1309,MATCH("1S01-LP-36",'SKU明细'!$A$11:$A$1309,0)))&lt;1,SUM(INDEX('SKU明细'!$D$11:$D$1309,MATCH("1S01-LP-36",'SKU明细'!$A$11:$A$1309,0)))&amp;" + 待核",SUM(INDEX('SKU明细'!$D$11:$D$1309,MATCH("1S01-LP-36",'SKU明细'!$A$11:$A$1309,0)))))</x:f>
        <x:v>0</x:v>
      </x:c>
      <x:c r="H130" s="38" t="n">
        <x:f>IF(COUNT(INDEX('SKU明细'!$D$11:$D$1309,MATCH("1S01-LP-37",'SKU明细'!$A$11:$A$1309,0)))=0,"待核",IF(COUNT(INDEX('SKU明细'!$D$11:$D$1309,MATCH("1S01-LP-37",'SKU明细'!$A$11:$A$1309,0)))&lt;1,SUM(INDEX('SKU明细'!$D$11:$D$1309,MATCH("1S01-LP-37",'SKU明细'!$A$11:$A$1309,0)))&amp;" + 待核",SUM(INDEX('SKU明细'!$D$11:$D$1309,MATCH("1S01-LP-37",'SKU明细'!$A$11:$A$1309,0)))))</x:f>
        <x:v>0</x:v>
      </x:c>
      <x:c r="I130" s="38" t="n">
        <x:f>IF(COUNT(INDEX('SKU明细'!$D$11:$D$1309,MATCH("1S01-LP-37.5",'SKU明细'!$A$11:$A$1309,0)))=0,"待核",IF(COUNT(INDEX('SKU明细'!$D$11:$D$1309,MATCH("1S01-LP-37.5",'SKU明细'!$A$11:$A$1309,0)))&lt;1,SUM(INDEX('SKU明细'!$D$11:$D$1309,MATCH("1S01-LP-37.5",'SKU明细'!$A$11:$A$1309,0)))&amp;" + 待核",SUM(INDEX('SKU明细'!$D$11:$D$1309,MATCH("1S01-LP-37.5",'SKU明细'!$A$11:$A$1309,0)))))</x:f>
        <x:v>0</x:v>
      </x:c>
      <x:c r="J130" s="38" t="n">
        <x:f>IF(COUNT(INDEX('SKU明细'!$D$11:$D$1309,MATCH("1S01-LP-38",'SKU明细'!$A$11:$A$1309,0)))=0,"待核",IF(COUNT(INDEX('SKU明细'!$D$11:$D$1309,MATCH("1S01-LP-38",'SKU明细'!$A$11:$A$1309,0)))&lt;1,SUM(INDEX('SKU明细'!$D$11:$D$1309,MATCH("1S01-LP-38",'SKU明细'!$A$11:$A$1309,0)))&amp;" + 待核",SUM(INDEX('SKU明细'!$D$11:$D$1309,MATCH("1S01-LP-38",'SKU明细'!$A$11:$A$1309,0)))))</x:f>
        <x:v>0</x:v>
      </x:c>
      <x:c r="K130" s="38" t="n">
        <x:f>IF(COUNT(INDEX('SKU明细'!$D$11:$D$1309,MATCH("1S01-LP-38.5",'SKU明细'!$A$11:$A$1309,0)))=0,"待核",IF(COUNT(INDEX('SKU明细'!$D$11:$D$1309,MATCH("1S01-LP-38.5",'SKU明细'!$A$11:$A$1309,0)))&lt;1,SUM(INDEX('SKU明细'!$D$11:$D$1309,MATCH("1S01-LP-38.5",'SKU明细'!$A$11:$A$1309,0)))&amp;" + 待核",SUM(INDEX('SKU明细'!$D$11:$D$1309,MATCH("1S01-LP-38.5",'SKU明细'!$A$11:$A$1309,0)))))</x:f>
        <x:v>0</x:v>
      </x:c>
      <x:c r="L130" s="38" t="n">
        <x:f>IF(COUNT(INDEX('SKU明细'!$D$11:$D$1309,MATCH("1S01-LP-39",'SKU明细'!$A$11:$A$1309,0)))=0,"待核",IF(COUNT(INDEX('SKU明细'!$D$11:$D$1309,MATCH("1S01-LP-39",'SKU明细'!$A$11:$A$1309,0)))&lt;1,SUM(INDEX('SKU明细'!$D$11:$D$1309,MATCH("1S01-LP-39",'SKU明细'!$A$11:$A$1309,0)))&amp;" + 待核",SUM(INDEX('SKU明细'!$D$11:$D$1309,MATCH("1S01-LP-39",'SKU明细'!$A$11:$A$1309,0)))))</x:f>
        <x:v>0</x:v>
      </x:c>
      <x:c r="M130" s="38" t="n">
        <x:f>IF(COUNT(INDEX('SKU明细'!$D$11:$D$1309,MATCH("1S01-LP-39.5",'SKU明细'!$A$11:$A$1309,0)))=0,"待核",IF(COUNT(INDEX('SKU明细'!$D$11:$D$1309,MATCH("1S01-LP-39.5",'SKU明细'!$A$11:$A$1309,0)))&lt;1,SUM(INDEX('SKU明细'!$D$11:$D$1309,MATCH("1S01-LP-39.5",'SKU明细'!$A$11:$A$1309,0)))&amp;" + 待核",SUM(INDEX('SKU明细'!$D$11:$D$1309,MATCH("1S01-LP-39.5",'SKU明细'!$A$11:$A$1309,0)))))</x:f>
        <x:v>0</x:v>
      </x:c>
      <x:c r="N130" s="38" t="n">
        <x:f>IF(COUNT(INDEX('SKU明细'!$D$11:$D$1309,MATCH("1S01-LP-40",'SKU明细'!$A$11:$A$1309,0)))=0,"待核",IF(COUNT(INDEX('SKU明细'!$D$11:$D$1309,MATCH("1S01-LP-40",'SKU明细'!$A$11:$A$1309,0)))&lt;1,SUM(INDEX('SKU明细'!$D$11:$D$1309,MATCH("1S01-LP-40",'SKU明细'!$A$11:$A$1309,0)))&amp;" + 待核",SUM(INDEX('SKU明细'!$D$11:$D$1309,MATCH("1S01-LP-40",'SKU明细'!$A$11:$A$1309,0)))))</x:f>
        <x:v>0</x:v>
      </x:c>
      <x:c r="O130" s="38" t="n">
        <x:f>IF(COUNT(INDEX('SKU明细'!$D$11:$D$1309,MATCH("1S01-LP-40.5",'SKU明细'!$A$11:$A$1309,0)))=0,"待核",IF(COUNT(INDEX('SKU明细'!$D$11:$D$1309,MATCH("1S01-LP-40.5",'SKU明细'!$A$11:$A$1309,0)))&lt;1,SUM(INDEX('SKU明细'!$D$11:$D$1309,MATCH("1S01-LP-40.5",'SKU明细'!$A$11:$A$1309,0)))&amp;" + 待核",SUM(INDEX('SKU明细'!$D$11:$D$1309,MATCH("1S01-LP-40.5",'SKU明细'!$A$11:$A$1309,0)))))</x:f>
        <x:v>0</x:v>
      </x:c>
      <x:c r="P130" s="38" t="n">
        <x:f>IF(COUNT(INDEX('SKU明细'!$D$11:$D$1309,MATCH("1S01-LP-41",'SKU明细'!$A$11:$A$1309,0)))=0,"待核",IF(COUNT(INDEX('SKU明细'!$D$11:$D$1309,MATCH("1S01-LP-41",'SKU明细'!$A$11:$A$1309,0)))&lt;1,SUM(INDEX('SKU明细'!$D$11:$D$1309,MATCH("1S01-LP-41",'SKU明细'!$A$11:$A$1309,0)))&amp;" + 待核",SUM(INDEX('SKU明细'!$D$11:$D$1309,MATCH("1S01-LP-41",'SKU明细'!$A$11:$A$1309,0)))))</x:f>
        <x:v>0</x:v>
      </x:c>
      <x:c r="Q130" s="38" t="n">
        <x:f>IF(COUNT(INDEX('SKU明细'!$D$11:$D$1309,MATCH("1S01-LP-41.5",'SKU明细'!$A$11:$A$1309,0)))=0,"待核",IF(COUNT(INDEX('SKU明细'!$D$11:$D$1309,MATCH("1S01-LP-41.5",'SKU明细'!$A$11:$A$1309,0)))&lt;1,SUM(INDEX('SKU明细'!$D$11:$D$1309,MATCH("1S01-LP-41.5",'SKU明细'!$A$11:$A$1309,0)))&amp;" + 待核",SUM(INDEX('SKU明细'!$D$11:$D$1309,MATCH("1S01-LP-41.5",'SKU明细'!$A$11:$A$1309,0)))))</x:f>
        <x:v>0</x:v>
      </x:c>
      <x:c r="R130" s="38" t="n">
        <x:f>IF(COUNT(INDEX('SKU明细'!$D$11:$D$1309,MATCH("1S01-LP-42",'SKU明细'!$A$11:$A$1309,0)))=0,"待核",IF(COUNT(INDEX('SKU明细'!$D$11:$D$1309,MATCH("1S01-LP-42",'SKU明细'!$A$11:$A$1309,0)))&lt;1,SUM(INDEX('SKU明细'!$D$11:$D$1309,MATCH("1S01-LP-42",'SKU明细'!$A$11:$A$1309,0)))&amp;" + 待核",SUM(INDEX('SKU明细'!$D$11:$D$1309,MATCH("1S01-LP-42",'SKU明细'!$A$11:$A$1309,0)))))</x:f>
        <x:v>0</x:v>
      </x:c>
      <x:c r="S130" s="38" t="n">
        <x:f>IF(COUNT(INDEX('SKU明细'!$D$11:$D$1309,MATCH("1S01-LP-36",'SKU明细'!$A$11:$A$1309,0)),INDEX('SKU明细'!$D$11:$D$1309,MATCH("1S01-LP-37",'SKU明细'!$A$11:$A$1309,0)),INDEX('SKU明细'!$D$11:$D$1309,MATCH("1S01-LP-37.5",'SKU明细'!$A$11:$A$1309,0)),INDEX('SKU明细'!$D$11:$D$1309,MATCH("1S01-LP-38",'SKU明细'!$A$11:$A$1309,0)),INDEX('SKU明细'!$D$11:$D$1309,MATCH("1S01-LP-38.5",'SKU明细'!$A$11:$A$1309,0)),INDEX('SKU明细'!$D$11:$D$1309,MATCH("1S01-LP-39",'SKU明细'!$A$11:$A$1309,0)),INDEX('SKU明细'!$D$11:$D$1309,MATCH("1S01-LP-39.5",'SKU明细'!$A$11:$A$1309,0)),INDEX('SKU明细'!$D$11:$D$1309,MATCH("1S01-LP-40",'SKU明细'!$A$11:$A$1309,0)),INDEX('SKU明细'!$D$11:$D$1309,MATCH("1S01-LP-40.5",'SKU明细'!$A$11:$A$1309,0)),INDEX('SKU明细'!$D$11:$D$1309,MATCH("1S01-LP-41",'SKU明细'!$A$11:$A$1309,0)),INDEX('SKU明细'!$D$11:$D$1309,MATCH("1S01-LP-41.5",'SKU明细'!$A$11:$A$1309,0)),INDEX('SKU明细'!$D$11:$D$1309,MATCH("1S01-LP-42",'SKU明细'!$A$11:$A$1309,0)))=0,"待核",SUM(INDEX('SKU明细'!$D$11:$D$1309,MATCH("1S01-LP-36",'SKU明细'!$A$11:$A$1309,0)),INDEX('SKU明细'!$D$11:$D$1309,MATCH("1S01-LP-37",'SKU明细'!$A$11:$A$1309,0)),INDEX('SKU明细'!$D$11:$D$1309,MATCH("1S01-LP-37.5",'SKU明细'!$A$11:$A$1309,0)),INDEX('SKU明细'!$D$11:$D$1309,MATCH("1S01-LP-38",'SKU明细'!$A$11:$A$1309,0)),INDEX('SKU明细'!$D$11:$D$1309,MATCH("1S01-LP-38.5",'SKU明细'!$A$11:$A$1309,0)),INDEX('SKU明细'!$D$11:$D$1309,MATCH("1S01-LP-39",'SKU明细'!$A$11:$A$1309,0)),INDEX('SKU明细'!$D$11:$D$1309,MATCH("1S01-LP-39.5",'SKU明细'!$A$11:$A$1309,0)),INDEX('SKU明细'!$D$11:$D$1309,MATCH("1S01-LP-40",'SKU明细'!$A$11:$A$1309,0)),INDEX('SKU明细'!$D$11:$D$1309,MATCH("1S01-LP-40.5",'SKU明细'!$A$11:$A$1309,0)),INDEX('SKU明细'!$D$11:$D$1309,MATCH("1S01-LP-41",'SKU明细'!$A$11:$A$1309,0)),INDEX('SKU明细'!$D$11:$D$1309,MATCH("1S01-LP-41.5",'SKU明细'!$A$11:$A$1309,0)),INDEX('SKU明细'!$D$11:$D$1309,MATCH("1S01-LP-42",'SKU明细'!$A$11:$A$1309,0))))</x:f>
        <x:v>0</x:v>
      </x:c>
      <x:c r="T130" s="38" t="n">
        <x:f>IF(COUNTIFS($A$9:$A$191,A130,$U$9:$U$191,"&lt;&gt;待核")=0,"待核",SUMIF($A$9:$A$191,A130,$S$9:$S$191))</x:f>
        <x:v>141</x:v>
      </x:c>
      <x:c r="U130" s="37" t="str">
        <x:f>IF(COUNT(INDEX('SKU明细'!$D$11:$D$1309,MATCH("1S01-LP-36",'SKU明细'!$A$11:$A$1309,0)),INDEX('SKU明细'!$D$11:$D$1309,MATCH("1S01-LP-37",'SKU明细'!$A$11:$A$1309,0)),INDEX('SKU明细'!$D$11:$D$1309,MATCH("1S01-LP-37.5",'SKU明细'!$A$11:$A$1309,0)),INDEX('SKU明细'!$D$11:$D$1309,MATCH("1S01-LP-38",'SKU明细'!$A$11:$A$1309,0)),INDEX('SKU明细'!$D$11:$D$1309,MATCH("1S01-LP-38.5",'SKU明细'!$A$11:$A$1309,0)),INDEX('SKU明细'!$D$11:$D$1309,MATCH("1S01-LP-39",'SKU明细'!$A$11:$A$1309,0)),INDEX('SKU明细'!$D$11:$D$1309,MATCH("1S01-LP-39.5",'SKU明细'!$A$11:$A$1309,0)),INDEX('SKU明细'!$D$11:$D$1309,MATCH("1S01-LP-40",'SKU明细'!$A$11:$A$1309,0)),INDEX('SKU明细'!$D$11:$D$1309,MATCH("1S01-LP-40.5",'SKU明细'!$A$11:$A$1309,0)),INDEX('SKU明细'!$D$11:$D$1309,MATCH("1S01-LP-41",'SKU明细'!$A$11:$A$1309,0)),INDEX('SKU明细'!$D$11:$D$1309,MATCH("1S01-LP-41.5",'SKU明细'!$A$11:$A$1309,0)),INDEX('SKU明细'!$D$11:$D$1309,MATCH("1S01-LP-42",'SKU明细'!$A$11:$A$1309,0)))=0,"待核",IF(COUNT(INDEX('SKU明细'!$D$11:$D$1309,MATCH("1S01-LP-36",'SKU明细'!$A$11:$A$1309,0)),INDEX('SKU明细'!$D$11:$D$1309,MATCH("1S01-LP-37",'SKU明细'!$A$11:$A$1309,0)),INDEX('SKU明细'!$D$11:$D$1309,MATCH("1S01-LP-37.5",'SKU明细'!$A$11:$A$1309,0)),INDEX('SKU明细'!$D$11:$D$1309,MATCH("1S01-LP-38",'SKU明细'!$A$11:$A$1309,0)),INDEX('SKU明细'!$D$11:$D$1309,MATCH("1S01-LP-38.5",'SKU明细'!$A$11:$A$1309,0)),INDEX('SKU明细'!$D$11:$D$1309,MATCH("1S01-LP-39",'SKU明细'!$A$11:$A$1309,0)),INDEX('SKU明细'!$D$11:$D$1309,MATCH("1S01-LP-39.5",'SKU明细'!$A$11:$A$1309,0)),INDEX('SKU明细'!$D$11:$D$1309,MATCH("1S01-LP-40",'SKU明细'!$A$11:$A$1309,0)),INDEX('SKU明细'!$D$11:$D$1309,MATCH("1S01-LP-40.5",'SKU明细'!$A$11:$A$1309,0)),INDEX('SKU明细'!$D$11:$D$1309,MATCH("1S01-LP-41",'SKU明细'!$A$11:$A$1309,0)),INDEX('SKU明细'!$D$11:$D$1309,MATCH("1S01-LP-41.5",'SKU明细'!$A$11:$A$1309,0)),INDEX('SKU明细'!$D$11:$D$1309,MATCH("1S01-LP-42",'SKU明细'!$A$11:$A$1309,0)))&lt;12,"另有待核","已核"))</x:f>
        <x:v>已核</x:v>
      </x:c>
      <x:c r="V130" s="37" t="str">
        <x:v>停售、在售</x:v>
      </x:c>
      <x:c r="W130" s="11" t="n">
        <x:f>IF(COUNT(INDEX('SKU明细'!$BV$11:$BV$1309,MATCH("1S01-LP-36",'SKU明细'!$A$11:$A$1309,0)),INDEX('SKU明细'!$BV$11:$BV$1309,MATCH("1S01-LP-37",'SKU明细'!$A$11:$A$1309,0)),INDEX('SKU明细'!$BV$11:$BV$1309,MATCH("1S01-LP-37.5",'SKU明细'!$A$11:$A$1309,0)),INDEX('SKU明细'!$BV$11:$BV$1309,MATCH("1S01-LP-38",'SKU明细'!$A$11:$A$1309,0)),INDEX('SKU明细'!$BV$11:$BV$1309,MATCH("1S01-LP-38.5",'SKU明细'!$A$11:$A$1309,0)),INDEX('SKU明细'!$BV$11:$BV$1309,MATCH("1S01-LP-39",'SKU明细'!$A$11:$A$1309,0)),INDEX('SKU明细'!$BV$11:$BV$1309,MATCH("1S01-LP-39.5",'SKU明细'!$A$11:$A$1309,0)),INDEX('SKU明细'!$BV$11:$BV$1309,MATCH("1S01-LP-40",'SKU明细'!$A$11:$A$1309,0)),INDEX('SKU明细'!$BV$11:$BV$1309,MATCH("1S01-LP-40.5",'SKU明细'!$A$11:$A$1309,0)),INDEX('SKU明细'!$BV$11:$BV$1309,MATCH("1S01-LP-41",'SKU明细'!$A$11:$A$1309,0)),INDEX('SKU明细'!$BV$11:$BV$1309,MATCH("1S01-LP-41.5",'SKU明细'!$A$11:$A$1309,0)),INDEX('SKU明细'!$BV$11:$BV$1309,MATCH("1S01-LP-42",'SKU明细'!$A$11:$A$1309,0)))=12,SUM(INDEX('SKU明细'!$BV$11:$BV$1309,MATCH("1S01-LP-36",'SKU明细'!$A$11:$A$1309,0)),INDEX('SKU明细'!$BV$11:$BV$1309,MATCH("1S01-LP-37",'SKU明细'!$A$11:$A$1309,0)),INDEX('SKU明细'!$BV$11:$BV$1309,MATCH("1S01-LP-37.5",'SKU明细'!$A$11:$A$1309,0)),INDEX('SKU明细'!$BV$11:$BV$1309,MATCH("1S01-LP-38",'SKU明细'!$A$11:$A$1309,0)),INDEX('SKU明细'!$BV$11:$BV$1309,MATCH("1S01-LP-38.5",'SKU明细'!$A$11:$A$1309,0)),INDEX('SKU明细'!$BV$11:$BV$1309,MATCH("1S01-LP-39",'SKU明细'!$A$11:$A$1309,0)),INDEX('SKU明细'!$BV$11:$BV$1309,MATCH("1S01-LP-39.5",'SKU明细'!$A$11:$A$1309,0)),INDEX('SKU明细'!$BV$11:$BV$1309,MATCH("1S01-LP-40",'SKU明细'!$A$11:$A$1309,0)),INDEX('SKU明细'!$BV$11:$BV$1309,MATCH("1S01-LP-40.5",'SKU明细'!$A$11:$A$1309,0)),INDEX('SKU明细'!$BV$11:$BV$1309,MATCH("1S01-LP-41",'SKU明细'!$A$11:$A$1309,0)),INDEX('SKU明细'!$BV$11:$BV$1309,MATCH("1S01-LP-41.5",'SKU明细'!$A$11:$A$1309,0)),INDEX('SKU明细'!$BV$11:$BV$1309,MATCH("1S01-LP-42",'SKU明细'!$A$11:$A$1309,0))),"待核")</x:f>
        <x:v>0</x:v>
      </x:c>
      <x:c r="X130" s="11" t="n">
        <x:f>INDEX('SKU明细'!$BW$11:$BW$1309,MATCH("1S01-LP-36",'SKU明细'!$A$11:$A$1309,0))</x:f>
        <x:v>0.8729500662042875</x:v>
      </x:c>
      <x:c r="Y130" s="13" t="n">
        <x:f>IF(COUNT(INDEX('SKU明细'!$BY$11:$BY$1309,MATCH("1S01-LP-36",'SKU明细'!$A$11:$A$1309,0)),INDEX('SKU明细'!$BY$11:$BY$1309,MATCH("1S01-LP-37",'SKU明细'!$A$11:$A$1309,0)),INDEX('SKU明细'!$BY$11:$BY$1309,MATCH("1S01-LP-37.5",'SKU明细'!$A$11:$A$1309,0)),INDEX('SKU明细'!$BY$11:$BY$1309,MATCH("1S01-LP-38",'SKU明细'!$A$11:$A$1309,0)),INDEX('SKU明细'!$BY$11:$BY$1309,MATCH("1S01-LP-38.5",'SKU明细'!$A$11:$A$1309,0)),INDEX('SKU明细'!$BY$11:$BY$1309,MATCH("1S01-LP-39",'SKU明细'!$A$11:$A$1309,0)),INDEX('SKU明细'!$BY$11:$BY$1309,MATCH("1S01-LP-39.5",'SKU明细'!$A$11:$A$1309,0)),INDEX('SKU明细'!$BY$11:$BY$1309,MATCH("1S01-LP-40",'SKU明细'!$A$11:$A$1309,0)),INDEX('SKU明细'!$BY$11:$BY$1309,MATCH("1S01-LP-40.5",'SKU明细'!$A$11:$A$1309,0)),INDEX('SKU明细'!$BY$11:$BY$1309,MATCH("1S01-LP-41",'SKU明细'!$A$11:$A$1309,0)),INDEX('SKU明细'!$BY$11:$BY$1309,MATCH("1S01-LP-41.5",'SKU明细'!$A$11:$A$1309,0)),INDEX('SKU明细'!$BY$11:$BY$1309,MATCH("1S01-LP-42",'SKU明细'!$A$11:$A$1309,0)))=12,SUM(INDEX('SKU明细'!$BY$11:$BY$1309,MATCH("1S01-LP-36",'SKU明细'!$A$11:$A$1309,0)),INDEX('SKU明细'!$BY$11:$BY$1309,MATCH("1S01-LP-37",'SKU明细'!$A$11:$A$1309,0)),INDEX('SKU明细'!$BY$11:$BY$1309,MATCH("1S01-LP-37.5",'SKU明细'!$A$11:$A$1309,0)),INDEX('SKU明细'!$BY$11:$BY$1309,MATCH("1S01-LP-38",'SKU明细'!$A$11:$A$1309,0)),INDEX('SKU明细'!$BY$11:$BY$1309,MATCH("1S01-LP-38.5",'SKU明细'!$A$11:$A$1309,0)),INDEX('SKU明细'!$BY$11:$BY$1309,MATCH("1S01-LP-39",'SKU明细'!$A$11:$A$1309,0)),INDEX('SKU明细'!$BY$11:$BY$1309,MATCH("1S01-LP-39.5",'SKU明细'!$A$11:$A$1309,0)),INDEX('SKU明细'!$BY$11:$BY$1309,MATCH("1S01-LP-40",'SKU明细'!$A$11:$A$1309,0)),INDEX('SKU明细'!$BY$11:$BY$1309,MATCH("1S01-LP-40.5",'SKU明细'!$A$11:$A$1309,0)),INDEX('SKU明细'!$BY$11:$BY$1309,MATCH("1S01-LP-41",'SKU明细'!$A$11:$A$1309,0)),INDEX('SKU明细'!$BY$11:$BY$1309,MATCH("1S01-LP-41.5",'SKU明细'!$A$11:$A$1309,0)),INDEX('SKU明细'!$BY$11:$BY$1309,MATCH("1S01-LP-42",'SKU明细'!$A$11:$A$1309,0))),"待核")</x:f>
        <x:v>0</x:v>
      </x:c>
      <x:c r="Z130" s="11" t="n">
        <x:f>INDEX('SKU明细'!$BZ$11:$BZ$1309,MATCH("1S01-LP-36",'SKU明细'!$A$11:$A$1309,0))</x:f>
        <x:v>0.8057375774163482</x:v>
      </x:c>
      <x:c r="AA130" s="13" t="n">
        <x:f>IF(COUNT(INDEX('SKU明细'!$CB$11:$CB$1309,MATCH("1S01-LP-36",'SKU明细'!$A$11:$A$1309,0)),INDEX('SKU明细'!$CB$11:$CB$1309,MATCH("1S01-LP-37",'SKU明细'!$A$11:$A$1309,0)),INDEX('SKU明细'!$CB$11:$CB$1309,MATCH("1S01-LP-37.5",'SKU明细'!$A$11:$A$1309,0)),INDEX('SKU明细'!$CB$11:$CB$1309,MATCH("1S01-LP-38",'SKU明细'!$A$11:$A$1309,0)),INDEX('SKU明细'!$CB$11:$CB$1309,MATCH("1S01-LP-38.5",'SKU明细'!$A$11:$A$1309,0)),INDEX('SKU明细'!$CB$11:$CB$1309,MATCH("1S01-LP-39",'SKU明细'!$A$11:$A$1309,0)),INDEX('SKU明细'!$CB$11:$CB$1309,MATCH("1S01-LP-39.5",'SKU明细'!$A$11:$A$1309,0)),INDEX('SKU明细'!$CB$11:$CB$1309,MATCH("1S01-LP-40",'SKU明细'!$A$11:$A$1309,0)),INDEX('SKU明细'!$CB$11:$CB$1309,MATCH("1S01-LP-40.5",'SKU明细'!$A$11:$A$1309,0)),INDEX('SKU明细'!$CB$11:$CB$1309,MATCH("1S01-LP-41",'SKU明细'!$A$11:$A$1309,0)),INDEX('SKU明细'!$CB$11:$CB$1309,MATCH("1S01-LP-41.5",'SKU明细'!$A$11:$A$1309,0)),INDEX('SKU明细'!$CB$11:$CB$1309,MATCH("1S01-LP-42",'SKU明细'!$A$11:$A$1309,0)))=12,SUM(INDEX('SKU明细'!$CB$11:$CB$1309,MATCH("1S01-LP-36",'SKU明细'!$A$11:$A$1309,0)),INDEX('SKU明细'!$CB$11:$CB$1309,MATCH("1S01-LP-37",'SKU明细'!$A$11:$A$1309,0)),INDEX('SKU明细'!$CB$11:$CB$1309,MATCH("1S01-LP-37.5",'SKU明细'!$A$11:$A$1309,0)),INDEX('SKU明细'!$CB$11:$CB$1309,MATCH("1S01-LP-38",'SKU明细'!$A$11:$A$1309,0)),INDEX('SKU明细'!$CB$11:$CB$1309,MATCH("1S01-LP-38.5",'SKU明细'!$A$11:$A$1309,0)),INDEX('SKU明细'!$CB$11:$CB$1309,MATCH("1S01-LP-39",'SKU明细'!$A$11:$A$1309,0)),INDEX('SKU明细'!$CB$11:$CB$1309,MATCH("1S01-LP-39.5",'SKU明细'!$A$11:$A$1309,0)),INDEX('SKU明细'!$CB$11:$CB$1309,MATCH("1S01-LP-40",'SKU明细'!$A$11:$A$1309,0)),INDEX('SKU明细'!$CB$11:$CB$1309,MATCH("1S01-LP-40.5",'SKU明细'!$A$11:$A$1309,0)),INDEX('SKU明细'!$CB$11:$CB$1309,MATCH("1S01-LP-41",'SKU明细'!$A$11:$A$1309,0)),INDEX('SKU明细'!$CB$11:$CB$1309,MATCH("1S01-LP-41.5",'SKU明细'!$A$11:$A$1309,0)),INDEX('SKU明细'!$CB$11:$CB$1309,MATCH("1S01-LP-42",'SKU明细'!$A$11:$A$1309,0))),"待核")</x:f>
        <x:v>0</x:v>
      </x:c>
      <x:c r="AB130" s="11" t="n">
        <x:f>INDEX('SKU明细'!$CC$11:$CC$1309,MATCH("1S01-LP-36",'SKU明细'!$A$11:$A$1309,0))</x:f>
        <x:v>0.532550303142279</x:v>
      </x:c>
      <x:c r="AC130" s="13" t="n">
        <x:f>IF(COUNT(INDEX('SKU明细'!$CE$11:$CE$1309,MATCH("1S01-LP-36",'SKU明细'!$A$11:$A$1309,0)),INDEX('SKU明细'!$CE$11:$CE$1309,MATCH("1S01-LP-37",'SKU明细'!$A$11:$A$1309,0)),INDEX('SKU明细'!$CE$11:$CE$1309,MATCH("1S01-LP-37.5",'SKU明细'!$A$11:$A$1309,0)),INDEX('SKU明细'!$CE$11:$CE$1309,MATCH("1S01-LP-38",'SKU明细'!$A$11:$A$1309,0)),INDEX('SKU明细'!$CE$11:$CE$1309,MATCH("1S01-LP-38.5",'SKU明细'!$A$11:$A$1309,0)),INDEX('SKU明细'!$CE$11:$CE$1309,MATCH("1S01-LP-39",'SKU明细'!$A$11:$A$1309,0)),INDEX('SKU明细'!$CE$11:$CE$1309,MATCH("1S01-LP-39.5",'SKU明细'!$A$11:$A$1309,0)),INDEX('SKU明细'!$CE$11:$CE$1309,MATCH("1S01-LP-40",'SKU明细'!$A$11:$A$1309,0)),INDEX('SKU明细'!$CE$11:$CE$1309,MATCH("1S01-LP-40.5",'SKU明细'!$A$11:$A$1309,0)),INDEX('SKU明细'!$CE$11:$CE$1309,MATCH("1S01-LP-41",'SKU明细'!$A$11:$A$1309,0)),INDEX('SKU明细'!$CE$11:$CE$1309,MATCH("1S01-LP-41.5",'SKU明细'!$A$11:$A$1309,0)),INDEX('SKU明细'!$CE$11:$CE$1309,MATCH("1S01-LP-42",'SKU明细'!$A$11:$A$1309,0)))=12,SUM(INDEX('SKU明细'!$CE$11:$CE$1309,MATCH("1S01-LP-36",'SKU明细'!$A$11:$A$1309,0)),INDEX('SKU明细'!$CE$11:$CE$1309,MATCH("1S01-LP-37",'SKU明细'!$A$11:$A$1309,0)),INDEX('SKU明细'!$CE$11:$CE$1309,MATCH("1S01-LP-37.5",'SKU明细'!$A$11:$A$1309,0)),INDEX('SKU明细'!$CE$11:$CE$1309,MATCH("1S01-LP-38",'SKU明细'!$A$11:$A$1309,0)),INDEX('SKU明细'!$CE$11:$CE$1309,MATCH("1S01-LP-38.5",'SKU明细'!$A$11:$A$1309,0)),INDEX('SKU明细'!$CE$11:$CE$1309,MATCH("1S01-LP-39",'SKU明细'!$A$11:$A$1309,0)),INDEX('SKU明细'!$CE$11:$CE$1309,MATCH("1S01-LP-39.5",'SKU明细'!$A$11:$A$1309,0)),INDEX('SKU明细'!$CE$11:$CE$1309,MATCH("1S01-LP-40",'SKU明细'!$A$11:$A$1309,0)),INDEX('SKU明细'!$CE$11:$CE$1309,MATCH("1S01-LP-40.5",'SKU明细'!$A$11:$A$1309,0)),INDEX('SKU明细'!$CE$11:$CE$1309,MATCH("1S01-LP-41",'SKU明细'!$A$11:$A$1309,0)),INDEX('SKU明细'!$CE$11:$CE$1309,MATCH("1S01-LP-41.5",'SKU明细'!$A$11:$A$1309,0)),INDEX('SKU明细'!$CE$11:$CE$1309,MATCH("1S01-LP-42",'SKU明细'!$A$11:$A$1309,0))),"待核")</x:f>
        <x:v>0</x:v>
      </x:c>
      <x:c r="AD130" s="11" t="n">
        <x:f>INDEX('SKU明细'!$CF$11:$CF$1309,MATCH("1S01-LP-36",'SKU明细'!$A$11:$A$1309,0))</x:f>
        <x:v>0.7517299265337036</x:v>
      </x:c>
      <x:c r="AE130" s="13" t="n">
        <x:f>IF(COUNT(INDEX('SKU明细'!$CH$11:$CH$1309,MATCH("1S01-LP-36",'SKU明细'!$A$11:$A$1309,0)),INDEX('SKU明细'!$CH$11:$CH$1309,MATCH("1S01-LP-37",'SKU明细'!$A$11:$A$1309,0)),INDEX('SKU明细'!$CH$11:$CH$1309,MATCH("1S01-LP-37.5",'SKU明细'!$A$11:$A$1309,0)),INDEX('SKU明细'!$CH$11:$CH$1309,MATCH("1S01-LP-38",'SKU明细'!$A$11:$A$1309,0)),INDEX('SKU明细'!$CH$11:$CH$1309,MATCH("1S01-LP-38.5",'SKU明细'!$A$11:$A$1309,0)),INDEX('SKU明细'!$CH$11:$CH$1309,MATCH("1S01-LP-39",'SKU明细'!$A$11:$A$1309,0)),INDEX('SKU明细'!$CH$11:$CH$1309,MATCH("1S01-LP-39.5",'SKU明细'!$A$11:$A$1309,0)),INDEX('SKU明细'!$CH$11:$CH$1309,MATCH("1S01-LP-40",'SKU明细'!$A$11:$A$1309,0)),INDEX('SKU明细'!$CH$11:$CH$1309,MATCH("1S01-LP-40.5",'SKU明细'!$A$11:$A$1309,0)),INDEX('SKU明细'!$CH$11:$CH$1309,MATCH("1S01-LP-41",'SKU明细'!$A$11:$A$1309,0)),INDEX('SKU明细'!$CH$11:$CH$1309,MATCH("1S01-LP-41.5",'SKU明细'!$A$11:$A$1309,0)),INDEX('SKU明细'!$CH$11:$CH$1309,MATCH("1S01-LP-42",'SKU明细'!$A$11:$A$1309,0)))=12,SUM(INDEX('SKU明细'!$CH$11:$CH$1309,MATCH("1S01-LP-36",'SKU明细'!$A$11:$A$1309,0)),INDEX('SKU明细'!$CH$11:$CH$1309,MATCH("1S01-LP-37",'SKU明细'!$A$11:$A$1309,0)),INDEX('SKU明细'!$CH$11:$CH$1309,MATCH("1S01-LP-37.5",'SKU明细'!$A$11:$A$1309,0)),INDEX('SKU明细'!$CH$11:$CH$1309,MATCH("1S01-LP-38",'SKU明细'!$A$11:$A$1309,0)),INDEX('SKU明细'!$CH$11:$CH$1309,MATCH("1S01-LP-38.5",'SKU明细'!$A$11:$A$1309,0)),INDEX('SKU明细'!$CH$11:$CH$1309,MATCH("1S01-LP-39",'SKU明细'!$A$11:$A$1309,0)),INDEX('SKU明细'!$CH$11:$CH$1309,MATCH("1S01-LP-39.5",'SKU明细'!$A$11:$A$1309,0)),INDEX('SKU明细'!$CH$11:$CH$1309,MATCH("1S01-LP-40",'SKU明细'!$A$11:$A$1309,0)),INDEX('SKU明细'!$CH$11:$CH$1309,MATCH("1S01-LP-40.5",'SKU明细'!$A$11:$A$1309,0)),INDEX('SKU明细'!$CH$11:$CH$1309,MATCH("1S01-LP-41",'SKU明细'!$A$11:$A$1309,0)),INDEX('SKU明细'!$CH$11:$CH$1309,MATCH("1S01-LP-41.5",'SKU明细'!$A$11:$A$1309,0)),INDEX('SKU明细'!$CH$11:$CH$1309,MATCH("1S01-LP-42",'SKU明细'!$A$11:$A$1309,0))),"待核")</x:f>
        <x:v>0</x:v>
      </x:c>
      <x:c r="AF130" s="13" t="n">
        <x:f>IF(COUNT(INDEX('SKU明细'!$CI$11:$CI$1309,MATCH("1S01-LP-36",'SKU明细'!$A$11:$A$1309,0)),INDEX('SKU明细'!$CI$11:$CI$1309,MATCH("1S01-LP-37",'SKU明细'!$A$11:$A$1309,0)),INDEX('SKU明细'!$CI$11:$CI$1309,MATCH("1S01-LP-37.5",'SKU明细'!$A$11:$A$1309,0)),INDEX('SKU明细'!$CI$11:$CI$1309,MATCH("1S01-LP-38",'SKU明细'!$A$11:$A$1309,0)),INDEX('SKU明细'!$CI$11:$CI$1309,MATCH("1S01-LP-38.5",'SKU明细'!$A$11:$A$1309,0)),INDEX('SKU明细'!$CI$11:$CI$1309,MATCH("1S01-LP-39",'SKU明细'!$A$11:$A$1309,0)),INDEX('SKU明细'!$CI$11:$CI$1309,MATCH("1S01-LP-39.5",'SKU明细'!$A$11:$A$1309,0)),INDEX('SKU明细'!$CI$11:$CI$1309,MATCH("1S01-LP-40",'SKU明细'!$A$11:$A$1309,0)),INDEX('SKU明细'!$CI$11:$CI$1309,MATCH("1S01-LP-40.5",'SKU明细'!$A$11:$A$1309,0)),INDEX('SKU明细'!$CI$11:$CI$1309,MATCH("1S01-LP-41",'SKU明细'!$A$11:$A$1309,0)),INDEX('SKU明细'!$CI$11:$CI$1309,MATCH("1S01-LP-41.5",'SKU明细'!$A$11:$A$1309,0)),INDEX('SKU明细'!$CI$11:$CI$1309,MATCH("1S01-LP-42",'SKU明细'!$A$11:$A$1309,0)))=12,SUM(INDEX('SKU明细'!$CI$11:$CI$1309,MATCH("1S01-LP-36",'SKU明细'!$A$11:$A$1309,0)),INDEX('SKU明细'!$CI$11:$CI$1309,MATCH("1S01-LP-37",'SKU明细'!$A$11:$A$1309,0)),INDEX('SKU明细'!$CI$11:$CI$1309,MATCH("1S01-LP-37.5",'SKU明细'!$A$11:$A$1309,0)),INDEX('SKU明细'!$CI$11:$CI$1309,MATCH("1S01-LP-38",'SKU明细'!$A$11:$A$1309,0)),INDEX('SKU明细'!$CI$11:$CI$1309,MATCH("1S01-LP-38.5",'SKU明细'!$A$11:$A$1309,0)),INDEX('SKU明细'!$CI$11:$CI$1309,MATCH("1S01-LP-39",'SKU明细'!$A$11:$A$1309,0)),INDEX('SKU明细'!$CI$11:$CI$1309,MATCH("1S01-LP-39.5",'SKU明细'!$A$11:$A$1309,0)),INDEX('SKU明细'!$CI$11:$CI$1309,MATCH("1S01-LP-40",'SKU明细'!$A$11:$A$1309,0)),INDEX('SKU明细'!$CI$11:$CI$1309,MATCH("1S01-LP-40.5",'SKU明细'!$A$11:$A$1309,0)),INDEX('SKU明细'!$CI$11:$CI$1309,MATCH("1S01-LP-41",'SKU明细'!$A$11:$A$1309,0)),INDEX('SKU明细'!$CI$11:$CI$1309,MATCH("1S01-LP-41.5",'SKU明细'!$A$11:$A$1309,0)),INDEX('SKU明细'!$CI$11:$CI$1309,MATCH("1S01-LP-42",'SKU明细'!$A$11:$A$1309,0))),"待核")</x:f>
        <x:v>0</x:v>
      </x:c>
    </x:row>
    <x:row r="131" ht="40" customHeight="1">
      <x:c r="A131" s="37" t="str">
        <x:v>1S01</x:v>
      </x:c>
      <x:c r="B131" s="37" t="str">
        <x:v>徐新怡</x:v>
      </x:c>
      <x:c r="C131" s="37" t="str">
        <x:v>黄色</x:v>
      </x:c>
      <x:c r="D131" s="37" t="str">
        <x:v>MD</x:v>
      </x:c>
      <x:c r="E131" s="37" t="str">
        <x:v>1S01-MD</x:v>
      </x:c>
      <x:c r="F131" s="37"/>
      <x:c r="G131" s="38" t="str">
        <x:f>IF(COUNT(INDEX('SKU明细'!$D$11:$D$1309,MATCH("1S01-MD-36",'SKU明细'!$A$11:$A$1309,0)))=0,"待核",IF(COUNT(INDEX('SKU明细'!$D$11:$D$1309,MATCH("1S01-MD-36",'SKU明细'!$A$11:$A$1309,0)))&lt;1,SUM(INDEX('SKU明细'!$D$11:$D$1309,MATCH("1S01-MD-36",'SKU明细'!$A$11:$A$1309,0)))&amp;" + 待核",SUM(INDEX('SKU明细'!$D$11:$D$1309,MATCH("1S01-MD-36",'SKU明细'!$A$11:$A$1309,0)))))</x:f>
        <x:v>待核</x:v>
      </x:c>
      <x:c r="H131" s="38" t="str">
        <x:f>"—"</x:f>
        <x:v>—</x:v>
      </x:c>
      <x:c r="I131" s="38" t="str">
        <x:f>"—"</x:f>
        <x:v>—</x:v>
      </x:c>
      <x:c r="J131" s="38" t="str">
        <x:f>"—"</x:f>
        <x:v>—</x:v>
      </x:c>
      <x:c r="K131" s="38" t="str">
        <x:f>"—"</x:f>
        <x:v>—</x:v>
      </x:c>
      <x:c r="L131" s="38" t="str">
        <x:f>"—"</x:f>
        <x:v>—</x:v>
      </x:c>
      <x:c r="M131" s="38" t="str">
        <x:f>"—"</x:f>
        <x:v>—</x:v>
      </x:c>
      <x:c r="N131" s="38" t="str">
        <x:f>IF(COUNT(INDEX('SKU明细'!$D$11:$D$1309,MATCH("1S01-MD-40",'SKU明细'!$A$11:$A$1309,0)))=0,"待核",IF(COUNT(INDEX('SKU明细'!$D$11:$D$1309,MATCH("1S01-MD-40",'SKU明细'!$A$11:$A$1309,0)))&lt;1,SUM(INDEX('SKU明细'!$D$11:$D$1309,MATCH("1S01-MD-40",'SKU明细'!$A$11:$A$1309,0)))&amp;" + 待核",SUM(INDEX('SKU明细'!$D$11:$D$1309,MATCH("1S01-MD-40",'SKU明细'!$A$11:$A$1309,0)))))</x:f>
        <x:v>待核</x:v>
      </x:c>
      <x:c r="O131" s="38" t="str">
        <x:f>"—"</x:f>
        <x:v>—</x:v>
      </x:c>
      <x:c r="P131" s="38" t="str">
        <x:f>"—"</x:f>
        <x:v>—</x:v>
      </x:c>
      <x:c r="Q131" s="38" t="str">
        <x:f>"—"</x:f>
        <x:v>—</x:v>
      </x:c>
      <x:c r="R131" s="38" t="str">
        <x:f>"—"</x:f>
        <x:v>—</x:v>
      </x:c>
      <x:c r="S131" s="38" t="str">
        <x:f>IF(COUNT(INDEX('SKU明细'!$D$11:$D$1309,MATCH("1S01-MD-36",'SKU明细'!$A$11:$A$1309,0)),INDEX('SKU明细'!$D$11:$D$1309,MATCH("1S01-MD-40",'SKU明细'!$A$11:$A$1309,0)))=0,"待核",SUM(INDEX('SKU明细'!$D$11:$D$1309,MATCH("1S01-MD-36",'SKU明细'!$A$11:$A$1309,0)),INDEX('SKU明细'!$D$11:$D$1309,MATCH("1S01-MD-40",'SKU明细'!$A$11:$A$1309,0))))</x:f>
        <x:v>待核</x:v>
      </x:c>
      <x:c r="T131" s="38" t="n">
        <x:f>IF(COUNTIFS($A$9:$A$191,A131,$U$9:$U$191,"&lt;&gt;待核")=0,"待核",SUMIF($A$9:$A$191,A131,$S$9:$S$191))</x:f>
        <x:v>141</x:v>
      </x:c>
      <x:c r="U131" s="37" t="str">
        <x:f>IF(COUNT(INDEX('SKU明细'!$D$11:$D$1309,MATCH("1S01-MD-36",'SKU明细'!$A$11:$A$1309,0)),INDEX('SKU明细'!$D$11:$D$1309,MATCH("1S01-MD-40",'SKU明细'!$A$11:$A$1309,0)))=0,"待核",IF(COUNT(INDEX('SKU明细'!$D$11:$D$1309,MATCH("1S01-MD-36",'SKU明细'!$A$11:$A$1309,0)),INDEX('SKU明细'!$D$11:$D$1309,MATCH("1S01-MD-40",'SKU明细'!$A$11:$A$1309,0)))&lt;2,"另有待核","已核"))</x:f>
        <x:v>待核</x:v>
      </x:c>
      <x:c r="V131" s="37" t="str">
        <x:v>停售</x:v>
      </x:c>
      <x:c r="W131" s="11" t="n">
        <x:f>IF(COUNT(INDEX('SKU明细'!$BV$11:$BV$1309,MATCH("1S01-MD-36",'SKU明细'!$A$11:$A$1309,0)),INDEX('SKU明细'!$BV$11:$BV$1309,MATCH("1S01-MD-40",'SKU明细'!$A$11:$A$1309,0)))=2,SUM(INDEX('SKU明细'!$BV$11:$BV$1309,MATCH("1S01-MD-36",'SKU明细'!$A$11:$A$1309,0)),INDEX('SKU明细'!$BV$11:$BV$1309,MATCH("1S01-MD-40",'SKU明细'!$A$11:$A$1309,0))),"待核")</x:f>
        <x:v>0</x:v>
      </x:c>
      <x:c r="X131" s="11" t="n">
        <x:f>INDEX('SKU明细'!$BW$11:$BW$1309,MATCH("1S01-MD-36",'SKU明细'!$A$11:$A$1309,0))</x:f>
        <x:v>0.8729500662042875</x:v>
      </x:c>
      <x:c r="Y131" s="13" t="n">
        <x:f>IF(COUNT(INDEX('SKU明细'!$BY$11:$BY$1309,MATCH("1S01-MD-36",'SKU明细'!$A$11:$A$1309,0)),INDEX('SKU明细'!$BY$11:$BY$1309,MATCH("1S01-MD-40",'SKU明细'!$A$11:$A$1309,0)))=2,SUM(INDEX('SKU明细'!$BY$11:$BY$1309,MATCH("1S01-MD-36",'SKU明细'!$A$11:$A$1309,0)),INDEX('SKU明细'!$BY$11:$BY$1309,MATCH("1S01-MD-40",'SKU明细'!$A$11:$A$1309,0))),"待核")</x:f>
        <x:v>0</x:v>
      </x:c>
      <x:c r="Z131" s="11" t="n">
        <x:f>INDEX('SKU明细'!$BZ$11:$BZ$1309,MATCH("1S01-MD-36",'SKU明细'!$A$11:$A$1309,0))</x:f>
        <x:v>0.8057375774163482</x:v>
      </x:c>
      <x:c r="AA131" s="13" t="n">
        <x:f>IF(COUNT(INDEX('SKU明细'!$CB$11:$CB$1309,MATCH("1S01-MD-36",'SKU明细'!$A$11:$A$1309,0)),INDEX('SKU明细'!$CB$11:$CB$1309,MATCH("1S01-MD-40",'SKU明细'!$A$11:$A$1309,0)))=2,SUM(INDEX('SKU明细'!$CB$11:$CB$1309,MATCH("1S01-MD-36",'SKU明细'!$A$11:$A$1309,0)),INDEX('SKU明细'!$CB$11:$CB$1309,MATCH("1S01-MD-40",'SKU明细'!$A$11:$A$1309,0))),"待核")</x:f>
        <x:v>0</x:v>
      </x:c>
      <x:c r="AB131" s="11" t="n">
        <x:f>INDEX('SKU明细'!$CC$11:$CC$1309,MATCH("1S01-MD-36",'SKU明细'!$A$11:$A$1309,0))</x:f>
        <x:v>0.532550303142279</x:v>
      </x:c>
      <x:c r="AC131" s="13" t="n">
        <x:f>IF(COUNT(INDEX('SKU明细'!$CE$11:$CE$1309,MATCH("1S01-MD-36",'SKU明细'!$A$11:$A$1309,0)),INDEX('SKU明细'!$CE$11:$CE$1309,MATCH("1S01-MD-40",'SKU明细'!$A$11:$A$1309,0)))=2,SUM(INDEX('SKU明细'!$CE$11:$CE$1309,MATCH("1S01-MD-36",'SKU明细'!$A$11:$A$1309,0)),INDEX('SKU明细'!$CE$11:$CE$1309,MATCH("1S01-MD-40",'SKU明细'!$A$11:$A$1309,0))),"待核")</x:f>
        <x:v>0</x:v>
      </x:c>
      <x:c r="AD131" s="11" t="n">
        <x:f>INDEX('SKU明细'!$CF$11:$CF$1309,MATCH("1S01-MD-36",'SKU明细'!$A$11:$A$1309,0))</x:f>
        <x:v>0.7517299265337036</x:v>
      </x:c>
      <x:c r="AE131" s="13" t="n">
        <x:f>IF(COUNT(INDEX('SKU明细'!$CH$11:$CH$1309,MATCH("1S01-MD-36",'SKU明细'!$A$11:$A$1309,0)),INDEX('SKU明细'!$CH$11:$CH$1309,MATCH("1S01-MD-40",'SKU明细'!$A$11:$A$1309,0)))=2,SUM(INDEX('SKU明细'!$CH$11:$CH$1309,MATCH("1S01-MD-36",'SKU明细'!$A$11:$A$1309,0)),INDEX('SKU明细'!$CH$11:$CH$1309,MATCH("1S01-MD-40",'SKU明细'!$A$11:$A$1309,0))),"待核")</x:f>
        <x:v>0</x:v>
      </x:c>
      <x:c r="AF131" s="13" t="n">
        <x:f>IF(COUNT(INDEX('SKU明细'!$CI$11:$CI$1309,MATCH("1S01-MD-36",'SKU明细'!$A$11:$A$1309,0)),INDEX('SKU明细'!$CI$11:$CI$1309,MATCH("1S01-MD-40",'SKU明细'!$A$11:$A$1309,0)))=2,SUM(INDEX('SKU明细'!$CI$11:$CI$1309,MATCH("1S01-MD-36",'SKU明细'!$A$11:$A$1309,0)),INDEX('SKU明细'!$CI$11:$CI$1309,MATCH("1S01-MD-40",'SKU明细'!$A$11:$A$1309,0))),"待核")</x:f>
        <x:v>0</x:v>
      </x:c>
    </x:row>
    <x:row r="132" ht="40" customHeight="1">
      <x:c r="A132" s="37" t="str">
        <x:v>1S01</x:v>
      </x:c>
      <x:c r="B132" s="37" t="str">
        <x:v>徐新怡</x:v>
      </x:c>
      <x:c r="C132" s="37" t="str">
        <x:v>裸色</x:v>
      </x:c>
      <x:c r="D132" s="37" t="str">
        <x:v>ND</x:v>
      </x:c>
      <x:c r="E132" s="37" t="str">
        <x:v>1S01-ND</x:v>
      </x:c>
      <x:c r="F132" s="37"/>
      <x:c r="G132" s="38" t="n">
        <x:f>IF(COUNT(INDEX('SKU明细'!$D$11:$D$1309,MATCH("1S01-ND-36",'SKU明细'!$A$11:$A$1309,0)))=0,"待核",IF(COUNT(INDEX('SKU明细'!$D$11:$D$1309,MATCH("1S01-ND-36",'SKU明细'!$A$11:$A$1309,0)))&lt;1,SUM(INDEX('SKU明细'!$D$11:$D$1309,MATCH("1S01-ND-36",'SKU明细'!$A$11:$A$1309,0)))&amp;" + 待核",SUM(INDEX('SKU明细'!$D$11:$D$1309,MATCH("1S01-ND-36",'SKU明细'!$A$11:$A$1309,0)))))</x:f>
        <x:v>0</x:v>
      </x:c>
      <x:c r="H132" s="38" t="n">
        <x:f>IF(COUNT(INDEX('SKU明细'!$D$11:$D$1309,MATCH("1S01-ND-6",'SKU明细'!$A$11:$A$1309,0)))=0,"待核",IF(COUNT(INDEX('SKU明细'!$D$11:$D$1309,MATCH("1S01-ND-6",'SKU明细'!$A$11:$A$1309,0)))&lt;1,SUM(INDEX('SKU明细'!$D$11:$D$1309,MATCH("1S01-ND-6",'SKU明细'!$A$11:$A$1309,0)))&amp;" + 待核",SUM(INDEX('SKU明细'!$D$11:$D$1309,MATCH("1S01-ND-6",'SKU明细'!$A$11:$A$1309,0)))))</x:f>
        <x:v>0</x:v>
      </x:c>
      <x:c r="I132" s="38" t="n">
        <x:f>IF(COUNT(INDEX('SKU明细'!$D$11:$D$1309,MATCH("1S01-ND-37.5",'SKU明细'!$A$11:$A$1309,0)))=0,"待核",IF(COUNT(INDEX('SKU明细'!$D$11:$D$1309,MATCH("1S01-ND-37.5",'SKU明细'!$A$11:$A$1309,0)))&lt;1,SUM(INDEX('SKU明细'!$D$11:$D$1309,MATCH("1S01-ND-37.5",'SKU明细'!$A$11:$A$1309,0)))&amp;" + 待核",SUM(INDEX('SKU明细'!$D$11:$D$1309,MATCH("1S01-ND-37.5",'SKU明细'!$A$11:$A$1309,0)))))</x:f>
        <x:v>0</x:v>
      </x:c>
      <x:c r="J132" s="38" t="n">
        <x:f>IF(COUNT(INDEX('SKU明细'!$D$11:$D$1309,MATCH("1S01-ND-7",'SKU明细'!$A$11:$A$1309,0)))=0,"待核",IF(COUNT(INDEX('SKU明细'!$D$11:$D$1309,MATCH("1S01-ND-7",'SKU明细'!$A$11:$A$1309,0)))&lt;1,SUM(INDEX('SKU明细'!$D$11:$D$1309,MATCH("1S01-ND-7",'SKU明细'!$A$11:$A$1309,0)))&amp;" + 待核",SUM(INDEX('SKU明细'!$D$11:$D$1309,MATCH("1S01-ND-7",'SKU明细'!$A$11:$A$1309,0)))))</x:f>
        <x:v>0</x:v>
      </x:c>
      <x:c r="K132" s="38" t="str">
        <x:f>IF(COUNT(INDEX('SKU明细'!$D$11:$D$1309,MATCH("1S01-ND-38.5",'SKU明细'!$A$11:$A$1309,0)))=0,"待核",IF(COUNT(INDEX('SKU明细'!$D$11:$D$1309,MATCH("1S01-ND-38.5",'SKU明细'!$A$11:$A$1309,0)))&lt;1,SUM(INDEX('SKU明细'!$D$11:$D$1309,MATCH("1S01-ND-38.5",'SKU明细'!$A$11:$A$1309,0)))&amp;" + 待核",SUM(INDEX('SKU明细'!$D$11:$D$1309,MATCH("1S01-ND-38.5",'SKU明细'!$A$11:$A$1309,0)))))</x:f>
        <x:v>待核</x:v>
      </x:c>
      <x:c r="L132" s="38" t="n">
        <x:f>IF(COUNT(INDEX('SKU明细'!$D$11:$D$1309,MATCH("1S01-ND-8",'SKU明细'!$A$11:$A$1309,0)))=0,"待核",IF(COUNT(INDEX('SKU明细'!$D$11:$D$1309,MATCH("1S01-ND-8",'SKU明细'!$A$11:$A$1309,0)))&lt;1,SUM(INDEX('SKU明细'!$D$11:$D$1309,MATCH("1S01-ND-8",'SKU明细'!$A$11:$A$1309,0)))&amp;" + 待核",SUM(INDEX('SKU明细'!$D$11:$D$1309,MATCH("1S01-ND-8",'SKU明细'!$A$11:$A$1309,0)))))</x:f>
        <x:v>0</x:v>
      </x:c>
      <x:c r="M132" s="38" t="n">
        <x:f>IF(COUNT(INDEX('SKU明细'!$D$11:$D$1309,MATCH("1S01-ND-39.5",'SKU明细'!$A$11:$A$1309,0)))=0,"待核",IF(COUNT(INDEX('SKU明细'!$D$11:$D$1309,MATCH("1S01-ND-39.5",'SKU明细'!$A$11:$A$1309,0)))&lt;1,SUM(INDEX('SKU明细'!$D$11:$D$1309,MATCH("1S01-ND-39.5",'SKU明细'!$A$11:$A$1309,0)))&amp;" + 待核",SUM(INDEX('SKU明细'!$D$11:$D$1309,MATCH("1S01-ND-39.5",'SKU明细'!$A$11:$A$1309,0)))))</x:f>
        <x:v>0</x:v>
      </x:c>
      <x:c r="N132" s="38" t="n">
        <x:f>IF(COUNT(INDEX('SKU明细'!$D$11:$D$1309,MATCH("1S01-ND-9",'SKU明细'!$A$11:$A$1309,0)))=0,"待核",IF(COUNT(INDEX('SKU明细'!$D$11:$D$1309,MATCH("1S01-ND-9",'SKU明细'!$A$11:$A$1309,0)))&lt;1,SUM(INDEX('SKU明细'!$D$11:$D$1309,MATCH("1S01-ND-9",'SKU明细'!$A$11:$A$1309,0)))&amp;" + 待核",SUM(INDEX('SKU明细'!$D$11:$D$1309,MATCH("1S01-ND-9",'SKU明细'!$A$11:$A$1309,0)))))</x:f>
        <x:v>7</x:v>
      </x:c>
      <x:c r="O132" s="38" t="n">
        <x:f>IF(COUNT(INDEX('SKU明细'!$D$11:$D$1309,MATCH("1S01-ND-40.5",'SKU明细'!$A$11:$A$1309,0)))=0,"待核",IF(COUNT(INDEX('SKU明细'!$D$11:$D$1309,MATCH("1S01-ND-40.5",'SKU明细'!$A$11:$A$1309,0)))&lt;1,SUM(INDEX('SKU明细'!$D$11:$D$1309,MATCH("1S01-ND-40.5",'SKU明细'!$A$11:$A$1309,0)))&amp;" + 待核",SUM(INDEX('SKU明细'!$D$11:$D$1309,MATCH("1S01-ND-40.5",'SKU明细'!$A$11:$A$1309,0)))))</x:f>
        <x:v>0</x:v>
      </x:c>
      <x:c r="P132" s="38" t="n">
        <x:f>IF(COUNT(INDEX('SKU明细'!$D$11:$D$1309,MATCH("1S01-ND-10",'SKU明细'!$A$11:$A$1309,0)))=0,"待核",IF(COUNT(INDEX('SKU明细'!$D$11:$D$1309,MATCH("1S01-ND-10",'SKU明细'!$A$11:$A$1309,0)))&lt;1,SUM(INDEX('SKU明细'!$D$11:$D$1309,MATCH("1S01-ND-10",'SKU明细'!$A$11:$A$1309,0)))&amp;" + 待核",SUM(INDEX('SKU明细'!$D$11:$D$1309,MATCH("1S01-ND-10",'SKU明细'!$A$11:$A$1309,0)))))</x:f>
        <x:v>0</x:v>
      </x:c>
      <x:c r="Q132" s="38" t="n">
        <x:f>IF(COUNT(INDEX('SKU明细'!$D$11:$D$1309,MATCH("1S01-ND-41.5",'SKU明细'!$A$11:$A$1309,0)))=0,"待核",IF(COUNT(INDEX('SKU明细'!$D$11:$D$1309,MATCH("1S01-ND-41.5",'SKU明细'!$A$11:$A$1309,0)))&lt;1,SUM(INDEX('SKU明细'!$D$11:$D$1309,MATCH("1S01-ND-41.5",'SKU明细'!$A$11:$A$1309,0)))&amp;" + 待核",SUM(INDEX('SKU明细'!$D$11:$D$1309,MATCH("1S01-ND-41.5",'SKU明细'!$A$11:$A$1309,0)))))</x:f>
        <x:v>0</x:v>
      </x:c>
      <x:c r="R132" s="38" t="n">
        <x:f>IF(COUNT(INDEX('SKU明细'!$D$11:$D$1309,MATCH("1S01-ND-11",'SKU明细'!$A$11:$A$1309,0)))=0,"待核",IF(COUNT(INDEX('SKU明细'!$D$11:$D$1309,MATCH("1S01-ND-11",'SKU明细'!$A$11:$A$1309,0)))&lt;1,SUM(INDEX('SKU明细'!$D$11:$D$1309,MATCH("1S01-ND-11",'SKU明细'!$A$11:$A$1309,0)))&amp;" + 待核",SUM(INDEX('SKU明细'!$D$11:$D$1309,MATCH("1S01-ND-11",'SKU明细'!$A$11:$A$1309,0)))))</x:f>
        <x:v>0</x:v>
      </x:c>
      <x:c r="S132" s="38" t="n">
        <x:f>IF(COUNT(INDEX('SKU明细'!$D$11:$D$1309,MATCH("1S01-ND-36",'SKU明细'!$A$11:$A$1309,0)),INDEX('SKU明细'!$D$11:$D$1309,MATCH("1S01-ND-6",'SKU明细'!$A$11:$A$1309,0)),INDEX('SKU明细'!$D$11:$D$1309,MATCH("1S01-ND-37.5",'SKU明细'!$A$11:$A$1309,0)),INDEX('SKU明细'!$D$11:$D$1309,MATCH("1S01-ND-7",'SKU明细'!$A$11:$A$1309,0)),INDEX('SKU明细'!$D$11:$D$1309,MATCH("1S01-ND-38.5",'SKU明细'!$A$11:$A$1309,0)),INDEX('SKU明细'!$D$11:$D$1309,MATCH("1S01-ND-8",'SKU明细'!$A$11:$A$1309,0)),INDEX('SKU明细'!$D$11:$D$1309,MATCH("1S01-ND-39.5",'SKU明细'!$A$11:$A$1309,0)),INDEX('SKU明细'!$D$11:$D$1309,MATCH("1S01-ND-9",'SKU明细'!$A$11:$A$1309,0)),INDEX('SKU明细'!$D$11:$D$1309,MATCH("1S01-ND-40.5",'SKU明细'!$A$11:$A$1309,0)),INDEX('SKU明细'!$D$11:$D$1309,MATCH("1S01-ND-10",'SKU明细'!$A$11:$A$1309,0)),INDEX('SKU明细'!$D$11:$D$1309,MATCH("1S01-ND-41.5",'SKU明细'!$A$11:$A$1309,0)),INDEX('SKU明细'!$D$11:$D$1309,MATCH("1S01-ND-11",'SKU明细'!$A$11:$A$1309,0)))=0,"待核",SUM(INDEX('SKU明细'!$D$11:$D$1309,MATCH("1S01-ND-36",'SKU明细'!$A$11:$A$1309,0)),INDEX('SKU明细'!$D$11:$D$1309,MATCH("1S01-ND-6",'SKU明细'!$A$11:$A$1309,0)),INDEX('SKU明细'!$D$11:$D$1309,MATCH("1S01-ND-37.5",'SKU明细'!$A$11:$A$1309,0)),INDEX('SKU明细'!$D$11:$D$1309,MATCH("1S01-ND-7",'SKU明细'!$A$11:$A$1309,0)),INDEX('SKU明细'!$D$11:$D$1309,MATCH("1S01-ND-38.5",'SKU明细'!$A$11:$A$1309,0)),INDEX('SKU明细'!$D$11:$D$1309,MATCH("1S01-ND-8",'SKU明细'!$A$11:$A$1309,0)),INDEX('SKU明细'!$D$11:$D$1309,MATCH("1S01-ND-39.5",'SKU明细'!$A$11:$A$1309,0)),INDEX('SKU明细'!$D$11:$D$1309,MATCH("1S01-ND-9",'SKU明细'!$A$11:$A$1309,0)),INDEX('SKU明细'!$D$11:$D$1309,MATCH("1S01-ND-40.5",'SKU明细'!$A$11:$A$1309,0)),INDEX('SKU明细'!$D$11:$D$1309,MATCH("1S01-ND-10",'SKU明细'!$A$11:$A$1309,0)),INDEX('SKU明细'!$D$11:$D$1309,MATCH("1S01-ND-41.5",'SKU明细'!$A$11:$A$1309,0)),INDEX('SKU明细'!$D$11:$D$1309,MATCH("1S01-ND-11",'SKU明细'!$A$11:$A$1309,0))))</x:f>
        <x:v>7</x:v>
      </x:c>
      <x:c r="T132" s="38" t="n">
        <x:f>IF(COUNTIFS($A$9:$A$191,A132,$U$9:$U$191,"&lt;&gt;待核")=0,"待核",SUMIF($A$9:$A$191,A132,$S$9:$S$191))</x:f>
        <x:v>141</x:v>
      </x:c>
      <x:c r="U132" s="37" t="str">
        <x:f>IF(COUNT(INDEX('SKU明细'!$D$11:$D$1309,MATCH("1S01-ND-36",'SKU明细'!$A$11:$A$1309,0)),INDEX('SKU明细'!$D$11:$D$1309,MATCH("1S01-ND-6",'SKU明细'!$A$11:$A$1309,0)),INDEX('SKU明细'!$D$11:$D$1309,MATCH("1S01-ND-37.5",'SKU明细'!$A$11:$A$1309,0)),INDEX('SKU明细'!$D$11:$D$1309,MATCH("1S01-ND-7",'SKU明细'!$A$11:$A$1309,0)),INDEX('SKU明细'!$D$11:$D$1309,MATCH("1S01-ND-38.5",'SKU明细'!$A$11:$A$1309,0)),INDEX('SKU明细'!$D$11:$D$1309,MATCH("1S01-ND-8",'SKU明细'!$A$11:$A$1309,0)),INDEX('SKU明细'!$D$11:$D$1309,MATCH("1S01-ND-39.5",'SKU明细'!$A$11:$A$1309,0)),INDEX('SKU明细'!$D$11:$D$1309,MATCH("1S01-ND-9",'SKU明细'!$A$11:$A$1309,0)),INDEX('SKU明细'!$D$11:$D$1309,MATCH("1S01-ND-40.5",'SKU明细'!$A$11:$A$1309,0)),INDEX('SKU明细'!$D$11:$D$1309,MATCH("1S01-ND-10",'SKU明细'!$A$11:$A$1309,0)),INDEX('SKU明细'!$D$11:$D$1309,MATCH("1S01-ND-41.5",'SKU明细'!$A$11:$A$1309,0)),INDEX('SKU明细'!$D$11:$D$1309,MATCH("1S01-ND-11",'SKU明细'!$A$11:$A$1309,0)))=0,"待核",IF(COUNT(INDEX('SKU明细'!$D$11:$D$1309,MATCH("1S01-ND-36",'SKU明细'!$A$11:$A$1309,0)),INDEX('SKU明细'!$D$11:$D$1309,MATCH("1S01-ND-6",'SKU明细'!$A$11:$A$1309,0)),INDEX('SKU明细'!$D$11:$D$1309,MATCH("1S01-ND-37.5",'SKU明细'!$A$11:$A$1309,0)),INDEX('SKU明细'!$D$11:$D$1309,MATCH("1S01-ND-7",'SKU明细'!$A$11:$A$1309,0)),INDEX('SKU明细'!$D$11:$D$1309,MATCH("1S01-ND-38.5",'SKU明细'!$A$11:$A$1309,0)),INDEX('SKU明细'!$D$11:$D$1309,MATCH("1S01-ND-8",'SKU明细'!$A$11:$A$1309,0)),INDEX('SKU明细'!$D$11:$D$1309,MATCH("1S01-ND-39.5",'SKU明细'!$A$11:$A$1309,0)),INDEX('SKU明细'!$D$11:$D$1309,MATCH("1S01-ND-9",'SKU明细'!$A$11:$A$1309,0)),INDEX('SKU明细'!$D$11:$D$1309,MATCH("1S01-ND-40.5",'SKU明细'!$A$11:$A$1309,0)),INDEX('SKU明细'!$D$11:$D$1309,MATCH("1S01-ND-10",'SKU明细'!$A$11:$A$1309,0)),INDEX('SKU明细'!$D$11:$D$1309,MATCH("1S01-ND-41.5",'SKU明细'!$A$11:$A$1309,0)),INDEX('SKU明细'!$D$11:$D$1309,MATCH("1S01-ND-11",'SKU明细'!$A$11:$A$1309,0)))&lt;12,"另有待核","已核"))</x:f>
        <x:v>另有待核</x:v>
      </x:c>
      <x:c r="V132" s="37" t="str">
        <x:v>停售、在售、未匹配Listing</x:v>
      </x:c>
      <x:c r="W132" s="11" t="n">
        <x:f>IF(COUNT(INDEX('SKU明细'!$BV$11:$BV$1309,MATCH("1S01-ND-36",'SKU明细'!$A$11:$A$1309,0)),INDEX('SKU明细'!$BV$11:$BV$1309,MATCH("1S01-ND-6",'SKU明细'!$A$11:$A$1309,0)),INDEX('SKU明细'!$BV$11:$BV$1309,MATCH("1S01-ND-37.5",'SKU明细'!$A$11:$A$1309,0)),INDEX('SKU明细'!$BV$11:$BV$1309,MATCH("1S01-ND-7",'SKU明细'!$A$11:$A$1309,0)),INDEX('SKU明细'!$BV$11:$BV$1309,MATCH("1S01-ND-38.5",'SKU明细'!$A$11:$A$1309,0)),INDEX('SKU明细'!$BV$11:$BV$1309,MATCH("1S01-ND-8",'SKU明细'!$A$11:$A$1309,0)),INDEX('SKU明细'!$BV$11:$BV$1309,MATCH("1S01-ND-39.5",'SKU明细'!$A$11:$A$1309,0)),INDEX('SKU明细'!$BV$11:$BV$1309,MATCH("1S01-ND-9",'SKU明细'!$A$11:$A$1309,0)),INDEX('SKU明细'!$BV$11:$BV$1309,MATCH("1S01-ND-40.5",'SKU明细'!$A$11:$A$1309,0)),INDEX('SKU明细'!$BV$11:$BV$1309,MATCH("1S01-ND-10",'SKU明细'!$A$11:$A$1309,0)),INDEX('SKU明细'!$BV$11:$BV$1309,MATCH("1S01-ND-41.5",'SKU明细'!$A$11:$A$1309,0)),INDEX('SKU明细'!$BV$11:$BV$1309,MATCH("1S01-ND-11",'SKU明细'!$A$11:$A$1309,0)))=12,SUM(INDEX('SKU明细'!$BV$11:$BV$1309,MATCH("1S01-ND-36",'SKU明细'!$A$11:$A$1309,0)),INDEX('SKU明细'!$BV$11:$BV$1309,MATCH("1S01-ND-6",'SKU明细'!$A$11:$A$1309,0)),INDEX('SKU明细'!$BV$11:$BV$1309,MATCH("1S01-ND-37.5",'SKU明细'!$A$11:$A$1309,0)),INDEX('SKU明细'!$BV$11:$BV$1309,MATCH("1S01-ND-7",'SKU明细'!$A$11:$A$1309,0)),INDEX('SKU明细'!$BV$11:$BV$1309,MATCH("1S01-ND-38.5",'SKU明细'!$A$11:$A$1309,0)),INDEX('SKU明细'!$BV$11:$BV$1309,MATCH("1S01-ND-8",'SKU明细'!$A$11:$A$1309,0)),INDEX('SKU明细'!$BV$11:$BV$1309,MATCH("1S01-ND-39.5",'SKU明细'!$A$11:$A$1309,0)),INDEX('SKU明细'!$BV$11:$BV$1309,MATCH("1S01-ND-9",'SKU明细'!$A$11:$A$1309,0)),INDEX('SKU明细'!$BV$11:$BV$1309,MATCH("1S01-ND-40.5",'SKU明细'!$A$11:$A$1309,0)),INDEX('SKU明细'!$BV$11:$BV$1309,MATCH("1S01-ND-10",'SKU明细'!$A$11:$A$1309,0)),INDEX('SKU明细'!$BV$11:$BV$1309,MATCH("1S01-ND-41.5",'SKU明细'!$A$11:$A$1309,0)),INDEX('SKU明细'!$BV$11:$BV$1309,MATCH("1S01-ND-11",'SKU明细'!$A$11:$A$1309,0))),"待核")</x:f>
        <x:v>0.2859633770638296</x:v>
      </x:c>
      <x:c r="X132" s="11" t="n">
        <x:f>INDEX('SKU明细'!$BW$11:$BW$1309,MATCH("1S01-ND-36",'SKU明细'!$A$11:$A$1309,0))</x:f>
        <x:v>0.8729500662042875</x:v>
      </x:c>
      <x:c r="Y132" s="13" t="n">
        <x:f>IF(COUNT(INDEX('SKU明细'!$BY$11:$BY$1309,MATCH("1S01-ND-36",'SKU明细'!$A$11:$A$1309,0)),INDEX('SKU明细'!$BY$11:$BY$1309,MATCH("1S01-ND-6",'SKU明细'!$A$11:$A$1309,0)),INDEX('SKU明细'!$BY$11:$BY$1309,MATCH("1S01-ND-37.5",'SKU明细'!$A$11:$A$1309,0)),INDEX('SKU明细'!$BY$11:$BY$1309,MATCH("1S01-ND-7",'SKU明细'!$A$11:$A$1309,0)),INDEX('SKU明细'!$BY$11:$BY$1309,MATCH("1S01-ND-38.5",'SKU明细'!$A$11:$A$1309,0)),INDEX('SKU明细'!$BY$11:$BY$1309,MATCH("1S01-ND-8",'SKU明细'!$A$11:$A$1309,0)),INDEX('SKU明细'!$BY$11:$BY$1309,MATCH("1S01-ND-39.5",'SKU明细'!$A$11:$A$1309,0)),INDEX('SKU明细'!$BY$11:$BY$1309,MATCH("1S01-ND-9",'SKU明细'!$A$11:$A$1309,0)),INDEX('SKU明细'!$BY$11:$BY$1309,MATCH("1S01-ND-40.5",'SKU明细'!$A$11:$A$1309,0)),INDEX('SKU明细'!$BY$11:$BY$1309,MATCH("1S01-ND-10",'SKU明细'!$A$11:$A$1309,0)),INDEX('SKU明细'!$BY$11:$BY$1309,MATCH("1S01-ND-41.5",'SKU明细'!$A$11:$A$1309,0)),INDEX('SKU明细'!$BY$11:$BY$1309,MATCH("1S01-ND-11",'SKU明细'!$A$11:$A$1309,0)))=12,SUM(INDEX('SKU明细'!$BY$11:$BY$1309,MATCH("1S01-ND-36",'SKU明细'!$A$11:$A$1309,0)),INDEX('SKU明细'!$BY$11:$BY$1309,MATCH("1S01-ND-6",'SKU明细'!$A$11:$A$1309,0)),INDEX('SKU明细'!$BY$11:$BY$1309,MATCH("1S01-ND-37.5",'SKU明细'!$A$11:$A$1309,0)),INDEX('SKU明细'!$BY$11:$BY$1309,MATCH("1S01-ND-7",'SKU明细'!$A$11:$A$1309,0)),INDEX('SKU明细'!$BY$11:$BY$1309,MATCH("1S01-ND-38.5",'SKU明细'!$A$11:$A$1309,0)),INDEX('SKU明细'!$BY$11:$BY$1309,MATCH("1S01-ND-8",'SKU明细'!$A$11:$A$1309,0)),INDEX('SKU明细'!$BY$11:$BY$1309,MATCH("1S01-ND-39.5",'SKU明细'!$A$11:$A$1309,0)),INDEX('SKU明细'!$BY$11:$BY$1309,MATCH("1S01-ND-9",'SKU明细'!$A$11:$A$1309,0)),INDEX('SKU明细'!$BY$11:$BY$1309,MATCH("1S01-ND-40.5",'SKU明细'!$A$11:$A$1309,0)),INDEX('SKU明细'!$BY$11:$BY$1309,MATCH("1S01-ND-10",'SKU明细'!$A$11:$A$1309,0)),INDEX('SKU明细'!$BY$11:$BY$1309,MATCH("1S01-ND-41.5",'SKU明细'!$A$11:$A$1309,0)),INDEX('SKU明细'!$BY$11:$BY$1309,MATCH("1S01-ND-11",'SKU明细'!$A$11:$A$1309,0))),"待核")</x:f>
        <x:v>2.995580987278461</x:v>
      </x:c>
      <x:c r="Z132" s="11" t="n">
        <x:f>INDEX('SKU明细'!$BZ$11:$BZ$1309,MATCH("1S01-ND-36",'SKU明细'!$A$11:$A$1309,0))</x:f>
        <x:v>0.8057375774163482</x:v>
      </x:c>
      <x:c r="AA132" s="13" t="n">
        <x:f>IF(COUNT(INDEX('SKU明细'!$CB$11:$CB$1309,MATCH("1S01-ND-36",'SKU明细'!$A$11:$A$1309,0)),INDEX('SKU明细'!$CB$11:$CB$1309,MATCH("1S01-ND-6",'SKU明细'!$A$11:$A$1309,0)),INDEX('SKU明细'!$CB$11:$CB$1309,MATCH("1S01-ND-37.5",'SKU明细'!$A$11:$A$1309,0)),INDEX('SKU明细'!$CB$11:$CB$1309,MATCH("1S01-ND-7",'SKU明细'!$A$11:$A$1309,0)),INDEX('SKU明细'!$CB$11:$CB$1309,MATCH("1S01-ND-38.5",'SKU明细'!$A$11:$A$1309,0)),INDEX('SKU明细'!$CB$11:$CB$1309,MATCH("1S01-ND-8",'SKU明细'!$A$11:$A$1309,0)),INDEX('SKU明细'!$CB$11:$CB$1309,MATCH("1S01-ND-39.5",'SKU明细'!$A$11:$A$1309,0)),INDEX('SKU明细'!$CB$11:$CB$1309,MATCH("1S01-ND-9",'SKU明细'!$A$11:$A$1309,0)),INDEX('SKU明细'!$CB$11:$CB$1309,MATCH("1S01-ND-40.5",'SKU明细'!$A$11:$A$1309,0)),INDEX('SKU明细'!$CB$11:$CB$1309,MATCH("1S01-ND-10",'SKU明细'!$A$11:$A$1309,0)),INDEX('SKU明细'!$CB$11:$CB$1309,MATCH("1S01-ND-41.5",'SKU明细'!$A$11:$A$1309,0)),INDEX('SKU明细'!$CB$11:$CB$1309,MATCH("1S01-ND-11",'SKU明细'!$A$11:$A$1309,0)))=12,SUM(INDEX('SKU明细'!$CB$11:$CB$1309,MATCH("1S01-ND-36",'SKU明细'!$A$11:$A$1309,0)),INDEX('SKU明细'!$CB$11:$CB$1309,MATCH("1S01-ND-6",'SKU明细'!$A$11:$A$1309,0)),INDEX('SKU明细'!$CB$11:$CB$1309,MATCH("1S01-ND-37.5",'SKU明细'!$A$11:$A$1309,0)),INDEX('SKU明细'!$CB$11:$CB$1309,MATCH("1S01-ND-7",'SKU明细'!$A$11:$A$1309,0)),INDEX('SKU明细'!$CB$11:$CB$1309,MATCH("1S01-ND-38.5",'SKU明细'!$A$11:$A$1309,0)),INDEX('SKU明细'!$CB$11:$CB$1309,MATCH("1S01-ND-8",'SKU明细'!$A$11:$A$1309,0)),INDEX('SKU明细'!$CB$11:$CB$1309,MATCH("1S01-ND-39.5",'SKU明细'!$A$11:$A$1309,0)),INDEX('SKU明细'!$CB$11:$CB$1309,MATCH("1S01-ND-9",'SKU明细'!$A$11:$A$1309,0)),INDEX('SKU明细'!$CB$11:$CB$1309,MATCH("1S01-ND-40.5",'SKU明细'!$A$11:$A$1309,0)),INDEX('SKU明细'!$CB$11:$CB$1309,MATCH("1S01-ND-10",'SKU明细'!$A$11:$A$1309,0)),INDEX('SKU明细'!$CB$11:$CB$1309,MATCH("1S01-ND-41.5",'SKU明细'!$A$11:$A$1309,0)),INDEX('SKU明细'!$CB$11:$CB$1309,MATCH("1S01-ND-11",'SKU明细'!$A$11:$A$1309,0))),"待核")</x:f>
        <x:v>6.912343159956234</x:v>
      </x:c>
      <x:c r="AB132" s="11" t="n">
        <x:f>INDEX('SKU明细'!$CC$11:$CC$1309,MATCH("1S01-ND-36",'SKU明细'!$A$11:$A$1309,0))</x:f>
        <x:v>0.532550303142279</x:v>
      </x:c>
      <x:c r="AC132" s="13" t="n">
        <x:f>IF(COUNT(INDEX('SKU明细'!$CE$11:$CE$1309,MATCH("1S01-ND-36",'SKU明细'!$A$11:$A$1309,0)),INDEX('SKU明细'!$CE$11:$CE$1309,MATCH("1S01-ND-6",'SKU明细'!$A$11:$A$1309,0)),INDEX('SKU明细'!$CE$11:$CE$1309,MATCH("1S01-ND-37.5",'SKU明细'!$A$11:$A$1309,0)),INDEX('SKU明细'!$CE$11:$CE$1309,MATCH("1S01-ND-7",'SKU明细'!$A$11:$A$1309,0)),INDEX('SKU明细'!$CE$11:$CE$1309,MATCH("1S01-ND-38.5",'SKU明细'!$A$11:$A$1309,0)),INDEX('SKU明细'!$CE$11:$CE$1309,MATCH("1S01-ND-8",'SKU明细'!$A$11:$A$1309,0)),INDEX('SKU明细'!$CE$11:$CE$1309,MATCH("1S01-ND-39.5",'SKU明细'!$A$11:$A$1309,0)),INDEX('SKU明细'!$CE$11:$CE$1309,MATCH("1S01-ND-9",'SKU明细'!$A$11:$A$1309,0)),INDEX('SKU明细'!$CE$11:$CE$1309,MATCH("1S01-ND-40.5",'SKU明细'!$A$11:$A$1309,0)),INDEX('SKU明细'!$CE$11:$CE$1309,MATCH("1S01-ND-10",'SKU明细'!$A$11:$A$1309,0)),INDEX('SKU明细'!$CE$11:$CE$1309,MATCH("1S01-ND-41.5",'SKU明细'!$A$11:$A$1309,0)),INDEX('SKU明细'!$CE$11:$CE$1309,MATCH("1S01-ND-11",'SKU明细'!$A$11:$A$1309,0)))=12,SUM(INDEX('SKU明细'!$CE$11:$CE$1309,MATCH("1S01-ND-36",'SKU明细'!$A$11:$A$1309,0)),INDEX('SKU明细'!$CE$11:$CE$1309,MATCH("1S01-ND-6",'SKU明细'!$A$11:$A$1309,0)),INDEX('SKU明细'!$CE$11:$CE$1309,MATCH("1S01-ND-37.5",'SKU明细'!$A$11:$A$1309,0)),INDEX('SKU明细'!$CE$11:$CE$1309,MATCH("1S01-ND-7",'SKU明细'!$A$11:$A$1309,0)),INDEX('SKU明细'!$CE$11:$CE$1309,MATCH("1S01-ND-38.5",'SKU明细'!$A$11:$A$1309,0)),INDEX('SKU明细'!$CE$11:$CE$1309,MATCH("1S01-ND-8",'SKU明细'!$A$11:$A$1309,0)),INDEX('SKU明细'!$CE$11:$CE$1309,MATCH("1S01-ND-39.5",'SKU明细'!$A$11:$A$1309,0)),INDEX('SKU明细'!$CE$11:$CE$1309,MATCH("1S01-ND-9",'SKU明细'!$A$11:$A$1309,0)),INDEX('SKU明细'!$CE$11:$CE$1309,MATCH("1S01-ND-40.5",'SKU明细'!$A$11:$A$1309,0)),INDEX('SKU明细'!$CE$11:$CE$1309,MATCH("1S01-ND-10",'SKU明细'!$A$11:$A$1309,0)),INDEX('SKU明细'!$CE$11:$CE$1309,MATCH("1S01-ND-41.5",'SKU明细'!$A$11:$A$1309,0)),INDEX('SKU明细'!$CE$11:$CE$1309,MATCH("1S01-ND-11",'SKU明细'!$A$11:$A$1309,0))),"待核")</x:f>
        <x:v>4.720986377430902</x:v>
      </x:c>
      <x:c r="AD132" s="11" t="n">
        <x:f>INDEX('SKU明细'!$CF$11:$CF$1309,MATCH("1S01-ND-36",'SKU明细'!$A$11:$A$1309,0))</x:f>
        <x:v>0.7517299265337036</x:v>
      </x:c>
      <x:c r="AE132" s="13" t="n">
        <x:f>IF(COUNT(INDEX('SKU明细'!$CH$11:$CH$1309,MATCH("1S01-ND-36",'SKU明细'!$A$11:$A$1309,0)),INDEX('SKU明细'!$CH$11:$CH$1309,MATCH("1S01-ND-6",'SKU明细'!$A$11:$A$1309,0)),INDEX('SKU明细'!$CH$11:$CH$1309,MATCH("1S01-ND-37.5",'SKU明细'!$A$11:$A$1309,0)),INDEX('SKU明细'!$CH$11:$CH$1309,MATCH("1S01-ND-7",'SKU明细'!$A$11:$A$1309,0)),INDEX('SKU明细'!$CH$11:$CH$1309,MATCH("1S01-ND-38.5",'SKU明细'!$A$11:$A$1309,0)),INDEX('SKU明细'!$CH$11:$CH$1309,MATCH("1S01-ND-8",'SKU明细'!$A$11:$A$1309,0)),INDEX('SKU明细'!$CH$11:$CH$1309,MATCH("1S01-ND-39.5",'SKU明细'!$A$11:$A$1309,0)),INDEX('SKU明细'!$CH$11:$CH$1309,MATCH("1S01-ND-9",'SKU明细'!$A$11:$A$1309,0)),INDEX('SKU明细'!$CH$11:$CH$1309,MATCH("1S01-ND-40.5",'SKU明细'!$A$11:$A$1309,0)),INDEX('SKU明细'!$CH$11:$CH$1309,MATCH("1S01-ND-10",'SKU明细'!$A$11:$A$1309,0)),INDEX('SKU明细'!$CH$11:$CH$1309,MATCH("1S01-ND-41.5",'SKU明细'!$A$11:$A$1309,0)),INDEX('SKU明细'!$CH$11:$CH$1309,MATCH("1S01-ND-11",'SKU明细'!$A$11:$A$1309,0)))=12,SUM(INDEX('SKU明细'!$CH$11:$CH$1309,MATCH("1S01-ND-36",'SKU明细'!$A$11:$A$1309,0)),INDEX('SKU明细'!$CH$11:$CH$1309,MATCH("1S01-ND-6",'SKU明细'!$A$11:$A$1309,0)),INDEX('SKU明细'!$CH$11:$CH$1309,MATCH("1S01-ND-37.5",'SKU明细'!$A$11:$A$1309,0)),INDEX('SKU明细'!$CH$11:$CH$1309,MATCH("1S01-ND-7",'SKU明细'!$A$11:$A$1309,0)),INDEX('SKU明细'!$CH$11:$CH$1309,MATCH("1S01-ND-38.5",'SKU明细'!$A$11:$A$1309,0)),INDEX('SKU明细'!$CH$11:$CH$1309,MATCH("1S01-ND-8",'SKU明细'!$A$11:$A$1309,0)),INDEX('SKU明细'!$CH$11:$CH$1309,MATCH("1S01-ND-39.5",'SKU明细'!$A$11:$A$1309,0)),INDEX('SKU明细'!$CH$11:$CH$1309,MATCH("1S01-ND-9",'SKU明细'!$A$11:$A$1309,0)),INDEX('SKU明细'!$CH$11:$CH$1309,MATCH("1S01-ND-40.5",'SKU明细'!$A$11:$A$1309,0)),INDEX('SKU明细'!$CH$11:$CH$1309,MATCH("1S01-ND-10",'SKU明细'!$A$11:$A$1309,0)),INDEX('SKU明细'!$CH$11:$CH$1309,MATCH("1S01-ND-41.5",'SKU明细'!$A$11:$A$1309,0)),INDEX('SKU明细'!$CH$11:$CH$1309,MATCH("1S01-ND-11",'SKU明细'!$A$11:$A$1309,0))),"待核")</x:f>
        <x:v>3.6544428833358813</x:v>
      </x:c>
      <x:c r="AF132" s="13" t="n">
        <x:f>IF(COUNT(INDEX('SKU明细'!$CI$11:$CI$1309,MATCH("1S01-ND-36",'SKU明细'!$A$11:$A$1309,0)),INDEX('SKU明细'!$CI$11:$CI$1309,MATCH("1S01-ND-6",'SKU明细'!$A$11:$A$1309,0)),INDEX('SKU明细'!$CI$11:$CI$1309,MATCH("1S01-ND-37.5",'SKU明细'!$A$11:$A$1309,0)),INDEX('SKU明细'!$CI$11:$CI$1309,MATCH("1S01-ND-7",'SKU明细'!$A$11:$A$1309,0)),INDEX('SKU明细'!$CI$11:$CI$1309,MATCH("1S01-ND-38.5",'SKU明细'!$A$11:$A$1309,0)),INDEX('SKU明细'!$CI$11:$CI$1309,MATCH("1S01-ND-8",'SKU明细'!$A$11:$A$1309,0)),INDEX('SKU明细'!$CI$11:$CI$1309,MATCH("1S01-ND-39.5",'SKU明细'!$A$11:$A$1309,0)),INDEX('SKU明细'!$CI$11:$CI$1309,MATCH("1S01-ND-9",'SKU明细'!$A$11:$A$1309,0)),INDEX('SKU明细'!$CI$11:$CI$1309,MATCH("1S01-ND-40.5",'SKU明细'!$A$11:$A$1309,0)),INDEX('SKU明细'!$CI$11:$CI$1309,MATCH("1S01-ND-10",'SKU明细'!$A$11:$A$1309,0)),INDEX('SKU明细'!$CI$11:$CI$1309,MATCH("1S01-ND-41.5",'SKU明细'!$A$11:$A$1309,0)),INDEX('SKU明细'!$CI$11:$CI$1309,MATCH("1S01-ND-11",'SKU明细'!$A$11:$A$1309,0)))=12,SUM(INDEX('SKU明细'!$CI$11:$CI$1309,MATCH("1S01-ND-36",'SKU明细'!$A$11:$A$1309,0)),INDEX('SKU明细'!$CI$11:$CI$1309,MATCH("1S01-ND-6",'SKU明细'!$A$11:$A$1309,0)),INDEX('SKU明细'!$CI$11:$CI$1309,MATCH("1S01-ND-37.5",'SKU明细'!$A$11:$A$1309,0)),INDEX('SKU明细'!$CI$11:$CI$1309,MATCH("1S01-ND-7",'SKU明细'!$A$11:$A$1309,0)),INDEX('SKU明细'!$CI$11:$CI$1309,MATCH("1S01-ND-38.5",'SKU明细'!$A$11:$A$1309,0)),INDEX('SKU明细'!$CI$11:$CI$1309,MATCH("1S01-ND-8",'SKU明细'!$A$11:$A$1309,0)),INDEX('SKU明细'!$CI$11:$CI$1309,MATCH("1S01-ND-39.5",'SKU明细'!$A$11:$A$1309,0)),INDEX('SKU明细'!$CI$11:$CI$1309,MATCH("1S01-ND-9",'SKU明细'!$A$11:$A$1309,0)),INDEX('SKU明细'!$CI$11:$CI$1309,MATCH("1S01-ND-40.5",'SKU明细'!$A$11:$A$1309,0)),INDEX('SKU明细'!$CI$11:$CI$1309,MATCH("1S01-ND-10",'SKU明细'!$A$11:$A$1309,0)),INDEX('SKU明细'!$CI$11:$CI$1309,MATCH("1S01-ND-41.5",'SKU明细'!$A$11:$A$1309,0)),INDEX('SKU明细'!$CI$11:$CI$1309,MATCH("1S01-ND-11",'SKU明细'!$A$11:$A$1309,0))),"待核")</x:f>
        <x:v>18.28335340800148</x:v>
      </x:c>
    </x:row>
    <x:row r="133" ht="40" customHeight="1">
      <x:c r="A133" s="37" t="str">
        <x:v>1S01</x:v>
      </x:c>
      <x:c r="B133" s="37" t="str">
        <x:v>徐新怡</x:v>
      </x:c>
      <x:c r="C133" s="37" t="str">
        <x:v>裸粉色</x:v>
      </x:c>
      <x:c r="D133" s="37" t="str">
        <x:v>NP</x:v>
      </x:c>
      <x:c r="E133" s="37" t="str">
        <x:v>1S01-NP</x:v>
      </x:c>
      <x:c r="F133" s="37"/>
      <x:c r="G133" s="38" t="str">
        <x:f>"—"</x:f>
        <x:v>—</x:v>
      </x:c>
      <x:c r="H133" s="38" t="str">
        <x:f>IF(COUNT(INDEX('SKU明细'!$D$11:$D$1309,MATCH("1S01-NP-37",'SKU明细'!$A$11:$A$1309,0)))=0,"待核",IF(COUNT(INDEX('SKU明细'!$D$11:$D$1309,MATCH("1S01-NP-37",'SKU明细'!$A$11:$A$1309,0)))&lt;1,SUM(INDEX('SKU明细'!$D$11:$D$1309,MATCH("1S01-NP-37",'SKU明细'!$A$11:$A$1309,0)))&amp;" + 待核",SUM(INDEX('SKU明细'!$D$11:$D$1309,MATCH("1S01-NP-37",'SKU明细'!$A$11:$A$1309,0)))))</x:f>
        <x:v>待核</x:v>
      </x:c>
      <x:c r="I133" s="38" t="str">
        <x:f>IF(COUNT(INDEX('SKU明细'!$D$11:$D$1309,MATCH("1S01-NP-37.5",'SKU明细'!$A$11:$A$1309,0)))=0,"待核",IF(COUNT(INDEX('SKU明细'!$D$11:$D$1309,MATCH("1S01-NP-37.5",'SKU明细'!$A$11:$A$1309,0)))&lt;1,SUM(INDEX('SKU明细'!$D$11:$D$1309,MATCH("1S01-NP-37.5",'SKU明细'!$A$11:$A$1309,0)))&amp;" + 待核",SUM(INDEX('SKU明细'!$D$11:$D$1309,MATCH("1S01-NP-37.5",'SKU明细'!$A$11:$A$1309,0)))))</x:f>
        <x:v>待核</x:v>
      </x:c>
      <x:c r="J133" s="38" t="str">
        <x:f>IF(COUNT(INDEX('SKU明细'!$D$11:$D$1309,MATCH("1S01-NP-38",'SKU明细'!$A$11:$A$1309,0)))=0,"待核",IF(COUNT(INDEX('SKU明细'!$D$11:$D$1309,MATCH("1S01-NP-38",'SKU明细'!$A$11:$A$1309,0)))&lt;1,SUM(INDEX('SKU明细'!$D$11:$D$1309,MATCH("1S01-NP-38",'SKU明细'!$A$11:$A$1309,0)))&amp;" + 待核",SUM(INDEX('SKU明细'!$D$11:$D$1309,MATCH("1S01-NP-38",'SKU明细'!$A$11:$A$1309,0)))))</x:f>
        <x:v>待核</x:v>
      </x:c>
      <x:c r="K133" s="38" t="str">
        <x:f>IF(COUNT(INDEX('SKU明细'!$D$11:$D$1309,MATCH("1S01-NP-38.5",'SKU明细'!$A$11:$A$1309,0)))=0,"待核",IF(COUNT(INDEX('SKU明细'!$D$11:$D$1309,MATCH("1S01-NP-38.5",'SKU明细'!$A$11:$A$1309,0)))&lt;1,SUM(INDEX('SKU明细'!$D$11:$D$1309,MATCH("1S01-NP-38.5",'SKU明细'!$A$11:$A$1309,0)))&amp;" + 待核",SUM(INDEX('SKU明细'!$D$11:$D$1309,MATCH("1S01-NP-38.5",'SKU明细'!$A$11:$A$1309,0)))))</x:f>
        <x:v>待核</x:v>
      </x:c>
      <x:c r="L133" s="38" t="str">
        <x:f>IF(COUNT(INDEX('SKU明细'!$D$11:$D$1309,MATCH("1S01-NP-39",'SKU明细'!$A$11:$A$1309,0)))=0,"待核",IF(COUNT(INDEX('SKU明细'!$D$11:$D$1309,MATCH("1S01-NP-39",'SKU明细'!$A$11:$A$1309,0)))&lt;1,SUM(INDEX('SKU明细'!$D$11:$D$1309,MATCH("1S01-NP-39",'SKU明细'!$A$11:$A$1309,0)))&amp;" + 待核",SUM(INDEX('SKU明细'!$D$11:$D$1309,MATCH("1S01-NP-39",'SKU明细'!$A$11:$A$1309,0)))))</x:f>
        <x:v>待核</x:v>
      </x:c>
      <x:c r="M133" s="38" t="str">
        <x:f>IF(COUNT(INDEX('SKU明细'!$D$11:$D$1309,MATCH("1S01-NP-39.5",'SKU明细'!$A$11:$A$1309,0)))=0,"待核",IF(COUNT(INDEX('SKU明细'!$D$11:$D$1309,MATCH("1S01-NP-39.5",'SKU明细'!$A$11:$A$1309,0)))&lt;1,SUM(INDEX('SKU明细'!$D$11:$D$1309,MATCH("1S01-NP-39.5",'SKU明细'!$A$11:$A$1309,0)))&amp;" + 待核",SUM(INDEX('SKU明细'!$D$11:$D$1309,MATCH("1S01-NP-39.5",'SKU明细'!$A$11:$A$1309,0)))))</x:f>
        <x:v>待核</x:v>
      </x:c>
      <x:c r="N133" s="38" t="str">
        <x:f>IF(COUNT(INDEX('SKU明细'!$D$11:$D$1309,MATCH("1S01-NP-40",'SKU明细'!$A$11:$A$1309,0)))=0,"待核",IF(COUNT(INDEX('SKU明细'!$D$11:$D$1309,MATCH("1S01-NP-40",'SKU明细'!$A$11:$A$1309,0)))&lt;1,SUM(INDEX('SKU明细'!$D$11:$D$1309,MATCH("1S01-NP-40",'SKU明细'!$A$11:$A$1309,0)))&amp;" + 待核",SUM(INDEX('SKU明细'!$D$11:$D$1309,MATCH("1S01-NP-40",'SKU明细'!$A$11:$A$1309,0)))))</x:f>
        <x:v>待核</x:v>
      </x:c>
      <x:c r="O133" s="38" t="str">
        <x:f>IF(COUNT(INDEX('SKU明细'!$D$11:$D$1309,MATCH("1S01-NP-40.5",'SKU明细'!$A$11:$A$1309,0)))=0,"待核",IF(COUNT(INDEX('SKU明细'!$D$11:$D$1309,MATCH("1S01-NP-40.5",'SKU明细'!$A$11:$A$1309,0)))&lt;1,SUM(INDEX('SKU明细'!$D$11:$D$1309,MATCH("1S01-NP-40.5",'SKU明细'!$A$11:$A$1309,0)))&amp;" + 待核",SUM(INDEX('SKU明细'!$D$11:$D$1309,MATCH("1S01-NP-40.5",'SKU明细'!$A$11:$A$1309,0)))))</x:f>
        <x:v>待核</x:v>
      </x:c>
      <x:c r="P133" s="38" t="str">
        <x:f>IF(COUNT(INDEX('SKU明细'!$D$11:$D$1309,MATCH("1S01-NP-41",'SKU明细'!$A$11:$A$1309,0)))=0,"待核",IF(COUNT(INDEX('SKU明细'!$D$11:$D$1309,MATCH("1S01-NP-41",'SKU明细'!$A$11:$A$1309,0)))&lt;1,SUM(INDEX('SKU明细'!$D$11:$D$1309,MATCH("1S01-NP-41",'SKU明细'!$A$11:$A$1309,0)))&amp;" + 待核",SUM(INDEX('SKU明细'!$D$11:$D$1309,MATCH("1S01-NP-41",'SKU明细'!$A$11:$A$1309,0)))))</x:f>
        <x:v>待核</x:v>
      </x:c>
      <x:c r="Q133" s="38" t="str">
        <x:f>IF(COUNT(INDEX('SKU明细'!$D$11:$D$1309,MATCH("1S01-NP-41.5",'SKU明细'!$A$11:$A$1309,0)))=0,"待核",IF(COUNT(INDEX('SKU明细'!$D$11:$D$1309,MATCH("1S01-NP-41.5",'SKU明细'!$A$11:$A$1309,0)))&lt;1,SUM(INDEX('SKU明细'!$D$11:$D$1309,MATCH("1S01-NP-41.5",'SKU明细'!$A$11:$A$1309,0)))&amp;" + 待核",SUM(INDEX('SKU明细'!$D$11:$D$1309,MATCH("1S01-NP-41.5",'SKU明细'!$A$11:$A$1309,0)))))</x:f>
        <x:v>待核</x:v>
      </x:c>
      <x:c r="R133" s="38" t="str">
        <x:f>IF(COUNT(INDEX('SKU明细'!$D$11:$D$1309,MATCH("1S01-NP-42",'SKU明细'!$A$11:$A$1309,0)))=0,"待核",IF(COUNT(INDEX('SKU明细'!$D$11:$D$1309,MATCH("1S01-NP-42",'SKU明细'!$A$11:$A$1309,0)))&lt;1,SUM(INDEX('SKU明细'!$D$11:$D$1309,MATCH("1S01-NP-42",'SKU明细'!$A$11:$A$1309,0)))&amp;" + 待核",SUM(INDEX('SKU明细'!$D$11:$D$1309,MATCH("1S01-NP-42",'SKU明细'!$A$11:$A$1309,0)))))</x:f>
        <x:v>待核</x:v>
      </x:c>
      <x:c r="S133" s="38" t="str">
        <x:f>IF(COUNT(INDEX('SKU明细'!$D$11:$D$1309,MATCH("1S01-NP-37",'SKU明细'!$A$11:$A$1309,0)),INDEX('SKU明细'!$D$11:$D$1309,MATCH("1S01-NP-37.5",'SKU明细'!$A$11:$A$1309,0)),INDEX('SKU明细'!$D$11:$D$1309,MATCH("1S01-NP-38",'SKU明细'!$A$11:$A$1309,0)),INDEX('SKU明细'!$D$11:$D$1309,MATCH("1S01-NP-38.5",'SKU明细'!$A$11:$A$1309,0)),INDEX('SKU明细'!$D$11:$D$1309,MATCH("1S01-NP-39",'SKU明细'!$A$11:$A$1309,0)),INDEX('SKU明细'!$D$11:$D$1309,MATCH("1S01-NP-39.5",'SKU明细'!$A$11:$A$1309,0)),INDEX('SKU明细'!$D$11:$D$1309,MATCH("1S01-NP-40",'SKU明细'!$A$11:$A$1309,0)),INDEX('SKU明细'!$D$11:$D$1309,MATCH("1S01-NP-40.5",'SKU明细'!$A$11:$A$1309,0)),INDEX('SKU明细'!$D$11:$D$1309,MATCH("1S01-NP-41",'SKU明细'!$A$11:$A$1309,0)),INDEX('SKU明细'!$D$11:$D$1309,MATCH("1S01-NP-41.5",'SKU明细'!$A$11:$A$1309,0)),INDEX('SKU明细'!$D$11:$D$1309,MATCH("1S01-NP-42",'SKU明细'!$A$11:$A$1309,0)))=0,"待核",SUM(INDEX('SKU明细'!$D$11:$D$1309,MATCH("1S01-NP-37",'SKU明细'!$A$11:$A$1309,0)),INDEX('SKU明细'!$D$11:$D$1309,MATCH("1S01-NP-37.5",'SKU明细'!$A$11:$A$1309,0)),INDEX('SKU明细'!$D$11:$D$1309,MATCH("1S01-NP-38",'SKU明细'!$A$11:$A$1309,0)),INDEX('SKU明细'!$D$11:$D$1309,MATCH("1S01-NP-38.5",'SKU明细'!$A$11:$A$1309,0)),INDEX('SKU明细'!$D$11:$D$1309,MATCH("1S01-NP-39",'SKU明细'!$A$11:$A$1309,0)),INDEX('SKU明细'!$D$11:$D$1309,MATCH("1S01-NP-39.5",'SKU明细'!$A$11:$A$1309,0)),INDEX('SKU明细'!$D$11:$D$1309,MATCH("1S01-NP-40",'SKU明细'!$A$11:$A$1309,0)),INDEX('SKU明细'!$D$11:$D$1309,MATCH("1S01-NP-40.5",'SKU明细'!$A$11:$A$1309,0)),INDEX('SKU明细'!$D$11:$D$1309,MATCH("1S01-NP-41",'SKU明细'!$A$11:$A$1309,0)),INDEX('SKU明细'!$D$11:$D$1309,MATCH("1S01-NP-41.5",'SKU明细'!$A$11:$A$1309,0)),INDEX('SKU明细'!$D$11:$D$1309,MATCH("1S01-NP-42",'SKU明细'!$A$11:$A$1309,0))))</x:f>
        <x:v>待核</x:v>
      </x:c>
      <x:c r="T133" s="38" t="n">
        <x:f>IF(COUNTIFS($A$9:$A$191,A133,$U$9:$U$191,"&lt;&gt;待核")=0,"待核",SUMIF($A$9:$A$191,A133,$S$9:$S$191))</x:f>
        <x:v>141</x:v>
      </x:c>
      <x:c r="U133" s="37" t="str">
        <x:f>IF(COUNT(INDEX('SKU明细'!$D$11:$D$1309,MATCH("1S01-NP-37",'SKU明细'!$A$11:$A$1309,0)),INDEX('SKU明细'!$D$11:$D$1309,MATCH("1S01-NP-37.5",'SKU明细'!$A$11:$A$1309,0)),INDEX('SKU明细'!$D$11:$D$1309,MATCH("1S01-NP-38",'SKU明细'!$A$11:$A$1309,0)),INDEX('SKU明细'!$D$11:$D$1309,MATCH("1S01-NP-38.5",'SKU明细'!$A$11:$A$1309,0)),INDEX('SKU明细'!$D$11:$D$1309,MATCH("1S01-NP-39",'SKU明细'!$A$11:$A$1309,0)),INDEX('SKU明细'!$D$11:$D$1309,MATCH("1S01-NP-39.5",'SKU明细'!$A$11:$A$1309,0)),INDEX('SKU明细'!$D$11:$D$1309,MATCH("1S01-NP-40",'SKU明细'!$A$11:$A$1309,0)),INDEX('SKU明细'!$D$11:$D$1309,MATCH("1S01-NP-40.5",'SKU明细'!$A$11:$A$1309,0)),INDEX('SKU明细'!$D$11:$D$1309,MATCH("1S01-NP-41",'SKU明细'!$A$11:$A$1309,0)),INDEX('SKU明细'!$D$11:$D$1309,MATCH("1S01-NP-41.5",'SKU明细'!$A$11:$A$1309,0)),INDEX('SKU明细'!$D$11:$D$1309,MATCH("1S01-NP-42",'SKU明细'!$A$11:$A$1309,0)))=0,"待核",IF(COUNT(INDEX('SKU明细'!$D$11:$D$1309,MATCH("1S01-NP-37",'SKU明细'!$A$11:$A$1309,0)),INDEX('SKU明细'!$D$11:$D$1309,MATCH("1S01-NP-37.5",'SKU明细'!$A$11:$A$1309,0)),INDEX('SKU明细'!$D$11:$D$1309,MATCH("1S01-NP-38",'SKU明细'!$A$11:$A$1309,0)),INDEX('SKU明细'!$D$11:$D$1309,MATCH("1S01-NP-38.5",'SKU明细'!$A$11:$A$1309,0)),INDEX('SKU明细'!$D$11:$D$1309,MATCH("1S01-NP-39",'SKU明细'!$A$11:$A$1309,0)),INDEX('SKU明细'!$D$11:$D$1309,MATCH("1S01-NP-39.5",'SKU明细'!$A$11:$A$1309,0)),INDEX('SKU明细'!$D$11:$D$1309,MATCH("1S01-NP-40",'SKU明细'!$A$11:$A$1309,0)),INDEX('SKU明细'!$D$11:$D$1309,MATCH("1S01-NP-40.5",'SKU明细'!$A$11:$A$1309,0)),INDEX('SKU明细'!$D$11:$D$1309,MATCH("1S01-NP-41",'SKU明细'!$A$11:$A$1309,0)),INDEX('SKU明细'!$D$11:$D$1309,MATCH("1S01-NP-41.5",'SKU明细'!$A$11:$A$1309,0)),INDEX('SKU明细'!$D$11:$D$1309,MATCH("1S01-NP-42",'SKU明细'!$A$11:$A$1309,0)))&lt;11,"另有待核","已核"))</x:f>
        <x:v>待核</x:v>
      </x:c>
      <x:c r="V133" s="37" t="str">
        <x:v>停售</x:v>
      </x:c>
      <x:c r="W133" s="11" t="n">
        <x:f>IF(COUNT(INDEX('SKU明细'!$BV$11:$BV$1309,MATCH("1S01-NP-37",'SKU明细'!$A$11:$A$1309,0)),INDEX('SKU明细'!$BV$11:$BV$1309,MATCH("1S01-NP-37.5",'SKU明细'!$A$11:$A$1309,0)),INDEX('SKU明细'!$BV$11:$BV$1309,MATCH("1S01-NP-38",'SKU明细'!$A$11:$A$1309,0)),INDEX('SKU明细'!$BV$11:$BV$1309,MATCH("1S01-NP-38.5",'SKU明细'!$A$11:$A$1309,0)),INDEX('SKU明细'!$BV$11:$BV$1309,MATCH("1S01-NP-39",'SKU明细'!$A$11:$A$1309,0)),INDEX('SKU明细'!$BV$11:$BV$1309,MATCH("1S01-NP-39.5",'SKU明细'!$A$11:$A$1309,0)),INDEX('SKU明细'!$BV$11:$BV$1309,MATCH("1S01-NP-40",'SKU明细'!$A$11:$A$1309,0)),INDEX('SKU明细'!$BV$11:$BV$1309,MATCH("1S01-NP-40.5",'SKU明细'!$A$11:$A$1309,0)),INDEX('SKU明细'!$BV$11:$BV$1309,MATCH("1S01-NP-41",'SKU明细'!$A$11:$A$1309,0)),INDEX('SKU明细'!$BV$11:$BV$1309,MATCH("1S01-NP-41.5",'SKU明细'!$A$11:$A$1309,0)),INDEX('SKU明细'!$BV$11:$BV$1309,MATCH("1S01-NP-42",'SKU明细'!$A$11:$A$1309,0)))=11,SUM(INDEX('SKU明细'!$BV$11:$BV$1309,MATCH("1S01-NP-37",'SKU明细'!$A$11:$A$1309,0)),INDEX('SKU明细'!$BV$11:$BV$1309,MATCH("1S01-NP-37.5",'SKU明细'!$A$11:$A$1309,0)),INDEX('SKU明细'!$BV$11:$BV$1309,MATCH("1S01-NP-38",'SKU明细'!$A$11:$A$1309,0)),INDEX('SKU明细'!$BV$11:$BV$1309,MATCH("1S01-NP-38.5",'SKU明细'!$A$11:$A$1309,0)),INDEX('SKU明细'!$BV$11:$BV$1309,MATCH("1S01-NP-39",'SKU明细'!$A$11:$A$1309,0)),INDEX('SKU明细'!$BV$11:$BV$1309,MATCH("1S01-NP-39.5",'SKU明细'!$A$11:$A$1309,0)),INDEX('SKU明细'!$BV$11:$BV$1309,MATCH("1S01-NP-40",'SKU明细'!$A$11:$A$1309,0)),INDEX('SKU明细'!$BV$11:$BV$1309,MATCH("1S01-NP-40.5",'SKU明细'!$A$11:$A$1309,0)),INDEX('SKU明细'!$BV$11:$BV$1309,MATCH("1S01-NP-41",'SKU明细'!$A$11:$A$1309,0)),INDEX('SKU明细'!$BV$11:$BV$1309,MATCH("1S01-NP-41.5",'SKU明细'!$A$11:$A$1309,0)),INDEX('SKU明细'!$BV$11:$BV$1309,MATCH("1S01-NP-42",'SKU明细'!$A$11:$A$1309,0))),"待核")</x:f>
        <x:v>0</x:v>
      </x:c>
      <x:c r="X133" s="11" t="n">
        <x:f>INDEX('SKU明细'!$BW$11:$BW$1309,MATCH("1S01-NP-37",'SKU明细'!$A$11:$A$1309,0))</x:f>
        <x:v>0.8729500662042875</x:v>
      </x:c>
      <x:c r="Y133" s="13" t="n">
        <x:f>IF(COUNT(INDEX('SKU明细'!$BY$11:$BY$1309,MATCH("1S01-NP-37",'SKU明细'!$A$11:$A$1309,0)),INDEX('SKU明细'!$BY$11:$BY$1309,MATCH("1S01-NP-37.5",'SKU明细'!$A$11:$A$1309,0)),INDEX('SKU明细'!$BY$11:$BY$1309,MATCH("1S01-NP-38",'SKU明细'!$A$11:$A$1309,0)),INDEX('SKU明细'!$BY$11:$BY$1309,MATCH("1S01-NP-38.5",'SKU明细'!$A$11:$A$1309,0)),INDEX('SKU明细'!$BY$11:$BY$1309,MATCH("1S01-NP-39",'SKU明细'!$A$11:$A$1309,0)),INDEX('SKU明细'!$BY$11:$BY$1309,MATCH("1S01-NP-39.5",'SKU明细'!$A$11:$A$1309,0)),INDEX('SKU明细'!$BY$11:$BY$1309,MATCH("1S01-NP-40",'SKU明细'!$A$11:$A$1309,0)),INDEX('SKU明细'!$BY$11:$BY$1309,MATCH("1S01-NP-40.5",'SKU明细'!$A$11:$A$1309,0)),INDEX('SKU明细'!$BY$11:$BY$1309,MATCH("1S01-NP-41",'SKU明细'!$A$11:$A$1309,0)),INDEX('SKU明细'!$BY$11:$BY$1309,MATCH("1S01-NP-41.5",'SKU明细'!$A$11:$A$1309,0)),INDEX('SKU明细'!$BY$11:$BY$1309,MATCH("1S01-NP-42",'SKU明细'!$A$11:$A$1309,0)))=11,SUM(INDEX('SKU明细'!$BY$11:$BY$1309,MATCH("1S01-NP-37",'SKU明细'!$A$11:$A$1309,0)),INDEX('SKU明细'!$BY$11:$BY$1309,MATCH("1S01-NP-37.5",'SKU明细'!$A$11:$A$1309,0)),INDEX('SKU明细'!$BY$11:$BY$1309,MATCH("1S01-NP-38",'SKU明细'!$A$11:$A$1309,0)),INDEX('SKU明细'!$BY$11:$BY$1309,MATCH("1S01-NP-38.5",'SKU明细'!$A$11:$A$1309,0)),INDEX('SKU明细'!$BY$11:$BY$1309,MATCH("1S01-NP-39",'SKU明细'!$A$11:$A$1309,0)),INDEX('SKU明细'!$BY$11:$BY$1309,MATCH("1S01-NP-39.5",'SKU明细'!$A$11:$A$1309,0)),INDEX('SKU明细'!$BY$11:$BY$1309,MATCH("1S01-NP-40",'SKU明细'!$A$11:$A$1309,0)),INDEX('SKU明细'!$BY$11:$BY$1309,MATCH("1S01-NP-40.5",'SKU明细'!$A$11:$A$1309,0)),INDEX('SKU明细'!$BY$11:$BY$1309,MATCH("1S01-NP-41",'SKU明细'!$A$11:$A$1309,0)),INDEX('SKU明细'!$BY$11:$BY$1309,MATCH("1S01-NP-41.5",'SKU明细'!$A$11:$A$1309,0)),INDEX('SKU明细'!$BY$11:$BY$1309,MATCH("1S01-NP-42",'SKU明细'!$A$11:$A$1309,0))),"待核")</x:f>
        <x:v>0</x:v>
      </x:c>
      <x:c r="Z133" s="11" t="n">
        <x:f>INDEX('SKU明细'!$BZ$11:$BZ$1309,MATCH("1S01-NP-37",'SKU明细'!$A$11:$A$1309,0))</x:f>
        <x:v>0.8057375774163482</x:v>
      </x:c>
      <x:c r="AA133" s="13" t="n">
        <x:f>IF(COUNT(INDEX('SKU明细'!$CB$11:$CB$1309,MATCH("1S01-NP-37",'SKU明细'!$A$11:$A$1309,0)),INDEX('SKU明细'!$CB$11:$CB$1309,MATCH("1S01-NP-37.5",'SKU明细'!$A$11:$A$1309,0)),INDEX('SKU明细'!$CB$11:$CB$1309,MATCH("1S01-NP-38",'SKU明细'!$A$11:$A$1309,0)),INDEX('SKU明细'!$CB$11:$CB$1309,MATCH("1S01-NP-38.5",'SKU明细'!$A$11:$A$1309,0)),INDEX('SKU明细'!$CB$11:$CB$1309,MATCH("1S01-NP-39",'SKU明细'!$A$11:$A$1309,0)),INDEX('SKU明细'!$CB$11:$CB$1309,MATCH("1S01-NP-39.5",'SKU明细'!$A$11:$A$1309,0)),INDEX('SKU明细'!$CB$11:$CB$1309,MATCH("1S01-NP-40",'SKU明细'!$A$11:$A$1309,0)),INDEX('SKU明细'!$CB$11:$CB$1309,MATCH("1S01-NP-40.5",'SKU明细'!$A$11:$A$1309,0)),INDEX('SKU明细'!$CB$11:$CB$1309,MATCH("1S01-NP-41",'SKU明细'!$A$11:$A$1309,0)),INDEX('SKU明细'!$CB$11:$CB$1309,MATCH("1S01-NP-41.5",'SKU明细'!$A$11:$A$1309,0)),INDEX('SKU明细'!$CB$11:$CB$1309,MATCH("1S01-NP-42",'SKU明细'!$A$11:$A$1309,0)))=11,SUM(INDEX('SKU明细'!$CB$11:$CB$1309,MATCH("1S01-NP-37",'SKU明细'!$A$11:$A$1309,0)),INDEX('SKU明细'!$CB$11:$CB$1309,MATCH("1S01-NP-37.5",'SKU明细'!$A$11:$A$1309,0)),INDEX('SKU明细'!$CB$11:$CB$1309,MATCH("1S01-NP-38",'SKU明细'!$A$11:$A$1309,0)),INDEX('SKU明细'!$CB$11:$CB$1309,MATCH("1S01-NP-38.5",'SKU明细'!$A$11:$A$1309,0)),INDEX('SKU明细'!$CB$11:$CB$1309,MATCH("1S01-NP-39",'SKU明细'!$A$11:$A$1309,0)),INDEX('SKU明细'!$CB$11:$CB$1309,MATCH("1S01-NP-39.5",'SKU明细'!$A$11:$A$1309,0)),INDEX('SKU明细'!$CB$11:$CB$1309,MATCH("1S01-NP-40",'SKU明细'!$A$11:$A$1309,0)),INDEX('SKU明细'!$CB$11:$CB$1309,MATCH("1S01-NP-40.5",'SKU明细'!$A$11:$A$1309,0)),INDEX('SKU明细'!$CB$11:$CB$1309,MATCH("1S01-NP-41",'SKU明细'!$A$11:$A$1309,0)),INDEX('SKU明细'!$CB$11:$CB$1309,MATCH("1S01-NP-41.5",'SKU明细'!$A$11:$A$1309,0)),INDEX('SKU明细'!$CB$11:$CB$1309,MATCH("1S01-NP-42",'SKU明细'!$A$11:$A$1309,0))),"待核")</x:f>
        <x:v>0</x:v>
      </x:c>
      <x:c r="AB133" s="11" t="n">
        <x:f>INDEX('SKU明细'!$CC$11:$CC$1309,MATCH("1S01-NP-37",'SKU明细'!$A$11:$A$1309,0))</x:f>
        <x:v>0.532550303142279</x:v>
      </x:c>
      <x:c r="AC133" s="13" t="n">
        <x:f>IF(COUNT(INDEX('SKU明细'!$CE$11:$CE$1309,MATCH("1S01-NP-37",'SKU明细'!$A$11:$A$1309,0)),INDEX('SKU明细'!$CE$11:$CE$1309,MATCH("1S01-NP-37.5",'SKU明细'!$A$11:$A$1309,0)),INDEX('SKU明细'!$CE$11:$CE$1309,MATCH("1S01-NP-38",'SKU明细'!$A$11:$A$1309,0)),INDEX('SKU明细'!$CE$11:$CE$1309,MATCH("1S01-NP-38.5",'SKU明细'!$A$11:$A$1309,0)),INDEX('SKU明细'!$CE$11:$CE$1309,MATCH("1S01-NP-39",'SKU明细'!$A$11:$A$1309,0)),INDEX('SKU明细'!$CE$11:$CE$1309,MATCH("1S01-NP-39.5",'SKU明细'!$A$11:$A$1309,0)),INDEX('SKU明细'!$CE$11:$CE$1309,MATCH("1S01-NP-40",'SKU明细'!$A$11:$A$1309,0)),INDEX('SKU明细'!$CE$11:$CE$1309,MATCH("1S01-NP-40.5",'SKU明细'!$A$11:$A$1309,0)),INDEX('SKU明细'!$CE$11:$CE$1309,MATCH("1S01-NP-41",'SKU明细'!$A$11:$A$1309,0)),INDEX('SKU明细'!$CE$11:$CE$1309,MATCH("1S01-NP-41.5",'SKU明细'!$A$11:$A$1309,0)),INDEX('SKU明细'!$CE$11:$CE$1309,MATCH("1S01-NP-42",'SKU明细'!$A$11:$A$1309,0)))=11,SUM(INDEX('SKU明细'!$CE$11:$CE$1309,MATCH("1S01-NP-37",'SKU明细'!$A$11:$A$1309,0)),INDEX('SKU明细'!$CE$11:$CE$1309,MATCH("1S01-NP-37.5",'SKU明细'!$A$11:$A$1309,0)),INDEX('SKU明细'!$CE$11:$CE$1309,MATCH("1S01-NP-38",'SKU明细'!$A$11:$A$1309,0)),INDEX('SKU明细'!$CE$11:$CE$1309,MATCH("1S01-NP-38.5",'SKU明细'!$A$11:$A$1309,0)),INDEX('SKU明细'!$CE$11:$CE$1309,MATCH("1S01-NP-39",'SKU明细'!$A$11:$A$1309,0)),INDEX('SKU明细'!$CE$11:$CE$1309,MATCH("1S01-NP-39.5",'SKU明细'!$A$11:$A$1309,0)),INDEX('SKU明细'!$CE$11:$CE$1309,MATCH("1S01-NP-40",'SKU明细'!$A$11:$A$1309,0)),INDEX('SKU明细'!$CE$11:$CE$1309,MATCH("1S01-NP-40.5",'SKU明细'!$A$11:$A$1309,0)),INDEX('SKU明细'!$CE$11:$CE$1309,MATCH("1S01-NP-41",'SKU明细'!$A$11:$A$1309,0)),INDEX('SKU明细'!$CE$11:$CE$1309,MATCH("1S01-NP-41.5",'SKU明细'!$A$11:$A$1309,0)),INDEX('SKU明细'!$CE$11:$CE$1309,MATCH("1S01-NP-42",'SKU明细'!$A$11:$A$1309,0))),"待核")</x:f>
        <x:v>0</x:v>
      </x:c>
      <x:c r="AD133" s="11" t="n">
        <x:f>INDEX('SKU明细'!$CF$11:$CF$1309,MATCH("1S01-NP-37",'SKU明细'!$A$11:$A$1309,0))</x:f>
        <x:v>0.7517299265337036</x:v>
      </x:c>
      <x:c r="AE133" s="13" t="n">
        <x:f>IF(COUNT(INDEX('SKU明细'!$CH$11:$CH$1309,MATCH("1S01-NP-37",'SKU明细'!$A$11:$A$1309,0)),INDEX('SKU明细'!$CH$11:$CH$1309,MATCH("1S01-NP-37.5",'SKU明细'!$A$11:$A$1309,0)),INDEX('SKU明细'!$CH$11:$CH$1309,MATCH("1S01-NP-38",'SKU明细'!$A$11:$A$1309,0)),INDEX('SKU明细'!$CH$11:$CH$1309,MATCH("1S01-NP-38.5",'SKU明细'!$A$11:$A$1309,0)),INDEX('SKU明细'!$CH$11:$CH$1309,MATCH("1S01-NP-39",'SKU明细'!$A$11:$A$1309,0)),INDEX('SKU明细'!$CH$11:$CH$1309,MATCH("1S01-NP-39.5",'SKU明细'!$A$11:$A$1309,0)),INDEX('SKU明细'!$CH$11:$CH$1309,MATCH("1S01-NP-40",'SKU明细'!$A$11:$A$1309,0)),INDEX('SKU明细'!$CH$11:$CH$1309,MATCH("1S01-NP-40.5",'SKU明细'!$A$11:$A$1309,0)),INDEX('SKU明细'!$CH$11:$CH$1309,MATCH("1S01-NP-41",'SKU明细'!$A$11:$A$1309,0)),INDEX('SKU明细'!$CH$11:$CH$1309,MATCH("1S01-NP-41.5",'SKU明细'!$A$11:$A$1309,0)),INDEX('SKU明细'!$CH$11:$CH$1309,MATCH("1S01-NP-42",'SKU明细'!$A$11:$A$1309,0)))=11,SUM(INDEX('SKU明细'!$CH$11:$CH$1309,MATCH("1S01-NP-37",'SKU明细'!$A$11:$A$1309,0)),INDEX('SKU明细'!$CH$11:$CH$1309,MATCH("1S01-NP-37.5",'SKU明细'!$A$11:$A$1309,0)),INDEX('SKU明细'!$CH$11:$CH$1309,MATCH("1S01-NP-38",'SKU明细'!$A$11:$A$1309,0)),INDEX('SKU明细'!$CH$11:$CH$1309,MATCH("1S01-NP-38.5",'SKU明细'!$A$11:$A$1309,0)),INDEX('SKU明细'!$CH$11:$CH$1309,MATCH("1S01-NP-39",'SKU明细'!$A$11:$A$1309,0)),INDEX('SKU明细'!$CH$11:$CH$1309,MATCH("1S01-NP-39.5",'SKU明细'!$A$11:$A$1309,0)),INDEX('SKU明细'!$CH$11:$CH$1309,MATCH("1S01-NP-40",'SKU明细'!$A$11:$A$1309,0)),INDEX('SKU明细'!$CH$11:$CH$1309,MATCH("1S01-NP-40.5",'SKU明细'!$A$11:$A$1309,0)),INDEX('SKU明细'!$CH$11:$CH$1309,MATCH("1S01-NP-41",'SKU明细'!$A$11:$A$1309,0)),INDEX('SKU明细'!$CH$11:$CH$1309,MATCH("1S01-NP-41.5",'SKU明细'!$A$11:$A$1309,0)),INDEX('SKU明细'!$CH$11:$CH$1309,MATCH("1S01-NP-42",'SKU明细'!$A$11:$A$1309,0))),"待核")</x:f>
        <x:v>0</x:v>
      </x:c>
      <x:c r="AF133" s="13" t="n">
        <x:f>IF(COUNT(INDEX('SKU明细'!$CI$11:$CI$1309,MATCH("1S01-NP-37",'SKU明细'!$A$11:$A$1309,0)),INDEX('SKU明细'!$CI$11:$CI$1309,MATCH("1S01-NP-37.5",'SKU明细'!$A$11:$A$1309,0)),INDEX('SKU明细'!$CI$11:$CI$1309,MATCH("1S01-NP-38",'SKU明细'!$A$11:$A$1309,0)),INDEX('SKU明细'!$CI$11:$CI$1309,MATCH("1S01-NP-38.5",'SKU明细'!$A$11:$A$1309,0)),INDEX('SKU明细'!$CI$11:$CI$1309,MATCH("1S01-NP-39",'SKU明细'!$A$11:$A$1309,0)),INDEX('SKU明细'!$CI$11:$CI$1309,MATCH("1S01-NP-39.5",'SKU明细'!$A$11:$A$1309,0)),INDEX('SKU明细'!$CI$11:$CI$1309,MATCH("1S01-NP-40",'SKU明细'!$A$11:$A$1309,0)),INDEX('SKU明细'!$CI$11:$CI$1309,MATCH("1S01-NP-40.5",'SKU明细'!$A$11:$A$1309,0)),INDEX('SKU明细'!$CI$11:$CI$1309,MATCH("1S01-NP-41",'SKU明细'!$A$11:$A$1309,0)),INDEX('SKU明细'!$CI$11:$CI$1309,MATCH("1S01-NP-41.5",'SKU明细'!$A$11:$A$1309,0)),INDEX('SKU明细'!$CI$11:$CI$1309,MATCH("1S01-NP-42",'SKU明细'!$A$11:$A$1309,0)))=11,SUM(INDEX('SKU明细'!$CI$11:$CI$1309,MATCH("1S01-NP-37",'SKU明细'!$A$11:$A$1309,0)),INDEX('SKU明细'!$CI$11:$CI$1309,MATCH("1S01-NP-37.5",'SKU明细'!$A$11:$A$1309,0)),INDEX('SKU明细'!$CI$11:$CI$1309,MATCH("1S01-NP-38",'SKU明细'!$A$11:$A$1309,0)),INDEX('SKU明细'!$CI$11:$CI$1309,MATCH("1S01-NP-38.5",'SKU明细'!$A$11:$A$1309,0)),INDEX('SKU明细'!$CI$11:$CI$1309,MATCH("1S01-NP-39",'SKU明细'!$A$11:$A$1309,0)),INDEX('SKU明细'!$CI$11:$CI$1309,MATCH("1S01-NP-39.5",'SKU明细'!$A$11:$A$1309,0)),INDEX('SKU明细'!$CI$11:$CI$1309,MATCH("1S01-NP-40",'SKU明细'!$A$11:$A$1309,0)),INDEX('SKU明细'!$CI$11:$CI$1309,MATCH("1S01-NP-40.5",'SKU明细'!$A$11:$A$1309,0)),INDEX('SKU明细'!$CI$11:$CI$1309,MATCH("1S01-NP-41",'SKU明细'!$A$11:$A$1309,0)),INDEX('SKU明细'!$CI$11:$CI$1309,MATCH("1S01-NP-41.5",'SKU明细'!$A$11:$A$1309,0)),INDEX('SKU明细'!$CI$11:$CI$1309,MATCH("1S01-NP-42",'SKU明细'!$A$11:$A$1309,0))),"待核")</x:f>
        <x:v>0</x:v>
      </x:c>
    </x:row>
    <x:row r="134" ht="40" customHeight="1">
      <x:c r="A134" s="37" t="str">
        <x:v>1S01</x:v>
      </x:c>
      <x:c r="B134" s="37" t="str">
        <x:v>徐新怡</x:v>
      </x:c>
      <x:c r="C134" s="37" t="str">
        <x:v>粉色</x:v>
      </x:c>
      <x:c r="D134" s="37" t="str">
        <x:v>PK</x:v>
      </x:c>
      <x:c r="E134" s="37" t="str">
        <x:v>1S01-PK</x:v>
      </x:c>
      <x:c r="F134" s="37"/>
      <x:c r="G134" s="38" t="str">
        <x:f>"—"</x:f>
        <x:v>—</x:v>
      </x:c>
      <x:c r="H134" s="38" t="str">
        <x:f>IF(COUNT(INDEX('SKU明细'!$D$11:$D$1309,MATCH("1S01-PK-6",'SKU明细'!$A$11:$A$1309,0)))=0,"待核",IF(COUNT(INDEX('SKU明细'!$D$11:$D$1309,MATCH("1S01-PK-6",'SKU明细'!$A$11:$A$1309,0)))&lt;1,SUM(INDEX('SKU明细'!$D$11:$D$1309,MATCH("1S01-PK-6",'SKU明细'!$A$11:$A$1309,0)))&amp;" + 待核",SUM(INDEX('SKU明细'!$D$11:$D$1309,MATCH("1S01-PK-6",'SKU明细'!$A$11:$A$1309,0)))))</x:f>
        <x:v>待核</x:v>
      </x:c>
      <x:c r="I134" s="38" t="str">
        <x:f>"—"</x:f>
        <x:v>—</x:v>
      </x:c>
      <x:c r="J134" s="38" t="str">
        <x:f>IF(COUNT(INDEX('SKU明细'!$D$11:$D$1309,MATCH("1S01-PK-7",'SKU明细'!$A$11:$A$1309,0)))=0,"待核",IF(COUNT(INDEX('SKU明细'!$D$11:$D$1309,MATCH("1S01-PK-7",'SKU明细'!$A$11:$A$1309,0)))&lt;1,SUM(INDEX('SKU明细'!$D$11:$D$1309,MATCH("1S01-PK-7",'SKU明细'!$A$11:$A$1309,0)))&amp;" + 待核",SUM(INDEX('SKU明细'!$D$11:$D$1309,MATCH("1S01-PK-7",'SKU明细'!$A$11:$A$1309,0)))))</x:f>
        <x:v>待核</x:v>
      </x:c>
      <x:c r="K134" s="38" t="str">
        <x:f>"—"</x:f>
        <x:v>—</x:v>
      </x:c>
      <x:c r="L134" s="38" t="str">
        <x:f>IF(COUNT(INDEX('SKU明细'!$D$11:$D$1309,MATCH("1S01-PK-8",'SKU明细'!$A$11:$A$1309,0)))=0,"待核",IF(COUNT(INDEX('SKU明细'!$D$11:$D$1309,MATCH("1S01-PK-8",'SKU明细'!$A$11:$A$1309,0)))&lt;1,SUM(INDEX('SKU明细'!$D$11:$D$1309,MATCH("1S01-PK-8",'SKU明细'!$A$11:$A$1309,0)))&amp;" + 待核",SUM(INDEX('SKU明细'!$D$11:$D$1309,MATCH("1S01-PK-8",'SKU明细'!$A$11:$A$1309,0)))))</x:f>
        <x:v>待核</x:v>
      </x:c>
      <x:c r="M134" s="38" t="str">
        <x:f>"—"</x:f>
        <x:v>—</x:v>
      </x:c>
      <x:c r="N134" s="38" t="str">
        <x:f>IF(COUNT(INDEX('SKU明细'!$D$11:$D$1309,MATCH("1S01-PK-9",'SKU明细'!$A$11:$A$1309,0)))=0,"待核",IF(COUNT(INDEX('SKU明细'!$D$11:$D$1309,MATCH("1S01-PK-9",'SKU明细'!$A$11:$A$1309,0)))&lt;1,SUM(INDEX('SKU明细'!$D$11:$D$1309,MATCH("1S01-PK-9",'SKU明细'!$A$11:$A$1309,0)))&amp;" + 待核",SUM(INDEX('SKU明细'!$D$11:$D$1309,MATCH("1S01-PK-9",'SKU明细'!$A$11:$A$1309,0)))))</x:f>
        <x:v>待核</x:v>
      </x:c>
      <x:c r="O134" s="38" t="str">
        <x:f>"—"</x:f>
        <x:v>—</x:v>
      </x:c>
      <x:c r="P134" s="38" t="str">
        <x:f>IF(COUNT(INDEX('SKU明细'!$D$11:$D$1309,MATCH("1S01-PK-10",'SKU明细'!$A$11:$A$1309,0)))=0,"待核",IF(COUNT(INDEX('SKU明细'!$D$11:$D$1309,MATCH("1S01-PK-10",'SKU明细'!$A$11:$A$1309,0)))&lt;1,SUM(INDEX('SKU明细'!$D$11:$D$1309,MATCH("1S01-PK-10",'SKU明细'!$A$11:$A$1309,0)))&amp;" + 待核",SUM(INDEX('SKU明细'!$D$11:$D$1309,MATCH("1S01-PK-10",'SKU明细'!$A$11:$A$1309,0)))))</x:f>
        <x:v>待核</x:v>
      </x:c>
      <x:c r="Q134" s="38" t="str">
        <x:f>"—"</x:f>
        <x:v>—</x:v>
      </x:c>
      <x:c r="R134" s="38" t="str">
        <x:f>IF(COUNT(INDEX('SKU明细'!$D$11:$D$1309,MATCH("1S01-PK-11",'SKU明细'!$A$11:$A$1309,0)))=0,"待核",IF(COUNT(INDEX('SKU明细'!$D$11:$D$1309,MATCH("1S01-PK-11",'SKU明细'!$A$11:$A$1309,0)))&lt;1,SUM(INDEX('SKU明细'!$D$11:$D$1309,MATCH("1S01-PK-11",'SKU明细'!$A$11:$A$1309,0)))&amp;" + 待核",SUM(INDEX('SKU明细'!$D$11:$D$1309,MATCH("1S01-PK-11",'SKU明细'!$A$11:$A$1309,0)))))</x:f>
        <x:v>待核</x:v>
      </x:c>
      <x:c r="S134" s="38" t="str">
        <x:f>IF(COUNT(INDEX('SKU明细'!$D$11:$D$1309,MATCH("1S01-PK-6",'SKU明细'!$A$11:$A$1309,0)),INDEX('SKU明细'!$D$11:$D$1309,MATCH("1S01-PK-7",'SKU明细'!$A$11:$A$1309,0)),INDEX('SKU明细'!$D$11:$D$1309,MATCH("1S01-PK-8",'SKU明细'!$A$11:$A$1309,0)),INDEX('SKU明细'!$D$11:$D$1309,MATCH("1S01-PK-9",'SKU明细'!$A$11:$A$1309,0)),INDEX('SKU明细'!$D$11:$D$1309,MATCH("1S01-PK-10",'SKU明细'!$A$11:$A$1309,0)),INDEX('SKU明细'!$D$11:$D$1309,MATCH("1S01-PK-11",'SKU明细'!$A$11:$A$1309,0)))=0,"待核",SUM(INDEX('SKU明细'!$D$11:$D$1309,MATCH("1S01-PK-6",'SKU明细'!$A$11:$A$1309,0)),INDEX('SKU明细'!$D$11:$D$1309,MATCH("1S01-PK-7",'SKU明细'!$A$11:$A$1309,0)),INDEX('SKU明细'!$D$11:$D$1309,MATCH("1S01-PK-8",'SKU明细'!$A$11:$A$1309,0)),INDEX('SKU明细'!$D$11:$D$1309,MATCH("1S01-PK-9",'SKU明细'!$A$11:$A$1309,0)),INDEX('SKU明细'!$D$11:$D$1309,MATCH("1S01-PK-10",'SKU明细'!$A$11:$A$1309,0)),INDEX('SKU明细'!$D$11:$D$1309,MATCH("1S01-PK-11",'SKU明细'!$A$11:$A$1309,0))))</x:f>
        <x:v>待核</x:v>
      </x:c>
      <x:c r="T134" s="38" t="n">
        <x:f>IF(COUNTIFS($A$9:$A$191,A134,$U$9:$U$191,"&lt;&gt;待核")=0,"待核",SUMIF($A$9:$A$191,A134,$S$9:$S$191))</x:f>
        <x:v>141</x:v>
      </x:c>
      <x:c r="U134" s="37" t="str">
        <x:f>IF(COUNT(INDEX('SKU明细'!$D$11:$D$1309,MATCH("1S01-PK-6",'SKU明细'!$A$11:$A$1309,0)),INDEX('SKU明细'!$D$11:$D$1309,MATCH("1S01-PK-7",'SKU明细'!$A$11:$A$1309,0)),INDEX('SKU明细'!$D$11:$D$1309,MATCH("1S01-PK-8",'SKU明细'!$A$11:$A$1309,0)),INDEX('SKU明细'!$D$11:$D$1309,MATCH("1S01-PK-9",'SKU明细'!$A$11:$A$1309,0)),INDEX('SKU明细'!$D$11:$D$1309,MATCH("1S01-PK-10",'SKU明细'!$A$11:$A$1309,0)),INDEX('SKU明细'!$D$11:$D$1309,MATCH("1S01-PK-11",'SKU明细'!$A$11:$A$1309,0)))=0,"待核",IF(COUNT(INDEX('SKU明细'!$D$11:$D$1309,MATCH("1S01-PK-6",'SKU明细'!$A$11:$A$1309,0)),INDEX('SKU明细'!$D$11:$D$1309,MATCH("1S01-PK-7",'SKU明细'!$A$11:$A$1309,0)),INDEX('SKU明细'!$D$11:$D$1309,MATCH("1S01-PK-8",'SKU明细'!$A$11:$A$1309,0)),INDEX('SKU明细'!$D$11:$D$1309,MATCH("1S01-PK-9",'SKU明细'!$A$11:$A$1309,0)),INDEX('SKU明细'!$D$11:$D$1309,MATCH("1S01-PK-10",'SKU明细'!$A$11:$A$1309,0)),INDEX('SKU明细'!$D$11:$D$1309,MATCH("1S01-PK-11",'SKU明细'!$A$11:$A$1309,0)))&lt;6,"另有待核","已核"))</x:f>
        <x:v>待核</x:v>
      </x:c>
      <x:c r="V134" s="37" t="str">
        <x:v>停售</x:v>
      </x:c>
      <x:c r="W134" s="11" t="n">
        <x:f>IF(COUNT(INDEX('SKU明细'!$BV$11:$BV$1309,MATCH("1S01-PK-6",'SKU明细'!$A$11:$A$1309,0)),INDEX('SKU明细'!$BV$11:$BV$1309,MATCH("1S01-PK-7",'SKU明细'!$A$11:$A$1309,0)),INDEX('SKU明细'!$BV$11:$BV$1309,MATCH("1S01-PK-8",'SKU明细'!$A$11:$A$1309,0)),INDEX('SKU明细'!$BV$11:$BV$1309,MATCH("1S01-PK-9",'SKU明细'!$A$11:$A$1309,0)),INDEX('SKU明细'!$BV$11:$BV$1309,MATCH("1S01-PK-10",'SKU明细'!$A$11:$A$1309,0)),INDEX('SKU明细'!$BV$11:$BV$1309,MATCH("1S01-PK-11",'SKU明细'!$A$11:$A$1309,0)))=6,SUM(INDEX('SKU明细'!$BV$11:$BV$1309,MATCH("1S01-PK-6",'SKU明细'!$A$11:$A$1309,0)),INDEX('SKU明细'!$BV$11:$BV$1309,MATCH("1S01-PK-7",'SKU明细'!$A$11:$A$1309,0)),INDEX('SKU明细'!$BV$11:$BV$1309,MATCH("1S01-PK-8",'SKU明细'!$A$11:$A$1309,0)),INDEX('SKU明细'!$BV$11:$BV$1309,MATCH("1S01-PK-9",'SKU明细'!$A$11:$A$1309,0)),INDEX('SKU明细'!$BV$11:$BV$1309,MATCH("1S01-PK-10",'SKU明细'!$A$11:$A$1309,0)),INDEX('SKU明细'!$BV$11:$BV$1309,MATCH("1S01-PK-11",'SKU明细'!$A$11:$A$1309,0))),"待核")</x:f>
        <x:v>0</x:v>
      </x:c>
      <x:c r="X134" s="11" t="n">
        <x:f>INDEX('SKU明细'!$BW$11:$BW$1309,MATCH("1S01-PK-6",'SKU明细'!$A$11:$A$1309,0))</x:f>
        <x:v>0.8729500662042875</x:v>
      </x:c>
      <x:c r="Y134" s="13" t="n">
        <x:f>IF(COUNT(INDEX('SKU明细'!$BY$11:$BY$1309,MATCH("1S01-PK-6",'SKU明细'!$A$11:$A$1309,0)),INDEX('SKU明细'!$BY$11:$BY$1309,MATCH("1S01-PK-7",'SKU明细'!$A$11:$A$1309,0)),INDEX('SKU明细'!$BY$11:$BY$1309,MATCH("1S01-PK-8",'SKU明细'!$A$11:$A$1309,0)),INDEX('SKU明细'!$BY$11:$BY$1309,MATCH("1S01-PK-9",'SKU明细'!$A$11:$A$1309,0)),INDEX('SKU明细'!$BY$11:$BY$1309,MATCH("1S01-PK-10",'SKU明细'!$A$11:$A$1309,0)),INDEX('SKU明细'!$BY$11:$BY$1309,MATCH("1S01-PK-11",'SKU明细'!$A$11:$A$1309,0)))=6,SUM(INDEX('SKU明细'!$BY$11:$BY$1309,MATCH("1S01-PK-6",'SKU明细'!$A$11:$A$1309,0)),INDEX('SKU明细'!$BY$11:$BY$1309,MATCH("1S01-PK-7",'SKU明细'!$A$11:$A$1309,0)),INDEX('SKU明细'!$BY$11:$BY$1309,MATCH("1S01-PK-8",'SKU明细'!$A$11:$A$1309,0)),INDEX('SKU明细'!$BY$11:$BY$1309,MATCH("1S01-PK-9",'SKU明细'!$A$11:$A$1309,0)),INDEX('SKU明细'!$BY$11:$BY$1309,MATCH("1S01-PK-10",'SKU明细'!$A$11:$A$1309,0)),INDEX('SKU明细'!$BY$11:$BY$1309,MATCH("1S01-PK-11",'SKU明细'!$A$11:$A$1309,0))),"待核")</x:f>
        <x:v>0</x:v>
      </x:c>
      <x:c r="Z134" s="11" t="n">
        <x:f>INDEX('SKU明细'!$BZ$11:$BZ$1309,MATCH("1S01-PK-6",'SKU明细'!$A$11:$A$1309,0))</x:f>
        <x:v>0.8057375774163482</x:v>
      </x:c>
      <x:c r="AA134" s="13" t="n">
        <x:f>IF(COUNT(INDEX('SKU明细'!$CB$11:$CB$1309,MATCH("1S01-PK-6",'SKU明细'!$A$11:$A$1309,0)),INDEX('SKU明细'!$CB$11:$CB$1309,MATCH("1S01-PK-7",'SKU明细'!$A$11:$A$1309,0)),INDEX('SKU明细'!$CB$11:$CB$1309,MATCH("1S01-PK-8",'SKU明细'!$A$11:$A$1309,0)),INDEX('SKU明细'!$CB$11:$CB$1309,MATCH("1S01-PK-9",'SKU明细'!$A$11:$A$1309,0)),INDEX('SKU明细'!$CB$11:$CB$1309,MATCH("1S01-PK-10",'SKU明细'!$A$11:$A$1309,0)),INDEX('SKU明细'!$CB$11:$CB$1309,MATCH("1S01-PK-11",'SKU明细'!$A$11:$A$1309,0)))=6,SUM(INDEX('SKU明细'!$CB$11:$CB$1309,MATCH("1S01-PK-6",'SKU明细'!$A$11:$A$1309,0)),INDEX('SKU明细'!$CB$11:$CB$1309,MATCH("1S01-PK-7",'SKU明细'!$A$11:$A$1309,0)),INDEX('SKU明细'!$CB$11:$CB$1309,MATCH("1S01-PK-8",'SKU明细'!$A$11:$A$1309,0)),INDEX('SKU明细'!$CB$11:$CB$1309,MATCH("1S01-PK-9",'SKU明细'!$A$11:$A$1309,0)),INDEX('SKU明细'!$CB$11:$CB$1309,MATCH("1S01-PK-10",'SKU明细'!$A$11:$A$1309,0)),INDEX('SKU明细'!$CB$11:$CB$1309,MATCH("1S01-PK-11",'SKU明细'!$A$11:$A$1309,0))),"待核")</x:f>
        <x:v>0</x:v>
      </x:c>
      <x:c r="AB134" s="11" t="n">
        <x:f>INDEX('SKU明细'!$CC$11:$CC$1309,MATCH("1S01-PK-6",'SKU明细'!$A$11:$A$1309,0))</x:f>
        <x:v>0.532550303142279</x:v>
      </x:c>
      <x:c r="AC134" s="13" t="n">
        <x:f>IF(COUNT(INDEX('SKU明细'!$CE$11:$CE$1309,MATCH("1S01-PK-6",'SKU明细'!$A$11:$A$1309,0)),INDEX('SKU明细'!$CE$11:$CE$1309,MATCH("1S01-PK-7",'SKU明细'!$A$11:$A$1309,0)),INDEX('SKU明细'!$CE$11:$CE$1309,MATCH("1S01-PK-8",'SKU明细'!$A$11:$A$1309,0)),INDEX('SKU明细'!$CE$11:$CE$1309,MATCH("1S01-PK-9",'SKU明细'!$A$11:$A$1309,0)),INDEX('SKU明细'!$CE$11:$CE$1309,MATCH("1S01-PK-10",'SKU明细'!$A$11:$A$1309,0)),INDEX('SKU明细'!$CE$11:$CE$1309,MATCH("1S01-PK-11",'SKU明细'!$A$11:$A$1309,0)))=6,SUM(INDEX('SKU明细'!$CE$11:$CE$1309,MATCH("1S01-PK-6",'SKU明细'!$A$11:$A$1309,0)),INDEX('SKU明细'!$CE$11:$CE$1309,MATCH("1S01-PK-7",'SKU明细'!$A$11:$A$1309,0)),INDEX('SKU明细'!$CE$11:$CE$1309,MATCH("1S01-PK-8",'SKU明细'!$A$11:$A$1309,0)),INDEX('SKU明细'!$CE$11:$CE$1309,MATCH("1S01-PK-9",'SKU明细'!$A$11:$A$1309,0)),INDEX('SKU明细'!$CE$11:$CE$1309,MATCH("1S01-PK-10",'SKU明细'!$A$11:$A$1309,0)),INDEX('SKU明细'!$CE$11:$CE$1309,MATCH("1S01-PK-11",'SKU明细'!$A$11:$A$1309,0))),"待核")</x:f>
        <x:v>0</x:v>
      </x:c>
      <x:c r="AD134" s="11" t="n">
        <x:f>INDEX('SKU明细'!$CF$11:$CF$1309,MATCH("1S01-PK-6",'SKU明细'!$A$11:$A$1309,0))</x:f>
        <x:v>0.7517299265337036</x:v>
      </x:c>
      <x:c r="AE134" s="13" t="n">
        <x:f>IF(COUNT(INDEX('SKU明细'!$CH$11:$CH$1309,MATCH("1S01-PK-6",'SKU明细'!$A$11:$A$1309,0)),INDEX('SKU明细'!$CH$11:$CH$1309,MATCH("1S01-PK-7",'SKU明细'!$A$11:$A$1309,0)),INDEX('SKU明细'!$CH$11:$CH$1309,MATCH("1S01-PK-8",'SKU明细'!$A$11:$A$1309,0)),INDEX('SKU明细'!$CH$11:$CH$1309,MATCH("1S01-PK-9",'SKU明细'!$A$11:$A$1309,0)),INDEX('SKU明细'!$CH$11:$CH$1309,MATCH("1S01-PK-10",'SKU明细'!$A$11:$A$1309,0)),INDEX('SKU明细'!$CH$11:$CH$1309,MATCH("1S01-PK-11",'SKU明细'!$A$11:$A$1309,0)))=6,SUM(INDEX('SKU明细'!$CH$11:$CH$1309,MATCH("1S01-PK-6",'SKU明细'!$A$11:$A$1309,0)),INDEX('SKU明细'!$CH$11:$CH$1309,MATCH("1S01-PK-7",'SKU明细'!$A$11:$A$1309,0)),INDEX('SKU明细'!$CH$11:$CH$1309,MATCH("1S01-PK-8",'SKU明细'!$A$11:$A$1309,0)),INDEX('SKU明细'!$CH$11:$CH$1309,MATCH("1S01-PK-9",'SKU明细'!$A$11:$A$1309,0)),INDEX('SKU明细'!$CH$11:$CH$1309,MATCH("1S01-PK-10",'SKU明细'!$A$11:$A$1309,0)),INDEX('SKU明细'!$CH$11:$CH$1309,MATCH("1S01-PK-11",'SKU明细'!$A$11:$A$1309,0))),"待核")</x:f>
        <x:v>0</x:v>
      </x:c>
      <x:c r="AF134" s="13" t="n">
        <x:f>IF(COUNT(INDEX('SKU明细'!$CI$11:$CI$1309,MATCH("1S01-PK-6",'SKU明细'!$A$11:$A$1309,0)),INDEX('SKU明细'!$CI$11:$CI$1309,MATCH("1S01-PK-7",'SKU明细'!$A$11:$A$1309,0)),INDEX('SKU明细'!$CI$11:$CI$1309,MATCH("1S01-PK-8",'SKU明细'!$A$11:$A$1309,0)),INDEX('SKU明细'!$CI$11:$CI$1309,MATCH("1S01-PK-9",'SKU明细'!$A$11:$A$1309,0)),INDEX('SKU明细'!$CI$11:$CI$1309,MATCH("1S01-PK-10",'SKU明细'!$A$11:$A$1309,0)),INDEX('SKU明细'!$CI$11:$CI$1309,MATCH("1S01-PK-11",'SKU明细'!$A$11:$A$1309,0)))=6,SUM(INDEX('SKU明细'!$CI$11:$CI$1309,MATCH("1S01-PK-6",'SKU明细'!$A$11:$A$1309,0)),INDEX('SKU明细'!$CI$11:$CI$1309,MATCH("1S01-PK-7",'SKU明细'!$A$11:$A$1309,0)),INDEX('SKU明细'!$CI$11:$CI$1309,MATCH("1S01-PK-8",'SKU明细'!$A$11:$A$1309,0)),INDEX('SKU明细'!$CI$11:$CI$1309,MATCH("1S01-PK-9",'SKU明细'!$A$11:$A$1309,0)),INDEX('SKU明细'!$CI$11:$CI$1309,MATCH("1S01-PK-10",'SKU明细'!$A$11:$A$1309,0)),INDEX('SKU明细'!$CI$11:$CI$1309,MATCH("1S01-PK-11",'SKU明细'!$A$11:$A$1309,0))),"待核")</x:f>
        <x:v>0</x:v>
      </x:c>
    </x:row>
    <x:row r="135" ht="40" customHeight="1">
      <x:c r="A135" s="37" t="str">
        <x:v>1S01</x:v>
      </x:c>
      <x:c r="B135" s="37" t="str">
        <x:v>徐新怡</x:v>
      </x:c>
      <x:c r="C135" s="37" t="str">
        <x:v>黑色蛇纹</x:v>
      </x:c>
      <x:c r="D135" s="37" t="str">
        <x:v>SB</x:v>
      </x:c>
      <x:c r="E135" s="37" t="str">
        <x:v>1S01-SB</x:v>
      </x:c>
      <x:c r="F135" s="37"/>
      <x:c r="G135" s="38" t="n">
        <x:f>IF(COUNT(INDEX('SKU明细'!$D$11:$D$1309,MATCH("1S01-SB-36",'SKU明细'!$A$11:$A$1309,0)))=0,"待核",IF(COUNT(INDEX('SKU明细'!$D$11:$D$1309,MATCH("1S01-SB-36",'SKU明细'!$A$11:$A$1309,0)))&lt;1,SUM(INDEX('SKU明细'!$D$11:$D$1309,MATCH("1S01-SB-36",'SKU明细'!$A$11:$A$1309,0)))&amp;" + 待核",SUM(INDEX('SKU明细'!$D$11:$D$1309,MATCH("1S01-SB-36",'SKU明细'!$A$11:$A$1309,0)))))</x:f>
        <x:v>0</x:v>
      </x:c>
      <x:c r="H135" s="38" t="n">
        <x:f>IF(COUNT(INDEX('SKU明细'!$D$11:$D$1309,MATCH("1S01-SB-37",'SKU明细'!$A$11:$A$1309,0)))=0,"待核",IF(COUNT(INDEX('SKU明细'!$D$11:$D$1309,MATCH("1S01-SB-37",'SKU明细'!$A$11:$A$1309,0)))&lt;1,SUM(INDEX('SKU明细'!$D$11:$D$1309,MATCH("1S01-SB-37",'SKU明细'!$A$11:$A$1309,0)))&amp;" + 待核",SUM(INDEX('SKU明细'!$D$11:$D$1309,MATCH("1S01-SB-37",'SKU明细'!$A$11:$A$1309,0)))))</x:f>
        <x:v>0</x:v>
      </x:c>
      <x:c r="I135" s="38" t="n">
        <x:f>IF(COUNT(INDEX('SKU明细'!$D$11:$D$1309,MATCH("1S01-SB-37.5",'SKU明细'!$A$11:$A$1309,0)))=0,"待核",IF(COUNT(INDEX('SKU明细'!$D$11:$D$1309,MATCH("1S01-SB-37.5",'SKU明细'!$A$11:$A$1309,0)))&lt;1,SUM(INDEX('SKU明细'!$D$11:$D$1309,MATCH("1S01-SB-37.5",'SKU明细'!$A$11:$A$1309,0)))&amp;" + 待核",SUM(INDEX('SKU明细'!$D$11:$D$1309,MATCH("1S01-SB-37.5",'SKU明细'!$A$11:$A$1309,0)))))</x:f>
        <x:v>0</x:v>
      </x:c>
      <x:c r="J135" s="38" t="n">
        <x:f>IF(COUNT(INDEX('SKU明细'!$D$11:$D$1309,MATCH("1S01-SB-38",'SKU明细'!$A$11:$A$1309,0)))=0,"待核",IF(COUNT(INDEX('SKU明细'!$D$11:$D$1309,MATCH("1S01-SB-38",'SKU明细'!$A$11:$A$1309,0)))&lt;1,SUM(INDEX('SKU明细'!$D$11:$D$1309,MATCH("1S01-SB-38",'SKU明细'!$A$11:$A$1309,0)))&amp;" + 待核",SUM(INDEX('SKU明细'!$D$11:$D$1309,MATCH("1S01-SB-38",'SKU明细'!$A$11:$A$1309,0)))))</x:f>
        <x:v>0</x:v>
      </x:c>
      <x:c r="K135" s="38" t="n">
        <x:f>IF(COUNT(INDEX('SKU明细'!$D$11:$D$1309,MATCH("1S01-SB-38.5",'SKU明细'!$A$11:$A$1309,0)))=0,"待核",IF(COUNT(INDEX('SKU明细'!$D$11:$D$1309,MATCH("1S01-SB-38.5",'SKU明细'!$A$11:$A$1309,0)))&lt;1,SUM(INDEX('SKU明细'!$D$11:$D$1309,MATCH("1S01-SB-38.5",'SKU明细'!$A$11:$A$1309,0)))&amp;" + 待核",SUM(INDEX('SKU明细'!$D$11:$D$1309,MATCH("1S01-SB-38.5",'SKU明细'!$A$11:$A$1309,0)))))</x:f>
        <x:v>0</x:v>
      </x:c>
      <x:c r="L135" s="38" t="n">
        <x:f>IF(COUNT(INDEX('SKU明细'!$D$11:$D$1309,MATCH("1S01-SB-39",'SKU明细'!$A$11:$A$1309,0)))=0,"待核",IF(COUNT(INDEX('SKU明细'!$D$11:$D$1309,MATCH("1S01-SB-39",'SKU明细'!$A$11:$A$1309,0)))&lt;1,SUM(INDEX('SKU明细'!$D$11:$D$1309,MATCH("1S01-SB-39",'SKU明细'!$A$11:$A$1309,0)))&amp;" + 待核",SUM(INDEX('SKU明细'!$D$11:$D$1309,MATCH("1S01-SB-39",'SKU明细'!$A$11:$A$1309,0)))))</x:f>
        <x:v>0</x:v>
      </x:c>
      <x:c r="M135" s="38" t="n">
        <x:f>IF(COUNT(INDEX('SKU明细'!$D$11:$D$1309,MATCH("1S01-SB-39.5",'SKU明细'!$A$11:$A$1309,0)))=0,"待核",IF(COUNT(INDEX('SKU明细'!$D$11:$D$1309,MATCH("1S01-SB-39.5",'SKU明细'!$A$11:$A$1309,0)))&lt;1,SUM(INDEX('SKU明细'!$D$11:$D$1309,MATCH("1S01-SB-39.5",'SKU明细'!$A$11:$A$1309,0)))&amp;" + 待核",SUM(INDEX('SKU明细'!$D$11:$D$1309,MATCH("1S01-SB-39.5",'SKU明细'!$A$11:$A$1309,0)))))</x:f>
        <x:v>0</x:v>
      </x:c>
      <x:c r="N135" s="38" t="n">
        <x:f>IF(COUNT(INDEX('SKU明细'!$D$11:$D$1309,MATCH("1S01-SB-40",'SKU明细'!$A$11:$A$1309,0)))=0,"待核",IF(COUNT(INDEX('SKU明细'!$D$11:$D$1309,MATCH("1S01-SB-40",'SKU明细'!$A$11:$A$1309,0)))&lt;1,SUM(INDEX('SKU明细'!$D$11:$D$1309,MATCH("1S01-SB-40",'SKU明细'!$A$11:$A$1309,0)))&amp;" + 待核",SUM(INDEX('SKU明细'!$D$11:$D$1309,MATCH("1S01-SB-40",'SKU明细'!$A$11:$A$1309,0)))))</x:f>
        <x:v>1</x:v>
      </x:c>
      <x:c r="O135" s="38" t="n">
        <x:f>IF(COUNT(INDEX('SKU明细'!$D$11:$D$1309,MATCH("1S01-SB-40.5",'SKU明细'!$A$11:$A$1309,0)))=0,"待核",IF(COUNT(INDEX('SKU明细'!$D$11:$D$1309,MATCH("1S01-SB-40.5",'SKU明细'!$A$11:$A$1309,0)))&lt;1,SUM(INDEX('SKU明细'!$D$11:$D$1309,MATCH("1S01-SB-40.5",'SKU明细'!$A$11:$A$1309,0)))&amp;" + 待核",SUM(INDEX('SKU明细'!$D$11:$D$1309,MATCH("1S01-SB-40.5",'SKU明细'!$A$11:$A$1309,0)))))</x:f>
        <x:v>0</x:v>
      </x:c>
      <x:c r="P135" s="38" t="n">
        <x:f>IF(COUNT(INDEX('SKU明细'!$D$11:$D$1309,MATCH("1S01-SB-41",'SKU明细'!$A$11:$A$1309,0)))=0,"待核",IF(COUNT(INDEX('SKU明细'!$D$11:$D$1309,MATCH("1S01-SB-41",'SKU明细'!$A$11:$A$1309,0)))&lt;1,SUM(INDEX('SKU明细'!$D$11:$D$1309,MATCH("1S01-SB-41",'SKU明细'!$A$11:$A$1309,0)))&amp;" + 待核",SUM(INDEX('SKU明细'!$D$11:$D$1309,MATCH("1S01-SB-41",'SKU明细'!$A$11:$A$1309,0)))))</x:f>
        <x:v>0</x:v>
      </x:c>
      <x:c r="Q135" s="38" t="n">
        <x:f>IF(COUNT(INDEX('SKU明细'!$D$11:$D$1309,MATCH("1S01-SB-41.5",'SKU明细'!$A$11:$A$1309,0)))=0,"待核",IF(COUNT(INDEX('SKU明细'!$D$11:$D$1309,MATCH("1S01-SB-41.5",'SKU明细'!$A$11:$A$1309,0)))&lt;1,SUM(INDEX('SKU明细'!$D$11:$D$1309,MATCH("1S01-SB-41.5",'SKU明细'!$A$11:$A$1309,0)))&amp;" + 待核",SUM(INDEX('SKU明细'!$D$11:$D$1309,MATCH("1S01-SB-41.5",'SKU明细'!$A$11:$A$1309,0)))))</x:f>
        <x:v>0</x:v>
      </x:c>
      <x:c r="R135" s="38" t="n">
        <x:f>IF(COUNT(INDEX('SKU明细'!$D$11:$D$1309,MATCH("1S01-SB-42-NEW",'SKU明细'!$A$11:$A$1309,0)))=0,"待核",IF(COUNT(INDEX('SKU明细'!$D$11:$D$1309,MATCH("1S01-SB-42-NEW",'SKU明细'!$A$11:$A$1309,0)))&lt;1,SUM(INDEX('SKU明细'!$D$11:$D$1309,MATCH("1S01-SB-42-NEW",'SKU明细'!$A$11:$A$1309,0)))&amp;" + 待核",SUM(INDEX('SKU明细'!$D$11:$D$1309,MATCH("1S01-SB-42-NEW",'SKU明细'!$A$11:$A$1309,0)))))</x:f>
        <x:v>0</x:v>
      </x:c>
      <x:c r="S135" s="38" t="n">
        <x:f>IF(COUNT(INDEX('SKU明细'!$D$11:$D$1309,MATCH("1S01-SB-36",'SKU明细'!$A$11:$A$1309,0)),INDEX('SKU明细'!$D$11:$D$1309,MATCH("1S01-SB-37",'SKU明细'!$A$11:$A$1309,0)),INDEX('SKU明细'!$D$11:$D$1309,MATCH("1S01-SB-37.5",'SKU明细'!$A$11:$A$1309,0)),INDEX('SKU明细'!$D$11:$D$1309,MATCH("1S01-SB-38",'SKU明细'!$A$11:$A$1309,0)),INDEX('SKU明细'!$D$11:$D$1309,MATCH("1S01-SB-38.5",'SKU明细'!$A$11:$A$1309,0)),INDEX('SKU明细'!$D$11:$D$1309,MATCH("1S01-SB-39",'SKU明细'!$A$11:$A$1309,0)),INDEX('SKU明细'!$D$11:$D$1309,MATCH("1S01-SB-39.5",'SKU明细'!$A$11:$A$1309,0)),INDEX('SKU明细'!$D$11:$D$1309,MATCH("1S01-SB-40",'SKU明细'!$A$11:$A$1309,0)),INDEX('SKU明细'!$D$11:$D$1309,MATCH("1S01-SB-40.5",'SKU明细'!$A$11:$A$1309,0)),INDEX('SKU明细'!$D$11:$D$1309,MATCH("1S01-SB-41",'SKU明细'!$A$11:$A$1309,0)),INDEX('SKU明细'!$D$11:$D$1309,MATCH("1S01-SB-41.5",'SKU明细'!$A$11:$A$1309,0)),INDEX('SKU明细'!$D$11:$D$1309,MATCH("1S01-SB-42-NEW",'SKU明细'!$A$11:$A$1309,0)))=0,"待核",SUM(INDEX('SKU明细'!$D$11:$D$1309,MATCH("1S01-SB-36",'SKU明细'!$A$11:$A$1309,0)),INDEX('SKU明细'!$D$11:$D$1309,MATCH("1S01-SB-37",'SKU明细'!$A$11:$A$1309,0)),INDEX('SKU明细'!$D$11:$D$1309,MATCH("1S01-SB-37.5",'SKU明细'!$A$11:$A$1309,0)),INDEX('SKU明细'!$D$11:$D$1309,MATCH("1S01-SB-38",'SKU明细'!$A$11:$A$1309,0)),INDEX('SKU明细'!$D$11:$D$1309,MATCH("1S01-SB-38.5",'SKU明细'!$A$11:$A$1309,0)),INDEX('SKU明细'!$D$11:$D$1309,MATCH("1S01-SB-39",'SKU明细'!$A$11:$A$1309,0)),INDEX('SKU明细'!$D$11:$D$1309,MATCH("1S01-SB-39.5",'SKU明细'!$A$11:$A$1309,0)),INDEX('SKU明细'!$D$11:$D$1309,MATCH("1S01-SB-40",'SKU明细'!$A$11:$A$1309,0)),INDEX('SKU明细'!$D$11:$D$1309,MATCH("1S01-SB-40.5",'SKU明细'!$A$11:$A$1309,0)),INDEX('SKU明细'!$D$11:$D$1309,MATCH("1S01-SB-41",'SKU明细'!$A$11:$A$1309,0)),INDEX('SKU明细'!$D$11:$D$1309,MATCH("1S01-SB-41.5",'SKU明细'!$A$11:$A$1309,0)),INDEX('SKU明细'!$D$11:$D$1309,MATCH("1S01-SB-42-NEW",'SKU明细'!$A$11:$A$1309,0))))</x:f>
        <x:v>1</x:v>
      </x:c>
      <x:c r="T135" s="38" t="n">
        <x:f>IF(COUNTIFS($A$9:$A$191,A135,$U$9:$U$191,"&lt;&gt;待核")=0,"待核",SUMIF($A$9:$A$191,A135,$S$9:$S$191))</x:f>
        <x:v>141</x:v>
      </x:c>
      <x:c r="U135" s="37" t="str">
        <x:f>IF(COUNT(INDEX('SKU明细'!$D$11:$D$1309,MATCH("1S01-SB-36",'SKU明细'!$A$11:$A$1309,0)),INDEX('SKU明细'!$D$11:$D$1309,MATCH("1S01-SB-37",'SKU明细'!$A$11:$A$1309,0)),INDEX('SKU明细'!$D$11:$D$1309,MATCH("1S01-SB-37.5",'SKU明细'!$A$11:$A$1309,0)),INDEX('SKU明细'!$D$11:$D$1309,MATCH("1S01-SB-38",'SKU明细'!$A$11:$A$1309,0)),INDEX('SKU明细'!$D$11:$D$1309,MATCH("1S01-SB-38.5",'SKU明细'!$A$11:$A$1309,0)),INDEX('SKU明细'!$D$11:$D$1309,MATCH("1S01-SB-39",'SKU明细'!$A$11:$A$1309,0)),INDEX('SKU明细'!$D$11:$D$1309,MATCH("1S01-SB-39.5",'SKU明细'!$A$11:$A$1309,0)),INDEX('SKU明细'!$D$11:$D$1309,MATCH("1S01-SB-40",'SKU明细'!$A$11:$A$1309,0)),INDEX('SKU明细'!$D$11:$D$1309,MATCH("1S01-SB-40.5",'SKU明细'!$A$11:$A$1309,0)),INDEX('SKU明细'!$D$11:$D$1309,MATCH("1S01-SB-41",'SKU明细'!$A$11:$A$1309,0)),INDEX('SKU明细'!$D$11:$D$1309,MATCH("1S01-SB-41.5",'SKU明细'!$A$11:$A$1309,0)),INDEX('SKU明细'!$D$11:$D$1309,MATCH("1S01-SB-42-NEW",'SKU明细'!$A$11:$A$1309,0)))=0,"待核",IF(COUNT(INDEX('SKU明细'!$D$11:$D$1309,MATCH("1S01-SB-36",'SKU明细'!$A$11:$A$1309,0)),INDEX('SKU明细'!$D$11:$D$1309,MATCH("1S01-SB-37",'SKU明细'!$A$11:$A$1309,0)),INDEX('SKU明细'!$D$11:$D$1309,MATCH("1S01-SB-37.5",'SKU明细'!$A$11:$A$1309,0)),INDEX('SKU明细'!$D$11:$D$1309,MATCH("1S01-SB-38",'SKU明细'!$A$11:$A$1309,0)),INDEX('SKU明细'!$D$11:$D$1309,MATCH("1S01-SB-38.5",'SKU明细'!$A$11:$A$1309,0)),INDEX('SKU明细'!$D$11:$D$1309,MATCH("1S01-SB-39",'SKU明细'!$A$11:$A$1309,0)),INDEX('SKU明细'!$D$11:$D$1309,MATCH("1S01-SB-39.5",'SKU明细'!$A$11:$A$1309,0)),INDEX('SKU明细'!$D$11:$D$1309,MATCH("1S01-SB-40",'SKU明细'!$A$11:$A$1309,0)),INDEX('SKU明细'!$D$11:$D$1309,MATCH("1S01-SB-40.5",'SKU明细'!$A$11:$A$1309,0)),INDEX('SKU明细'!$D$11:$D$1309,MATCH("1S01-SB-41",'SKU明细'!$A$11:$A$1309,0)),INDEX('SKU明细'!$D$11:$D$1309,MATCH("1S01-SB-41.5",'SKU明细'!$A$11:$A$1309,0)),INDEX('SKU明细'!$D$11:$D$1309,MATCH("1S01-SB-42-NEW",'SKU明细'!$A$11:$A$1309,0)))&lt;12,"另有待核","已核"))</x:f>
        <x:v>已核</x:v>
      </x:c>
      <x:c r="V135" s="37" t="str">
        <x:v>停售、在售</x:v>
      </x:c>
      <x:c r="W135" s="11" t="n">
        <x:f>IF(COUNT(INDEX('SKU明细'!$BV$11:$BV$1309,MATCH("1S01-SB-36",'SKU明细'!$A$11:$A$1309,0)),INDEX('SKU明细'!$BV$11:$BV$1309,MATCH("1S01-SB-37",'SKU明细'!$A$11:$A$1309,0)),INDEX('SKU明细'!$BV$11:$BV$1309,MATCH("1S01-SB-37.5",'SKU明细'!$A$11:$A$1309,0)),INDEX('SKU明细'!$BV$11:$BV$1309,MATCH("1S01-SB-38",'SKU明细'!$A$11:$A$1309,0)),INDEX('SKU明细'!$BV$11:$BV$1309,MATCH("1S01-SB-38.5",'SKU明细'!$A$11:$A$1309,0)),INDEX('SKU明细'!$BV$11:$BV$1309,MATCH("1S01-SB-39",'SKU明细'!$A$11:$A$1309,0)),INDEX('SKU明细'!$BV$11:$BV$1309,MATCH("1S01-SB-39.5",'SKU明细'!$A$11:$A$1309,0)),INDEX('SKU明细'!$BV$11:$BV$1309,MATCH("1S01-SB-40",'SKU明细'!$A$11:$A$1309,0)),INDEX('SKU明细'!$BV$11:$BV$1309,MATCH("1S01-SB-40.5",'SKU明细'!$A$11:$A$1309,0)),INDEX('SKU明细'!$BV$11:$BV$1309,MATCH("1S01-SB-41",'SKU明细'!$A$11:$A$1309,0)),INDEX('SKU明细'!$BV$11:$BV$1309,MATCH("1S01-SB-41.5",'SKU明细'!$A$11:$A$1309,0)),INDEX('SKU明细'!$BV$11:$BV$1309,MATCH("1S01-SB-42-NEW",'SKU明细'!$A$11:$A$1309,0)))=12,SUM(INDEX('SKU明细'!$BV$11:$BV$1309,MATCH("1S01-SB-36",'SKU明细'!$A$11:$A$1309,0)),INDEX('SKU明细'!$BV$11:$BV$1309,MATCH("1S01-SB-37",'SKU明细'!$A$11:$A$1309,0)),INDEX('SKU明细'!$BV$11:$BV$1309,MATCH("1S01-SB-37.5",'SKU明细'!$A$11:$A$1309,0)),INDEX('SKU明细'!$BV$11:$BV$1309,MATCH("1S01-SB-38",'SKU明细'!$A$11:$A$1309,0)),INDEX('SKU明细'!$BV$11:$BV$1309,MATCH("1S01-SB-38.5",'SKU明细'!$A$11:$A$1309,0)),INDEX('SKU明细'!$BV$11:$BV$1309,MATCH("1S01-SB-39",'SKU明细'!$A$11:$A$1309,0)),INDEX('SKU明细'!$BV$11:$BV$1309,MATCH("1S01-SB-39.5",'SKU明细'!$A$11:$A$1309,0)),INDEX('SKU明细'!$BV$11:$BV$1309,MATCH("1S01-SB-40",'SKU明细'!$A$11:$A$1309,0)),INDEX('SKU明细'!$BV$11:$BV$1309,MATCH("1S01-SB-40.5",'SKU明细'!$A$11:$A$1309,0)),INDEX('SKU明细'!$BV$11:$BV$1309,MATCH("1S01-SB-41",'SKU明细'!$A$11:$A$1309,0)),INDEX('SKU明细'!$BV$11:$BV$1309,MATCH("1S01-SB-41.5",'SKU明细'!$A$11:$A$1309,0)),INDEX('SKU明细'!$BV$11:$BV$1309,MATCH("1S01-SB-42-NEW",'SKU明细'!$A$11:$A$1309,0))),"待核")</x:f>
        <x:v>1.001631473973664</x:v>
      </x:c>
      <x:c r="X135" s="11" t="n">
        <x:f>INDEX('SKU明细'!$BW$11:$BW$1309,MATCH("1S01-SB-36",'SKU明细'!$A$11:$A$1309,0))</x:f>
        <x:v>0.8729500662042875</x:v>
      </x:c>
      <x:c r="Y135" s="13" t="n">
        <x:f>IF(COUNT(INDEX('SKU明细'!$BY$11:$BY$1309,MATCH("1S01-SB-36",'SKU明细'!$A$11:$A$1309,0)),INDEX('SKU明细'!$BY$11:$BY$1309,MATCH("1S01-SB-37",'SKU明细'!$A$11:$A$1309,0)),INDEX('SKU明细'!$BY$11:$BY$1309,MATCH("1S01-SB-37.5",'SKU明细'!$A$11:$A$1309,0)),INDEX('SKU明细'!$BY$11:$BY$1309,MATCH("1S01-SB-38",'SKU明细'!$A$11:$A$1309,0)),INDEX('SKU明细'!$BY$11:$BY$1309,MATCH("1S01-SB-38.5",'SKU明细'!$A$11:$A$1309,0)),INDEX('SKU明细'!$BY$11:$BY$1309,MATCH("1S01-SB-39",'SKU明细'!$A$11:$A$1309,0)),INDEX('SKU明细'!$BY$11:$BY$1309,MATCH("1S01-SB-39.5",'SKU明细'!$A$11:$A$1309,0)),INDEX('SKU明细'!$BY$11:$BY$1309,MATCH("1S01-SB-40",'SKU明细'!$A$11:$A$1309,0)),INDEX('SKU明细'!$BY$11:$BY$1309,MATCH("1S01-SB-40.5",'SKU明细'!$A$11:$A$1309,0)),INDEX('SKU明细'!$BY$11:$BY$1309,MATCH("1S01-SB-41",'SKU明细'!$A$11:$A$1309,0)),INDEX('SKU明细'!$BY$11:$BY$1309,MATCH("1S01-SB-41.5",'SKU明细'!$A$11:$A$1309,0)),INDEX('SKU明细'!$BY$11:$BY$1309,MATCH("1S01-SB-42-NEW",'SKU明细'!$A$11:$A$1309,0)))=12,SUM(INDEX('SKU明细'!$BY$11:$BY$1309,MATCH("1S01-SB-36",'SKU明细'!$A$11:$A$1309,0)),INDEX('SKU明细'!$BY$11:$BY$1309,MATCH("1S01-SB-37",'SKU明细'!$A$11:$A$1309,0)),INDEX('SKU明细'!$BY$11:$BY$1309,MATCH("1S01-SB-37.5",'SKU明细'!$A$11:$A$1309,0)),INDEX('SKU明细'!$BY$11:$BY$1309,MATCH("1S01-SB-38",'SKU明细'!$A$11:$A$1309,0)),INDEX('SKU明细'!$BY$11:$BY$1309,MATCH("1S01-SB-38.5",'SKU明细'!$A$11:$A$1309,0)),INDEX('SKU明细'!$BY$11:$BY$1309,MATCH("1S01-SB-39",'SKU明细'!$A$11:$A$1309,0)),INDEX('SKU明细'!$BY$11:$BY$1309,MATCH("1S01-SB-39.5",'SKU明细'!$A$11:$A$1309,0)),INDEX('SKU明细'!$BY$11:$BY$1309,MATCH("1S01-SB-40",'SKU明细'!$A$11:$A$1309,0)),INDEX('SKU明细'!$BY$11:$BY$1309,MATCH("1S01-SB-40.5",'SKU明细'!$A$11:$A$1309,0)),INDEX('SKU明细'!$BY$11:$BY$1309,MATCH("1S01-SB-41",'SKU明细'!$A$11:$A$1309,0)),INDEX('SKU明细'!$BY$11:$BY$1309,MATCH("1S01-SB-41.5",'SKU明细'!$A$11:$A$1309,0)),INDEX('SKU明细'!$BY$11:$BY$1309,MATCH("1S01-SB-42-NEW",'SKU明细'!$A$11:$A$1309,0))),"待核")</x:f>
        <x:v>10.492491138211296</x:v>
      </x:c>
      <x:c r="Z135" s="11" t="n">
        <x:f>INDEX('SKU明细'!$BZ$11:$BZ$1309,MATCH("1S01-SB-36",'SKU明细'!$A$11:$A$1309,0))</x:f>
        <x:v>0.8057375774163482</x:v>
      </x:c>
      <x:c r="AA135" s="13" t="n">
        <x:f>IF(COUNT(INDEX('SKU明细'!$CB$11:$CB$1309,MATCH("1S01-SB-36",'SKU明细'!$A$11:$A$1309,0)),INDEX('SKU明细'!$CB$11:$CB$1309,MATCH("1S01-SB-37",'SKU明细'!$A$11:$A$1309,0)),INDEX('SKU明细'!$CB$11:$CB$1309,MATCH("1S01-SB-37.5",'SKU明细'!$A$11:$A$1309,0)),INDEX('SKU明细'!$CB$11:$CB$1309,MATCH("1S01-SB-38",'SKU明细'!$A$11:$A$1309,0)),INDEX('SKU明细'!$CB$11:$CB$1309,MATCH("1S01-SB-38.5",'SKU明细'!$A$11:$A$1309,0)),INDEX('SKU明细'!$CB$11:$CB$1309,MATCH("1S01-SB-39",'SKU明细'!$A$11:$A$1309,0)),INDEX('SKU明细'!$CB$11:$CB$1309,MATCH("1S01-SB-39.5",'SKU明细'!$A$11:$A$1309,0)),INDEX('SKU明细'!$CB$11:$CB$1309,MATCH("1S01-SB-40",'SKU明细'!$A$11:$A$1309,0)),INDEX('SKU明细'!$CB$11:$CB$1309,MATCH("1S01-SB-40.5",'SKU明细'!$A$11:$A$1309,0)),INDEX('SKU明细'!$CB$11:$CB$1309,MATCH("1S01-SB-41",'SKU明细'!$A$11:$A$1309,0)),INDEX('SKU明细'!$CB$11:$CB$1309,MATCH("1S01-SB-41.5",'SKU明细'!$A$11:$A$1309,0)),INDEX('SKU明细'!$CB$11:$CB$1309,MATCH("1S01-SB-42-NEW",'SKU明细'!$A$11:$A$1309,0)))=12,SUM(INDEX('SKU明细'!$CB$11:$CB$1309,MATCH("1S01-SB-36",'SKU明细'!$A$11:$A$1309,0)),INDEX('SKU明细'!$CB$11:$CB$1309,MATCH("1S01-SB-37",'SKU明细'!$A$11:$A$1309,0)),INDEX('SKU明细'!$CB$11:$CB$1309,MATCH("1S01-SB-37.5",'SKU明细'!$A$11:$A$1309,0)),INDEX('SKU明细'!$CB$11:$CB$1309,MATCH("1S01-SB-38",'SKU明细'!$A$11:$A$1309,0)),INDEX('SKU明细'!$CB$11:$CB$1309,MATCH("1S01-SB-38.5",'SKU明细'!$A$11:$A$1309,0)),INDEX('SKU明细'!$CB$11:$CB$1309,MATCH("1S01-SB-39",'SKU明细'!$A$11:$A$1309,0)),INDEX('SKU明细'!$CB$11:$CB$1309,MATCH("1S01-SB-39.5",'SKU明细'!$A$11:$A$1309,0)),INDEX('SKU明细'!$CB$11:$CB$1309,MATCH("1S01-SB-40",'SKU明细'!$A$11:$A$1309,0)),INDEX('SKU明细'!$CB$11:$CB$1309,MATCH("1S01-SB-40.5",'SKU明细'!$A$11:$A$1309,0)),INDEX('SKU明细'!$CB$11:$CB$1309,MATCH("1S01-SB-41",'SKU明细'!$A$11:$A$1309,0)),INDEX('SKU明细'!$CB$11:$CB$1309,MATCH("1S01-SB-41.5",'SKU明细'!$A$11:$A$1309,0)),INDEX('SKU明细'!$CB$11:$CB$1309,MATCH("1S01-SB-42-NEW",'SKU明细'!$A$11:$A$1309,0))),"待核")</x:f>
        <x:v>24.211563519105184</x:v>
      </x:c>
      <x:c r="AB135" s="11" t="n">
        <x:f>INDEX('SKU明细'!$CC$11:$CC$1309,MATCH("1S01-SB-36",'SKU明细'!$A$11:$A$1309,0))</x:f>
        <x:v>0.532550303142279</x:v>
      </x:c>
      <x:c r="AC135" s="13" t="n">
        <x:f>IF(COUNT(INDEX('SKU明细'!$CE$11:$CE$1309,MATCH("1S01-SB-36",'SKU明细'!$A$11:$A$1309,0)),INDEX('SKU明细'!$CE$11:$CE$1309,MATCH("1S01-SB-37",'SKU明细'!$A$11:$A$1309,0)),INDEX('SKU明细'!$CE$11:$CE$1309,MATCH("1S01-SB-37.5",'SKU明细'!$A$11:$A$1309,0)),INDEX('SKU明细'!$CE$11:$CE$1309,MATCH("1S01-SB-38",'SKU明细'!$A$11:$A$1309,0)),INDEX('SKU明细'!$CE$11:$CE$1309,MATCH("1S01-SB-38.5",'SKU明细'!$A$11:$A$1309,0)),INDEX('SKU明细'!$CE$11:$CE$1309,MATCH("1S01-SB-39",'SKU明细'!$A$11:$A$1309,0)),INDEX('SKU明细'!$CE$11:$CE$1309,MATCH("1S01-SB-39.5",'SKU明细'!$A$11:$A$1309,0)),INDEX('SKU明细'!$CE$11:$CE$1309,MATCH("1S01-SB-40",'SKU明细'!$A$11:$A$1309,0)),INDEX('SKU明细'!$CE$11:$CE$1309,MATCH("1S01-SB-40.5",'SKU明细'!$A$11:$A$1309,0)),INDEX('SKU明细'!$CE$11:$CE$1309,MATCH("1S01-SB-41",'SKU明细'!$A$11:$A$1309,0)),INDEX('SKU明细'!$CE$11:$CE$1309,MATCH("1S01-SB-41.5",'SKU明细'!$A$11:$A$1309,0)),INDEX('SKU明细'!$CE$11:$CE$1309,MATCH("1S01-SB-42-NEW",'SKU明细'!$A$11:$A$1309,0)))=12,SUM(INDEX('SKU明细'!$CE$11:$CE$1309,MATCH("1S01-SB-36",'SKU明细'!$A$11:$A$1309,0)),INDEX('SKU明细'!$CE$11:$CE$1309,MATCH("1S01-SB-37",'SKU明细'!$A$11:$A$1309,0)),INDEX('SKU明细'!$CE$11:$CE$1309,MATCH("1S01-SB-37.5",'SKU明细'!$A$11:$A$1309,0)),INDEX('SKU明细'!$CE$11:$CE$1309,MATCH("1S01-SB-38",'SKU明细'!$A$11:$A$1309,0)),INDEX('SKU明细'!$CE$11:$CE$1309,MATCH("1S01-SB-38.5",'SKU明细'!$A$11:$A$1309,0)),INDEX('SKU明细'!$CE$11:$CE$1309,MATCH("1S01-SB-39",'SKU明细'!$A$11:$A$1309,0)),INDEX('SKU明细'!$CE$11:$CE$1309,MATCH("1S01-SB-39.5",'SKU明细'!$A$11:$A$1309,0)),INDEX('SKU明细'!$CE$11:$CE$1309,MATCH("1S01-SB-40",'SKU明细'!$A$11:$A$1309,0)),INDEX('SKU明细'!$CE$11:$CE$1309,MATCH("1S01-SB-40.5",'SKU明细'!$A$11:$A$1309,0)),INDEX('SKU明细'!$CE$11:$CE$1309,MATCH("1S01-SB-41",'SKU明细'!$A$11:$A$1309,0)),INDEX('SKU明细'!$CE$11:$CE$1309,MATCH("1S01-SB-41.5",'SKU明细'!$A$11:$A$1309,0)),INDEX('SKU明细'!$CE$11:$CE$1309,MATCH("1S01-SB-42-NEW",'SKU明细'!$A$11:$A$1309,0))),"待核")</x:f>
        <x:v>16.5359934981472</x:v>
      </x:c>
      <x:c r="AD135" s="11" t="n">
        <x:f>INDEX('SKU明细'!$CF$11:$CF$1309,MATCH("1S01-SB-36",'SKU明细'!$A$11:$A$1309,0))</x:f>
        <x:v>0.7517299265337036</x:v>
      </x:c>
      <x:c r="AE135" s="13" t="n">
        <x:f>IF(COUNT(INDEX('SKU明细'!$CH$11:$CH$1309,MATCH("1S01-SB-36",'SKU明细'!$A$11:$A$1309,0)),INDEX('SKU明细'!$CH$11:$CH$1309,MATCH("1S01-SB-37",'SKU明细'!$A$11:$A$1309,0)),INDEX('SKU明细'!$CH$11:$CH$1309,MATCH("1S01-SB-37.5",'SKU明细'!$A$11:$A$1309,0)),INDEX('SKU明细'!$CH$11:$CH$1309,MATCH("1S01-SB-38",'SKU明细'!$A$11:$A$1309,0)),INDEX('SKU明细'!$CH$11:$CH$1309,MATCH("1S01-SB-38.5",'SKU明细'!$A$11:$A$1309,0)),INDEX('SKU明细'!$CH$11:$CH$1309,MATCH("1S01-SB-39",'SKU明细'!$A$11:$A$1309,0)),INDEX('SKU明细'!$CH$11:$CH$1309,MATCH("1S01-SB-39.5",'SKU明细'!$A$11:$A$1309,0)),INDEX('SKU明细'!$CH$11:$CH$1309,MATCH("1S01-SB-40",'SKU明细'!$A$11:$A$1309,0)),INDEX('SKU明细'!$CH$11:$CH$1309,MATCH("1S01-SB-40.5",'SKU明细'!$A$11:$A$1309,0)),INDEX('SKU明细'!$CH$11:$CH$1309,MATCH("1S01-SB-41",'SKU明细'!$A$11:$A$1309,0)),INDEX('SKU明细'!$CH$11:$CH$1309,MATCH("1S01-SB-41.5",'SKU明细'!$A$11:$A$1309,0)),INDEX('SKU明细'!$CH$11:$CH$1309,MATCH("1S01-SB-42-NEW",'SKU明细'!$A$11:$A$1309,0)))=12,SUM(INDEX('SKU明细'!$CH$11:$CH$1309,MATCH("1S01-SB-36",'SKU明细'!$A$11:$A$1309,0)),INDEX('SKU明细'!$CH$11:$CH$1309,MATCH("1S01-SB-37",'SKU明细'!$A$11:$A$1309,0)),INDEX('SKU明细'!$CH$11:$CH$1309,MATCH("1S01-SB-37.5",'SKU明细'!$A$11:$A$1309,0)),INDEX('SKU明细'!$CH$11:$CH$1309,MATCH("1S01-SB-38",'SKU明细'!$A$11:$A$1309,0)),INDEX('SKU明细'!$CH$11:$CH$1309,MATCH("1S01-SB-38.5",'SKU明细'!$A$11:$A$1309,0)),INDEX('SKU明细'!$CH$11:$CH$1309,MATCH("1S01-SB-39",'SKU明细'!$A$11:$A$1309,0)),INDEX('SKU明细'!$CH$11:$CH$1309,MATCH("1S01-SB-39.5",'SKU明细'!$A$11:$A$1309,0)),INDEX('SKU明细'!$CH$11:$CH$1309,MATCH("1S01-SB-40",'SKU明细'!$A$11:$A$1309,0)),INDEX('SKU明细'!$CH$11:$CH$1309,MATCH("1S01-SB-40.5",'SKU明细'!$A$11:$A$1309,0)),INDEX('SKU明细'!$CH$11:$CH$1309,MATCH("1S01-SB-41",'SKU明细'!$A$11:$A$1309,0)),INDEX('SKU明细'!$CH$11:$CH$1309,MATCH("1S01-SB-41.5",'SKU明细'!$A$11:$A$1309,0)),INDEX('SKU明细'!$CH$11:$CH$1309,MATCH("1S01-SB-42-NEW",'SKU明细'!$A$11:$A$1309,0))),"待核")</x:f>
        <x:v>12.800258023849153</x:v>
      </x:c>
      <x:c r="AF135" s="13" t="n">
        <x:f>IF(COUNT(INDEX('SKU明细'!$CI$11:$CI$1309,MATCH("1S01-SB-36",'SKU明细'!$A$11:$A$1309,0)),INDEX('SKU明细'!$CI$11:$CI$1309,MATCH("1S01-SB-37",'SKU明细'!$A$11:$A$1309,0)),INDEX('SKU明细'!$CI$11:$CI$1309,MATCH("1S01-SB-37.5",'SKU明细'!$A$11:$A$1309,0)),INDEX('SKU明细'!$CI$11:$CI$1309,MATCH("1S01-SB-38",'SKU明细'!$A$11:$A$1309,0)),INDEX('SKU明细'!$CI$11:$CI$1309,MATCH("1S01-SB-38.5",'SKU明细'!$A$11:$A$1309,0)),INDEX('SKU明细'!$CI$11:$CI$1309,MATCH("1S01-SB-39",'SKU明细'!$A$11:$A$1309,0)),INDEX('SKU明细'!$CI$11:$CI$1309,MATCH("1S01-SB-39.5",'SKU明细'!$A$11:$A$1309,0)),INDEX('SKU明细'!$CI$11:$CI$1309,MATCH("1S01-SB-40",'SKU明细'!$A$11:$A$1309,0)),INDEX('SKU明细'!$CI$11:$CI$1309,MATCH("1S01-SB-40.5",'SKU明细'!$A$11:$A$1309,0)),INDEX('SKU明细'!$CI$11:$CI$1309,MATCH("1S01-SB-41",'SKU明细'!$A$11:$A$1309,0)),INDEX('SKU明细'!$CI$11:$CI$1309,MATCH("1S01-SB-41.5",'SKU明细'!$A$11:$A$1309,0)),INDEX('SKU明细'!$CI$11:$CI$1309,MATCH("1S01-SB-42-NEW",'SKU明细'!$A$11:$A$1309,0)))=12,SUM(INDEX('SKU明细'!$CI$11:$CI$1309,MATCH("1S01-SB-36",'SKU明细'!$A$11:$A$1309,0)),INDEX('SKU明细'!$CI$11:$CI$1309,MATCH("1S01-SB-37",'SKU明细'!$A$11:$A$1309,0)),INDEX('SKU明细'!$CI$11:$CI$1309,MATCH("1S01-SB-37.5",'SKU明细'!$A$11:$A$1309,0)),INDEX('SKU明细'!$CI$11:$CI$1309,MATCH("1S01-SB-38",'SKU明细'!$A$11:$A$1309,0)),INDEX('SKU明细'!$CI$11:$CI$1309,MATCH("1S01-SB-38.5",'SKU明细'!$A$11:$A$1309,0)),INDEX('SKU明细'!$CI$11:$CI$1309,MATCH("1S01-SB-39",'SKU明细'!$A$11:$A$1309,0)),INDEX('SKU明细'!$CI$11:$CI$1309,MATCH("1S01-SB-39.5",'SKU明细'!$A$11:$A$1309,0)),INDEX('SKU明细'!$CI$11:$CI$1309,MATCH("1S01-SB-40",'SKU明细'!$A$11:$A$1309,0)),INDEX('SKU明细'!$CI$11:$CI$1309,MATCH("1S01-SB-40.5",'SKU明细'!$A$11:$A$1309,0)),INDEX('SKU明细'!$CI$11:$CI$1309,MATCH("1S01-SB-41",'SKU明细'!$A$11:$A$1309,0)),INDEX('SKU明细'!$CI$11:$CI$1309,MATCH("1S01-SB-41.5",'SKU明细'!$A$11:$A$1309,0)),INDEX('SKU明细'!$CI$11:$CI$1309,MATCH("1S01-SB-42-NEW",'SKU明细'!$A$11:$A$1309,0))),"待核")</x:f>
        <x:v>64.04030617931282</x:v>
      </x:c>
    </x:row>
    <x:row r="136" ht="40" customHeight="1">
      <x:c r="A136" s="37" t="str">
        <x:v>1S01</x:v>
      </x:c>
      <x:c r="B136" s="37" t="str">
        <x:v>徐新怡</x:v>
      </x:c>
      <x:c r="C136" s="37" t="str">
        <x:v>黑白蛇纹</x:v>
      </x:c>
      <x:c r="D136" s="37" t="str">
        <x:v>SP</x:v>
      </x:c>
      <x:c r="E136" s="37" t="str">
        <x:v>1S01-SP</x:v>
      </x:c>
      <x:c r="F136" s="37"/>
      <x:c r="G136" s="38" t="n">
        <x:f>IF(COUNT(INDEX('SKU明细'!$D$11:$D$1309,MATCH("1S01-SP-36",'SKU明细'!$A$11:$A$1309,0)))=0,"待核",IF(COUNT(INDEX('SKU明细'!$D$11:$D$1309,MATCH("1S01-SP-36",'SKU明细'!$A$11:$A$1309,0)))&lt;1,SUM(INDEX('SKU明细'!$D$11:$D$1309,MATCH("1S01-SP-36",'SKU明细'!$A$11:$A$1309,0)))&amp;" + 待核",SUM(INDEX('SKU明细'!$D$11:$D$1309,MATCH("1S01-SP-36",'SKU明细'!$A$11:$A$1309,0)))))</x:f>
        <x:v>0</x:v>
      </x:c>
      <x:c r="H136" s="38" t="n">
        <x:f>IF(COUNT(INDEX('SKU明细'!$D$11:$D$1309,MATCH("1S01-SP-37",'SKU明细'!$A$11:$A$1309,0)))=0,"待核",IF(COUNT(INDEX('SKU明细'!$D$11:$D$1309,MATCH("1S01-SP-37",'SKU明细'!$A$11:$A$1309,0)))&lt;1,SUM(INDEX('SKU明细'!$D$11:$D$1309,MATCH("1S01-SP-37",'SKU明细'!$A$11:$A$1309,0)))&amp;" + 待核",SUM(INDEX('SKU明细'!$D$11:$D$1309,MATCH("1S01-SP-37",'SKU明细'!$A$11:$A$1309,0)))))</x:f>
        <x:v>0</x:v>
      </x:c>
      <x:c r="I136" s="38" t="n">
        <x:f>IF(COUNT(INDEX('SKU明细'!$D$11:$D$1309,MATCH("1S01-SP-37.5",'SKU明细'!$A$11:$A$1309,0)))=0,"待核",IF(COUNT(INDEX('SKU明细'!$D$11:$D$1309,MATCH("1S01-SP-37.5",'SKU明细'!$A$11:$A$1309,0)))&lt;1,SUM(INDEX('SKU明细'!$D$11:$D$1309,MATCH("1S01-SP-37.5",'SKU明细'!$A$11:$A$1309,0)))&amp;" + 待核",SUM(INDEX('SKU明细'!$D$11:$D$1309,MATCH("1S01-SP-37.5",'SKU明细'!$A$11:$A$1309,0)))))</x:f>
        <x:v>0</x:v>
      </x:c>
      <x:c r="J136" s="38" t="n">
        <x:f>IF(COUNT(INDEX('SKU明细'!$D$11:$D$1309,MATCH("1S01-SP-38",'SKU明细'!$A$11:$A$1309,0)))=0,"待核",IF(COUNT(INDEX('SKU明细'!$D$11:$D$1309,MATCH("1S01-SP-38",'SKU明细'!$A$11:$A$1309,0)))&lt;1,SUM(INDEX('SKU明细'!$D$11:$D$1309,MATCH("1S01-SP-38",'SKU明细'!$A$11:$A$1309,0)))&amp;" + 待核",SUM(INDEX('SKU明细'!$D$11:$D$1309,MATCH("1S01-SP-38",'SKU明细'!$A$11:$A$1309,0)))))</x:f>
        <x:v>0</x:v>
      </x:c>
      <x:c r="K136" s="38" t="n">
        <x:f>IF(COUNT(INDEX('SKU明细'!$D$11:$D$1309,MATCH("1S01-SP-38.5",'SKU明细'!$A$11:$A$1309,0)))=0,"待核",IF(COUNT(INDEX('SKU明细'!$D$11:$D$1309,MATCH("1S01-SP-38.5",'SKU明细'!$A$11:$A$1309,0)))&lt;1,SUM(INDEX('SKU明细'!$D$11:$D$1309,MATCH("1S01-SP-38.5",'SKU明细'!$A$11:$A$1309,0)))&amp;" + 待核",SUM(INDEX('SKU明细'!$D$11:$D$1309,MATCH("1S01-SP-38.5",'SKU明细'!$A$11:$A$1309,0)))))</x:f>
        <x:v>0</x:v>
      </x:c>
      <x:c r="L136" s="38" t="n">
        <x:f>IF(COUNT(INDEX('SKU明细'!$D$11:$D$1309,MATCH("1S01-SP-39",'SKU明细'!$A$11:$A$1309,0)))=0,"待核",IF(COUNT(INDEX('SKU明细'!$D$11:$D$1309,MATCH("1S01-SP-39",'SKU明细'!$A$11:$A$1309,0)))&lt;1,SUM(INDEX('SKU明细'!$D$11:$D$1309,MATCH("1S01-SP-39",'SKU明细'!$A$11:$A$1309,0)))&amp;" + 待核",SUM(INDEX('SKU明细'!$D$11:$D$1309,MATCH("1S01-SP-39",'SKU明细'!$A$11:$A$1309,0)))))</x:f>
        <x:v>0</x:v>
      </x:c>
      <x:c r="M136" s="38" t="n">
        <x:f>IF(COUNT(INDEX('SKU明细'!$D$11:$D$1309,MATCH("1S01-SP-39.5",'SKU明细'!$A$11:$A$1309,0)))=0,"待核",IF(COUNT(INDEX('SKU明细'!$D$11:$D$1309,MATCH("1S01-SP-39.5",'SKU明细'!$A$11:$A$1309,0)))&lt;1,SUM(INDEX('SKU明细'!$D$11:$D$1309,MATCH("1S01-SP-39.5",'SKU明细'!$A$11:$A$1309,0)))&amp;" + 待核",SUM(INDEX('SKU明细'!$D$11:$D$1309,MATCH("1S01-SP-39.5",'SKU明细'!$A$11:$A$1309,0)))))</x:f>
        <x:v>0</x:v>
      </x:c>
      <x:c r="N136" s="38" t="n">
        <x:f>IF(COUNT(INDEX('SKU明细'!$D$11:$D$1309,MATCH("1S01-SP-40",'SKU明细'!$A$11:$A$1309,0)))=0,"待核",IF(COUNT(INDEX('SKU明细'!$D$11:$D$1309,MATCH("1S01-SP-40",'SKU明细'!$A$11:$A$1309,0)))&lt;1,SUM(INDEX('SKU明细'!$D$11:$D$1309,MATCH("1S01-SP-40",'SKU明细'!$A$11:$A$1309,0)))&amp;" + 待核",SUM(INDEX('SKU明细'!$D$11:$D$1309,MATCH("1S01-SP-40",'SKU明细'!$A$11:$A$1309,0)))))</x:f>
        <x:v>0</x:v>
      </x:c>
      <x:c r="O136" s="38" t="n">
        <x:f>IF(COUNT(INDEX('SKU明细'!$D$11:$D$1309,MATCH("1S01-SP-40.5",'SKU明细'!$A$11:$A$1309,0)))=0,"待核",IF(COUNT(INDEX('SKU明细'!$D$11:$D$1309,MATCH("1S01-SP-40.5",'SKU明细'!$A$11:$A$1309,0)))&lt;1,SUM(INDEX('SKU明细'!$D$11:$D$1309,MATCH("1S01-SP-40.5",'SKU明细'!$A$11:$A$1309,0)))&amp;" + 待核",SUM(INDEX('SKU明细'!$D$11:$D$1309,MATCH("1S01-SP-40.5",'SKU明细'!$A$11:$A$1309,0)))))</x:f>
        <x:v>0</x:v>
      </x:c>
      <x:c r="P136" s="38" t="n">
        <x:f>IF(COUNT(INDEX('SKU明细'!$D$11:$D$1309,MATCH("1S01-SP-41",'SKU明细'!$A$11:$A$1309,0)))=0,"待核",IF(COUNT(INDEX('SKU明细'!$D$11:$D$1309,MATCH("1S01-SP-41",'SKU明细'!$A$11:$A$1309,0)))&lt;1,SUM(INDEX('SKU明细'!$D$11:$D$1309,MATCH("1S01-SP-41",'SKU明细'!$A$11:$A$1309,0)))&amp;" + 待核",SUM(INDEX('SKU明细'!$D$11:$D$1309,MATCH("1S01-SP-41",'SKU明细'!$A$11:$A$1309,0)))))</x:f>
        <x:v>0</x:v>
      </x:c>
      <x:c r="Q136" s="38" t="n">
        <x:f>IF(COUNT(INDEX('SKU明细'!$D$11:$D$1309,MATCH("1S01-SP-41.5",'SKU明细'!$A$11:$A$1309,0)))=0,"待核",IF(COUNT(INDEX('SKU明细'!$D$11:$D$1309,MATCH("1S01-SP-41.5",'SKU明细'!$A$11:$A$1309,0)))&lt;1,SUM(INDEX('SKU明细'!$D$11:$D$1309,MATCH("1S01-SP-41.5",'SKU明细'!$A$11:$A$1309,0)))&amp;" + 待核",SUM(INDEX('SKU明细'!$D$11:$D$1309,MATCH("1S01-SP-41.5",'SKU明细'!$A$11:$A$1309,0)))))</x:f>
        <x:v>0</x:v>
      </x:c>
      <x:c r="R136" s="38" t="n">
        <x:f>IF(COUNT(INDEX('SKU明细'!$D$11:$D$1309,MATCH("1S01-SP-42-NEW",'SKU明细'!$A$11:$A$1309,0)))=0,"待核",IF(COUNT(INDEX('SKU明细'!$D$11:$D$1309,MATCH("1S01-SP-42-NEW",'SKU明细'!$A$11:$A$1309,0)))&lt;1,SUM(INDEX('SKU明细'!$D$11:$D$1309,MATCH("1S01-SP-42-NEW",'SKU明细'!$A$11:$A$1309,0)))&amp;" + 待核",SUM(INDEX('SKU明细'!$D$11:$D$1309,MATCH("1S01-SP-42-NEW",'SKU明细'!$A$11:$A$1309,0)))))</x:f>
        <x:v>0</x:v>
      </x:c>
      <x:c r="S136" s="38" t="n">
        <x:f>IF(COUNT(INDEX('SKU明细'!$D$11:$D$1309,MATCH("1S01-SP-36",'SKU明细'!$A$11:$A$1309,0)),INDEX('SKU明细'!$D$11:$D$1309,MATCH("1S01-SP-37",'SKU明细'!$A$11:$A$1309,0)),INDEX('SKU明细'!$D$11:$D$1309,MATCH("1S01-SP-37.5",'SKU明细'!$A$11:$A$1309,0)),INDEX('SKU明细'!$D$11:$D$1309,MATCH("1S01-SP-38",'SKU明细'!$A$11:$A$1309,0)),INDEX('SKU明细'!$D$11:$D$1309,MATCH("1S01-SP-38.5",'SKU明细'!$A$11:$A$1309,0)),INDEX('SKU明细'!$D$11:$D$1309,MATCH("1S01-SP-39",'SKU明细'!$A$11:$A$1309,0)),INDEX('SKU明细'!$D$11:$D$1309,MATCH("1S01-SP-39.5",'SKU明细'!$A$11:$A$1309,0)),INDEX('SKU明细'!$D$11:$D$1309,MATCH("1S01-SP-40",'SKU明细'!$A$11:$A$1309,0)),INDEX('SKU明细'!$D$11:$D$1309,MATCH("1S01-SP-40.5",'SKU明细'!$A$11:$A$1309,0)),INDEX('SKU明细'!$D$11:$D$1309,MATCH("1S01-SP-41",'SKU明细'!$A$11:$A$1309,0)),INDEX('SKU明细'!$D$11:$D$1309,MATCH("1S01-SP-41.5",'SKU明细'!$A$11:$A$1309,0)),INDEX('SKU明细'!$D$11:$D$1309,MATCH("1S01-SP-42-NEW",'SKU明细'!$A$11:$A$1309,0)))=0,"待核",SUM(INDEX('SKU明细'!$D$11:$D$1309,MATCH("1S01-SP-36",'SKU明细'!$A$11:$A$1309,0)),INDEX('SKU明细'!$D$11:$D$1309,MATCH("1S01-SP-37",'SKU明细'!$A$11:$A$1309,0)),INDEX('SKU明细'!$D$11:$D$1309,MATCH("1S01-SP-37.5",'SKU明细'!$A$11:$A$1309,0)),INDEX('SKU明细'!$D$11:$D$1309,MATCH("1S01-SP-38",'SKU明细'!$A$11:$A$1309,0)),INDEX('SKU明细'!$D$11:$D$1309,MATCH("1S01-SP-38.5",'SKU明细'!$A$11:$A$1309,0)),INDEX('SKU明细'!$D$11:$D$1309,MATCH("1S01-SP-39",'SKU明细'!$A$11:$A$1309,0)),INDEX('SKU明细'!$D$11:$D$1309,MATCH("1S01-SP-39.5",'SKU明细'!$A$11:$A$1309,0)),INDEX('SKU明细'!$D$11:$D$1309,MATCH("1S01-SP-40",'SKU明细'!$A$11:$A$1309,0)),INDEX('SKU明细'!$D$11:$D$1309,MATCH("1S01-SP-40.5",'SKU明细'!$A$11:$A$1309,0)),INDEX('SKU明细'!$D$11:$D$1309,MATCH("1S01-SP-41",'SKU明细'!$A$11:$A$1309,0)),INDEX('SKU明细'!$D$11:$D$1309,MATCH("1S01-SP-41.5",'SKU明细'!$A$11:$A$1309,0)),INDEX('SKU明细'!$D$11:$D$1309,MATCH("1S01-SP-42-NEW",'SKU明细'!$A$11:$A$1309,0))))</x:f>
        <x:v>0</x:v>
      </x:c>
      <x:c r="T136" s="38" t="n">
        <x:f>IF(COUNTIFS($A$9:$A$191,A136,$U$9:$U$191,"&lt;&gt;待核")=0,"待核",SUMIF($A$9:$A$191,A136,$S$9:$S$191))</x:f>
        <x:v>141</x:v>
      </x:c>
      <x:c r="U136" s="37" t="str">
        <x:f>IF(COUNT(INDEX('SKU明细'!$D$11:$D$1309,MATCH("1S01-SP-36",'SKU明细'!$A$11:$A$1309,0)),INDEX('SKU明细'!$D$11:$D$1309,MATCH("1S01-SP-37",'SKU明细'!$A$11:$A$1309,0)),INDEX('SKU明细'!$D$11:$D$1309,MATCH("1S01-SP-37.5",'SKU明细'!$A$11:$A$1309,0)),INDEX('SKU明细'!$D$11:$D$1309,MATCH("1S01-SP-38",'SKU明细'!$A$11:$A$1309,0)),INDEX('SKU明细'!$D$11:$D$1309,MATCH("1S01-SP-38.5",'SKU明细'!$A$11:$A$1309,0)),INDEX('SKU明细'!$D$11:$D$1309,MATCH("1S01-SP-39",'SKU明细'!$A$11:$A$1309,0)),INDEX('SKU明细'!$D$11:$D$1309,MATCH("1S01-SP-39.5",'SKU明细'!$A$11:$A$1309,0)),INDEX('SKU明细'!$D$11:$D$1309,MATCH("1S01-SP-40",'SKU明细'!$A$11:$A$1309,0)),INDEX('SKU明细'!$D$11:$D$1309,MATCH("1S01-SP-40.5",'SKU明细'!$A$11:$A$1309,0)),INDEX('SKU明细'!$D$11:$D$1309,MATCH("1S01-SP-41",'SKU明细'!$A$11:$A$1309,0)),INDEX('SKU明细'!$D$11:$D$1309,MATCH("1S01-SP-41.5",'SKU明细'!$A$11:$A$1309,0)),INDEX('SKU明细'!$D$11:$D$1309,MATCH("1S01-SP-42-NEW",'SKU明细'!$A$11:$A$1309,0)))=0,"待核",IF(COUNT(INDEX('SKU明细'!$D$11:$D$1309,MATCH("1S01-SP-36",'SKU明细'!$A$11:$A$1309,0)),INDEX('SKU明细'!$D$11:$D$1309,MATCH("1S01-SP-37",'SKU明细'!$A$11:$A$1309,0)),INDEX('SKU明细'!$D$11:$D$1309,MATCH("1S01-SP-37.5",'SKU明细'!$A$11:$A$1309,0)),INDEX('SKU明细'!$D$11:$D$1309,MATCH("1S01-SP-38",'SKU明细'!$A$11:$A$1309,0)),INDEX('SKU明细'!$D$11:$D$1309,MATCH("1S01-SP-38.5",'SKU明细'!$A$11:$A$1309,0)),INDEX('SKU明细'!$D$11:$D$1309,MATCH("1S01-SP-39",'SKU明细'!$A$11:$A$1309,0)),INDEX('SKU明细'!$D$11:$D$1309,MATCH("1S01-SP-39.5",'SKU明细'!$A$11:$A$1309,0)),INDEX('SKU明细'!$D$11:$D$1309,MATCH("1S01-SP-40",'SKU明细'!$A$11:$A$1309,0)),INDEX('SKU明细'!$D$11:$D$1309,MATCH("1S01-SP-40.5",'SKU明细'!$A$11:$A$1309,0)),INDEX('SKU明细'!$D$11:$D$1309,MATCH("1S01-SP-41",'SKU明细'!$A$11:$A$1309,0)),INDEX('SKU明细'!$D$11:$D$1309,MATCH("1S01-SP-41.5",'SKU明细'!$A$11:$A$1309,0)),INDEX('SKU明细'!$D$11:$D$1309,MATCH("1S01-SP-42-NEW",'SKU明细'!$A$11:$A$1309,0)))&lt;12,"另有待核","已核"))</x:f>
        <x:v>已核</x:v>
      </x:c>
      <x:c r="V136" s="37" t="str">
        <x:v>停售、在售</x:v>
      </x:c>
      <x:c r="W136" s="11" t="n">
        <x:f>IF(COUNT(INDEX('SKU明细'!$BV$11:$BV$1309,MATCH("1S01-SP-36",'SKU明细'!$A$11:$A$1309,0)),INDEX('SKU明细'!$BV$11:$BV$1309,MATCH("1S01-SP-37",'SKU明细'!$A$11:$A$1309,0)),INDEX('SKU明细'!$BV$11:$BV$1309,MATCH("1S01-SP-37.5",'SKU明细'!$A$11:$A$1309,0)),INDEX('SKU明细'!$BV$11:$BV$1309,MATCH("1S01-SP-38",'SKU明细'!$A$11:$A$1309,0)),INDEX('SKU明细'!$BV$11:$BV$1309,MATCH("1S01-SP-38.5",'SKU明细'!$A$11:$A$1309,0)),INDEX('SKU明细'!$BV$11:$BV$1309,MATCH("1S01-SP-39",'SKU明细'!$A$11:$A$1309,0)),INDEX('SKU明细'!$BV$11:$BV$1309,MATCH("1S01-SP-39.5",'SKU明细'!$A$11:$A$1309,0)),INDEX('SKU明细'!$BV$11:$BV$1309,MATCH("1S01-SP-40",'SKU明细'!$A$11:$A$1309,0)),INDEX('SKU明细'!$BV$11:$BV$1309,MATCH("1S01-SP-40.5",'SKU明细'!$A$11:$A$1309,0)),INDEX('SKU明细'!$BV$11:$BV$1309,MATCH("1S01-SP-41",'SKU明细'!$A$11:$A$1309,0)),INDEX('SKU明细'!$BV$11:$BV$1309,MATCH("1S01-SP-41.5",'SKU明细'!$A$11:$A$1309,0)),INDEX('SKU明细'!$BV$11:$BV$1309,MATCH("1S01-SP-42-NEW",'SKU明细'!$A$11:$A$1309,0)))=12,SUM(INDEX('SKU明细'!$BV$11:$BV$1309,MATCH("1S01-SP-36",'SKU明细'!$A$11:$A$1309,0)),INDEX('SKU明细'!$BV$11:$BV$1309,MATCH("1S01-SP-37",'SKU明细'!$A$11:$A$1309,0)),INDEX('SKU明细'!$BV$11:$BV$1309,MATCH("1S01-SP-37.5",'SKU明细'!$A$11:$A$1309,0)),INDEX('SKU明细'!$BV$11:$BV$1309,MATCH("1S01-SP-38",'SKU明细'!$A$11:$A$1309,0)),INDEX('SKU明细'!$BV$11:$BV$1309,MATCH("1S01-SP-38.5",'SKU明细'!$A$11:$A$1309,0)),INDEX('SKU明细'!$BV$11:$BV$1309,MATCH("1S01-SP-39",'SKU明细'!$A$11:$A$1309,0)),INDEX('SKU明细'!$BV$11:$BV$1309,MATCH("1S01-SP-39.5",'SKU明细'!$A$11:$A$1309,0)),INDEX('SKU明细'!$BV$11:$BV$1309,MATCH("1S01-SP-40",'SKU明细'!$A$11:$A$1309,0)),INDEX('SKU明细'!$BV$11:$BV$1309,MATCH("1S01-SP-40.5",'SKU明细'!$A$11:$A$1309,0)),INDEX('SKU明细'!$BV$11:$BV$1309,MATCH("1S01-SP-41",'SKU明细'!$A$11:$A$1309,0)),INDEX('SKU明细'!$BV$11:$BV$1309,MATCH("1S01-SP-41.5",'SKU明细'!$A$11:$A$1309,0)),INDEX('SKU明细'!$BV$11:$BV$1309,MATCH("1S01-SP-42-NEW",'SKU明细'!$A$11:$A$1309,0))),"待核")</x:f>
        <x:v>0.5210763310255071</x:v>
      </x:c>
      <x:c r="X136" s="11" t="n">
        <x:f>INDEX('SKU明细'!$BW$11:$BW$1309,MATCH("1S01-SP-36",'SKU明细'!$A$11:$A$1309,0))</x:f>
        <x:v>0.8729500662042875</x:v>
      </x:c>
      <x:c r="Y136" s="13" t="n">
        <x:f>IF(COUNT(INDEX('SKU明细'!$BY$11:$BY$1309,MATCH("1S01-SP-36",'SKU明细'!$A$11:$A$1309,0)),INDEX('SKU明细'!$BY$11:$BY$1309,MATCH("1S01-SP-37",'SKU明细'!$A$11:$A$1309,0)),INDEX('SKU明细'!$BY$11:$BY$1309,MATCH("1S01-SP-37.5",'SKU明细'!$A$11:$A$1309,0)),INDEX('SKU明细'!$BY$11:$BY$1309,MATCH("1S01-SP-38",'SKU明细'!$A$11:$A$1309,0)),INDEX('SKU明细'!$BY$11:$BY$1309,MATCH("1S01-SP-38.5",'SKU明细'!$A$11:$A$1309,0)),INDEX('SKU明细'!$BY$11:$BY$1309,MATCH("1S01-SP-39",'SKU明细'!$A$11:$A$1309,0)),INDEX('SKU明细'!$BY$11:$BY$1309,MATCH("1S01-SP-39.5",'SKU明细'!$A$11:$A$1309,0)),INDEX('SKU明细'!$BY$11:$BY$1309,MATCH("1S01-SP-40",'SKU明细'!$A$11:$A$1309,0)),INDEX('SKU明细'!$BY$11:$BY$1309,MATCH("1S01-SP-40.5",'SKU明细'!$A$11:$A$1309,0)),INDEX('SKU明细'!$BY$11:$BY$1309,MATCH("1S01-SP-41",'SKU明细'!$A$11:$A$1309,0)),INDEX('SKU明细'!$BY$11:$BY$1309,MATCH("1S01-SP-41.5",'SKU明细'!$A$11:$A$1309,0)),INDEX('SKU明细'!$BY$11:$BY$1309,MATCH("1S01-SP-42-NEW",'SKU明细'!$A$11:$A$1309,0)))=12,SUM(INDEX('SKU明细'!$BY$11:$BY$1309,MATCH("1S01-SP-36",'SKU明细'!$A$11:$A$1309,0)),INDEX('SKU明细'!$BY$11:$BY$1309,MATCH("1S01-SP-37",'SKU明细'!$A$11:$A$1309,0)),INDEX('SKU明细'!$BY$11:$BY$1309,MATCH("1S01-SP-37.5",'SKU明细'!$A$11:$A$1309,0)),INDEX('SKU明细'!$BY$11:$BY$1309,MATCH("1S01-SP-38",'SKU明细'!$A$11:$A$1309,0)),INDEX('SKU明细'!$BY$11:$BY$1309,MATCH("1S01-SP-38.5",'SKU明细'!$A$11:$A$1309,0)),INDEX('SKU明细'!$BY$11:$BY$1309,MATCH("1S01-SP-39",'SKU明细'!$A$11:$A$1309,0)),INDEX('SKU明细'!$BY$11:$BY$1309,MATCH("1S01-SP-39.5",'SKU明细'!$A$11:$A$1309,0)),INDEX('SKU明细'!$BY$11:$BY$1309,MATCH("1S01-SP-40",'SKU明细'!$A$11:$A$1309,0)),INDEX('SKU明细'!$BY$11:$BY$1309,MATCH("1S01-SP-40.5",'SKU明细'!$A$11:$A$1309,0)),INDEX('SKU明细'!$BY$11:$BY$1309,MATCH("1S01-SP-41",'SKU明细'!$A$11:$A$1309,0)),INDEX('SKU明细'!$BY$11:$BY$1309,MATCH("1S01-SP-41.5",'SKU明细'!$A$11:$A$1309,0)),INDEX('SKU明细'!$BY$11:$BY$1309,MATCH("1S01-SP-42-NEW",'SKU明细'!$A$11:$A$1309,0))),"待核")</x:f>
        <x:v>5.458483411994444</x:v>
      </x:c>
      <x:c r="Z136" s="11" t="n">
        <x:f>INDEX('SKU明细'!$BZ$11:$BZ$1309,MATCH("1S01-SP-36",'SKU明细'!$A$11:$A$1309,0))</x:f>
        <x:v>0.8057375774163482</x:v>
      </x:c>
      <x:c r="AA136" s="13" t="n">
        <x:f>IF(COUNT(INDEX('SKU明细'!$CB$11:$CB$1309,MATCH("1S01-SP-36",'SKU明细'!$A$11:$A$1309,0)),INDEX('SKU明细'!$CB$11:$CB$1309,MATCH("1S01-SP-37",'SKU明细'!$A$11:$A$1309,0)),INDEX('SKU明细'!$CB$11:$CB$1309,MATCH("1S01-SP-37.5",'SKU明细'!$A$11:$A$1309,0)),INDEX('SKU明细'!$CB$11:$CB$1309,MATCH("1S01-SP-38",'SKU明细'!$A$11:$A$1309,0)),INDEX('SKU明细'!$CB$11:$CB$1309,MATCH("1S01-SP-38.5",'SKU明细'!$A$11:$A$1309,0)),INDEX('SKU明细'!$CB$11:$CB$1309,MATCH("1S01-SP-39",'SKU明细'!$A$11:$A$1309,0)),INDEX('SKU明细'!$CB$11:$CB$1309,MATCH("1S01-SP-39.5",'SKU明细'!$A$11:$A$1309,0)),INDEX('SKU明细'!$CB$11:$CB$1309,MATCH("1S01-SP-40",'SKU明细'!$A$11:$A$1309,0)),INDEX('SKU明细'!$CB$11:$CB$1309,MATCH("1S01-SP-40.5",'SKU明细'!$A$11:$A$1309,0)),INDEX('SKU明细'!$CB$11:$CB$1309,MATCH("1S01-SP-41",'SKU明细'!$A$11:$A$1309,0)),INDEX('SKU明细'!$CB$11:$CB$1309,MATCH("1S01-SP-41.5",'SKU明细'!$A$11:$A$1309,0)),INDEX('SKU明细'!$CB$11:$CB$1309,MATCH("1S01-SP-42-NEW",'SKU明细'!$A$11:$A$1309,0)))=12,SUM(INDEX('SKU明细'!$CB$11:$CB$1309,MATCH("1S01-SP-36",'SKU明细'!$A$11:$A$1309,0)),INDEX('SKU明细'!$CB$11:$CB$1309,MATCH("1S01-SP-37",'SKU明细'!$A$11:$A$1309,0)),INDEX('SKU明细'!$CB$11:$CB$1309,MATCH("1S01-SP-37.5",'SKU明细'!$A$11:$A$1309,0)),INDEX('SKU明细'!$CB$11:$CB$1309,MATCH("1S01-SP-38",'SKU明细'!$A$11:$A$1309,0)),INDEX('SKU明细'!$CB$11:$CB$1309,MATCH("1S01-SP-38.5",'SKU明细'!$A$11:$A$1309,0)),INDEX('SKU明细'!$CB$11:$CB$1309,MATCH("1S01-SP-39",'SKU明细'!$A$11:$A$1309,0)),INDEX('SKU明细'!$CB$11:$CB$1309,MATCH("1S01-SP-39.5",'SKU明细'!$A$11:$A$1309,0)),INDEX('SKU明细'!$CB$11:$CB$1309,MATCH("1S01-SP-40",'SKU明细'!$A$11:$A$1309,0)),INDEX('SKU明细'!$CB$11:$CB$1309,MATCH("1S01-SP-40.5",'SKU明细'!$A$11:$A$1309,0)),INDEX('SKU明细'!$CB$11:$CB$1309,MATCH("1S01-SP-41",'SKU明细'!$A$11:$A$1309,0)),INDEX('SKU明细'!$CB$11:$CB$1309,MATCH("1S01-SP-41.5",'SKU明细'!$A$11:$A$1309,0)),INDEX('SKU明细'!$CB$11:$CB$1309,MATCH("1S01-SP-42-NEW",'SKU明细'!$A$11:$A$1309,0))),"待核")</x:f>
        <x:v>12.595523418284735</x:v>
      </x:c>
      <x:c r="AB136" s="11" t="n">
        <x:f>INDEX('SKU明细'!$CC$11:$CC$1309,MATCH("1S01-SP-36",'SKU明细'!$A$11:$A$1309,0))</x:f>
        <x:v>0.532550303142279</x:v>
      </x:c>
      <x:c r="AC136" s="13" t="n">
        <x:f>IF(COUNT(INDEX('SKU明细'!$CE$11:$CE$1309,MATCH("1S01-SP-36",'SKU明细'!$A$11:$A$1309,0)),INDEX('SKU明细'!$CE$11:$CE$1309,MATCH("1S01-SP-37",'SKU明细'!$A$11:$A$1309,0)),INDEX('SKU明细'!$CE$11:$CE$1309,MATCH("1S01-SP-37.5",'SKU明细'!$A$11:$A$1309,0)),INDEX('SKU明细'!$CE$11:$CE$1309,MATCH("1S01-SP-38",'SKU明细'!$A$11:$A$1309,0)),INDEX('SKU明细'!$CE$11:$CE$1309,MATCH("1S01-SP-38.5",'SKU明细'!$A$11:$A$1309,0)),INDEX('SKU明细'!$CE$11:$CE$1309,MATCH("1S01-SP-39",'SKU明细'!$A$11:$A$1309,0)),INDEX('SKU明细'!$CE$11:$CE$1309,MATCH("1S01-SP-39.5",'SKU明细'!$A$11:$A$1309,0)),INDEX('SKU明细'!$CE$11:$CE$1309,MATCH("1S01-SP-40",'SKU明细'!$A$11:$A$1309,0)),INDEX('SKU明细'!$CE$11:$CE$1309,MATCH("1S01-SP-40.5",'SKU明细'!$A$11:$A$1309,0)),INDEX('SKU明细'!$CE$11:$CE$1309,MATCH("1S01-SP-41",'SKU明细'!$A$11:$A$1309,0)),INDEX('SKU明细'!$CE$11:$CE$1309,MATCH("1S01-SP-41.5",'SKU明细'!$A$11:$A$1309,0)),INDEX('SKU明细'!$CE$11:$CE$1309,MATCH("1S01-SP-42-NEW",'SKU明细'!$A$11:$A$1309,0)))=12,SUM(INDEX('SKU明细'!$CE$11:$CE$1309,MATCH("1S01-SP-36",'SKU明细'!$A$11:$A$1309,0)),INDEX('SKU明细'!$CE$11:$CE$1309,MATCH("1S01-SP-37",'SKU明细'!$A$11:$A$1309,0)),INDEX('SKU明细'!$CE$11:$CE$1309,MATCH("1S01-SP-37.5",'SKU明细'!$A$11:$A$1309,0)),INDEX('SKU明细'!$CE$11:$CE$1309,MATCH("1S01-SP-38",'SKU明细'!$A$11:$A$1309,0)),INDEX('SKU明细'!$CE$11:$CE$1309,MATCH("1S01-SP-38.5",'SKU明细'!$A$11:$A$1309,0)),INDEX('SKU明细'!$CE$11:$CE$1309,MATCH("1S01-SP-39",'SKU明细'!$A$11:$A$1309,0)),INDEX('SKU明细'!$CE$11:$CE$1309,MATCH("1S01-SP-39.5",'SKU明细'!$A$11:$A$1309,0)),INDEX('SKU明细'!$CE$11:$CE$1309,MATCH("1S01-SP-40",'SKU明细'!$A$11:$A$1309,0)),INDEX('SKU明细'!$CE$11:$CE$1309,MATCH("1S01-SP-40.5",'SKU明细'!$A$11:$A$1309,0)),INDEX('SKU明细'!$CE$11:$CE$1309,MATCH("1S01-SP-41",'SKU明细'!$A$11:$A$1309,0)),INDEX('SKU明细'!$CE$11:$CE$1309,MATCH("1S01-SP-41.5",'SKU明细'!$A$11:$A$1309,0)),INDEX('SKU明细'!$CE$11:$CE$1309,MATCH("1S01-SP-42-NEW",'SKU明细'!$A$11:$A$1309,0))),"待核")</x:f>
        <x:v>8.60248009948491</x:v>
      </x:c>
      <x:c r="AD136" s="11" t="n">
        <x:f>INDEX('SKU明细'!$CF$11:$CF$1309,MATCH("1S01-SP-36",'SKU明细'!$A$11:$A$1309,0))</x:f>
        <x:v>0.7517299265337036</x:v>
      </x:c>
      <x:c r="AE136" s="13" t="n">
        <x:f>IF(COUNT(INDEX('SKU明细'!$CH$11:$CH$1309,MATCH("1S01-SP-36",'SKU明细'!$A$11:$A$1309,0)),INDEX('SKU明细'!$CH$11:$CH$1309,MATCH("1S01-SP-37",'SKU明细'!$A$11:$A$1309,0)),INDEX('SKU明细'!$CH$11:$CH$1309,MATCH("1S01-SP-37.5",'SKU明细'!$A$11:$A$1309,0)),INDEX('SKU明细'!$CH$11:$CH$1309,MATCH("1S01-SP-38",'SKU明细'!$A$11:$A$1309,0)),INDEX('SKU明细'!$CH$11:$CH$1309,MATCH("1S01-SP-38.5",'SKU明细'!$A$11:$A$1309,0)),INDEX('SKU明细'!$CH$11:$CH$1309,MATCH("1S01-SP-39",'SKU明细'!$A$11:$A$1309,0)),INDEX('SKU明细'!$CH$11:$CH$1309,MATCH("1S01-SP-39.5",'SKU明细'!$A$11:$A$1309,0)),INDEX('SKU明细'!$CH$11:$CH$1309,MATCH("1S01-SP-40",'SKU明细'!$A$11:$A$1309,0)),INDEX('SKU明细'!$CH$11:$CH$1309,MATCH("1S01-SP-40.5",'SKU明细'!$A$11:$A$1309,0)),INDEX('SKU明细'!$CH$11:$CH$1309,MATCH("1S01-SP-41",'SKU明细'!$A$11:$A$1309,0)),INDEX('SKU明细'!$CH$11:$CH$1309,MATCH("1S01-SP-41.5",'SKU明细'!$A$11:$A$1309,0)),INDEX('SKU明细'!$CH$11:$CH$1309,MATCH("1S01-SP-42-NEW",'SKU明细'!$A$11:$A$1309,0)))=12,SUM(INDEX('SKU明细'!$CH$11:$CH$1309,MATCH("1S01-SP-36",'SKU明细'!$A$11:$A$1309,0)),INDEX('SKU明细'!$CH$11:$CH$1309,MATCH("1S01-SP-37",'SKU明细'!$A$11:$A$1309,0)),INDEX('SKU明细'!$CH$11:$CH$1309,MATCH("1S01-SP-37.5",'SKU明细'!$A$11:$A$1309,0)),INDEX('SKU明细'!$CH$11:$CH$1309,MATCH("1S01-SP-38",'SKU明细'!$A$11:$A$1309,0)),INDEX('SKU明细'!$CH$11:$CH$1309,MATCH("1S01-SP-38.5",'SKU明细'!$A$11:$A$1309,0)),INDEX('SKU明细'!$CH$11:$CH$1309,MATCH("1S01-SP-39",'SKU明细'!$A$11:$A$1309,0)),INDEX('SKU明细'!$CH$11:$CH$1309,MATCH("1S01-SP-39.5",'SKU明细'!$A$11:$A$1309,0)),INDEX('SKU明细'!$CH$11:$CH$1309,MATCH("1S01-SP-40",'SKU明细'!$A$11:$A$1309,0)),INDEX('SKU明细'!$CH$11:$CH$1309,MATCH("1S01-SP-40.5",'SKU明细'!$A$11:$A$1309,0)),INDEX('SKU明细'!$CH$11:$CH$1309,MATCH("1S01-SP-41",'SKU明细'!$A$11:$A$1309,0)),INDEX('SKU明细'!$CH$11:$CH$1309,MATCH("1S01-SP-41.5",'SKU明细'!$A$11:$A$1309,0)),INDEX('SKU明细'!$CH$11:$CH$1309,MATCH("1S01-SP-42-NEW",'SKU明细'!$A$11:$A$1309,0))),"待核")</x:f>
        <x:v>6.659047424684356</x:v>
      </x:c>
      <x:c r="AF136" s="13" t="n">
        <x:f>IF(COUNT(INDEX('SKU明细'!$CI$11:$CI$1309,MATCH("1S01-SP-36",'SKU明细'!$A$11:$A$1309,0)),INDEX('SKU明细'!$CI$11:$CI$1309,MATCH("1S01-SP-37",'SKU明细'!$A$11:$A$1309,0)),INDEX('SKU明细'!$CI$11:$CI$1309,MATCH("1S01-SP-37.5",'SKU明细'!$A$11:$A$1309,0)),INDEX('SKU明细'!$CI$11:$CI$1309,MATCH("1S01-SP-38",'SKU明细'!$A$11:$A$1309,0)),INDEX('SKU明细'!$CI$11:$CI$1309,MATCH("1S01-SP-38.5",'SKU明细'!$A$11:$A$1309,0)),INDEX('SKU明细'!$CI$11:$CI$1309,MATCH("1S01-SP-39",'SKU明细'!$A$11:$A$1309,0)),INDEX('SKU明细'!$CI$11:$CI$1309,MATCH("1S01-SP-39.5",'SKU明细'!$A$11:$A$1309,0)),INDEX('SKU明细'!$CI$11:$CI$1309,MATCH("1S01-SP-40",'SKU明细'!$A$11:$A$1309,0)),INDEX('SKU明细'!$CI$11:$CI$1309,MATCH("1S01-SP-40.5",'SKU明细'!$A$11:$A$1309,0)),INDEX('SKU明细'!$CI$11:$CI$1309,MATCH("1S01-SP-41",'SKU明细'!$A$11:$A$1309,0)),INDEX('SKU明细'!$CI$11:$CI$1309,MATCH("1S01-SP-41.5",'SKU明细'!$A$11:$A$1309,0)),INDEX('SKU明细'!$CI$11:$CI$1309,MATCH("1S01-SP-42-NEW",'SKU明细'!$A$11:$A$1309,0)))=12,SUM(INDEX('SKU明细'!$CI$11:$CI$1309,MATCH("1S01-SP-36",'SKU明细'!$A$11:$A$1309,0)),INDEX('SKU明细'!$CI$11:$CI$1309,MATCH("1S01-SP-37",'SKU明细'!$A$11:$A$1309,0)),INDEX('SKU明细'!$CI$11:$CI$1309,MATCH("1S01-SP-37.5",'SKU明细'!$A$11:$A$1309,0)),INDEX('SKU明细'!$CI$11:$CI$1309,MATCH("1S01-SP-38",'SKU明细'!$A$11:$A$1309,0)),INDEX('SKU明细'!$CI$11:$CI$1309,MATCH("1S01-SP-38.5",'SKU明细'!$A$11:$A$1309,0)),INDEX('SKU明细'!$CI$11:$CI$1309,MATCH("1S01-SP-39",'SKU明细'!$A$11:$A$1309,0)),INDEX('SKU明细'!$CI$11:$CI$1309,MATCH("1S01-SP-39.5",'SKU明细'!$A$11:$A$1309,0)),INDEX('SKU明细'!$CI$11:$CI$1309,MATCH("1S01-SP-40",'SKU明细'!$A$11:$A$1309,0)),INDEX('SKU明细'!$CI$11:$CI$1309,MATCH("1S01-SP-40.5",'SKU明细'!$A$11:$A$1309,0)),INDEX('SKU明细'!$CI$11:$CI$1309,MATCH("1S01-SP-41",'SKU明细'!$A$11:$A$1309,0)),INDEX('SKU明细'!$CI$11:$CI$1309,MATCH("1S01-SP-41.5",'SKU明细'!$A$11:$A$1309,0)),INDEX('SKU明细'!$CI$11:$CI$1309,MATCH("1S01-SP-42-NEW",'SKU明细'!$A$11:$A$1309,0))),"待核")</x:f>
        <x:v>33.315534354448445</x:v>
      </x:c>
    </x:row>
    <x:row r="137" ht="40" customHeight="1">
      <x:c r="A137" s="37" t="str">
        <x:v>1S01</x:v>
      </x:c>
      <x:c r="B137" s="37" t="str">
        <x:v>徐新怡</x:v>
      </x:c>
      <x:c r="C137" s="37" t="str">
        <x:v>驼色</x:v>
      </x:c>
      <x:c r="D137" s="37" t="str">
        <x:v>TAN</x:v>
      </x:c>
      <x:c r="E137" s="37" t="str">
        <x:v>1S01-TAN</x:v>
      </x:c>
      <x:c r="F137" s="37"/>
      <x:c r="G137" s="38" t="n">
        <x:f>IF(COUNT(INDEX('SKU明细'!$D$11:$D$1309,MATCH("1S01-TAN-36",'SKU明细'!$A$11:$A$1309,0)))=0,"待核",IF(COUNT(INDEX('SKU明细'!$D$11:$D$1309,MATCH("1S01-TAN-36",'SKU明细'!$A$11:$A$1309,0)))&lt;1,SUM(INDEX('SKU明细'!$D$11:$D$1309,MATCH("1S01-TAN-36",'SKU明细'!$A$11:$A$1309,0)))&amp;" + 待核",SUM(INDEX('SKU明细'!$D$11:$D$1309,MATCH("1S01-TAN-36",'SKU明细'!$A$11:$A$1309,0)))))</x:f>
        <x:v>0</x:v>
      </x:c>
      <x:c r="H137" s="38" t="n">
        <x:f>IF(COUNT(INDEX('SKU明细'!$D$11:$D$1309,MATCH("1S01-TAN-37",'SKU明细'!$A$11:$A$1309,0)))=0,"待核",IF(COUNT(INDEX('SKU明细'!$D$11:$D$1309,MATCH("1S01-TAN-37",'SKU明细'!$A$11:$A$1309,0)))&lt;1,SUM(INDEX('SKU明细'!$D$11:$D$1309,MATCH("1S01-TAN-37",'SKU明细'!$A$11:$A$1309,0)))&amp;" + 待核",SUM(INDEX('SKU明细'!$D$11:$D$1309,MATCH("1S01-TAN-37",'SKU明细'!$A$11:$A$1309,0)))))</x:f>
        <x:v>0</x:v>
      </x:c>
      <x:c r="I137" s="38" t="n">
        <x:f>IF(COUNT(INDEX('SKU明细'!$D$11:$D$1309,MATCH("1S01-TAN-37.5",'SKU明细'!$A$11:$A$1309,0)))=0,"待核",IF(COUNT(INDEX('SKU明细'!$D$11:$D$1309,MATCH("1S01-TAN-37.5",'SKU明细'!$A$11:$A$1309,0)))&lt;1,SUM(INDEX('SKU明细'!$D$11:$D$1309,MATCH("1S01-TAN-37.5",'SKU明细'!$A$11:$A$1309,0)))&amp;" + 待核",SUM(INDEX('SKU明细'!$D$11:$D$1309,MATCH("1S01-TAN-37.5",'SKU明细'!$A$11:$A$1309,0)))))</x:f>
        <x:v>0</x:v>
      </x:c>
      <x:c r="J137" s="38" t="n">
        <x:f>IF(COUNT(INDEX('SKU明细'!$D$11:$D$1309,MATCH("1S01-TAN-38",'SKU明细'!$A$11:$A$1309,0)))=0,"待核",IF(COUNT(INDEX('SKU明细'!$D$11:$D$1309,MATCH("1S01-TAN-38",'SKU明细'!$A$11:$A$1309,0)))&lt;1,SUM(INDEX('SKU明细'!$D$11:$D$1309,MATCH("1S01-TAN-38",'SKU明细'!$A$11:$A$1309,0)))&amp;" + 待核",SUM(INDEX('SKU明细'!$D$11:$D$1309,MATCH("1S01-TAN-38",'SKU明细'!$A$11:$A$1309,0)))))</x:f>
        <x:v>0</x:v>
      </x:c>
      <x:c r="K137" s="38" t="n">
        <x:f>IF(COUNT(INDEX('SKU明细'!$D$11:$D$1309,MATCH("1S01-TAN-38.5",'SKU明细'!$A$11:$A$1309,0)))=0,"待核",IF(COUNT(INDEX('SKU明细'!$D$11:$D$1309,MATCH("1S01-TAN-38.5",'SKU明细'!$A$11:$A$1309,0)))&lt;1,SUM(INDEX('SKU明细'!$D$11:$D$1309,MATCH("1S01-TAN-38.5",'SKU明细'!$A$11:$A$1309,0)))&amp;" + 待核",SUM(INDEX('SKU明细'!$D$11:$D$1309,MATCH("1S01-TAN-38.5",'SKU明细'!$A$11:$A$1309,0)))))</x:f>
        <x:v>0</x:v>
      </x:c>
      <x:c r="L137" s="38" t="n">
        <x:f>IF(COUNT(INDEX('SKU明细'!$D$11:$D$1309,MATCH("1S01-TAN-39",'SKU明细'!$A$11:$A$1309,0)))=0,"待核",IF(COUNT(INDEX('SKU明细'!$D$11:$D$1309,MATCH("1S01-TAN-39",'SKU明细'!$A$11:$A$1309,0)))&lt;1,SUM(INDEX('SKU明细'!$D$11:$D$1309,MATCH("1S01-TAN-39",'SKU明细'!$A$11:$A$1309,0)))&amp;" + 待核",SUM(INDEX('SKU明细'!$D$11:$D$1309,MATCH("1S01-TAN-39",'SKU明细'!$A$11:$A$1309,0)))))</x:f>
        <x:v>0</x:v>
      </x:c>
      <x:c r="M137" s="38" t="n">
        <x:f>IF(COUNT(INDEX('SKU明细'!$D$11:$D$1309,MATCH("1S01-TAN-39.5",'SKU明细'!$A$11:$A$1309,0)))=0,"待核",IF(COUNT(INDEX('SKU明细'!$D$11:$D$1309,MATCH("1S01-TAN-39.5",'SKU明细'!$A$11:$A$1309,0)))&lt;1,SUM(INDEX('SKU明细'!$D$11:$D$1309,MATCH("1S01-TAN-39.5",'SKU明细'!$A$11:$A$1309,0)))&amp;" + 待核",SUM(INDEX('SKU明细'!$D$11:$D$1309,MATCH("1S01-TAN-39.5",'SKU明细'!$A$11:$A$1309,0)))))</x:f>
        <x:v>0</x:v>
      </x:c>
      <x:c r="N137" s="38" t="n">
        <x:f>IF(COUNT(INDEX('SKU明细'!$D$11:$D$1309,MATCH("1S01-TAN-40",'SKU明细'!$A$11:$A$1309,0)))=0,"待核",IF(COUNT(INDEX('SKU明细'!$D$11:$D$1309,MATCH("1S01-TAN-40",'SKU明细'!$A$11:$A$1309,0)))&lt;1,SUM(INDEX('SKU明细'!$D$11:$D$1309,MATCH("1S01-TAN-40",'SKU明细'!$A$11:$A$1309,0)))&amp;" + 待核",SUM(INDEX('SKU明细'!$D$11:$D$1309,MATCH("1S01-TAN-40",'SKU明细'!$A$11:$A$1309,0)))))</x:f>
        <x:v>0</x:v>
      </x:c>
      <x:c r="O137" s="38" t="n">
        <x:f>IF(COUNT(INDEX('SKU明细'!$D$11:$D$1309,MATCH("1S01-TAN-40.5",'SKU明细'!$A$11:$A$1309,0)))=0,"待核",IF(COUNT(INDEX('SKU明细'!$D$11:$D$1309,MATCH("1S01-TAN-40.5",'SKU明细'!$A$11:$A$1309,0)))&lt;1,SUM(INDEX('SKU明细'!$D$11:$D$1309,MATCH("1S01-TAN-40.5",'SKU明细'!$A$11:$A$1309,0)))&amp;" + 待核",SUM(INDEX('SKU明细'!$D$11:$D$1309,MATCH("1S01-TAN-40.5",'SKU明细'!$A$11:$A$1309,0)))))</x:f>
        <x:v>0</x:v>
      </x:c>
      <x:c r="P137" s="38" t="n">
        <x:f>IF(COUNT(INDEX('SKU明细'!$D$11:$D$1309,MATCH("1S01-TAN-41",'SKU明细'!$A$11:$A$1309,0)))=0,"待核",IF(COUNT(INDEX('SKU明细'!$D$11:$D$1309,MATCH("1S01-TAN-41",'SKU明细'!$A$11:$A$1309,0)))&lt;1,SUM(INDEX('SKU明细'!$D$11:$D$1309,MATCH("1S01-TAN-41",'SKU明细'!$A$11:$A$1309,0)))&amp;" + 待核",SUM(INDEX('SKU明细'!$D$11:$D$1309,MATCH("1S01-TAN-41",'SKU明细'!$A$11:$A$1309,0)))))</x:f>
        <x:v>0</x:v>
      </x:c>
      <x:c r="Q137" s="38" t="n">
        <x:f>IF(COUNT(INDEX('SKU明细'!$D$11:$D$1309,MATCH("1S01-TAN-41.5",'SKU明细'!$A$11:$A$1309,0)))=0,"待核",IF(COUNT(INDEX('SKU明细'!$D$11:$D$1309,MATCH("1S01-TAN-41.5",'SKU明细'!$A$11:$A$1309,0)))&lt;1,SUM(INDEX('SKU明细'!$D$11:$D$1309,MATCH("1S01-TAN-41.5",'SKU明细'!$A$11:$A$1309,0)))&amp;" + 待核",SUM(INDEX('SKU明细'!$D$11:$D$1309,MATCH("1S01-TAN-41.5",'SKU明细'!$A$11:$A$1309,0)))))</x:f>
        <x:v>0</x:v>
      </x:c>
      <x:c r="R137" s="38" t="n">
        <x:f>IF(COUNT(INDEX('SKU明细'!$D$11:$D$1309,MATCH("1S01-TAN-42",'SKU明细'!$A$11:$A$1309,0)))=0,"待核",IF(COUNT(INDEX('SKU明细'!$D$11:$D$1309,MATCH("1S01-TAN-42",'SKU明细'!$A$11:$A$1309,0)))&lt;1,SUM(INDEX('SKU明细'!$D$11:$D$1309,MATCH("1S01-TAN-42",'SKU明细'!$A$11:$A$1309,0)))&amp;" + 待核",SUM(INDEX('SKU明细'!$D$11:$D$1309,MATCH("1S01-TAN-42",'SKU明细'!$A$11:$A$1309,0)))))</x:f>
        <x:v>0</x:v>
      </x:c>
      <x:c r="S137" s="38" t="n">
        <x:f>IF(COUNT(INDEX('SKU明细'!$D$11:$D$1309,MATCH("1S01-TAN-36",'SKU明细'!$A$11:$A$1309,0)),INDEX('SKU明细'!$D$11:$D$1309,MATCH("1S01-TAN-37",'SKU明细'!$A$11:$A$1309,0)),INDEX('SKU明细'!$D$11:$D$1309,MATCH("1S01-TAN-37.5",'SKU明细'!$A$11:$A$1309,0)),INDEX('SKU明细'!$D$11:$D$1309,MATCH("1S01-TAN-38",'SKU明细'!$A$11:$A$1309,0)),INDEX('SKU明细'!$D$11:$D$1309,MATCH("1S01-TAN-38.5",'SKU明细'!$A$11:$A$1309,0)),INDEX('SKU明细'!$D$11:$D$1309,MATCH("1S01-TAN-39",'SKU明细'!$A$11:$A$1309,0)),INDEX('SKU明细'!$D$11:$D$1309,MATCH("1S01-TAN-39.5",'SKU明细'!$A$11:$A$1309,0)),INDEX('SKU明细'!$D$11:$D$1309,MATCH("1S01-TAN-40",'SKU明细'!$A$11:$A$1309,0)),INDEX('SKU明细'!$D$11:$D$1309,MATCH("1S01-TAN-40.5",'SKU明细'!$A$11:$A$1309,0)),INDEX('SKU明细'!$D$11:$D$1309,MATCH("1S01-TAN-41",'SKU明细'!$A$11:$A$1309,0)),INDEX('SKU明细'!$D$11:$D$1309,MATCH("1S01-TAN-41.5",'SKU明细'!$A$11:$A$1309,0)),INDEX('SKU明细'!$D$11:$D$1309,MATCH("1S01-TAN-42",'SKU明细'!$A$11:$A$1309,0)))=0,"待核",SUM(INDEX('SKU明细'!$D$11:$D$1309,MATCH("1S01-TAN-36",'SKU明细'!$A$11:$A$1309,0)),INDEX('SKU明细'!$D$11:$D$1309,MATCH("1S01-TAN-37",'SKU明细'!$A$11:$A$1309,0)),INDEX('SKU明细'!$D$11:$D$1309,MATCH("1S01-TAN-37.5",'SKU明细'!$A$11:$A$1309,0)),INDEX('SKU明细'!$D$11:$D$1309,MATCH("1S01-TAN-38",'SKU明细'!$A$11:$A$1309,0)),INDEX('SKU明细'!$D$11:$D$1309,MATCH("1S01-TAN-38.5",'SKU明细'!$A$11:$A$1309,0)),INDEX('SKU明细'!$D$11:$D$1309,MATCH("1S01-TAN-39",'SKU明细'!$A$11:$A$1309,0)),INDEX('SKU明细'!$D$11:$D$1309,MATCH("1S01-TAN-39.5",'SKU明细'!$A$11:$A$1309,0)),INDEX('SKU明细'!$D$11:$D$1309,MATCH("1S01-TAN-40",'SKU明细'!$A$11:$A$1309,0)),INDEX('SKU明细'!$D$11:$D$1309,MATCH("1S01-TAN-40.5",'SKU明细'!$A$11:$A$1309,0)),INDEX('SKU明细'!$D$11:$D$1309,MATCH("1S01-TAN-41",'SKU明细'!$A$11:$A$1309,0)),INDEX('SKU明细'!$D$11:$D$1309,MATCH("1S01-TAN-41.5",'SKU明细'!$A$11:$A$1309,0)),INDEX('SKU明细'!$D$11:$D$1309,MATCH("1S01-TAN-42",'SKU明细'!$A$11:$A$1309,0))))</x:f>
        <x:v>0</x:v>
      </x:c>
      <x:c r="T137" s="38" t="n">
        <x:f>IF(COUNTIFS($A$9:$A$191,A137,$U$9:$U$191,"&lt;&gt;待核")=0,"待核",SUMIF($A$9:$A$191,A137,$S$9:$S$191))</x:f>
        <x:v>141</x:v>
      </x:c>
      <x:c r="U137" s="37" t="str">
        <x:f>IF(COUNT(INDEX('SKU明细'!$D$11:$D$1309,MATCH("1S01-TAN-36",'SKU明细'!$A$11:$A$1309,0)),INDEX('SKU明细'!$D$11:$D$1309,MATCH("1S01-TAN-37",'SKU明细'!$A$11:$A$1309,0)),INDEX('SKU明细'!$D$11:$D$1309,MATCH("1S01-TAN-37.5",'SKU明细'!$A$11:$A$1309,0)),INDEX('SKU明细'!$D$11:$D$1309,MATCH("1S01-TAN-38",'SKU明细'!$A$11:$A$1309,0)),INDEX('SKU明细'!$D$11:$D$1309,MATCH("1S01-TAN-38.5",'SKU明细'!$A$11:$A$1309,0)),INDEX('SKU明细'!$D$11:$D$1309,MATCH("1S01-TAN-39",'SKU明细'!$A$11:$A$1309,0)),INDEX('SKU明细'!$D$11:$D$1309,MATCH("1S01-TAN-39.5",'SKU明细'!$A$11:$A$1309,0)),INDEX('SKU明细'!$D$11:$D$1309,MATCH("1S01-TAN-40",'SKU明细'!$A$11:$A$1309,0)),INDEX('SKU明细'!$D$11:$D$1309,MATCH("1S01-TAN-40.5",'SKU明细'!$A$11:$A$1309,0)),INDEX('SKU明细'!$D$11:$D$1309,MATCH("1S01-TAN-41",'SKU明细'!$A$11:$A$1309,0)),INDEX('SKU明细'!$D$11:$D$1309,MATCH("1S01-TAN-41.5",'SKU明细'!$A$11:$A$1309,0)),INDEX('SKU明细'!$D$11:$D$1309,MATCH("1S01-TAN-42",'SKU明细'!$A$11:$A$1309,0)))=0,"待核",IF(COUNT(INDEX('SKU明细'!$D$11:$D$1309,MATCH("1S01-TAN-36",'SKU明细'!$A$11:$A$1309,0)),INDEX('SKU明细'!$D$11:$D$1309,MATCH("1S01-TAN-37",'SKU明细'!$A$11:$A$1309,0)),INDEX('SKU明细'!$D$11:$D$1309,MATCH("1S01-TAN-37.5",'SKU明细'!$A$11:$A$1309,0)),INDEX('SKU明细'!$D$11:$D$1309,MATCH("1S01-TAN-38",'SKU明细'!$A$11:$A$1309,0)),INDEX('SKU明细'!$D$11:$D$1309,MATCH("1S01-TAN-38.5",'SKU明细'!$A$11:$A$1309,0)),INDEX('SKU明细'!$D$11:$D$1309,MATCH("1S01-TAN-39",'SKU明细'!$A$11:$A$1309,0)),INDEX('SKU明细'!$D$11:$D$1309,MATCH("1S01-TAN-39.5",'SKU明细'!$A$11:$A$1309,0)),INDEX('SKU明细'!$D$11:$D$1309,MATCH("1S01-TAN-40",'SKU明细'!$A$11:$A$1309,0)),INDEX('SKU明细'!$D$11:$D$1309,MATCH("1S01-TAN-40.5",'SKU明细'!$A$11:$A$1309,0)),INDEX('SKU明细'!$D$11:$D$1309,MATCH("1S01-TAN-41",'SKU明细'!$A$11:$A$1309,0)),INDEX('SKU明细'!$D$11:$D$1309,MATCH("1S01-TAN-41.5",'SKU明细'!$A$11:$A$1309,0)),INDEX('SKU明细'!$D$11:$D$1309,MATCH("1S01-TAN-42",'SKU明细'!$A$11:$A$1309,0)))&lt;12,"另有待核","已核"))</x:f>
        <x:v>已核</x:v>
      </x:c>
      <x:c r="V137" s="37" t="str">
        <x:v>停售、在售</x:v>
      </x:c>
      <x:c r="W137" s="11" t="n">
        <x:f>IF(COUNT(INDEX('SKU明细'!$BV$11:$BV$1309,MATCH("1S01-TAN-36",'SKU明细'!$A$11:$A$1309,0)),INDEX('SKU明细'!$BV$11:$BV$1309,MATCH("1S01-TAN-37",'SKU明细'!$A$11:$A$1309,0)),INDEX('SKU明细'!$BV$11:$BV$1309,MATCH("1S01-TAN-37.5",'SKU明细'!$A$11:$A$1309,0)),INDEX('SKU明细'!$BV$11:$BV$1309,MATCH("1S01-TAN-38",'SKU明细'!$A$11:$A$1309,0)),INDEX('SKU明细'!$BV$11:$BV$1309,MATCH("1S01-TAN-38.5",'SKU明细'!$A$11:$A$1309,0)),INDEX('SKU明细'!$BV$11:$BV$1309,MATCH("1S01-TAN-39",'SKU明细'!$A$11:$A$1309,0)),INDEX('SKU明细'!$BV$11:$BV$1309,MATCH("1S01-TAN-39.5",'SKU明细'!$A$11:$A$1309,0)),INDEX('SKU明细'!$BV$11:$BV$1309,MATCH("1S01-TAN-40",'SKU明细'!$A$11:$A$1309,0)),INDEX('SKU明细'!$BV$11:$BV$1309,MATCH("1S01-TAN-40.5",'SKU明细'!$A$11:$A$1309,0)),INDEX('SKU明细'!$BV$11:$BV$1309,MATCH("1S01-TAN-41",'SKU明细'!$A$11:$A$1309,0)),INDEX('SKU明细'!$BV$11:$BV$1309,MATCH("1S01-TAN-41.5",'SKU明细'!$A$11:$A$1309,0)),INDEX('SKU明细'!$BV$11:$BV$1309,MATCH("1S01-TAN-42",'SKU明细'!$A$11:$A$1309,0)))=12,SUM(INDEX('SKU明细'!$BV$11:$BV$1309,MATCH("1S01-TAN-36",'SKU明细'!$A$11:$A$1309,0)),INDEX('SKU明细'!$BV$11:$BV$1309,MATCH("1S01-TAN-37",'SKU明细'!$A$11:$A$1309,0)),INDEX('SKU明细'!$BV$11:$BV$1309,MATCH("1S01-TAN-37.5",'SKU明细'!$A$11:$A$1309,0)),INDEX('SKU明细'!$BV$11:$BV$1309,MATCH("1S01-TAN-38",'SKU明细'!$A$11:$A$1309,0)),INDEX('SKU明细'!$BV$11:$BV$1309,MATCH("1S01-TAN-38.5",'SKU明细'!$A$11:$A$1309,0)),INDEX('SKU明细'!$BV$11:$BV$1309,MATCH("1S01-TAN-39",'SKU明细'!$A$11:$A$1309,0)),INDEX('SKU明细'!$BV$11:$BV$1309,MATCH("1S01-TAN-39.5",'SKU明细'!$A$11:$A$1309,0)),INDEX('SKU明细'!$BV$11:$BV$1309,MATCH("1S01-TAN-40",'SKU明细'!$A$11:$A$1309,0)),INDEX('SKU明细'!$BV$11:$BV$1309,MATCH("1S01-TAN-40.5",'SKU明细'!$A$11:$A$1309,0)),INDEX('SKU明细'!$BV$11:$BV$1309,MATCH("1S01-TAN-41",'SKU明细'!$A$11:$A$1309,0)),INDEX('SKU明细'!$BV$11:$BV$1309,MATCH("1S01-TAN-41.5",'SKU明细'!$A$11:$A$1309,0)),INDEX('SKU明细'!$BV$11:$BV$1309,MATCH("1S01-TAN-42",'SKU明细'!$A$11:$A$1309,0))),"待核")</x:f>
        <x:v>0.006104243994186602</x:v>
      </x:c>
      <x:c r="X137" s="11" t="n">
        <x:f>INDEX('SKU明细'!$BW$11:$BW$1309,MATCH("1S01-TAN-36",'SKU明细'!$A$11:$A$1309,0))</x:f>
        <x:v>0.8729500662042875</x:v>
      </x:c>
      <x:c r="Y137" s="13" t="n">
        <x:f>IF(COUNT(INDEX('SKU明细'!$BY$11:$BY$1309,MATCH("1S01-TAN-36",'SKU明细'!$A$11:$A$1309,0)),INDEX('SKU明细'!$BY$11:$BY$1309,MATCH("1S01-TAN-37",'SKU明细'!$A$11:$A$1309,0)),INDEX('SKU明细'!$BY$11:$BY$1309,MATCH("1S01-TAN-37.5",'SKU明细'!$A$11:$A$1309,0)),INDEX('SKU明细'!$BY$11:$BY$1309,MATCH("1S01-TAN-38",'SKU明细'!$A$11:$A$1309,0)),INDEX('SKU明细'!$BY$11:$BY$1309,MATCH("1S01-TAN-38.5",'SKU明细'!$A$11:$A$1309,0)),INDEX('SKU明细'!$BY$11:$BY$1309,MATCH("1S01-TAN-39",'SKU明细'!$A$11:$A$1309,0)),INDEX('SKU明细'!$BY$11:$BY$1309,MATCH("1S01-TAN-39.5",'SKU明细'!$A$11:$A$1309,0)),INDEX('SKU明细'!$BY$11:$BY$1309,MATCH("1S01-TAN-40",'SKU明细'!$A$11:$A$1309,0)),INDEX('SKU明细'!$BY$11:$BY$1309,MATCH("1S01-TAN-40.5",'SKU明细'!$A$11:$A$1309,0)),INDEX('SKU明细'!$BY$11:$BY$1309,MATCH("1S01-TAN-41",'SKU明细'!$A$11:$A$1309,0)),INDEX('SKU明细'!$BY$11:$BY$1309,MATCH("1S01-TAN-41.5",'SKU明细'!$A$11:$A$1309,0)),INDEX('SKU明细'!$BY$11:$BY$1309,MATCH("1S01-TAN-42",'SKU明细'!$A$11:$A$1309,0)))=12,SUM(INDEX('SKU明细'!$BY$11:$BY$1309,MATCH("1S01-TAN-36",'SKU明细'!$A$11:$A$1309,0)),INDEX('SKU明细'!$BY$11:$BY$1309,MATCH("1S01-TAN-37",'SKU明细'!$A$11:$A$1309,0)),INDEX('SKU明细'!$BY$11:$BY$1309,MATCH("1S01-TAN-37.5",'SKU明细'!$A$11:$A$1309,0)),INDEX('SKU明细'!$BY$11:$BY$1309,MATCH("1S01-TAN-38",'SKU明细'!$A$11:$A$1309,0)),INDEX('SKU明细'!$BY$11:$BY$1309,MATCH("1S01-TAN-38.5",'SKU明细'!$A$11:$A$1309,0)),INDEX('SKU明细'!$BY$11:$BY$1309,MATCH("1S01-TAN-39",'SKU明细'!$A$11:$A$1309,0)),INDEX('SKU明细'!$BY$11:$BY$1309,MATCH("1S01-TAN-39.5",'SKU明细'!$A$11:$A$1309,0)),INDEX('SKU明细'!$BY$11:$BY$1309,MATCH("1S01-TAN-40",'SKU明细'!$A$11:$A$1309,0)),INDEX('SKU明细'!$BY$11:$BY$1309,MATCH("1S01-TAN-40.5",'SKU明细'!$A$11:$A$1309,0)),INDEX('SKU明细'!$BY$11:$BY$1309,MATCH("1S01-TAN-41",'SKU明细'!$A$11:$A$1309,0)),INDEX('SKU明细'!$BY$11:$BY$1309,MATCH("1S01-TAN-41.5",'SKU明细'!$A$11:$A$1309,0)),INDEX('SKU明细'!$BY$11:$BY$1309,MATCH("1S01-TAN-42",'SKU明细'!$A$11:$A$1309,0))),"待核")</x:f>
        <x:v>0.06394440238622781</x:v>
      </x:c>
      <x:c r="Z137" s="11" t="n">
        <x:f>INDEX('SKU明细'!$BZ$11:$BZ$1309,MATCH("1S01-TAN-36",'SKU明细'!$A$11:$A$1309,0))</x:f>
        <x:v>0.8057375774163482</x:v>
      </x:c>
      <x:c r="AA137" s="13" t="n">
        <x:f>IF(COUNT(INDEX('SKU明细'!$CB$11:$CB$1309,MATCH("1S01-TAN-36",'SKU明细'!$A$11:$A$1309,0)),INDEX('SKU明细'!$CB$11:$CB$1309,MATCH("1S01-TAN-37",'SKU明细'!$A$11:$A$1309,0)),INDEX('SKU明细'!$CB$11:$CB$1309,MATCH("1S01-TAN-37.5",'SKU明细'!$A$11:$A$1309,0)),INDEX('SKU明细'!$CB$11:$CB$1309,MATCH("1S01-TAN-38",'SKU明细'!$A$11:$A$1309,0)),INDEX('SKU明细'!$CB$11:$CB$1309,MATCH("1S01-TAN-38.5",'SKU明细'!$A$11:$A$1309,0)),INDEX('SKU明细'!$CB$11:$CB$1309,MATCH("1S01-TAN-39",'SKU明细'!$A$11:$A$1309,0)),INDEX('SKU明细'!$CB$11:$CB$1309,MATCH("1S01-TAN-39.5",'SKU明细'!$A$11:$A$1309,0)),INDEX('SKU明细'!$CB$11:$CB$1309,MATCH("1S01-TAN-40",'SKU明细'!$A$11:$A$1309,0)),INDEX('SKU明细'!$CB$11:$CB$1309,MATCH("1S01-TAN-40.5",'SKU明细'!$A$11:$A$1309,0)),INDEX('SKU明细'!$CB$11:$CB$1309,MATCH("1S01-TAN-41",'SKU明细'!$A$11:$A$1309,0)),INDEX('SKU明细'!$CB$11:$CB$1309,MATCH("1S01-TAN-41.5",'SKU明细'!$A$11:$A$1309,0)),INDEX('SKU明细'!$CB$11:$CB$1309,MATCH("1S01-TAN-42",'SKU明细'!$A$11:$A$1309,0)))=12,SUM(INDEX('SKU明细'!$CB$11:$CB$1309,MATCH("1S01-TAN-36",'SKU明细'!$A$11:$A$1309,0)),INDEX('SKU明细'!$CB$11:$CB$1309,MATCH("1S01-TAN-37",'SKU明细'!$A$11:$A$1309,0)),INDEX('SKU明细'!$CB$11:$CB$1309,MATCH("1S01-TAN-37.5",'SKU明细'!$A$11:$A$1309,0)),INDEX('SKU明细'!$CB$11:$CB$1309,MATCH("1S01-TAN-38",'SKU明细'!$A$11:$A$1309,0)),INDEX('SKU明细'!$CB$11:$CB$1309,MATCH("1S01-TAN-38.5",'SKU明细'!$A$11:$A$1309,0)),INDEX('SKU明细'!$CB$11:$CB$1309,MATCH("1S01-TAN-39",'SKU明细'!$A$11:$A$1309,0)),INDEX('SKU明细'!$CB$11:$CB$1309,MATCH("1S01-TAN-39.5",'SKU明细'!$A$11:$A$1309,0)),INDEX('SKU明细'!$CB$11:$CB$1309,MATCH("1S01-TAN-40",'SKU明细'!$A$11:$A$1309,0)),INDEX('SKU明细'!$CB$11:$CB$1309,MATCH("1S01-TAN-40.5",'SKU明细'!$A$11:$A$1309,0)),INDEX('SKU明细'!$CB$11:$CB$1309,MATCH("1S01-TAN-41",'SKU明细'!$A$11:$A$1309,0)),INDEX('SKU明细'!$CB$11:$CB$1309,MATCH("1S01-TAN-41.5",'SKU明细'!$A$11:$A$1309,0)),INDEX('SKU明细'!$CB$11:$CB$1309,MATCH("1S01-TAN-42",'SKU明细'!$A$11:$A$1309,0))),"待核")</x:f>
        <x:v>0.14755256303502615</x:v>
      </x:c>
      <x:c r="AB137" s="11" t="n">
        <x:f>INDEX('SKU明细'!$CC$11:$CC$1309,MATCH("1S01-TAN-36",'SKU明细'!$A$11:$A$1309,0))</x:f>
        <x:v>0.532550303142279</x:v>
      </x:c>
      <x:c r="AC137" s="13" t="n">
        <x:f>IF(COUNT(INDEX('SKU明细'!$CE$11:$CE$1309,MATCH("1S01-TAN-36",'SKU明细'!$A$11:$A$1309,0)),INDEX('SKU明细'!$CE$11:$CE$1309,MATCH("1S01-TAN-37",'SKU明细'!$A$11:$A$1309,0)),INDEX('SKU明细'!$CE$11:$CE$1309,MATCH("1S01-TAN-37.5",'SKU明细'!$A$11:$A$1309,0)),INDEX('SKU明细'!$CE$11:$CE$1309,MATCH("1S01-TAN-38",'SKU明细'!$A$11:$A$1309,0)),INDEX('SKU明细'!$CE$11:$CE$1309,MATCH("1S01-TAN-38.5",'SKU明细'!$A$11:$A$1309,0)),INDEX('SKU明细'!$CE$11:$CE$1309,MATCH("1S01-TAN-39",'SKU明细'!$A$11:$A$1309,0)),INDEX('SKU明细'!$CE$11:$CE$1309,MATCH("1S01-TAN-39.5",'SKU明细'!$A$11:$A$1309,0)),INDEX('SKU明细'!$CE$11:$CE$1309,MATCH("1S01-TAN-40",'SKU明细'!$A$11:$A$1309,0)),INDEX('SKU明细'!$CE$11:$CE$1309,MATCH("1S01-TAN-40.5",'SKU明细'!$A$11:$A$1309,0)),INDEX('SKU明细'!$CE$11:$CE$1309,MATCH("1S01-TAN-41",'SKU明细'!$A$11:$A$1309,0)),INDEX('SKU明细'!$CE$11:$CE$1309,MATCH("1S01-TAN-41.5",'SKU明细'!$A$11:$A$1309,0)),INDEX('SKU明细'!$CE$11:$CE$1309,MATCH("1S01-TAN-42",'SKU明细'!$A$11:$A$1309,0)))=12,SUM(INDEX('SKU明细'!$CE$11:$CE$1309,MATCH("1S01-TAN-36",'SKU明细'!$A$11:$A$1309,0)),INDEX('SKU明细'!$CE$11:$CE$1309,MATCH("1S01-TAN-37",'SKU明细'!$A$11:$A$1309,0)),INDEX('SKU明细'!$CE$11:$CE$1309,MATCH("1S01-TAN-37.5",'SKU明细'!$A$11:$A$1309,0)),INDEX('SKU明细'!$CE$11:$CE$1309,MATCH("1S01-TAN-38",'SKU明细'!$A$11:$A$1309,0)),INDEX('SKU明细'!$CE$11:$CE$1309,MATCH("1S01-TAN-38.5",'SKU明细'!$A$11:$A$1309,0)),INDEX('SKU明细'!$CE$11:$CE$1309,MATCH("1S01-TAN-39",'SKU明细'!$A$11:$A$1309,0)),INDEX('SKU明细'!$CE$11:$CE$1309,MATCH("1S01-TAN-39.5",'SKU明细'!$A$11:$A$1309,0)),INDEX('SKU明细'!$CE$11:$CE$1309,MATCH("1S01-TAN-40",'SKU明细'!$A$11:$A$1309,0)),INDEX('SKU明细'!$CE$11:$CE$1309,MATCH("1S01-TAN-40.5",'SKU明细'!$A$11:$A$1309,0)),INDEX('SKU明细'!$CE$11:$CE$1309,MATCH("1S01-TAN-41",'SKU明细'!$A$11:$A$1309,0)),INDEX('SKU明细'!$CE$11:$CE$1309,MATCH("1S01-TAN-41.5",'SKU明细'!$A$11:$A$1309,0)),INDEX('SKU明细'!$CE$11:$CE$1309,MATCH("1S01-TAN-42",'SKU明细'!$A$11:$A$1309,0))),"待核")</x:f>
        <x:v>0.10077532667631384</x:v>
      </x:c>
      <x:c r="AD137" s="11" t="n">
        <x:f>INDEX('SKU明细'!$CF$11:$CF$1309,MATCH("1S01-TAN-36",'SKU明细'!$A$11:$A$1309,0))</x:f>
        <x:v>0.7517299265337036</x:v>
      </x:c>
      <x:c r="AE137" s="13" t="n">
        <x:f>IF(COUNT(INDEX('SKU明细'!$CH$11:$CH$1309,MATCH("1S01-TAN-36",'SKU明细'!$A$11:$A$1309,0)),INDEX('SKU明细'!$CH$11:$CH$1309,MATCH("1S01-TAN-37",'SKU明细'!$A$11:$A$1309,0)),INDEX('SKU明细'!$CH$11:$CH$1309,MATCH("1S01-TAN-37.5",'SKU明细'!$A$11:$A$1309,0)),INDEX('SKU明细'!$CH$11:$CH$1309,MATCH("1S01-TAN-38",'SKU明细'!$A$11:$A$1309,0)),INDEX('SKU明细'!$CH$11:$CH$1309,MATCH("1S01-TAN-38.5",'SKU明细'!$A$11:$A$1309,0)),INDEX('SKU明细'!$CH$11:$CH$1309,MATCH("1S01-TAN-39",'SKU明细'!$A$11:$A$1309,0)),INDEX('SKU明细'!$CH$11:$CH$1309,MATCH("1S01-TAN-39.5",'SKU明细'!$A$11:$A$1309,0)),INDEX('SKU明细'!$CH$11:$CH$1309,MATCH("1S01-TAN-40",'SKU明细'!$A$11:$A$1309,0)),INDEX('SKU明细'!$CH$11:$CH$1309,MATCH("1S01-TAN-40.5",'SKU明细'!$A$11:$A$1309,0)),INDEX('SKU明细'!$CH$11:$CH$1309,MATCH("1S01-TAN-41",'SKU明细'!$A$11:$A$1309,0)),INDEX('SKU明细'!$CH$11:$CH$1309,MATCH("1S01-TAN-41.5",'SKU明细'!$A$11:$A$1309,0)),INDEX('SKU明细'!$CH$11:$CH$1309,MATCH("1S01-TAN-42",'SKU明细'!$A$11:$A$1309,0)))=12,SUM(INDEX('SKU明细'!$CH$11:$CH$1309,MATCH("1S01-TAN-36",'SKU明细'!$A$11:$A$1309,0)),INDEX('SKU明细'!$CH$11:$CH$1309,MATCH("1S01-TAN-37",'SKU明细'!$A$11:$A$1309,0)),INDEX('SKU明细'!$CH$11:$CH$1309,MATCH("1S01-TAN-37.5",'SKU明细'!$A$11:$A$1309,0)),INDEX('SKU明细'!$CH$11:$CH$1309,MATCH("1S01-TAN-38",'SKU明细'!$A$11:$A$1309,0)),INDEX('SKU明细'!$CH$11:$CH$1309,MATCH("1S01-TAN-38.5",'SKU明细'!$A$11:$A$1309,0)),INDEX('SKU明细'!$CH$11:$CH$1309,MATCH("1S01-TAN-39",'SKU明细'!$A$11:$A$1309,0)),INDEX('SKU明细'!$CH$11:$CH$1309,MATCH("1S01-TAN-39.5",'SKU明细'!$A$11:$A$1309,0)),INDEX('SKU明细'!$CH$11:$CH$1309,MATCH("1S01-TAN-40",'SKU明细'!$A$11:$A$1309,0)),INDEX('SKU明细'!$CH$11:$CH$1309,MATCH("1S01-TAN-40.5",'SKU明细'!$A$11:$A$1309,0)),INDEX('SKU明细'!$CH$11:$CH$1309,MATCH("1S01-TAN-41",'SKU明细'!$A$11:$A$1309,0)),INDEX('SKU明细'!$CH$11:$CH$1309,MATCH("1S01-TAN-41.5",'SKU明细'!$A$11:$A$1309,0)),INDEX('SKU明细'!$CH$11:$CH$1309,MATCH("1S01-TAN-42",'SKU明细'!$A$11:$A$1309,0))),"待核")</x:f>
        <x:v>0.07800862911799282</x:v>
      </x:c>
      <x:c r="AF137" s="13" t="n">
        <x:f>IF(COUNT(INDEX('SKU明细'!$CI$11:$CI$1309,MATCH("1S01-TAN-36",'SKU明细'!$A$11:$A$1309,0)),INDEX('SKU明细'!$CI$11:$CI$1309,MATCH("1S01-TAN-37",'SKU明细'!$A$11:$A$1309,0)),INDEX('SKU明细'!$CI$11:$CI$1309,MATCH("1S01-TAN-37.5",'SKU明细'!$A$11:$A$1309,0)),INDEX('SKU明细'!$CI$11:$CI$1309,MATCH("1S01-TAN-38",'SKU明细'!$A$11:$A$1309,0)),INDEX('SKU明细'!$CI$11:$CI$1309,MATCH("1S01-TAN-38.5",'SKU明细'!$A$11:$A$1309,0)),INDEX('SKU明细'!$CI$11:$CI$1309,MATCH("1S01-TAN-39",'SKU明细'!$A$11:$A$1309,0)),INDEX('SKU明细'!$CI$11:$CI$1309,MATCH("1S01-TAN-39.5",'SKU明细'!$A$11:$A$1309,0)),INDEX('SKU明细'!$CI$11:$CI$1309,MATCH("1S01-TAN-40",'SKU明细'!$A$11:$A$1309,0)),INDEX('SKU明细'!$CI$11:$CI$1309,MATCH("1S01-TAN-40.5",'SKU明细'!$A$11:$A$1309,0)),INDEX('SKU明细'!$CI$11:$CI$1309,MATCH("1S01-TAN-41",'SKU明细'!$A$11:$A$1309,0)),INDEX('SKU明细'!$CI$11:$CI$1309,MATCH("1S01-TAN-41.5",'SKU明细'!$A$11:$A$1309,0)),INDEX('SKU明细'!$CI$11:$CI$1309,MATCH("1S01-TAN-42",'SKU明细'!$A$11:$A$1309,0)))=12,SUM(INDEX('SKU明细'!$CI$11:$CI$1309,MATCH("1S01-TAN-36",'SKU明细'!$A$11:$A$1309,0)),INDEX('SKU明细'!$CI$11:$CI$1309,MATCH("1S01-TAN-37",'SKU明细'!$A$11:$A$1309,0)),INDEX('SKU明细'!$CI$11:$CI$1309,MATCH("1S01-TAN-37.5",'SKU明细'!$A$11:$A$1309,0)),INDEX('SKU明细'!$CI$11:$CI$1309,MATCH("1S01-TAN-38",'SKU明细'!$A$11:$A$1309,0)),INDEX('SKU明细'!$CI$11:$CI$1309,MATCH("1S01-TAN-38.5",'SKU明细'!$A$11:$A$1309,0)),INDEX('SKU明细'!$CI$11:$CI$1309,MATCH("1S01-TAN-39",'SKU明细'!$A$11:$A$1309,0)),INDEX('SKU明细'!$CI$11:$CI$1309,MATCH("1S01-TAN-39.5",'SKU明细'!$A$11:$A$1309,0)),INDEX('SKU明细'!$CI$11:$CI$1309,MATCH("1S01-TAN-40",'SKU明细'!$A$11:$A$1309,0)),INDEX('SKU明细'!$CI$11:$CI$1309,MATCH("1S01-TAN-40.5",'SKU明细'!$A$11:$A$1309,0)),INDEX('SKU明细'!$CI$11:$CI$1309,MATCH("1S01-TAN-41",'SKU明细'!$A$11:$A$1309,0)),INDEX('SKU明细'!$CI$11:$CI$1309,MATCH("1S01-TAN-41.5",'SKU明细'!$A$11:$A$1309,0)),INDEX('SKU明细'!$CI$11:$CI$1309,MATCH("1S01-TAN-42",'SKU明细'!$A$11:$A$1309,0))),"待核")</x:f>
        <x:v>0.39028092121556063</x:v>
      </x:c>
    </x:row>
    <x:row r="138" ht="40" customHeight="1">
      <x:c r="A138" s="37" t="str">
        <x:v>1S01</x:v>
      </x:c>
      <x:c r="B138" s="37" t="str">
        <x:v>徐新怡</x:v>
      </x:c>
      <x:c r="C138" s="37" t="str">
        <x:v>驼色</x:v>
      </x:c>
      <x:c r="D138" s="37" t="str">
        <x:v>TN</x:v>
      </x:c>
      <x:c r="E138" s="37" t="str">
        <x:v>1S01-TN</x:v>
      </x:c>
      <x:c r="F138" s="37"/>
      <x:c r="G138" s="38" t="n">
        <x:f>IF(COUNT(INDEX('SKU明细'!$D$11:$D$1309,MATCH("1S01-TN-36",'SKU明细'!$A$11:$A$1309,0)))=0,"待核",IF(COUNT(INDEX('SKU明细'!$D$11:$D$1309,MATCH("1S01-TN-36",'SKU明细'!$A$11:$A$1309,0)))&lt;1,SUM(INDEX('SKU明细'!$D$11:$D$1309,MATCH("1S01-TN-36",'SKU明细'!$A$11:$A$1309,0)))&amp;" + 待核",SUM(INDEX('SKU明细'!$D$11:$D$1309,MATCH("1S01-TN-36",'SKU明细'!$A$11:$A$1309,0)))))</x:f>
        <x:v>0</x:v>
      </x:c>
      <x:c r="H138" s="38" t="n">
        <x:f>IF(COUNT(INDEX('SKU明细'!$D$11:$D$1309,MATCH("1S01-TN-37",'SKU明细'!$A$11:$A$1309,0)))=0,"待核",IF(COUNT(INDEX('SKU明细'!$D$11:$D$1309,MATCH("1S01-TN-37",'SKU明细'!$A$11:$A$1309,0)))&lt;1,SUM(INDEX('SKU明细'!$D$11:$D$1309,MATCH("1S01-TN-37",'SKU明细'!$A$11:$A$1309,0)))&amp;" + 待核",SUM(INDEX('SKU明细'!$D$11:$D$1309,MATCH("1S01-TN-37",'SKU明细'!$A$11:$A$1309,0)))))</x:f>
        <x:v>0</x:v>
      </x:c>
      <x:c r="I138" s="38" t="n">
        <x:f>IF(COUNT(INDEX('SKU明细'!$D$11:$D$1309,MATCH("1S01-TN-37.5",'SKU明细'!$A$11:$A$1309,0)))=0,"待核",IF(COUNT(INDEX('SKU明细'!$D$11:$D$1309,MATCH("1S01-TN-37.5",'SKU明细'!$A$11:$A$1309,0)))&lt;1,SUM(INDEX('SKU明细'!$D$11:$D$1309,MATCH("1S01-TN-37.5",'SKU明细'!$A$11:$A$1309,0)))&amp;" + 待核",SUM(INDEX('SKU明细'!$D$11:$D$1309,MATCH("1S01-TN-37.5",'SKU明细'!$A$11:$A$1309,0)))))</x:f>
        <x:v>4</x:v>
      </x:c>
      <x:c r="J138" s="38" t="n">
        <x:f>IF(COUNT(INDEX('SKU明细'!$D$11:$D$1309,MATCH("1S01-TN-38",'SKU明细'!$A$11:$A$1309,0)))=0,"待核",IF(COUNT(INDEX('SKU明细'!$D$11:$D$1309,MATCH("1S01-TN-38",'SKU明细'!$A$11:$A$1309,0)))&lt;1,SUM(INDEX('SKU明细'!$D$11:$D$1309,MATCH("1S01-TN-38",'SKU明细'!$A$11:$A$1309,0)))&amp;" + 待核",SUM(INDEX('SKU明细'!$D$11:$D$1309,MATCH("1S01-TN-38",'SKU明细'!$A$11:$A$1309,0)))))</x:f>
        <x:v>2</x:v>
      </x:c>
      <x:c r="K138" s="38" t="n">
        <x:f>IF(COUNT(INDEX('SKU明细'!$D$11:$D$1309,MATCH("1S01-TN-38.5",'SKU明细'!$A$11:$A$1309,0)))=0,"待核",IF(COUNT(INDEX('SKU明细'!$D$11:$D$1309,MATCH("1S01-TN-38.5",'SKU明细'!$A$11:$A$1309,0)))&lt;1,SUM(INDEX('SKU明细'!$D$11:$D$1309,MATCH("1S01-TN-38.5",'SKU明细'!$A$11:$A$1309,0)))&amp;" + 待核",SUM(INDEX('SKU明细'!$D$11:$D$1309,MATCH("1S01-TN-38.5",'SKU明细'!$A$11:$A$1309,0)))))</x:f>
        <x:v>0</x:v>
      </x:c>
      <x:c r="L138" s="38" t="n">
        <x:f>IF(COUNT(INDEX('SKU明细'!$D$11:$D$1309,MATCH("1S01-TN-39",'SKU明细'!$A$11:$A$1309,0)))=0,"待核",IF(COUNT(INDEX('SKU明细'!$D$11:$D$1309,MATCH("1S01-TN-39",'SKU明细'!$A$11:$A$1309,0)))&lt;1,SUM(INDEX('SKU明细'!$D$11:$D$1309,MATCH("1S01-TN-39",'SKU明细'!$A$11:$A$1309,0)))&amp;" + 待核",SUM(INDEX('SKU明细'!$D$11:$D$1309,MATCH("1S01-TN-39",'SKU明细'!$A$11:$A$1309,0)))))</x:f>
        <x:v>0</x:v>
      </x:c>
      <x:c r="M138" s="38" t="n">
        <x:f>IF(COUNT(INDEX('SKU明细'!$D$11:$D$1309,MATCH("1S01-TN-39.5",'SKU明细'!$A$11:$A$1309,0)))=0,"待核",IF(COUNT(INDEX('SKU明细'!$D$11:$D$1309,MATCH("1S01-TN-39.5",'SKU明细'!$A$11:$A$1309,0)))&lt;1,SUM(INDEX('SKU明细'!$D$11:$D$1309,MATCH("1S01-TN-39.5",'SKU明细'!$A$11:$A$1309,0)))&amp;" + 待核",SUM(INDEX('SKU明细'!$D$11:$D$1309,MATCH("1S01-TN-39.5",'SKU明细'!$A$11:$A$1309,0)))))</x:f>
        <x:v>0</x:v>
      </x:c>
      <x:c r="N138" s="38" t="n">
        <x:f>IF(COUNT(INDEX('SKU明细'!$D$11:$D$1309,MATCH("1S01-TN-40",'SKU明细'!$A$11:$A$1309,0)))=0,"待核",IF(COUNT(INDEX('SKU明细'!$D$11:$D$1309,MATCH("1S01-TN-40",'SKU明细'!$A$11:$A$1309,0)))&lt;1,SUM(INDEX('SKU明细'!$D$11:$D$1309,MATCH("1S01-TN-40",'SKU明细'!$A$11:$A$1309,0)))&amp;" + 待核",SUM(INDEX('SKU明细'!$D$11:$D$1309,MATCH("1S01-TN-40",'SKU明细'!$A$11:$A$1309,0)))))</x:f>
        <x:v>0</x:v>
      </x:c>
      <x:c r="O138" s="38" t="n">
        <x:f>IF(COUNT(INDEX('SKU明细'!$D$11:$D$1309,MATCH("1S01-TN-40.5",'SKU明细'!$A$11:$A$1309,0)))=0,"待核",IF(COUNT(INDEX('SKU明细'!$D$11:$D$1309,MATCH("1S01-TN-40.5",'SKU明细'!$A$11:$A$1309,0)))&lt;1,SUM(INDEX('SKU明细'!$D$11:$D$1309,MATCH("1S01-TN-40.5",'SKU明细'!$A$11:$A$1309,0)))&amp;" + 待核",SUM(INDEX('SKU明细'!$D$11:$D$1309,MATCH("1S01-TN-40.5",'SKU明细'!$A$11:$A$1309,0)))))</x:f>
        <x:v>0</x:v>
      </x:c>
      <x:c r="P138" s="38" t="n">
        <x:f>IF(COUNT(INDEX('SKU明细'!$D$11:$D$1309,MATCH("1S01-TN-41",'SKU明细'!$A$11:$A$1309,0)))=0,"待核",IF(COUNT(INDEX('SKU明细'!$D$11:$D$1309,MATCH("1S01-TN-41",'SKU明细'!$A$11:$A$1309,0)))&lt;1,SUM(INDEX('SKU明细'!$D$11:$D$1309,MATCH("1S01-TN-41",'SKU明细'!$A$11:$A$1309,0)))&amp;" + 待核",SUM(INDEX('SKU明细'!$D$11:$D$1309,MATCH("1S01-TN-41",'SKU明细'!$A$11:$A$1309,0)))))</x:f>
        <x:v>0</x:v>
      </x:c>
      <x:c r="Q138" s="38" t="n">
        <x:f>IF(COUNT(INDEX('SKU明细'!$D$11:$D$1309,MATCH("1S01-TN-41.5",'SKU明细'!$A$11:$A$1309,0)))=0,"待核",IF(COUNT(INDEX('SKU明细'!$D$11:$D$1309,MATCH("1S01-TN-41.5",'SKU明细'!$A$11:$A$1309,0)))&lt;1,SUM(INDEX('SKU明细'!$D$11:$D$1309,MATCH("1S01-TN-41.5",'SKU明细'!$A$11:$A$1309,0)))&amp;" + 待核",SUM(INDEX('SKU明细'!$D$11:$D$1309,MATCH("1S01-TN-41.5",'SKU明细'!$A$11:$A$1309,0)))))</x:f>
        <x:v>0</x:v>
      </x:c>
      <x:c r="R138" s="38" t="n">
        <x:f>IF(COUNT(INDEX('SKU明细'!$D$11:$D$1309,MATCH("1S01-TN-42",'SKU明细'!$A$11:$A$1309,0)))=0,"待核",IF(COUNT(INDEX('SKU明细'!$D$11:$D$1309,MATCH("1S01-TN-42",'SKU明细'!$A$11:$A$1309,0)))&lt;1,SUM(INDEX('SKU明细'!$D$11:$D$1309,MATCH("1S01-TN-42",'SKU明细'!$A$11:$A$1309,0)))&amp;" + 待核",SUM(INDEX('SKU明细'!$D$11:$D$1309,MATCH("1S01-TN-42",'SKU明细'!$A$11:$A$1309,0)))))</x:f>
        <x:v>0</x:v>
      </x:c>
      <x:c r="S138" s="38" t="n">
        <x:f>IF(COUNT(INDEX('SKU明细'!$D$11:$D$1309,MATCH("1S01-TN-36",'SKU明细'!$A$11:$A$1309,0)),INDEX('SKU明细'!$D$11:$D$1309,MATCH("1S01-TN-37",'SKU明细'!$A$11:$A$1309,0)),INDEX('SKU明细'!$D$11:$D$1309,MATCH("1S01-TN-37.5",'SKU明细'!$A$11:$A$1309,0)),INDEX('SKU明细'!$D$11:$D$1309,MATCH("1S01-TN-38",'SKU明细'!$A$11:$A$1309,0)),INDEX('SKU明细'!$D$11:$D$1309,MATCH("1S01-TN-38.5",'SKU明细'!$A$11:$A$1309,0)),INDEX('SKU明细'!$D$11:$D$1309,MATCH("1S01-TN-39",'SKU明细'!$A$11:$A$1309,0)),INDEX('SKU明细'!$D$11:$D$1309,MATCH("1S01-TN-39.5",'SKU明细'!$A$11:$A$1309,0)),INDEX('SKU明细'!$D$11:$D$1309,MATCH("1S01-TN-40",'SKU明细'!$A$11:$A$1309,0)),INDEX('SKU明细'!$D$11:$D$1309,MATCH("1S01-TN-40.5",'SKU明细'!$A$11:$A$1309,0)),INDEX('SKU明细'!$D$11:$D$1309,MATCH("1S01-TN-41",'SKU明细'!$A$11:$A$1309,0)),INDEX('SKU明细'!$D$11:$D$1309,MATCH("1S01-TN-41.5",'SKU明细'!$A$11:$A$1309,0)),INDEX('SKU明细'!$D$11:$D$1309,MATCH("1S01-TN-42",'SKU明细'!$A$11:$A$1309,0)))=0,"待核",SUM(INDEX('SKU明细'!$D$11:$D$1309,MATCH("1S01-TN-36",'SKU明细'!$A$11:$A$1309,0)),INDEX('SKU明细'!$D$11:$D$1309,MATCH("1S01-TN-37",'SKU明细'!$A$11:$A$1309,0)),INDEX('SKU明细'!$D$11:$D$1309,MATCH("1S01-TN-37.5",'SKU明细'!$A$11:$A$1309,0)),INDEX('SKU明细'!$D$11:$D$1309,MATCH("1S01-TN-38",'SKU明细'!$A$11:$A$1309,0)),INDEX('SKU明细'!$D$11:$D$1309,MATCH("1S01-TN-38.5",'SKU明细'!$A$11:$A$1309,0)),INDEX('SKU明细'!$D$11:$D$1309,MATCH("1S01-TN-39",'SKU明细'!$A$11:$A$1309,0)),INDEX('SKU明细'!$D$11:$D$1309,MATCH("1S01-TN-39.5",'SKU明细'!$A$11:$A$1309,0)),INDEX('SKU明细'!$D$11:$D$1309,MATCH("1S01-TN-40",'SKU明细'!$A$11:$A$1309,0)),INDEX('SKU明细'!$D$11:$D$1309,MATCH("1S01-TN-40.5",'SKU明细'!$A$11:$A$1309,0)),INDEX('SKU明细'!$D$11:$D$1309,MATCH("1S01-TN-41",'SKU明细'!$A$11:$A$1309,0)),INDEX('SKU明细'!$D$11:$D$1309,MATCH("1S01-TN-41.5",'SKU明细'!$A$11:$A$1309,0)),INDEX('SKU明细'!$D$11:$D$1309,MATCH("1S01-TN-42",'SKU明细'!$A$11:$A$1309,0))))</x:f>
        <x:v>6</x:v>
      </x:c>
      <x:c r="T138" s="38" t="n">
        <x:f>IF(COUNTIFS($A$9:$A$191,A138,$U$9:$U$191,"&lt;&gt;待核")=0,"待核",SUMIF($A$9:$A$191,A138,$S$9:$S$191))</x:f>
        <x:v>141</x:v>
      </x:c>
      <x:c r="U138" s="37" t="str">
        <x:f>IF(COUNT(INDEX('SKU明细'!$D$11:$D$1309,MATCH("1S01-TN-36",'SKU明细'!$A$11:$A$1309,0)),INDEX('SKU明细'!$D$11:$D$1309,MATCH("1S01-TN-37",'SKU明细'!$A$11:$A$1309,0)),INDEX('SKU明细'!$D$11:$D$1309,MATCH("1S01-TN-37.5",'SKU明细'!$A$11:$A$1309,0)),INDEX('SKU明细'!$D$11:$D$1309,MATCH("1S01-TN-38",'SKU明细'!$A$11:$A$1309,0)),INDEX('SKU明细'!$D$11:$D$1309,MATCH("1S01-TN-38.5",'SKU明细'!$A$11:$A$1309,0)),INDEX('SKU明细'!$D$11:$D$1309,MATCH("1S01-TN-39",'SKU明细'!$A$11:$A$1309,0)),INDEX('SKU明细'!$D$11:$D$1309,MATCH("1S01-TN-39.5",'SKU明细'!$A$11:$A$1309,0)),INDEX('SKU明细'!$D$11:$D$1309,MATCH("1S01-TN-40",'SKU明细'!$A$11:$A$1309,0)),INDEX('SKU明细'!$D$11:$D$1309,MATCH("1S01-TN-40.5",'SKU明细'!$A$11:$A$1309,0)),INDEX('SKU明细'!$D$11:$D$1309,MATCH("1S01-TN-41",'SKU明细'!$A$11:$A$1309,0)),INDEX('SKU明细'!$D$11:$D$1309,MATCH("1S01-TN-41.5",'SKU明细'!$A$11:$A$1309,0)),INDEX('SKU明细'!$D$11:$D$1309,MATCH("1S01-TN-42",'SKU明细'!$A$11:$A$1309,0)))=0,"待核",IF(COUNT(INDEX('SKU明细'!$D$11:$D$1309,MATCH("1S01-TN-36",'SKU明细'!$A$11:$A$1309,0)),INDEX('SKU明细'!$D$11:$D$1309,MATCH("1S01-TN-37",'SKU明细'!$A$11:$A$1309,0)),INDEX('SKU明细'!$D$11:$D$1309,MATCH("1S01-TN-37.5",'SKU明细'!$A$11:$A$1309,0)),INDEX('SKU明细'!$D$11:$D$1309,MATCH("1S01-TN-38",'SKU明细'!$A$11:$A$1309,0)),INDEX('SKU明细'!$D$11:$D$1309,MATCH("1S01-TN-38.5",'SKU明细'!$A$11:$A$1309,0)),INDEX('SKU明细'!$D$11:$D$1309,MATCH("1S01-TN-39",'SKU明细'!$A$11:$A$1309,0)),INDEX('SKU明细'!$D$11:$D$1309,MATCH("1S01-TN-39.5",'SKU明细'!$A$11:$A$1309,0)),INDEX('SKU明细'!$D$11:$D$1309,MATCH("1S01-TN-40",'SKU明细'!$A$11:$A$1309,0)),INDEX('SKU明细'!$D$11:$D$1309,MATCH("1S01-TN-40.5",'SKU明细'!$A$11:$A$1309,0)),INDEX('SKU明细'!$D$11:$D$1309,MATCH("1S01-TN-41",'SKU明细'!$A$11:$A$1309,0)),INDEX('SKU明细'!$D$11:$D$1309,MATCH("1S01-TN-41.5",'SKU明细'!$A$11:$A$1309,0)),INDEX('SKU明细'!$D$11:$D$1309,MATCH("1S01-TN-42",'SKU明细'!$A$11:$A$1309,0)))&lt;12,"另有待核","已核"))</x:f>
        <x:v>已核</x:v>
      </x:c>
      <x:c r="V138" s="37" t="str">
        <x:v>停售、在售</x:v>
      </x:c>
      <x:c r="W138" s="11" t="n">
        <x:f>IF(COUNT(INDEX('SKU明细'!$BV$11:$BV$1309,MATCH("1S01-TN-36",'SKU明细'!$A$11:$A$1309,0)),INDEX('SKU明细'!$BV$11:$BV$1309,MATCH("1S01-TN-37",'SKU明细'!$A$11:$A$1309,0)),INDEX('SKU明细'!$BV$11:$BV$1309,MATCH("1S01-TN-37.5",'SKU明细'!$A$11:$A$1309,0)),INDEX('SKU明细'!$BV$11:$BV$1309,MATCH("1S01-TN-38",'SKU明细'!$A$11:$A$1309,0)),INDEX('SKU明细'!$BV$11:$BV$1309,MATCH("1S01-TN-38.5",'SKU明细'!$A$11:$A$1309,0)),INDEX('SKU明细'!$BV$11:$BV$1309,MATCH("1S01-TN-39",'SKU明细'!$A$11:$A$1309,0)),INDEX('SKU明细'!$BV$11:$BV$1309,MATCH("1S01-TN-39.5",'SKU明细'!$A$11:$A$1309,0)),INDEX('SKU明细'!$BV$11:$BV$1309,MATCH("1S01-TN-40",'SKU明细'!$A$11:$A$1309,0)),INDEX('SKU明细'!$BV$11:$BV$1309,MATCH("1S01-TN-40.5",'SKU明细'!$A$11:$A$1309,0)),INDEX('SKU明细'!$BV$11:$BV$1309,MATCH("1S01-TN-41",'SKU明细'!$A$11:$A$1309,0)),INDEX('SKU明细'!$BV$11:$BV$1309,MATCH("1S01-TN-41.5",'SKU明细'!$A$11:$A$1309,0)),INDEX('SKU明细'!$BV$11:$BV$1309,MATCH("1S01-TN-42",'SKU明细'!$A$11:$A$1309,0)))=12,SUM(INDEX('SKU明细'!$BV$11:$BV$1309,MATCH("1S01-TN-36",'SKU明细'!$A$11:$A$1309,0)),INDEX('SKU明细'!$BV$11:$BV$1309,MATCH("1S01-TN-37",'SKU明细'!$A$11:$A$1309,0)),INDEX('SKU明细'!$BV$11:$BV$1309,MATCH("1S01-TN-37.5",'SKU明细'!$A$11:$A$1309,0)),INDEX('SKU明细'!$BV$11:$BV$1309,MATCH("1S01-TN-38",'SKU明细'!$A$11:$A$1309,0)),INDEX('SKU明细'!$BV$11:$BV$1309,MATCH("1S01-TN-38.5",'SKU明细'!$A$11:$A$1309,0)),INDEX('SKU明细'!$BV$11:$BV$1309,MATCH("1S01-TN-39",'SKU明细'!$A$11:$A$1309,0)),INDEX('SKU明细'!$BV$11:$BV$1309,MATCH("1S01-TN-39.5",'SKU明细'!$A$11:$A$1309,0)),INDEX('SKU明细'!$BV$11:$BV$1309,MATCH("1S01-TN-40",'SKU明细'!$A$11:$A$1309,0)),INDEX('SKU明细'!$BV$11:$BV$1309,MATCH("1S01-TN-40.5",'SKU明细'!$A$11:$A$1309,0)),INDEX('SKU明细'!$BV$11:$BV$1309,MATCH("1S01-TN-41",'SKU明细'!$A$11:$A$1309,0)),INDEX('SKU明细'!$BV$11:$BV$1309,MATCH("1S01-TN-41.5",'SKU明细'!$A$11:$A$1309,0)),INDEX('SKU明细'!$BV$11:$BV$1309,MATCH("1S01-TN-42",'SKU明细'!$A$11:$A$1309,0))),"待核")</x:f>
        <x:v>1.6617039653335794</x:v>
      </x:c>
      <x:c r="X138" s="11" t="n">
        <x:f>INDEX('SKU明细'!$BW$11:$BW$1309,MATCH("1S01-TN-36",'SKU明细'!$A$11:$A$1309,0))</x:f>
        <x:v>0.8729500662042875</x:v>
      </x:c>
      <x:c r="Y138" s="13" t="n">
        <x:f>IF(COUNT(INDEX('SKU明细'!$BY$11:$BY$1309,MATCH("1S01-TN-36",'SKU明细'!$A$11:$A$1309,0)),INDEX('SKU明细'!$BY$11:$BY$1309,MATCH("1S01-TN-37",'SKU明细'!$A$11:$A$1309,0)),INDEX('SKU明细'!$BY$11:$BY$1309,MATCH("1S01-TN-37.5",'SKU明细'!$A$11:$A$1309,0)),INDEX('SKU明细'!$BY$11:$BY$1309,MATCH("1S01-TN-38",'SKU明细'!$A$11:$A$1309,0)),INDEX('SKU明细'!$BY$11:$BY$1309,MATCH("1S01-TN-38.5",'SKU明细'!$A$11:$A$1309,0)),INDEX('SKU明细'!$BY$11:$BY$1309,MATCH("1S01-TN-39",'SKU明细'!$A$11:$A$1309,0)),INDEX('SKU明细'!$BY$11:$BY$1309,MATCH("1S01-TN-39.5",'SKU明细'!$A$11:$A$1309,0)),INDEX('SKU明细'!$BY$11:$BY$1309,MATCH("1S01-TN-40",'SKU明细'!$A$11:$A$1309,0)),INDEX('SKU明细'!$BY$11:$BY$1309,MATCH("1S01-TN-40.5",'SKU明细'!$A$11:$A$1309,0)),INDEX('SKU明细'!$BY$11:$BY$1309,MATCH("1S01-TN-41",'SKU明细'!$A$11:$A$1309,0)),INDEX('SKU明细'!$BY$11:$BY$1309,MATCH("1S01-TN-41.5",'SKU明细'!$A$11:$A$1309,0)),INDEX('SKU明细'!$BY$11:$BY$1309,MATCH("1S01-TN-42",'SKU明细'!$A$11:$A$1309,0)))=12,SUM(INDEX('SKU明细'!$BY$11:$BY$1309,MATCH("1S01-TN-36",'SKU明细'!$A$11:$A$1309,0)),INDEX('SKU明细'!$BY$11:$BY$1309,MATCH("1S01-TN-37",'SKU明细'!$A$11:$A$1309,0)),INDEX('SKU明细'!$BY$11:$BY$1309,MATCH("1S01-TN-37.5",'SKU明细'!$A$11:$A$1309,0)),INDEX('SKU明细'!$BY$11:$BY$1309,MATCH("1S01-TN-38",'SKU明细'!$A$11:$A$1309,0)),INDEX('SKU明细'!$BY$11:$BY$1309,MATCH("1S01-TN-38.5",'SKU明细'!$A$11:$A$1309,0)),INDEX('SKU明细'!$BY$11:$BY$1309,MATCH("1S01-TN-39",'SKU明细'!$A$11:$A$1309,0)),INDEX('SKU明细'!$BY$11:$BY$1309,MATCH("1S01-TN-39.5",'SKU明细'!$A$11:$A$1309,0)),INDEX('SKU明细'!$BY$11:$BY$1309,MATCH("1S01-TN-40",'SKU明细'!$A$11:$A$1309,0)),INDEX('SKU明细'!$BY$11:$BY$1309,MATCH("1S01-TN-40.5",'SKU明细'!$A$11:$A$1309,0)),INDEX('SKU明细'!$BY$11:$BY$1309,MATCH("1S01-TN-41",'SKU明细'!$A$11:$A$1309,0)),INDEX('SKU明细'!$BY$11:$BY$1309,MATCH("1S01-TN-41.5",'SKU明细'!$A$11:$A$1309,0)),INDEX('SKU明细'!$BY$11:$BY$1309,MATCH("1S01-TN-42",'SKU明细'!$A$11:$A$1309,0))),"待核")</x:f>
        <x:v>17.4070150385985</x:v>
      </x:c>
      <x:c r="Z138" s="11" t="n">
        <x:f>INDEX('SKU明细'!$BZ$11:$BZ$1309,MATCH("1S01-TN-36",'SKU明细'!$A$11:$A$1309,0))</x:f>
        <x:v>0.8057375774163482</x:v>
      </x:c>
      <x:c r="AA138" s="13" t="n">
        <x:f>IF(COUNT(INDEX('SKU明细'!$CB$11:$CB$1309,MATCH("1S01-TN-36",'SKU明细'!$A$11:$A$1309,0)),INDEX('SKU明细'!$CB$11:$CB$1309,MATCH("1S01-TN-37",'SKU明细'!$A$11:$A$1309,0)),INDEX('SKU明细'!$CB$11:$CB$1309,MATCH("1S01-TN-37.5",'SKU明细'!$A$11:$A$1309,0)),INDEX('SKU明细'!$CB$11:$CB$1309,MATCH("1S01-TN-38",'SKU明细'!$A$11:$A$1309,0)),INDEX('SKU明细'!$CB$11:$CB$1309,MATCH("1S01-TN-38.5",'SKU明细'!$A$11:$A$1309,0)),INDEX('SKU明细'!$CB$11:$CB$1309,MATCH("1S01-TN-39",'SKU明细'!$A$11:$A$1309,0)),INDEX('SKU明细'!$CB$11:$CB$1309,MATCH("1S01-TN-39.5",'SKU明细'!$A$11:$A$1309,0)),INDEX('SKU明细'!$CB$11:$CB$1309,MATCH("1S01-TN-40",'SKU明细'!$A$11:$A$1309,0)),INDEX('SKU明细'!$CB$11:$CB$1309,MATCH("1S01-TN-40.5",'SKU明细'!$A$11:$A$1309,0)),INDEX('SKU明细'!$CB$11:$CB$1309,MATCH("1S01-TN-41",'SKU明细'!$A$11:$A$1309,0)),INDEX('SKU明细'!$CB$11:$CB$1309,MATCH("1S01-TN-41.5",'SKU明细'!$A$11:$A$1309,0)),INDEX('SKU明细'!$CB$11:$CB$1309,MATCH("1S01-TN-42",'SKU明细'!$A$11:$A$1309,0)))=12,SUM(INDEX('SKU明细'!$CB$11:$CB$1309,MATCH("1S01-TN-36",'SKU明细'!$A$11:$A$1309,0)),INDEX('SKU明细'!$CB$11:$CB$1309,MATCH("1S01-TN-37",'SKU明细'!$A$11:$A$1309,0)),INDEX('SKU明细'!$CB$11:$CB$1309,MATCH("1S01-TN-37.5",'SKU明细'!$A$11:$A$1309,0)),INDEX('SKU明细'!$CB$11:$CB$1309,MATCH("1S01-TN-38",'SKU明细'!$A$11:$A$1309,0)),INDEX('SKU明细'!$CB$11:$CB$1309,MATCH("1S01-TN-38.5",'SKU明细'!$A$11:$A$1309,0)),INDEX('SKU明细'!$CB$11:$CB$1309,MATCH("1S01-TN-39",'SKU明细'!$A$11:$A$1309,0)),INDEX('SKU明细'!$CB$11:$CB$1309,MATCH("1S01-TN-39.5",'SKU明细'!$A$11:$A$1309,0)),INDEX('SKU明细'!$CB$11:$CB$1309,MATCH("1S01-TN-40",'SKU明细'!$A$11:$A$1309,0)),INDEX('SKU明细'!$CB$11:$CB$1309,MATCH("1S01-TN-40.5",'SKU明细'!$A$11:$A$1309,0)),INDEX('SKU明细'!$CB$11:$CB$1309,MATCH("1S01-TN-41",'SKU明细'!$A$11:$A$1309,0)),INDEX('SKU明细'!$CB$11:$CB$1309,MATCH("1S01-TN-41.5",'SKU明细'!$A$11:$A$1309,0)),INDEX('SKU明细'!$CB$11:$CB$1309,MATCH("1S01-TN-42",'SKU明细'!$A$11:$A$1309,0))),"待核")</x:f>
        <x:v>40.166919822330534</x:v>
      </x:c>
      <x:c r="AB138" s="11" t="n">
        <x:f>INDEX('SKU明细'!$CC$11:$CC$1309,MATCH("1S01-TN-36",'SKU明细'!$A$11:$A$1309,0))</x:f>
        <x:v>0.532550303142279</x:v>
      </x:c>
      <x:c r="AC138" s="13" t="n">
        <x:f>IF(COUNT(INDEX('SKU明细'!$CE$11:$CE$1309,MATCH("1S01-TN-36",'SKU明细'!$A$11:$A$1309,0)),INDEX('SKU明细'!$CE$11:$CE$1309,MATCH("1S01-TN-37",'SKU明细'!$A$11:$A$1309,0)),INDEX('SKU明细'!$CE$11:$CE$1309,MATCH("1S01-TN-37.5",'SKU明细'!$A$11:$A$1309,0)),INDEX('SKU明细'!$CE$11:$CE$1309,MATCH("1S01-TN-38",'SKU明细'!$A$11:$A$1309,0)),INDEX('SKU明细'!$CE$11:$CE$1309,MATCH("1S01-TN-38.5",'SKU明细'!$A$11:$A$1309,0)),INDEX('SKU明细'!$CE$11:$CE$1309,MATCH("1S01-TN-39",'SKU明细'!$A$11:$A$1309,0)),INDEX('SKU明细'!$CE$11:$CE$1309,MATCH("1S01-TN-39.5",'SKU明细'!$A$11:$A$1309,0)),INDEX('SKU明细'!$CE$11:$CE$1309,MATCH("1S01-TN-40",'SKU明细'!$A$11:$A$1309,0)),INDEX('SKU明细'!$CE$11:$CE$1309,MATCH("1S01-TN-40.5",'SKU明细'!$A$11:$A$1309,0)),INDEX('SKU明细'!$CE$11:$CE$1309,MATCH("1S01-TN-41",'SKU明细'!$A$11:$A$1309,0)),INDEX('SKU明细'!$CE$11:$CE$1309,MATCH("1S01-TN-41.5",'SKU明细'!$A$11:$A$1309,0)),INDEX('SKU明细'!$CE$11:$CE$1309,MATCH("1S01-TN-42",'SKU明细'!$A$11:$A$1309,0)))=12,SUM(INDEX('SKU明细'!$CE$11:$CE$1309,MATCH("1S01-TN-36",'SKU明细'!$A$11:$A$1309,0)),INDEX('SKU明细'!$CE$11:$CE$1309,MATCH("1S01-TN-37",'SKU明细'!$A$11:$A$1309,0)),INDEX('SKU明细'!$CE$11:$CE$1309,MATCH("1S01-TN-37.5",'SKU明细'!$A$11:$A$1309,0)),INDEX('SKU明细'!$CE$11:$CE$1309,MATCH("1S01-TN-38",'SKU明细'!$A$11:$A$1309,0)),INDEX('SKU明细'!$CE$11:$CE$1309,MATCH("1S01-TN-38.5",'SKU明细'!$A$11:$A$1309,0)),INDEX('SKU明细'!$CE$11:$CE$1309,MATCH("1S01-TN-39",'SKU明细'!$A$11:$A$1309,0)),INDEX('SKU明细'!$CE$11:$CE$1309,MATCH("1S01-TN-39.5",'SKU明细'!$A$11:$A$1309,0)),INDEX('SKU明细'!$CE$11:$CE$1309,MATCH("1S01-TN-40",'SKU明细'!$A$11:$A$1309,0)),INDEX('SKU明细'!$CE$11:$CE$1309,MATCH("1S01-TN-40.5",'SKU明细'!$A$11:$A$1309,0)),INDEX('SKU明细'!$CE$11:$CE$1309,MATCH("1S01-TN-41",'SKU明细'!$A$11:$A$1309,0)),INDEX('SKU明细'!$CE$11:$CE$1309,MATCH("1S01-TN-41.5",'SKU明细'!$A$11:$A$1309,0)),INDEX('SKU明细'!$CE$11:$CE$1309,MATCH("1S01-TN-42",'SKU明细'!$A$11:$A$1309,0))),"待核")</x:f>
        <x:v>27.433169464604873</x:v>
      </x:c>
      <x:c r="AD138" s="11" t="n">
        <x:f>INDEX('SKU明细'!$CF$11:$CF$1309,MATCH("1S01-TN-36",'SKU明细'!$A$11:$A$1309,0))</x:f>
        <x:v>0.7517299265337036</x:v>
      </x:c>
      <x:c r="AE138" s="13" t="n">
        <x:f>IF(COUNT(INDEX('SKU明细'!$CH$11:$CH$1309,MATCH("1S01-TN-36",'SKU明细'!$A$11:$A$1309,0)),INDEX('SKU明细'!$CH$11:$CH$1309,MATCH("1S01-TN-37",'SKU明细'!$A$11:$A$1309,0)),INDEX('SKU明细'!$CH$11:$CH$1309,MATCH("1S01-TN-37.5",'SKU明细'!$A$11:$A$1309,0)),INDEX('SKU明细'!$CH$11:$CH$1309,MATCH("1S01-TN-38",'SKU明细'!$A$11:$A$1309,0)),INDEX('SKU明细'!$CH$11:$CH$1309,MATCH("1S01-TN-38.5",'SKU明细'!$A$11:$A$1309,0)),INDEX('SKU明细'!$CH$11:$CH$1309,MATCH("1S01-TN-39",'SKU明细'!$A$11:$A$1309,0)),INDEX('SKU明细'!$CH$11:$CH$1309,MATCH("1S01-TN-39.5",'SKU明细'!$A$11:$A$1309,0)),INDEX('SKU明细'!$CH$11:$CH$1309,MATCH("1S01-TN-40",'SKU明细'!$A$11:$A$1309,0)),INDEX('SKU明细'!$CH$11:$CH$1309,MATCH("1S01-TN-40.5",'SKU明细'!$A$11:$A$1309,0)),INDEX('SKU明细'!$CH$11:$CH$1309,MATCH("1S01-TN-41",'SKU明细'!$A$11:$A$1309,0)),INDEX('SKU明细'!$CH$11:$CH$1309,MATCH("1S01-TN-41.5",'SKU明细'!$A$11:$A$1309,0)),INDEX('SKU明细'!$CH$11:$CH$1309,MATCH("1S01-TN-42",'SKU明细'!$A$11:$A$1309,0)))=12,SUM(INDEX('SKU明细'!$CH$11:$CH$1309,MATCH("1S01-TN-36",'SKU明细'!$A$11:$A$1309,0)),INDEX('SKU明细'!$CH$11:$CH$1309,MATCH("1S01-TN-37",'SKU明细'!$A$11:$A$1309,0)),INDEX('SKU明细'!$CH$11:$CH$1309,MATCH("1S01-TN-37.5",'SKU明细'!$A$11:$A$1309,0)),INDEX('SKU明细'!$CH$11:$CH$1309,MATCH("1S01-TN-38",'SKU明细'!$A$11:$A$1309,0)),INDEX('SKU明细'!$CH$11:$CH$1309,MATCH("1S01-TN-38.5",'SKU明细'!$A$11:$A$1309,0)),INDEX('SKU明细'!$CH$11:$CH$1309,MATCH("1S01-TN-39",'SKU明细'!$A$11:$A$1309,0)),INDEX('SKU明细'!$CH$11:$CH$1309,MATCH("1S01-TN-39.5",'SKU明细'!$A$11:$A$1309,0)),INDEX('SKU明细'!$CH$11:$CH$1309,MATCH("1S01-TN-40",'SKU明细'!$A$11:$A$1309,0)),INDEX('SKU明细'!$CH$11:$CH$1309,MATCH("1S01-TN-40.5",'SKU明细'!$A$11:$A$1309,0)),INDEX('SKU明细'!$CH$11:$CH$1309,MATCH("1S01-TN-41",'SKU明细'!$A$11:$A$1309,0)),INDEX('SKU明细'!$CH$11:$CH$1309,MATCH("1S01-TN-41.5",'SKU明细'!$A$11:$A$1309,0)),INDEX('SKU明细'!$CH$11:$CH$1309,MATCH("1S01-TN-42",'SKU明细'!$A$11:$A$1309,0))),"待核")</x:f>
        <x:v>21.235594196276587</x:v>
      </x:c>
      <x:c r="AF138" s="13" t="n">
        <x:f>IF(COUNT(INDEX('SKU明细'!$CI$11:$CI$1309,MATCH("1S01-TN-36",'SKU明细'!$A$11:$A$1309,0)),INDEX('SKU明细'!$CI$11:$CI$1309,MATCH("1S01-TN-37",'SKU明细'!$A$11:$A$1309,0)),INDEX('SKU明细'!$CI$11:$CI$1309,MATCH("1S01-TN-37.5",'SKU明细'!$A$11:$A$1309,0)),INDEX('SKU明细'!$CI$11:$CI$1309,MATCH("1S01-TN-38",'SKU明细'!$A$11:$A$1309,0)),INDEX('SKU明细'!$CI$11:$CI$1309,MATCH("1S01-TN-38.5",'SKU明细'!$A$11:$A$1309,0)),INDEX('SKU明细'!$CI$11:$CI$1309,MATCH("1S01-TN-39",'SKU明细'!$A$11:$A$1309,0)),INDEX('SKU明细'!$CI$11:$CI$1309,MATCH("1S01-TN-39.5",'SKU明细'!$A$11:$A$1309,0)),INDEX('SKU明细'!$CI$11:$CI$1309,MATCH("1S01-TN-40",'SKU明细'!$A$11:$A$1309,0)),INDEX('SKU明细'!$CI$11:$CI$1309,MATCH("1S01-TN-40.5",'SKU明细'!$A$11:$A$1309,0)),INDEX('SKU明细'!$CI$11:$CI$1309,MATCH("1S01-TN-41",'SKU明细'!$A$11:$A$1309,0)),INDEX('SKU明细'!$CI$11:$CI$1309,MATCH("1S01-TN-41.5",'SKU明细'!$A$11:$A$1309,0)),INDEX('SKU明细'!$CI$11:$CI$1309,MATCH("1S01-TN-42",'SKU明细'!$A$11:$A$1309,0)))=12,SUM(INDEX('SKU明细'!$CI$11:$CI$1309,MATCH("1S01-TN-36",'SKU明细'!$A$11:$A$1309,0)),INDEX('SKU明细'!$CI$11:$CI$1309,MATCH("1S01-TN-37",'SKU明细'!$A$11:$A$1309,0)),INDEX('SKU明细'!$CI$11:$CI$1309,MATCH("1S01-TN-37.5",'SKU明细'!$A$11:$A$1309,0)),INDEX('SKU明细'!$CI$11:$CI$1309,MATCH("1S01-TN-38",'SKU明细'!$A$11:$A$1309,0)),INDEX('SKU明细'!$CI$11:$CI$1309,MATCH("1S01-TN-38.5",'SKU明细'!$A$11:$A$1309,0)),INDEX('SKU明细'!$CI$11:$CI$1309,MATCH("1S01-TN-39",'SKU明细'!$A$11:$A$1309,0)),INDEX('SKU明细'!$CI$11:$CI$1309,MATCH("1S01-TN-39.5",'SKU明细'!$A$11:$A$1309,0)),INDEX('SKU明细'!$CI$11:$CI$1309,MATCH("1S01-TN-40",'SKU明细'!$A$11:$A$1309,0)),INDEX('SKU明细'!$CI$11:$CI$1309,MATCH("1S01-TN-40.5",'SKU明细'!$A$11:$A$1309,0)),INDEX('SKU明细'!$CI$11:$CI$1309,MATCH("1S01-TN-41",'SKU明细'!$A$11:$A$1309,0)),INDEX('SKU明细'!$CI$11:$CI$1309,MATCH("1S01-TN-41.5",'SKU明细'!$A$11:$A$1309,0)),INDEX('SKU明细'!$CI$11:$CI$1309,MATCH("1S01-TN-42",'SKU明细'!$A$11:$A$1309,0))),"待核")</x:f>
        <x:v>106.24269852181048</x:v>
      </x:c>
    </x:row>
    <x:row r="139" ht="40" customHeight="1">
      <x:c r="A139" s="37" t="str">
        <x:v>1S01</x:v>
      </x:c>
      <x:c r="B139" s="37" t="str">
        <x:v>徐新怡</x:v>
      </x:c>
      <x:c r="C139" s="37" t="str">
        <x:v>银色金属</x:v>
      </x:c>
      <x:c r="D139" s="37" t="str">
        <x:v>TV</x:v>
      </x:c>
      <x:c r="E139" s="37" t="str">
        <x:v>1S01-TV</x:v>
      </x:c>
      <x:c r="F139" s="37"/>
      <x:c r="G139" s="38" t="str">
        <x:f>"—"</x:f>
        <x:v>—</x:v>
      </x:c>
      <x:c r="H139" s="38" t="str">
        <x:f>IF(COUNT(INDEX('SKU明细'!$D$11:$D$1309,MATCH("1S01-TV-37",'SKU明细'!$A$11:$A$1309,0)))=0,"待核",IF(COUNT(INDEX('SKU明细'!$D$11:$D$1309,MATCH("1S01-TV-37",'SKU明细'!$A$11:$A$1309,0)))&lt;1,SUM(INDEX('SKU明细'!$D$11:$D$1309,MATCH("1S01-TV-37",'SKU明细'!$A$11:$A$1309,0)))&amp;" + 待核",SUM(INDEX('SKU明细'!$D$11:$D$1309,MATCH("1S01-TV-37",'SKU明细'!$A$11:$A$1309,0)))))</x:f>
        <x:v>待核</x:v>
      </x:c>
      <x:c r="I139" s="38" t="str">
        <x:f>IF(COUNT(INDEX('SKU明细'!$D$11:$D$1309,MATCH("1S01-TV-37.5",'SKU明细'!$A$11:$A$1309,0)))=0,"待核",IF(COUNT(INDEX('SKU明细'!$D$11:$D$1309,MATCH("1S01-TV-37.5",'SKU明细'!$A$11:$A$1309,0)))&lt;1,SUM(INDEX('SKU明细'!$D$11:$D$1309,MATCH("1S01-TV-37.5",'SKU明细'!$A$11:$A$1309,0)))&amp;" + 待核",SUM(INDEX('SKU明细'!$D$11:$D$1309,MATCH("1S01-TV-37.5",'SKU明细'!$A$11:$A$1309,0)))))</x:f>
        <x:v>待核</x:v>
      </x:c>
      <x:c r="J139" s="38" t="str">
        <x:f>IF(COUNT(INDEX('SKU明细'!$D$11:$D$1309,MATCH("1S01-TV-38",'SKU明细'!$A$11:$A$1309,0)))=0,"待核",IF(COUNT(INDEX('SKU明细'!$D$11:$D$1309,MATCH("1S01-TV-38",'SKU明细'!$A$11:$A$1309,0)))&lt;1,SUM(INDEX('SKU明细'!$D$11:$D$1309,MATCH("1S01-TV-38",'SKU明细'!$A$11:$A$1309,0)))&amp;" + 待核",SUM(INDEX('SKU明细'!$D$11:$D$1309,MATCH("1S01-TV-38",'SKU明细'!$A$11:$A$1309,0)))))</x:f>
        <x:v>待核</x:v>
      </x:c>
      <x:c r="K139" s="38" t="str">
        <x:f>IF(COUNT(INDEX('SKU明细'!$D$11:$D$1309,MATCH("1S01-TV-38.5",'SKU明细'!$A$11:$A$1309,0)))=0,"待核",IF(COUNT(INDEX('SKU明细'!$D$11:$D$1309,MATCH("1S01-TV-38.5",'SKU明细'!$A$11:$A$1309,0)))&lt;1,SUM(INDEX('SKU明细'!$D$11:$D$1309,MATCH("1S01-TV-38.5",'SKU明细'!$A$11:$A$1309,0)))&amp;" + 待核",SUM(INDEX('SKU明细'!$D$11:$D$1309,MATCH("1S01-TV-38.5",'SKU明细'!$A$11:$A$1309,0)))))</x:f>
        <x:v>待核</x:v>
      </x:c>
      <x:c r="L139" s="38" t="str">
        <x:f>IF(COUNT(INDEX('SKU明细'!$D$11:$D$1309,MATCH("1S01-TV-39",'SKU明细'!$A$11:$A$1309,0)))=0,"待核",IF(COUNT(INDEX('SKU明细'!$D$11:$D$1309,MATCH("1S01-TV-39",'SKU明细'!$A$11:$A$1309,0)))&lt;1,SUM(INDEX('SKU明细'!$D$11:$D$1309,MATCH("1S01-TV-39",'SKU明细'!$A$11:$A$1309,0)))&amp;" + 待核",SUM(INDEX('SKU明细'!$D$11:$D$1309,MATCH("1S01-TV-39",'SKU明细'!$A$11:$A$1309,0)))))</x:f>
        <x:v>待核</x:v>
      </x:c>
      <x:c r="M139" s="38" t="str">
        <x:f>IF(COUNT(INDEX('SKU明细'!$D$11:$D$1309,MATCH("1S01-TV-39.5",'SKU明细'!$A$11:$A$1309,0)))=0,"待核",IF(COUNT(INDEX('SKU明细'!$D$11:$D$1309,MATCH("1S01-TV-39.5",'SKU明细'!$A$11:$A$1309,0)))&lt;1,SUM(INDEX('SKU明细'!$D$11:$D$1309,MATCH("1S01-TV-39.5",'SKU明细'!$A$11:$A$1309,0)))&amp;" + 待核",SUM(INDEX('SKU明细'!$D$11:$D$1309,MATCH("1S01-TV-39.5",'SKU明细'!$A$11:$A$1309,0)))))</x:f>
        <x:v>待核</x:v>
      </x:c>
      <x:c r="N139" s="38" t="str">
        <x:f>IF(COUNT(INDEX('SKU明细'!$D$11:$D$1309,MATCH("1S01-TV-40",'SKU明细'!$A$11:$A$1309,0)))=0,"待核",IF(COUNT(INDEX('SKU明细'!$D$11:$D$1309,MATCH("1S01-TV-40",'SKU明细'!$A$11:$A$1309,0)))&lt;1,SUM(INDEX('SKU明细'!$D$11:$D$1309,MATCH("1S01-TV-40",'SKU明细'!$A$11:$A$1309,0)))&amp;" + 待核",SUM(INDEX('SKU明细'!$D$11:$D$1309,MATCH("1S01-TV-40",'SKU明细'!$A$11:$A$1309,0)))))</x:f>
        <x:v>待核</x:v>
      </x:c>
      <x:c r="O139" s="38" t="str">
        <x:f>IF(COUNT(INDEX('SKU明细'!$D$11:$D$1309,MATCH("1S01-TV-40.5",'SKU明细'!$A$11:$A$1309,0)))=0,"待核",IF(COUNT(INDEX('SKU明细'!$D$11:$D$1309,MATCH("1S01-TV-40.5",'SKU明细'!$A$11:$A$1309,0)))&lt;1,SUM(INDEX('SKU明细'!$D$11:$D$1309,MATCH("1S01-TV-40.5",'SKU明细'!$A$11:$A$1309,0)))&amp;" + 待核",SUM(INDEX('SKU明细'!$D$11:$D$1309,MATCH("1S01-TV-40.5",'SKU明细'!$A$11:$A$1309,0)))))</x:f>
        <x:v>待核</x:v>
      </x:c>
      <x:c r="P139" s="38" t="str">
        <x:f>IF(COUNT(INDEX('SKU明细'!$D$11:$D$1309,MATCH("1S01-TV-41",'SKU明细'!$A$11:$A$1309,0)))=0,"待核",IF(COUNT(INDEX('SKU明细'!$D$11:$D$1309,MATCH("1S01-TV-41",'SKU明细'!$A$11:$A$1309,0)))&lt;1,SUM(INDEX('SKU明细'!$D$11:$D$1309,MATCH("1S01-TV-41",'SKU明细'!$A$11:$A$1309,0)))&amp;" + 待核",SUM(INDEX('SKU明细'!$D$11:$D$1309,MATCH("1S01-TV-41",'SKU明细'!$A$11:$A$1309,0)))))</x:f>
        <x:v>待核</x:v>
      </x:c>
      <x:c r="Q139" s="38" t="str">
        <x:f>IF(COUNT(INDEX('SKU明细'!$D$11:$D$1309,MATCH("1S01-TV-41.5",'SKU明细'!$A$11:$A$1309,0)))=0,"待核",IF(COUNT(INDEX('SKU明细'!$D$11:$D$1309,MATCH("1S01-TV-41.5",'SKU明细'!$A$11:$A$1309,0)))&lt;1,SUM(INDEX('SKU明细'!$D$11:$D$1309,MATCH("1S01-TV-41.5",'SKU明细'!$A$11:$A$1309,0)))&amp;" + 待核",SUM(INDEX('SKU明细'!$D$11:$D$1309,MATCH("1S01-TV-41.5",'SKU明细'!$A$11:$A$1309,0)))))</x:f>
        <x:v>待核</x:v>
      </x:c>
      <x:c r="R139" s="38" t="str">
        <x:f>IF(COUNT(INDEX('SKU明细'!$D$11:$D$1309,MATCH("1S01-TV-42",'SKU明细'!$A$11:$A$1309,0)))=0,"待核",IF(COUNT(INDEX('SKU明细'!$D$11:$D$1309,MATCH("1S01-TV-42",'SKU明细'!$A$11:$A$1309,0)))&lt;1,SUM(INDEX('SKU明细'!$D$11:$D$1309,MATCH("1S01-TV-42",'SKU明细'!$A$11:$A$1309,0)))&amp;" + 待核",SUM(INDEX('SKU明细'!$D$11:$D$1309,MATCH("1S01-TV-42",'SKU明细'!$A$11:$A$1309,0)))))</x:f>
        <x:v>待核</x:v>
      </x:c>
      <x:c r="S139" s="38" t="str">
        <x:f>IF(COUNT(INDEX('SKU明细'!$D$11:$D$1309,MATCH("1S01-TV-37",'SKU明细'!$A$11:$A$1309,0)),INDEX('SKU明细'!$D$11:$D$1309,MATCH("1S01-TV-37.5",'SKU明细'!$A$11:$A$1309,0)),INDEX('SKU明细'!$D$11:$D$1309,MATCH("1S01-TV-38",'SKU明细'!$A$11:$A$1309,0)),INDEX('SKU明细'!$D$11:$D$1309,MATCH("1S01-TV-38.5",'SKU明细'!$A$11:$A$1309,0)),INDEX('SKU明细'!$D$11:$D$1309,MATCH("1S01-TV-39",'SKU明细'!$A$11:$A$1309,0)),INDEX('SKU明细'!$D$11:$D$1309,MATCH("1S01-TV-39.5",'SKU明细'!$A$11:$A$1309,0)),INDEX('SKU明细'!$D$11:$D$1309,MATCH("1S01-TV-40",'SKU明细'!$A$11:$A$1309,0)),INDEX('SKU明细'!$D$11:$D$1309,MATCH("1S01-TV-40.5",'SKU明细'!$A$11:$A$1309,0)),INDEX('SKU明细'!$D$11:$D$1309,MATCH("1S01-TV-41",'SKU明细'!$A$11:$A$1309,0)),INDEX('SKU明细'!$D$11:$D$1309,MATCH("1S01-TV-41.5",'SKU明细'!$A$11:$A$1309,0)),INDEX('SKU明细'!$D$11:$D$1309,MATCH("1S01-TV-42",'SKU明细'!$A$11:$A$1309,0)))=0,"待核",SUM(INDEX('SKU明细'!$D$11:$D$1309,MATCH("1S01-TV-37",'SKU明细'!$A$11:$A$1309,0)),INDEX('SKU明细'!$D$11:$D$1309,MATCH("1S01-TV-37.5",'SKU明细'!$A$11:$A$1309,0)),INDEX('SKU明细'!$D$11:$D$1309,MATCH("1S01-TV-38",'SKU明细'!$A$11:$A$1309,0)),INDEX('SKU明细'!$D$11:$D$1309,MATCH("1S01-TV-38.5",'SKU明细'!$A$11:$A$1309,0)),INDEX('SKU明细'!$D$11:$D$1309,MATCH("1S01-TV-39",'SKU明细'!$A$11:$A$1309,0)),INDEX('SKU明细'!$D$11:$D$1309,MATCH("1S01-TV-39.5",'SKU明细'!$A$11:$A$1309,0)),INDEX('SKU明细'!$D$11:$D$1309,MATCH("1S01-TV-40",'SKU明细'!$A$11:$A$1309,0)),INDEX('SKU明细'!$D$11:$D$1309,MATCH("1S01-TV-40.5",'SKU明细'!$A$11:$A$1309,0)),INDEX('SKU明细'!$D$11:$D$1309,MATCH("1S01-TV-41",'SKU明细'!$A$11:$A$1309,0)),INDEX('SKU明细'!$D$11:$D$1309,MATCH("1S01-TV-41.5",'SKU明细'!$A$11:$A$1309,0)),INDEX('SKU明细'!$D$11:$D$1309,MATCH("1S01-TV-42",'SKU明细'!$A$11:$A$1309,0))))</x:f>
        <x:v>待核</x:v>
      </x:c>
      <x:c r="T139" s="38" t="n">
        <x:f>IF(COUNTIFS($A$9:$A$191,A139,$U$9:$U$191,"&lt;&gt;待核")=0,"待核",SUMIF($A$9:$A$191,A139,$S$9:$S$191))</x:f>
        <x:v>141</x:v>
      </x:c>
      <x:c r="U139" s="37" t="str">
        <x:f>IF(COUNT(INDEX('SKU明细'!$D$11:$D$1309,MATCH("1S01-TV-37",'SKU明细'!$A$11:$A$1309,0)),INDEX('SKU明细'!$D$11:$D$1309,MATCH("1S01-TV-37.5",'SKU明细'!$A$11:$A$1309,0)),INDEX('SKU明细'!$D$11:$D$1309,MATCH("1S01-TV-38",'SKU明细'!$A$11:$A$1309,0)),INDEX('SKU明细'!$D$11:$D$1309,MATCH("1S01-TV-38.5",'SKU明细'!$A$11:$A$1309,0)),INDEX('SKU明细'!$D$11:$D$1309,MATCH("1S01-TV-39",'SKU明细'!$A$11:$A$1309,0)),INDEX('SKU明细'!$D$11:$D$1309,MATCH("1S01-TV-39.5",'SKU明细'!$A$11:$A$1309,0)),INDEX('SKU明细'!$D$11:$D$1309,MATCH("1S01-TV-40",'SKU明细'!$A$11:$A$1309,0)),INDEX('SKU明细'!$D$11:$D$1309,MATCH("1S01-TV-40.5",'SKU明细'!$A$11:$A$1309,0)),INDEX('SKU明细'!$D$11:$D$1309,MATCH("1S01-TV-41",'SKU明细'!$A$11:$A$1309,0)),INDEX('SKU明细'!$D$11:$D$1309,MATCH("1S01-TV-41.5",'SKU明细'!$A$11:$A$1309,0)),INDEX('SKU明细'!$D$11:$D$1309,MATCH("1S01-TV-42",'SKU明细'!$A$11:$A$1309,0)))=0,"待核",IF(COUNT(INDEX('SKU明细'!$D$11:$D$1309,MATCH("1S01-TV-37",'SKU明细'!$A$11:$A$1309,0)),INDEX('SKU明细'!$D$11:$D$1309,MATCH("1S01-TV-37.5",'SKU明细'!$A$11:$A$1309,0)),INDEX('SKU明细'!$D$11:$D$1309,MATCH("1S01-TV-38",'SKU明细'!$A$11:$A$1309,0)),INDEX('SKU明细'!$D$11:$D$1309,MATCH("1S01-TV-38.5",'SKU明细'!$A$11:$A$1309,0)),INDEX('SKU明细'!$D$11:$D$1309,MATCH("1S01-TV-39",'SKU明细'!$A$11:$A$1309,0)),INDEX('SKU明细'!$D$11:$D$1309,MATCH("1S01-TV-39.5",'SKU明细'!$A$11:$A$1309,0)),INDEX('SKU明细'!$D$11:$D$1309,MATCH("1S01-TV-40",'SKU明细'!$A$11:$A$1309,0)),INDEX('SKU明细'!$D$11:$D$1309,MATCH("1S01-TV-40.5",'SKU明细'!$A$11:$A$1309,0)),INDEX('SKU明细'!$D$11:$D$1309,MATCH("1S01-TV-41",'SKU明细'!$A$11:$A$1309,0)),INDEX('SKU明细'!$D$11:$D$1309,MATCH("1S01-TV-41.5",'SKU明细'!$A$11:$A$1309,0)),INDEX('SKU明细'!$D$11:$D$1309,MATCH("1S01-TV-42",'SKU明细'!$A$11:$A$1309,0)))&lt;11,"另有待核","已核"))</x:f>
        <x:v>待核</x:v>
      </x:c>
      <x:c r="V139" s="37" t="str">
        <x:v>停售</x:v>
      </x:c>
      <x:c r="W139" s="11" t="n">
        <x:f>IF(COUNT(INDEX('SKU明细'!$BV$11:$BV$1309,MATCH("1S01-TV-37",'SKU明细'!$A$11:$A$1309,0)),INDEX('SKU明细'!$BV$11:$BV$1309,MATCH("1S01-TV-37.5",'SKU明细'!$A$11:$A$1309,0)),INDEX('SKU明细'!$BV$11:$BV$1309,MATCH("1S01-TV-38",'SKU明细'!$A$11:$A$1309,0)),INDEX('SKU明细'!$BV$11:$BV$1309,MATCH("1S01-TV-38.5",'SKU明细'!$A$11:$A$1309,0)),INDEX('SKU明细'!$BV$11:$BV$1309,MATCH("1S01-TV-39",'SKU明细'!$A$11:$A$1309,0)),INDEX('SKU明细'!$BV$11:$BV$1309,MATCH("1S01-TV-39.5",'SKU明细'!$A$11:$A$1309,0)),INDEX('SKU明细'!$BV$11:$BV$1309,MATCH("1S01-TV-40",'SKU明细'!$A$11:$A$1309,0)),INDEX('SKU明细'!$BV$11:$BV$1309,MATCH("1S01-TV-40.5",'SKU明细'!$A$11:$A$1309,0)),INDEX('SKU明细'!$BV$11:$BV$1309,MATCH("1S01-TV-41",'SKU明细'!$A$11:$A$1309,0)),INDEX('SKU明细'!$BV$11:$BV$1309,MATCH("1S01-TV-41.5",'SKU明细'!$A$11:$A$1309,0)),INDEX('SKU明细'!$BV$11:$BV$1309,MATCH("1S01-TV-42",'SKU明细'!$A$11:$A$1309,0)))=11,SUM(INDEX('SKU明细'!$BV$11:$BV$1309,MATCH("1S01-TV-37",'SKU明细'!$A$11:$A$1309,0)),INDEX('SKU明细'!$BV$11:$BV$1309,MATCH("1S01-TV-37.5",'SKU明细'!$A$11:$A$1309,0)),INDEX('SKU明细'!$BV$11:$BV$1309,MATCH("1S01-TV-38",'SKU明细'!$A$11:$A$1309,0)),INDEX('SKU明细'!$BV$11:$BV$1309,MATCH("1S01-TV-38.5",'SKU明细'!$A$11:$A$1309,0)),INDEX('SKU明细'!$BV$11:$BV$1309,MATCH("1S01-TV-39",'SKU明细'!$A$11:$A$1309,0)),INDEX('SKU明细'!$BV$11:$BV$1309,MATCH("1S01-TV-39.5",'SKU明细'!$A$11:$A$1309,0)),INDEX('SKU明细'!$BV$11:$BV$1309,MATCH("1S01-TV-40",'SKU明细'!$A$11:$A$1309,0)),INDEX('SKU明细'!$BV$11:$BV$1309,MATCH("1S01-TV-40.5",'SKU明细'!$A$11:$A$1309,0)),INDEX('SKU明细'!$BV$11:$BV$1309,MATCH("1S01-TV-41",'SKU明细'!$A$11:$A$1309,0)),INDEX('SKU明细'!$BV$11:$BV$1309,MATCH("1S01-TV-41.5",'SKU明细'!$A$11:$A$1309,0)),INDEX('SKU明细'!$BV$11:$BV$1309,MATCH("1S01-TV-42",'SKU明细'!$A$11:$A$1309,0))),"待核")</x:f>
        <x:v>0</x:v>
      </x:c>
      <x:c r="X139" s="11" t="n">
        <x:f>INDEX('SKU明细'!$BW$11:$BW$1309,MATCH("1S01-TV-37",'SKU明细'!$A$11:$A$1309,0))</x:f>
        <x:v>0.8729500662042875</x:v>
      </x:c>
      <x:c r="Y139" s="13" t="n">
        <x:f>IF(COUNT(INDEX('SKU明细'!$BY$11:$BY$1309,MATCH("1S01-TV-37",'SKU明细'!$A$11:$A$1309,0)),INDEX('SKU明细'!$BY$11:$BY$1309,MATCH("1S01-TV-37.5",'SKU明细'!$A$11:$A$1309,0)),INDEX('SKU明细'!$BY$11:$BY$1309,MATCH("1S01-TV-38",'SKU明细'!$A$11:$A$1309,0)),INDEX('SKU明细'!$BY$11:$BY$1309,MATCH("1S01-TV-38.5",'SKU明细'!$A$11:$A$1309,0)),INDEX('SKU明细'!$BY$11:$BY$1309,MATCH("1S01-TV-39",'SKU明细'!$A$11:$A$1309,0)),INDEX('SKU明细'!$BY$11:$BY$1309,MATCH("1S01-TV-39.5",'SKU明细'!$A$11:$A$1309,0)),INDEX('SKU明细'!$BY$11:$BY$1309,MATCH("1S01-TV-40",'SKU明细'!$A$11:$A$1309,0)),INDEX('SKU明细'!$BY$11:$BY$1309,MATCH("1S01-TV-40.5",'SKU明细'!$A$11:$A$1309,0)),INDEX('SKU明细'!$BY$11:$BY$1309,MATCH("1S01-TV-41",'SKU明细'!$A$11:$A$1309,0)),INDEX('SKU明细'!$BY$11:$BY$1309,MATCH("1S01-TV-41.5",'SKU明细'!$A$11:$A$1309,0)),INDEX('SKU明细'!$BY$11:$BY$1309,MATCH("1S01-TV-42",'SKU明细'!$A$11:$A$1309,0)))=11,SUM(INDEX('SKU明细'!$BY$11:$BY$1309,MATCH("1S01-TV-37",'SKU明细'!$A$11:$A$1309,0)),INDEX('SKU明细'!$BY$11:$BY$1309,MATCH("1S01-TV-37.5",'SKU明细'!$A$11:$A$1309,0)),INDEX('SKU明细'!$BY$11:$BY$1309,MATCH("1S01-TV-38",'SKU明细'!$A$11:$A$1309,0)),INDEX('SKU明细'!$BY$11:$BY$1309,MATCH("1S01-TV-38.5",'SKU明细'!$A$11:$A$1309,0)),INDEX('SKU明细'!$BY$11:$BY$1309,MATCH("1S01-TV-39",'SKU明细'!$A$11:$A$1309,0)),INDEX('SKU明细'!$BY$11:$BY$1309,MATCH("1S01-TV-39.5",'SKU明细'!$A$11:$A$1309,0)),INDEX('SKU明细'!$BY$11:$BY$1309,MATCH("1S01-TV-40",'SKU明细'!$A$11:$A$1309,0)),INDEX('SKU明细'!$BY$11:$BY$1309,MATCH("1S01-TV-40.5",'SKU明细'!$A$11:$A$1309,0)),INDEX('SKU明细'!$BY$11:$BY$1309,MATCH("1S01-TV-41",'SKU明细'!$A$11:$A$1309,0)),INDEX('SKU明细'!$BY$11:$BY$1309,MATCH("1S01-TV-41.5",'SKU明细'!$A$11:$A$1309,0)),INDEX('SKU明细'!$BY$11:$BY$1309,MATCH("1S01-TV-42",'SKU明细'!$A$11:$A$1309,0))),"待核")</x:f>
        <x:v>0</x:v>
      </x:c>
      <x:c r="Z139" s="11" t="n">
        <x:f>INDEX('SKU明细'!$BZ$11:$BZ$1309,MATCH("1S01-TV-37",'SKU明细'!$A$11:$A$1309,0))</x:f>
        <x:v>0.8057375774163482</x:v>
      </x:c>
      <x:c r="AA139" s="13" t="n">
        <x:f>IF(COUNT(INDEX('SKU明细'!$CB$11:$CB$1309,MATCH("1S01-TV-37",'SKU明细'!$A$11:$A$1309,0)),INDEX('SKU明细'!$CB$11:$CB$1309,MATCH("1S01-TV-37.5",'SKU明细'!$A$11:$A$1309,0)),INDEX('SKU明细'!$CB$11:$CB$1309,MATCH("1S01-TV-38",'SKU明细'!$A$11:$A$1309,0)),INDEX('SKU明细'!$CB$11:$CB$1309,MATCH("1S01-TV-38.5",'SKU明细'!$A$11:$A$1309,0)),INDEX('SKU明细'!$CB$11:$CB$1309,MATCH("1S01-TV-39",'SKU明细'!$A$11:$A$1309,0)),INDEX('SKU明细'!$CB$11:$CB$1309,MATCH("1S01-TV-39.5",'SKU明细'!$A$11:$A$1309,0)),INDEX('SKU明细'!$CB$11:$CB$1309,MATCH("1S01-TV-40",'SKU明细'!$A$11:$A$1309,0)),INDEX('SKU明细'!$CB$11:$CB$1309,MATCH("1S01-TV-40.5",'SKU明细'!$A$11:$A$1309,0)),INDEX('SKU明细'!$CB$11:$CB$1309,MATCH("1S01-TV-41",'SKU明细'!$A$11:$A$1309,0)),INDEX('SKU明细'!$CB$11:$CB$1309,MATCH("1S01-TV-41.5",'SKU明细'!$A$11:$A$1309,0)),INDEX('SKU明细'!$CB$11:$CB$1309,MATCH("1S01-TV-42",'SKU明细'!$A$11:$A$1309,0)))=11,SUM(INDEX('SKU明细'!$CB$11:$CB$1309,MATCH("1S01-TV-37",'SKU明细'!$A$11:$A$1309,0)),INDEX('SKU明细'!$CB$11:$CB$1309,MATCH("1S01-TV-37.5",'SKU明细'!$A$11:$A$1309,0)),INDEX('SKU明细'!$CB$11:$CB$1309,MATCH("1S01-TV-38",'SKU明细'!$A$11:$A$1309,0)),INDEX('SKU明细'!$CB$11:$CB$1309,MATCH("1S01-TV-38.5",'SKU明细'!$A$11:$A$1309,0)),INDEX('SKU明细'!$CB$11:$CB$1309,MATCH("1S01-TV-39",'SKU明细'!$A$11:$A$1309,0)),INDEX('SKU明细'!$CB$11:$CB$1309,MATCH("1S01-TV-39.5",'SKU明细'!$A$11:$A$1309,0)),INDEX('SKU明细'!$CB$11:$CB$1309,MATCH("1S01-TV-40",'SKU明细'!$A$11:$A$1309,0)),INDEX('SKU明细'!$CB$11:$CB$1309,MATCH("1S01-TV-40.5",'SKU明细'!$A$11:$A$1309,0)),INDEX('SKU明细'!$CB$11:$CB$1309,MATCH("1S01-TV-41",'SKU明细'!$A$11:$A$1309,0)),INDEX('SKU明细'!$CB$11:$CB$1309,MATCH("1S01-TV-41.5",'SKU明细'!$A$11:$A$1309,0)),INDEX('SKU明细'!$CB$11:$CB$1309,MATCH("1S01-TV-42",'SKU明细'!$A$11:$A$1309,0))),"待核")</x:f>
        <x:v>0</x:v>
      </x:c>
      <x:c r="AB139" s="11" t="n">
        <x:f>INDEX('SKU明细'!$CC$11:$CC$1309,MATCH("1S01-TV-37",'SKU明细'!$A$11:$A$1309,0))</x:f>
        <x:v>0.532550303142279</x:v>
      </x:c>
      <x:c r="AC139" s="13" t="n">
        <x:f>IF(COUNT(INDEX('SKU明细'!$CE$11:$CE$1309,MATCH("1S01-TV-37",'SKU明细'!$A$11:$A$1309,0)),INDEX('SKU明细'!$CE$11:$CE$1309,MATCH("1S01-TV-37.5",'SKU明细'!$A$11:$A$1309,0)),INDEX('SKU明细'!$CE$11:$CE$1309,MATCH("1S01-TV-38",'SKU明细'!$A$11:$A$1309,0)),INDEX('SKU明细'!$CE$11:$CE$1309,MATCH("1S01-TV-38.5",'SKU明细'!$A$11:$A$1309,0)),INDEX('SKU明细'!$CE$11:$CE$1309,MATCH("1S01-TV-39",'SKU明细'!$A$11:$A$1309,0)),INDEX('SKU明细'!$CE$11:$CE$1309,MATCH("1S01-TV-39.5",'SKU明细'!$A$11:$A$1309,0)),INDEX('SKU明细'!$CE$11:$CE$1309,MATCH("1S01-TV-40",'SKU明细'!$A$11:$A$1309,0)),INDEX('SKU明细'!$CE$11:$CE$1309,MATCH("1S01-TV-40.5",'SKU明细'!$A$11:$A$1309,0)),INDEX('SKU明细'!$CE$11:$CE$1309,MATCH("1S01-TV-41",'SKU明细'!$A$11:$A$1309,0)),INDEX('SKU明细'!$CE$11:$CE$1309,MATCH("1S01-TV-41.5",'SKU明细'!$A$11:$A$1309,0)),INDEX('SKU明细'!$CE$11:$CE$1309,MATCH("1S01-TV-42",'SKU明细'!$A$11:$A$1309,0)))=11,SUM(INDEX('SKU明细'!$CE$11:$CE$1309,MATCH("1S01-TV-37",'SKU明细'!$A$11:$A$1309,0)),INDEX('SKU明细'!$CE$11:$CE$1309,MATCH("1S01-TV-37.5",'SKU明细'!$A$11:$A$1309,0)),INDEX('SKU明细'!$CE$11:$CE$1309,MATCH("1S01-TV-38",'SKU明细'!$A$11:$A$1309,0)),INDEX('SKU明细'!$CE$11:$CE$1309,MATCH("1S01-TV-38.5",'SKU明细'!$A$11:$A$1309,0)),INDEX('SKU明细'!$CE$11:$CE$1309,MATCH("1S01-TV-39",'SKU明细'!$A$11:$A$1309,0)),INDEX('SKU明细'!$CE$11:$CE$1309,MATCH("1S01-TV-39.5",'SKU明细'!$A$11:$A$1309,0)),INDEX('SKU明细'!$CE$11:$CE$1309,MATCH("1S01-TV-40",'SKU明细'!$A$11:$A$1309,0)),INDEX('SKU明细'!$CE$11:$CE$1309,MATCH("1S01-TV-40.5",'SKU明细'!$A$11:$A$1309,0)),INDEX('SKU明细'!$CE$11:$CE$1309,MATCH("1S01-TV-41",'SKU明细'!$A$11:$A$1309,0)),INDEX('SKU明细'!$CE$11:$CE$1309,MATCH("1S01-TV-41.5",'SKU明细'!$A$11:$A$1309,0)),INDEX('SKU明细'!$CE$11:$CE$1309,MATCH("1S01-TV-42",'SKU明细'!$A$11:$A$1309,0))),"待核")</x:f>
        <x:v>0</x:v>
      </x:c>
      <x:c r="AD139" s="11" t="n">
        <x:f>INDEX('SKU明细'!$CF$11:$CF$1309,MATCH("1S01-TV-37",'SKU明细'!$A$11:$A$1309,0))</x:f>
        <x:v>0.7517299265337036</x:v>
      </x:c>
      <x:c r="AE139" s="13" t="n">
        <x:f>IF(COUNT(INDEX('SKU明细'!$CH$11:$CH$1309,MATCH("1S01-TV-37",'SKU明细'!$A$11:$A$1309,0)),INDEX('SKU明细'!$CH$11:$CH$1309,MATCH("1S01-TV-37.5",'SKU明细'!$A$11:$A$1309,0)),INDEX('SKU明细'!$CH$11:$CH$1309,MATCH("1S01-TV-38",'SKU明细'!$A$11:$A$1309,0)),INDEX('SKU明细'!$CH$11:$CH$1309,MATCH("1S01-TV-38.5",'SKU明细'!$A$11:$A$1309,0)),INDEX('SKU明细'!$CH$11:$CH$1309,MATCH("1S01-TV-39",'SKU明细'!$A$11:$A$1309,0)),INDEX('SKU明细'!$CH$11:$CH$1309,MATCH("1S01-TV-39.5",'SKU明细'!$A$11:$A$1309,0)),INDEX('SKU明细'!$CH$11:$CH$1309,MATCH("1S01-TV-40",'SKU明细'!$A$11:$A$1309,0)),INDEX('SKU明细'!$CH$11:$CH$1309,MATCH("1S01-TV-40.5",'SKU明细'!$A$11:$A$1309,0)),INDEX('SKU明细'!$CH$11:$CH$1309,MATCH("1S01-TV-41",'SKU明细'!$A$11:$A$1309,0)),INDEX('SKU明细'!$CH$11:$CH$1309,MATCH("1S01-TV-41.5",'SKU明细'!$A$11:$A$1309,0)),INDEX('SKU明细'!$CH$11:$CH$1309,MATCH("1S01-TV-42",'SKU明细'!$A$11:$A$1309,0)))=11,SUM(INDEX('SKU明细'!$CH$11:$CH$1309,MATCH("1S01-TV-37",'SKU明细'!$A$11:$A$1309,0)),INDEX('SKU明细'!$CH$11:$CH$1309,MATCH("1S01-TV-37.5",'SKU明细'!$A$11:$A$1309,0)),INDEX('SKU明细'!$CH$11:$CH$1309,MATCH("1S01-TV-38",'SKU明细'!$A$11:$A$1309,0)),INDEX('SKU明细'!$CH$11:$CH$1309,MATCH("1S01-TV-38.5",'SKU明细'!$A$11:$A$1309,0)),INDEX('SKU明细'!$CH$11:$CH$1309,MATCH("1S01-TV-39",'SKU明细'!$A$11:$A$1309,0)),INDEX('SKU明细'!$CH$11:$CH$1309,MATCH("1S01-TV-39.5",'SKU明细'!$A$11:$A$1309,0)),INDEX('SKU明细'!$CH$11:$CH$1309,MATCH("1S01-TV-40",'SKU明细'!$A$11:$A$1309,0)),INDEX('SKU明细'!$CH$11:$CH$1309,MATCH("1S01-TV-40.5",'SKU明细'!$A$11:$A$1309,0)),INDEX('SKU明细'!$CH$11:$CH$1309,MATCH("1S01-TV-41",'SKU明细'!$A$11:$A$1309,0)),INDEX('SKU明细'!$CH$11:$CH$1309,MATCH("1S01-TV-41.5",'SKU明细'!$A$11:$A$1309,0)),INDEX('SKU明细'!$CH$11:$CH$1309,MATCH("1S01-TV-42",'SKU明细'!$A$11:$A$1309,0))),"待核")</x:f>
        <x:v>0</x:v>
      </x:c>
      <x:c r="AF139" s="13" t="n">
        <x:f>IF(COUNT(INDEX('SKU明细'!$CI$11:$CI$1309,MATCH("1S01-TV-37",'SKU明细'!$A$11:$A$1309,0)),INDEX('SKU明细'!$CI$11:$CI$1309,MATCH("1S01-TV-37.5",'SKU明细'!$A$11:$A$1309,0)),INDEX('SKU明细'!$CI$11:$CI$1309,MATCH("1S01-TV-38",'SKU明细'!$A$11:$A$1309,0)),INDEX('SKU明细'!$CI$11:$CI$1309,MATCH("1S01-TV-38.5",'SKU明细'!$A$11:$A$1309,0)),INDEX('SKU明细'!$CI$11:$CI$1309,MATCH("1S01-TV-39",'SKU明细'!$A$11:$A$1309,0)),INDEX('SKU明细'!$CI$11:$CI$1309,MATCH("1S01-TV-39.5",'SKU明细'!$A$11:$A$1309,0)),INDEX('SKU明细'!$CI$11:$CI$1309,MATCH("1S01-TV-40",'SKU明细'!$A$11:$A$1309,0)),INDEX('SKU明细'!$CI$11:$CI$1309,MATCH("1S01-TV-40.5",'SKU明细'!$A$11:$A$1309,0)),INDEX('SKU明细'!$CI$11:$CI$1309,MATCH("1S01-TV-41",'SKU明细'!$A$11:$A$1309,0)),INDEX('SKU明细'!$CI$11:$CI$1309,MATCH("1S01-TV-41.5",'SKU明细'!$A$11:$A$1309,0)),INDEX('SKU明细'!$CI$11:$CI$1309,MATCH("1S01-TV-42",'SKU明细'!$A$11:$A$1309,0)))=11,SUM(INDEX('SKU明细'!$CI$11:$CI$1309,MATCH("1S01-TV-37",'SKU明细'!$A$11:$A$1309,0)),INDEX('SKU明细'!$CI$11:$CI$1309,MATCH("1S01-TV-37.5",'SKU明细'!$A$11:$A$1309,0)),INDEX('SKU明细'!$CI$11:$CI$1309,MATCH("1S01-TV-38",'SKU明细'!$A$11:$A$1309,0)),INDEX('SKU明细'!$CI$11:$CI$1309,MATCH("1S01-TV-38.5",'SKU明细'!$A$11:$A$1309,0)),INDEX('SKU明细'!$CI$11:$CI$1309,MATCH("1S01-TV-39",'SKU明细'!$A$11:$A$1309,0)),INDEX('SKU明细'!$CI$11:$CI$1309,MATCH("1S01-TV-39.5",'SKU明细'!$A$11:$A$1309,0)),INDEX('SKU明细'!$CI$11:$CI$1309,MATCH("1S01-TV-40",'SKU明细'!$A$11:$A$1309,0)),INDEX('SKU明细'!$CI$11:$CI$1309,MATCH("1S01-TV-40.5",'SKU明细'!$A$11:$A$1309,0)),INDEX('SKU明细'!$CI$11:$CI$1309,MATCH("1S01-TV-41",'SKU明细'!$A$11:$A$1309,0)),INDEX('SKU明细'!$CI$11:$CI$1309,MATCH("1S01-TV-41.5",'SKU明细'!$A$11:$A$1309,0)),INDEX('SKU明细'!$CI$11:$CI$1309,MATCH("1S01-TV-42",'SKU明细'!$A$11:$A$1309,0))),"待核")</x:f>
        <x:v>0</x:v>
      </x:c>
    </x:row>
    <x:row r="140" ht="40" customHeight="1">
      <x:c r="A140" s="37" t="str">
        <x:v>1S01</x:v>
      </x:c>
      <x:c r="B140" s="37" t="str">
        <x:v>徐新怡</x:v>
      </x:c>
      <x:c r="C140" s="37" t="str">
        <x:v>白色</x:v>
      </x:c>
      <x:c r="D140" s="37" t="str">
        <x:v>WT</x:v>
      </x:c>
      <x:c r="E140" s="37" t="str">
        <x:v>1S01-WT</x:v>
      </x:c>
      <x:c r="F140" s="37"/>
      <x:c r="G140" s="38" t="str">
        <x:f>"—"</x:f>
        <x:v>—</x:v>
      </x:c>
      <x:c r="H140" s="38" t="n">
        <x:f>IF(COUNT(INDEX('SKU明细'!$D$11:$D$1309,MATCH("1S01-WT-6",'SKU明细'!$A$11:$A$1309,0)))=0,"待核",IF(COUNT(INDEX('SKU明细'!$D$11:$D$1309,MATCH("1S01-WT-6",'SKU明细'!$A$11:$A$1309,0)))&lt;1,SUM(INDEX('SKU明细'!$D$11:$D$1309,MATCH("1S01-WT-6",'SKU明细'!$A$11:$A$1309,0)))&amp;" + 待核",SUM(INDEX('SKU明细'!$D$11:$D$1309,MATCH("1S01-WT-6",'SKU明细'!$A$11:$A$1309,0)))))</x:f>
        <x:v>0</x:v>
      </x:c>
      <x:c r="I140" s="38" t="n">
        <x:f>IF(COUNT(INDEX('SKU明细'!$D$11:$D$1309,MATCH("1S01-WT-37.5",'SKU明细'!$A$11:$A$1309,0)))=0,"待核",IF(COUNT(INDEX('SKU明细'!$D$11:$D$1309,MATCH("1S01-WT-37.5",'SKU明细'!$A$11:$A$1309,0)))&lt;1,SUM(INDEX('SKU明细'!$D$11:$D$1309,MATCH("1S01-WT-37.5",'SKU明细'!$A$11:$A$1309,0)))&amp;" + 待核",SUM(INDEX('SKU明细'!$D$11:$D$1309,MATCH("1S01-WT-37.5",'SKU明细'!$A$11:$A$1309,0)))))</x:f>
        <x:v>0</x:v>
      </x:c>
      <x:c r="J140" s="38" t="n">
        <x:f>IF(COUNT(INDEX('SKU明细'!$D$11:$D$1309,MATCH("1S01-WT-7",'SKU明细'!$A$11:$A$1309,0)))=0,"待核",IF(COUNT(INDEX('SKU明细'!$D$11:$D$1309,MATCH("1S01-WT-7",'SKU明细'!$A$11:$A$1309,0)))&lt;1,SUM(INDEX('SKU明细'!$D$11:$D$1309,MATCH("1S01-WT-7",'SKU明细'!$A$11:$A$1309,0)))&amp;" + 待核",SUM(INDEX('SKU明细'!$D$11:$D$1309,MATCH("1S01-WT-7",'SKU明细'!$A$11:$A$1309,0)))))</x:f>
        <x:v>0</x:v>
      </x:c>
      <x:c r="K140" s="38" t="n">
        <x:f>IF(COUNT(INDEX('SKU明细'!$D$11:$D$1309,MATCH("1S01-WT-38.5",'SKU明细'!$A$11:$A$1309,0)))=0,"待核",IF(COUNT(INDEX('SKU明细'!$D$11:$D$1309,MATCH("1S01-WT-38.5",'SKU明细'!$A$11:$A$1309,0)))&lt;1,SUM(INDEX('SKU明细'!$D$11:$D$1309,MATCH("1S01-WT-38.5",'SKU明细'!$A$11:$A$1309,0)))&amp;" + 待核",SUM(INDEX('SKU明细'!$D$11:$D$1309,MATCH("1S01-WT-38.5",'SKU明细'!$A$11:$A$1309,0)))))</x:f>
        <x:v>0</x:v>
      </x:c>
      <x:c r="L140" s="38" t="n">
        <x:f>IF(COUNT(INDEX('SKU明细'!$D$11:$D$1309,MATCH("1S01-WT-8",'SKU明细'!$A$11:$A$1309,0)))=0,"待核",IF(COUNT(INDEX('SKU明细'!$D$11:$D$1309,MATCH("1S01-WT-8",'SKU明细'!$A$11:$A$1309,0)))&lt;1,SUM(INDEX('SKU明细'!$D$11:$D$1309,MATCH("1S01-WT-8",'SKU明细'!$A$11:$A$1309,0)))&amp;" + 待核",SUM(INDEX('SKU明细'!$D$11:$D$1309,MATCH("1S01-WT-8",'SKU明细'!$A$11:$A$1309,0)))))</x:f>
        <x:v>0</x:v>
      </x:c>
      <x:c r="M140" s="38" t="n">
        <x:f>IF(COUNT(INDEX('SKU明细'!$D$11:$D$1309,MATCH("1S01-WT-39.5",'SKU明细'!$A$11:$A$1309,0)))=0,"待核",IF(COUNT(INDEX('SKU明细'!$D$11:$D$1309,MATCH("1S01-WT-39.5",'SKU明细'!$A$11:$A$1309,0)))&lt;1,SUM(INDEX('SKU明细'!$D$11:$D$1309,MATCH("1S01-WT-39.5",'SKU明细'!$A$11:$A$1309,0)))&amp;" + 待核",SUM(INDEX('SKU明细'!$D$11:$D$1309,MATCH("1S01-WT-39.5",'SKU明细'!$A$11:$A$1309,0)))))</x:f>
        <x:v>0</x:v>
      </x:c>
      <x:c r="N140" s="38" t="n">
        <x:f>IF(COUNT(INDEX('SKU明细'!$D$11:$D$1309,MATCH("1S01-WT-9",'SKU明细'!$A$11:$A$1309,0)))=0,"待核",IF(COUNT(INDEX('SKU明细'!$D$11:$D$1309,MATCH("1S01-WT-9",'SKU明细'!$A$11:$A$1309,0)))&lt;1,SUM(INDEX('SKU明细'!$D$11:$D$1309,MATCH("1S01-WT-9",'SKU明细'!$A$11:$A$1309,0)))&amp;" + 待核",SUM(INDEX('SKU明细'!$D$11:$D$1309,MATCH("1S01-WT-9",'SKU明细'!$A$11:$A$1309,0)))))</x:f>
        <x:v>0</x:v>
      </x:c>
      <x:c r="O140" s="38" t="n">
        <x:f>IF(COUNT(INDEX('SKU明细'!$D$11:$D$1309,MATCH("1S01-WT-40.5",'SKU明细'!$A$11:$A$1309,0)))=0,"待核",IF(COUNT(INDEX('SKU明细'!$D$11:$D$1309,MATCH("1S01-WT-40.5",'SKU明细'!$A$11:$A$1309,0)))&lt;1,SUM(INDEX('SKU明细'!$D$11:$D$1309,MATCH("1S01-WT-40.5",'SKU明细'!$A$11:$A$1309,0)))&amp;" + 待核",SUM(INDEX('SKU明细'!$D$11:$D$1309,MATCH("1S01-WT-40.5",'SKU明细'!$A$11:$A$1309,0)))))</x:f>
        <x:v>0</x:v>
      </x:c>
      <x:c r="P140" s="38" t="n">
        <x:f>IF(COUNT(INDEX('SKU明细'!$D$11:$D$1309,MATCH("1S01-WT-10",'SKU明细'!$A$11:$A$1309,0)))=0,"待核",IF(COUNT(INDEX('SKU明细'!$D$11:$D$1309,MATCH("1S01-WT-10",'SKU明细'!$A$11:$A$1309,0)))&lt;1,SUM(INDEX('SKU明细'!$D$11:$D$1309,MATCH("1S01-WT-10",'SKU明细'!$A$11:$A$1309,0)))&amp;" + 待核",SUM(INDEX('SKU明细'!$D$11:$D$1309,MATCH("1S01-WT-10",'SKU明细'!$A$11:$A$1309,0)))))</x:f>
        <x:v>0</x:v>
      </x:c>
      <x:c r="Q140" s="38" t="n">
        <x:f>IF(COUNT(INDEX('SKU明细'!$D$11:$D$1309,MATCH("1S01-WT-41.5",'SKU明细'!$A$11:$A$1309,0)))=0,"待核",IF(COUNT(INDEX('SKU明细'!$D$11:$D$1309,MATCH("1S01-WT-41.5",'SKU明细'!$A$11:$A$1309,0)))&lt;1,SUM(INDEX('SKU明细'!$D$11:$D$1309,MATCH("1S01-WT-41.5",'SKU明细'!$A$11:$A$1309,0)))&amp;" + 待核",SUM(INDEX('SKU明细'!$D$11:$D$1309,MATCH("1S01-WT-41.5",'SKU明细'!$A$11:$A$1309,0)))))</x:f>
        <x:v>0</x:v>
      </x:c>
      <x:c r="R140" s="38" t="n">
        <x:f>IF(COUNT(INDEX('SKU明细'!$D$11:$D$1309,MATCH("1S01-WT-11",'SKU明细'!$A$11:$A$1309,0)))=0,"待核",IF(COUNT(INDEX('SKU明细'!$D$11:$D$1309,MATCH("1S01-WT-11",'SKU明细'!$A$11:$A$1309,0)))&lt;1,SUM(INDEX('SKU明细'!$D$11:$D$1309,MATCH("1S01-WT-11",'SKU明细'!$A$11:$A$1309,0)))&amp;" + 待核",SUM(INDEX('SKU明细'!$D$11:$D$1309,MATCH("1S01-WT-11",'SKU明细'!$A$11:$A$1309,0)))))</x:f>
        <x:v>0</x:v>
      </x:c>
      <x:c r="S140" s="38" t="n">
        <x:f>IF(COUNT(INDEX('SKU明细'!$D$11:$D$1309,MATCH("1S01-WT-6",'SKU明细'!$A$11:$A$1309,0)),INDEX('SKU明细'!$D$11:$D$1309,MATCH("1S01-WT-37.5",'SKU明细'!$A$11:$A$1309,0)),INDEX('SKU明细'!$D$11:$D$1309,MATCH("1S01-WT-7",'SKU明细'!$A$11:$A$1309,0)),INDEX('SKU明细'!$D$11:$D$1309,MATCH("1S01-WT-38.5",'SKU明细'!$A$11:$A$1309,0)),INDEX('SKU明细'!$D$11:$D$1309,MATCH("1S01-WT-8",'SKU明细'!$A$11:$A$1309,0)),INDEX('SKU明细'!$D$11:$D$1309,MATCH("1S01-WT-39.5",'SKU明细'!$A$11:$A$1309,0)),INDEX('SKU明细'!$D$11:$D$1309,MATCH("1S01-WT-9",'SKU明细'!$A$11:$A$1309,0)),INDEX('SKU明细'!$D$11:$D$1309,MATCH("1S01-WT-40.5",'SKU明细'!$A$11:$A$1309,0)),INDEX('SKU明细'!$D$11:$D$1309,MATCH("1S01-WT-10",'SKU明细'!$A$11:$A$1309,0)),INDEX('SKU明细'!$D$11:$D$1309,MATCH("1S01-WT-41.5",'SKU明细'!$A$11:$A$1309,0)),INDEX('SKU明细'!$D$11:$D$1309,MATCH("1S01-WT-11",'SKU明细'!$A$11:$A$1309,0)))=0,"待核",SUM(INDEX('SKU明细'!$D$11:$D$1309,MATCH("1S01-WT-6",'SKU明细'!$A$11:$A$1309,0)),INDEX('SKU明细'!$D$11:$D$1309,MATCH("1S01-WT-37.5",'SKU明细'!$A$11:$A$1309,0)),INDEX('SKU明细'!$D$11:$D$1309,MATCH("1S01-WT-7",'SKU明细'!$A$11:$A$1309,0)),INDEX('SKU明细'!$D$11:$D$1309,MATCH("1S01-WT-38.5",'SKU明细'!$A$11:$A$1309,0)),INDEX('SKU明细'!$D$11:$D$1309,MATCH("1S01-WT-8",'SKU明细'!$A$11:$A$1309,0)),INDEX('SKU明细'!$D$11:$D$1309,MATCH("1S01-WT-39.5",'SKU明细'!$A$11:$A$1309,0)),INDEX('SKU明细'!$D$11:$D$1309,MATCH("1S01-WT-9",'SKU明细'!$A$11:$A$1309,0)),INDEX('SKU明细'!$D$11:$D$1309,MATCH("1S01-WT-40.5",'SKU明细'!$A$11:$A$1309,0)),INDEX('SKU明细'!$D$11:$D$1309,MATCH("1S01-WT-10",'SKU明细'!$A$11:$A$1309,0)),INDEX('SKU明细'!$D$11:$D$1309,MATCH("1S01-WT-41.5",'SKU明细'!$A$11:$A$1309,0)),INDEX('SKU明细'!$D$11:$D$1309,MATCH("1S01-WT-11",'SKU明细'!$A$11:$A$1309,0))))</x:f>
        <x:v>0</x:v>
      </x:c>
      <x:c r="T140" s="38" t="n">
        <x:f>IF(COUNTIFS($A$9:$A$191,A140,$U$9:$U$191,"&lt;&gt;待核")=0,"待核",SUMIF($A$9:$A$191,A140,$S$9:$S$191))</x:f>
        <x:v>141</x:v>
      </x:c>
      <x:c r="U140" s="37" t="str">
        <x:f>IF(COUNT(INDEX('SKU明细'!$D$11:$D$1309,MATCH("1S01-WT-6",'SKU明细'!$A$11:$A$1309,0)),INDEX('SKU明细'!$D$11:$D$1309,MATCH("1S01-WT-37.5",'SKU明细'!$A$11:$A$1309,0)),INDEX('SKU明细'!$D$11:$D$1309,MATCH("1S01-WT-7",'SKU明细'!$A$11:$A$1309,0)),INDEX('SKU明细'!$D$11:$D$1309,MATCH("1S01-WT-38.5",'SKU明细'!$A$11:$A$1309,0)),INDEX('SKU明细'!$D$11:$D$1309,MATCH("1S01-WT-8",'SKU明细'!$A$11:$A$1309,0)),INDEX('SKU明细'!$D$11:$D$1309,MATCH("1S01-WT-39.5",'SKU明细'!$A$11:$A$1309,0)),INDEX('SKU明细'!$D$11:$D$1309,MATCH("1S01-WT-9",'SKU明细'!$A$11:$A$1309,0)),INDEX('SKU明细'!$D$11:$D$1309,MATCH("1S01-WT-40.5",'SKU明细'!$A$11:$A$1309,0)),INDEX('SKU明细'!$D$11:$D$1309,MATCH("1S01-WT-10",'SKU明细'!$A$11:$A$1309,0)),INDEX('SKU明细'!$D$11:$D$1309,MATCH("1S01-WT-41.5",'SKU明细'!$A$11:$A$1309,0)),INDEX('SKU明细'!$D$11:$D$1309,MATCH("1S01-WT-11",'SKU明细'!$A$11:$A$1309,0)))=0,"待核",IF(COUNT(INDEX('SKU明细'!$D$11:$D$1309,MATCH("1S01-WT-6",'SKU明细'!$A$11:$A$1309,0)),INDEX('SKU明细'!$D$11:$D$1309,MATCH("1S01-WT-37.5",'SKU明细'!$A$11:$A$1309,0)),INDEX('SKU明细'!$D$11:$D$1309,MATCH("1S01-WT-7",'SKU明细'!$A$11:$A$1309,0)),INDEX('SKU明细'!$D$11:$D$1309,MATCH("1S01-WT-38.5",'SKU明细'!$A$11:$A$1309,0)),INDEX('SKU明细'!$D$11:$D$1309,MATCH("1S01-WT-8",'SKU明细'!$A$11:$A$1309,0)),INDEX('SKU明细'!$D$11:$D$1309,MATCH("1S01-WT-39.5",'SKU明细'!$A$11:$A$1309,0)),INDEX('SKU明细'!$D$11:$D$1309,MATCH("1S01-WT-9",'SKU明细'!$A$11:$A$1309,0)),INDEX('SKU明细'!$D$11:$D$1309,MATCH("1S01-WT-40.5",'SKU明细'!$A$11:$A$1309,0)),INDEX('SKU明细'!$D$11:$D$1309,MATCH("1S01-WT-10",'SKU明细'!$A$11:$A$1309,0)),INDEX('SKU明细'!$D$11:$D$1309,MATCH("1S01-WT-41.5",'SKU明细'!$A$11:$A$1309,0)),INDEX('SKU明细'!$D$11:$D$1309,MATCH("1S01-WT-11",'SKU明细'!$A$11:$A$1309,0)))&lt;11,"另有待核","已核"))</x:f>
        <x:v>已核</x:v>
      </x:c>
      <x:c r="V140" s="37" t="str">
        <x:v>停售</x:v>
      </x:c>
      <x:c r="W140" s="11" t="n">
        <x:f>IF(COUNT(INDEX('SKU明细'!$BV$11:$BV$1309,MATCH("1S01-WT-6",'SKU明细'!$A$11:$A$1309,0)),INDEX('SKU明细'!$BV$11:$BV$1309,MATCH("1S01-WT-37.5",'SKU明细'!$A$11:$A$1309,0)),INDEX('SKU明细'!$BV$11:$BV$1309,MATCH("1S01-WT-7",'SKU明细'!$A$11:$A$1309,0)),INDEX('SKU明细'!$BV$11:$BV$1309,MATCH("1S01-WT-38.5",'SKU明细'!$A$11:$A$1309,0)),INDEX('SKU明细'!$BV$11:$BV$1309,MATCH("1S01-WT-8",'SKU明细'!$A$11:$A$1309,0)),INDEX('SKU明细'!$BV$11:$BV$1309,MATCH("1S01-WT-39.5",'SKU明细'!$A$11:$A$1309,0)),INDEX('SKU明细'!$BV$11:$BV$1309,MATCH("1S01-WT-9",'SKU明细'!$A$11:$A$1309,0)),INDEX('SKU明细'!$BV$11:$BV$1309,MATCH("1S01-WT-40.5",'SKU明细'!$A$11:$A$1309,0)),INDEX('SKU明细'!$BV$11:$BV$1309,MATCH("1S01-WT-10",'SKU明细'!$A$11:$A$1309,0)),INDEX('SKU明细'!$BV$11:$BV$1309,MATCH("1S01-WT-41.5",'SKU明细'!$A$11:$A$1309,0)),INDEX('SKU明细'!$BV$11:$BV$1309,MATCH("1S01-WT-11",'SKU明细'!$A$11:$A$1309,0)))=11,SUM(INDEX('SKU明细'!$BV$11:$BV$1309,MATCH("1S01-WT-6",'SKU明细'!$A$11:$A$1309,0)),INDEX('SKU明细'!$BV$11:$BV$1309,MATCH("1S01-WT-37.5",'SKU明细'!$A$11:$A$1309,0)),INDEX('SKU明细'!$BV$11:$BV$1309,MATCH("1S01-WT-7",'SKU明细'!$A$11:$A$1309,0)),INDEX('SKU明细'!$BV$11:$BV$1309,MATCH("1S01-WT-38.5",'SKU明细'!$A$11:$A$1309,0)),INDEX('SKU明细'!$BV$11:$BV$1309,MATCH("1S01-WT-8",'SKU明细'!$A$11:$A$1309,0)),INDEX('SKU明细'!$BV$11:$BV$1309,MATCH("1S01-WT-39.5",'SKU明细'!$A$11:$A$1309,0)),INDEX('SKU明细'!$BV$11:$BV$1309,MATCH("1S01-WT-9",'SKU明细'!$A$11:$A$1309,0)),INDEX('SKU明细'!$BV$11:$BV$1309,MATCH("1S01-WT-40.5",'SKU明细'!$A$11:$A$1309,0)),INDEX('SKU明细'!$BV$11:$BV$1309,MATCH("1S01-WT-10",'SKU明细'!$A$11:$A$1309,0)),INDEX('SKU明细'!$BV$11:$BV$1309,MATCH("1S01-WT-41.5",'SKU明细'!$A$11:$A$1309,0)),INDEX('SKU明细'!$BV$11:$BV$1309,MATCH("1S01-WT-11",'SKU明细'!$A$11:$A$1309,0))),"待核")</x:f>
        <x:v>0</x:v>
      </x:c>
      <x:c r="X140" s="11" t="n">
        <x:f>INDEX('SKU明细'!$BW$11:$BW$1309,MATCH("1S01-WT-6",'SKU明细'!$A$11:$A$1309,0))</x:f>
        <x:v>0.8729500662042875</x:v>
      </x:c>
      <x:c r="Y140" s="13" t="n">
        <x:f>IF(COUNT(INDEX('SKU明细'!$BY$11:$BY$1309,MATCH("1S01-WT-6",'SKU明细'!$A$11:$A$1309,0)),INDEX('SKU明细'!$BY$11:$BY$1309,MATCH("1S01-WT-37.5",'SKU明细'!$A$11:$A$1309,0)),INDEX('SKU明细'!$BY$11:$BY$1309,MATCH("1S01-WT-7",'SKU明细'!$A$11:$A$1309,0)),INDEX('SKU明细'!$BY$11:$BY$1309,MATCH("1S01-WT-38.5",'SKU明细'!$A$11:$A$1309,0)),INDEX('SKU明细'!$BY$11:$BY$1309,MATCH("1S01-WT-8",'SKU明细'!$A$11:$A$1309,0)),INDEX('SKU明细'!$BY$11:$BY$1309,MATCH("1S01-WT-39.5",'SKU明细'!$A$11:$A$1309,0)),INDEX('SKU明细'!$BY$11:$BY$1309,MATCH("1S01-WT-9",'SKU明细'!$A$11:$A$1309,0)),INDEX('SKU明细'!$BY$11:$BY$1309,MATCH("1S01-WT-40.5",'SKU明细'!$A$11:$A$1309,0)),INDEX('SKU明细'!$BY$11:$BY$1309,MATCH("1S01-WT-10",'SKU明细'!$A$11:$A$1309,0)),INDEX('SKU明细'!$BY$11:$BY$1309,MATCH("1S01-WT-41.5",'SKU明细'!$A$11:$A$1309,0)),INDEX('SKU明细'!$BY$11:$BY$1309,MATCH("1S01-WT-11",'SKU明细'!$A$11:$A$1309,0)))=11,SUM(INDEX('SKU明细'!$BY$11:$BY$1309,MATCH("1S01-WT-6",'SKU明细'!$A$11:$A$1309,0)),INDEX('SKU明细'!$BY$11:$BY$1309,MATCH("1S01-WT-37.5",'SKU明细'!$A$11:$A$1309,0)),INDEX('SKU明细'!$BY$11:$BY$1309,MATCH("1S01-WT-7",'SKU明细'!$A$11:$A$1309,0)),INDEX('SKU明细'!$BY$11:$BY$1309,MATCH("1S01-WT-38.5",'SKU明细'!$A$11:$A$1309,0)),INDEX('SKU明细'!$BY$11:$BY$1309,MATCH("1S01-WT-8",'SKU明细'!$A$11:$A$1309,0)),INDEX('SKU明细'!$BY$11:$BY$1309,MATCH("1S01-WT-39.5",'SKU明细'!$A$11:$A$1309,0)),INDEX('SKU明细'!$BY$11:$BY$1309,MATCH("1S01-WT-9",'SKU明细'!$A$11:$A$1309,0)),INDEX('SKU明细'!$BY$11:$BY$1309,MATCH("1S01-WT-40.5",'SKU明细'!$A$11:$A$1309,0)),INDEX('SKU明细'!$BY$11:$BY$1309,MATCH("1S01-WT-10",'SKU明细'!$A$11:$A$1309,0)),INDEX('SKU明细'!$BY$11:$BY$1309,MATCH("1S01-WT-41.5",'SKU明细'!$A$11:$A$1309,0)),INDEX('SKU明细'!$BY$11:$BY$1309,MATCH("1S01-WT-11",'SKU明细'!$A$11:$A$1309,0))),"待核")</x:f>
        <x:v>0</x:v>
      </x:c>
      <x:c r="Z140" s="11" t="n">
        <x:f>INDEX('SKU明细'!$BZ$11:$BZ$1309,MATCH("1S01-WT-6",'SKU明细'!$A$11:$A$1309,0))</x:f>
        <x:v>0.8057375774163482</x:v>
      </x:c>
      <x:c r="AA140" s="13" t="n">
        <x:f>IF(COUNT(INDEX('SKU明细'!$CB$11:$CB$1309,MATCH("1S01-WT-6",'SKU明细'!$A$11:$A$1309,0)),INDEX('SKU明细'!$CB$11:$CB$1309,MATCH("1S01-WT-37.5",'SKU明细'!$A$11:$A$1309,0)),INDEX('SKU明细'!$CB$11:$CB$1309,MATCH("1S01-WT-7",'SKU明细'!$A$11:$A$1309,0)),INDEX('SKU明细'!$CB$11:$CB$1309,MATCH("1S01-WT-38.5",'SKU明细'!$A$11:$A$1309,0)),INDEX('SKU明细'!$CB$11:$CB$1309,MATCH("1S01-WT-8",'SKU明细'!$A$11:$A$1309,0)),INDEX('SKU明细'!$CB$11:$CB$1309,MATCH("1S01-WT-39.5",'SKU明细'!$A$11:$A$1309,0)),INDEX('SKU明细'!$CB$11:$CB$1309,MATCH("1S01-WT-9",'SKU明细'!$A$11:$A$1309,0)),INDEX('SKU明细'!$CB$11:$CB$1309,MATCH("1S01-WT-40.5",'SKU明细'!$A$11:$A$1309,0)),INDEX('SKU明细'!$CB$11:$CB$1309,MATCH("1S01-WT-10",'SKU明细'!$A$11:$A$1309,0)),INDEX('SKU明细'!$CB$11:$CB$1309,MATCH("1S01-WT-41.5",'SKU明细'!$A$11:$A$1309,0)),INDEX('SKU明细'!$CB$11:$CB$1309,MATCH("1S01-WT-11",'SKU明细'!$A$11:$A$1309,0)))=11,SUM(INDEX('SKU明细'!$CB$11:$CB$1309,MATCH("1S01-WT-6",'SKU明细'!$A$11:$A$1309,0)),INDEX('SKU明细'!$CB$11:$CB$1309,MATCH("1S01-WT-37.5",'SKU明细'!$A$11:$A$1309,0)),INDEX('SKU明细'!$CB$11:$CB$1309,MATCH("1S01-WT-7",'SKU明细'!$A$11:$A$1309,0)),INDEX('SKU明细'!$CB$11:$CB$1309,MATCH("1S01-WT-38.5",'SKU明细'!$A$11:$A$1309,0)),INDEX('SKU明细'!$CB$11:$CB$1309,MATCH("1S01-WT-8",'SKU明细'!$A$11:$A$1309,0)),INDEX('SKU明细'!$CB$11:$CB$1309,MATCH("1S01-WT-39.5",'SKU明细'!$A$11:$A$1309,0)),INDEX('SKU明细'!$CB$11:$CB$1309,MATCH("1S01-WT-9",'SKU明细'!$A$11:$A$1309,0)),INDEX('SKU明细'!$CB$11:$CB$1309,MATCH("1S01-WT-40.5",'SKU明细'!$A$11:$A$1309,0)),INDEX('SKU明细'!$CB$11:$CB$1309,MATCH("1S01-WT-10",'SKU明细'!$A$11:$A$1309,0)),INDEX('SKU明细'!$CB$11:$CB$1309,MATCH("1S01-WT-41.5",'SKU明细'!$A$11:$A$1309,0)),INDEX('SKU明细'!$CB$11:$CB$1309,MATCH("1S01-WT-11",'SKU明细'!$A$11:$A$1309,0))),"待核")</x:f>
        <x:v>0</x:v>
      </x:c>
      <x:c r="AB140" s="11" t="n">
        <x:f>INDEX('SKU明细'!$CC$11:$CC$1309,MATCH("1S01-WT-6",'SKU明细'!$A$11:$A$1309,0))</x:f>
        <x:v>0.532550303142279</x:v>
      </x:c>
      <x:c r="AC140" s="13" t="n">
        <x:f>IF(COUNT(INDEX('SKU明细'!$CE$11:$CE$1309,MATCH("1S01-WT-6",'SKU明细'!$A$11:$A$1309,0)),INDEX('SKU明细'!$CE$11:$CE$1309,MATCH("1S01-WT-37.5",'SKU明细'!$A$11:$A$1309,0)),INDEX('SKU明细'!$CE$11:$CE$1309,MATCH("1S01-WT-7",'SKU明细'!$A$11:$A$1309,0)),INDEX('SKU明细'!$CE$11:$CE$1309,MATCH("1S01-WT-38.5",'SKU明细'!$A$11:$A$1309,0)),INDEX('SKU明细'!$CE$11:$CE$1309,MATCH("1S01-WT-8",'SKU明细'!$A$11:$A$1309,0)),INDEX('SKU明细'!$CE$11:$CE$1309,MATCH("1S01-WT-39.5",'SKU明细'!$A$11:$A$1309,0)),INDEX('SKU明细'!$CE$11:$CE$1309,MATCH("1S01-WT-9",'SKU明细'!$A$11:$A$1309,0)),INDEX('SKU明细'!$CE$11:$CE$1309,MATCH("1S01-WT-40.5",'SKU明细'!$A$11:$A$1309,0)),INDEX('SKU明细'!$CE$11:$CE$1309,MATCH("1S01-WT-10",'SKU明细'!$A$11:$A$1309,0)),INDEX('SKU明细'!$CE$11:$CE$1309,MATCH("1S01-WT-41.5",'SKU明细'!$A$11:$A$1309,0)),INDEX('SKU明细'!$CE$11:$CE$1309,MATCH("1S01-WT-11",'SKU明细'!$A$11:$A$1309,0)))=11,SUM(INDEX('SKU明细'!$CE$11:$CE$1309,MATCH("1S01-WT-6",'SKU明细'!$A$11:$A$1309,0)),INDEX('SKU明细'!$CE$11:$CE$1309,MATCH("1S01-WT-37.5",'SKU明细'!$A$11:$A$1309,0)),INDEX('SKU明细'!$CE$11:$CE$1309,MATCH("1S01-WT-7",'SKU明细'!$A$11:$A$1309,0)),INDEX('SKU明细'!$CE$11:$CE$1309,MATCH("1S01-WT-38.5",'SKU明细'!$A$11:$A$1309,0)),INDEX('SKU明细'!$CE$11:$CE$1309,MATCH("1S01-WT-8",'SKU明细'!$A$11:$A$1309,0)),INDEX('SKU明细'!$CE$11:$CE$1309,MATCH("1S01-WT-39.5",'SKU明细'!$A$11:$A$1309,0)),INDEX('SKU明细'!$CE$11:$CE$1309,MATCH("1S01-WT-9",'SKU明细'!$A$11:$A$1309,0)),INDEX('SKU明细'!$CE$11:$CE$1309,MATCH("1S01-WT-40.5",'SKU明细'!$A$11:$A$1309,0)),INDEX('SKU明细'!$CE$11:$CE$1309,MATCH("1S01-WT-10",'SKU明细'!$A$11:$A$1309,0)),INDEX('SKU明细'!$CE$11:$CE$1309,MATCH("1S01-WT-41.5",'SKU明细'!$A$11:$A$1309,0)),INDEX('SKU明细'!$CE$11:$CE$1309,MATCH("1S01-WT-11",'SKU明细'!$A$11:$A$1309,0))),"待核")</x:f>
        <x:v>0</x:v>
      </x:c>
      <x:c r="AD140" s="11" t="n">
        <x:f>INDEX('SKU明细'!$CF$11:$CF$1309,MATCH("1S01-WT-6",'SKU明细'!$A$11:$A$1309,0))</x:f>
        <x:v>0.7517299265337036</x:v>
      </x:c>
      <x:c r="AE140" s="13" t="n">
        <x:f>IF(COUNT(INDEX('SKU明细'!$CH$11:$CH$1309,MATCH("1S01-WT-6",'SKU明细'!$A$11:$A$1309,0)),INDEX('SKU明细'!$CH$11:$CH$1309,MATCH("1S01-WT-37.5",'SKU明细'!$A$11:$A$1309,0)),INDEX('SKU明细'!$CH$11:$CH$1309,MATCH("1S01-WT-7",'SKU明细'!$A$11:$A$1309,0)),INDEX('SKU明细'!$CH$11:$CH$1309,MATCH("1S01-WT-38.5",'SKU明细'!$A$11:$A$1309,0)),INDEX('SKU明细'!$CH$11:$CH$1309,MATCH("1S01-WT-8",'SKU明细'!$A$11:$A$1309,0)),INDEX('SKU明细'!$CH$11:$CH$1309,MATCH("1S01-WT-39.5",'SKU明细'!$A$11:$A$1309,0)),INDEX('SKU明细'!$CH$11:$CH$1309,MATCH("1S01-WT-9",'SKU明细'!$A$11:$A$1309,0)),INDEX('SKU明细'!$CH$11:$CH$1309,MATCH("1S01-WT-40.5",'SKU明细'!$A$11:$A$1309,0)),INDEX('SKU明细'!$CH$11:$CH$1309,MATCH("1S01-WT-10",'SKU明细'!$A$11:$A$1309,0)),INDEX('SKU明细'!$CH$11:$CH$1309,MATCH("1S01-WT-41.5",'SKU明细'!$A$11:$A$1309,0)),INDEX('SKU明细'!$CH$11:$CH$1309,MATCH("1S01-WT-11",'SKU明细'!$A$11:$A$1309,0)))=11,SUM(INDEX('SKU明细'!$CH$11:$CH$1309,MATCH("1S01-WT-6",'SKU明细'!$A$11:$A$1309,0)),INDEX('SKU明细'!$CH$11:$CH$1309,MATCH("1S01-WT-37.5",'SKU明细'!$A$11:$A$1309,0)),INDEX('SKU明细'!$CH$11:$CH$1309,MATCH("1S01-WT-7",'SKU明细'!$A$11:$A$1309,0)),INDEX('SKU明细'!$CH$11:$CH$1309,MATCH("1S01-WT-38.5",'SKU明细'!$A$11:$A$1309,0)),INDEX('SKU明细'!$CH$11:$CH$1309,MATCH("1S01-WT-8",'SKU明细'!$A$11:$A$1309,0)),INDEX('SKU明细'!$CH$11:$CH$1309,MATCH("1S01-WT-39.5",'SKU明细'!$A$11:$A$1309,0)),INDEX('SKU明细'!$CH$11:$CH$1309,MATCH("1S01-WT-9",'SKU明细'!$A$11:$A$1309,0)),INDEX('SKU明细'!$CH$11:$CH$1309,MATCH("1S01-WT-40.5",'SKU明细'!$A$11:$A$1309,0)),INDEX('SKU明细'!$CH$11:$CH$1309,MATCH("1S01-WT-10",'SKU明细'!$A$11:$A$1309,0)),INDEX('SKU明细'!$CH$11:$CH$1309,MATCH("1S01-WT-41.5",'SKU明细'!$A$11:$A$1309,0)),INDEX('SKU明细'!$CH$11:$CH$1309,MATCH("1S01-WT-11",'SKU明细'!$A$11:$A$1309,0))),"待核")</x:f>
        <x:v>0</x:v>
      </x:c>
      <x:c r="AF140" s="13" t="n">
        <x:f>IF(COUNT(INDEX('SKU明细'!$CI$11:$CI$1309,MATCH("1S01-WT-6",'SKU明细'!$A$11:$A$1309,0)),INDEX('SKU明细'!$CI$11:$CI$1309,MATCH("1S01-WT-37.5",'SKU明细'!$A$11:$A$1309,0)),INDEX('SKU明细'!$CI$11:$CI$1309,MATCH("1S01-WT-7",'SKU明细'!$A$11:$A$1309,0)),INDEX('SKU明细'!$CI$11:$CI$1309,MATCH("1S01-WT-38.5",'SKU明细'!$A$11:$A$1309,0)),INDEX('SKU明细'!$CI$11:$CI$1309,MATCH("1S01-WT-8",'SKU明细'!$A$11:$A$1309,0)),INDEX('SKU明细'!$CI$11:$CI$1309,MATCH("1S01-WT-39.5",'SKU明细'!$A$11:$A$1309,0)),INDEX('SKU明细'!$CI$11:$CI$1309,MATCH("1S01-WT-9",'SKU明细'!$A$11:$A$1309,0)),INDEX('SKU明细'!$CI$11:$CI$1309,MATCH("1S01-WT-40.5",'SKU明细'!$A$11:$A$1309,0)),INDEX('SKU明细'!$CI$11:$CI$1309,MATCH("1S01-WT-10",'SKU明细'!$A$11:$A$1309,0)),INDEX('SKU明细'!$CI$11:$CI$1309,MATCH("1S01-WT-41.5",'SKU明细'!$A$11:$A$1309,0)),INDEX('SKU明细'!$CI$11:$CI$1309,MATCH("1S01-WT-11",'SKU明细'!$A$11:$A$1309,0)))=11,SUM(INDEX('SKU明细'!$CI$11:$CI$1309,MATCH("1S01-WT-6",'SKU明细'!$A$11:$A$1309,0)),INDEX('SKU明细'!$CI$11:$CI$1309,MATCH("1S01-WT-37.5",'SKU明细'!$A$11:$A$1309,0)),INDEX('SKU明细'!$CI$11:$CI$1309,MATCH("1S01-WT-7",'SKU明细'!$A$11:$A$1309,0)),INDEX('SKU明细'!$CI$11:$CI$1309,MATCH("1S01-WT-38.5",'SKU明细'!$A$11:$A$1309,0)),INDEX('SKU明细'!$CI$11:$CI$1309,MATCH("1S01-WT-8",'SKU明细'!$A$11:$A$1309,0)),INDEX('SKU明细'!$CI$11:$CI$1309,MATCH("1S01-WT-39.5",'SKU明细'!$A$11:$A$1309,0)),INDEX('SKU明细'!$CI$11:$CI$1309,MATCH("1S01-WT-9",'SKU明细'!$A$11:$A$1309,0)),INDEX('SKU明细'!$CI$11:$CI$1309,MATCH("1S01-WT-40.5",'SKU明细'!$A$11:$A$1309,0)),INDEX('SKU明细'!$CI$11:$CI$1309,MATCH("1S01-WT-10",'SKU明细'!$A$11:$A$1309,0)),INDEX('SKU明细'!$CI$11:$CI$1309,MATCH("1S01-WT-41.5",'SKU明细'!$A$11:$A$1309,0)),INDEX('SKU明细'!$CI$11:$CI$1309,MATCH("1S01-WT-11",'SKU明细'!$A$11:$A$1309,0))),"待核")</x:f>
        <x:v>0</x:v>
      </x:c>
    </x:row>
    <x:row r="141" ht="40" customHeight="1">
      <x:c r="A141" s="37" t="str">
        <x:v>1S01</x:v>
      </x:c>
      <x:c r="B141" s="37" t="str">
        <x:v>徐新怡</x:v>
      </x:c>
      <x:c r="C141" s="37" t="str">
        <x:v>黄色</x:v>
      </x:c>
      <x:c r="D141" s="37" t="str">
        <x:v>YL</x:v>
      </x:c>
      <x:c r="E141" s="37" t="str">
        <x:v>1S01-YL</x:v>
      </x:c>
      <x:c r="F141" s="37"/>
      <x:c r="G141" s="38" t="str">
        <x:f>"—"</x:f>
        <x:v>—</x:v>
      </x:c>
      <x:c r="H141" s="38" t="str">
        <x:f>IF(COUNT(INDEX('SKU明细'!$D$11:$D$1309,MATCH("1S01-YL-37",'SKU明细'!$A$11:$A$1309,0)))=0,"待核",IF(COUNT(INDEX('SKU明细'!$D$11:$D$1309,MATCH("1S01-YL-37",'SKU明细'!$A$11:$A$1309,0)))&lt;1,SUM(INDEX('SKU明细'!$D$11:$D$1309,MATCH("1S01-YL-37",'SKU明细'!$A$11:$A$1309,0)))&amp;" + 待核",SUM(INDEX('SKU明细'!$D$11:$D$1309,MATCH("1S01-YL-37",'SKU明细'!$A$11:$A$1309,0)))))</x:f>
        <x:v>待核</x:v>
      </x:c>
      <x:c r="I141" s="38" t="str">
        <x:f>IF(COUNT(INDEX('SKU明细'!$D$11:$D$1309,MATCH("1S01-YL-37.5",'SKU明细'!$A$11:$A$1309,0)))=0,"待核",IF(COUNT(INDEX('SKU明细'!$D$11:$D$1309,MATCH("1S01-YL-37.5",'SKU明细'!$A$11:$A$1309,0)))&lt;1,SUM(INDEX('SKU明细'!$D$11:$D$1309,MATCH("1S01-YL-37.5",'SKU明细'!$A$11:$A$1309,0)))&amp;" + 待核",SUM(INDEX('SKU明细'!$D$11:$D$1309,MATCH("1S01-YL-37.5",'SKU明细'!$A$11:$A$1309,0)))))</x:f>
        <x:v>待核</x:v>
      </x:c>
      <x:c r="J141" s="38" t="str">
        <x:f>IF(COUNT(INDEX('SKU明细'!$D$11:$D$1309,MATCH("1S01-YL-38",'SKU明细'!$A$11:$A$1309,0)))=0,"待核",IF(COUNT(INDEX('SKU明细'!$D$11:$D$1309,MATCH("1S01-YL-38",'SKU明细'!$A$11:$A$1309,0)))&lt;1,SUM(INDEX('SKU明细'!$D$11:$D$1309,MATCH("1S01-YL-38",'SKU明细'!$A$11:$A$1309,0)))&amp;" + 待核",SUM(INDEX('SKU明细'!$D$11:$D$1309,MATCH("1S01-YL-38",'SKU明细'!$A$11:$A$1309,0)))))</x:f>
        <x:v>待核</x:v>
      </x:c>
      <x:c r="K141" s="38" t="str">
        <x:f>IF(COUNT(INDEX('SKU明细'!$D$11:$D$1309,MATCH("1S01-YL-38.5",'SKU明细'!$A$11:$A$1309,0)))=0,"待核",IF(COUNT(INDEX('SKU明细'!$D$11:$D$1309,MATCH("1S01-YL-38.5",'SKU明细'!$A$11:$A$1309,0)))&lt;1,SUM(INDEX('SKU明细'!$D$11:$D$1309,MATCH("1S01-YL-38.5",'SKU明细'!$A$11:$A$1309,0)))&amp;" + 待核",SUM(INDEX('SKU明细'!$D$11:$D$1309,MATCH("1S01-YL-38.5",'SKU明细'!$A$11:$A$1309,0)))))</x:f>
        <x:v>待核</x:v>
      </x:c>
      <x:c r="L141" s="38" t="str">
        <x:f>IF(COUNT(INDEX('SKU明细'!$D$11:$D$1309,MATCH("1S01-YL-39",'SKU明细'!$A$11:$A$1309,0)))=0,"待核",IF(COUNT(INDEX('SKU明细'!$D$11:$D$1309,MATCH("1S01-YL-39",'SKU明细'!$A$11:$A$1309,0)))&lt;1,SUM(INDEX('SKU明细'!$D$11:$D$1309,MATCH("1S01-YL-39",'SKU明细'!$A$11:$A$1309,0)))&amp;" + 待核",SUM(INDEX('SKU明细'!$D$11:$D$1309,MATCH("1S01-YL-39",'SKU明细'!$A$11:$A$1309,0)))))</x:f>
        <x:v>待核</x:v>
      </x:c>
      <x:c r="M141" s="38" t="str">
        <x:f>IF(COUNT(INDEX('SKU明细'!$D$11:$D$1309,MATCH("1S01-YL-39.5",'SKU明细'!$A$11:$A$1309,0)))=0,"待核",IF(COUNT(INDEX('SKU明细'!$D$11:$D$1309,MATCH("1S01-YL-39.5",'SKU明细'!$A$11:$A$1309,0)))&lt;1,SUM(INDEX('SKU明细'!$D$11:$D$1309,MATCH("1S01-YL-39.5",'SKU明细'!$A$11:$A$1309,0)))&amp;" + 待核",SUM(INDEX('SKU明细'!$D$11:$D$1309,MATCH("1S01-YL-39.5",'SKU明细'!$A$11:$A$1309,0)))))</x:f>
        <x:v>待核</x:v>
      </x:c>
      <x:c r="N141" s="38" t="str">
        <x:f>IF(COUNT(INDEX('SKU明细'!$D$11:$D$1309,MATCH("1S01-YL-40",'SKU明细'!$A$11:$A$1309,0)))=0,"待核",IF(COUNT(INDEX('SKU明细'!$D$11:$D$1309,MATCH("1S01-YL-40",'SKU明细'!$A$11:$A$1309,0)))&lt;1,SUM(INDEX('SKU明细'!$D$11:$D$1309,MATCH("1S01-YL-40",'SKU明细'!$A$11:$A$1309,0)))&amp;" + 待核",SUM(INDEX('SKU明细'!$D$11:$D$1309,MATCH("1S01-YL-40",'SKU明细'!$A$11:$A$1309,0)))))</x:f>
        <x:v>待核</x:v>
      </x:c>
      <x:c r="O141" s="38" t="str">
        <x:f>IF(COUNT(INDEX('SKU明细'!$D$11:$D$1309,MATCH("1S01-YL-40.5",'SKU明细'!$A$11:$A$1309,0)))=0,"待核",IF(COUNT(INDEX('SKU明细'!$D$11:$D$1309,MATCH("1S01-YL-40.5",'SKU明细'!$A$11:$A$1309,0)))&lt;1,SUM(INDEX('SKU明细'!$D$11:$D$1309,MATCH("1S01-YL-40.5",'SKU明细'!$A$11:$A$1309,0)))&amp;" + 待核",SUM(INDEX('SKU明细'!$D$11:$D$1309,MATCH("1S01-YL-40.5",'SKU明细'!$A$11:$A$1309,0)))))</x:f>
        <x:v>待核</x:v>
      </x:c>
      <x:c r="P141" s="38" t="str">
        <x:f>IF(COUNT(INDEX('SKU明细'!$D$11:$D$1309,MATCH("1S01-YL-41",'SKU明细'!$A$11:$A$1309,0)))=0,"待核",IF(COUNT(INDEX('SKU明细'!$D$11:$D$1309,MATCH("1S01-YL-41",'SKU明细'!$A$11:$A$1309,0)))&lt;1,SUM(INDEX('SKU明细'!$D$11:$D$1309,MATCH("1S01-YL-41",'SKU明细'!$A$11:$A$1309,0)))&amp;" + 待核",SUM(INDEX('SKU明细'!$D$11:$D$1309,MATCH("1S01-YL-41",'SKU明细'!$A$11:$A$1309,0)))))</x:f>
        <x:v>待核</x:v>
      </x:c>
      <x:c r="Q141" s="38" t="str">
        <x:f>IF(COUNT(INDEX('SKU明细'!$D$11:$D$1309,MATCH("1S01-YL-41.5",'SKU明细'!$A$11:$A$1309,0)))=0,"待核",IF(COUNT(INDEX('SKU明细'!$D$11:$D$1309,MATCH("1S01-YL-41.5",'SKU明细'!$A$11:$A$1309,0)))&lt;1,SUM(INDEX('SKU明细'!$D$11:$D$1309,MATCH("1S01-YL-41.5",'SKU明细'!$A$11:$A$1309,0)))&amp;" + 待核",SUM(INDEX('SKU明细'!$D$11:$D$1309,MATCH("1S01-YL-41.5",'SKU明细'!$A$11:$A$1309,0)))))</x:f>
        <x:v>待核</x:v>
      </x:c>
      <x:c r="R141" s="38" t="str">
        <x:f>IF(COUNT(INDEX('SKU明细'!$D$11:$D$1309,MATCH("1S01-YL-42",'SKU明细'!$A$11:$A$1309,0)))=0,"待核",IF(COUNT(INDEX('SKU明细'!$D$11:$D$1309,MATCH("1S01-YL-42",'SKU明细'!$A$11:$A$1309,0)))&lt;1,SUM(INDEX('SKU明细'!$D$11:$D$1309,MATCH("1S01-YL-42",'SKU明细'!$A$11:$A$1309,0)))&amp;" + 待核",SUM(INDEX('SKU明细'!$D$11:$D$1309,MATCH("1S01-YL-42",'SKU明细'!$A$11:$A$1309,0)))))</x:f>
        <x:v>待核</x:v>
      </x:c>
      <x:c r="S141" s="38" t="str">
        <x:f>IF(COUNT(INDEX('SKU明细'!$D$11:$D$1309,MATCH("1S01-YL-37",'SKU明细'!$A$11:$A$1309,0)),INDEX('SKU明细'!$D$11:$D$1309,MATCH("1S01-YL-37.5",'SKU明细'!$A$11:$A$1309,0)),INDEX('SKU明细'!$D$11:$D$1309,MATCH("1S01-YL-38",'SKU明细'!$A$11:$A$1309,0)),INDEX('SKU明细'!$D$11:$D$1309,MATCH("1S01-YL-38.5",'SKU明细'!$A$11:$A$1309,0)),INDEX('SKU明细'!$D$11:$D$1309,MATCH("1S01-YL-39",'SKU明细'!$A$11:$A$1309,0)),INDEX('SKU明细'!$D$11:$D$1309,MATCH("1S01-YL-39.5",'SKU明细'!$A$11:$A$1309,0)),INDEX('SKU明细'!$D$11:$D$1309,MATCH("1S01-YL-40",'SKU明细'!$A$11:$A$1309,0)),INDEX('SKU明细'!$D$11:$D$1309,MATCH("1S01-YL-40.5",'SKU明细'!$A$11:$A$1309,0)),INDEX('SKU明细'!$D$11:$D$1309,MATCH("1S01-YL-41",'SKU明细'!$A$11:$A$1309,0)),INDEX('SKU明细'!$D$11:$D$1309,MATCH("1S01-YL-41.5",'SKU明细'!$A$11:$A$1309,0)),INDEX('SKU明细'!$D$11:$D$1309,MATCH("1S01-YL-42",'SKU明细'!$A$11:$A$1309,0)))=0,"待核",SUM(INDEX('SKU明细'!$D$11:$D$1309,MATCH("1S01-YL-37",'SKU明细'!$A$11:$A$1309,0)),INDEX('SKU明细'!$D$11:$D$1309,MATCH("1S01-YL-37.5",'SKU明细'!$A$11:$A$1309,0)),INDEX('SKU明细'!$D$11:$D$1309,MATCH("1S01-YL-38",'SKU明细'!$A$11:$A$1309,0)),INDEX('SKU明细'!$D$11:$D$1309,MATCH("1S01-YL-38.5",'SKU明细'!$A$11:$A$1309,0)),INDEX('SKU明细'!$D$11:$D$1309,MATCH("1S01-YL-39",'SKU明细'!$A$11:$A$1309,0)),INDEX('SKU明细'!$D$11:$D$1309,MATCH("1S01-YL-39.5",'SKU明细'!$A$11:$A$1309,0)),INDEX('SKU明细'!$D$11:$D$1309,MATCH("1S01-YL-40",'SKU明细'!$A$11:$A$1309,0)),INDEX('SKU明细'!$D$11:$D$1309,MATCH("1S01-YL-40.5",'SKU明细'!$A$11:$A$1309,0)),INDEX('SKU明细'!$D$11:$D$1309,MATCH("1S01-YL-41",'SKU明细'!$A$11:$A$1309,0)),INDEX('SKU明细'!$D$11:$D$1309,MATCH("1S01-YL-41.5",'SKU明细'!$A$11:$A$1309,0)),INDEX('SKU明细'!$D$11:$D$1309,MATCH("1S01-YL-42",'SKU明细'!$A$11:$A$1309,0))))</x:f>
        <x:v>待核</x:v>
      </x:c>
      <x:c r="T141" s="38" t="n">
        <x:f>IF(COUNTIFS($A$9:$A$191,A141,$U$9:$U$191,"&lt;&gt;待核")=0,"待核",SUMIF($A$9:$A$191,A141,$S$9:$S$191))</x:f>
        <x:v>141</x:v>
      </x:c>
      <x:c r="U141" s="37" t="str">
        <x:f>IF(COUNT(INDEX('SKU明细'!$D$11:$D$1309,MATCH("1S01-YL-37",'SKU明细'!$A$11:$A$1309,0)),INDEX('SKU明细'!$D$11:$D$1309,MATCH("1S01-YL-37.5",'SKU明细'!$A$11:$A$1309,0)),INDEX('SKU明细'!$D$11:$D$1309,MATCH("1S01-YL-38",'SKU明细'!$A$11:$A$1309,0)),INDEX('SKU明细'!$D$11:$D$1309,MATCH("1S01-YL-38.5",'SKU明细'!$A$11:$A$1309,0)),INDEX('SKU明细'!$D$11:$D$1309,MATCH("1S01-YL-39",'SKU明细'!$A$11:$A$1309,0)),INDEX('SKU明细'!$D$11:$D$1309,MATCH("1S01-YL-39.5",'SKU明细'!$A$11:$A$1309,0)),INDEX('SKU明细'!$D$11:$D$1309,MATCH("1S01-YL-40",'SKU明细'!$A$11:$A$1309,0)),INDEX('SKU明细'!$D$11:$D$1309,MATCH("1S01-YL-40.5",'SKU明细'!$A$11:$A$1309,0)),INDEX('SKU明细'!$D$11:$D$1309,MATCH("1S01-YL-41",'SKU明细'!$A$11:$A$1309,0)),INDEX('SKU明细'!$D$11:$D$1309,MATCH("1S01-YL-41.5",'SKU明细'!$A$11:$A$1309,0)),INDEX('SKU明细'!$D$11:$D$1309,MATCH("1S01-YL-42",'SKU明细'!$A$11:$A$1309,0)))=0,"待核",IF(COUNT(INDEX('SKU明细'!$D$11:$D$1309,MATCH("1S01-YL-37",'SKU明细'!$A$11:$A$1309,0)),INDEX('SKU明细'!$D$11:$D$1309,MATCH("1S01-YL-37.5",'SKU明细'!$A$11:$A$1309,0)),INDEX('SKU明细'!$D$11:$D$1309,MATCH("1S01-YL-38",'SKU明细'!$A$11:$A$1309,0)),INDEX('SKU明细'!$D$11:$D$1309,MATCH("1S01-YL-38.5",'SKU明细'!$A$11:$A$1309,0)),INDEX('SKU明细'!$D$11:$D$1309,MATCH("1S01-YL-39",'SKU明细'!$A$11:$A$1309,0)),INDEX('SKU明细'!$D$11:$D$1309,MATCH("1S01-YL-39.5",'SKU明细'!$A$11:$A$1309,0)),INDEX('SKU明细'!$D$11:$D$1309,MATCH("1S01-YL-40",'SKU明细'!$A$11:$A$1309,0)),INDEX('SKU明细'!$D$11:$D$1309,MATCH("1S01-YL-40.5",'SKU明细'!$A$11:$A$1309,0)),INDEX('SKU明细'!$D$11:$D$1309,MATCH("1S01-YL-41",'SKU明细'!$A$11:$A$1309,0)),INDEX('SKU明细'!$D$11:$D$1309,MATCH("1S01-YL-41.5",'SKU明细'!$A$11:$A$1309,0)),INDEX('SKU明细'!$D$11:$D$1309,MATCH("1S01-YL-42",'SKU明细'!$A$11:$A$1309,0)))&lt;11,"另有待核","已核"))</x:f>
        <x:v>待核</x:v>
      </x:c>
      <x:c r="V141" s="37" t="str">
        <x:v>停售</x:v>
      </x:c>
      <x:c r="W141" s="11" t="n">
        <x:f>IF(COUNT(INDEX('SKU明细'!$BV$11:$BV$1309,MATCH("1S01-YL-37",'SKU明细'!$A$11:$A$1309,0)),INDEX('SKU明细'!$BV$11:$BV$1309,MATCH("1S01-YL-37.5",'SKU明细'!$A$11:$A$1309,0)),INDEX('SKU明细'!$BV$11:$BV$1309,MATCH("1S01-YL-38",'SKU明细'!$A$11:$A$1309,0)),INDEX('SKU明细'!$BV$11:$BV$1309,MATCH("1S01-YL-38.5",'SKU明细'!$A$11:$A$1309,0)),INDEX('SKU明细'!$BV$11:$BV$1309,MATCH("1S01-YL-39",'SKU明细'!$A$11:$A$1309,0)),INDEX('SKU明细'!$BV$11:$BV$1309,MATCH("1S01-YL-39.5",'SKU明细'!$A$11:$A$1309,0)),INDEX('SKU明细'!$BV$11:$BV$1309,MATCH("1S01-YL-40",'SKU明细'!$A$11:$A$1309,0)),INDEX('SKU明细'!$BV$11:$BV$1309,MATCH("1S01-YL-40.5",'SKU明细'!$A$11:$A$1309,0)),INDEX('SKU明细'!$BV$11:$BV$1309,MATCH("1S01-YL-41",'SKU明细'!$A$11:$A$1309,0)),INDEX('SKU明细'!$BV$11:$BV$1309,MATCH("1S01-YL-41.5",'SKU明细'!$A$11:$A$1309,0)),INDEX('SKU明细'!$BV$11:$BV$1309,MATCH("1S01-YL-42",'SKU明细'!$A$11:$A$1309,0)))=11,SUM(INDEX('SKU明细'!$BV$11:$BV$1309,MATCH("1S01-YL-37",'SKU明细'!$A$11:$A$1309,0)),INDEX('SKU明细'!$BV$11:$BV$1309,MATCH("1S01-YL-37.5",'SKU明细'!$A$11:$A$1309,0)),INDEX('SKU明细'!$BV$11:$BV$1309,MATCH("1S01-YL-38",'SKU明细'!$A$11:$A$1309,0)),INDEX('SKU明细'!$BV$11:$BV$1309,MATCH("1S01-YL-38.5",'SKU明细'!$A$11:$A$1309,0)),INDEX('SKU明细'!$BV$11:$BV$1309,MATCH("1S01-YL-39",'SKU明细'!$A$11:$A$1309,0)),INDEX('SKU明细'!$BV$11:$BV$1309,MATCH("1S01-YL-39.5",'SKU明细'!$A$11:$A$1309,0)),INDEX('SKU明细'!$BV$11:$BV$1309,MATCH("1S01-YL-40",'SKU明细'!$A$11:$A$1309,0)),INDEX('SKU明细'!$BV$11:$BV$1309,MATCH("1S01-YL-40.5",'SKU明细'!$A$11:$A$1309,0)),INDEX('SKU明细'!$BV$11:$BV$1309,MATCH("1S01-YL-41",'SKU明细'!$A$11:$A$1309,0)),INDEX('SKU明细'!$BV$11:$BV$1309,MATCH("1S01-YL-41.5",'SKU明细'!$A$11:$A$1309,0)),INDEX('SKU明细'!$BV$11:$BV$1309,MATCH("1S01-YL-42",'SKU明细'!$A$11:$A$1309,0))),"待核")</x:f>
        <x:v>0</x:v>
      </x:c>
      <x:c r="X141" s="11" t="n">
        <x:f>INDEX('SKU明细'!$BW$11:$BW$1309,MATCH("1S01-YL-37",'SKU明细'!$A$11:$A$1309,0))</x:f>
        <x:v>0.8729500662042875</x:v>
      </x:c>
      <x:c r="Y141" s="13" t="n">
        <x:f>IF(COUNT(INDEX('SKU明细'!$BY$11:$BY$1309,MATCH("1S01-YL-37",'SKU明细'!$A$11:$A$1309,0)),INDEX('SKU明细'!$BY$11:$BY$1309,MATCH("1S01-YL-37.5",'SKU明细'!$A$11:$A$1309,0)),INDEX('SKU明细'!$BY$11:$BY$1309,MATCH("1S01-YL-38",'SKU明细'!$A$11:$A$1309,0)),INDEX('SKU明细'!$BY$11:$BY$1309,MATCH("1S01-YL-38.5",'SKU明细'!$A$11:$A$1309,0)),INDEX('SKU明细'!$BY$11:$BY$1309,MATCH("1S01-YL-39",'SKU明细'!$A$11:$A$1309,0)),INDEX('SKU明细'!$BY$11:$BY$1309,MATCH("1S01-YL-39.5",'SKU明细'!$A$11:$A$1309,0)),INDEX('SKU明细'!$BY$11:$BY$1309,MATCH("1S01-YL-40",'SKU明细'!$A$11:$A$1309,0)),INDEX('SKU明细'!$BY$11:$BY$1309,MATCH("1S01-YL-40.5",'SKU明细'!$A$11:$A$1309,0)),INDEX('SKU明细'!$BY$11:$BY$1309,MATCH("1S01-YL-41",'SKU明细'!$A$11:$A$1309,0)),INDEX('SKU明细'!$BY$11:$BY$1309,MATCH("1S01-YL-41.5",'SKU明细'!$A$11:$A$1309,0)),INDEX('SKU明细'!$BY$11:$BY$1309,MATCH("1S01-YL-42",'SKU明细'!$A$11:$A$1309,0)))=11,SUM(INDEX('SKU明细'!$BY$11:$BY$1309,MATCH("1S01-YL-37",'SKU明细'!$A$11:$A$1309,0)),INDEX('SKU明细'!$BY$11:$BY$1309,MATCH("1S01-YL-37.5",'SKU明细'!$A$11:$A$1309,0)),INDEX('SKU明细'!$BY$11:$BY$1309,MATCH("1S01-YL-38",'SKU明细'!$A$11:$A$1309,0)),INDEX('SKU明细'!$BY$11:$BY$1309,MATCH("1S01-YL-38.5",'SKU明细'!$A$11:$A$1309,0)),INDEX('SKU明细'!$BY$11:$BY$1309,MATCH("1S01-YL-39",'SKU明细'!$A$11:$A$1309,0)),INDEX('SKU明细'!$BY$11:$BY$1309,MATCH("1S01-YL-39.5",'SKU明细'!$A$11:$A$1309,0)),INDEX('SKU明细'!$BY$11:$BY$1309,MATCH("1S01-YL-40",'SKU明细'!$A$11:$A$1309,0)),INDEX('SKU明细'!$BY$11:$BY$1309,MATCH("1S01-YL-40.5",'SKU明细'!$A$11:$A$1309,0)),INDEX('SKU明细'!$BY$11:$BY$1309,MATCH("1S01-YL-41",'SKU明细'!$A$11:$A$1309,0)),INDEX('SKU明细'!$BY$11:$BY$1309,MATCH("1S01-YL-41.5",'SKU明细'!$A$11:$A$1309,0)),INDEX('SKU明细'!$BY$11:$BY$1309,MATCH("1S01-YL-42",'SKU明细'!$A$11:$A$1309,0))),"待核")</x:f>
        <x:v>0</x:v>
      </x:c>
      <x:c r="Z141" s="11" t="n">
        <x:f>INDEX('SKU明细'!$BZ$11:$BZ$1309,MATCH("1S01-YL-37",'SKU明细'!$A$11:$A$1309,0))</x:f>
        <x:v>0.8057375774163482</x:v>
      </x:c>
      <x:c r="AA141" s="13" t="n">
        <x:f>IF(COUNT(INDEX('SKU明细'!$CB$11:$CB$1309,MATCH("1S01-YL-37",'SKU明细'!$A$11:$A$1309,0)),INDEX('SKU明细'!$CB$11:$CB$1309,MATCH("1S01-YL-37.5",'SKU明细'!$A$11:$A$1309,0)),INDEX('SKU明细'!$CB$11:$CB$1309,MATCH("1S01-YL-38",'SKU明细'!$A$11:$A$1309,0)),INDEX('SKU明细'!$CB$11:$CB$1309,MATCH("1S01-YL-38.5",'SKU明细'!$A$11:$A$1309,0)),INDEX('SKU明细'!$CB$11:$CB$1309,MATCH("1S01-YL-39",'SKU明细'!$A$11:$A$1309,0)),INDEX('SKU明细'!$CB$11:$CB$1309,MATCH("1S01-YL-39.5",'SKU明细'!$A$11:$A$1309,0)),INDEX('SKU明细'!$CB$11:$CB$1309,MATCH("1S01-YL-40",'SKU明细'!$A$11:$A$1309,0)),INDEX('SKU明细'!$CB$11:$CB$1309,MATCH("1S01-YL-40.5",'SKU明细'!$A$11:$A$1309,0)),INDEX('SKU明细'!$CB$11:$CB$1309,MATCH("1S01-YL-41",'SKU明细'!$A$11:$A$1309,0)),INDEX('SKU明细'!$CB$11:$CB$1309,MATCH("1S01-YL-41.5",'SKU明细'!$A$11:$A$1309,0)),INDEX('SKU明细'!$CB$11:$CB$1309,MATCH("1S01-YL-42",'SKU明细'!$A$11:$A$1309,0)))=11,SUM(INDEX('SKU明细'!$CB$11:$CB$1309,MATCH("1S01-YL-37",'SKU明细'!$A$11:$A$1309,0)),INDEX('SKU明细'!$CB$11:$CB$1309,MATCH("1S01-YL-37.5",'SKU明细'!$A$11:$A$1309,0)),INDEX('SKU明细'!$CB$11:$CB$1309,MATCH("1S01-YL-38",'SKU明细'!$A$11:$A$1309,0)),INDEX('SKU明细'!$CB$11:$CB$1309,MATCH("1S01-YL-38.5",'SKU明细'!$A$11:$A$1309,0)),INDEX('SKU明细'!$CB$11:$CB$1309,MATCH("1S01-YL-39",'SKU明细'!$A$11:$A$1309,0)),INDEX('SKU明细'!$CB$11:$CB$1309,MATCH("1S01-YL-39.5",'SKU明细'!$A$11:$A$1309,0)),INDEX('SKU明细'!$CB$11:$CB$1309,MATCH("1S01-YL-40",'SKU明细'!$A$11:$A$1309,0)),INDEX('SKU明细'!$CB$11:$CB$1309,MATCH("1S01-YL-40.5",'SKU明细'!$A$11:$A$1309,0)),INDEX('SKU明细'!$CB$11:$CB$1309,MATCH("1S01-YL-41",'SKU明细'!$A$11:$A$1309,0)),INDEX('SKU明细'!$CB$11:$CB$1309,MATCH("1S01-YL-41.5",'SKU明细'!$A$11:$A$1309,0)),INDEX('SKU明细'!$CB$11:$CB$1309,MATCH("1S01-YL-42",'SKU明细'!$A$11:$A$1309,0))),"待核")</x:f>
        <x:v>0</x:v>
      </x:c>
      <x:c r="AB141" s="11" t="n">
        <x:f>INDEX('SKU明细'!$CC$11:$CC$1309,MATCH("1S01-YL-37",'SKU明细'!$A$11:$A$1309,0))</x:f>
        <x:v>0.532550303142279</x:v>
      </x:c>
      <x:c r="AC141" s="13" t="n">
        <x:f>IF(COUNT(INDEX('SKU明细'!$CE$11:$CE$1309,MATCH("1S01-YL-37",'SKU明细'!$A$11:$A$1309,0)),INDEX('SKU明细'!$CE$11:$CE$1309,MATCH("1S01-YL-37.5",'SKU明细'!$A$11:$A$1309,0)),INDEX('SKU明细'!$CE$11:$CE$1309,MATCH("1S01-YL-38",'SKU明细'!$A$11:$A$1309,0)),INDEX('SKU明细'!$CE$11:$CE$1309,MATCH("1S01-YL-38.5",'SKU明细'!$A$11:$A$1309,0)),INDEX('SKU明细'!$CE$11:$CE$1309,MATCH("1S01-YL-39",'SKU明细'!$A$11:$A$1309,0)),INDEX('SKU明细'!$CE$11:$CE$1309,MATCH("1S01-YL-39.5",'SKU明细'!$A$11:$A$1309,0)),INDEX('SKU明细'!$CE$11:$CE$1309,MATCH("1S01-YL-40",'SKU明细'!$A$11:$A$1309,0)),INDEX('SKU明细'!$CE$11:$CE$1309,MATCH("1S01-YL-40.5",'SKU明细'!$A$11:$A$1309,0)),INDEX('SKU明细'!$CE$11:$CE$1309,MATCH("1S01-YL-41",'SKU明细'!$A$11:$A$1309,0)),INDEX('SKU明细'!$CE$11:$CE$1309,MATCH("1S01-YL-41.5",'SKU明细'!$A$11:$A$1309,0)),INDEX('SKU明细'!$CE$11:$CE$1309,MATCH("1S01-YL-42",'SKU明细'!$A$11:$A$1309,0)))=11,SUM(INDEX('SKU明细'!$CE$11:$CE$1309,MATCH("1S01-YL-37",'SKU明细'!$A$11:$A$1309,0)),INDEX('SKU明细'!$CE$11:$CE$1309,MATCH("1S01-YL-37.5",'SKU明细'!$A$11:$A$1309,0)),INDEX('SKU明细'!$CE$11:$CE$1309,MATCH("1S01-YL-38",'SKU明细'!$A$11:$A$1309,0)),INDEX('SKU明细'!$CE$11:$CE$1309,MATCH("1S01-YL-38.5",'SKU明细'!$A$11:$A$1309,0)),INDEX('SKU明细'!$CE$11:$CE$1309,MATCH("1S01-YL-39",'SKU明细'!$A$11:$A$1309,0)),INDEX('SKU明细'!$CE$11:$CE$1309,MATCH("1S01-YL-39.5",'SKU明细'!$A$11:$A$1309,0)),INDEX('SKU明细'!$CE$11:$CE$1309,MATCH("1S01-YL-40",'SKU明细'!$A$11:$A$1309,0)),INDEX('SKU明细'!$CE$11:$CE$1309,MATCH("1S01-YL-40.5",'SKU明细'!$A$11:$A$1309,0)),INDEX('SKU明细'!$CE$11:$CE$1309,MATCH("1S01-YL-41",'SKU明细'!$A$11:$A$1309,0)),INDEX('SKU明细'!$CE$11:$CE$1309,MATCH("1S01-YL-41.5",'SKU明细'!$A$11:$A$1309,0)),INDEX('SKU明细'!$CE$11:$CE$1309,MATCH("1S01-YL-42",'SKU明细'!$A$11:$A$1309,0))),"待核")</x:f>
        <x:v>0</x:v>
      </x:c>
      <x:c r="AD141" s="11" t="n">
        <x:f>INDEX('SKU明细'!$CF$11:$CF$1309,MATCH("1S01-YL-37",'SKU明细'!$A$11:$A$1309,0))</x:f>
        <x:v>0.7517299265337036</x:v>
      </x:c>
      <x:c r="AE141" s="13" t="n">
        <x:f>IF(COUNT(INDEX('SKU明细'!$CH$11:$CH$1309,MATCH("1S01-YL-37",'SKU明细'!$A$11:$A$1309,0)),INDEX('SKU明细'!$CH$11:$CH$1309,MATCH("1S01-YL-37.5",'SKU明细'!$A$11:$A$1309,0)),INDEX('SKU明细'!$CH$11:$CH$1309,MATCH("1S01-YL-38",'SKU明细'!$A$11:$A$1309,0)),INDEX('SKU明细'!$CH$11:$CH$1309,MATCH("1S01-YL-38.5",'SKU明细'!$A$11:$A$1309,0)),INDEX('SKU明细'!$CH$11:$CH$1309,MATCH("1S01-YL-39",'SKU明细'!$A$11:$A$1309,0)),INDEX('SKU明细'!$CH$11:$CH$1309,MATCH("1S01-YL-39.5",'SKU明细'!$A$11:$A$1309,0)),INDEX('SKU明细'!$CH$11:$CH$1309,MATCH("1S01-YL-40",'SKU明细'!$A$11:$A$1309,0)),INDEX('SKU明细'!$CH$11:$CH$1309,MATCH("1S01-YL-40.5",'SKU明细'!$A$11:$A$1309,0)),INDEX('SKU明细'!$CH$11:$CH$1309,MATCH("1S01-YL-41",'SKU明细'!$A$11:$A$1309,0)),INDEX('SKU明细'!$CH$11:$CH$1309,MATCH("1S01-YL-41.5",'SKU明细'!$A$11:$A$1309,0)),INDEX('SKU明细'!$CH$11:$CH$1309,MATCH("1S01-YL-42",'SKU明细'!$A$11:$A$1309,0)))=11,SUM(INDEX('SKU明细'!$CH$11:$CH$1309,MATCH("1S01-YL-37",'SKU明细'!$A$11:$A$1309,0)),INDEX('SKU明细'!$CH$11:$CH$1309,MATCH("1S01-YL-37.5",'SKU明细'!$A$11:$A$1309,0)),INDEX('SKU明细'!$CH$11:$CH$1309,MATCH("1S01-YL-38",'SKU明细'!$A$11:$A$1309,0)),INDEX('SKU明细'!$CH$11:$CH$1309,MATCH("1S01-YL-38.5",'SKU明细'!$A$11:$A$1309,0)),INDEX('SKU明细'!$CH$11:$CH$1309,MATCH("1S01-YL-39",'SKU明细'!$A$11:$A$1309,0)),INDEX('SKU明细'!$CH$11:$CH$1309,MATCH("1S01-YL-39.5",'SKU明细'!$A$11:$A$1309,0)),INDEX('SKU明细'!$CH$11:$CH$1309,MATCH("1S01-YL-40",'SKU明细'!$A$11:$A$1309,0)),INDEX('SKU明细'!$CH$11:$CH$1309,MATCH("1S01-YL-40.5",'SKU明细'!$A$11:$A$1309,0)),INDEX('SKU明细'!$CH$11:$CH$1309,MATCH("1S01-YL-41",'SKU明细'!$A$11:$A$1309,0)),INDEX('SKU明细'!$CH$11:$CH$1309,MATCH("1S01-YL-41.5",'SKU明细'!$A$11:$A$1309,0)),INDEX('SKU明细'!$CH$11:$CH$1309,MATCH("1S01-YL-42",'SKU明细'!$A$11:$A$1309,0))),"待核")</x:f>
        <x:v>0</x:v>
      </x:c>
      <x:c r="AF141" s="13" t="n">
        <x:f>IF(COUNT(INDEX('SKU明细'!$CI$11:$CI$1309,MATCH("1S01-YL-37",'SKU明细'!$A$11:$A$1309,0)),INDEX('SKU明细'!$CI$11:$CI$1309,MATCH("1S01-YL-37.5",'SKU明细'!$A$11:$A$1309,0)),INDEX('SKU明细'!$CI$11:$CI$1309,MATCH("1S01-YL-38",'SKU明细'!$A$11:$A$1309,0)),INDEX('SKU明细'!$CI$11:$CI$1309,MATCH("1S01-YL-38.5",'SKU明细'!$A$11:$A$1309,0)),INDEX('SKU明细'!$CI$11:$CI$1309,MATCH("1S01-YL-39",'SKU明细'!$A$11:$A$1309,0)),INDEX('SKU明细'!$CI$11:$CI$1309,MATCH("1S01-YL-39.5",'SKU明细'!$A$11:$A$1309,0)),INDEX('SKU明细'!$CI$11:$CI$1309,MATCH("1S01-YL-40",'SKU明细'!$A$11:$A$1309,0)),INDEX('SKU明细'!$CI$11:$CI$1309,MATCH("1S01-YL-40.5",'SKU明细'!$A$11:$A$1309,0)),INDEX('SKU明细'!$CI$11:$CI$1309,MATCH("1S01-YL-41",'SKU明细'!$A$11:$A$1309,0)),INDEX('SKU明细'!$CI$11:$CI$1309,MATCH("1S01-YL-41.5",'SKU明细'!$A$11:$A$1309,0)),INDEX('SKU明细'!$CI$11:$CI$1309,MATCH("1S01-YL-42",'SKU明细'!$A$11:$A$1309,0)))=11,SUM(INDEX('SKU明细'!$CI$11:$CI$1309,MATCH("1S01-YL-37",'SKU明细'!$A$11:$A$1309,0)),INDEX('SKU明细'!$CI$11:$CI$1309,MATCH("1S01-YL-37.5",'SKU明细'!$A$11:$A$1309,0)),INDEX('SKU明细'!$CI$11:$CI$1309,MATCH("1S01-YL-38",'SKU明细'!$A$11:$A$1309,0)),INDEX('SKU明细'!$CI$11:$CI$1309,MATCH("1S01-YL-38.5",'SKU明细'!$A$11:$A$1309,0)),INDEX('SKU明细'!$CI$11:$CI$1309,MATCH("1S01-YL-39",'SKU明细'!$A$11:$A$1309,0)),INDEX('SKU明细'!$CI$11:$CI$1309,MATCH("1S01-YL-39.5",'SKU明细'!$A$11:$A$1309,0)),INDEX('SKU明细'!$CI$11:$CI$1309,MATCH("1S01-YL-40",'SKU明细'!$A$11:$A$1309,0)),INDEX('SKU明细'!$CI$11:$CI$1309,MATCH("1S01-YL-40.5",'SKU明细'!$A$11:$A$1309,0)),INDEX('SKU明细'!$CI$11:$CI$1309,MATCH("1S01-YL-41",'SKU明细'!$A$11:$A$1309,0)),INDEX('SKU明细'!$CI$11:$CI$1309,MATCH("1S01-YL-41.5",'SKU明细'!$A$11:$A$1309,0)),INDEX('SKU明细'!$CI$11:$CI$1309,MATCH("1S01-YL-42",'SKU明细'!$A$11:$A$1309,0))),"待核")</x:f>
        <x:v>0</x:v>
      </x:c>
    </x:row>
    <x:row r="142" ht="40" customHeight="1">
      <x:c r="A142" s="35" t="str">
        <x:v>8392</x:v>
      </x:c>
      <x:c r="B142" s="35" t="str">
        <x:v>徐新怡</x:v>
      </x:c>
      <x:c r="C142" s="35" t="str">
        <x:v>黑色</x:v>
      </x:c>
      <x:c r="D142" s="35" t="str">
        <x:v>BK</x:v>
      </x:c>
      <x:c r="E142" s="35" t="str">
        <x:v>8392-BK</x:v>
      </x:c>
      <x:c r="F142" s="35"/>
      <x:c r="G142" s="36" t="str">
        <x:f>"—"</x:f>
        <x:v>—</x:v>
      </x:c>
      <x:c r="H142" s="36" t="n">
        <x:f>IF(COUNT(INDEX('SKU明细'!$D$11:$D$1309,MATCH("8392-BK-37",'SKU明细'!$A$11:$A$1309,0)))=0,"待核",IF(COUNT(INDEX('SKU明细'!$D$11:$D$1309,MATCH("8392-BK-37",'SKU明细'!$A$11:$A$1309,0)))&lt;1,SUM(INDEX('SKU明细'!$D$11:$D$1309,MATCH("8392-BK-37",'SKU明细'!$A$11:$A$1309,0)))&amp;" + 待核",SUM(INDEX('SKU明细'!$D$11:$D$1309,MATCH("8392-BK-37",'SKU明细'!$A$11:$A$1309,0)))))</x:f>
        <x:v>0</x:v>
      </x:c>
      <x:c r="I142" s="36" t="n">
        <x:f>IF(COUNT(INDEX('SKU明细'!$D$11:$D$1309,MATCH("8392-BK-37.5",'SKU明细'!$A$11:$A$1309,0)))=0,"待核",IF(COUNT(INDEX('SKU明细'!$D$11:$D$1309,MATCH("8392-BK-37.5",'SKU明细'!$A$11:$A$1309,0)))&lt;1,SUM(INDEX('SKU明细'!$D$11:$D$1309,MATCH("8392-BK-37.5",'SKU明细'!$A$11:$A$1309,0)))&amp;" + 待核",SUM(INDEX('SKU明细'!$D$11:$D$1309,MATCH("8392-BK-37.5",'SKU明细'!$A$11:$A$1309,0)))))</x:f>
        <x:v>18</x:v>
      </x:c>
      <x:c r="J142" s="36" t="n">
        <x:f>IF(COUNT(INDEX('SKU明细'!$D$11:$D$1309,MATCH("8392-BK-38",'SKU明细'!$A$11:$A$1309,0)))=0,"待核",IF(COUNT(INDEX('SKU明细'!$D$11:$D$1309,MATCH("8392-BK-38",'SKU明细'!$A$11:$A$1309,0)))&lt;1,SUM(INDEX('SKU明细'!$D$11:$D$1309,MATCH("8392-BK-38",'SKU明细'!$A$11:$A$1309,0)))&amp;" + 待核",SUM(INDEX('SKU明细'!$D$11:$D$1309,MATCH("8392-BK-38",'SKU明细'!$A$11:$A$1309,0)))))</x:f>
        <x:v>7</x:v>
      </x:c>
      <x:c r="K142" s="36" t="str">
        <x:f>IF(COUNT(INDEX('SKU明细'!$D$11:$D$1309,MATCH("8392-BK-38.5",'SKU明细'!$A$11:$A$1309,0)))=0,"待核",IF(COUNT(INDEX('SKU明细'!$D$11:$D$1309,MATCH("8392-BK-38.5",'SKU明细'!$A$11:$A$1309,0)))&lt;1,SUM(INDEX('SKU明细'!$D$11:$D$1309,MATCH("8392-BK-38.5",'SKU明细'!$A$11:$A$1309,0)))&amp;" + 待核",SUM(INDEX('SKU明细'!$D$11:$D$1309,MATCH("8392-BK-38.5",'SKU明细'!$A$11:$A$1309,0)))))</x:f>
        <x:v>待核</x:v>
      </x:c>
      <x:c r="L142" s="36" t="n">
        <x:f>IF(COUNT(INDEX('SKU明细'!$D$11:$D$1309,MATCH("8392-BK-39",'SKU明细'!$A$11:$A$1309,0)))=0,"待核",IF(COUNT(INDEX('SKU明细'!$D$11:$D$1309,MATCH("8392-BK-39",'SKU明细'!$A$11:$A$1309,0)))&lt;1,SUM(INDEX('SKU明细'!$D$11:$D$1309,MATCH("8392-BK-39",'SKU明细'!$A$11:$A$1309,0)))&amp;" + 待核",SUM(INDEX('SKU明细'!$D$11:$D$1309,MATCH("8392-BK-39",'SKU明细'!$A$11:$A$1309,0)))))</x:f>
        <x:v>0</x:v>
      </x:c>
      <x:c r="M142" s="36" t="n">
        <x:f>IF(COUNT(INDEX('SKU明细'!$D$11:$D$1309,MATCH("8392-BK-39.5",'SKU明细'!$A$11:$A$1309,0)))=0,"待核",IF(COUNT(INDEX('SKU明细'!$D$11:$D$1309,MATCH("8392-BK-39.5",'SKU明细'!$A$11:$A$1309,0)))&lt;1,SUM(INDEX('SKU明细'!$D$11:$D$1309,MATCH("8392-BK-39.5",'SKU明细'!$A$11:$A$1309,0)))&amp;" + 待核",SUM(INDEX('SKU明细'!$D$11:$D$1309,MATCH("8392-BK-39.5",'SKU明细'!$A$11:$A$1309,0)))))</x:f>
        <x:v>51</x:v>
      </x:c>
      <x:c r="N142" s="36" t="n">
        <x:f>IF(COUNT(INDEX('SKU明细'!$D$11:$D$1309,MATCH("8392-BK-40",'SKU明细'!$A$11:$A$1309,0)))=0,"待核",IF(COUNT(INDEX('SKU明细'!$D$11:$D$1309,MATCH("8392-BK-40",'SKU明细'!$A$11:$A$1309,0)))&lt;1,SUM(INDEX('SKU明细'!$D$11:$D$1309,MATCH("8392-BK-40",'SKU明细'!$A$11:$A$1309,0)))&amp;" + 待核",SUM(INDEX('SKU明细'!$D$11:$D$1309,MATCH("8392-BK-40",'SKU明细'!$A$11:$A$1309,0)))))</x:f>
        <x:v>0</x:v>
      </x:c>
      <x:c r="O142" s="36" t="str">
        <x:f>IF(COUNT(INDEX('SKU明细'!$D$11:$D$1309,MATCH("8392-BK-40.5",'SKU明细'!$A$11:$A$1309,0)))=0,"待核",IF(COUNT(INDEX('SKU明细'!$D$11:$D$1309,MATCH("8392-BK-40.5",'SKU明细'!$A$11:$A$1309,0)))&lt;1,SUM(INDEX('SKU明细'!$D$11:$D$1309,MATCH("8392-BK-40.5",'SKU明细'!$A$11:$A$1309,0)))&amp;" + 待核",SUM(INDEX('SKU明细'!$D$11:$D$1309,MATCH("8392-BK-40.5",'SKU明细'!$A$11:$A$1309,0)))))</x:f>
        <x:v>待核</x:v>
      </x:c>
      <x:c r="P142" s="36" t="n">
        <x:f>IF(COUNT(INDEX('SKU明细'!$D$11:$D$1309,MATCH("8392-BK-41",'SKU明细'!$A$11:$A$1309,0)))=0,"待核",IF(COUNT(INDEX('SKU明细'!$D$11:$D$1309,MATCH("8392-BK-41",'SKU明细'!$A$11:$A$1309,0)))&lt;1,SUM(INDEX('SKU明细'!$D$11:$D$1309,MATCH("8392-BK-41",'SKU明细'!$A$11:$A$1309,0)))&amp;" + 待核",SUM(INDEX('SKU明细'!$D$11:$D$1309,MATCH("8392-BK-41",'SKU明细'!$A$11:$A$1309,0)))))</x:f>
        <x:v>0</x:v>
      </x:c>
      <x:c r="Q142" s="36" t="str">
        <x:f>IF(COUNT(INDEX('SKU明细'!$D$11:$D$1309,MATCH("8392-BK-41.5",'SKU明细'!$A$11:$A$1309,0)))=0,"待核",IF(COUNT(INDEX('SKU明细'!$D$11:$D$1309,MATCH("8392-BK-41.5",'SKU明细'!$A$11:$A$1309,0)))&lt;1,SUM(INDEX('SKU明细'!$D$11:$D$1309,MATCH("8392-BK-41.5",'SKU明细'!$A$11:$A$1309,0)))&amp;" + 待核",SUM(INDEX('SKU明细'!$D$11:$D$1309,MATCH("8392-BK-41.5",'SKU明细'!$A$11:$A$1309,0)))))</x:f>
        <x:v>待核</x:v>
      </x:c>
      <x:c r="R142" s="36" t="n">
        <x:f>IF(COUNT(INDEX('SKU明细'!$D$11:$D$1309,MATCH("8392-BK-42",'SKU明细'!$A$11:$A$1309,0)))=0,"待核",IF(COUNT(INDEX('SKU明细'!$D$11:$D$1309,MATCH("8392-BK-42",'SKU明细'!$A$11:$A$1309,0)))&lt;1,SUM(INDEX('SKU明细'!$D$11:$D$1309,MATCH("8392-BK-42",'SKU明细'!$A$11:$A$1309,0)))&amp;" + 待核",SUM(INDEX('SKU明细'!$D$11:$D$1309,MATCH("8392-BK-42",'SKU明细'!$A$11:$A$1309,0)))))</x:f>
        <x:v>0</x:v>
      </x:c>
      <x:c r="S142" s="36" t="n">
        <x:f>IF(COUNT(INDEX('SKU明细'!$D$11:$D$1309,MATCH("8392-BK-37",'SKU明细'!$A$11:$A$1309,0)),INDEX('SKU明细'!$D$11:$D$1309,MATCH("8392-BK-37.5",'SKU明细'!$A$11:$A$1309,0)),INDEX('SKU明细'!$D$11:$D$1309,MATCH("8392-BK-38",'SKU明细'!$A$11:$A$1309,0)),INDEX('SKU明细'!$D$11:$D$1309,MATCH("8392-BK-38.5",'SKU明细'!$A$11:$A$1309,0)),INDEX('SKU明细'!$D$11:$D$1309,MATCH("8392-BK-39",'SKU明细'!$A$11:$A$1309,0)),INDEX('SKU明细'!$D$11:$D$1309,MATCH("8392-BK-39.5",'SKU明细'!$A$11:$A$1309,0)),INDEX('SKU明细'!$D$11:$D$1309,MATCH("8392-BK-40",'SKU明细'!$A$11:$A$1309,0)),INDEX('SKU明细'!$D$11:$D$1309,MATCH("8392-BK-40.5",'SKU明细'!$A$11:$A$1309,0)),INDEX('SKU明细'!$D$11:$D$1309,MATCH("8392-BK-41",'SKU明细'!$A$11:$A$1309,0)),INDEX('SKU明细'!$D$11:$D$1309,MATCH("8392-BK-41.5",'SKU明细'!$A$11:$A$1309,0)),INDEX('SKU明细'!$D$11:$D$1309,MATCH("8392-BK-42",'SKU明细'!$A$11:$A$1309,0)))=0,"待核",SUM(INDEX('SKU明细'!$D$11:$D$1309,MATCH("8392-BK-37",'SKU明细'!$A$11:$A$1309,0)),INDEX('SKU明细'!$D$11:$D$1309,MATCH("8392-BK-37.5",'SKU明细'!$A$11:$A$1309,0)),INDEX('SKU明细'!$D$11:$D$1309,MATCH("8392-BK-38",'SKU明细'!$A$11:$A$1309,0)),INDEX('SKU明细'!$D$11:$D$1309,MATCH("8392-BK-38.5",'SKU明细'!$A$11:$A$1309,0)),INDEX('SKU明细'!$D$11:$D$1309,MATCH("8392-BK-39",'SKU明细'!$A$11:$A$1309,0)),INDEX('SKU明细'!$D$11:$D$1309,MATCH("8392-BK-39.5",'SKU明细'!$A$11:$A$1309,0)),INDEX('SKU明细'!$D$11:$D$1309,MATCH("8392-BK-40",'SKU明细'!$A$11:$A$1309,0)),INDEX('SKU明细'!$D$11:$D$1309,MATCH("8392-BK-40.5",'SKU明细'!$A$11:$A$1309,0)),INDEX('SKU明细'!$D$11:$D$1309,MATCH("8392-BK-41",'SKU明细'!$A$11:$A$1309,0)),INDEX('SKU明细'!$D$11:$D$1309,MATCH("8392-BK-41.5",'SKU明细'!$A$11:$A$1309,0)),INDEX('SKU明细'!$D$11:$D$1309,MATCH("8392-BK-42",'SKU明细'!$A$11:$A$1309,0))))</x:f>
        <x:v>76</x:v>
      </x:c>
      <x:c r="T142" s="36" t="n">
        <x:f>IF(COUNTIFS($A$9:$A$191,A142,$U$9:$U$191,"&lt;&gt;待核")=0,"待核",SUMIF($A$9:$A$191,A142,$S$9:$S$191))</x:f>
        <x:v>137</x:v>
      </x:c>
      <x:c r="U142" s="35" t="str">
        <x:f>IF(COUNT(INDEX('SKU明细'!$D$11:$D$1309,MATCH("8392-BK-37",'SKU明细'!$A$11:$A$1309,0)),INDEX('SKU明细'!$D$11:$D$1309,MATCH("8392-BK-37.5",'SKU明细'!$A$11:$A$1309,0)),INDEX('SKU明细'!$D$11:$D$1309,MATCH("8392-BK-38",'SKU明细'!$A$11:$A$1309,0)),INDEX('SKU明细'!$D$11:$D$1309,MATCH("8392-BK-38.5",'SKU明细'!$A$11:$A$1309,0)),INDEX('SKU明细'!$D$11:$D$1309,MATCH("8392-BK-39",'SKU明细'!$A$11:$A$1309,0)),INDEX('SKU明细'!$D$11:$D$1309,MATCH("8392-BK-39.5",'SKU明细'!$A$11:$A$1309,0)),INDEX('SKU明细'!$D$11:$D$1309,MATCH("8392-BK-40",'SKU明细'!$A$11:$A$1309,0)),INDEX('SKU明细'!$D$11:$D$1309,MATCH("8392-BK-40.5",'SKU明细'!$A$11:$A$1309,0)),INDEX('SKU明细'!$D$11:$D$1309,MATCH("8392-BK-41",'SKU明细'!$A$11:$A$1309,0)),INDEX('SKU明细'!$D$11:$D$1309,MATCH("8392-BK-41.5",'SKU明细'!$A$11:$A$1309,0)),INDEX('SKU明细'!$D$11:$D$1309,MATCH("8392-BK-42",'SKU明细'!$A$11:$A$1309,0)))=0,"待核",IF(COUNT(INDEX('SKU明细'!$D$11:$D$1309,MATCH("8392-BK-37",'SKU明细'!$A$11:$A$1309,0)),INDEX('SKU明细'!$D$11:$D$1309,MATCH("8392-BK-37.5",'SKU明细'!$A$11:$A$1309,0)),INDEX('SKU明细'!$D$11:$D$1309,MATCH("8392-BK-38",'SKU明细'!$A$11:$A$1309,0)),INDEX('SKU明细'!$D$11:$D$1309,MATCH("8392-BK-38.5",'SKU明细'!$A$11:$A$1309,0)),INDEX('SKU明细'!$D$11:$D$1309,MATCH("8392-BK-39",'SKU明细'!$A$11:$A$1309,0)),INDEX('SKU明细'!$D$11:$D$1309,MATCH("8392-BK-39.5",'SKU明细'!$A$11:$A$1309,0)),INDEX('SKU明细'!$D$11:$D$1309,MATCH("8392-BK-40",'SKU明细'!$A$11:$A$1309,0)),INDEX('SKU明细'!$D$11:$D$1309,MATCH("8392-BK-40.5",'SKU明细'!$A$11:$A$1309,0)),INDEX('SKU明细'!$D$11:$D$1309,MATCH("8392-BK-41",'SKU明细'!$A$11:$A$1309,0)),INDEX('SKU明细'!$D$11:$D$1309,MATCH("8392-BK-41.5",'SKU明细'!$A$11:$A$1309,0)),INDEX('SKU明细'!$D$11:$D$1309,MATCH("8392-BK-42",'SKU明细'!$A$11:$A$1309,0)))&lt;11,"另有待核","已核"))</x:f>
        <x:v>另有待核</x:v>
      </x:c>
      <x:c r="V142" s="35" t="str">
        <x:v>在售、停售、未匹配Listing</x:v>
      </x:c>
      <x:c r="W142" s="11" t="n">
        <x:f>IF(COUNT(INDEX('SKU明细'!$BV$11:$BV$1309,MATCH("8392-BK-37",'SKU明细'!$A$11:$A$1309,0)),INDEX('SKU明细'!$BV$11:$BV$1309,MATCH("8392-BK-37.5",'SKU明细'!$A$11:$A$1309,0)),INDEX('SKU明细'!$BV$11:$BV$1309,MATCH("8392-BK-38",'SKU明细'!$A$11:$A$1309,0)),INDEX('SKU明细'!$BV$11:$BV$1309,MATCH("8392-BK-38.5",'SKU明细'!$A$11:$A$1309,0)),INDEX('SKU明细'!$BV$11:$BV$1309,MATCH("8392-BK-39",'SKU明细'!$A$11:$A$1309,0)),INDEX('SKU明细'!$BV$11:$BV$1309,MATCH("8392-BK-39.5",'SKU明细'!$A$11:$A$1309,0)),INDEX('SKU明细'!$BV$11:$BV$1309,MATCH("8392-BK-40",'SKU明细'!$A$11:$A$1309,0)),INDEX('SKU明细'!$BV$11:$BV$1309,MATCH("8392-BK-40.5",'SKU明细'!$A$11:$A$1309,0)),INDEX('SKU明细'!$BV$11:$BV$1309,MATCH("8392-BK-41",'SKU明细'!$A$11:$A$1309,0)),INDEX('SKU明细'!$BV$11:$BV$1309,MATCH("8392-BK-41.5",'SKU明细'!$A$11:$A$1309,0)),INDEX('SKU明细'!$BV$11:$BV$1309,MATCH("8392-BK-42",'SKU明细'!$A$11:$A$1309,0)))=11,SUM(INDEX('SKU明细'!$BV$11:$BV$1309,MATCH("8392-BK-37",'SKU明细'!$A$11:$A$1309,0)),INDEX('SKU明细'!$BV$11:$BV$1309,MATCH("8392-BK-37.5",'SKU明细'!$A$11:$A$1309,0)),INDEX('SKU明细'!$BV$11:$BV$1309,MATCH("8392-BK-38",'SKU明细'!$A$11:$A$1309,0)),INDEX('SKU明细'!$BV$11:$BV$1309,MATCH("8392-BK-38.5",'SKU明细'!$A$11:$A$1309,0)),INDEX('SKU明细'!$BV$11:$BV$1309,MATCH("8392-BK-39",'SKU明细'!$A$11:$A$1309,0)),INDEX('SKU明细'!$BV$11:$BV$1309,MATCH("8392-BK-39.5",'SKU明细'!$A$11:$A$1309,0)),INDEX('SKU明细'!$BV$11:$BV$1309,MATCH("8392-BK-40",'SKU明细'!$A$11:$A$1309,0)),INDEX('SKU明细'!$BV$11:$BV$1309,MATCH("8392-BK-40.5",'SKU明细'!$A$11:$A$1309,0)),INDEX('SKU明细'!$BV$11:$BV$1309,MATCH("8392-BK-41",'SKU明细'!$A$11:$A$1309,0)),INDEX('SKU明细'!$BV$11:$BV$1309,MATCH("8392-BK-41.5",'SKU明细'!$A$11:$A$1309,0)),INDEX('SKU明细'!$BV$11:$BV$1309,MATCH("8392-BK-42",'SKU明细'!$A$11:$A$1309,0))),"待核")</x:f>
        <x:v>6.0007629747934885</x:v>
      </x:c>
      <x:c r="X142" s="11" t="n">
        <x:f>INDEX('SKU明细'!$BW$11:$BW$1309,MATCH("8392-BK-37",'SKU明细'!$A$11:$A$1309,0))</x:f>
        <x:v>1.1743420411079069</x:v>
      </x:c>
      <x:c r="Y142" s="13" t="n">
        <x:f>IF(COUNT(INDEX('SKU明细'!$BY$11:$BY$1309,MATCH("8392-BK-37",'SKU明细'!$A$11:$A$1309,0)),INDEX('SKU明细'!$BY$11:$BY$1309,MATCH("8392-BK-37.5",'SKU明细'!$A$11:$A$1309,0)),INDEX('SKU明细'!$BY$11:$BY$1309,MATCH("8392-BK-38",'SKU明细'!$A$11:$A$1309,0)),INDEX('SKU明细'!$BY$11:$BY$1309,MATCH("8392-BK-38.5",'SKU明细'!$A$11:$A$1309,0)),INDEX('SKU明细'!$BY$11:$BY$1309,MATCH("8392-BK-39",'SKU明细'!$A$11:$A$1309,0)),INDEX('SKU明细'!$BY$11:$BY$1309,MATCH("8392-BK-39.5",'SKU明细'!$A$11:$A$1309,0)),INDEX('SKU明细'!$BY$11:$BY$1309,MATCH("8392-BK-40",'SKU明细'!$A$11:$A$1309,0)),INDEX('SKU明细'!$BY$11:$BY$1309,MATCH("8392-BK-40.5",'SKU明细'!$A$11:$A$1309,0)),INDEX('SKU明细'!$BY$11:$BY$1309,MATCH("8392-BK-41",'SKU明细'!$A$11:$A$1309,0)),INDEX('SKU明细'!$BY$11:$BY$1309,MATCH("8392-BK-41.5",'SKU明细'!$A$11:$A$1309,0)),INDEX('SKU明细'!$BY$11:$BY$1309,MATCH("8392-BK-42",'SKU明细'!$A$11:$A$1309,0)))=11,SUM(INDEX('SKU明细'!$BY$11:$BY$1309,MATCH("8392-BK-37",'SKU明细'!$A$11:$A$1309,0)),INDEX('SKU明细'!$BY$11:$BY$1309,MATCH("8392-BK-37.5",'SKU明细'!$A$11:$A$1309,0)),INDEX('SKU明细'!$BY$11:$BY$1309,MATCH("8392-BK-38",'SKU明细'!$A$11:$A$1309,0)),INDEX('SKU明细'!$BY$11:$BY$1309,MATCH("8392-BK-38.5",'SKU明细'!$A$11:$A$1309,0)),INDEX('SKU明细'!$BY$11:$BY$1309,MATCH("8392-BK-39",'SKU明细'!$A$11:$A$1309,0)),INDEX('SKU明细'!$BY$11:$BY$1309,MATCH("8392-BK-39.5",'SKU明细'!$A$11:$A$1309,0)),INDEX('SKU明细'!$BY$11:$BY$1309,MATCH("8392-BK-40",'SKU明细'!$A$11:$A$1309,0)),INDEX('SKU明细'!$BY$11:$BY$1309,MATCH("8392-BK-40.5",'SKU明细'!$A$11:$A$1309,0)),INDEX('SKU明细'!$BY$11:$BY$1309,MATCH("8392-BK-41",'SKU明细'!$A$11:$A$1309,0)),INDEX('SKU明细'!$BY$11:$BY$1309,MATCH("8392-BK-41.5",'SKU明细'!$A$11:$A$1309,0)),INDEX('SKU明细'!$BY$11:$BY$1309,MATCH("8392-BK-42",'SKU明细'!$A$11:$A$1309,0))),"待核")</x:f>
        <x:v>84.56337888028489</x:v>
      </x:c>
      <x:c r="Z142" s="11" t="n">
        <x:f>INDEX('SKU明细'!$BZ$11:$BZ$1309,MATCH("8392-BK-37",'SKU明细'!$A$11:$A$1309,0))</x:f>
        <x:v>1.281694931279211</x:v>
      </x:c>
      <x:c r="AA142" s="13" t="n">
        <x:f>IF(COUNT(INDEX('SKU明细'!$CB$11:$CB$1309,MATCH("8392-BK-37",'SKU明细'!$A$11:$A$1309,0)),INDEX('SKU明细'!$CB$11:$CB$1309,MATCH("8392-BK-37.5",'SKU明细'!$A$11:$A$1309,0)),INDEX('SKU明细'!$CB$11:$CB$1309,MATCH("8392-BK-38",'SKU明细'!$A$11:$A$1309,0)),INDEX('SKU明细'!$CB$11:$CB$1309,MATCH("8392-BK-38.5",'SKU明细'!$A$11:$A$1309,0)),INDEX('SKU明细'!$CB$11:$CB$1309,MATCH("8392-BK-39",'SKU明细'!$A$11:$A$1309,0)),INDEX('SKU明细'!$CB$11:$CB$1309,MATCH("8392-BK-39.5",'SKU明细'!$A$11:$A$1309,0)),INDEX('SKU明细'!$CB$11:$CB$1309,MATCH("8392-BK-40",'SKU明细'!$A$11:$A$1309,0)),INDEX('SKU明细'!$CB$11:$CB$1309,MATCH("8392-BK-40.5",'SKU明细'!$A$11:$A$1309,0)),INDEX('SKU明细'!$CB$11:$CB$1309,MATCH("8392-BK-41",'SKU明细'!$A$11:$A$1309,0)),INDEX('SKU明细'!$CB$11:$CB$1309,MATCH("8392-BK-41.5",'SKU明细'!$A$11:$A$1309,0)),INDEX('SKU明细'!$CB$11:$CB$1309,MATCH("8392-BK-42",'SKU明细'!$A$11:$A$1309,0)))=11,SUM(INDEX('SKU明细'!$CB$11:$CB$1309,MATCH("8392-BK-37",'SKU明细'!$A$11:$A$1309,0)),INDEX('SKU明细'!$CB$11:$CB$1309,MATCH("8392-BK-37.5",'SKU明细'!$A$11:$A$1309,0)),INDEX('SKU明细'!$CB$11:$CB$1309,MATCH("8392-BK-38",'SKU明细'!$A$11:$A$1309,0)),INDEX('SKU明细'!$CB$11:$CB$1309,MATCH("8392-BK-38.5",'SKU明细'!$A$11:$A$1309,0)),INDEX('SKU明细'!$CB$11:$CB$1309,MATCH("8392-BK-39",'SKU明细'!$A$11:$A$1309,0)),INDEX('SKU明细'!$CB$11:$CB$1309,MATCH("8392-BK-39.5",'SKU明细'!$A$11:$A$1309,0)),INDEX('SKU明细'!$CB$11:$CB$1309,MATCH("8392-BK-40",'SKU明细'!$A$11:$A$1309,0)),INDEX('SKU明细'!$CB$11:$CB$1309,MATCH("8392-BK-40.5",'SKU明细'!$A$11:$A$1309,0)),INDEX('SKU明细'!$CB$11:$CB$1309,MATCH("8392-BK-41",'SKU明细'!$A$11:$A$1309,0)),INDEX('SKU明细'!$CB$11:$CB$1309,MATCH("8392-BK-41.5",'SKU明细'!$A$11:$A$1309,0)),INDEX('SKU明细'!$CB$11:$CB$1309,MATCH("8392-BK-42",'SKU明细'!$A$11:$A$1309,0))),"待核")</x:f>
        <x:v>230.73442465802322</x:v>
      </x:c>
      <x:c r="AB142" s="11" t="n">
        <x:f>INDEX('SKU明细'!$CC$11:$CC$1309,MATCH("8392-BK-37",'SKU明细'!$A$11:$A$1309,0))</x:f>
        <x:v>0.9007634642750235</x:v>
      </x:c>
      <x:c r="AC142" s="13" t="n">
        <x:f>IF(COUNT(INDEX('SKU明细'!$CE$11:$CE$1309,MATCH("8392-BK-37",'SKU明细'!$A$11:$A$1309,0)),INDEX('SKU明细'!$CE$11:$CE$1309,MATCH("8392-BK-37.5",'SKU明细'!$A$11:$A$1309,0)),INDEX('SKU明细'!$CE$11:$CE$1309,MATCH("8392-BK-38",'SKU明细'!$A$11:$A$1309,0)),INDEX('SKU明细'!$CE$11:$CE$1309,MATCH("8392-BK-38.5",'SKU明细'!$A$11:$A$1309,0)),INDEX('SKU明细'!$CE$11:$CE$1309,MATCH("8392-BK-39",'SKU明细'!$A$11:$A$1309,0)),INDEX('SKU明细'!$CE$11:$CE$1309,MATCH("8392-BK-39.5",'SKU明细'!$A$11:$A$1309,0)),INDEX('SKU明细'!$CE$11:$CE$1309,MATCH("8392-BK-40",'SKU明细'!$A$11:$A$1309,0)),INDEX('SKU明细'!$CE$11:$CE$1309,MATCH("8392-BK-40.5",'SKU明细'!$A$11:$A$1309,0)),INDEX('SKU明细'!$CE$11:$CE$1309,MATCH("8392-BK-41",'SKU明细'!$A$11:$A$1309,0)),INDEX('SKU明细'!$CE$11:$CE$1309,MATCH("8392-BK-41.5",'SKU明细'!$A$11:$A$1309,0)),INDEX('SKU明细'!$CE$11:$CE$1309,MATCH("8392-BK-42",'SKU明细'!$A$11:$A$1309,0)))=11,SUM(INDEX('SKU明细'!$CE$11:$CE$1309,MATCH("8392-BK-37",'SKU明细'!$A$11:$A$1309,0)),INDEX('SKU明细'!$CE$11:$CE$1309,MATCH("8392-BK-37.5",'SKU明细'!$A$11:$A$1309,0)),INDEX('SKU明细'!$CE$11:$CE$1309,MATCH("8392-BK-38",'SKU明细'!$A$11:$A$1309,0)),INDEX('SKU明细'!$CE$11:$CE$1309,MATCH("8392-BK-38.5",'SKU明细'!$A$11:$A$1309,0)),INDEX('SKU明细'!$CE$11:$CE$1309,MATCH("8392-BK-39",'SKU明细'!$A$11:$A$1309,0)),INDEX('SKU明细'!$CE$11:$CE$1309,MATCH("8392-BK-39.5",'SKU明细'!$A$11:$A$1309,0)),INDEX('SKU明细'!$CE$11:$CE$1309,MATCH("8392-BK-40",'SKU明细'!$A$11:$A$1309,0)),INDEX('SKU明细'!$CE$11:$CE$1309,MATCH("8392-BK-40.5",'SKU明细'!$A$11:$A$1309,0)),INDEX('SKU明细'!$CE$11:$CE$1309,MATCH("8392-BK-41",'SKU明细'!$A$11:$A$1309,0)),INDEX('SKU明细'!$CE$11:$CE$1309,MATCH("8392-BK-41.5",'SKU明细'!$A$11:$A$1309,0)),INDEX('SKU明细'!$CE$11:$CE$1309,MATCH("8392-BK-42",'SKU明细'!$A$11:$A$1309,0))),"待核")</x:f>
        <x:v>167.56330940951665</x:v>
      </x:c>
      <x:c r="AD142" s="11" t="n">
        <x:f>INDEX('SKU明细'!$CF$11:$CF$1309,MATCH("8392-BK-37",'SKU明细'!$A$11:$A$1309,0))</x:f>
        <x:v>0.9537631089407297</x:v>
      </x:c>
      <x:c r="AE142" s="13" t="n">
        <x:f>IF(COUNT(INDEX('SKU明细'!$CH$11:$CH$1309,MATCH("8392-BK-37",'SKU明细'!$A$11:$A$1309,0)),INDEX('SKU明细'!$CH$11:$CH$1309,MATCH("8392-BK-37.5",'SKU明细'!$A$11:$A$1309,0)),INDEX('SKU明细'!$CH$11:$CH$1309,MATCH("8392-BK-38",'SKU明细'!$A$11:$A$1309,0)),INDEX('SKU明细'!$CH$11:$CH$1309,MATCH("8392-BK-38.5",'SKU明细'!$A$11:$A$1309,0)),INDEX('SKU明细'!$CH$11:$CH$1309,MATCH("8392-BK-39",'SKU明细'!$A$11:$A$1309,0)),INDEX('SKU明细'!$CH$11:$CH$1309,MATCH("8392-BK-39.5",'SKU明细'!$A$11:$A$1309,0)),INDEX('SKU明细'!$CH$11:$CH$1309,MATCH("8392-BK-40",'SKU明细'!$A$11:$A$1309,0)),INDEX('SKU明细'!$CH$11:$CH$1309,MATCH("8392-BK-40.5",'SKU明细'!$A$11:$A$1309,0)),INDEX('SKU明细'!$CH$11:$CH$1309,MATCH("8392-BK-41",'SKU明细'!$A$11:$A$1309,0)),INDEX('SKU明细'!$CH$11:$CH$1309,MATCH("8392-BK-41.5",'SKU明细'!$A$11:$A$1309,0)),INDEX('SKU明细'!$CH$11:$CH$1309,MATCH("8392-BK-42",'SKU明细'!$A$11:$A$1309,0)))=11,SUM(INDEX('SKU明细'!$CH$11:$CH$1309,MATCH("8392-BK-37",'SKU明细'!$A$11:$A$1309,0)),INDEX('SKU明细'!$CH$11:$CH$1309,MATCH("8392-BK-37.5",'SKU明细'!$A$11:$A$1309,0)),INDEX('SKU明细'!$CH$11:$CH$1309,MATCH("8392-BK-38",'SKU明细'!$A$11:$A$1309,0)),INDEX('SKU明细'!$CH$11:$CH$1309,MATCH("8392-BK-38.5",'SKU明细'!$A$11:$A$1309,0)),INDEX('SKU明细'!$CH$11:$CH$1309,MATCH("8392-BK-39",'SKU明细'!$A$11:$A$1309,0)),INDEX('SKU明细'!$CH$11:$CH$1309,MATCH("8392-BK-39.5",'SKU明细'!$A$11:$A$1309,0)),INDEX('SKU明细'!$CH$11:$CH$1309,MATCH("8392-BK-40",'SKU明细'!$A$11:$A$1309,0)),INDEX('SKU明细'!$CH$11:$CH$1309,MATCH("8392-BK-40.5",'SKU明细'!$A$11:$A$1309,0)),INDEX('SKU明细'!$CH$11:$CH$1309,MATCH("8392-BK-41",'SKU明细'!$A$11:$A$1309,0)),INDEX('SKU明细'!$CH$11:$CH$1309,MATCH("8392-BK-41.5",'SKU明细'!$A$11:$A$1309,0)),INDEX('SKU明细'!$CH$11:$CH$1309,MATCH("8392-BK-42",'SKU明细'!$A$11:$A$1309,0))),"待核")</x:f>
        <x:v>97.29620796454283</x:v>
      </x:c>
      <x:c r="AF142" s="13" t="n">
        <x:f>IF(COUNT(INDEX('SKU明细'!$CI$11:$CI$1309,MATCH("8392-BK-37",'SKU明细'!$A$11:$A$1309,0)),INDEX('SKU明细'!$CI$11:$CI$1309,MATCH("8392-BK-37.5",'SKU明细'!$A$11:$A$1309,0)),INDEX('SKU明细'!$CI$11:$CI$1309,MATCH("8392-BK-38",'SKU明细'!$A$11:$A$1309,0)),INDEX('SKU明细'!$CI$11:$CI$1309,MATCH("8392-BK-38.5",'SKU明细'!$A$11:$A$1309,0)),INDEX('SKU明细'!$CI$11:$CI$1309,MATCH("8392-BK-39",'SKU明细'!$A$11:$A$1309,0)),INDEX('SKU明细'!$CI$11:$CI$1309,MATCH("8392-BK-39.5",'SKU明细'!$A$11:$A$1309,0)),INDEX('SKU明细'!$CI$11:$CI$1309,MATCH("8392-BK-40",'SKU明细'!$A$11:$A$1309,0)),INDEX('SKU明细'!$CI$11:$CI$1309,MATCH("8392-BK-40.5",'SKU明细'!$A$11:$A$1309,0)),INDEX('SKU明细'!$CI$11:$CI$1309,MATCH("8392-BK-41",'SKU明细'!$A$11:$A$1309,0)),INDEX('SKU明细'!$CI$11:$CI$1309,MATCH("8392-BK-41.5",'SKU明细'!$A$11:$A$1309,0)),INDEX('SKU明细'!$CI$11:$CI$1309,MATCH("8392-BK-42",'SKU明细'!$A$11:$A$1309,0)))=11,SUM(INDEX('SKU明细'!$CI$11:$CI$1309,MATCH("8392-BK-37",'SKU明细'!$A$11:$A$1309,0)),INDEX('SKU明细'!$CI$11:$CI$1309,MATCH("8392-BK-37.5",'SKU明细'!$A$11:$A$1309,0)),INDEX('SKU明细'!$CI$11:$CI$1309,MATCH("8392-BK-38",'SKU明细'!$A$11:$A$1309,0)),INDEX('SKU明细'!$CI$11:$CI$1309,MATCH("8392-BK-38.5",'SKU明细'!$A$11:$A$1309,0)),INDEX('SKU明细'!$CI$11:$CI$1309,MATCH("8392-BK-39",'SKU明细'!$A$11:$A$1309,0)),INDEX('SKU明细'!$CI$11:$CI$1309,MATCH("8392-BK-39.5",'SKU明细'!$A$11:$A$1309,0)),INDEX('SKU明细'!$CI$11:$CI$1309,MATCH("8392-BK-40",'SKU明细'!$A$11:$A$1309,0)),INDEX('SKU明细'!$CI$11:$CI$1309,MATCH("8392-BK-40.5",'SKU明细'!$A$11:$A$1309,0)),INDEX('SKU明细'!$CI$11:$CI$1309,MATCH("8392-BK-41",'SKU明细'!$A$11:$A$1309,0)),INDEX('SKU明细'!$CI$11:$CI$1309,MATCH("8392-BK-41.5",'SKU明细'!$A$11:$A$1309,0)),INDEX('SKU明细'!$CI$11:$CI$1309,MATCH("8392-BK-42",'SKU明细'!$A$11:$A$1309,0))),"待核")</x:f>
        <x:v>580.1573209123676</x:v>
      </x:c>
    </x:row>
    <x:row r="143" ht="40" customHeight="1">
      <x:c r="A143" s="35" t="str">
        <x:v>8392</x:v>
      </x:c>
      <x:c r="B143" s="35" t="str">
        <x:v>徐新怡</x:v>
      </x:c>
      <x:c r="C143" s="35" t="str">
        <x:v>灰色</x:v>
      </x:c>
      <x:c r="D143" s="35" t="str">
        <x:v>GY-S-K</x:v>
      </x:c>
      <x:c r="E143" s="35" t="str">
        <x:v>8392-GY-S-K</x:v>
      </x:c>
      <x:c r="F143" s="35"/>
      <x:c r="G143" s="36" t="str">
        <x:f>"—"</x:f>
        <x:v>—</x:v>
      </x:c>
      <x:c r="H143" s="36" t="str">
        <x:f>IF(COUNT(INDEX('SKU明细'!$D$11:$D$1309,MATCH("8392-GY-S-K-37",'SKU明细'!$A$11:$A$1309,0)))=0,"待核",IF(COUNT(INDEX('SKU明细'!$D$11:$D$1309,MATCH("8392-GY-S-K-37",'SKU明细'!$A$11:$A$1309,0)))&lt;1,SUM(INDEX('SKU明细'!$D$11:$D$1309,MATCH("8392-GY-S-K-37",'SKU明细'!$A$11:$A$1309,0)))&amp;" + 待核",SUM(INDEX('SKU明细'!$D$11:$D$1309,MATCH("8392-GY-S-K-37",'SKU明细'!$A$11:$A$1309,0)))))</x:f>
        <x:v>待核</x:v>
      </x:c>
      <x:c r="I143" s="36" t="str">
        <x:f>IF(COUNT(INDEX('SKU明细'!$D$11:$D$1309,MATCH("8392-GY-S-K-37.5",'SKU明细'!$A$11:$A$1309,0)))=0,"待核",IF(COUNT(INDEX('SKU明细'!$D$11:$D$1309,MATCH("8392-GY-S-K-37.5",'SKU明细'!$A$11:$A$1309,0)))&lt;1,SUM(INDEX('SKU明细'!$D$11:$D$1309,MATCH("8392-GY-S-K-37.5",'SKU明细'!$A$11:$A$1309,0)))&amp;" + 待核",SUM(INDEX('SKU明细'!$D$11:$D$1309,MATCH("8392-GY-S-K-37.5",'SKU明细'!$A$11:$A$1309,0)))))</x:f>
        <x:v>待核</x:v>
      </x:c>
      <x:c r="J143" s="36" t="str">
        <x:f>IF(COUNT(INDEX('SKU明细'!$D$11:$D$1309,MATCH("8392-GY-S-K-38",'SKU明细'!$A$11:$A$1309,0)))=0,"待核",IF(COUNT(INDEX('SKU明细'!$D$11:$D$1309,MATCH("8392-GY-S-K-38",'SKU明细'!$A$11:$A$1309,0)))&lt;1,SUM(INDEX('SKU明细'!$D$11:$D$1309,MATCH("8392-GY-S-K-38",'SKU明细'!$A$11:$A$1309,0)))&amp;" + 待核",SUM(INDEX('SKU明细'!$D$11:$D$1309,MATCH("8392-GY-S-K-38",'SKU明细'!$A$11:$A$1309,0)))))</x:f>
        <x:v>待核</x:v>
      </x:c>
      <x:c r="K143" s="36" t="str">
        <x:f>IF(COUNT(INDEX('SKU明细'!$D$11:$D$1309,MATCH("8392-GY-S-K-38.5",'SKU明细'!$A$11:$A$1309,0)))=0,"待核",IF(COUNT(INDEX('SKU明细'!$D$11:$D$1309,MATCH("8392-GY-S-K-38.5",'SKU明细'!$A$11:$A$1309,0)))&lt;1,SUM(INDEX('SKU明细'!$D$11:$D$1309,MATCH("8392-GY-S-K-38.5",'SKU明细'!$A$11:$A$1309,0)))&amp;" + 待核",SUM(INDEX('SKU明细'!$D$11:$D$1309,MATCH("8392-GY-S-K-38.5",'SKU明细'!$A$11:$A$1309,0)))))</x:f>
        <x:v>待核</x:v>
      </x:c>
      <x:c r="L143" s="36" t="str">
        <x:f>IF(COUNT(INDEX('SKU明细'!$D$11:$D$1309,MATCH("8392-GY-S-K-39",'SKU明细'!$A$11:$A$1309,0)))=0,"待核",IF(COUNT(INDEX('SKU明细'!$D$11:$D$1309,MATCH("8392-GY-S-K-39",'SKU明细'!$A$11:$A$1309,0)))&lt;1,SUM(INDEX('SKU明细'!$D$11:$D$1309,MATCH("8392-GY-S-K-39",'SKU明细'!$A$11:$A$1309,0)))&amp;" + 待核",SUM(INDEX('SKU明细'!$D$11:$D$1309,MATCH("8392-GY-S-K-39",'SKU明细'!$A$11:$A$1309,0)))))</x:f>
        <x:v>待核</x:v>
      </x:c>
      <x:c r="M143" s="36" t="str">
        <x:f>IF(COUNT(INDEX('SKU明细'!$D$11:$D$1309,MATCH("8392-GY-S-K-39.5",'SKU明细'!$A$11:$A$1309,0)))=0,"待核",IF(COUNT(INDEX('SKU明细'!$D$11:$D$1309,MATCH("8392-GY-S-K-39.5",'SKU明细'!$A$11:$A$1309,0)))&lt;1,SUM(INDEX('SKU明细'!$D$11:$D$1309,MATCH("8392-GY-S-K-39.5",'SKU明细'!$A$11:$A$1309,0)))&amp;" + 待核",SUM(INDEX('SKU明细'!$D$11:$D$1309,MATCH("8392-GY-S-K-39.5",'SKU明细'!$A$11:$A$1309,0)))))</x:f>
        <x:v>待核</x:v>
      </x:c>
      <x:c r="N143" s="36" t="n">
        <x:f>IF(COUNT(INDEX('SKU明细'!$D$11:$D$1309,MATCH("8392-GY-S-K-40",'SKU明细'!$A$11:$A$1309,0)))=0,"待核",IF(COUNT(INDEX('SKU明细'!$D$11:$D$1309,MATCH("8392-GY-S-K-40",'SKU明细'!$A$11:$A$1309,0)))&lt;1,SUM(INDEX('SKU明细'!$D$11:$D$1309,MATCH("8392-GY-S-K-40",'SKU明细'!$A$11:$A$1309,0)))&amp;" + 待核",SUM(INDEX('SKU明细'!$D$11:$D$1309,MATCH("8392-GY-S-K-40",'SKU明细'!$A$11:$A$1309,0)))))</x:f>
        <x:v>0</x:v>
      </x:c>
      <x:c r="O143" s="36" t="str">
        <x:f>IF(COUNT(INDEX('SKU明细'!$D$11:$D$1309,MATCH("8392-GY-S-K-40.5",'SKU明细'!$A$11:$A$1309,0)))=0,"待核",IF(COUNT(INDEX('SKU明细'!$D$11:$D$1309,MATCH("8392-GY-S-K-40.5",'SKU明细'!$A$11:$A$1309,0)))&lt;1,SUM(INDEX('SKU明细'!$D$11:$D$1309,MATCH("8392-GY-S-K-40.5",'SKU明细'!$A$11:$A$1309,0)))&amp;" + 待核",SUM(INDEX('SKU明细'!$D$11:$D$1309,MATCH("8392-GY-S-K-40.5",'SKU明细'!$A$11:$A$1309,0)))))</x:f>
        <x:v>待核</x:v>
      </x:c>
      <x:c r="P143" s="36" t="n">
        <x:f>IF(COUNT(INDEX('SKU明细'!$D$11:$D$1309,MATCH("8392-GY-S-K-41",'SKU明细'!$A$11:$A$1309,0)))=0,"待核",IF(COUNT(INDEX('SKU明细'!$D$11:$D$1309,MATCH("8392-GY-S-K-41",'SKU明细'!$A$11:$A$1309,0)))&lt;1,SUM(INDEX('SKU明细'!$D$11:$D$1309,MATCH("8392-GY-S-K-41",'SKU明细'!$A$11:$A$1309,0)))&amp;" + 待核",SUM(INDEX('SKU明细'!$D$11:$D$1309,MATCH("8392-GY-S-K-41",'SKU明细'!$A$11:$A$1309,0)))))</x:f>
        <x:v>0</x:v>
      </x:c>
      <x:c r="Q143" s="36" t="str">
        <x:f>IF(COUNT(INDEX('SKU明细'!$D$11:$D$1309,MATCH("8392-GY-S-K-41.5",'SKU明细'!$A$11:$A$1309,0)))=0,"待核",IF(COUNT(INDEX('SKU明细'!$D$11:$D$1309,MATCH("8392-GY-S-K-41.5",'SKU明细'!$A$11:$A$1309,0)))&lt;1,SUM(INDEX('SKU明细'!$D$11:$D$1309,MATCH("8392-GY-S-K-41.5",'SKU明细'!$A$11:$A$1309,0)))&amp;" + 待核",SUM(INDEX('SKU明细'!$D$11:$D$1309,MATCH("8392-GY-S-K-41.5",'SKU明细'!$A$11:$A$1309,0)))))</x:f>
        <x:v>待核</x:v>
      </x:c>
      <x:c r="R143" s="36" t="str">
        <x:f>IF(COUNT(INDEX('SKU明细'!$D$11:$D$1309,MATCH("8392-GY-S-K-42",'SKU明细'!$A$11:$A$1309,0)))=0,"待核",IF(COUNT(INDEX('SKU明细'!$D$11:$D$1309,MATCH("8392-GY-S-K-42",'SKU明细'!$A$11:$A$1309,0)))&lt;1,SUM(INDEX('SKU明细'!$D$11:$D$1309,MATCH("8392-GY-S-K-42",'SKU明细'!$A$11:$A$1309,0)))&amp;" + 待核",SUM(INDEX('SKU明细'!$D$11:$D$1309,MATCH("8392-GY-S-K-42",'SKU明细'!$A$11:$A$1309,0)))))</x:f>
        <x:v>待核</x:v>
      </x:c>
      <x:c r="S143" s="36" t="n">
        <x:f>IF(COUNT(INDEX('SKU明细'!$D$11:$D$1309,MATCH("8392-GY-S-K-37",'SKU明细'!$A$11:$A$1309,0)),INDEX('SKU明细'!$D$11:$D$1309,MATCH("8392-GY-S-K-37.5",'SKU明细'!$A$11:$A$1309,0)),INDEX('SKU明细'!$D$11:$D$1309,MATCH("8392-GY-S-K-38",'SKU明细'!$A$11:$A$1309,0)),INDEX('SKU明细'!$D$11:$D$1309,MATCH("8392-GY-S-K-38.5",'SKU明细'!$A$11:$A$1309,0)),INDEX('SKU明细'!$D$11:$D$1309,MATCH("8392-GY-S-K-39",'SKU明细'!$A$11:$A$1309,0)),INDEX('SKU明细'!$D$11:$D$1309,MATCH("8392-GY-S-K-39.5",'SKU明细'!$A$11:$A$1309,0)),INDEX('SKU明细'!$D$11:$D$1309,MATCH("8392-GY-S-K-40",'SKU明细'!$A$11:$A$1309,0)),INDEX('SKU明细'!$D$11:$D$1309,MATCH("8392-GY-S-K-40.5",'SKU明细'!$A$11:$A$1309,0)),INDEX('SKU明细'!$D$11:$D$1309,MATCH("8392-GY-S-K-41",'SKU明细'!$A$11:$A$1309,0)),INDEX('SKU明细'!$D$11:$D$1309,MATCH("8392-GY-S-K-41.5",'SKU明细'!$A$11:$A$1309,0)),INDEX('SKU明细'!$D$11:$D$1309,MATCH("8392-GY-S-K-42",'SKU明细'!$A$11:$A$1309,0)))=0,"待核",SUM(INDEX('SKU明细'!$D$11:$D$1309,MATCH("8392-GY-S-K-37",'SKU明细'!$A$11:$A$1309,0)),INDEX('SKU明细'!$D$11:$D$1309,MATCH("8392-GY-S-K-37.5",'SKU明细'!$A$11:$A$1309,0)),INDEX('SKU明细'!$D$11:$D$1309,MATCH("8392-GY-S-K-38",'SKU明细'!$A$11:$A$1309,0)),INDEX('SKU明细'!$D$11:$D$1309,MATCH("8392-GY-S-K-38.5",'SKU明细'!$A$11:$A$1309,0)),INDEX('SKU明细'!$D$11:$D$1309,MATCH("8392-GY-S-K-39",'SKU明细'!$A$11:$A$1309,0)),INDEX('SKU明细'!$D$11:$D$1309,MATCH("8392-GY-S-K-39.5",'SKU明细'!$A$11:$A$1309,0)),INDEX('SKU明细'!$D$11:$D$1309,MATCH("8392-GY-S-K-40",'SKU明细'!$A$11:$A$1309,0)),INDEX('SKU明细'!$D$11:$D$1309,MATCH("8392-GY-S-K-40.5",'SKU明细'!$A$11:$A$1309,0)),INDEX('SKU明细'!$D$11:$D$1309,MATCH("8392-GY-S-K-41",'SKU明细'!$A$11:$A$1309,0)),INDEX('SKU明细'!$D$11:$D$1309,MATCH("8392-GY-S-K-41.5",'SKU明细'!$A$11:$A$1309,0)),INDEX('SKU明细'!$D$11:$D$1309,MATCH("8392-GY-S-K-42",'SKU明细'!$A$11:$A$1309,0))))</x:f>
        <x:v>0</x:v>
      </x:c>
      <x:c r="T143" s="36" t="n">
        <x:f>IF(COUNTIFS($A$9:$A$191,A143,$U$9:$U$191,"&lt;&gt;待核")=0,"待核",SUMIF($A$9:$A$191,A143,$S$9:$S$191))</x:f>
        <x:v>137</x:v>
      </x:c>
      <x:c r="U143" s="35" t="str">
        <x:f>IF(COUNT(INDEX('SKU明细'!$D$11:$D$1309,MATCH("8392-GY-S-K-37",'SKU明细'!$A$11:$A$1309,0)),INDEX('SKU明细'!$D$11:$D$1309,MATCH("8392-GY-S-K-37.5",'SKU明细'!$A$11:$A$1309,0)),INDEX('SKU明细'!$D$11:$D$1309,MATCH("8392-GY-S-K-38",'SKU明细'!$A$11:$A$1309,0)),INDEX('SKU明细'!$D$11:$D$1309,MATCH("8392-GY-S-K-38.5",'SKU明细'!$A$11:$A$1309,0)),INDEX('SKU明细'!$D$11:$D$1309,MATCH("8392-GY-S-K-39",'SKU明细'!$A$11:$A$1309,0)),INDEX('SKU明细'!$D$11:$D$1309,MATCH("8392-GY-S-K-39.5",'SKU明细'!$A$11:$A$1309,0)),INDEX('SKU明细'!$D$11:$D$1309,MATCH("8392-GY-S-K-40",'SKU明细'!$A$11:$A$1309,0)),INDEX('SKU明细'!$D$11:$D$1309,MATCH("8392-GY-S-K-40.5",'SKU明细'!$A$11:$A$1309,0)),INDEX('SKU明细'!$D$11:$D$1309,MATCH("8392-GY-S-K-41",'SKU明细'!$A$11:$A$1309,0)),INDEX('SKU明细'!$D$11:$D$1309,MATCH("8392-GY-S-K-41.5",'SKU明细'!$A$11:$A$1309,0)),INDEX('SKU明细'!$D$11:$D$1309,MATCH("8392-GY-S-K-42",'SKU明细'!$A$11:$A$1309,0)))=0,"待核",IF(COUNT(INDEX('SKU明细'!$D$11:$D$1309,MATCH("8392-GY-S-K-37",'SKU明细'!$A$11:$A$1309,0)),INDEX('SKU明细'!$D$11:$D$1309,MATCH("8392-GY-S-K-37.5",'SKU明细'!$A$11:$A$1309,0)),INDEX('SKU明细'!$D$11:$D$1309,MATCH("8392-GY-S-K-38",'SKU明细'!$A$11:$A$1309,0)),INDEX('SKU明细'!$D$11:$D$1309,MATCH("8392-GY-S-K-38.5",'SKU明细'!$A$11:$A$1309,0)),INDEX('SKU明细'!$D$11:$D$1309,MATCH("8392-GY-S-K-39",'SKU明细'!$A$11:$A$1309,0)),INDEX('SKU明细'!$D$11:$D$1309,MATCH("8392-GY-S-K-39.5",'SKU明细'!$A$11:$A$1309,0)),INDEX('SKU明细'!$D$11:$D$1309,MATCH("8392-GY-S-K-40",'SKU明细'!$A$11:$A$1309,0)),INDEX('SKU明细'!$D$11:$D$1309,MATCH("8392-GY-S-K-40.5",'SKU明细'!$A$11:$A$1309,0)),INDEX('SKU明细'!$D$11:$D$1309,MATCH("8392-GY-S-K-41",'SKU明细'!$A$11:$A$1309,0)),INDEX('SKU明细'!$D$11:$D$1309,MATCH("8392-GY-S-K-41.5",'SKU明细'!$A$11:$A$1309,0)),INDEX('SKU明细'!$D$11:$D$1309,MATCH("8392-GY-S-K-42",'SKU明细'!$A$11:$A$1309,0)))&lt;11,"另有待核","已核"))</x:f>
        <x:v>另有待核</x:v>
      </x:c>
      <x:c r="V143" s="35" t="str">
        <x:v>未匹配Listing、停售</x:v>
      </x:c>
      <x:c r="W143" s="11" t="n">
        <x:f>IF(COUNT(INDEX('SKU明细'!$BV$11:$BV$1309,MATCH("8392-GY-S-K-37",'SKU明细'!$A$11:$A$1309,0)),INDEX('SKU明细'!$BV$11:$BV$1309,MATCH("8392-GY-S-K-37.5",'SKU明细'!$A$11:$A$1309,0)),INDEX('SKU明细'!$BV$11:$BV$1309,MATCH("8392-GY-S-K-38",'SKU明细'!$A$11:$A$1309,0)),INDEX('SKU明细'!$BV$11:$BV$1309,MATCH("8392-GY-S-K-38.5",'SKU明细'!$A$11:$A$1309,0)),INDEX('SKU明细'!$BV$11:$BV$1309,MATCH("8392-GY-S-K-39",'SKU明细'!$A$11:$A$1309,0)),INDEX('SKU明细'!$BV$11:$BV$1309,MATCH("8392-GY-S-K-39.5",'SKU明细'!$A$11:$A$1309,0)),INDEX('SKU明细'!$BV$11:$BV$1309,MATCH("8392-GY-S-K-40",'SKU明细'!$A$11:$A$1309,0)),INDEX('SKU明细'!$BV$11:$BV$1309,MATCH("8392-GY-S-K-40.5",'SKU明细'!$A$11:$A$1309,0)),INDEX('SKU明细'!$BV$11:$BV$1309,MATCH("8392-GY-S-K-41",'SKU明细'!$A$11:$A$1309,0)),INDEX('SKU明细'!$BV$11:$BV$1309,MATCH("8392-GY-S-K-41.5",'SKU明细'!$A$11:$A$1309,0)),INDEX('SKU明细'!$BV$11:$BV$1309,MATCH("8392-GY-S-K-42",'SKU明细'!$A$11:$A$1309,0)))=11,SUM(INDEX('SKU明细'!$BV$11:$BV$1309,MATCH("8392-GY-S-K-37",'SKU明细'!$A$11:$A$1309,0)),INDEX('SKU明细'!$BV$11:$BV$1309,MATCH("8392-GY-S-K-37.5",'SKU明细'!$A$11:$A$1309,0)),INDEX('SKU明细'!$BV$11:$BV$1309,MATCH("8392-GY-S-K-38",'SKU明细'!$A$11:$A$1309,0)),INDEX('SKU明细'!$BV$11:$BV$1309,MATCH("8392-GY-S-K-38.5",'SKU明细'!$A$11:$A$1309,0)),INDEX('SKU明细'!$BV$11:$BV$1309,MATCH("8392-GY-S-K-39",'SKU明细'!$A$11:$A$1309,0)),INDEX('SKU明细'!$BV$11:$BV$1309,MATCH("8392-GY-S-K-39.5",'SKU明细'!$A$11:$A$1309,0)),INDEX('SKU明细'!$BV$11:$BV$1309,MATCH("8392-GY-S-K-40",'SKU明细'!$A$11:$A$1309,0)),INDEX('SKU明细'!$BV$11:$BV$1309,MATCH("8392-GY-S-K-40.5",'SKU明细'!$A$11:$A$1309,0)),INDEX('SKU明细'!$BV$11:$BV$1309,MATCH("8392-GY-S-K-41",'SKU明细'!$A$11:$A$1309,0)),INDEX('SKU明细'!$BV$11:$BV$1309,MATCH("8392-GY-S-K-41.5",'SKU明细'!$A$11:$A$1309,0)),INDEX('SKU明细'!$BV$11:$BV$1309,MATCH("8392-GY-S-K-42",'SKU明细'!$A$11:$A$1309,0))),"待核")</x:f>
        <x:v>0</x:v>
      </x:c>
      <x:c r="X143" s="11" t="n">
        <x:f>INDEX('SKU明细'!$BW$11:$BW$1309,MATCH("8392-GY-S-K-37",'SKU明细'!$A$11:$A$1309,0))</x:f>
        <x:v>1.1743420411079069</x:v>
      </x:c>
      <x:c r="Y143" s="13" t="n">
        <x:f>IF(COUNT(INDEX('SKU明细'!$BY$11:$BY$1309,MATCH("8392-GY-S-K-37",'SKU明细'!$A$11:$A$1309,0)),INDEX('SKU明细'!$BY$11:$BY$1309,MATCH("8392-GY-S-K-37.5",'SKU明细'!$A$11:$A$1309,0)),INDEX('SKU明细'!$BY$11:$BY$1309,MATCH("8392-GY-S-K-38",'SKU明细'!$A$11:$A$1309,0)),INDEX('SKU明细'!$BY$11:$BY$1309,MATCH("8392-GY-S-K-38.5",'SKU明细'!$A$11:$A$1309,0)),INDEX('SKU明细'!$BY$11:$BY$1309,MATCH("8392-GY-S-K-39",'SKU明细'!$A$11:$A$1309,0)),INDEX('SKU明细'!$BY$11:$BY$1309,MATCH("8392-GY-S-K-39.5",'SKU明细'!$A$11:$A$1309,0)),INDEX('SKU明细'!$BY$11:$BY$1309,MATCH("8392-GY-S-K-40",'SKU明细'!$A$11:$A$1309,0)),INDEX('SKU明细'!$BY$11:$BY$1309,MATCH("8392-GY-S-K-40.5",'SKU明细'!$A$11:$A$1309,0)),INDEX('SKU明细'!$BY$11:$BY$1309,MATCH("8392-GY-S-K-41",'SKU明细'!$A$11:$A$1309,0)),INDEX('SKU明细'!$BY$11:$BY$1309,MATCH("8392-GY-S-K-41.5",'SKU明细'!$A$11:$A$1309,0)),INDEX('SKU明细'!$BY$11:$BY$1309,MATCH("8392-GY-S-K-42",'SKU明细'!$A$11:$A$1309,0)))=11,SUM(INDEX('SKU明细'!$BY$11:$BY$1309,MATCH("8392-GY-S-K-37",'SKU明细'!$A$11:$A$1309,0)),INDEX('SKU明细'!$BY$11:$BY$1309,MATCH("8392-GY-S-K-37.5",'SKU明细'!$A$11:$A$1309,0)),INDEX('SKU明细'!$BY$11:$BY$1309,MATCH("8392-GY-S-K-38",'SKU明细'!$A$11:$A$1309,0)),INDEX('SKU明细'!$BY$11:$BY$1309,MATCH("8392-GY-S-K-38.5",'SKU明细'!$A$11:$A$1309,0)),INDEX('SKU明细'!$BY$11:$BY$1309,MATCH("8392-GY-S-K-39",'SKU明细'!$A$11:$A$1309,0)),INDEX('SKU明细'!$BY$11:$BY$1309,MATCH("8392-GY-S-K-39.5",'SKU明细'!$A$11:$A$1309,0)),INDEX('SKU明细'!$BY$11:$BY$1309,MATCH("8392-GY-S-K-40",'SKU明细'!$A$11:$A$1309,0)),INDEX('SKU明细'!$BY$11:$BY$1309,MATCH("8392-GY-S-K-40.5",'SKU明细'!$A$11:$A$1309,0)),INDEX('SKU明细'!$BY$11:$BY$1309,MATCH("8392-GY-S-K-41",'SKU明细'!$A$11:$A$1309,0)),INDEX('SKU明细'!$BY$11:$BY$1309,MATCH("8392-GY-S-K-41.5",'SKU明细'!$A$11:$A$1309,0)),INDEX('SKU明细'!$BY$11:$BY$1309,MATCH("8392-GY-S-K-42",'SKU明细'!$A$11:$A$1309,0))),"待核")</x:f>
        <x:v>0</x:v>
      </x:c>
      <x:c r="Z143" s="11" t="n">
        <x:f>INDEX('SKU明细'!$BZ$11:$BZ$1309,MATCH("8392-GY-S-K-37",'SKU明细'!$A$11:$A$1309,0))</x:f>
        <x:v>1.281694931279211</x:v>
      </x:c>
      <x:c r="AA143" s="13" t="n">
        <x:f>IF(COUNT(INDEX('SKU明细'!$CB$11:$CB$1309,MATCH("8392-GY-S-K-37",'SKU明细'!$A$11:$A$1309,0)),INDEX('SKU明细'!$CB$11:$CB$1309,MATCH("8392-GY-S-K-37.5",'SKU明细'!$A$11:$A$1309,0)),INDEX('SKU明细'!$CB$11:$CB$1309,MATCH("8392-GY-S-K-38",'SKU明细'!$A$11:$A$1309,0)),INDEX('SKU明细'!$CB$11:$CB$1309,MATCH("8392-GY-S-K-38.5",'SKU明细'!$A$11:$A$1309,0)),INDEX('SKU明细'!$CB$11:$CB$1309,MATCH("8392-GY-S-K-39",'SKU明细'!$A$11:$A$1309,0)),INDEX('SKU明细'!$CB$11:$CB$1309,MATCH("8392-GY-S-K-39.5",'SKU明细'!$A$11:$A$1309,0)),INDEX('SKU明细'!$CB$11:$CB$1309,MATCH("8392-GY-S-K-40",'SKU明细'!$A$11:$A$1309,0)),INDEX('SKU明细'!$CB$11:$CB$1309,MATCH("8392-GY-S-K-40.5",'SKU明细'!$A$11:$A$1309,0)),INDEX('SKU明细'!$CB$11:$CB$1309,MATCH("8392-GY-S-K-41",'SKU明细'!$A$11:$A$1309,0)),INDEX('SKU明细'!$CB$11:$CB$1309,MATCH("8392-GY-S-K-41.5",'SKU明细'!$A$11:$A$1309,0)),INDEX('SKU明细'!$CB$11:$CB$1309,MATCH("8392-GY-S-K-42",'SKU明细'!$A$11:$A$1309,0)))=11,SUM(INDEX('SKU明细'!$CB$11:$CB$1309,MATCH("8392-GY-S-K-37",'SKU明细'!$A$11:$A$1309,0)),INDEX('SKU明细'!$CB$11:$CB$1309,MATCH("8392-GY-S-K-37.5",'SKU明细'!$A$11:$A$1309,0)),INDEX('SKU明细'!$CB$11:$CB$1309,MATCH("8392-GY-S-K-38",'SKU明细'!$A$11:$A$1309,0)),INDEX('SKU明细'!$CB$11:$CB$1309,MATCH("8392-GY-S-K-38.5",'SKU明细'!$A$11:$A$1309,0)),INDEX('SKU明细'!$CB$11:$CB$1309,MATCH("8392-GY-S-K-39",'SKU明细'!$A$11:$A$1309,0)),INDEX('SKU明细'!$CB$11:$CB$1309,MATCH("8392-GY-S-K-39.5",'SKU明细'!$A$11:$A$1309,0)),INDEX('SKU明细'!$CB$11:$CB$1309,MATCH("8392-GY-S-K-40",'SKU明细'!$A$11:$A$1309,0)),INDEX('SKU明细'!$CB$11:$CB$1309,MATCH("8392-GY-S-K-40.5",'SKU明细'!$A$11:$A$1309,0)),INDEX('SKU明细'!$CB$11:$CB$1309,MATCH("8392-GY-S-K-41",'SKU明细'!$A$11:$A$1309,0)),INDEX('SKU明细'!$CB$11:$CB$1309,MATCH("8392-GY-S-K-41.5",'SKU明细'!$A$11:$A$1309,0)),INDEX('SKU明细'!$CB$11:$CB$1309,MATCH("8392-GY-S-K-42",'SKU明细'!$A$11:$A$1309,0))),"待核")</x:f>
        <x:v>0</x:v>
      </x:c>
      <x:c r="AB143" s="11" t="n">
        <x:f>INDEX('SKU明细'!$CC$11:$CC$1309,MATCH("8392-GY-S-K-37",'SKU明细'!$A$11:$A$1309,0))</x:f>
        <x:v>0.9007634642750235</x:v>
      </x:c>
      <x:c r="AC143" s="13" t="n">
        <x:f>IF(COUNT(INDEX('SKU明细'!$CE$11:$CE$1309,MATCH("8392-GY-S-K-37",'SKU明细'!$A$11:$A$1309,0)),INDEX('SKU明细'!$CE$11:$CE$1309,MATCH("8392-GY-S-K-37.5",'SKU明细'!$A$11:$A$1309,0)),INDEX('SKU明细'!$CE$11:$CE$1309,MATCH("8392-GY-S-K-38",'SKU明细'!$A$11:$A$1309,0)),INDEX('SKU明细'!$CE$11:$CE$1309,MATCH("8392-GY-S-K-38.5",'SKU明细'!$A$11:$A$1309,0)),INDEX('SKU明细'!$CE$11:$CE$1309,MATCH("8392-GY-S-K-39",'SKU明细'!$A$11:$A$1309,0)),INDEX('SKU明细'!$CE$11:$CE$1309,MATCH("8392-GY-S-K-39.5",'SKU明细'!$A$11:$A$1309,0)),INDEX('SKU明细'!$CE$11:$CE$1309,MATCH("8392-GY-S-K-40",'SKU明细'!$A$11:$A$1309,0)),INDEX('SKU明细'!$CE$11:$CE$1309,MATCH("8392-GY-S-K-40.5",'SKU明细'!$A$11:$A$1309,0)),INDEX('SKU明细'!$CE$11:$CE$1309,MATCH("8392-GY-S-K-41",'SKU明细'!$A$11:$A$1309,0)),INDEX('SKU明细'!$CE$11:$CE$1309,MATCH("8392-GY-S-K-41.5",'SKU明细'!$A$11:$A$1309,0)),INDEX('SKU明细'!$CE$11:$CE$1309,MATCH("8392-GY-S-K-42",'SKU明细'!$A$11:$A$1309,0)))=11,SUM(INDEX('SKU明细'!$CE$11:$CE$1309,MATCH("8392-GY-S-K-37",'SKU明细'!$A$11:$A$1309,0)),INDEX('SKU明细'!$CE$11:$CE$1309,MATCH("8392-GY-S-K-37.5",'SKU明细'!$A$11:$A$1309,0)),INDEX('SKU明细'!$CE$11:$CE$1309,MATCH("8392-GY-S-K-38",'SKU明细'!$A$11:$A$1309,0)),INDEX('SKU明细'!$CE$11:$CE$1309,MATCH("8392-GY-S-K-38.5",'SKU明细'!$A$11:$A$1309,0)),INDEX('SKU明细'!$CE$11:$CE$1309,MATCH("8392-GY-S-K-39",'SKU明细'!$A$11:$A$1309,0)),INDEX('SKU明细'!$CE$11:$CE$1309,MATCH("8392-GY-S-K-39.5",'SKU明细'!$A$11:$A$1309,0)),INDEX('SKU明细'!$CE$11:$CE$1309,MATCH("8392-GY-S-K-40",'SKU明细'!$A$11:$A$1309,0)),INDEX('SKU明细'!$CE$11:$CE$1309,MATCH("8392-GY-S-K-40.5",'SKU明细'!$A$11:$A$1309,0)),INDEX('SKU明细'!$CE$11:$CE$1309,MATCH("8392-GY-S-K-41",'SKU明细'!$A$11:$A$1309,0)),INDEX('SKU明细'!$CE$11:$CE$1309,MATCH("8392-GY-S-K-41.5",'SKU明细'!$A$11:$A$1309,0)),INDEX('SKU明细'!$CE$11:$CE$1309,MATCH("8392-GY-S-K-42",'SKU明细'!$A$11:$A$1309,0))),"待核")</x:f>
        <x:v>0</x:v>
      </x:c>
      <x:c r="AD143" s="11" t="n">
        <x:f>INDEX('SKU明细'!$CF$11:$CF$1309,MATCH("8392-GY-S-K-37",'SKU明细'!$A$11:$A$1309,0))</x:f>
        <x:v>0.9537631089407297</x:v>
      </x:c>
      <x:c r="AE143" s="13" t="n">
        <x:f>IF(COUNT(INDEX('SKU明细'!$CH$11:$CH$1309,MATCH("8392-GY-S-K-37",'SKU明细'!$A$11:$A$1309,0)),INDEX('SKU明细'!$CH$11:$CH$1309,MATCH("8392-GY-S-K-37.5",'SKU明细'!$A$11:$A$1309,0)),INDEX('SKU明细'!$CH$11:$CH$1309,MATCH("8392-GY-S-K-38",'SKU明细'!$A$11:$A$1309,0)),INDEX('SKU明细'!$CH$11:$CH$1309,MATCH("8392-GY-S-K-38.5",'SKU明细'!$A$11:$A$1309,0)),INDEX('SKU明细'!$CH$11:$CH$1309,MATCH("8392-GY-S-K-39",'SKU明细'!$A$11:$A$1309,0)),INDEX('SKU明细'!$CH$11:$CH$1309,MATCH("8392-GY-S-K-39.5",'SKU明细'!$A$11:$A$1309,0)),INDEX('SKU明细'!$CH$11:$CH$1309,MATCH("8392-GY-S-K-40",'SKU明细'!$A$11:$A$1309,0)),INDEX('SKU明细'!$CH$11:$CH$1309,MATCH("8392-GY-S-K-40.5",'SKU明细'!$A$11:$A$1309,0)),INDEX('SKU明细'!$CH$11:$CH$1309,MATCH("8392-GY-S-K-41",'SKU明细'!$A$11:$A$1309,0)),INDEX('SKU明细'!$CH$11:$CH$1309,MATCH("8392-GY-S-K-41.5",'SKU明细'!$A$11:$A$1309,0)),INDEX('SKU明细'!$CH$11:$CH$1309,MATCH("8392-GY-S-K-42",'SKU明细'!$A$11:$A$1309,0)))=11,SUM(INDEX('SKU明细'!$CH$11:$CH$1309,MATCH("8392-GY-S-K-37",'SKU明细'!$A$11:$A$1309,0)),INDEX('SKU明细'!$CH$11:$CH$1309,MATCH("8392-GY-S-K-37.5",'SKU明细'!$A$11:$A$1309,0)),INDEX('SKU明细'!$CH$11:$CH$1309,MATCH("8392-GY-S-K-38",'SKU明细'!$A$11:$A$1309,0)),INDEX('SKU明细'!$CH$11:$CH$1309,MATCH("8392-GY-S-K-38.5",'SKU明细'!$A$11:$A$1309,0)),INDEX('SKU明细'!$CH$11:$CH$1309,MATCH("8392-GY-S-K-39",'SKU明细'!$A$11:$A$1309,0)),INDEX('SKU明细'!$CH$11:$CH$1309,MATCH("8392-GY-S-K-39.5",'SKU明细'!$A$11:$A$1309,0)),INDEX('SKU明细'!$CH$11:$CH$1309,MATCH("8392-GY-S-K-40",'SKU明细'!$A$11:$A$1309,0)),INDEX('SKU明细'!$CH$11:$CH$1309,MATCH("8392-GY-S-K-40.5",'SKU明细'!$A$11:$A$1309,0)),INDEX('SKU明细'!$CH$11:$CH$1309,MATCH("8392-GY-S-K-41",'SKU明细'!$A$11:$A$1309,0)),INDEX('SKU明细'!$CH$11:$CH$1309,MATCH("8392-GY-S-K-41.5",'SKU明细'!$A$11:$A$1309,0)),INDEX('SKU明细'!$CH$11:$CH$1309,MATCH("8392-GY-S-K-42",'SKU明细'!$A$11:$A$1309,0))),"待核")</x:f>
        <x:v>0</x:v>
      </x:c>
      <x:c r="AF143" s="13" t="n">
        <x:f>IF(COUNT(INDEX('SKU明细'!$CI$11:$CI$1309,MATCH("8392-GY-S-K-37",'SKU明细'!$A$11:$A$1309,0)),INDEX('SKU明细'!$CI$11:$CI$1309,MATCH("8392-GY-S-K-37.5",'SKU明细'!$A$11:$A$1309,0)),INDEX('SKU明细'!$CI$11:$CI$1309,MATCH("8392-GY-S-K-38",'SKU明细'!$A$11:$A$1309,0)),INDEX('SKU明细'!$CI$11:$CI$1309,MATCH("8392-GY-S-K-38.5",'SKU明细'!$A$11:$A$1309,0)),INDEX('SKU明细'!$CI$11:$CI$1309,MATCH("8392-GY-S-K-39",'SKU明细'!$A$11:$A$1309,0)),INDEX('SKU明细'!$CI$11:$CI$1309,MATCH("8392-GY-S-K-39.5",'SKU明细'!$A$11:$A$1309,0)),INDEX('SKU明细'!$CI$11:$CI$1309,MATCH("8392-GY-S-K-40",'SKU明细'!$A$11:$A$1309,0)),INDEX('SKU明细'!$CI$11:$CI$1309,MATCH("8392-GY-S-K-40.5",'SKU明细'!$A$11:$A$1309,0)),INDEX('SKU明细'!$CI$11:$CI$1309,MATCH("8392-GY-S-K-41",'SKU明细'!$A$11:$A$1309,0)),INDEX('SKU明细'!$CI$11:$CI$1309,MATCH("8392-GY-S-K-41.5",'SKU明细'!$A$11:$A$1309,0)),INDEX('SKU明细'!$CI$11:$CI$1309,MATCH("8392-GY-S-K-42",'SKU明细'!$A$11:$A$1309,0)))=11,SUM(INDEX('SKU明细'!$CI$11:$CI$1309,MATCH("8392-GY-S-K-37",'SKU明细'!$A$11:$A$1309,0)),INDEX('SKU明细'!$CI$11:$CI$1309,MATCH("8392-GY-S-K-37.5",'SKU明细'!$A$11:$A$1309,0)),INDEX('SKU明细'!$CI$11:$CI$1309,MATCH("8392-GY-S-K-38",'SKU明细'!$A$11:$A$1309,0)),INDEX('SKU明细'!$CI$11:$CI$1309,MATCH("8392-GY-S-K-38.5",'SKU明细'!$A$11:$A$1309,0)),INDEX('SKU明细'!$CI$11:$CI$1309,MATCH("8392-GY-S-K-39",'SKU明细'!$A$11:$A$1309,0)),INDEX('SKU明细'!$CI$11:$CI$1309,MATCH("8392-GY-S-K-39.5",'SKU明细'!$A$11:$A$1309,0)),INDEX('SKU明细'!$CI$11:$CI$1309,MATCH("8392-GY-S-K-40",'SKU明细'!$A$11:$A$1309,0)),INDEX('SKU明细'!$CI$11:$CI$1309,MATCH("8392-GY-S-K-40.5",'SKU明细'!$A$11:$A$1309,0)),INDEX('SKU明细'!$CI$11:$CI$1309,MATCH("8392-GY-S-K-41",'SKU明细'!$A$11:$A$1309,0)),INDEX('SKU明细'!$CI$11:$CI$1309,MATCH("8392-GY-S-K-41.5",'SKU明细'!$A$11:$A$1309,0)),INDEX('SKU明细'!$CI$11:$CI$1309,MATCH("8392-GY-S-K-42",'SKU明细'!$A$11:$A$1309,0))),"待核")</x:f>
        <x:v>0</x:v>
      </x:c>
    </x:row>
    <x:row r="144" ht="40" customHeight="1">
      <x:c r="A144" s="35" t="str">
        <x:v>8392</x:v>
      </x:c>
      <x:c r="B144" s="35" t="str">
        <x:v>徐新怡</x:v>
      </x:c>
      <x:c r="C144" s="35" t="str">
        <x:v>豹纹</x:v>
      </x:c>
      <x:c r="D144" s="35" t="str">
        <x:v>LP</x:v>
      </x:c>
      <x:c r="E144" s="35" t="str">
        <x:v>8392-LP</x:v>
      </x:c>
      <x:c r="F144" s="35"/>
      <x:c r="G144" s="36" t="str">
        <x:f>"—"</x:f>
        <x:v>—</x:v>
      </x:c>
      <x:c r="H144" s="36" t="n">
        <x:f>IF(COUNT(INDEX('SKU明细'!$D$11:$D$1309,MATCH("8392-LP-37",'SKU明细'!$A$11:$A$1309,0)))=0,"待核",IF(COUNT(INDEX('SKU明细'!$D$11:$D$1309,MATCH("8392-LP-37",'SKU明细'!$A$11:$A$1309,0)))&lt;1,SUM(INDEX('SKU明细'!$D$11:$D$1309,MATCH("8392-LP-37",'SKU明细'!$A$11:$A$1309,0)))&amp;" + 待核",SUM(INDEX('SKU明细'!$D$11:$D$1309,MATCH("8392-LP-37",'SKU明细'!$A$11:$A$1309,0)))))</x:f>
        <x:v>0</x:v>
      </x:c>
      <x:c r="I144" s="36" t="str">
        <x:f>IF(COUNT(INDEX('SKU明细'!$D$11:$D$1309,MATCH("8392-LP-37.5",'SKU明细'!$A$11:$A$1309,0)))=0,"待核",IF(COUNT(INDEX('SKU明细'!$D$11:$D$1309,MATCH("8392-LP-37.5",'SKU明细'!$A$11:$A$1309,0)))&lt;1,SUM(INDEX('SKU明细'!$D$11:$D$1309,MATCH("8392-LP-37.5",'SKU明细'!$A$11:$A$1309,0)))&amp;" + 待核",SUM(INDEX('SKU明细'!$D$11:$D$1309,MATCH("8392-LP-37.5",'SKU明细'!$A$11:$A$1309,0)))))</x:f>
        <x:v>待核</x:v>
      </x:c>
      <x:c r="J144" s="36" t="n">
        <x:f>IF(COUNT(INDEX('SKU明细'!$D$11:$D$1309,MATCH("8392-LP-38",'SKU明细'!$A$11:$A$1309,0)))=0,"待核",IF(COUNT(INDEX('SKU明细'!$D$11:$D$1309,MATCH("8392-LP-38",'SKU明细'!$A$11:$A$1309,0)))&lt;1,SUM(INDEX('SKU明细'!$D$11:$D$1309,MATCH("8392-LP-38",'SKU明细'!$A$11:$A$1309,0)))&amp;" + 待核",SUM(INDEX('SKU明细'!$D$11:$D$1309,MATCH("8392-LP-38",'SKU明细'!$A$11:$A$1309,0)))))</x:f>
        <x:v>4</x:v>
      </x:c>
      <x:c r="K144" s="36" t="n">
        <x:f>IF(COUNT(INDEX('SKU明细'!$D$11:$D$1309,MATCH("8392-LP-38.5",'SKU明细'!$A$11:$A$1309,0)))=0,"待核",IF(COUNT(INDEX('SKU明细'!$D$11:$D$1309,MATCH("8392-LP-38.5",'SKU明细'!$A$11:$A$1309,0)))&lt;1,SUM(INDEX('SKU明细'!$D$11:$D$1309,MATCH("8392-LP-38.5",'SKU明细'!$A$11:$A$1309,0)))&amp;" + 待核",SUM(INDEX('SKU明细'!$D$11:$D$1309,MATCH("8392-LP-38.5",'SKU明细'!$A$11:$A$1309,0)))))</x:f>
        <x:v>0</x:v>
      </x:c>
      <x:c r="L144" s="36" t="n">
        <x:f>IF(COUNT(INDEX('SKU明细'!$D$11:$D$1309,MATCH("8392-LP-39",'SKU明细'!$A$11:$A$1309,0)))=0,"待核",IF(COUNT(INDEX('SKU明细'!$D$11:$D$1309,MATCH("8392-LP-39",'SKU明细'!$A$11:$A$1309,0)))&lt;1,SUM(INDEX('SKU明细'!$D$11:$D$1309,MATCH("8392-LP-39",'SKU明细'!$A$11:$A$1309,0)))&amp;" + 待核",SUM(INDEX('SKU明细'!$D$11:$D$1309,MATCH("8392-LP-39",'SKU明细'!$A$11:$A$1309,0)))))</x:f>
        <x:v>0</x:v>
      </x:c>
      <x:c r="M144" s="36" t="n">
        <x:f>IF(COUNT(INDEX('SKU明细'!$D$11:$D$1309,MATCH("8392-LP-39.5",'SKU明细'!$A$11:$A$1309,0)))=0,"待核",IF(COUNT(INDEX('SKU明细'!$D$11:$D$1309,MATCH("8392-LP-39.5",'SKU明细'!$A$11:$A$1309,0)))&lt;1,SUM(INDEX('SKU明细'!$D$11:$D$1309,MATCH("8392-LP-39.5",'SKU明细'!$A$11:$A$1309,0)))&amp;" + 待核",SUM(INDEX('SKU明细'!$D$11:$D$1309,MATCH("8392-LP-39.5",'SKU明细'!$A$11:$A$1309,0)))))</x:f>
        <x:v>0</x:v>
      </x:c>
      <x:c r="N144" s="36" t="n">
        <x:f>IF(COUNT(INDEX('SKU明细'!$D$11:$D$1309,MATCH("8392-LP-40",'SKU明细'!$A$11:$A$1309,0)))=0,"待核",IF(COUNT(INDEX('SKU明细'!$D$11:$D$1309,MATCH("8392-LP-40",'SKU明细'!$A$11:$A$1309,0)))&lt;1,SUM(INDEX('SKU明细'!$D$11:$D$1309,MATCH("8392-LP-40",'SKU明细'!$A$11:$A$1309,0)))&amp;" + 待核",SUM(INDEX('SKU明细'!$D$11:$D$1309,MATCH("8392-LP-40",'SKU明细'!$A$11:$A$1309,0)))))</x:f>
        <x:v>21</x:v>
      </x:c>
      <x:c r="O144" s="36" t="str">
        <x:f>IF(COUNT(INDEX('SKU明细'!$D$11:$D$1309,MATCH("8392-LP-40.5",'SKU明细'!$A$11:$A$1309,0)))=0,"待核",IF(COUNT(INDEX('SKU明细'!$D$11:$D$1309,MATCH("8392-LP-40.5",'SKU明细'!$A$11:$A$1309,0)))&lt;1,SUM(INDEX('SKU明细'!$D$11:$D$1309,MATCH("8392-LP-40.5",'SKU明细'!$A$11:$A$1309,0)))&amp;" + 待核",SUM(INDEX('SKU明细'!$D$11:$D$1309,MATCH("8392-LP-40.5",'SKU明细'!$A$11:$A$1309,0)))))</x:f>
        <x:v>待核</x:v>
      </x:c>
      <x:c r="P144" s="36" t="n">
        <x:f>IF(COUNT(INDEX('SKU明细'!$D$11:$D$1309,MATCH("8392-LP-41",'SKU明细'!$A$11:$A$1309,0)))=0,"待核",IF(COUNT(INDEX('SKU明细'!$D$11:$D$1309,MATCH("8392-LP-41",'SKU明细'!$A$11:$A$1309,0)))&lt;1,SUM(INDEX('SKU明细'!$D$11:$D$1309,MATCH("8392-LP-41",'SKU明细'!$A$11:$A$1309,0)))&amp;" + 待核",SUM(INDEX('SKU明细'!$D$11:$D$1309,MATCH("8392-LP-41",'SKU明细'!$A$11:$A$1309,0)))))</x:f>
        <x:v>0</x:v>
      </x:c>
      <x:c r="Q144" s="36" t="str">
        <x:f>IF(COUNT(INDEX('SKU明细'!$D$11:$D$1309,MATCH("8392-LP-41.5",'SKU明细'!$A$11:$A$1309,0)))=0,"待核",IF(COUNT(INDEX('SKU明细'!$D$11:$D$1309,MATCH("8392-LP-41.5",'SKU明细'!$A$11:$A$1309,0)))&lt;1,SUM(INDEX('SKU明细'!$D$11:$D$1309,MATCH("8392-LP-41.5",'SKU明细'!$A$11:$A$1309,0)))&amp;" + 待核",SUM(INDEX('SKU明细'!$D$11:$D$1309,MATCH("8392-LP-41.5",'SKU明细'!$A$11:$A$1309,0)))))</x:f>
        <x:v>待核</x:v>
      </x:c>
      <x:c r="R144" s="36" t="n">
        <x:f>IF(COUNT(INDEX('SKU明细'!$D$11:$D$1309,MATCH("8392-LP-42",'SKU明细'!$A$11:$A$1309,0)))=0,"待核",IF(COUNT(INDEX('SKU明细'!$D$11:$D$1309,MATCH("8392-LP-42",'SKU明细'!$A$11:$A$1309,0)))&lt;1,SUM(INDEX('SKU明细'!$D$11:$D$1309,MATCH("8392-LP-42",'SKU明细'!$A$11:$A$1309,0)))&amp;" + 待核",SUM(INDEX('SKU明细'!$D$11:$D$1309,MATCH("8392-LP-42",'SKU明细'!$A$11:$A$1309,0)))))</x:f>
        <x:v>0</x:v>
      </x:c>
      <x:c r="S144" s="36" t="n">
        <x:f>IF(COUNT(INDEX('SKU明细'!$D$11:$D$1309,MATCH("8392-LP-37",'SKU明细'!$A$11:$A$1309,0)),INDEX('SKU明细'!$D$11:$D$1309,MATCH("8392-LP-37.5",'SKU明细'!$A$11:$A$1309,0)),INDEX('SKU明细'!$D$11:$D$1309,MATCH("8392-LP-38",'SKU明细'!$A$11:$A$1309,0)),INDEX('SKU明细'!$D$11:$D$1309,MATCH("8392-LP-38.5",'SKU明细'!$A$11:$A$1309,0)),INDEX('SKU明细'!$D$11:$D$1309,MATCH("8392-LP-39",'SKU明细'!$A$11:$A$1309,0)),INDEX('SKU明细'!$D$11:$D$1309,MATCH("8392-LP-39.5",'SKU明细'!$A$11:$A$1309,0)),INDEX('SKU明细'!$D$11:$D$1309,MATCH("8392-LP-40",'SKU明细'!$A$11:$A$1309,0)),INDEX('SKU明细'!$D$11:$D$1309,MATCH("8392-LP-40.5",'SKU明细'!$A$11:$A$1309,0)),INDEX('SKU明细'!$D$11:$D$1309,MATCH("8392-LP-41",'SKU明细'!$A$11:$A$1309,0)),INDEX('SKU明细'!$D$11:$D$1309,MATCH("8392-LP-41.5",'SKU明细'!$A$11:$A$1309,0)),INDEX('SKU明细'!$D$11:$D$1309,MATCH("8392-LP-42",'SKU明细'!$A$11:$A$1309,0)))=0,"待核",SUM(INDEX('SKU明细'!$D$11:$D$1309,MATCH("8392-LP-37",'SKU明细'!$A$11:$A$1309,0)),INDEX('SKU明细'!$D$11:$D$1309,MATCH("8392-LP-37.5",'SKU明细'!$A$11:$A$1309,0)),INDEX('SKU明细'!$D$11:$D$1309,MATCH("8392-LP-38",'SKU明细'!$A$11:$A$1309,0)),INDEX('SKU明细'!$D$11:$D$1309,MATCH("8392-LP-38.5",'SKU明细'!$A$11:$A$1309,0)),INDEX('SKU明细'!$D$11:$D$1309,MATCH("8392-LP-39",'SKU明细'!$A$11:$A$1309,0)),INDEX('SKU明细'!$D$11:$D$1309,MATCH("8392-LP-39.5",'SKU明细'!$A$11:$A$1309,0)),INDEX('SKU明细'!$D$11:$D$1309,MATCH("8392-LP-40",'SKU明细'!$A$11:$A$1309,0)),INDEX('SKU明细'!$D$11:$D$1309,MATCH("8392-LP-40.5",'SKU明细'!$A$11:$A$1309,0)),INDEX('SKU明细'!$D$11:$D$1309,MATCH("8392-LP-41",'SKU明细'!$A$11:$A$1309,0)),INDEX('SKU明细'!$D$11:$D$1309,MATCH("8392-LP-41.5",'SKU明细'!$A$11:$A$1309,0)),INDEX('SKU明细'!$D$11:$D$1309,MATCH("8392-LP-42",'SKU明细'!$A$11:$A$1309,0))))</x:f>
        <x:v>25</x:v>
      </x:c>
      <x:c r="T144" s="36" t="n">
        <x:f>IF(COUNTIFS($A$9:$A$191,A144,$U$9:$U$191,"&lt;&gt;待核")=0,"待核",SUMIF($A$9:$A$191,A144,$S$9:$S$191))</x:f>
        <x:v>137</x:v>
      </x:c>
      <x:c r="U144" s="35" t="str">
        <x:f>IF(COUNT(INDEX('SKU明细'!$D$11:$D$1309,MATCH("8392-LP-37",'SKU明细'!$A$11:$A$1309,0)),INDEX('SKU明细'!$D$11:$D$1309,MATCH("8392-LP-37.5",'SKU明细'!$A$11:$A$1309,0)),INDEX('SKU明细'!$D$11:$D$1309,MATCH("8392-LP-38",'SKU明细'!$A$11:$A$1309,0)),INDEX('SKU明细'!$D$11:$D$1309,MATCH("8392-LP-38.5",'SKU明细'!$A$11:$A$1309,0)),INDEX('SKU明细'!$D$11:$D$1309,MATCH("8392-LP-39",'SKU明细'!$A$11:$A$1309,0)),INDEX('SKU明细'!$D$11:$D$1309,MATCH("8392-LP-39.5",'SKU明细'!$A$11:$A$1309,0)),INDEX('SKU明细'!$D$11:$D$1309,MATCH("8392-LP-40",'SKU明细'!$A$11:$A$1309,0)),INDEX('SKU明细'!$D$11:$D$1309,MATCH("8392-LP-40.5",'SKU明细'!$A$11:$A$1309,0)),INDEX('SKU明细'!$D$11:$D$1309,MATCH("8392-LP-41",'SKU明细'!$A$11:$A$1309,0)),INDEX('SKU明细'!$D$11:$D$1309,MATCH("8392-LP-41.5",'SKU明细'!$A$11:$A$1309,0)),INDEX('SKU明细'!$D$11:$D$1309,MATCH("8392-LP-42",'SKU明细'!$A$11:$A$1309,0)))=0,"待核",IF(COUNT(INDEX('SKU明细'!$D$11:$D$1309,MATCH("8392-LP-37",'SKU明细'!$A$11:$A$1309,0)),INDEX('SKU明细'!$D$11:$D$1309,MATCH("8392-LP-37.5",'SKU明细'!$A$11:$A$1309,0)),INDEX('SKU明细'!$D$11:$D$1309,MATCH("8392-LP-38",'SKU明细'!$A$11:$A$1309,0)),INDEX('SKU明细'!$D$11:$D$1309,MATCH("8392-LP-38.5",'SKU明细'!$A$11:$A$1309,0)),INDEX('SKU明细'!$D$11:$D$1309,MATCH("8392-LP-39",'SKU明细'!$A$11:$A$1309,0)),INDEX('SKU明细'!$D$11:$D$1309,MATCH("8392-LP-39.5",'SKU明细'!$A$11:$A$1309,0)),INDEX('SKU明细'!$D$11:$D$1309,MATCH("8392-LP-40",'SKU明细'!$A$11:$A$1309,0)),INDEX('SKU明细'!$D$11:$D$1309,MATCH("8392-LP-40.5",'SKU明细'!$A$11:$A$1309,0)),INDEX('SKU明细'!$D$11:$D$1309,MATCH("8392-LP-41",'SKU明细'!$A$11:$A$1309,0)),INDEX('SKU明细'!$D$11:$D$1309,MATCH("8392-LP-41.5",'SKU明细'!$A$11:$A$1309,0)),INDEX('SKU明细'!$D$11:$D$1309,MATCH("8392-LP-42",'SKU明细'!$A$11:$A$1309,0)))&lt;11,"另有待核","已核"))</x:f>
        <x:v>另有待核</x:v>
      </x:c>
      <x:c r="V144" s="35" t="str">
        <x:v>在售、未匹配Listing、停售</x:v>
      </x:c>
      <x:c r="W144" s="11" t="n">
        <x:f>IF(COUNT(INDEX('SKU明细'!$BV$11:$BV$1309,MATCH("8392-LP-37",'SKU明细'!$A$11:$A$1309,0)),INDEX('SKU明细'!$BV$11:$BV$1309,MATCH("8392-LP-37.5",'SKU明细'!$A$11:$A$1309,0)),INDEX('SKU明细'!$BV$11:$BV$1309,MATCH("8392-LP-38",'SKU明细'!$A$11:$A$1309,0)),INDEX('SKU明细'!$BV$11:$BV$1309,MATCH("8392-LP-38.5",'SKU明细'!$A$11:$A$1309,0)),INDEX('SKU明细'!$BV$11:$BV$1309,MATCH("8392-LP-39",'SKU明细'!$A$11:$A$1309,0)),INDEX('SKU明细'!$BV$11:$BV$1309,MATCH("8392-LP-39.5",'SKU明细'!$A$11:$A$1309,0)),INDEX('SKU明细'!$BV$11:$BV$1309,MATCH("8392-LP-40",'SKU明细'!$A$11:$A$1309,0)),INDEX('SKU明细'!$BV$11:$BV$1309,MATCH("8392-LP-40.5",'SKU明细'!$A$11:$A$1309,0)),INDEX('SKU明细'!$BV$11:$BV$1309,MATCH("8392-LP-41",'SKU明细'!$A$11:$A$1309,0)),INDEX('SKU明细'!$BV$11:$BV$1309,MATCH("8392-LP-41.5",'SKU明细'!$A$11:$A$1309,0)),INDEX('SKU明细'!$BV$11:$BV$1309,MATCH("8392-LP-42",'SKU明细'!$A$11:$A$1309,0)))=11,SUM(INDEX('SKU明细'!$BV$11:$BV$1309,MATCH("8392-LP-37",'SKU明细'!$A$11:$A$1309,0)),INDEX('SKU明细'!$BV$11:$BV$1309,MATCH("8392-LP-37.5",'SKU明细'!$A$11:$A$1309,0)),INDEX('SKU明细'!$BV$11:$BV$1309,MATCH("8392-LP-38",'SKU明细'!$A$11:$A$1309,0)),INDEX('SKU明细'!$BV$11:$BV$1309,MATCH("8392-LP-38.5",'SKU明细'!$A$11:$A$1309,0)),INDEX('SKU明细'!$BV$11:$BV$1309,MATCH("8392-LP-39",'SKU明细'!$A$11:$A$1309,0)),INDEX('SKU明细'!$BV$11:$BV$1309,MATCH("8392-LP-39.5",'SKU明细'!$A$11:$A$1309,0)),INDEX('SKU明细'!$BV$11:$BV$1309,MATCH("8392-LP-40",'SKU明细'!$A$11:$A$1309,0)),INDEX('SKU明细'!$BV$11:$BV$1309,MATCH("8392-LP-40.5",'SKU明细'!$A$11:$A$1309,0)),INDEX('SKU明细'!$BV$11:$BV$1309,MATCH("8392-LP-41",'SKU明细'!$A$11:$A$1309,0)),INDEX('SKU明细'!$BV$11:$BV$1309,MATCH("8392-LP-41.5",'SKU明细'!$A$11:$A$1309,0)),INDEX('SKU明细'!$BV$11:$BV$1309,MATCH("8392-LP-42",'SKU明细'!$A$11:$A$1309,0))),"待核")</x:f>
        <x:v>1.7348603654072816</x:v>
      </x:c>
      <x:c r="X144" s="11" t="n">
        <x:f>INDEX('SKU明细'!$BW$11:$BW$1309,MATCH("8392-LP-37",'SKU明细'!$A$11:$A$1309,0))</x:f>
        <x:v>1.1743420411079069</x:v>
      </x:c>
      <x:c r="Y144" s="13" t="n">
        <x:f>IF(COUNT(INDEX('SKU明细'!$BY$11:$BY$1309,MATCH("8392-LP-37",'SKU明细'!$A$11:$A$1309,0)),INDEX('SKU明细'!$BY$11:$BY$1309,MATCH("8392-LP-37.5",'SKU明细'!$A$11:$A$1309,0)),INDEX('SKU明细'!$BY$11:$BY$1309,MATCH("8392-LP-38",'SKU明细'!$A$11:$A$1309,0)),INDEX('SKU明细'!$BY$11:$BY$1309,MATCH("8392-LP-38.5",'SKU明细'!$A$11:$A$1309,0)),INDEX('SKU明细'!$BY$11:$BY$1309,MATCH("8392-LP-39",'SKU明细'!$A$11:$A$1309,0)),INDEX('SKU明细'!$BY$11:$BY$1309,MATCH("8392-LP-39.5",'SKU明细'!$A$11:$A$1309,0)),INDEX('SKU明细'!$BY$11:$BY$1309,MATCH("8392-LP-40",'SKU明细'!$A$11:$A$1309,0)),INDEX('SKU明细'!$BY$11:$BY$1309,MATCH("8392-LP-40.5",'SKU明细'!$A$11:$A$1309,0)),INDEX('SKU明细'!$BY$11:$BY$1309,MATCH("8392-LP-41",'SKU明细'!$A$11:$A$1309,0)),INDEX('SKU明细'!$BY$11:$BY$1309,MATCH("8392-LP-41.5",'SKU明细'!$A$11:$A$1309,0)),INDEX('SKU明细'!$BY$11:$BY$1309,MATCH("8392-LP-42",'SKU明细'!$A$11:$A$1309,0)))=11,SUM(INDEX('SKU明细'!$BY$11:$BY$1309,MATCH("8392-LP-37",'SKU明细'!$A$11:$A$1309,0)),INDEX('SKU明细'!$BY$11:$BY$1309,MATCH("8392-LP-37.5",'SKU明细'!$A$11:$A$1309,0)),INDEX('SKU明细'!$BY$11:$BY$1309,MATCH("8392-LP-38",'SKU明细'!$A$11:$A$1309,0)),INDEX('SKU明细'!$BY$11:$BY$1309,MATCH("8392-LP-38.5",'SKU明细'!$A$11:$A$1309,0)),INDEX('SKU明细'!$BY$11:$BY$1309,MATCH("8392-LP-39",'SKU明细'!$A$11:$A$1309,0)),INDEX('SKU明细'!$BY$11:$BY$1309,MATCH("8392-LP-39.5",'SKU明细'!$A$11:$A$1309,0)),INDEX('SKU明细'!$BY$11:$BY$1309,MATCH("8392-LP-40",'SKU明细'!$A$11:$A$1309,0)),INDEX('SKU明细'!$BY$11:$BY$1309,MATCH("8392-LP-40.5",'SKU明细'!$A$11:$A$1309,0)),INDEX('SKU明细'!$BY$11:$BY$1309,MATCH("8392-LP-41",'SKU明细'!$A$11:$A$1309,0)),INDEX('SKU明细'!$BY$11:$BY$1309,MATCH("8392-LP-41.5",'SKU明细'!$A$11:$A$1309,0)),INDEX('SKU明细'!$BY$11:$BY$1309,MATCH("8392-LP-42",'SKU明细'!$A$11:$A$1309,0))),"待核")</x:f>
        <x:v>24.447833550595156</x:v>
      </x:c>
      <x:c r="Z144" s="11" t="n">
        <x:f>INDEX('SKU明细'!$BZ$11:$BZ$1309,MATCH("8392-LP-37",'SKU明细'!$A$11:$A$1309,0))</x:f>
        <x:v>1.281694931279211</x:v>
      </x:c>
      <x:c r="AA144" s="13" t="n">
        <x:f>IF(COUNT(INDEX('SKU明细'!$CB$11:$CB$1309,MATCH("8392-LP-37",'SKU明细'!$A$11:$A$1309,0)),INDEX('SKU明细'!$CB$11:$CB$1309,MATCH("8392-LP-37.5",'SKU明细'!$A$11:$A$1309,0)),INDEX('SKU明细'!$CB$11:$CB$1309,MATCH("8392-LP-38",'SKU明细'!$A$11:$A$1309,0)),INDEX('SKU明细'!$CB$11:$CB$1309,MATCH("8392-LP-38.5",'SKU明细'!$A$11:$A$1309,0)),INDEX('SKU明细'!$CB$11:$CB$1309,MATCH("8392-LP-39",'SKU明细'!$A$11:$A$1309,0)),INDEX('SKU明细'!$CB$11:$CB$1309,MATCH("8392-LP-39.5",'SKU明细'!$A$11:$A$1309,0)),INDEX('SKU明细'!$CB$11:$CB$1309,MATCH("8392-LP-40",'SKU明细'!$A$11:$A$1309,0)),INDEX('SKU明细'!$CB$11:$CB$1309,MATCH("8392-LP-40.5",'SKU明细'!$A$11:$A$1309,0)),INDEX('SKU明细'!$CB$11:$CB$1309,MATCH("8392-LP-41",'SKU明细'!$A$11:$A$1309,0)),INDEX('SKU明细'!$CB$11:$CB$1309,MATCH("8392-LP-41.5",'SKU明细'!$A$11:$A$1309,0)),INDEX('SKU明细'!$CB$11:$CB$1309,MATCH("8392-LP-42",'SKU明细'!$A$11:$A$1309,0)))=11,SUM(INDEX('SKU明细'!$CB$11:$CB$1309,MATCH("8392-LP-37",'SKU明细'!$A$11:$A$1309,0)),INDEX('SKU明细'!$CB$11:$CB$1309,MATCH("8392-LP-37.5",'SKU明细'!$A$11:$A$1309,0)),INDEX('SKU明细'!$CB$11:$CB$1309,MATCH("8392-LP-38",'SKU明细'!$A$11:$A$1309,0)),INDEX('SKU明细'!$CB$11:$CB$1309,MATCH("8392-LP-38.5",'SKU明细'!$A$11:$A$1309,0)),INDEX('SKU明细'!$CB$11:$CB$1309,MATCH("8392-LP-39",'SKU明细'!$A$11:$A$1309,0)),INDEX('SKU明细'!$CB$11:$CB$1309,MATCH("8392-LP-39.5",'SKU明细'!$A$11:$A$1309,0)),INDEX('SKU明细'!$CB$11:$CB$1309,MATCH("8392-LP-40",'SKU明细'!$A$11:$A$1309,0)),INDEX('SKU明细'!$CB$11:$CB$1309,MATCH("8392-LP-40.5",'SKU明细'!$A$11:$A$1309,0)),INDEX('SKU明细'!$CB$11:$CB$1309,MATCH("8392-LP-41",'SKU明细'!$A$11:$A$1309,0)),INDEX('SKU明细'!$CB$11:$CB$1309,MATCH("8392-LP-41.5",'SKU明细'!$A$11:$A$1309,0)),INDEX('SKU明细'!$CB$11:$CB$1309,MATCH("8392-LP-42",'SKU明细'!$A$11:$A$1309,0))),"待核")</x:f>
        <x:v>66.70685210459139</x:v>
      </x:c>
      <x:c r="AB144" s="11" t="n">
        <x:f>INDEX('SKU明细'!$CC$11:$CC$1309,MATCH("8392-LP-37",'SKU明细'!$A$11:$A$1309,0))</x:f>
        <x:v>0.9007634642750235</x:v>
      </x:c>
      <x:c r="AC144" s="13" t="n">
        <x:f>IF(COUNT(INDEX('SKU明细'!$CE$11:$CE$1309,MATCH("8392-LP-37",'SKU明细'!$A$11:$A$1309,0)),INDEX('SKU明细'!$CE$11:$CE$1309,MATCH("8392-LP-37.5",'SKU明细'!$A$11:$A$1309,0)),INDEX('SKU明细'!$CE$11:$CE$1309,MATCH("8392-LP-38",'SKU明细'!$A$11:$A$1309,0)),INDEX('SKU明细'!$CE$11:$CE$1309,MATCH("8392-LP-38.5",'SKU明细'!$A$11:$A$1309,0)),INDEX('SKU明细'!$CE$11:$CE$1309,MATCH("8392-LP-39",'SKU明细'!$A$11:$A$1309,0)),INDEX('SKU明细'!$CE$11:$CE$1309,MATCH("8392-LP-39.5",'SKU明细'!$A$11:$A$1309,0)),INDEX('SKU明细'!$CE$11:$CE$1309,MATCH("8392-LP-40",'SKU明细'!$A$11:$A$1309,0)),INDEX('SKU明细'!$CE$11:$CE$1309,MATCH("8392-LP-40.5",'SKU明细'!$A$11:$A$1309,0)),INDEX('SKU明细'!$CE$11:$CE$1309,MATCH("8392-LP-41",'SKU明细'!$A$11:$A$1309,0)),INDEX('SKU明细'!$CE$11:$CE$1309,MATCH("8392-LP-41.5",'SKU明细'!$A$11:$A$1309,0)),INDEX('SKU明细'!$CE$11:$CE$1309,MATCH("8392-LP-42",'SKU明细'!$A$11:$A$1309,0)))=11,SUM(INDEX('SKU明细'!$CE$11:$CE$1309,MATCH("8392-LP-37",'SKU明细'!$A$11:$A$1309,0)),INDEX('SKU明细'!$CE$11:$CE$1309,MATCH("8392-LP-37.5",'SKU明细'!$A$11:$A$1309,0)),INDEX('SKU明细'!$CE$11:$CE$1309,MATCH("8392-LP-38",'SKU明细'!$A$11:$A$1309,0)),INDEX('SKU明细'!$CE$11:$CE$1309,MATCH("8392-LP-38.5",'SKU明细'!$A$11:$A$1309,0)),INDEX('SKU明细'!$CE$11:$CE$1309,MATCH("8392-LP-39",'SKU明细'!$A$11:$A$1309,0)),INDEX('SKU明细'!$CE$11:$CE$1309,MATCH("8392-LP-39.5",'SKU明细'!$A$11:$A$1309,0)),INDEX('SKU明细'!$CE$11:$CE$1309,MATCH("8392-LP-40",'SKU明细'!$A$11:$A$1309,0)),INDEX('SKU明细'!$CE$11:$CE$1309,MATCH("8392-LP-40.5",'SKU明细'!$A$11:$A$1309,0)),INDEX('SKU明细'!$CE$11:$CE$1309,MATCH("8392-LP-41",'SKU明细'!$A$11:$A$1309,0)),INDEX('SKU明细'!$CE$11:$CE$1309,MATCH("8392-LP-41.5",'SKU明细'!$A$11:$A$1309,0)),INDEX('SKU明细'!$CE$11:$CE$1309,MATCH("8392-LP-42",'SKU明细'!$A$11:$A$1309,0))),"待核")</x:f>
        <x:v>48.44366381610858</x:v>
      </x:c>
      <x:c r="AD144" s="11" t="n">
        <x:f>INDEX('SKU明细'!$CF$11:$CF$1309,MATCH("8392-LP-37",'SKU明细'!$A$11:$A$1309,0))</x:f>
        <x:v>0.9537631089407297</x:v>
      </x:c>
      <x:c r="AE144" s="13" t="n">
        <x:f>IF(COUNT(INDEX('SKU明细'!$CH$11:$CH$1309,MATCH("8392-LP-37",'SKU明细'!$A$11:$A$1309,0)),INDEX('SKU明细'!$CH$11:$CH$1309,MATCH("8392-LP-37.5",'SKU明细'!$A$11:$A$1309,0)),INDEX('SKU明细'!$CH$11:$CH$1309,MATCH("8392-LP-38",'SKU明细'!$A$11:$A$1309,0)),INDEX('SKU明细'!$CH$11:$CH$1309,MATCH("8392-LP-38.5",'SKU明细'!$A$11:$A$1309,0)),INDEX('SKU明细'!$CH$11:$CH$1309,MATCH("8392-LP-39",'SKU明细'!$A$11:$A$1309,0)),INDEX('SKU明细'!$CH$11:$CH$1309,MATCH("8392-LP-39.5",'SKU明细'!$A$11:$A$1309,0)),INDEX('SKU明细'!$CH$11:$CH$1309,MATCH("8392-LP-40",'SKU明细'!$A$11:$A$1309,0)),INDEX('SKU明细'!$CH$11:$CH$1309,MATCH("8392-LP-40.5",'SKU明细'!$A$11:$A$1309,0)),INDEX('SKU明细'!$CH$11:$CH$1309,MATCH("8392-LP-41",'SKU明细'!$A$11:$A$1309,0)),INDEX('SKU明细'!$CH$11:$CH$1309,MATCH("8392-LP-41.5",'SKU明细'!$A$11:$A$1309,0)),INDEX('SKU明细'!$CH$11:$CH$1309,MATCH("8392-LP-42",'SKU明细'!$A$11:$A$1309,0)))=11,SUM(INDEX('SKU明细'!$CH$11:$CH$1309,MATCH("8392-LP-37",'SKU明细'!$A$11:$A$1309,0)),INDEX('SKU明细'!$CH$11:$CH$1309,MATCH("8392-LP-37.5",'SKU明细'!$A$11:$A$1309,0)),INDEX('SKU明细'!$CH$11:$CH$1309,MATCH("8392-LP-38",'SKU明细'!$A$11:$A$1309,0)),INDEX('SKU明细'!$CH$11:$CH$1309,MATCH("8392-LP-38.5",'SKU明细'!$A$11:$A$1309,0)),INDEX('SKU明细'!$CH$11:$CH$1309,MATCH("8392-LP-39",'SKU明细'!$A$11:$A$1309,0)),INDEX('SKU明细'!$CH$11:$CH$1309,MATCH("8392-LP-39.5",'SKU明细'!$A$11:$A$1309,0)),INDEX('SKU明细'!$CH$11:$CH$1309,MATCH("8392-LP-40",'SKU明细'!$A$11:$A$1309,0)),INDEX('SKU明细'!$CH$11:$CH$1309,MATCH("8392-LP-40.5",'SKU明细'!$A$11:$A$1309,0)),INDEX('SKU明细'!$CH$11:$CH$1309,MATCH("8392-LP-41",'SKU明细'!$A$11:$A$1309,0)),INDEX('SKU明细'!$CH$11:$CH$1309,MATCH("8392-LP-41.5",'SKU明细'!$A$11:$A$1309,0)),INDEX('SKU明细'!$CH$11:$CH$1309,MATCH("8392-LP-42",'SKU明细'!$A$11:$A$1309,0))),"待核")</x:f>
        <x:v>28.128978866711286</x:v>
      </x:c>
      <x:c r="AF144" s="13" t="n">
        <x:f>IF(COUNT(INDEX('SKU明细'!$CI$11:$CI$1309,MATCH("8392-LP-37",'SKU明细'!$A$11:$A$1309,0)),INDEX('SKU明细'!$CI$11:$CI$1309,MATCH("8392-LP-37.5",'SKU明细'!$A$11:$A$1309,0)),INDEX('SKU明细'!$CI$11:$CI$1309,MATCH("8392-LP-38",'SKU明细'!$A$11:$A$1309,0)),INDEX('SKU明细'!$CI$11:$CI$1309,MATCH("8392-LP-38.5",'SKU明细'!$A$11:$A$1309,0)),INDEX('SKU明细'!$CI$11:$CI$1309,MATCH("8392-LP-39",'SKU明细'!$A$11:$A$1309,0)),INDEX('SKU明细'!$CI$11:$CI$1309,MATCH("8392-LP-39.5",'SKU明细'!$A$11:$A$1309,0)),INDEX('SKU明细'!$CI$11:$CI$1309,MATCH("8392-LP-40",'SKU明细'!$A$11:$A$1309,0)),INDEX('SKU明细'!$CI$11:$CI$1309,MATCH("8392-LP-40.5",'SKU明细'!$A$11:$A$1309,0)),INDEX('SKU明细'!$CI$11:$CI$1309,MATCH("8392-LP-41",'SKU明细'!$A$11:$A$1309,0)),INDEX('SKU明细'!$CI$11:$CI$1309,MATCH("8392-LP-41.5",'SKU明细'!$A$11:$A$1309,0)),INDEX('SKU明细'!$CI$11:$CI$1309,MATCH("8392-LP-42",'SKU明细'!$A$11:$A$1309,0)))=11,SUM(INDEX('SKU明细'!$CI$11:$CI$1309,MATCH("8392-LP-37",'SKU明细'!$A$11:$A$1309,0)),INDEX('SKU明细'!$CI$11:$CI$1309,MATCH("8392-LP-37.5",'SKU明细'!$A$11:$A$1309,0)),INDEX('SKU明细'!$CI$11:$CI$1309,MATCH("8392-LP-38",'SKU明细'!$A$11:$A$1309,0)),INDEX('SKU明细'!$CI$11:$CI$1309,MATCH("8392-LP-38.5",'SKU明细'!$A$11:$A$1309,0)),INDEX('SKU明细'!$CI$11:$CI$1309,MATCH("8392-LP-39",'SKU明细'!$A$11:$A$1309,0)),INDEX('SKU明细'!$CI$11:$CI$1309,MATCH("8392-LP-39.5",'SKU明细'!$A$11:$A$1309,0)),INDEX('SKU明细'!$CI$11:$CI$1309,MATCH("8392-LP-40",'SKU明细'!$A$11:$A$1309,0)),INDEX('SKU明细'!$CI$11:$CI$1309,MATCH("8392-LP-40.5",'SKU明细'!$A$11:$A$1309,0)),INDEX('SKU明细'!$CI$11:$CI$1309,MATCH("8392-LP-41",'SKU明细'!$A$11:$A$1309,0)),INDEX('SKU明细'!$CI$11:$CI$1309,MATCH("8392-LP-41.5",'SKU明细'!$A$11:$A$1309,0)),INDEX('SKU明细'!$CI$11:$CI$1309,MATCH("8392-LP-42",'SKU明细'!$A$11:$A$1309,0))),"待核")</x:f>
        <x:v>167.7273283380064</x:v>
      </x:c>
    </x:row>
    <x:row r="145" ht="40" customHeight="1">
      <x:c r="A145" s="35" t="str">
        <x:v>8392</x:v>
      </x:c>
      <x:c r="B145" s="35" t="str">
        <x:v>徐新怡</x:v>
      </x:c>
      <x:c r="C145" s="35" t="str">
        <x:v>裸色</x:v>
      </x:c>
      <x:c r="D145" s="35" t="str">
        <x:v>ND</x:v>
      </x:c>
      <x:c r="E145" s="35" t="str">
        <x:v>8392-ND</x:v>
      </x:c>
      <x:c r="F145" s="35"/>
      <x:c r="G145" s="36" t="str">
        <x:f>"—"</x:f>
        <x:v>—</x:v>
      </x:c>
      <x:c r="H145" s="36" t="n">
        <x:f>IF(COUNT(INDEX('SKU明细'!$D$11:$D$1309,MATCH("8392-ND-37",'SKU明细'!$A$11:$A$1309,0)))=0,"待核",IF(COUNT(INDEX('SKU明细'!$D$11:$D$1309,MATCH("8392-ND-37",'SKU明细'!$A$11:$A$1309,0)))&lt;1,SUM(INDEX('SKU明细'!$D$11:$D$1309,MATCH("8392-ND-37",'SKU明细'!$A$11:$A$1309,0)))&amp;" + 待核",SUM(INDEX('SKU明细'!$D$11:$D$1309,MATCH("8392-ND-37",'SKU明细'!$A$11:$A$1309,0)))))</x:f>
        <x:v>0</x:v>
      </x:c>
      <x:c r="I145" s="36" t="str">
        <x:f>IF(COUNT(INDEX('SKU明细'!$D$11:$D$1309,MATCH("8392-ND-37.5",'SKU明细'!$A$11:$A$1309,0)))=0,"待核",IF(COUNT(INDEX('SKU明细'!$D$11:$D$1309,MATCH("8392-ND-37.5",'SKU明细'!$A$11:$A$1309,0)))&lt;1,SUM(INDEX('SKU明细'!$D$11:$D$1309,MATCH("8392-ND-37.5",'SKU明细'!$A$11:$A$1309,0)))&amp;" + 待核",SUM(INDEX('SKU明细'!$D$11:$D$1309,MATCH("8392-ND-37.5",'SKU明细'!$A$11:$A$1309,0)))))</x:f>
        <x:v>待核</x:v>
      </x:c>
      <x:c r="J145" s="36" t="n">
        <x:f>IF(COUNT(INDEX('SKU明细'!$D$11:$D$1309,MATCH("8392-ND-38",'SKU明细'!$A$11:$A$1309,0)))=0,"待核",IF(COUNT(INDEX('SKU明细'!$D$11:$D$1309,MATCH("8392-ND-38",'SKU明细'!$A$11:$A$1309,0)))&lt;1,SUM(INDEX('SKU明细'!$D$11:$D$1309,MATCH("8392-ND-38",'SKU明细'!$A$11:$A$1309,0)))&amp;" + 待核",SUM(INDEX('SKU明细'!$D$11:$D$1309,MATCH("8392-ND-38",'SKU明细'!$A$11:$A$1309,0)))))</x:f>
        <x:v>0</x:v>
      </x:c>
      <x:c r="K145" s="36" t="n">
        <x:f>IF(COUNT(INDEX('SKU明细'!$D$11:$D$1309,MATCH("8392-ND-38.5",'SKU明细'!$A$11:$A$1309,0)))=0,"待核",IF(COUNT(INDEX('SKU明细'!$D$11:$D$1309,MATCH("8392-ND-38.5",'SKU明细'!$A$11:$A$1309,0)))&lt;1,SUM(INDEX('SKU明细'!$D$11:$D$1309,MATCH("8392-ND-38.5",'SKU明细'!$A$11:$A$1309,0)))&amp;" + 待核",SUM(INDEX('SKU明细'!$D$11:$D$1309,MATCH("8392-ND-38.5",'SKU明细'!$A$11:$A$1309,0)))))</x:f>
        <x:v>0</x:v>
      </x:c>
      <x:c r="L145" s="36" t="n">
        <x:f>IF(COUNT(INDEX('SKU明细'!$D$11:$D$1309,MATCH("8392-ND-39",'SKU明细'!$A$11:$A$1309,0)))=0,"待核",IF(COUNT(INDEX('SKU明细'!$D$11:$D$1309,MATCH("8392-ND-39",'SKU明细'!$A$11:$A$1309,0)))&lt;1,SUM(INDEX('SKU明细'!$D$11:$D$1309,MATCH("8392-ND-39",'SKU明细'!$A$11:$A$1309,0)))&amp;" + 待核",SUM(INDEX('SKU明细'!$D$11:$D$1309,MATCH("8392-ND-39",'SKU明细'!$A$11:$A$1309,0)))))</x:f>
        <x:v>6</x:v>
      </x:c>
      <x:c r="M145" s="36" t="str">
        <x:f>IF(COUNT(INDEX('SKU明细'!$D$11:$D$1309,MATCH("8392-ND-39.5",'SKU明细'!$A$11:$A$1309,0)))=0,"待核",IF(COUNT(INDEX('SKU明细'!$D$11:$D$1309,MATCH("8392-ND-39.5",'SKU明细'!$A$11:$A$1309,0)))&lt;1,SUM(INDEX('SKU明细'!$D$11:$D$1309,MATCH("8392-ND-39.5",'SKU明细'!$A$11:$A$1309,0)))&amp;" + 待核",SUM(INDEX('SKU明细'!$D$11:$D$1309,MATCH("8392-ND-39.5",'SKU明细'!$A$11:$A$1309,0)))))</x:f>
        <x:v>待核</x:v>
      </x:c>
      <x:c r="N145" s="36" t="n">
        <x:f>IF(COUNT(INDEX('SKU明细'!$D$11:$D$1309,MATCH("8392-ND-40",'SKU明细'!$A$11:$A$1309,0)))=0,"待核",IF(COUNT(INDEX('SKU明细'!$D$11:$D$1309,MATCH("8392-ND-40",'SKU明细'!$A$11:$A$1309,0)))&lt;1,SUM(INDEX('SKU明细'!$D$11:$D$1309,MATCH("8392-ND-40",'SKU明细'!$A$11:$A$1309,0)))&amp;" + 待核",SUM(INDEX('SKU明细'!$D$11:$D$1309,MATCH("8392-ND-40",'SKU明细'!$A$11:$A$1309,0)))))</x:f>
        <x:v>1</x:v>
      </x:c>
      <x:c r="O145" s="36" t="str">
        <x:f>IF(COUNT(INDEX('SKU明细'!$D$11:$D$1309,MATCH("8392-ND-40.5",'SKU明细'!$A$11:$A$1309,0)))=0,"待核",IF(COUNT(INDEX('SKU明细'!$D$11:$D$1309,MATCH("8392-ND-40.5",'SKU明细'!$A$11:$A$1309,0)))&lt;1,SUM(INDEX('SKU明细'!$D$11:$D$1309,MATCH("8392-ND-40.5",'SKU明细'!$A$11:$A$1309,0)))&amp;" + 待核",SUM(INDEX('SKU明细'!$D$11:$D$1309,MATCH("8392-ND-40.5",'SKU明细'!$A$11:$A$1309,0)))))</x:f>
        <x:v>待核</x:v>
      </x:c>
      <x:c r="P145" s="36" t="n">
        <x:f>IF(COUNT(INDEX('SKU明细'!$D$11:$D$1309,MATCH("8392-ND-41",'SKU明细'!$A$11:$A$1309,0)))=0,"待核",IF(COUNT(INDEX('SKU明细'!$D$11:$D$1309,MATCH("8392-ND-41",'SKU明细'!$A$11:$A$1309,0)))&lt;1,SUM(INDEX('SKU明细'!$D$11:$D$1309,MATCH("8392-ND-41",'SKU明细'!$A$11:$A$1309,0)))&amp;" + 待核",SUM(INDEX('SKU明细'!$D$11:$D$1309,MATCH("8392-ND-41",'SKU明细'!$A$11:$A$1309,0)))))</x:f>
        <x:v>0</x:v>
      </x:c>
      <x:c r="Q145" s="36" t="str">
        <x:f>IF(COUNT(INDEX('SKU明细'!$D$11:$D$1309,MATCH("8392-ND-41.5",'SKU明细'!$A$11:$A$1309,0)))=0,"待核",IF(COUNT(INDEX('SKU明细'!$D$11:$D$1309,MATCH("8392-ND-41.5",'SKU明细'!$A$11:$A$1309,0)))&lt;1,SUM(INDEX('SKU明细'!$D$11:$D$1309,MATCH("8392-ND-41.5",'SKU明细'!$A$11:$A$1309,0)))&amp;" + 待核",SUM(INDEX('SKU明细'!$D$11:$D$1309,MATCH("8392-ND-41.5",'SKU明细'!$A$11:$A$1309,0)))))</x:f>
        <x:v>待核</x:v>
      </x:c>
      <x:c r="R145" s="36" t="n">
        <x:f>IF(COUNT(INDEX('SKU明细'!$D$11:$D$1309,MATCH("8392-ND-42",'SKU明细'!$A$11:$A$1309,0)))=0,"待核",IF(COUNT(INDEX('SKU明细'!$D$11:$D$1309,MATCH("8392-ND-42",'SKU明细'!$A$11:$A$1309,0)))&lt;1,SUM(INDEX('SKU明细'!$D$11:$D$1309,MATCH("8392-ND-42",'SKU明细'!$A$11:$A$1309,0)))&amp;" + 待核",SUM(INDEX('SKU明细'!$D$11:$D$1309,MATCH("8392-ND-42",'SKU明细'!$A$11:$A$1309,0)))))</x:f>
        <x:v>0</x:v>
      </x:c>
      <x:c r="S145" s="36" t="n">
        <x:f>IF(COUNT(INDEX('SKU明细'!$D$11:$D$1309,MATCH("8392-ND-37",'SKU明细'!$A$11:$A$1309,0)),INDEX('SKU明细'!$D$11:$D$1309,MATCH("8392-ND-37.5",'SKU明细'!$A$11:$A$1309,0)),INDEX('SKU明细'!$D$11:$D$1309,MATCH("8392-ND-38",'SKU明细'!$A$11:$A$1309,0)),INDEX('SKU明细'!$D$11:$D$1309,MATCH("8392-ND-38.5",'SKU明细'!$A$11:$A$1309,0)),INDEX('SKU明细'!$D$11:$D$1309,MATCH("8392-ND-39",'SKU明细'!$A$11:$A$1309,0)),INDEX('SKU明细'!$D$11:$D$1309,MATCH("8392-ND-39.5",'SKU明细'!$A$11:$A$1309,0)),INDEX('SKU明细'!$D$11:$D$1309,MATCH("8392-ND-40",'SKU明细'!$A$11:$A$1309,0)),INDEX('SKU明细'!$D$11:$D$1309,MATCH("8392-ND-40.5",'SKU明细'!$A$11:$A$1309,0)),INDEX('SKU明细'!$D$11:$D$1309,MATCH("8392-ND-41",'SKU明细'!$A$11:$A$1309,0)),INDEX('SKU明细'!$D$11:$D$1309,MATCH("8392-ND-41.5",'SKU明细'!$A$11:$A$1309,0)),INDEX('SKU明细'!$D$11:$D$1309,MATCH("8392-ND-42",'SKU明细'!$A$11:$A$1309,0)))=0,"待核",SUM(INDEX('SKU明细'!$D$11:$D$1309,MATCH("8392-ND-37",'SKU明细'!$A$11:$A$1309,0)),INDEX('SKU明细'!$D$11:$D$1309,MATCH("8392-ND-37.5",'SKU明细'!$A$11:$A$1309,0)),INDEX('SKU明细'!$D$11:$D$1309,MATCH("8392-ND-38",'SKU明细'!$A$11:$A$1309,0)),INDEX('SKU明细'!$D$11:$D$1309,MATCH("8392-ND-38.5",'SKU明细'!$A$11:$A$1309,0)),INDEX('SKU明细'!$D$11:$D$1309,MATCH("8392-ND-39",'SKU明细'!$A$11:$A$1309,0)),INDEX('SKU明细'!$D$11:$D$1309,MATCH("8392-ND-39.5",'SKU明细'!$A$11:$A$1309,0)),INDEX('SKU明细'!$D$11:$D$1309,MATCH("8392-ND-40",'SKU明细'!$A$11:$A$1309,0)),INDEX('SKU明细'!$D$11:$D$1309,MATCH("8392-ND-40.5",'SKU明细'!$A$11:$A$1309,0)),INDEX('SKU明细'!$D$11:$D$1309,MATCH("8392-ND-41",'SKU明细'!$A$11:$A$1309,0)),INDEX('SKU明细'!$D$11:$D$1309,MATCH("8392-ND-41.5",'SKU明细'!$A$11:$A$1309,0)),INDEX('SKU明细'!$D$11:$D$1309,MATCH("8392-ND-42",'SKU明细'!$A$11:$A$1309,0))))</x:f>
        <x:v>7</x:v>
      </x:c>
      <x:c r="T145" s="36" t="n">
        <x:f>IF(COUNTIFS($A$9:$A$191,A145,$U$9:$U$191,"&lt;&gt;待核")=0,"待核",SUMIF($A$9:$A$191,A145,$S$9:$S$191))</x:f>
        <x:v>137</x:v>
      </x:c>
      <x:c r="U145" s="35" t="str">
        <x:f>IF(COUNT(INDEX('SKU明细'!$D$11:$D$1309,MATCH("8392-ND-37",'SKU明细'!$A$11:$A$1309,0)),INDEX('SKU明细'!$D$11:$D$1309,MATCH("8392-ND-37.5",'SKU明细'!$A$11:$A$1309,0)),INDEX('SKU明细'!$D$11:$D$1309,MATCH("8392-ND-38",'SKU明细'!$A$11:$A$1309,0)),INDEX('SKU明细'!$D$11:$D$1309,MATCH("8392-ND-38.5",'SKU明细'!$A$11:$A$1309,0)),INDEX('SKU明细'!$D$11:$D$1309,MATCH("8392-ND-39",'SKU明细'!$A$11:$A$1309,0)),INDEX('SKU明细'!$D$11:$D$1309,MATCH("8392-ND-39.5",'SKU明细'!$A$11:$A$1309,0)),INDEX('SKU明细'!$D$11:$D$1309,MATCH("8392-ND-40",'SKU明细'!$A$11:$A$1309,0)),INDEX('SKU明细'!$D$11:$D$1309,MATCH("8392-ND-40.5",'SKU明细'!$A$11:$A$1309,0)),INDEX('SKU明细'!$D$11:$D$1309,MATCH("8392-ND-41",'SKU明细'!$A$11:$A$1309,0)),INDEX('SKU明细'!$D$11:$D$1309,MATCH("8392-ND-41.5",'SKU明细'!$A$11:$A$1309,0)),INDEX('SKU明细'!$D$11:$D$1309,MATCH("8392-ND-42",'SKU明细'!$A$11:$A$1309,0)))=0,"待核",IF(COUNT(INDEX('SKU明细'!$D$11:$D$1309,MATCH("8392-ND-37",'SKU明细'!$A$11:$A$1309,0)),INDEX('SKU明细'!$D$11:$D$1309,MATCH("8392-ND-37.5",'SKU明细'!$A$11:$A$1309,0)),INDEX('SKU明细'!$D$11:$D$1309,MATCH("8392-ND-38",'SKU明细'!$A$11:$A$1309,0)),INDEX('SKU明细'!$D$11:$D$1309,MATCH("8392-ND-38.5",'SKU明细'!$A$11:$A$1309,0)),INDEX('SKU明细'!$D$11:$D$1309,MATCH("8392-ND-39",'SKU明细'!$A$11:$A$1309,0)),INDEX('SKU明细'!$D$11:$D$1309,MATCH("8392-ND-39.5",'SKU明细'!$A$11:$A$1309,0)),INDEX('SKU明细'!$D$11:$D$1309,MATCH("8392-ND-40",'SKU明细'!$A$11:$A$1309,0)),INDEX('SKU明细'!$D$11:$D$1309,MATCH("8392-ND-40.5",'SKU明细'!$A$11:$A$1309,0)),INDEX('SKU明细'!$D$11:$D$1309,MATCH("8392-ND-41",'SKU明细'!$A$11:$A$1309,0)),INDEX('SKU明细'!$D$11:$D$1309,MATCH("8392-ND-41.5",'SKU明细'!$A$11:$A$1309,0)),INDEX('SKU明细'!$D$11:$D$1309,MATCH("8392-ND-42",'SKU明细'!$A$11:$A$1309,0)))&lt;11,"另有待核","已核"))</x:f>
        <x:v>另有待核</x:v>
      </x:c>
      <x:c r="V145" s="35" t="str">
        <x:v>在售、未匹配Listing</x:v>
      </x:c>
      <x:c r="W145" s="11" t="n">
        <x:f>IF(COUNT(INDEX('SKU明细'!$BV$11:$BV$1309,MATCH("8392-ND-37",'SKU明细'!$A$11:$A$1309,0)),INDEX('SKU明细'!$BV$11:$BV$1309,MATCH("8392-ND-37.5",'SKU明细'!$A$11:$A$1309,0)),INDEX('SKU明细'!$BV$11:$BV$1309,MATCH("8392-ND-38",'SKU明细'!$A$11:$A$1309,0)),INDEX('SKU明细'!$BV$11:$BV$1309,MATCH("8392-ND-38.5",'SKU明细'!$A$11:$A$1309,0)),INDEX('SKU明细'!$BV$11:$BV$1309,MATCH("8392-ND-39",'SKU明细'!$A$11:$A$1309,0)),INDEX('SKU明细'!$BV$11:$BV$1309,MATCH("8392-ND-39.5",'SKU明细'!$A$11:$A$1309,0)),INDEX('SKU明细'!$BV$11:$BV$1309,MATCH("8392-ND-40",'SKU明细'!$A$11:$A$1309,0)),INDEX('SKU明细'!$BV$11:$BV$1309,MATCH("8392-ND-40.5",'SKU明细'!$A$11:$A$1309,0)),INDEX('SKU明细'!$BV$11:$BV$1309,MATCH("8392-ND-41",'SKU明细'!$A$11:$A$1309,0)),INDEX('SKU明细'!$BV$11:$BV$1309,MATCH("8392-ND-41.5",'SKU明细'!$A$11:$A$1309,0)),INDEX('SKU明细'!$BV$11:$BV$1309,MATCH("8392-ND-42",'SKU明细'!$A$11:$A$1309,0)))=11,SUM(INDEX('SKU明细'!$BV$11:$BV$1309,MATCH("8392-ND-37",'SKU明细'!$A$11:$A$1309,0)),INDEX('SKU明细'!$BV$11:$BV$1309,MATCH("8392-ND-37.5",'SKU明细'!$A$11:$A$1309,0)),INDEX('SKU明细'!$BV$11:$BV$1309,MATCH("8392-ND-38",'SKU明细'!$A$11:$A$1309,0)),INDEX('SKU明细'!$BV$11:$BV$1309,MATCH("8392-ND-38.5",'SKU明细'!$A$11:$A$1309,0)),INDEX('SKU明细'!$BV$11:$BV$1309,MATCH("8392-ND-39",'SKU明细'!$A$11:$A$1309,0)),INDEX('SKU明细'!$BV$11:$BV$1309,MATCH("8392-ND-39.5",'SKU明细'!$A$11:$A$1309,0)),INDEX('SKU明细'!$BV$11:$BV$1309,MATCH("8392-ND-40",'SKU明细'!$A$11:$A$1309,0)),INDEX('SKU明细'!$BV$11:$BV$1309,MATCH("8392-ND-40.5",'SKU明细'!$A$11:$A$1309,0)),INDEX('SKU明细'!$BV$11:$BV$1309,MATCH("8392-ND-41",'SKU明细'!$A$11:$A$1309,0)),INDEX('SKU明细'!$BV$11:$BV$1309,MATCH("8392-ND-41.5",'SKU明细'!$A$11:$A$1309,0)),INDEX('SKU明细'!$BV$11:$BV$1309,MATCH("8392-ND-42",'SKU明细'!$A$11:$A$1309,0))),"待核")</x:f>
        <x:v>2.532116178578144</x:v>
      </x:c>
      <x:c r="X145" s="11" t="n">
        <x:f>INDEX('SKU明细'!$BW$11:$BW$1309,MATCH("8392-ND-37",'SKU明细'!$A$11:$A$1309,0))</x:f>
        <x:v>1.1743420411079069</x:v>
      </x:c>
      <x:c r="Y145" s="13" t="n">
        <x:f>IF(COUNT(INDEX('SKU明细'!$BY$11:$BY$1309,MATCH("8392-ND-37",'SKU明细'!$A$11:$A$1309,0)),INDEX('SKU明细'!$BY$11:$BY$1309,MATCH("8392-ND-37.5",'SKU明细'!$A$11:$A$1309,0)),INDEX('SKU明细'!$BY$11:$BY$1309,MATCH("8392-ND-38",'SKU明细'!$A$11:$A$1309,0)),INDEX('SKU明细'!$BY$11:$BY$1309,MATCH("8392-ND-38.5",'SKU明细'!$A$11:$A$1309,0)),INDEX('SKU明细'!$BY$11:$BY$1309,MATCH("8392-ND-39",'SKU明细'!$A$11:$A$1309,0)),INDEX('SKU明细'!$BY$11:$BY$1309,MATCH("8392-ND-39.5",'SKU明细'!$A$11:$A$1309,0)),INDEX('SKU明细'!$BY$11:$BY$1309,MATCH("8392-ND-40",'SKU明细'!$A$11:$A$1309,0)),INDEX('SKU明细'!$BY$11:$BY$1309,MATCH("8392-ND-40.5",'SKU明细'!$A$11:$A$1309,0)),INDEX('SKU明细'!$BY$11:$BY$1309,MATCH("8392-ND-41",'SKU明细'!$A$11:$A$1309,0)),INDEX('SKU明细'!$BY$11:$BY$1309,MATCH("8392-ND-41.5",'SKU明细'!$A$11:$A$1309,0)),INDEX('SKU明细'!$BY$11:$BY$1309,MATCH("8392-ND-42",'SKU明细'!$A$11:$A$1309,0)))=11,SUM(INDEX('SKU明细'!$BY$11:$BY$1309,MATCH("8392-ND-37",'SKU明细'!$A$11:$A$1309,0)),INDEX('SKU明细'!$BY$11:$BY$1309,MATCH("8392-ND-37.5",'SKU明细'!$A$11:$A$1309,0)),INDEX('SKU明细'!$BY$11:$BY$1309,MATCH("8392-ND-38",'SKU明细'!$A$11:$A$1309,0)),INDEX('SKU明细'!$BY$11:$BY$1309,MATCH("8392-ND-38.5",'SKU明细'!$A$11:$A$1309,0)),INDEX('SKU明细'!$BY$11:$BY$1309,MATCH("8392-ND-39",'SKU明细'!$A$11:$A$1309,0)),INDEX('SKU明细'!$BY$11:$BY$1309,MATCH("8392-ND-39.5",'SKU明细'!$A$11:$A$1309,0)),INDEX('SKU明细'!$BY$11:$BY$1309,MATCH("8392-ND-40",'SKU明细'!$A$11:$A$1309,0)),INDEX('SKU明细'!$BY$11:$BY$1309,MATCH("8392-ND-40.5",'SKU明细'!$A$11:$A$1309,0)),INDEX('SKU明细'!$BY$11:$BY$1309,MATCH("8392-ND-41",'SKU明细'!$A$11:$A$1309,0)),INDEX('SKU明细'!$BY$11:$BY$1309,MATCH("8392-ND-41.5",'SKU明细'!$A$11:$A$1309,0)),INDEX('SKU明细'!$BY$11:$BY$1309,MATCH("8392-ND-42",'SKU明细'!$A$11:$A$1309,0))),"待核")</x:f>
        <x:v>35.68284577768572</x:v>
      </x:c>
      <x:c r="Z145" s="11" t="n">
        <x:f>INDEX('SKU明细'!$BZ$11:$BZ$1309,MATCH("8392-ND-37",'SKU明细'!$A$11:$A$1309,0))</x:f>
        <x:v>1.281694931279211</x:v>
      </x:c>
      <x:c r="AA145" s="13" t="n">
        <x:f>IF(COUNT(INDEX('SKU明细'!$CB$11:$CB$1309,MATCH("8392-ND-37",'SKU明细'!$A$11:$A$1309,0)),INDEX('SKU明细'!$CB$11:$CB$1309,MATCH("8392-ND-37.5",'SKU明细'!$A$11:$A$1309,0)),INDEX('SKU明细'!$CB$11:$CB$1309,MATCH("8392-ND-38",'SKU明细'!$A$11:$A$1309,0)),INDEX('SKU明细'!$CB$11:$CB$1309,MATCH("8392-ND-38.5",'SKU明细'!$A$11:$A$1309,0)),INDEX('SKU明细'!$CB$11:$CB$1309,MATCH("8392-ND-39",'SKU明细'!$A$11:$A$1309,0)),INDEX('SKU明细'!$CB$11:$CB$1309,MATCH("8392-ND-39.5",'SKU明细'!$A$11:$A$1309,0)),INDEX('SKU明细'!$CB$11:$CB$1309,MATCH("8392-ND-40",'SKU明细'!$A$11:$A$1309,0)),INDEX('SKU明细'!$CB$11:$CB$1309,MATCH("8392-ND-40.5",'SKU明细'!$A$11:$A$1309,0)),INDEX('SKU明细'!$CB$11:$CB$1309,MATCH("8392-ND-41",'SKU明细'!$A$11:$A$1309,0)),INDEX('SKU明细'!$CB$11:$CB$1309,MATCH("8392-ND-41.5",'SKU明细'!$A$11:$A$1309,0)),INDEX('SKU明细'!$CB$11:$CB$1309,MATCH("8392-ND-42",'SKU明细'!$A$11:$A$1309,0)))=11,SUM(INDEX('SKU明细'!$CB$11:$CB$1309,MATCH("8392-ND-37",'SKU明细'!$A$11:$A$1309,0)),INDEX('SKU明细'!$CB$11:$CB$1309,MATCH("8392-ND-37.5",'SKU明细'!$A$11:$A$1309,0)),INDEX('SKU明细'!$CB$11:$CB$1309,MATCH("8392-ND-38",'SKU明细'!$A$11:$A$1309,0)),INDEX('SKU明细'!$CB$11:$CB$1309,MATCH("8392-ND-38.5",'SKU明细'!$A$11:$A$1309,0)),INDEX('SKU明细'!$CB$11:$CB$1309,MATCH("8392-ND-39",'SKU明细'!$A$11:$A$1309,0)),INDEX('SKU明细'!$CB$11:$CB$1309,MATCH("8392-ND-39.5",'SKU明细'!$A$11:$A$1309,0)),INDEX('SKU明细'!$CB$11:$CB$1309,MATCH("8392-ND-40",'SKU明细'!$A$11:$A$1309,0)),INDEX('SKU明细'!$CB$11:$CB$1309,MATCH("8392-ND-40.5",'SKU明细'!$A$11:$A$1309,0)),INDEX('SKU明细'!$CB$11:$CB$1309,MATCH("8392-ND-41",'SKU明细'!$A$11:$A$1309,0)),INDEX('SKU明细'!$CB$11:$CB$1309,MATCH("8392-ND-41.5",'SKU明细'!$A$11:$A$1309,0)),INDEX('SKU明细'!$CB$11:$CB$1309,MATCH("8392-ND-42",'SKU明细'!$A$11:$A$1309,0))),"待核")</x:f>
        <x:v>97.36201414481077</x:v>
      </x:c>
      <x:c r="AB145" s="11" t="n">
        <x:f>INDEX('SKU明细'!$CC$11:$CC$1309,MATCH("8392-ND-37",'SKU明细'!$A$11:$A$1309,0))</x:f>
        <x:v>0.9007634642750235</x:v>
      </x:c>
      <x:c r="AC145" s="13" t="n">
        <x:f>IF(COUNT(INDEX('SKU明细'!$CE$11:$CE$1309,MATCH("8392-ND-37",'SKU明细'!$A$11:$A$1309,0)),INDEX('SKU明细'!$CE$11:$CE$1309,MATCH("8392-ND-37.5",'SKU明细'!$A$11:$A$1309,0)),INDEX('SKU明细'!$CE$11:$CE$1309,MATCH("8392-ND-38",'SKU明细'!$A$11:$A$1309,0)),INDEX('SKU明细'!$CE$11:$CE$1309,MATCH("8392-ND-38.5",'SKU明细'!$A$11:$A$1309,0)),INDEX('SKU明细'!$CE$11:$CE$1309,MATCH("8392-ND-39",'SKU明细'!$A$11:$A$1309,0)),INDEX('SKU明细'!$CE$11:$CE$1309,MATCH("8392-ND-39.5",'SKU明细'!$A$11:$A$1309,0)),INDEX('SKU明细'!$CE$11:$CE$1309,MATCH("8392-ND-40",'SKU明细'!$A$11:$A$1309,0)),INDEX('SKU明细'!$CE$11:$CE$1309,MATCH("8392-ND-40.5",'SKU明细'!$A$11:$A$1309,0)),INDEX('SKU明细'!$CE$11:$CE$1309,MATCH("8392-ND-41",'SKU明细'!$A$11:$A$1309,0)),INDEX('SKU明细'!$CE$11:$CE$1309,MATCH("8392-ND-41.5",'SKU明细'!$A$11:$A$1309,0)),INDEX('SKU明细'!$CE$11:$CE$1309,MATCH("8392-ND-42",'SKU明细'!$A$11:$A$1309,0)))=11,SUM(INDEX('SKU明细'!$CE$11:$CE$1309,MATCH("8392-ND-37",'SKU明细'!$A$11:$A$1309,0)),INDEX('SKU明细'!$CE$11:$CE$1309,MATCH("8392-ND-37.5",'SKU明细'!$A$11:$A$1309,0)),INDEX('SKU明细'!$CE$11:$CE$1309,MATCH("8392-ND-38",'SKU明细'!$A$11:$A$1309,0)),INDEX('SKU明细'!$CE$11:$CE$1309,MATCH("8392-ND-38.5",'SKU明细'!$A$11:$A$1309,0)),INDEX('SKU明细'!$CE$11:$CE$1309,MATCH("8392-ND-39",'SKU明细'!$A$11:$A$1309,0)),INDEX('SKU明细'!$CE$11:$CE$1309,MATCH("8392-ND-39.5",'SKU明细'!$A$11:$A$1309,0)),INDEX('SKU明细'!$CE$11:$CE$1309,MATCH("8392-ND-40",'SKU明细'!$A$11:$A$1309,0)),INDEX('SKU明细'!$CE$11:$CE$1309,MATCH("8392-ND-40.5",'SKU明细'!$A$11:$A$1309,0)),INDEX('SKU明细'!$CE$11:$CE$1309,MATCH("8392-ND-41",'SKU明细'!$A$11:$A$1309,0)),INDEX('SKU明细'!$CE$11:$CE$1309,MATCH("8392-ND-41.5",'SKU明细'!$A$11:$A$1309,0)),INDEX('SKU明细'!$CE$11:$CE$1309,MATCH("8392-ND-42",'SKU明细'!$A$11:$A$1309,0))),"待核")</x:f>
        <x:v>70.70596996984935</x:v>
      </x:c>
      <x:c r="AD145" s="11" t="n">
        <x:f>INDEX('SKU明细'!$CF$11:$CF$1309,MATCH("8392-ND-37",'SKU明细'!$A$11:$A$1309,0))</x:f>
        <x:v>0.9537631089407297</x:v>
      </x:c>
      <x:c r="AE145" s="13" t="n">
        <x:f>IF(COUNT(INDEX('SKU明细'!$CH$11:$CH$1309,MATCH("8392-ND-37",'SKU明细'!$A$11:$A$1309,0)),INDEX('SKU明细'!$CH$11:$CH$1309,MATCH("8392-ND-37.5",'SKU明细'!$A$11:$A$1309,0)),INDEX('SKU明细'!$CH$11:$CH$1309,MATCH("8392-ND-38",'SKU明细'!$A$11:$A$1309,0)),INDEX('SKU明细'!$CH$11:$CH$1309,MATCH("8392-ND-38.5",'SKU明细'!$A$11:$A$1309,0)),INDEX('SKU明细'!$CH$11:$CH$1309,MATCH("8392-ND-39",'SKU明细'!$A$11:$A$1309,0)),INDEX('SKU明细'!$CH$11:$CH$1309,MATCH("8392-ND-39.5",'SKU明细'!$A$11:$A$1309,0)),INDEX('SKU明细'!$CH$11:$CH$1309,MATCH("8392-ND-40",'SKU明细'!$A$11:$A$1309,0)),INDEX('SKU明细'!$CH$11:$CH$1309,MATCH("8392-ND-40.5",'SKU明细'!$A$11:$A$1309,0)),INDEX('SKU明细'!$CH$11:$CH$1309,MATCH("8392-ND-41",'SKU明细'!$A$11:$A$1309,0)),INDEX('SKU明细'!$CH$11:$CH$1309,MATCH("8392-ND-41.5",'SKU明细'!$A$11:$A$1309,0)),INDEX('SKU明细'!$CH$11:$CH$1309,MATCH("8392-ND-42",'SKU明细'!$A$11:$A$1309,0)))=11,SUM(INDEX('SKU明细'!$CH$11:$CH$1309,MATCH("8392-ND-37",'SKU明细'!$A$11:$A$1309,0)),INDEX('SKU明细'!$CH$11:$CH$1309,MATCH("8392-ND-37.5",'SKU明细'!$A$11:$A$1309,0)),INDEX('SKU明细'!$CH$11:$CH$1309,MATCH("8392-ND-38",'SKU明细'!$A$11:$A$1309,0)),INDEX('SKU明细'!$CH$11:$CH$1309,MATCH("8392-ND-38.5",'SKU明细'!$A$11:$A$1309,0)),INDEX('SKU明细'!$CH$11:$CH$1309,MATCH("8392-ND-39",'SKU明细'!$A$11:$A$1309,0)),INDEX('SKU明细'!$CH$11:$CH$1309,MATCH("8392-ND-39.5",'SKU明细'!$A$11:$A$1309,0)),INDEX('SKU明细'!$CH$11:$CH$1309,MATCH("8392-ND-40",'SKU明细'!$A$11:$A$1309,0)),INDEX('SKU明细'!$CH$11:$CH$1309,MATCH("8392-ND-40.5",'SKU明细'!$A$11:$A$1309,0)),INDEX('SKU明细'!$CH$11:$CH$1309,MATCH("8392-ND-41",'SKU明细'!$A$11:$A$1309,0)),INDEX('SKU明细'!$CH$11:$CH$1309,MATCH("8392-ND-41.5",'SKU明细'!$A$11:$A$1309,0)),INDEX('SKU明细'!$CH$11:$CH$1309,MATCH("8392-ND-42",'SKU明细'!$A$11:$A$1309,0))),"待核")</x:f>
        <x:v>41.05566297755678</x:v>
      </x:c>
      <x:c r="AF145" s="13" t="n">
        <x:f>IF(COUNT(INDEX('SKU明细'!$CI$11:$CI$1309,MATCH("8392-ND-37",'SKU明细'!$A$11:$A$1309,0)),INDEX('SKU明细'!$CI$11:$CI$1309,MATCH("8392-ND-37.5",'SKU明细'!$A$11:$A$1309,0)),INDEX('SKU明细'!$CI$11:$CI$1309,MATCH("8392-ND-38",'SKU明细'!$A$11:$A$1309,0)),INDEX('SKU明细'!$CI$11:$CI$1309,MATCH("8392-ND-38.5",'SKU明细'!$A$11:$A$1309,0)),INDEX('SKU明细'!$CI$11:$CI$1309,MATCH("8392-ND-39",'SKU明细'!$A$11:$A$1309,0)),INDEX('SKU明细'!$CI$11:$CI$1309,MATCH("8392-ND-39.5",'SKU明细'!$A$11:$A$1309,0)),INDEX('SKU明细'!$CI$11:$CI$1309,MATCH("8392-ND-40",'SKU明细'!$A$11:$A$1309,0)),INDEX('SKU明细'!$CI$11:$CI$1309,MATCH("8392-ND-40.5",'SKU明细'!$A$11:$A$1309,0)),INDEX('SKU明细'!$CI$11:$CI$1309,MATCH("8392-ND-41",'SKU明细'!$A$11:$A$1309,0)),INDEX('SKU明细'!$CI$11:$CI$1309,MATCH("8392-ND-41.5",'SKU明细'!$A$11:$A$1309,0)),INDEX('SKU明细'!$CI$11:$CI$1309,MATCH("8392-ND-42",'SKU明细'!$A$11:$A$1309,0)))=11,SUM(INDEX('SKU明细'!$CI$11:$CI$1309,MATCH("8392-ND-37",'SKU明细'!$A$11:$A$1309,0)),INDEX('SKU明细'!$CI$11:$CI$1309,MATCH("8392-ND-37.5",'SKU明细'!$A$11:$A$1309,0)),INDEX('SKU明细'!$CI$11:$CI$1309,MATCH("8392-ND-38",'SKU明细'!$A$11:$A$1309,0)),INDEX('SKU明细'!$CI$11:$CI$1309,MATCH("8392-ND-38.5",'SKU明细'!$A$11:$A$1309,0)),INDEX('SKU明细'!$CI$11:$CI$1309,MATCH("8392-ND-39",'SKU明细'!$A$11:$A$1309,0)),INDEX('SKU明细'!$CI$11:$CI$1309,MATCH("8392-ND-39.5",'SKU明细'!$A$11:$A$1309,0)),INDEX('SKU明细'!$CI$11:$CI$1309,MATCH("8392-ND-40",'SKU明细'!$A$11:$A$1309,0)),INDEX('SKU明细'!$CI$11:$CI$1309,MATCH("8392-ND-40.5",'SKU明细'!$A$11:$A$1309,0)),INDEX('SKU明细'!$CI$11:$CI$1309,MATCH("8392-ND-41",'SKU明细'!$A$11:$A$1309,0)),INDEX('SKU明细'!$CI$11:$CI$1309,MATCH("8392-ND-41.5",'SKU明细'!$A$11:$A$1309,0)),INDEX('SKU明细'!$CI$11:$CI$1309,MATCH("8392-ND-42",'SKU明细'!$A$11:$A$1309,0))),"待核")</x:f>
        <x:v>244.80649286990266</x:v>
      </x:c>
    </x:row>
    <x:row r="146" ht="40" customHeight="1">
      <x:c r="A146" s="35" t="str">
        <x:v>8392</x:v>
      </x:c>
      <x:c r="B146" s="35" t="str">
        <x:v>徐新怡</x:v>
      </x:c>
      <x:c r="C146" s="35" t="str">
        <x:v>藏青色</x:v>
      </x:c>
      <x:c r="D146" s="35" t="str">
        <x:v>NY-S-K</x:v>
      </x:c>
      <x:c r="E146" s="35" t="str">
        <x:v>8392-NY-S-K</x:v>
      </x:c>
      <x:c r="F146" s="35"/>
      <x:c r="G146" s="36" t="str">
        <x:f>"—"</x:f>
        <x:v>—</x:v>
      </x:c>
      <x:c r="H146" s="36" t="n">
        <x:f>IF(COUNT(INDEX('SKU明细'!$D$11:$D$1309,MATCH("8392-NY-S-K-37",'SKU明细'!$A$11:$A$1309,0)))=0,"待核",IF(COUNT(INDEX('SKU明细'!$D$11:$D$1309,MATCH("8392-NY-S-K-37",'SKU明细'!$A$11:$A$1309,0)))&lt;1,SUM(INDEX('SKU明细'!$D$11:$D$1309,MATCH("8392-NY-S-K-37",'SKU明细'!$A$11:$A$1309,0)))&amp;" + 待核",SUM(INDEX('SKU明细'!$D$11:$D$1309,MATCH("8392-NY-S-K-37",'SKU明细'!$A$11:$A$1309,0)))))</x:f>
        <x:v>0</x:v>
      </x:c>
      <x:c r="I146" s="36" t="str">
        <x:f>IF(COUNT(INDEX('SKU明细'!$D$11:$D$1309,MATCH("8392-NY-S-K-37.5",'SKU明细'!$A$11:$A$1309,0)))=0,"待核",IF(COUNT(INDEX('SKU明细'!$D$11:$D$1309,MATCH("8392-NY-S-K-37.5",'SKU明细'!$A$11:$A$1309,0)))&lt;1,SUM(INDEX('SKU明细'!$D$11:$D$1309,MATCH("8392-NY-S-K-37.5",'SKU明细'!$A$11:$A$1309,0)))&amp;" + 待核",SUM(INDEX('SKU明细'!$D$11:$D$1309,MATCH("8392-NY-S-K-37.5",'SKU明细'!$A$11:$A$1309,0)))))</x:f>
        <x:v>待核</x:v>
      </x:c>
      <x:c r="J146" s="36" t="n">
        <x:f>IF(COUNT(INDEX('SKU明细'!$D$11:$D$1309,MATCH("8392-NY-S-K-38",'SKU明细'!$A$11:$A$1309,0)))=0,"待核",IF(COUNT(INDEX('SKU明细'!$D$11:$D$1309,MATCH("8392-NY-S-K-38",'SKU明细'!$A$11:$A$1309,0)))&lt;1,SUM(INDEX('SKU明细'!$D$11:$D$1309,MATCH("8392-NY-S-K-38",'SKU明细'!$A$11:$A$1309,0)))&amp;" + 待核",SUM(INDEX('SKU明细'!$D$11:$D$1309,MATCH("8392-NY-S-K-38",'SKU明细'!$A$11:$A$1309,0)))))</x:f>
        <x:v>10</x:v>
      </x:c>
      <x:c r="K146" s="36" t="str">
        <x:f>IF(COUNT(INDEX('SKU明细'!$D$11:$D$1309,MATCH("8392-NY-S-K-38.5",'SKU明细'!$A$11:$A$1309,0)))=0,"待核",IF(COUNT(INDEX('SKU明细'!$D$11:$D$1309,MATCH("8392-NY-S-K-38.5",'SKU明细'!$A$11:$A$1309,0)))&lt;1,SUM(INDEX('SKU明细'!$D$11:$D$1309,MATCH("8392-NY-S-K-38.5",'SKU明细'!$A$11:$A$1309,0)))&amp;" + 待核",SUM(INDEX('SKU明细'!$D$11:$D$1309,MATCH("8392-NY-S-K-38.5",'SKU明细'!$A$11:$A$1309,0)))))</x:f>
        <x:v>待核</x:v>
      </x:c>
      <x:c r="L146" s="36" t="n">
        <x:f>IF(COUNT(INDEX('SKU明细'!$D$11:$D$1309,MATCH("8392-NY-S-K-39",'SKU明细'!$A$11:$A$1309,0)))=0,"待核",IF(COUNT(INDEX('SKU明细'!$D$11:$D$1309,MATCH("8392-NY-S-K-39",'SKU明细'!$A$11:$A$1309,0)))&lt;1,SUM(INDEX('SKU明细'!$D$11:$D$1309,MATCH("8392-NY-S-K-39",'SKU明细'!$A$11:$A$1309,0)))&amp;" + 待核",SUM(INDEX('SKU明细'!$D$11:$D$1309,MATCH("8392-NY-S-K-39",'SKU明细'!$A$11:$A$1309,0)))))</x:f>
        <x:v>0</x:v>
      </x:c>
      <x:c r="M146" s="36" t="str">
        <x:f>IF(COUNT(INDEX('SKU明细'!$D$11:$D$1309,MATCH("8392-NY-S-K-39.5",'SKU明细'!$A$11:$A$1309,0)))=0,"待核",IF(COUNT(INDEX('SKU明细'!$D$11:$D$1309,MATCH("8392-NY-S-K-39.5",'SKU明细'!$A$11:$A$1309,0)))&lt;1,SUM(INDEX('SKU明细'!$D$11:$D$1309,MATCH("8392-NY-S-K-39.5",'SKU明细'!$A$11:$A$1309,0)))&amp;" + 待核",SUM(INDEX('SKU明细'!$D$11:$D$1309,MATCH("8392-NY-S-K-39.5",'SKU明细'!$A$11:$A$1309,0)))))</x:f>
        <x:v>待核</x:v>
      </x:c>
      <x:c r="N146" s="36" t="n">
        <x:f>IF(COUNT(INDEX('SKU明细'!$D$11:$D$1309,MATCH("8392-NY-S-K-4K",'SKU明细'!$A$11:$A$1309,0)))=0,"待核",IF(COUNT(INDEX('SKU明细'!$D$11:$D$1309,MATCH("8392-NY-S-K-4K",'SKU明细'!$A$11:$A$1309,0)))&lt;1,SUM(INDEX('SKU明细'!$D$11:$D$1309,MATCH("8392-NY-S-K-4K",'SKU明细'!$A$11:$A$1309,0)))&amp;" + 待核",SUM(INDEX('SKU明细'!$D$11:$D$1309,MATCH("8392-NY-S-K-4K",'SKU明细'!$A$11:$A$1309,0)))))</x:f>
        <x:v>0</x:v>
      </x:c>
      <x:c r="O146" s="36" t="n">
        <x:f>IF(COUNT(INDEX('SKU明细'!$D$11:$D$1309,MATCH("8392-NY-S-K-4K.5",'SKU明细'!$A$11:$A$1309,0)))=0,"待核",IF(COUNT(INDEX('SKU明细'!$D$11:$D$1309,MATCH("8392-NY-S-K-4K.5",'SKU明细'!$A$11:$A$1309,0)))&lt;1,SUM(INDEX('SKU明细'!$D$11:$D$1309,MATCH("8392-NY-S-K-4K.5",'SKU明细'!$A$11:$A$1309,0)))&amp;" + 待核",SUM(INDEX('SKU明细'!$D$11:$D$1309,MATCH("8392-NY-S-K-4K.5",'SKU明细'!$A$11:$A$1309,0)))))</x:f>
        <x:v>0</x:v>
      </x:c>
      <x:c r="P146" s="36" t="n">
        <x:f>IF(COUNT(INDEX('SKU明细'!$D$11:$D$1309,MATCH("8392-NY-S-K-41",'SKU明细'!$A$11:$A$1309,0)))=0,"待核",IF(COUNT(INDEX('SKU明细'!$D$11:$D$1309,MATCH("8392-NY-S-K-41",'SKU明细'!$A$11:$A$1309,0)))&lt;1,SUM(INDEX('SKU明细'!$D$11:$D$1309,MATCH("8392-NY-S-K-41",'SKU明细'!$A$11:$A$1309,0)))&amp;" + 待核",SUM(INDEX('SKU明细'!$D$11:$D$1309,MATCH("8392-NY-S-K-41",'SKU明细'!$A$11:$A$1309,0)))))</x:f>
        <x:v>0</x:v>
      </x:c>
      <x:c r="Q146" s="36" t="n">
        <x:f>IF(COUNT(INDEX('SKU明细'!$D$11:$D$1309,MATCH("8392-NY-S-K-41.5",'SKU明细'!$A$11:$A$1309,0)))=0,"待核",IF(COUNT(INDEX('SKU明细'!$D$11:$D$1309,MATCH("8392-NY-S-K-41.5",'SKU明细'!$A$11:$A$1309,0)))&lt;1,SUM(INDEX('SKU明细'!$D$11:$D$1309,MATCH("8392-NY-S-K-41.5",'SKU明细'!$A$11:$A$1309,0)))&amp;" + 待核",SUM(INDEX('SKU明细'!$D$11:$D$1309,MATCH("8392-NY-S-K-41.5",'SKU明细'!$A$11:$A$1309,0)))))</x:f>
        <x:v>0</x:v>
      </x:c>
      <x:c r="R146" s="36" t="n">
        <x:f>IF(COUNT(INDEX('SKU明细'!$D$11:$D$1309,MATCH("8392-NY-S-K-42",'SKU明细'!$A$11:$A$1309,0)))=0,"待核",IF(COUNT(INDEX('SKU明细'!$D$11:$D$1309,MATCH("8392-NY-S-K-42",'SKU明细'!$A$11:$A$1309,0)))&lt;1,SUM(INDEX('SKU明细'!$D$11:$D$1309,MATCH("8392-NY-S-K-42",'SKU明细'!$A$11:$A$1309,0)))&amp;" + 待核",SUM(INDEX('SKU明细'!$D$11:$D$1309,MATCH("8392-NY-S-K-42",'SKU明细'!$A$11:$A$1309,0)))))</x:f>
        <x:v>0</x:v>
      </x:c>
      <x:c r="S146" s="36" t="n">
        <x:f>IF(COUNT(INDEX('SKU明细'!$D$11:$D$1309,MATCH("8392-NY-S-K-37",'SKU明细'!$A$11:$A$1309,0)),INDEX('SKU明细'!$D$11:$D$1309,MATCH("8392-NY-S-K-37.5",'SKU明细'!$A$11:$A$1309,0)),INDEX('SKU明细'!$D$11:$D$1309,MATCH("8392-NY-S-K-38",'SKU明细'!$A$11:$A$1309,0)),INDEX('SKU明细'!$D$11:$D$1309,MATCH("8392-NY-S-K-38.5",'SKU明细'!$A$11:$A$1309,0)),INDEX('SKU明细'!$D$11:$D$1309,MATCH("8392-NY-S-K-39",'SKU明细'!$A$11:$A$1309,0)),INDEX('SKU明细'!$D$11:$D$1309,MATCH("8392-NY-S-K-39.5",'SKU明细'!$A$11:$A$1309,0)),INDEX('SKU明细'!$D$11:$D$1309,MATCH("8392-NY-S-K-4K",'SKU明细'!$A$11:$A$1309,0)),INDEX('SKU明细'!$D$11:$D$1309,MATCH("8392-NY-S-K-4K.5",'SKU明细'!$A$11:$A$1309,0)),INDEX('SKU明细'!$D$11:$D$1309,MATCH("8392-NY-S-K-41",'SKU明细'!$A$11:$A$1309,0)),INDEX('SKU明细'!$D$11:$D$1309,MATCH("8392-NY-S-K-41.5",'SKU明细'!$A$11:$A$1309,0)),INDEX('SKU明细'!$D$11:$D$1309,MATCH("8392-NY-S-K-42",'SKU明细'!$A$11:$A$1309,0)))=0,"待核",SUM(INDEX('SKU明细'!$D$11:$D$1309,MATCH("8392-NY-S-K-37",'SKU明细'!$A$11:$A$1309,0)),INDEX('SKU明细'!$D$11:$D$1309,MATCH("8392-NY-S-K-37.5",'SKU明细'!$A$11:$A$1309,0)),INDEX('SKU明细'!$D$11:$D$1309,MATCH("8392-NY-S-K-38",'SKU明细'!$A$11:$A$1309,0)),INDEX('SKU明细'!$D$11:$D$1309,MATCH("8392-NY-S-K-38.5",'SKU明细'!$A$11:$A$1309,0)),INDEX('SKU明细'!$D$11:$D$1309,MATCH("8392-NY-S-K-39",'SKU明细'!$A$11:$A$1309,0)),INDEX('SKU明细'!$D$11:$D$1309,MATCH("8392-NY-S-K-39.5",'SKU明细'!$A$11:$A$1309,0)),INDEX('SKU明细'!$D$11:$D$1309,MATCH("8392-NY-S-K-4K",'SKU明细'!$A$11:$A$1309,0)),INDEX('SKU明细'!$D$11:$D$1309,MATCH("8392-NY-S-K-4K.5",'SKU明细'!$A$11:$A$1309,0)),INDEX('SKU明细'!$D$11:$D$1309,MATCH("8392-NY-S-K-41",'SKU明细'!$A$11:$A$1309,0)),INDEX('SKU明细'!$D$11:$D$1309,MATCH("8392-NY-S-K-41.5",'SKU明细'!$A$11:$A$1309,0)),INDEX('SKU明细'!$D$11:$D$1309,MATCH("8392-NY-S-K-42",'SKU明细'!$A$11:$A$1309,0))))</x:f>
        <x:v>10</x:v>
      </x:c>
      <x:c r="T146" s="36" t="n">
        <x:f>IF(COUNTIFS($A$9:$A$191,A146,$U$9:$U$191,"&lt;&gt;待核")=0,"待核",SUMIF($A$9:$A$191,A146,$S$9:$S$191))</x:f>
        <x:v>137</x:v>
      </x:c>
      <x:c r="U146" s="35" t="str">
        <x:f>IF(COUNT(INDEX('SKU明细'!$D$11:$D$1309,MATCH("8392-NY-S-K-37",'SKU明细'!$A$11:$A$1309,0)),INDEX('SKU明细'!$D$11:$D$1309,MATCH("8392-NY-S-K-37.5",'SKU明细'!$A$11:$A$1309,0)),INDEX('SKU明细'!$D$11:$D$1309,MATCH("8392-NY-S-K-38",'SKU明细'!$A$11:$A$1309,0)),INDEX('SKU明细'!$D$11:$D$1309,MATCH("8392-NY-S-K-38.5",'SKU明细'!$A$11:$A$1309,0)),INDEX('SKU明细'!$D$11:$D$1309,MATCH("8392-NY-S-K-39",'SKU明细'!$A$11:$A$1309,0)),INDEX('SKU明细'!$D$11:$D$1309,MATCH("8392-NY-S-K-39.5",'SKU明细'!$A$11:$A$1309,0)),INDEX('SKU明细'!$D$11:$D$1309,MATCH("8392-NY-S-K-4K",'SKU明细'!$A$11:$A$1309,0)),INDEX('SKU明细'!$D$11:$D$1309,MATCH("8392-NY-S-K-4K.5",'SKU明细'!$A$11:$A$1309,0)),INDEX('SKU明细'!$D$11:$D$1309,MATCH("8392-NY-S-K-41",'SKU明细'!$A$11:$A$1309,0)),INDEX('SKU明细'!$D$11:$D$1309,MATCH("8392-NY-S-K-41.5",'SKU明细'!$A$11:$A$1309,0)),INDEX('SKU明细'!$D$11:$D$1309,MATCH("8392-NY-S-K-42",'SKU明细'!$A$11:$A$1309,0)))=0,"待核",IF(COUNT(INDEX('SKU明细'!$D$11:$D$1309,MATCH("8392-NY-S-K-37",'SKU明细'!$A$11:$A$1309,0)),INDEX('SKU明细'!$D$11:$D$1309,MATCH("8392-NY-S-K-37.5",'SKU明细'!$A$11:$A$1309,0)),INDEX('SKU明细'!$D$11:$D$1309,MATCH("8392-NY-S-K-38",'SKU明细'!$A$11:$A$1309,0)),INDEX('SKU明细'!$D$11:$D$1309,MATCH("8392-NY-S-K-38.5",'SKU明细'!$A$11:$A$1309,0)),INDEX('SKU明细'!$D$11:$D$1309,MATCH("8392-NY-S-K-39",'SKU明细'!$A$11:$A$1309,0)),INDEX('SKU明细'!$D$11:$D$1309,MATCH("8392-NY-S-K-39.5",'SKU明细'!$A$11:$A$1309,0)),INDEX('SKU明细'!$D$11:$D$1309,MATCH("8392-NY-S-K-4K",'SKU明细'!$A$11:$A$1309,0)),INDEX('SKU明细'!$D$11:$D$1309,MATCH("8392-NY-S-K-4K.5",'SKU明细'!$A$11:$A$1309,0)),INDEX('SKU明细'!$D$11:$D$1309,MATCH("8392-NY-S-K-41",'SKU明细'!$A$11:$A$1309,0)),INDEX('SKU明细'!$D$11:$D$1309,MATCH("8392-NY-S-K-41.5",'SKU明细'!$A$11:$A$1309,0)),INDEX('SKU明细'!$D$11:$D$1309,MATCH("8392-NY-S-K-42",'SKU明细'!$A$11:$A$1309,0)))&lt;11,"另有待核","已核"))</x:f>
        <x:v>另有待核</x:v>
      </x:c>
      <x:c r="V146" s="35" t="str">
        <x:v>在售、未匹配Listing、停售</x:v>
      </x:c>
      <x:c r="W146" s="11" t="n">
        <x:f>IF(COUNT(INDEX('SKU明细'!$BV$11:$BV$1309,MATCH("8392-NY-S-K-37",'SKU明细'!$A$11:$A$1309,0)),INDEX('SKU明细'!$BV$11:$BV$1309,MATCH("8392-NY-S-K-37.5",'SKU明细'!$A$11:$A$1309,0)),INDEX('SKU明细'!$BV$11:$BV$1309,MATCH("8392-NY-S-K-38",'SKU明细'!$A$11:$A$1309,0)),INDEX('SKU明细'!$BV$11:$BV$1309,MATCH("8392-NY-S-K-38.5",'SKU明细'!$A$11:$A$1309,0)),INDEX('SKU明细'!$BV$11:$BV$1309,MATCH("8392-NY-S-K-39",'SKU明细'!$A$11:$A$1309,0)),INDEX('SKU明细'!$BV$11:$BV$1309,MATCH("8392-NY-S-K-39.5",'SKU明细'!$A$11:$A$1309,0)),INDEX('SKU明细'!$BV$11:$BV$1309,MATCH("8392-NY-S-K-4K",'SKU明细'!$A$11:$A$1309,0)),INDEX('SKU明细'!$BV$11:$BV$1309,MATCH("8392-NY-S-K-4K.5",'SKU明细'!$A$11:$A$1309,0)),INDEX('SKU明细'!$BV$11:$BV$1309,MATCH("8392-NY-S-K-41",'SKU明细'!$A$11:$A$1309,0)),INDEX('SKU明细'!$BV$11:$BV$1309,MATCH("8392-NY-S-K-41.5",'SKU明细'!$A$11:$A$1309,0)),INDEX('SKU明细'!$BV$11:$BV$1309,MATCH("8392-NY-S-K-42",'SKU明细'!$A$11:$A$1309,0)))=11,SUM(INDEX('SKU明细'!$BV$11:$BV$1309,MATCH("8392-NY-S-K-37",'SKU明细'!$A$11:$A$1309,0)),INDEX('SKU明细'!$BV$11:$BV$1309,MATCH("8392-NY-S-K-37.5",'SKU明细'!$A$11:$A$1309,0)),INDEX('SKU明细'!$BV$11:$BV$1309,MATCH("8392-NY-S-K-38",'SKU明细'!$A$11:$A$1309,0)),INDEX('SKU明细'!$BV$11:$BV$1309,MATCH("8392-NY-S-K-38.5",'SKU明细'!$A$11:$A$1309,0)),INDEX('SKU明细'!$BV$11:$BV$1309,MATCH("8392-NY-S-K-39",'SKU明细'!$A$11:$A$1309,0)),INDEX('SKU明细'!$BV$11:$BV$1309,MATCH("8392-NY-S-K-39.5",'SKU明细'!$A$11:$A$1309,0)),INDEX('SKU明细'!$BV$11:$BV$1309,MATCH("8392-NY-S-K-4K",'SKU明细'!$A$11:$A$1309,0)),INDEX('SKU明细'!$BV$11:$BV$1309,MATCH("8392-NY-S-K-4K.5",'SKU明细'!$A$11:$A$1309,0)),INDEX('SKU明细'!$BV$11:$BV$1309,MATCH("8392-NY-S-K-41",'SKU明细'!$A$11:$A$1309,0)),INDEX('SKU明细'!$BV$11:$BV$1309,MATCH("8392-NY-S-K-41.5",'SKU明细'!$A$11:$A$1309,0)),INDEX('SKU明细'!$BV$11:$BV$1309,MATCH("8392-NY-S-K-42",'SKU明细'!$A$11:$A$1309,0))),"待核")</x:f>
        <x:v>0.6185202058446071</x:v>
      </x:c>
      <x:c r="X146" s="11" t="n">
        <x:f>INDEX('SKU明细'!$BW$11:$BW$1309,MATCH("8392-NY-S-K-37",'SKU明细'!$A$11:$A$1309,0))</x:f>
        <x:v>1.1743420411079069</x:v>
      </x:c>
      <x:c r="Y146" s="13" t="n">
        <x:f>IF(COUNT(INDEX('SKU明细'!$BY$11:$BY$1309,MATCH("8392-NY-S-K-37",'SKU明细'!$A$11:$A$1309,0)),INDEX('SKU明细'!$BY$11:$BY$1309,MATCH("8392-NY-S-K-37.5",'SKU明细'!$A$11:$A$1309,0)),INDEX('SKU明细'!$BY$11:$BY$1309,MATCH("8392-NY-S-K-38",'SKU明细'!$A$11:$A$1309,0)),INDEX('SKU明细'!$BY$11:$BY$1309,MATCH("8392-NY-S-K-38.5",'SKU明细'!$A$11:$A$1309,0)),INDEX('SKU明细'!$BY$11:$BY$1309,MATCH("8392-NY-S-K-39",'SKU明细'!$A$11:$A$1309,0)),INDEX('SKU明细'!$BY$11:$BY$1309,MATCH("8392-NY-S-K-39.5",'SKU明细'!$A$11:$A$1309,0)),INDEX('SKU明细'!$BY$11:$BY$1309,MATCH("8392-NY-S-K-4K",'SKU明细'!$A$11:$A$1309,0)),INDEX('SKU明细'!$BY$11:$BY$1309,MATCH("8392-NY-S-K-4K.5",'SKU明细'!$A$11:$A$1309,0)),INDEX('SKU明细'!$BY$11:$BY$1309,MATCH("8392-NY-S-K-41",'SKU明细'!$A$11:$A$1309,0)),INDEX('SKU明细'!$BY$11:$BY$1309,MATCH("8392-NY-S-K-41.5",'SKU明细'!$A$11:$A$1309,0)),INDEX('SKU明细'!$BY$11:$BY$1309,MATCH("8392-NY-S-K-42",'SKU明细'!$A$11:$A$1309,0)))=11,SUM(INDEX('SKU明细'!$BY$11:$BY$1309,MATCH("8392-NY-S-K-37",'SKU明细'!$A$11:$A$1309,0)),INDEX('SKU明细'!$BY$11:$BY$1309,MATCH("8392-NY-S-K-37.5",'SKU明细'!$A$11:$A$1309,0)),INDEX('SKU明细'!$BY$11:$BY$1309,MATCH("8392-NY-S-K-38",'SKU明细'!$A$11:$A$1309,0)),INDEX('SKU明细'!$BY$11:$BY$1309,MATCH("8392-NY-S-K-38.5",'SKU明细'!$A$11:$A$1309,0)),INDEX('SKU明细'!$BY$11:$BY$1309,MATCH("8392-NY-S-K-39",'SKU明细'!$A$11:$A$1309,0)),INDEX('SKU明细'!$BY$11:$BY$1309,MATCH("8392-NY-S-K-39.5",'SKU明细'!$A$11:$A$1309,0)),INDEX('SKU明细'!$BY$11:$BY$1309,MATCH("8392-NY-S-K-4K",'SKU明细'!$A$11:$A$1309,0)),INDEX('SKU明细'!$BY$11:$BY$1309,MATCH("8392-NY-S-K-4K.5",'SKU明细'!$A$11:$A$1309,0)),INDEX('SKU明细'!$BY$11:$BY$1309,MATCH("8392-NY-S-K-41",'SKU明细'!$A$11:$A$1309,0)),INDEX('SKU明细'!$BY$11:$BY$1309,MATCH("8392-NY-S-K-41.5",'SKU明细'!$A$11:$A$1309,0)),INDEX('SKU明细'!$BY$11:$BY$1309,MATCH("8392-NY-S-K-42",'SKU明细'!$A$11:$A$1309,0))),"待核")</x:f>
        <x:v>8.716251371976464</x:v>
      </x:c>
      <x:c r="Z146" s="11" t="n">
        <x:f>INDEX('SKU明细'!$BZ$11:$BZ$1309,MATCH("8392-NY-S-K-37",'SKU明细'!$A$11:$A$1309,0))</x:f>
        <x:v>1.281694931279211</x:v>
      </x:c>
      <x:c r="AA146" s="13" t="n">
        <x:f>IF(COUNT(INDEX('SKU明细'!$CB$11:$CB$1309,MATCH("8392-NY-S-K-37",'SKU明细'!$A$11:$A$1309,0)),INDEX('SKU明细'!$CB$11:$CB$1309,MATCH("8392-NY-S-K-37.5",'SKU明细'!$A$11:$A$1309,0)),INDEX('SKU明细'!$CB$11:$CB$1309,MATCH("8392-NY-S-K-38",'SKU明细'!$A$11:$A$1309,0)),INDEX('SKU明细'!$CB$11:$CB$1309,MATCH("8392-NY-S-K-38.5",'SKU明细'!$A$11:$A$1309,0)),INDEX('SKU明细'!$CB$11:$CB$1309,MATCH("8392-NY-S-K-39",'SKU明细'!$A$11:$A$1309,0)),INDEX('SKU明细'!$CB$11:$CB$1309,MATCH("8392-NY-S-K-39.5",'SKU明细'!$A$11:$A$1309,0)),INDEX('SKU明细'!$CB$11:$CB$1309,MATCH("8392-NY-S-K-4K",'SKU明细'!$A$11:$A$1309,0)),INDEX('SKU明细'!$CB$11:$CB$1309,MATCH("8392-NY-S-K-4K.5",'SKU明细'!$A$11:$A$1309,0)),INDEX('SKU明细'!$CB$11:$CB$1309,MATCH("8392-NY-S-K-41",'SKU明细'!$A$11:$A$1309,0)),INDEX('SKU明细'!$CB$11:$CB$1309,MATCH("8392-NY-S-K-41.5",'SKU明细'!$A$11:$A$1309,0)),INDEX('SKU明细'!$CB$11:$CB$1309,MATCH("8392-NY-S-K-42",'SKU明细'!$A$11:$A$1309,0)))=11,SUM(INDEX('SKU明细'!$CB$11:$CB$1309,MATCH("8392-NY-S-K-37",'SKU明细'!$A$11:$A$1309,0)),INDEX('SKU明细'!$CB$11:$CB$1309,MATCH("8392-NY-S-K-37.5",'SKU明细'!$A$11:$A$1309,0)),INDEX('SKU明细'!$CB$11:$CB$1309,MATCH("8392-NY-S-K-38",'SKU明细'!$A$11:$A$1309,0)),INDEX('SKU明细'!$CB$11:$CB$1309,MATCH("8392-NY-S-K-38.5",'SKU明细'!$A$11:$A$1309,0)),INDEX('SKU明细'!$CB$11:$CB$1309,MATCH("8392-NY-S-K-39",'SKU明细'!$A$11:$A$1309,0)),INDEX('SKU明细'!$CB$11:$CB$1309,MATCH("8392-NY-S-K-39.5",'SKU明细'!$A$11:$A$1309,0)),INDEX('SKU明细'!$CB$11:$CB$1309,MATCH("8392-NY-S-K-4K",'SKU明细'!$A$11:$A$1309,0)),INDEX('SKU明细'!$CB$11:$CB$1309,MATCH("8392-NY-S-K-4K.5",'SKU明细'!$A$11:$A$1309,0)),INDEX('SKU明细'!$CB$11:$CB$1309,MATCH("8392-NY-S-K-41",'SKU明细'!$A$11:$A$1309,0)),INDEX('SKU明细'!$CB$11:$CB$1309,MATCH("8392-NY-S-K-41.5",'SKU明细'!$A$11:$A$1309,0)),INDEX('SKU明细'!$CB$11:$CB$1309,MATCH("8392-NY-S-K-42",'SKU明细'!$A$11:$A$1309,0))),"待核")</x:f>
        <x:v>23.782626381744212</x:v>
      </x:c>
      <x:c r="AB146" s="11" t="n">
        <x:f>INDEX('SKU明细'!$CC$11:$CC$1309,MATCH("8392-NY-S-K-37",'SKU明细'!$A$11:$A$1309,0))</x:f>
        <x:v>0.9007634642750235</x:v>
      </x:c>
      <x:c r="AC146" s="13" t="n">
        <x:f>IF(COUNT(INDEX('SKU明细'!$CE$11:$CE$1309,MATCH("8392-NY-S-K-37",'SKU明细'!$A$11:$A$1309,0)),INDEX('SKU明细'!$CE$11:$CE$1309,MATCH("8392-NY-S-K-37.5",'SKU明细'!$A$11:$A$1309,0)),INDEX('SKU明细'!$CE$11:$CE$1309,MATCH("8392-NY-S-K-38",'SKU明细'!$A$11:$A$1309,0)),INDEX('SKU明细'!$CE$11:$CE$1309,MATCH("8392-NY-S-K-38.5",'SKU明细'!$A$11:$A$1309,0)),INDEX('SKU明细'!$CE$11:$CE$1309,MATCH("8392-NY-S-K-39",'SKU明细'!$A$11:$A$1309,0)),INDEX('SKU明细'!$CE$11:$CE$1309,MATCH("8392-NY-S-K-39.5",'SKU明细'!$A$11:$A$1309,0)),INDEX('SKU明细'!$CE$11:$CE$1309,MATCH("8392-NY-S-K-4K",'SKU明细'!$A$11:$A$1309,0)),INDEX('SKU明细'!$CE$11:$CE$1309,MATCH("8392-NY-S-K-4K.5",'SKU明细'!$A$11:$A$1309,0)),INDEX('SKU明细'!$CE$11:$CE$1309,MATCH("8392-NY-S-K-41",'SKU明细'!$A$11:$A$1309,0)),INDEX('SKU明细'!$CE$11:$CE$1309,MATCH("8392-NY-S-K-41.5",'SKU明细'!$A$11:$A$1309,0)),INDEX('SKU明细'!$CE$11:$CE$1309,MATCH("8392-NY-S-K-42",'SKU明细'!$A$11:$A$1309,0)))=11,SUM(INDEX('SKU明细'!$CE$11:$CE$1309,MATCH("8392-NY-S-K-37",'SKU明细'!$A$11:$A$1309,0)),INDEX('SKU明细'!$CE$11:$CE$1309,MATCH("8392-NY-S-K-37.5",'SKU明细'!$A$11:$A$1309,0)),INDEX('SKU明细'!$CE$11:$CE$1309,MATCH("8392-NY-S-K-38",'SKU明细'!$A$11:$A$1309,0)),INDEX('SKU明细'!$CE$11:$CE$1309,MATCH("8392-NY-S-K-38.5",'SKU明细'!$A$11:$A$1309,0)),INDEX('SKU明细'!$CE$11:$CE$1309,MATCH("8392-NY-S-K-39",'SKU明细'!$A$11:$A$1309,0)),INDEX('SKU明细'!$CE$11:$CE$1309,MATCH("8392-NY-S-K-39.5",'SKU明细'!$A$11:$A$1309,0)),INDEX('SKU明细'!$CE$11:$CE$1309,MATCH("8392-NY-S-K-4K",'SKU明细'!$A$11:$A$1309,0)),INDEX('SKU明细'!$CE$11:$CE$1309,MATCH("8392-NY-S-K-4K.5",'SKU明细'!$A$11:$A$1309,0)),INDEX('SKU明细'!$CE$11:$CE$1309,MATCH("8392-NY-S-K-41",'SKU明细'!$A$11:$A$1309,0)),INDEX('SKU明细'!$CE$11:$CE$1309,MATCH("8392-NY-S-K-41.5",'SKU明细'!$A$11:$A$1309,0)),INDEX('SKU明细'!$CE$11:$CE$1309,MATCH("8392-NY-S-K-42",'SKU明细'!$A$11:$A$1309,0))),"待核")</x:f>
        <x:v>17.271352503561353</x:v>
      </x:c>
      <x:c r="AD146" s="11" t="n">
        <x:f>INDEX('SKU明细'!$CF$11:$CF$1309,MATCH("8392-NY-S-K-37",'SKU明细'!$A$11:$A$1309,0))</x:f>
        <x:v>0.9537631089407297</x:v>
      </x:c>
      <x:c r="AE146" s="13" t="n">
        <x:f>IF(COUNT(INDEX('SKU明细'!$CH$11:$CH$1309,MATCH("8392-NY-S-K-37",'SKU明细'!$A$11:$A$1309,0)),INDEX('SKU明细'!$CH$11:$CH$1309,MATCH("8392-NY-S-K-37.5",'SKU明细'!$A$11:$A$1309,0)),INDEX('SKU明细'!$CH$11:$CH$1309,MATCH("8392-NY-S-K-38",'SKU明细'!$A$11:$A$1309,0)),INDEX('SKU明细'!$CH$11:$CH$1309,MATCH("8392-NY-S-K-38.5",'SKU明细'!$A$11:$A$1309,0)),INDEX('SKU明细'!$CH$11:$CH$1309,MATCH("8392-NY-S-K-39",'SKU明细'!$A$11:$A$1309,0)),INDEX('SKU明细'!$CH$11:$CH$1309,MATCH("8392-NY-S-K-39.5",'SKU明细'!$A$11:$A$1309,0)),INDEX('SKU明细'!$CH$11:$CH$1309,MATCH("8392-NY-S-K-4K",'SKU明细'!$A$11:$A$1309,0)),INDEX('SKU明细'!$CH$11:$CH$1309,MATCH("8392-NY-S-K-4K.5",'SKU明细'!$A$11:$A$1309,0)),INDEX('SKU明细'!$CH$11:$CH$1309,MATCH("8392-NY-S-K-41",'SKU明细'!$A$11:$A$1309,0)),INDEX('SKU明细'!$CH$11:$CH$1309,MATCH("8392-NY-S-K-41.5",'SKU明细'!$A$11:$A$1309,0)),INDEX('SKU明细'!$CH$11:$CH$1309,MATCH("8392-NY-S-K-42",'SKU明细'!$A$11:$A$1309,0)))=11,SUM(INDEX('SKU明细'!$CH$11:$CH$1309,MATCH("8392-NY-S-K-37",'SKU明细'!$A$11:$A$1309,0)),INDEX('SKU明细'!$CH$11:$CH$1309,MATCH("8392-NY-S-K-37.5",'SKU明细'!$A$11:$A$1309,0)),INDEX('SKU明细'!$CH$11:$CH$1309,MATCH("8392-NY-S-K-38",'SKU明细'!$A$11:$A$1309,0)),INDEX('SKU明细'!$CH$11:$CH$1309,MATCH("8392-NY-S-K-38.5",'SKU明细'!$A$11:$A$1309,0)),INDEX('SKU明细'!$CH$11:$CH$1309,MATCH("8392-NY-S-K-39",'SKU明细'!$A$11:$A$1309,0)),INDEX('SKU明细'!$CH$11:$CH$1309,MATCH("8392-NY-S-K-39.5",'SKU明细'!$A$11:$A$1309,0)),INDEX('SKU明细'!$CH$11:$CH$1309,MATCH("8392-NY-S-K-4K",'SKU明细'!$A$11:$A$1309,0)),INDEX('SKU明细'!$CH$11:$CH$1309,MATCH("8392-NY-S-K-4K.5",'SKU明细'!$A$11:$A$1309,0)),INDEX('SKU明细'!$CH$11:$CH$1309,MATCH("8392-NY-S-K-41",'SKU明细'!$A$11:$A$1309,0)),INDEX('SKU明细'!$CH$11:$CH$1309,MATCH("8392-NY-S-K-41.5",'SKU明细'!$A$11:$A$1309,0)),INDEX('SKU明细'!$CH$11:$CH$1309,MATCH("8392-NY-S-K-42",'SKU明细'!$A$11:$A$1309,0))),"待核")</x:f>
        <x:v>10.028669825973212</x:v>
      </x:c>
      <x:c r="AF146" s="13" t="n">
        <x:f>IF(COUNT(INDEX('SKU明细'!$CI$11:$CI$1309,MATCH("8392-NY-S-K-37",'SKU明细'!$A$11:$A$1309,0)),INDEX('SKU明细'!$CI$11:$CI$1309,MATCH("8392-NY-S-K-37.5",'SKU明细'!$A$11:$A$1309,0)),INDEX('SKU明细'!$CI$11:$CI$1309,MATCH("8392-NY-S-K-38",'SKU明细'!$A$11:$A$1309,0)),INDEX('SKU明细'!$CI$11:$CI$1309,MATCH("8392-NY-S-K-38.5",'SKU明细'!$A$11:$A$1309,0)),INDEX('SKU明细'!$CI$11:$CI$1309,MATCH("8392-NY-S-K-39",'SKU明细'!$A$11:$A$1309,0)),INDEX('SKU明细'!$CI$11:$CI$1309,MATCH("8392-NY-S-K-39.5",'SKU明细'!$A$11:$A$1309,0)),INDEX('SKU明细'!$CI$11:$CI$1309,MATCH("8392-NY-S-K-4K",'SKU明细'!$A$11:$A$1309,0)),INDEX('SKU明细'!$CI$11:$CI$1309,MATCH("8392-NY-S-K-4K.5",'SKU明细'!$A$11:$A$1309,0)),INDEX('SKU明细'!$CI$11:$CI$1309,MATCH("8392-NY-S-K-41",'SKU明细'!$A$11:$A$1309,0)),INDEX('SKU明细'!$CI$11:$CI$1309,MATCH("8392-NY-S-K-41.5",'SKU明细'!$A$11:$A$1309,0)),INDEX('SKU明细'!$CI$11:$CI$1309,MATCH("8392-NY-S-K-42",'SKU明细'!$A$11:$A$1309,0)))=11,SUM(INDEX('SKU明细'!$CI$11:$CI$1309,MATCH("8392-NY-S-K-37",'SKU明细'!$A$11:$A$1309,0)),INDEX('SKU明细'!$CI$11:$CI$1309,MATCH("8392-NY-S-K-37.5",'SKU明细'!$A$11:$A$1309,0)),INDEX('SKU明细'!$CI$11:$CI$1309,MATCH("8392-NY-S-K-38",'SKU明细'!$A$11:$A$1309,0)),INDEX('SKU明细'!$CI$11:$CI$1309,MATCH("8392-NY-S-K-38.5",'SKU明细'!$A$11:$A$1309,0)),INDEX('SKU明细'!$CI$11:$CI$1309,MATCH("8392-NY-S-K-39",'SKU明细'!$A$11:$A$1309,0)),INDEX('SKU明细'!$CI$11:$CI$1309,MATCH("8392-NY-S-K-39.5",'SKU明细'!$A$11:$A$1309,0)),INDEX('SKU明细'!$CI$11:$CI$1309,MATCH("8392-NY-S-K-4K",'SKU明细'!$A$11:$A$1309,0)),INDEX('SKU明细'!$CI$11:$CI$1309,MATCH("8392-NY-S-K-4K.5",'SKU明细'!$A$11:$A$1309,0)),INDEX('SKU明细'!$CI$11:$CI$1309,MATCH("8392-NY-S-K-41",'SKU明细'!$A$11:$A$1309,0)),INDEX('SKU明细'!$CI$11:$CI$1309,MATCH("8392-NY-S-K-41.5",'SKU明细'!$A$11:$A$1309,0)),INDEX('SKU明细'!$CI$11:$CI$1309,MATCH("8392-NY-S-K-42",'SKU明细'!$A$11:$A$1309,0))),"待核")</x:f>
        <x:v>59.79890008325523</x:v>
      </x:c>
    </x:row>
    <x:row r="147" ht="40" customHeight="1">
      <x:c r="A147" s="35" t="str">
        <x:v>8392</x:v>
      </x:c>
      <x:c r="B147" s="35" t="str">
        <x:v>徐新怡</x:v>
      </x:c>
      <x:c r="C147" s="35" t="str">
        <x:v>红色</x:v>
      </x:c>
      <x:c r="D147" s="35" t="str">
        <x:v>RD-S-K</x:v>
      </x:c>
      <x:c r="E147" s="35" t="str">
        <x:v>8392-RD-S-K</x:v>
      </x:c>
      <x:c r="F147" s="35"/>
      <x:c r="G147" s="36" t="str">
        <x:f>"—"</x:f>
        <x:v>—</x:v>
      </x:c>
      <x:c r="H147" s="36" t="n">
        <x:f>IF(COUNT(INDEX('SKU明细'!$D$11:$D$1309,MATCH("8392-RD-S-K-37",'SKU明细'!$A$11:$A$1309,0)))=0,"待核",IF(COUNT(INDEX('SKU明细'!$D$11:$D$1309,MATCH("8392-RD-S-K-37",'SKU明细'!$A$11:$A$1309,0)))&lt;1,SUM(INDEX('SKU明细'!$D$11:$D$1309,MATCH("8392-RD-S-K-37",'SKU明细'!$A$11:$A$1309,0)))&amp;" + 待核",SUM(INDEX('SKU明细'!$D$11:$D$1309,MATCH("8392-RD-S-K-37",'SKU明细'!$A$11:$A$1309,0)))))</x:f>
        <x:v>0</x:v>
      </x:c>
      <x:c r="I147" s="36" t="str">
        <x:f>IF(COUNT(INDEX('SKU明细'!$D$11:$D$1309,MATCH("8392-RD-S-K-37.5",'SKU明细'!$A$11:$A$1309,0)))=0,"待核",IF(COUNT(INDEX('SKU明细'!$D$11:$D$1309,MATCH("8392-RD-S-K-37.5",'SKU明细'!$A$11:$A$1309,0)))&lt;1,SUM(INDEX('SKU明细'!$D$11:$D$1309,MATCH("8392-RD-S-K-37.5",'SKU明细'!$A$11:$A$1309,0)))&amp;" + 待核",SUM(INDEX('SKU明细'!$D$11:$D$1309,MATCH("8392-RD-S-K-37.5",'SKU明细'!$A$11:$A$1309,0)))))</x:f>
        <x:v>待核</x:v>
      </x:c>
      <x:c r="J147" s="36" t="n">
        <x:f>IF(COUNT(INDEX('SKU明细'!$D$11:$D$1309,MATCH("8392-RD-S-K-38",'SKU明细'!$A$11:$A$1309,0)))=0,"待核",IF(COUNT(INDEX('SKU明细'!$D$11:$D$1309,MATCH("8392-RD-S-K-38",'SKU明细'!$A$11:$A$1309,0)))&lt;1,SUM(INDEX('SKU明细'!$D$11:$D$1309,MATCH("8392-RD-S-K-38",'SKU明细'!$A$11:$A$1309,0)))&amp;" + 待核",SUM(INDEX('SKU明细'!$D$11:$D$1309,MATCH("8392-RD-S-K-38",'SKU明细'!$A$11:$A$1309,0)))))</x:f>
        <x:v>0</x:v>
      </x:c>
      <x:c r="K147" s="36" t="str">
        <x:f>IF(COUNT(INDEX('SKU明细'!$D$11:$D$1309,MATCH("8392-RD-S-K-38.5",'SKU明细'!$A$11:$A$1309,0)))=0,"待核",IF(COUNT(INDEX('SKU明细'!$D$11:$D$1309,MATCH("8392-RD-S-K-38.5",'SKU明细'!$A$11:$A$1309,0)))&lt;1,SUM(INDEX('SKU明细'!$D$11:$D$1309,MATCH("8392-RD-S-K-38.5",'SKU明细'!$A$11:$A$1309,0)))&amp;" + 待核",SUM(INDEX('SKU明细'!$D$11:$D$1309,MATCH("8392-RD-S-K-38.5",'SKU明细'!$A$11:$A$1309,0)))))</x:f>
        <x:v>待核</x:v>
      </x:c>
      <x:c r="L147" s="36" t="n">
        <x:f>IF(COUNT(INDEX('SKU明细'!$D$11:$D$1309,MATCH("8392-RD-S-K-39",'SKU明细'!$A$11:$A$1309,0)))=0,"待核",IF(COUNT(INDEX('SKU明细'!$D$11:$D$1309,MATCH("8392-RD-S-K-39",'SKU明细'!$A$11:$A$1309,0)))&lt;1,SUM(INDEX('SKU明细'!$D$11:$D$1309,MATCH("8392-RD-S-K-39",'SKU明细'!$A$11:$A$1309,0)))&amp;" + 待核",SUM(INDEX('SKU明细'!$D$11:$D$1309,MATCH("8392-RD-S-K-39",'SKU明细'!$A$11:$A$1309,0)))))</x:f>
        <x:v>0</x:v>
      </x:c>
      <x:c r="M147" s="36" t="str">
        <x:f>IF(COUNT(INDEX('SKU明细'!$D$11:$D$1309,MATCH("8392-RD-S-K-39.5",'SKU明细'!$A$11:$A$1309,0)))=0,"待核",IF(COUNT(INDEX('SKU明细'!$D$11:$D$1309,MATCH("8392-RD-S-K-39.5",'SKU明细'!$A$11:$A$1309,0)))&lt;1,SUM(INDEX('SKU明细'!$D$11:$D$1309,MATCH("8392-RD-S-K-39.5",'SKU明细'!$A$11:$A$1309,0)))&amp;" + 待核",SUM(INDEX('SKU明细'!$D$11:$D$1309,MATCH("8392-RD-S-K-39.5",'SKU明细'!$A$11:$A$1309,0)))))</x:f>
        <x:v>待核</x:v>
      </x:c>
      <x:c r="N147" s="36" t="str">
        <x:f>IF(COUNT(INDEX('SKU明细'!$D$11:$D$1309,MATCH("8392-RD-S-K-40",'SKU明细'!$A$11:$A$1309,0)))=0,"待核",IF(COUNT(INDEX('SKU明细'!$D$11:$D$1309,MATCH("8392-RD-S-K-40",'SKU明细'!$A$11:$A$1309,0)))&lt;1,SUM(INDEX('SKU明细'!$D$11:$D$1309,MATCH("8392-RD-S-K-40",'SKU明细'!$A$11:$A$1309,0)))&amp;" + 待核",SUM(INDEX('SKU明细'!$D$11:$D$1309,MATCH("8392-RD-S-K-40",'SKU明细'!$A$11:$A$1309,0)))))</x:f>
        <x:v>待核</x:v>
      </x:c>
      <x:c r="O147" s="36" t="str">
        <x:f>IF(COUNT(INDEX('SKU明细'!$D$11:$D$1309,MATCH("8392-RD-S-K-40.5",'SKU明细'!$A$11:$A$1309,0)))=0,"待核",IF(COUNT(INDEX('SKU明细'!$D$11:$D$1309,MATCH("8392-RD-S-K-40.5",'SKU明细'!$A$11:$A$1309,0)))&lt;1,SUM(INDEX('SKU明细'!$D$11:$D$1309,MATCH("8392-RD-S-K-40.5",'SKU明细'!$A$11:$A$1309,0)))&amp;" + 待核",SUM(INDEX('SKU明细'!$D$11:$D$1309,MATCH("8392-RD-S-K-40.5",'SKU明细'!$A$11:$A$1309,0)))))</x:f>
        <x:v>待核</x:v>
      </x:c>
      <x:c r="P147" s="36" t="n">
        <x:f>IF(COUNT(INDEX('SKU明细'!$D$11:$D$1309,MATCH("8392-RD-S-K-41",'SKU明细'!$A$11:$A$1309,0)))=0,"待核",IF(COUNT(INDEX('SKU明细'!$D$11:$D$1309,MATCH("8392-RD-S-K-41",'SKU明细'!$A$11:$A$1309,0)))&lt;1,SUM(INDEX('SKU明细'!$D$11:$D$1309,MATCH("8392-RD-S-K-41",'SKU明细'!$A$11:$A$1309,0)))&amp;" + 待核",SUM(INDEX('SKU明细'!$D$11:$D$1309,MATCH("8392-RD-S-K-41",'SKU明细'!$A$11:$A$1309,0)))))</x:f>
        <x:v>0</x:v>
      </x:c>
      <x:c r="Q147" s="36" t="str">
        <x:f>IF(COUNT(INDEX('SKU明细'!$D$11:$D$1309,MATCH("8392-RD-S-K-41.5",'SKU明细'!$A$11:$A$1309,0)))=0,"待核",IF(COUNT(INDEX('SKU明细'!$D$11:$D$1309,MATCH("8392-RD-S-K-41.5",'SKU明细'!$A$11:$A$1309,0)))&lt;1,SUM(INDEX('SKU明细'!$D$11:$D$1309,MATCH("8392-RD-S-K-41.5",'SKU明细'!$A$11:$A$1309,0)))&amp;" + 待核",SUM(INDEX('SKU明细'!$D$11:$D$1309,MATCH("8392-RD-S-K-41.5",'SKU明细'!$A$11:$A$1309,0)))))</x:f>
        <x:v>待核</x:v>
      </x:c>
      <x:c r="R147" s="36" t="str">
        <x:f>IF(COUNT(INDEX('SKU明细'!$D$11:$D$1309,MATCH("8392-RD-S-K-42",'SKU明细'!$A$11:$A$1309,0)))=0,"待核",IF(COUNT(INDEX('SKU明细'!$D$11:$D$1309,MATCH("8392-RD-S-K-42",'SKU明细'!$A$11:$A$1309,0)))&lt;1,SUM(INDEX('SKU明细'!$D$11:$D$1309,MATCH("8392-RD-S-K-42",'SKU明细'!$A$11:$A$1309,0)))&amp;" + 待核",SUM(INDEX('SKU明细'!$D$11:$D$1309,MATCH("8392-RD-S-K-42",'SKU明细'!$A$11:$A$1309,0)))))</x:f>
        <x:v>待核</x:v>
      </x:c>
      <x:c r="S147" s="36" t="n">
        <x:f>IF(COUNT(INDEX('SKU明细'!$D$11:$D$1309,MATCH("8392-RD-S-K-37",'SKU明细'!$A$11:$A$1309,0)),INDEX('SKU明细'!$D$11:$D$1309,MATCH("8392-RD-S-K-37.5",'SKU明细'!$A$11:$A$1309,0)),INDEX('SKU明细'!$D$11:$D$1309,MATCH("8392-RD-S-K-38",'SKU明细'!$A$11:$A$1309,0)),INDEX('SKU明细'!$D$11:$D$1309,MATCH("8392-RD-S-K-38.5",'SKU明细'!$A$11:$A$1309,0)),INDEX('SKU明细'!$D$11:$D$1309,MATCH("8392-RD-S-K-39",'SKU明细'!$A$11:$A$1309,0)),INDEX('SKU明细'!$D$11:$D$1309,MATCH("8392-RD-S-K-39.5",'SKU明细'!$A$11:$A$1309,0)),INDEX('SKU明细'!$D$11:$D$1309,MATCH("8392-RD-S-K-40",'SKU明细'!$A$11:$A$1309,0)),INDEX('SKU明细'!$D$11:$D$1309,MATCH("8392-RD-S-K-40.5",'SKU明细'!$A$11:$A$1309,0)),INDEX('SKU明细'!$D$11:$D$1309,MATCH("8392-RD-S-K-41",'SKU明细'!$A$11:$A$1309,0)),INDEX('SKU明细'!$D$11:$D$1309,MATCH("8392-RD-S-K-41.5",'SKU明细'!$A$11:$A$1309,0)),INDEX('SKU明细'!$D$11:$D$1309,MATCH("8392-RD-S-K-42",'SKU明细'!$A$11:$A$1309,0)))=0,"待核",SUM(INDEX('SKU明细'!$D$11:$D$1309,MATCH("8392-RD-S-K-37",'SKU明细'!$A$11:$A$1309,0)),INDEX('SKU明细'!$D$11:$D$1309,MATCH("8392-RD-S-K-37.5",'SKU明细'!$A$11:$A$1309,0)),INDEX('SKU明细'!$D$11:$D$1309,MATCH("8392-RD-S-K-38",'SKU明细'!$A$11:$A$1309,0)),INDEX('SKU明细'!$D$11:$D$1309,MATCH("8392-RD-S-K-38.5",'SKU明细'!$A$11:$A$1309,0)),INDEX('SKU明细'!$D$11:$D$1309,MATCH("8392-RD-S-K-39",'SKU明细'!$A$11:$A$1309,0)),INDEX('SKU明细'!$D$11:$D$1309,MATCH("8392-RD-S-K-39.5",'SKU明细'!$A$11:$A$1309,0)),INDEX('SKU明细'!$D$11:$D$1309,MATCH("8392-RD-S-K-40",'SKU明细'!$A$11:$A$1309,0)),INDEX('SKU明细'!$D$11:$D$1309,MATCH("8392-RD-S-K-40.5",'SKU明细'!$A$11:$A$1309,0)),INDEX('SKU明细'!$D$11:$D$1309,MATCH("8392-RD-S-K-41",'SKU明细'!$A$11:$A$1309,0)),INDEX('SKU明细'!$D$11:$D$1309,MATCH("8392-RD-S-K-41.5",'SKU明细'!$A$11:$A$1309,0)),INDEX('SKU明细'!$D$11:$D$1309,MATCH("8392-RD-S-K-42",'SKU明细'!$A$11:$A$1309,0))))</x:f>
        <x:v>0</x:v>
      </x:c>
      <x:c r="T147" s="36" t="n">
        <x:f>IF(COUNTIFS($A$9:$A$191,A147,$U$9:$U$191,"&lt;&gt;待核")=0,"待核",SUMIF($A$9:$A$191,A147,$S$9:$S$191))</x:f>
        <x:v>137</x:v>
      </x:c>
      <x:c r="U147" s="35" t="str">
        <x:f>IF(COUNT(INDEX('SKU明细'!$D$11:$D$1309,MATCH("8392-RD-S-K-37",'SKU明细'!$A$11:$A$1309,0)),INDEX('SKU明细'!$D$11:$D$1309,MATCH("8392-RD-S-K-37.5",'SKU明细'!$A$11:$A$1309,0)),INDEX('SKU明细'!$D$11:$D$1309,MATCH("8392-RD-S-K-38",'SKU明细'!$A$11:$A$1309,0)),INDEX('SKU明细'!$D$11:$D$1309,MATCH("8392-RD-S-K-38.5",'SKU明细'!$A$11:$A$1309,0)),INDEX('SKU明细'!$D$11:$D$1309,MATCH("8392-RD-S-K-39",'SKU明细'!$A$11:$A$1309,0)),INDEX('SKU明细'!$D$11:$D$1309,MATCH("8392-RD-S-K-39.5",'SKU明细'!$A$11:$A$1309,0)),INDEX('SKU明细'!$D$11:$D$1309,MATCH("8392-RD-S-K-40",'SKU明细'!$A$11:$A$1309,0)),INDEX('SKU明细'!$D$11:$D$1309,MATCH("8392-RD-S-K-40.5",'SKU明细'!$A$11:$A$1309,0)),INDEX('SKU明细'!$D$11:$D$1309,MATCH("8392-RD-S-K-41",'SKU明细'!$A$11:$A$1309,0)),INDEX('SKU明细'!$D$11:$D$1309,MATCH("8392-RD-S-K-41.5",'SKU明细'!$A$11:$A$1309,0)),INDEX('SKU明细'!$D$11:$D$1309,MATCH("8392-RD-S-K-42",'SKU明细'!$A$11:$A$1309,0)))=0,"待核",IF(COUNT(INDEX('SKU明细'!$D$11:$D$1309,MATCH("8392-RD-S-K-37",'SKU明细'!$A$11:$A$1309,0)),INDEX('SKU明细'!$D$11:$D$1309,MATCH("8392-RD-S-K-37.5",'SKU明细'!$A$11:$A$1309,0)),INDEX('SKU明细'!$D$11:$D$1309,MATCH("8392-RD-S-K-38",'SKU明细'!$A$11:$A$1309,0)),INDEX('SKU明细'!$D$11:$D$1309,MATCH("8392-RD-S-K-38.5",'SKU明细'!$A$11:$A$1309,0)),INDEX('SKU明细'!$D$11:$D$1309,MATCH("8392-RD-S-K-39",'SKU明细'!$A$11:$A$1309,0)),INDEX('SKU明细'!$D$11:$D$1309,MATCH("8392-RD-S-K-39.5",'SKU明细'!$A$11:$A$1309,0)),INDEX('SKU明细'!$D$11:$D$1309,MATCH("8392-RD-S-K-40",'SKU明细'!$A$11:$A$1309,0)),INDEX('SKU明细'!$D$11:$D$1309,MATCH("8392-RD-S-K-40.5",'SKU明细'!$A$11:$A$1309,0)),INDEX('SKU明细'!$D$11:$D$1309,MATCH("8392-RD-S-K-41",'SKU明细'!$A$11:$A$1309,0)),INDEX('SKU明细'!$D$11:$D$1309,MATCH("8392-RD-S-K-41.5",'SKU明细'!$A$11:$A$1309,0)),INDEX('SKU明细'!$D$11:$D$1309,MATCH("8392-RD-S-K-42",'SKU明细'!$A$11:$A$1309,0)))&lt;11,"另有待核","已核"))</x:f>
        <x:v>另有待核</x:v>
      </x:c>
      <x:c r="V147" s="35" t="str">
        <x:v>停售、未匹配Listing</x:v>
      </x:c>
      <x:c r="W147" s="11" t="n">
        <x:f>IF(COUNT(INDEX('SKU明细'!$BV$11:$BV$1309,MATCH("8392-RD-S-K-37",'SKU明细'!$A$11:$A$1309,0)),INDEX('SKU明细'!$BV$11:$BV$1309,MATCH("8392-RD-S-K-37.5",'SKU明细'!$A$11:$A$1309,0)),INDEX('SKU明细'!$BV$11:$BV$1309,MATCH("8392-RD-S-K-38",'SKU明细'!$A$11:$A$1309,0)),INDEX('SKU明细'!$BV$11:$BV$1309,MATCH("8392-RD-S-K-38.5",'SKU明细'!$A$11:$A$1309,0)),INDEX('SKU明细'!$BV$11:$BV$1309,MATCH("8392-RD-S-K-39",'SKU明细'!$A$11:$A$1309,0)),INDEX('SKU明细'!$BV$11:$BV$1309,MATCH("8392-RD-S-K-39.5",'SKU明细'!$A$11:$A$1309,0)),INDEX('SKU明细'!$BV$11:$BV$1309,MATCH("8392-RD-S-K-40",'SKU明细'!$A$11:$A$1309,0)),INDEX('SKU明细'!$BV$11:$BV$1309,MATCH("8392-RD-S-K-40.5",'SKU明细'!$A$11:$A$1309,0)),INDEX('SKU明细'!$BV$11:$BV$1309,MATCH("8392-RD-S-K-41",'SKU明细'!$A$11:$A$1309,0)),INDEX('SKU明细'!$BV$11:$BV$1309,MATCH("8392-RD-S-K-41.5",'SKU明细'!$A$11:$A$1309,0)),INDEX('SKU明细'!$BV$11:$BV$1309,MATCH("8392-RD-S-K-42",'SKU明细'!$A$11:$A$1309,0)))=11,SUM(INDEX('SKU明细'!$BV$11:$BV$1309,MATCH("8392-RD-S-K-37",'SKU明细'!$A$11:$A$1309,0)),INDEX('SKU明细'!$BV$11:$BV$1309,MATCH("8392-RD-S-K-37.5",'SKU明细'!$A$11:$A$1309,0)),INDEX('SKU明细'!$BV$11:$BV$1309,MATCH("8392-RD-S-K-38",'SKU明细'!$A$11:$A$1309,0)),INDEX('SKU明细'!$BV$11:$BV$1309,MATCH("8392-RD-S-K-38.5",'SKU明细'!$A$11:$A$1309,0)),INDEX('SKU明细'!$BV$11:$BV$1309,MATCH("8392-RD-S-K-39",'SKU明细'!$A$11:$A$1309,0)),INDEX('SKU明细'!$BV$11:$BV$1309,MATCH("8392-RD-S-K-39.5",'SKU明细'!$A$11:$A$1309,0)),INDEX('SKU明细'!$BV$11:$BV$1309,MATCH("8392-RD-S-K-40",'SKU明细'!$A$11:$A$1309,0)),INDEX('SKU明细'!$BV$11:$BV$1309,MATCH("8392-RD-S-K-40.5",'SKU明细'!$A$11:$A$1309,0)),INDEX('SKU明细'!$BV$11:$BV$1309,MATCH("8392-RD-S-K-41",'SKU明细'!$A$11:$A$1309,0)),INDEX('SKU明细'!$BV$11:$BV$1309,MATCH("8392-RD-S-K-41.5",'SKU明细'!$A$11:$A$1309,0)),INDEX('SKU明细'!$BV$11:$BV$1309,MATCH("8392-RD-S-K-42",'SKU明细'!$A$11:$A$1309,0))),"待核")</x:f>
        <x:v>0</x:v>
      </x:c>
      <x:c r="X147" s="11" t="n">
        <x:f>INDEX('SKU明细'!$BW$11:$BW$1309,MATCH("8392-RD-S-K-37",'SKU明细'!$A$11:$A$1309,0))</x:f>
        <x:v>1.1743420411079069</x:v>
      </x:c>
      <x:c r="Y147" s="13" t="n">
        <x:f>IF(COUNT(INDEX('SKU明细'!$BY$11:$BY$1309,MATCH("8392-RD-S-K-37",'SKU明细'!$A$11:$A$1309,0)),INDEX('SKU明细'!$BY$11:$BY$1309,MATCH("8392-RD-S-K-37.5",'SKU明细'!$A$11:$A$1309,0)),INDEX('SKU明细'!$BY$11:$BY$1309,MATCH("8392-RD-S-K-38",'SKU明细'!$A$11:$A$1309,0)),INDEX('SKU明细'!$BY$11:$BY$1309,MATCH("8392-RD-S-K-38.5",'SKU明细'!$A$11:$A$1309,0)),INDEX('SKU明细'!$BY$11:$BY$1309,MATCH("8392-RD-S-K-39",'SKU明细'!$A$11:$A$1309,0)),INDEX('SKU明细'!$BY$11:$BY$1309,MATCH("8392-RD-S-K-39.5",'SKU明细'!$A$11:$A$1309,0)),INDEX('SKU明细'!$BY$11:$BY$1309,MATCH("8392-RD-S-K-40",'SKU明细'!$A$11:$A$1309,0)),INDEX('SKU明细'!$BY$11:$BY$1309,MATCH("8392-RD-S-K-40.5",'SKU明细'!$A$11:$A$1309,0)),INDEX('SKU明细'!$BY$11:$BY$1309,MATCH("8392-RD-S-K-41",'SKU明细'!$A$11:$A$1309,0)),INDEX('SKU明细'!$BY$11:$BY$1309,MATCH("8392-RD-S-K-41.5",'SKU明细'!$A$11:$A$1309,0)),INDEX('SKU明细'!$BY$11:$BY$1309,MATCH("8392-RD-S-K-42",'SKU明细'!$A$11:$A$1309,0)))=11,SUM(INDEX('SKU明细'!$BY$11:$BY$1309,MATCH("8392-RD-S-K-37",'SKU明细'!$A$11:$A$1309,0)),INDEX('SKU明细'!$BY$11:$BY$1309,MATCH("8392-RD-S-K-37.5",'SKU明细'!$A$11:$A$1309,0)),INDEX('SKU明细'!$BY$11:$BY$1309,MATCH("8392-RD-S-K-38",'SKU明细'!$A$11:$A$1309,0)),INDEX('SKU明细'!$BY$11:$BY$1309,MATCH("8392-RD-S-K-38.5",'SKU明细'!$A$11:$A$1309,0)),INDEX('SKU明细'!$BY$11:$BY$1309,MATCH("8392-RD-S-K-39",'SKU明细'!$A$11:$A$1309,0)),INDEX('SKU明细'!$BY$11:$BY$1309,MATCH("8392-RD-S-K-39.5",'SKU明细'!$A$11:$A$1309,0)),INDEX('SKU明细'!$BY$11:$BY$1309,MATCH("8392-RD-S-K-40",'SKU明细'!$A$11:$A$1309,0)),INDEX('SKU明细'!$BY$11:$BY$1309,MATCH("8392-RD-S-K-40.5",'SKU明细'!$A$11:$A$1309,0)),INDEX('SKU明细'!$BY$11:$BY$1309,MATCH("8392-RD-S-K-41",'SKU明细'!$A$11:$A$1309,0)),INDEX('SKU明细'!$BY$11:$BY$1309,MATCH("8392-RD-S-K-41.5",'SKU明细'!$A$11:$A$1309,0)),INDEX('SKU明细'!$BY$11:$BY$1309,MATCH("8392-RD-S-K-42",'SKU明细'!$A$11:$A$1309,0))),"待核")</x:f>
        <x:v>0</x:v>
      </x:c>
      <x:c r="Z147" s="11" t="n">
        <x:f>INDEX('SKU明细'!$BZ$11:$BZ$1309,MATCH("8392-RD-S-K-37",'SKU明细'!$A$11:$A$1309,0))</x:f>
        <x:v>1.281694931279211</x:v>
      </x:c>
      <x:c r="AA147" s="13" t="n">
        <x:f>IF(COUNT(INDEX('SKU明细'!$CB$11:$CB$1309,MATCH("8392-RD-S-K-37",'SKU明细'!$A$11:$A$1309,0)),INDEX('SKU明细'!$CB$11:$CB$1309,MATCH("8392-RD-S-K-37.5",'SKU明细'!$A$11:$A$1309,0)),INDEX('SKU明细'!$CB$11:$CB$1309,MATCH("8392-RD-S-K-38",'SKU明细'!$A$11:$A$1309,0)),INDEX('SKU明细'!$CB$11:$CB$1309,MATCH("8392-RD-S-K-38.5",'SKU明细'!$A$11:$A$1309,0)),INDEX('SKU明细'!$CB$11:$CB$1309,MATCH("8392-RD-S-K-39",'SKU明细'!$A$11:$A$1309,0)),INDEX('SKU明细'!$CB$11:$CB$1309,MATCH("8392-RD-S-K-39.5",'SKU明细'!$A$11:$A$1309,0)),INDEX('SKU明细'!$CB$11:$CB$1309,MATCH("8392-RD-S-K-40",'SKU明细'!$A$11:$A$1309,0)),INDEX('SKU明细'!$CB$11:$CB$1309,MATCH("8392-RD-S-K-40.5",'SKU明细'!$A$11:$A$1309,0)),INDEX('SKU明细'!$CB$11:$CB$1309,MATCH("8392-RD-S-K-41",'SKU明细'!$A$11:$A$1309,0)),INDEX('SKU明细'!$CB$11:$CB$1309,MATCH("8392-RD-S-K-41.5",'SKU明细'!$A$11:$A$1309,0)),INDEX('SKU明细'!$CB$11:$CB$1309,MATCH("8392-RD-S-K-42",'SKU明细'!$A$11:$A$1309,0)))=11,SUM(INDEX('SKU明细'!$CB$11:$CB$1309,MATCH("8392-RD-S-K-37",'SKU明细'!$A$11:$A$1309,0)),INDEX('SKU明细'!$CB$11:$CB$1309,MATCH("8392-RD-S-K-37.5",'SKU明细'!$A$11:$A$1309,0)),INDEX('SKU明细'!$CB$11:$CB$1309,MATCH("8392-RD-S-K-38",'SKU明细'!$A$11:$A$1309,0)),INDEX('SKU明细'!$CB$11:$CB$1309,MATCH("8392-RD-S-K-38.5",'SKU明细'!$A$11:$A$1309,0)),INDEX('SKU明细'!$CB$11:$CB$1309,MATCH("8392-RD-S-K-39",'SKU明细'!$A$11:$A$1309,0)),INDEX('SKU明细'!$CB$11:$CB$1309,MATCH("8392-RD-S-K-39.5",'SKU明细'!$A$11:$A$1309,0)),INDEX('SKU明细'!$CB$11:$CB$1309,MATCH("8392-RD-S-K-40",'SKU明细'!$A$11:$A$1309,0)),INDEX('SKU明细'!$CB$11:$CB$1309,MATCH("8392-RD-S-K-40.5",'SKU明细'!$A$11:$A$1309,0)),INDEX('SKU明细'!$CB$11:$CB$1309,MATCH("8392-RD-S-K-41",'SKU明细'!$A$11:$A$1309,0)),INDEX('SKU明细'!$CB$11:$CB$1309,MATCH("8392-RD-S-K-41.5",'SKU明细'!$A$11:$A$1309,0)),INDEX('SKU明细'!$CB$11:$CB$1309,MATCH("8392-RD-S-K-42",'SKU明细'!$A$11:$A$1309,0))),"待核")</x:f>
        <x:v>0</x:v>
      </x:c>
      <x:c r="AB147" s="11" t="n">
        <x:f>INDEX('SKU明细'!$CC$11:$CC$1309,MATCH("8392-RD-S-K-37",'SKU明细'!$A$11:$A$1309,0))</x:f>
        <x:v>0.9007634642750235</x:v>
      </x:c>
      <x:c r="AC147" s="13" t="n">
        <x:f>IF(COUNT(INDEX('SKU明细'!$CE$11:$CE$1309,MATCH("8392-RD-S-K-37",'SKU明细'!$A$11:$A$1309,0)),INDEX('SKU明细'!$CE$11:$CE$1309,MATCH("8392-RD-S-K-37.5",'SKU明细'!$A$11:$A$1309,0)),INDEX('SKU明细'!$CE$11:$CE$1309,MATCH("8392-RD-S-K-38",'SKU明细'!$A$11:$A$1309,0)),INDEX('SKU明细'!$CE$11:$CE$1309,MATCH("8392-RD-S-K-38.5",'SKU明细'!$A$11:$A$1309,0)),INDEX('SKU明细'!$CE$11:$CE$1309,MATCH("8392-RD-S-K-39",'SKU明细'!$A$11:$A$1309,0)),INDEX('SKU明细'!$CE$11:$CE$1309,MATCH("8392-RD-S-K-39.5",'SKU明细'!$A$11:$A$1309,0)),INDEX('SKU明细'!$CE$11:$CE$1309,MATCH("8392-RD-S-K-40",'SKU明细'!$A$11:$A$1309,0)),INDEX('SKU明细'!$CE$11:$CE$1309,MATCH("8392-RD-S-K-40.5",'SKU明细'!$A$11:$A$1309,0)),INDEX('SKU明细'!$CE$11:$CE$1309,MATCH("8392-RD-S-K-41",'SKU明细'!$A$11:$A$1309,0)),INDEX('SKU明细'!$CE$11:$CE$1309,MATCH("8392-RD-S-K-41.5",'SKU明细'!$A$11:$A$1309,0)),INDEX('SKU明细'!$CE$11:$CE$1309,MATCH("8392-RD-S-K-42",'SKU明细'!$A$11:$A$1309,0)))=11,SUM(INDEX('SKU明细'!$CE$11:$CE$1309,MATCH("8392-RD-S-K-37",'SKU明细'!$A$11:$A$1309,0)),INDEX('SKU明细'!$CE$11:$CE$1309,MATCH("8392-RD-S-K-37.5",'SKU明细'!$A$11:$A$1309,0)),INDEX('SKU明细'!$CE$11:$CE$1309,MATCH("8392-RD-S-K-38",'SKU明细'!$A$11:$A$1309,0)),INDEX('SKU明细'!$CE$11:$CE$1309,MATCH("8392-RD-S-K-38.5",'SKU明细'!$A$11:$A$1309,0)),INDEX('SKU明细'!$CE$11:$CE$1309,MATCH("8392-RD-S-K-39",'SKU明细'!$A$11:$A$1309,0)),INDEX('SKU明细'!$CE$11:$CE$1309,MATCH("8392-RD-S-K-39.5",'SKU明细'!$A$11:$A$1309,0)),INDEX('SKU明细'!$CE$11:$CE$1309,MATCH("8392-RD-S-K-40",'SKU明细'!$A$11:$A$1309,0)),INDEX('SKU明细'!$CE$11:$CE$1309,MATCH("8392-RD-S-K-40.5",'SKU明细'!$A$11:$A$1309,0)),INDEX('SKU明细'!$CE$11:$CE$1309,MATCH("8392-RD-S-K-41",'SKU明细'!$A$11:$A$1309,0)),INDEX('SKU明细'!$CE$11:$CE$1309,MATCH("8392-RD-S-K-41.5",'SKU明细'!$A$11:$A$1309,0)),INDEX('SKU明细'!$CE$11:$CE$1309,MATCH("8392-RD-S-K-42",'SKU明细'!$A$11:$A$1309,0))),"待核")</x:f>
        <x:v>0</x:v>
      </x:c>
      <x:c r="AD147" s="11" t="n">
        <x:f>INDEX('SKU明细'!$CF$11:$CF$1309,MATCH("8392-RD-S-K-37",'SKU明细'!$A$11:$A$1309,0))</x:f>
        <x:v>0.9537631089407297</x:v>
      </x:c>
      <x:c r="AE147" s="13" t="n">
        <x:f>IF(COUNT(INDEX('SKU明细'!$CH$11:$CH$1309,MATCH("8392-RD-S-K-37",'SKU明细'!$A$11:$A$1309,0)),INDEX('SKU明细'!$CH$11:$CH$1309,MATCH("8392-RD-S-K-37.5",'SKU明细'!$A$11:$A$1309,0)),INDEX('SKU明细'!$CH$11:$CH$1309,MATCH("8392-RD-S-K-38",'SKU明细'!$A$11:$A$1309,0)),INDEX('SKU明细'!$CH$11:$CH$1309,MATCH("8392-RD-S-K-38.5",'SKU明细'!$A$11:$A$1309,0)),INDEX('SKU明细'!$CH$11:$CH$1309,MATCH("8392-RD-S-K-39",'SKU明细'!$A$11:$A$1309,0)),INDEX('SKU明细'!$CH$11:$CH$1309,MATCH("8392-RD-S-K-39.5",'SKU明细'!$A$11:$A$1309,0)),INDEX('SKU明细'!$CH$11:$CH$1309,MATCH("8392-RD-S-K-40",'SKU明细'!$A$11:$A$1309,0)),INDEX('SKU明细'!$CH$11:$CH$1309,MATCH("8392-RD-S-K-40.5",'SKU明细'!$A$11:$A$1309,0)),INDEX('SKU明细'!$CH$11:$CH$1309,MATCH("8392-RD-S-K-41",'SKU明细'!$A$11:$A$1309,0)),INDEX('SKU明细'!$CH$11:$CH$1309,MATCH("8392-RD-S-K-41.5",'SKU明细'!$A$11:$A$1309,0)),INDEX('SKU明细'!$CH$11:$CH$1309,MATCH("8392-RD-S-K-42",'SKU明细'!$A$11:$A$1309,0)))=11,SUM(INDEX('SKU明细'!$CH$11:$CH$1309,MATCH("8392-RD-S-K-37",'SKU明细'!$A$11:$A$1309,0)),INDEX('SKU明细'!$CH$11:$CH$1309,MATCH("8392-RD-S-K-37.5",'SKU明细'!$A$11:$A$1309,0)),INDEX('SKU明细'!$CH$11:$CH$1309,MATCH("8392-RD-S-K-38",'SKU明细'!$A$11:$A$1309,0)),INDEX('SKU明细'!$CH$11:$CH$1309,MATCH("8392-RD-S-K-38.5",'SKU明细'!$A$11:$A$1309,0)),INDEX('SKU明细'!$CH$11:$CH$1309,MATCH("8392-RD-S-K-39",'SKU明细'!$A$11:$A$1309,0)),INDEX('SKU明细'!$CH$11:$CH$1309,MATCH("8392-RD-S-K-39.5",'SKU明细'!$A$11:$A$1309,0)),INDEX('SKU明细'!$CH$11:$CH$1309,MATCH("8392-RD-S-K-40",'SKU明细'!$A$11:$A$1309,0)),INDEX('SKU明细'!$CH$11:$CH$1309,MATCH("8392-RD-S-K-40.5",'SKU明细'!$A$11:$A$1309,0)),INDEX('SKU明细'!$CH$11:$CH$1309,MATCH("8392-RD-S-K-41",'SKU明细'!$A$11:$A$1309,0)),INDEX('SKU明细'!$CH$11:$CH$1309,MATCH("8392-RD-S-K-41.5",'SKU明细'!$A$11:$A$1309,0)),INDEX('SKU明细'!$CH$11:$CH$1309,MATCH("8392-RD-S-K-42",'SKU明细'!$A$11:$A$1309,0))),"待核")</x:f>
        <x:v>0</x:v>
      </x:c>
      <x:c r="AF147" s="13" t="n">
        <x:f>IF(COUNT(INDEX('SKU明细'!$CI$11:$CI$1309,MATCH("8392-RD-S-K-37",'SKU明细'!$A$11:$A$1309,0)),INDEX('SKU明细'!$CI$11:$CI$1309,MATCH("8392-RD-S-K-37.5",'SKU明细'!$A$11:$A$1309,0)),INDEX('SKU明细'!$CI$11:$CI$1309,MATCH("8392-RD-S-K-38",'SKU明细'!$A$11:$A$1309,0)),INDEX('SKU明细'!$CI$11:$CI$1309,MATCH("8392-RD-S-K-38.5",'SKU明细'!$A$11:$A$1309,0)),INDEX('SKU明细'!$CI$11:$CI$1309,MATCH("8392-RD-S-K-39",'SKU明细'!$A$11:$A$1309,0)),INDEX('SKU明细'!$CI$11:$CI$1309,MATCH("8392-RD-S-K-39.5",'SKU明细'!$A$11:$A$1309,0)),INDEX('SKU明细'!$CI$11:$CI$1309,MATCH("8392-RD-S-K-40",'SKU明细'!$A$11:$A$1309,0)),INDEX('SKU明细'!$CI$11:$CI$1309,MATCH("8392-RD-S-K-40.5",'SKU明细'!$A$11:$A$1309,0)),INDEX('SKU明细'!$CI$11:$CI$1309,MATCH("8392-RD-S-K-41",'SKU明细'!$A$11:$A$1309,0)),INDEX('SKU明细'!$CI$11:$CI$1309,MATCH("8392-RD-S-K-41.5",'SKU明细'!$A$11:$A$1309,0)),INDEX('SKU明细'!$CI$11:$CI$1309,MATCH("8392-RD-S-K-42",'SKU明细'!$A$11:$A$1309,0)))=11,SUM(INDEX('SKU明细'!$CI$11:$CI$1309,MATCH("8392-RD-S-K-37",'SKU明细'!$A$11:$A$1309,0)),INDEX('SKU明细'!$CI$11:$CI$1309,MATCH("8392-RD-S-K-37.5",'SKU明细'!$A$11:$A$1309,0)),INDEX('SKU明细'!$CI$11:$CI$1309,MATCH("8392-RD-S-K-38",'SKU明细'!$A$11:$A$1309,0)),INDEX('SKU明细'!$CI$11:$CI$1309,MATCH("8392-RD-S-K-38.5",'SKU明细'!$A$11:$A$1309,0)),INDEX('SKU明细'!$CI$11:$CI$1309,MATCH("8392-RD-S-K-39",'SKU明细'!$A$11:$A$1309,0)),INDEX('SKU明细'!$CI$11:$CI$1309,MATCH("8392-RD-S-K-39.5",'SKU明细'!$A$11:$A$1309,0)),INDEX('SKU明细'!$CI$11:$CI$1309,MATCH("8392-RD-S-K-40",'SKU明细'!$A$11:$A$1309,0)),INDEX('SKU明细'!$CI$11:$CI$1309,MATCH("8392-RD-S-K-40.5",'SKU明细'!$A$11:$A$1309,0)),INDEX('SKU明细'!$CI$11:$CI$1309,MATCH("8392-RD-S-K-41",'SKU明细'!$A$11:$A$1309,0)),INDEX('SKU明细'!$CI$11:$CI$1309,MATCH("8392-RD-S-K-41.5",'SKU明细'!$A$11:$A$1309,0)),INDEX('SKU明细'!$CI$11:$CI$1309,MATCH("8392-RD-S-K-42",'SKU明细'!$A$11:$A$1309,0))),"待核")</x:f>
        <x:v>0</x:v>
      </x:c>
    </x:row>
    <x:row r="148" ht="40" customHeight="1">
      <x:c r="A148" s="35" t="str">
        <x:v>8392</x:v>
      </x:c>
      <x:c r="B148" s="35" t="str">
        <x:v>徐新怡</x:v>
      </x:c>
      <x:c r="C148" s="35" t="str">
        <x:v>驼色</x:v>
      </x:c>
      <x:c r="D148" s="35" t="str">
        <x:v>TN</x:v>
      </x:c>
      <x:c r="E148" s="35" t="str">
        <x:v>8392-TN</x:v>
      </x:c>
      <x:c r="F148" s="35"/>
      <x:c r="G148" s="36" t="str">
        <x:f>"—"</x:f>
        <x:v>—</x:v>
      </x:c>
      <x:c r="H148" s="36" t="n">
        <x:f>IF(COUNT(INDEX('SKU明细'!$D$11:$D$1309,MATCH("8392-TN-37",'SKU明细'!$A$11:$A$1309,0)))=0,"待核",IF(COUNT(INDEX('SKU明细'!$D$11:$D$1309,MATCH("8392-TN-37",'SKU明细'!$A$11:$A$1309,0)))&lt;1,SUM(INDEX('SKU明细'!$D$11:$D$1309,MATCH("8392-TN-37",'SKU明细'!$A$11:$A$1309,0)))&amp;" + 待核",SUM(INDEX('SKU明细'!$D$11:$D$1309,MATCH("8392-TN-37",'SKU明细'!$A$11:$A$1309,0)))))</x:f>
        <x:v>0</x:v>
      </x:c>
      <x:c r="I148" s="36" t="n">
        <x:f>IF(COUNT(INDEX('SKU明细'!$D$11:$D$1309,MATCH("8392-TN-37.5",'SKU明细'!$A$11:$A$1309,0)))=0,"待核",IF(COUNT(INDEX('SKU明细'!$D$11:$D$1309,MATCH("8392-TN-37.5",'SKU明细'!$A$11:$A$1309,0)))&lt;1,SUM(INDEX('SKU明细'!$D$11:$D$1309,MATCH("8392-TN-37.5",'SKU明细'!$A$11:$A$1309,0)))&amp;" + 待核",SUM(INDEX('SKU明细'!$D$11:$D$1309,MATCH("8392-TN-37.5",'SKU明细'!$A$11:$A$1309,0)))))</x:f>
        <x:v>0</x:v>
      </x:c>
      <x:c r="J148" s="36" t="n">
        <x:f>IF(COUNT(INDEX('SKU明细'!$D$11:$D$1309,MATCH("8392-TN-38",'SKU明细'!$A$11:$A$1309,0)))=0,"待核",IF(COUNT(INDEX('SKU明细'!$D$11:$D$1309,MATCH("8392-TN-38",'SKU明细'!$A$11:$A$1309,0)))&lt;1,SUM(INDEX('SKU明细'!$D$11:$D$1309,MATCH("8392-TN-38",'SKU明细'!$A$11:$A$1309,0)))&amp;" + 待核",SUM(INDEX('SKU明细'!$D$11:$D$1309,MATCH("8392-TN-38",'SKU明细'!$A$11:$A$1309,0)))))</x:f>
        <x:v>0</x:v>
      </x:c>
      <x:c r="K148" s="36" t="n">
        <x:f>IF(COUNT(INDEX('SKU明细'!$D$11:$D$1309,MATCH("8392-TN-38.5",'SKU明细'!$A$11:$A$1309,0)))=0,"待核",IF(COUNT(INDEX('SKU明细'!$D$11:$D$1309,MATCH("8392-TN-38.5",'SKU明细'!$A$11:$A$1309,0)))&lt;1,SUM(INDEX('SKU明细'!$D$11:$D$1309,MATCH("8392-TN-38.5",'SKU明细'!$A$11:$A$1309,0)))&amp;" + 待核",SUM(INDEX('SKU明细'!$D$11:$D$1309,MATCH("8392-TN-38.5",'SKU明细'!$A$11:$A$1309,0)))))</x:f>
        <x:v>1</x:v>
      </x:c>
      <x:c r="L148" s="36" t="n">
        <x:f>IF(COUNT(INDEX('SKU明细'!$D$11:$D$1309,MATCH("8392-TN-39",'SKU明细'!$A$11:$A$1309,0)))=0,"待核",IF(COUNT(INDEX('SKU明细'!$D$11:$D$1309,MATCH("8392-TN-39",'SKU明细'!$A$11:$A$1309,0)))&lt;1,SUM(INDEX('SKU明细'!$D$11:$D$1309,MATCH("8392-TN-39",'SKU明细'!$A$11:$A$1309,0)))&amp;" + 待核",SUM(INDEX('SKU明细'!$D$11:$D$1309,MATCH("8392-TN-39",'SKU明细'!$A$11:$A$1309,0)))))</x:f>
        <x:v>10</x:v>
      </x:c>
      <x:c r="M148" s="36" t="n">
        <x:f>IF(COUNT(INDEX('SKU明细'!$D$11:$D$1309,MATCH("8392-TN-39.5",'SKU明细'!$A$11:$A$1309,0)))=0,"待核",IF(COUNT(INDEX('SKU明细'!$D$11:$D$1309,MATCH("8392-TN-39.5",'SKU明细'!$A$11:$A$1309,0)))&lt;1,SUM(INDEX('SKU明细'!$D$11:$D$1309,MATCH("8392-TN-39.5",'SKU明细'!$A$11:$A$1309,0)))&amp;" + 待核",SUM(INDEX('SKU明细'!$D$11:$D$1309,MATCH("8392-TN-39.5",'SKU明细'!$A$11:$A$1309,0)))))</x:f>
        <x:v>0</x:v>
      </x:c>
      <x:c r="N148" s="36" t="n">
        <x:f>IF(COUNT(INDEX('SKU明细'!$D$11:$D$1309,MATCH("8392-TN-40",'SKU明细'!$A$11:$A$1309,0)))=0,"待核",IF(COUNT(INDEX('SKU明细'!$D$11:$D$1309,MATCH("8392-TN-40",'SKU明细'!$A$11:$A$1309,0)))&lt;1,SUM(INDEX('SKU明细'!$D$11:$D$1309,MATCH("8392-TN-40",'SKU明细'!$A$11:$A$1309,0)))&amp;" + 待核",SUM(INDEX('SKU明细'!$D$11:$D$1309,MATCH("8392-TN-40",'SKU明细'!$A$11:$A$1309,0)))))</x:f>
        <x:v>0</x:v>
      </x:c>
      <x:c r="O148" s="36" t="n">
        <x:f>IF(COUNT(INDEX('SKU明细'!$D$11:$D$1309,MATCH("8392-TN-40.5",'SKU明细'!$A$11:$A$1309,0)))=0,"待核",IF(COUNT(INDEX('SKU明细'!$D$11:$D$1309,MATCH("8392-TN-40.5",'SKU明细'!$A$11:$A$1309,0)))&lt;1,SUM(INDEX('SKU明细'!$D$11:$D$1309,MATCH("8392-TN-40.5",'SKU明细'!$A$11:$A$1309,0)))&amp;" + 待核",SUM(INDEX('SKU明细'!$D$11:$D$1309,MATCH("8392-TN-40.5",'SKU明细'!$A$11:$A$1309,0)))))</x:f>
        <x:v>8</x:v>
      </x:c>
      <x:c r="P148" s="36" t="n">
        <x:f>IF(COUNT(INDEX('SKU明细'!$D$11:$D$1309,MATCH("8392-TN-41",'SKU明细'!$A$11:$A$1309,0)))=0,"待核",IF(COUNT(INDEX('SKU明细'!$D$11:$D$1309,MATCH("8392-TN-41",'SKU明细'!$A$11:$A$1309,0)))&lt;1,SUM(INDEX('SKU明细'!$D$11:$D$1309,MATCH("8392-TN-41",'SKU明细'!$A$11:$A$1309,0)))&amp;" + 待核",SUM(INDEX('SKU明细'!$D$11:$D$1309,MATCH("8392-TN-41",'SKU明细'!$A$11:$A$1309,0)))))</x:f>
        <x:v>0</x:v>
      </x:c>
      <x:c r="Q148" s="36" t="n">
        <x:f>IF(COUNT(INDEX('SKU明细'!$D$11:$D$1309,MATCH("8392-TN-41.5",'SKU明细'!$A$11:$A$1309,0)))=0,"待核",IF(COUNT(INDEX('SKU明细'!$D$11:$D$1309,MATCH("8392-TN-41.5",'SKU明细'!$A$11:$A$1309,0)))&lt;1,SUM(INDEX('SKU明细'!$D$11:$D$1309,MATCH("8392-TN-41.5",'SKU明细'!$A$11:$A$1309,0)))&amp;" + 待核",SUM(INDEX('SKU明细'!$D$11:$D$1309,MATCH("8392-TN-41.5",'SKU明细'!$A$11:$A$1309,0)))))</x:f>
        <x:v>0</x:v>
      </x:c>
      <x:c r="R148" s="36" t="str">
        <x:f>IF(COUNT(INDEX('SKU明细'!$D$11:$D$1309,MATCH("8392-TN-42",'SKU明细'!$A$11:$A$1309,0)))=0,"待核",IF(COUNT(INDEX('SKU明细'!$D$11:$D$1309,MATCH("8392-TN-42",'SKU明细'!$A$11:$A$1309,0)))&lt;1,SUM(INDEX('SKU明细'!$D$11:$D$1309,MATCH("8392-TN-42",'SKU明细'!$A$11:$A$1309,0)))&amp;" + 待核",SUM(INDEX('SKU明细'!$D$11:$D$1309,MATCH("8392-TN-42",'SKU明细'!$A$11:$A$1309,0)))))</x:f>
        <x:v>待核</x:v>
      </x:c>
      <x:c r="S148" s="36" t="n">
        <x:f>IF(COUNT(INDEX('SKU明细'!$D$11:$D$1309,MATCH("8392-TN-37",'SKU明细'!$A$11:$A$1309,0)),INDEX('SKU明细'!$D$11:$D$1309,MATCH("8392-TN-37.5",'SKU明细'!$A$11:$A$1309,0)),INDEX('SKU明细'!$D$11:$D$1309,MATCH("8392-TN-38",'SKU明细'!$A$11:$A$1309,0)),INDEX('SKU明细'!$D$11:$D$1309,MATCH("8392-TN-38.5",'SKU明细'!$A$11:$A$1309,0)),INDEX('SKU明细'!$D$11:$D$1309,MATCH("8392-TN-39",'SKU明细'!$A$11:$A$1309,0)),INDEX('SKU明细'!$D$11:$D$1309,MATCH("8392-TN-39.5",'SKU明细'!$A$11:$A$1309,0)),INDEX('SKU明细'!$D$11:$D$1309,MATCH("8392-TN-40",'SKU明细'!$A$11:$A$1309,0)),INDEX('SKU明细'!$D$11:$D$1309,MATCH("8392-TN-40.5",'SKU明细'!$A$11:$A$1309,0)),INDEX('SKU明细'!$D$11:$D$1309,MATCH("8392-TN-41",'SKU明细'!$A$11:$A$1309,0)),INDEX('SKU明细'!$D$11:$D$1309,MATCH("8392-TN-41.5",'SKU明细'!$A$11:$A$1309,0)),INDEX('SKU明细'!$D$11:$D$1309,MATCH("8392-TN-42",'SKU明细'!$A$11:$A$1309,0)))=0,"待核",SUM(INDEX('SKU明细'!$D$11:$D$1309,MATCH("8392-TN-37",'SKU明细'!$A$11:$A$1309,0)),INDEX('SKU明细'!$D$11:$D$1309,MATCH("8392-TN-37.5",'SKU明细'!$A$11:$A$1309,0)),INDEX('SKU明细'!$D$11:$D$1309,MATCH("8392-TN-38",'SKU明细'!$A$11:$A$1309,0)),INDEX('SKU明细'!$D$11:$D$1309,MATCH("8392-TN-38.5",'SKU明细'!$A$11:$A$1309,0)),INDEX('SKU明细'!$D$11:$D$1309,MATCH("8392-TN-39",'SKU明细'!$A$11:$A$1309,0)),INDEX('SKU明细'!$D$11:$D$1309,MATCH("8392-TN-39.5",'SKU明细'!$A$11:$A$1309,0)),INDEX('SKU明细'!$D$11:$D$1309,MATCH("8392-TN-40",'SKU明细'!$A$11:$A$1309,0)),INDEX('SKU明细'!$D$11:$D$1309,MATCH("8392-TN-40.5",'SKU明细'!$A$11:$A$1309,0)),INDEX('SKU明细'!$D$11:$D$1309,MATCH("8392-TN-41",'SKU明细'!$A$11:$A$1309,0)),INDEX('SKU明细'!$D$11:$D$1309,MATCH("8392-TN-41.5",'SKU明细'!$A$11:$A$1309,0)),INDEX('SKU明细'!$D$11:$D$1309,MATCH("8392-TN-42",'SKU明细'!$A$11:$A$1309,0))))</x:f>
        <x:v>19</x:v>
      </x:c>
      <x:c r="T148" s="36" t="n">
        <x:f>IF(COUNTIFS($A$9:$A$191,A148,$U$9:$U$191,"&lt;&gt;待核")=0,"待核",SUMIF($A$9:$A$191,A148,$S$9:$S$191))</x:f>
        <x:v>137</x:v>
      </x:c>
      <x:c r="U148" s="35" t="str">
        <x:f>IF(COUNT(INDEX('SKU明细'!$D$11:$D$1309,MATCH("8392-TN-37",'SKU明细'!$A$11:$A$1309,0)),INDEX('SKU明细'!$D$11:$D$1309,MATCH("8392-TN-37.5",'SKU明细'!$A$11:$A$1309,0)),INDEX('SKU明细'!$D$11:$D$1309,MATCH("8392-TN-38",'SKU明细'!$A$11:$A$1309,0)),INDEX('SKU明细'!$D$11:$D$1309,MATCH("8392-TN-38.5",'SKU明细'!$A$11:$A$1309,0)),INDEX('SKU明细'!$D$11:$D$1309,MATCH("8392-TN-39",'SKU明细'!$A$11:$A$1309,0)),INDEX('SKU明细'!$D$11:$D$1309,MATCH("8392-TN-39.5",'SKU明细'!$A$11:$A$1309,0)),INDEX('SKU明细'!$D$11:$D$1309,MATCH("8392-TN-40",'SKU明细'!$A$11:$A$1309,0)),INDEX('SKU明细'!$D$11:$D$1309,MATCH("8392-TN-40.5",'SKU明细'!$A$11:$A$1309,0)),INDEX('SKU明细'!$D$11:$D$1309,MATCH("8392-TN-41",'SKU明细'!$A$11:$A$1309,0)),INDEX('SKU明细'!$D$11:$D$1309,MATCH("8392-TN-41.5",'SKU明细'!$A$11:$A$1309,0)),INDEX('SKU明细'!$D$11:$D$1309,MATCH("8392-TN-42",'SKU明细'!$A$11:$A$1309,0)))=0,"待核",IF(COUNT(INDEX('SKU明细'!$D$11:$D$1309,MATCH("8392-TN-37",'SKU明细'!$A$11:$A$1309,0)),INDEX('SKU明细'!$D$11:$D$1309,MATCH("8392-TN-37.5",'SKU明细'!$A$11:$A$1309,0)),INDEX('SKU明细'!$D$11:$D$1309,MATCH("8392-TN-38",'SKU明细'!$A$11:$A$1309,0)),INDEX('SKU明细'!$D$11:$D$1309,MATCH("8392-TN-38.5",'SKU明细'!$A$11:$A$1309,0)),INDEX('SKU明细'!$D$11:$D$1309,MATCH("8392-TN-39",'SKU明细'!$A$11:$A$1309,0)),INDEX('SKU明细'!$D$11:$D$1309,MATCH("8392-TN-39.5",'SKU明细'!$A$11:$A$1309,0)),INDEX('SKU明细'!$D$11:$D$1309,MATCH("8392-TN-40",'SKU明细'!$A$11:$A$1309,0)),INDEX('SKU明细'!$D$11:$D$1309,MATCH("8392-TN-40.5",'SKU明细'!$A$11:$A$1309,0)),INDEX('SKU明细'!$D$11:$D$1309,MATCH("8392-TN-41",'SKU明细'!$A$11:$A$1309,0)),INDEX('SKU明细'!$D$11:$D$1309,MATCH("8392-TN-41.5",'SKU明细'!$A$11:$A$1309,0)),INDEX('SKU明细'!$D$11:$D$1309,MATCH("8392-TN-42",'SKU明细'!$A$11:$A$1309,0)))&lt;11,"另有待核","已核"))</x:f>
        <x:v>另有待核</x:v>
      </x:c>
      <x:c r="V148" s="35" t="str">
        <x:v>停售、在售、未匹配Listing</x:v>
      </x:c>
      <x:c r="W148" s="11" t="n">
        <x:f>IF(COUNT(INDEX('SKU明细'!$BV$11:$BV$1309,MATCH("8392-TN-37",'SKU明细'!$A$11:$A$1309,0)),INDEX('SKU明细'!$BV$11:$BV$1309,MATCH("8392-TN-37.5",'SKU明细'!$A$11:$A$1309,0)),INDEX('SKU明细'!$BV$11:$BV$1309,MATCH("8392-TN-38",'SKU明细'!$A$11:$A$1309,0)),INDEX('SKU明细'!$BV$11:$BV$1309,MATCH("8392-TN-38.5",'SKU明细'!$A$11:$A$1309,0)),INDEX('SKU明细'!$BV$11:$BV$1309,MATCH("8392-TN-39",'SKU明细'!$A$11:$A$1309,0)),INDEX('SKU明细'!$BV$11:$BV$1309,MATCH("8392-TN-39.5",'SKU明细'!$A$11:$A$1309,0)),INDEX('SKU明细'!$BV$11:$BV$1309,MATCH("8392-TN-40",'SKU明细'!$A$11:$A$1309,0)),INDEX('SKU明细'!$BV$11:$BV$1309,MATCH("8392-TN-40.5",'SKU明细'!$A$11:$A$1309,0)),INDEX('SKU明细'!$BV$11:$BV$1309,MATCH("8392-TN-41",'SKU明细'!$A$11:$A$1309,0)),INDEX('SKU明细'!$BV$11:$BV$1309,MATCH("8392-TN-41.5",'SKU明细'!$A$11:$A$1309,0)),INDEX('SKU明细'!$BV$11:$BV$1309,MATCH("8392-TN-42",'SKU明细'!$A$11:$A$1309,0)))=11,SUM(INDEX('SKU明细'!$BV$11:$BV$1309,MATCH("8392-TN-37",'SKU明细'!$A$11:$A$1309,0)),INDEX('SKU明细'!$BV$11:$BV$1309,MATCH("8392-TN-37.5",'SKU明细'!$A$11:$A$1309,0)),INDEX('SKU明细'!$BV$11:$BV$1309,MATCH("8392-TN-38",'SKU明细'!$A$11:$A$1309,0)),INDEX('SKU明细'!$BV$11:$BV$1309,MATCH("8392-TN-38.5",'SKU明细'!$A$11:$A$1309,0)),INDEX('SKU明细'!$BV$11:$BV$1309,MATCH("8392-TN-39",'SKU明细'!$A$11:$A$1309,0)),INDEX('SKU明细'!$BV$11:$BV$1309,MATCH("8392-TN-39.5",'SKU明细'!$A$11:$A$1309,0)),INDEX('SKU明细'!$BV$11:$BV$1309,MATCH("8392-TN-40",'SKU明细'!$A$11:$A$1309,0)),INDEX('SKU明细'!$BV$11:$BV$1309,MATCH("8392-TN-40.5",'SKU明细'!$A$11:$A$1309,0)),INDEX('SKU明细'!$BV$11:$BV$1309,MATCH("8392-TN-41",'SKU明细'!$A$11:$A$1309,0)),INDEX('SKU明细'!$BV$11:$BV$1309,MATCH("8392-TN-41.5",'SKU明细'!$A$11:$A$1309,0)),INDEX('SKU明细'!$BV$11:$BV$1309,MATCH("8392-TN-42",'SKU明细'!$A$11:$A$1309,0))),"待核")</x:f>
        <x:v>0.7013954528820118</x:v>
      </x:c>
      <x:c r="X148" s="11" t="n">
        <x:f>INDEX('SKU明细'!$BW$11:$BW$1309,MATCH("8392-TN-37",'SKU明细'!$A$11:$A$1309,0))</x:f>
        <x:v>1.1743420411079069</x:v>
      </x:c>
      <x:c r="Y148" s="13" t="n">
        <x:f>IF(COUNT(INDEX('SKU明细'!$BY$11:$BY$1309,MATCH("8392-TN-37",'SKU明细'!$A$11:$A$1309,0)),INDEX('SKU明细'!$BY$11:$BY$1309,MATCH("8392-TN-37.5",'SKU明细'!$A$11:$A$1309,0)),INDEX('SKU明细'!$BY$11:$BY$1309,MATCH("8392-TN-38",'SKU明细'!$A$11:$A$1309,0)),INDEX('SKU明细'!$BY$11:$BY$1309,MATCH("8392-TN-38.5",'SKU明细'!$A$11:$A$1309,0)),INDEX('SKU明细'!$BY$11:$BY$1309,MATCH("8392-TN-39",'SKU明细'!$A$11:$A$1309,0)),INDEX('SKU明细'!$BY$11:$BY$1309,MATCH("8392-TN-39.5",'SKU明细'!$A$11:$A$1309,0)),INDEX('SKU明细'!$BY$11:$BY$1309,MATCH("8392-TN-40",'SKU明细'!$A$11:$A$1309,0)),INDEX('SKU明细'!$BY$11:$BY$1309,MATCH("8392-TN-40.5",'SKU明细'!$A$11:$A$1309,0)),INDEX('SKU明细'!$BY$11:$BY$1309,MATCH("8392-TN-41",'SKU明细'!$A$11:$A$1309,0)),INDEX('SKU明细'!$BY$11:$BY$1309,MATCH("8392-TN-41.5",'SKU明细'!$A$11:$A$1309,0)),INDEX('SKU明细'!$BY$11:$BY$1309,MATCH("8392-TN-42",'SKU明细'!$A$11:$A$1309,0)))=11,SUM(INDEX('SKU明细'!$BY$11:$BY$1309,MATCH("8392-TN-37",'SKU明细'!$A$11:$A$1309,0)),INDEX('SKU明细'!$BY$11:$BY$1309,MATCH("8392-TN-37.5",'SKU明细'!$A$11:$A$1309,0)),INDEX('SKU明细'!$BY$11:$BY$1309,MATCH("8392-TN-38",'SKU明细'!$A$11:$A$1309,0)),INDEX('SKU明细'!$BY$11:$BY$1309,MATCH("8392-TN-38.5",'SKU明细'!$A$11:$A$1309,0)),INDEX('SKU明细'!$BY$11:$BY$1309,MATCH("8392-TN-39",'SKU明细'!$A$11:$A$1309,0)),INDEX('SKU明细'!$BY$11:$BY$1309,MATCH("8392-TN-39.5",'SKU明细'!$A$11:$A$1309,0)),INDEX('SKU明细'!$BY$11:$BY$1309,MATCH("8392-TN-40",'SKU明细'!$A$11:$A$1309,0)),INDEX('SKU明细'!$BY$11:$BY$1309,MATCH("8392-TN-40.5",'SKU明细'!$A$11:$A$1309,0)),INDEX('SKU明细'!$BY$11:$BY$1309,MATCH("8392-TN-41",'SKU明细'!$A$11:$A$1309,0)),INDEX('SKU明细'!$BY$11:$BY$1309,MATCH("8392-TN-41.5",'SKU明细'!$A$11:$A$1309,0)),INDEX('SKU明细'!$BY$11:$BY$1309,MATCH("8392-TN-42",'SKU明细'!$A$11:$A$1309,0))),"待核")</x:f>
        <x:v>9.884138013135196</x:v>
      </x:c>
      <x:c r="Z148" s="11" t="n">
        <x:f>INDEX('SKU明细'!$BZ$11:$BZ$1309,MATCH("8392-TN-37",'SKU明细'!$A$11:$A$1309,0))</x:f>
        <x:v>1.281694931279211</x:v>
      </x:c>
      <x:c r="AA148" s="13" t="n">
        <x:f>IF(COUNT(INDEX('SKU明细'!$CB$11:$CB$1309,MATCH("8392-TN-37",'SKU明细'!$A$11:$A$1309,0)),INDEX('SKU明细'!$CB$11:$CB$1309,MATCH("8392-TN-37.5",'SKU明细'!$A$11:$A$1309,0)),INDEX('SKU明细'!$CB$11:$CB$1309,MATCH("8392-TN-38",'SKU明细'!$A$11:$A$1309,0)),INDEX('SKU明细'!$CB$11:$CB$1309,MATCH("8392-TN-38.5",'SKU明细'!$A$11:$A$1309,0)),INDEX('SKU明细'!$CB$11:$CB$1309,MATCH("8392-TN-39",'SKU明细'!$A$11:$A$1309,0)),INDEX('SKU明细'!$CB$11:$CB$1309,MATCH("8392-TN-39.5",'SKU明细'!$A$11:$A$1309,0)),INDEX('SKU明细'!$CB$11:$CB$1309,MATCH("8392-TN-40",'SKU明细'!$A$11:$A$1309,0)),INDEX('SKU明细'!$CB$11:$CB$1309,MATCH("8392-TN-40.5",'SKU明细'!$A$11:$A$1309,0)),INDEX('SKU明细'!$CB$11:$CB$1309,MATCH("8392-TN-41",'SKU明细'!$A$11:$A$1309,0)),INDEX('SKU明细'!$CB$11:$CB$1309,MATCH("8392-TN-41.5",'SKU明细'!$A$11:$A$1309,0)),INDEX('SKU明细'!$CB$11:$CB$1309,MATCH("8392-TN-42",'SKU明细'!$A$11:$A$1309,0)))=11,SUM(INDEX('SKU明细'!$CB$11:$CB$1309,MATCH("8392-TN-37",'SKU明细'!$A$11:$A$1309,0)),INDEX('SKU明细'!$CB$11:$CB$1309,MATCH("8392-TN-37.5",'SKU明细'!$A$11:$A$1309,0)),INDEX('SKU明细'!$CB$11:$CB$1309,MATCH("8392-TN-38",'SKU明细'!$A$11:$A$1309,0)),INDEX('SKU明细'!$CB$11:$CB$1309,MATCH("8392-TN-38.5",'SKU明细'!$A$11:$A$1309,0)),INDEX('SKU明细'!$CB$11:$CB$1309,MATCH("8392-TN-39",'SKU明细'!$A$11:$A$1309,0)),INDEX('SKU明细'!$CB$11:$CB$1309,MATCH("8392-TN-39.5",'SKU明细'!$A$11:$A$1309,0)),INDEX('SKU明细'!$CB$11:$CB$1309,MATCH("8392-TN-40",'SKU明细'!$A$11:$A$1309,0)),INDEX('SKU明细'!$CB$11:$CB$1309,MATCH("8392-TN-40.5",'SKU明细'!$A$11:$A$1309,0)),INDEX('SKU明细'!$CB$11:$CB$1309,MATCH("8392-TN-41",'SKU明细'!$A$11:$A$1309,0)),INDEX('SKU明细'!$CB$11:$CB$1309,MATCH("8392-TN-41.5",'SKU明细'!$A$11:$A$1309,0)),INDEX('SKU明细'!$CB$11:$CB$1309,MATCH("8392-TN-42",'SKU明细'!$A$11:$A$1309,0))),"待核")</x:f>
        <x:v>26.969249903434832</x:v>
      </x:c>
      <x:c r="AB148" s="11" t="n">
        <x:f>INDEX('SKU明细'!$CC$11:$CC$1309,MATCH("8392-TN-37",'SKU明细'!$A$11:$A$1309,0))</x:f>
        <x:v>0.9007634642750235</x:v>
      </x:c>
      <x:c r="AC148" s="13" t="n">
        <x:f>IF(COUNT(INDEX('SKU明细'!$CE$11:$CE$1309,MATCH("8392-TN-37",'SKU明细'!$A$11:$A$1309,0)),INDEX('SKU明细'!$CE$11:$CE$1309,MATCH("8392-TN-37.5",'SKU明细'!$A$11:$A$1309,0)),INDEX('SKU明细'!$CE$11:$CE$1309,MATCH("8392-TN-38",'SKU明细'!$A$11:$A$1309,0)),INDEX('SKU明细'!$CE$11:$CE$1309,MATCH("8392-TN-38.5",'SKU明细'!$A$11:$A$1309,0)),INDEX('SKU明细'!$CE$11:$CE$1309,MATCH("8392-TN-39",'SKU明细'!$A$11:$A$1309,0)),INDEX('SKU明细'!$CE$11:$CE$1309,MATCH("8392-TN-39.5",'SKU明细'!$A$11:$A$1309,0)),INDEX('SKU明细'!$CE$11:$CE$1309,MATCH("8392-TN-40",'SKU明细'!$A$11:$A$1309,0)),INDEX('SKU明细'!$CE$11:$CE$1309,MATCH("8392-TN-40.5",'SKU明细'!$A$11:$A$1309,0)),INDEX('SKU明细'!$CE$11:$CE$1309,MATCH("8392-TN-41",'SKU明细'!$A$11:$A$1309,0)),INDEX('SKU明细'!$CE$11:$CE$1309,MATCH("8392-TN-41.5",'SKU明细'!$A$11:$A$1309,0)),INDEX('SKU明细'!$CE$11:$CE$1309,MATCH("8392-TN-42",'SKU明细'!$A$11:$A$1309,0)))=11,SUM(INDEX('SKU明细'!$CE$11:$CE$1309,MATCH("8392-TN-37",'SKU明细'!$A$11:$A$1309,0)),INDEX('SKU明细'!$CE$11:$CE$1309,MATCH("8392-TN-37.5",'SKU明细'!$A$11:$A$1309,0)),INDEX('SKU明细'!$CE$11:$CE$1309,MATCH("8392-TN-38",'SKU明细'!$A$11:$A$1309,0)),INDEX('SKU明细'!$CE$11:$CE$1309,MATCH("8392-TN-38.5",'SKU明细'!$A$11:$A$1309,0)),INDEX('SKU明细'!$CE$11:$CE$1309,MATCH("8392-TN-39",'SKU明细'!$A$11:$A$1309,0)),INDEX('SKU明细'!$CE$11:$CE$1309,MATCH("8392-TN-39.5",'SKU明细'!$A$11:$A$1309,0)),INDEX('SKU明细'!$CE$11:$CE$1309,MATCH("8392-TN-40",'SKU明细'!$A$11:$A$1309,0)),INDEX('SKU明细'!$CE$11:$CE$1309,MATCH("8392-TN-40.5",'SKU明细'!$A$11:$A$1309,0)),INDEX('SKU明细'!$CE$11:$CE$1309,MATCH("8392-TN-41",'SKU明细'!$A$11:$A$1309,0)),INDEX('SKU明细'!$CE$11:$CE$1309,MATCH("8392-TN-41.5",'SKU明细'!$A$11:$A$1309,0)),INDEX('SKU明细'!$CE$11:$CE$1309,MATCH("8392-TN-42",'SKU明细'!$A$11:$A$1309,0))),"待核")</x:f>
        <x:v>19.585533336907243</x:v>
      </x:c>
      <x:c r="AD148" s="11" t="n">
        <x:f>INDEX('SKU明细'!$CF$11:$CF$1309,MATCH("8392-TN-37",'SKU明细'!$A$11:$A$1309,0))</x:f>
        <x:v>0.9537631089407297</x:v>
      </x:c>
      <x:c r="AE148" s="13" t="n">
        <x:f>IF(COUNT(INDEX('SKU明细'!$CH$11:$CH$1309,MATCH("8392-TN-37",'SKU明细'!$A$11:$A$1309,0)),INDEX('SKU明细'!$CH$11:$CH$1309,MATCH("8392-TN-37.5",'SKU明细'!$A$11:$A$1309,0)),INDEX('SKU明细'!$CH$11:$CH$1309,MATCH("8392-TN-38",'SKU明细'!$A$11:$A$1309,0)),INDEX('SKU明细'!$CH$11:$CH$1309,MATCH("8392-TN-38.5",'SKU明细'!$A$11:$A$1309,0)),INDEX('SKU明细'!$CH$11:$CH$1309,MATCH("8392-TN-39",'SKU明细'!$A$11:$A$1309,0)),INDEX('SKU明细'!$CH$11:$CH$1309,MATCH("8392-TN-39.5",'SKU明细'!$A$11:$A$1309,0)),INDEX('SKU明细'!$CH$11:$CH$1309,MATCH("8392-TN-40",'SKU明细'!$A$11:$A$1309,0)),INDEX('SKU明细'!$CH$11:$CH$1309,MATCH("8392-TN-40.5",'SKU明细'!$A$11:$A$1309,0)),INDEX('SKU明细'!$CH$11:$CH$1309,MATCH("8392-TN-41",'SKU明细'!$A$11:$A$1309,0)),INDEX('SKU明细'!$CH$11:$CH$1309,MATCH("8392-TN-41.5",'SKU明细'!$A$11:$A$1309,0)),INDEX('SKU明细'!$CH$11:$CH$1309,MATCH("8392-TN-42",'SKU明细'!$A$11:$A$1309,0)))=11,SUM(INDEX('SKU明细'!$CH$11:$CH$1309,MATCH("8392-TN-37",'SKU明细'!$A$11:$A$1309,0)),INDEX('SKU明细'!$CH$11:$CH$1309,MATCH("8392-TN-37.5",'SKU明细'!$A$11:$A$1309,0)),INDEX('SKU明细'!$CH$11:$CH$1309,MATCH("8392-TN-38",'SKU明细'!$A$11:$A$1309,0)),INDEX('SKU明细'!$CH$11:$CH$1309,MATCH("8392-TN-38.5",'SKU明细'!$A$11:$A$1309,0)),INDEX('SKU明细'!$CH$11:$CH$1309,MATCH("8392-TN-39",'SKU明细'!$A$11:$A$1309,0)),INDEX('SKU明细'!$CH$11:$CH$1309,MATCH("8392-TN-39.5",'SKU明细'!$A$11:$A$1309,0)),INDEX('SKU明细'!$CH$11:$CH$1309,MATCH("8392-TN-40",'SKU明细'!$A$11:$A$1309,0)),INDEX('SKU明细'!$CH$11:$CH$1309,MATCH("8392-TN-40.5",'SKU明细'!$A$11:$A$1309,0)),INDEX('SKU明细'!$CH$11:$CH$1309,MATCH("8392-TN-41",'SKU明细'!$A$11:$A$1309,0)),INDEX('SKU明细'!$CH$11:$CH$1309,MATCH("8392-TN-41.5",'SKU明细'!$A$11:$A$1309,0)),INDEX('SKU明细'!$CH$11:$CH$1309,MATCH("8392-TN-42",'SKU明细'!$A$11:$A$1309,0))),"待核")</x:f>
        <x:v>11.372406831539854</x:v>
      </x:c>
      <x:c r="AF148" s="13" t="n">
        <x:f>IF(COUNT(INDEX('SKU明细'!$CI$11:$CI$1309,MATCH("8392-TN-37",'SKU明细'!$A$11:$A$1309,0)),INDEX('SKU明细'!$CI$11:$CI$1309,MATCH("8392-TN-37.5",'SKU明细'!$A$11:$A$1309,0)),INDEX('SKU明细'!$CI$11:$CI$1309,MATCH("8392-TN-38",'SKU明细'!$A$11:$A$1309,0)),INDEX('SKU明细'!$CI$11:$CI$1309,MATCH("8392-TN-38.5",'SKU明细'!$A$11:$A$1309,0)),INDEX('SKU明细'!$CI$11:$CI$1309,MATCH("8392-TN-39",'SKU明细'!$A$11:$A$1309,0)),INDEX('SKU明细'!$CI$11:$CI$1309,MATCH("8392-TN-39.5",'SKU明细'!$A$11:$A$1309,0)),INDEX('SKU明细'!$CI$11:$CI$1309,MATCH("8392-TN-40",'SKU明细'!$A$11:$A$1309,0)),INDEX('SKU明细'!$CI$11:$CI$1309,MATCH("8392-TN-40.5",'SKU明细'!$A$11:$A$1309,0)),INDEX('SKU明细'!$CI$11:$CI$1309,MATCH("8392-TN-41",'SKU明细'!$A$11:$A$1309,0)),INDEX('SKU明细'!$CI$11:$CI$1309,MATCH("8392-TN-41.5",'SKU明细'!$A$11:$A$1309,0)),INDEX('SKU明细'!$CI$11:$CI$1309,MATCH("8392-TN-42",'SKU明细'!$A$11:$A$1309,0)))=11,SUM(INDEX('SKU明细'!$CI$11:$CI$1309,MATCH("8392-TN-37",'SKU明细'!$A$11:$A$1309,0)),INDEX('SKU明细'!$CI$11:$CI$1309,MATCH("8392-TN-37.5",'SKU明细'!$A$11:$A$1309,0)),INDEX('SKU明细'!$CI$11:$CI$1309,MATCH("8392-TN-38",'SKU明细'!$A$11:$A$1309,0)),INDEX('SKU明细'!$CI$11:$CI$1309,MATCH("8392-TN-38.5",'SKU明细'!$A$11:$A$1309,0)),INDEX('SKU明细'!$CI$11:$CI$1309,MATCH("8392-TN-39",'SKU明细'!$A$11:$A$1309,0)),INDEX('SKU明细'!$CI$11:$CI$1309,MATCH("8392-TN-39.5",'SKU明细'!$A$11:$A$1309,0)),INDEX('SKU明细'!$CI$11:$CI$1309,MATCH("8392-TN-40",'SKU明细'!$A$11:$A$1309,0)),INDEX('SKU明细'!$CI$11:$CI$1309,MATCH("8392-TN-40.5",'SKU明细'!$A$11:$A$1309,0)),INDEX('SKU明细'!$CI$11:$CI$1309,MATCH("8392-TN-41",'SKU明细'!$A$11:$A$1309,0)),INDEX('SKU明细'!$CI$11:$CI$1309,MATCH("8392-TN-41.5",'SKU明细'!$A$11:$A$1309,0)),INDEX('SKU明细'!$CI$11:$CI$1309,MATCH("8392-TN-42",'SKU明细'!$A$11:$A$1309,0))),"待核")</x:f>
        <x:v>67.81132808501714</x:v>
      </x:c>
    </x:row>
    <x:row r="149" ht="40" customHeight="1">
      <x:c r="A149" s="37" t="str">
        <x:v>B06b</x:v>
      </x:c>
      <x:c r="B149" s="37" t="str">
        <x:v>艾年</x:v>
      </x:c>
      <x:c r="C149" s="37" t="str">
        <x:v>黑色羊京绒</x:v>
      </x:c>
      <x:c r="D149" s="37" t="str">
        <x:v>BK</x:v>
      </x:c>
      <x:c r="E149" s="37" t="str">
        <x:v>B06b-BK</x:v>
      </x:c>
      <x:c r="F149" s="37"/>
      <x:c r="G149" s="38" t="str">
        <x:f>"—"</x:f>
        <x:v>—</x:v>
      </x:c>
      <x:c r="H149" s="38" t="n">
        <x:f>IF(COUNT(INDEX('SKU明细'!$D$11:$D$1309,MATCH("B06b-BK-37",'SKU明细'!$A$11:$A$1309,0)))=0,"待核",IF(COUNT(INDEX('SKU明细'!$D$11:$D$1309,MATCH("B06b-BK-37",'SKU明细'!$A$11:$A$1309,0)))&lt;1,SUM(INDEX('SKU明细'!$D$11:$D$1309,MATCH("B06b-BK-37",'SKU明细'!$A$11:$A$1309,0)))&amp;" + 待核",SUM(INDEX('SKU明细'!$D$11:$D$1309,MATCH("B06b-BK-37",'SKU明细'!$A$11:$A$1309,0)))))</x:f>
        <x:v>26</x:v>
      </x:c>
      <x:c r="I149" s="38" t="n">
        <x:f>IF(COUNT(INDEX('SKU明细'!$D$11:$D$1309,MATCH("B06b-BK-37.5",'SKU明细'!$A$11:$A$1309,0)))=0,"待核",IF(COUNT(INDEX('SKU明细'!$D$11:$D$1309,MATCH("B06b-BK-37.5",'SKU明细'!$A$11:$A$1309,0)))&lt;1,SUM(INDEX('SKU明细'!$D$11:$D$1309,MATCH("B06b-BK-37.5",'SKU明细'!$A$11:$A$1309,0)))&amp;" + 待核",SUM(INDEX('SKU明细'!$D$11:$D$1309,MATCH("B06b-BK-37.5",'SKU明细'!$A$11:$A$1309,0)))))</x:f>
        <x:v>0</x:v>
      </x:c>
      <x:c r="J149" s="38" t="n">
        <x:f>IF(COUNT(INDEX('SKU明细'!$D$11:$D$1309,MATCH("B06b-BK-38",'SKU明细'!$A$11:$A$1309,0)))=0,"待核",IF(COUNT(INDEX('SKU明细'!$D$11:$D$1309,MATCH("B06b-BK-38",'SKU明细'!$A$11:$A$1309,0)))&lt;1,SUM(INDEX('SKU明细'!$D$11:$D$1309,MATCH("B06b-BK-38",'SKU明细'!$A$11:$A$1309,0)))&amp;" + 待核",SUM(INDEX('SKU明细'!$D$11:$D$1309,MATCH("B06b-BK-38",'SKU明细'!$A$11:$A$1309,0)))))</x:f>
        <x:v>0</x:v>
      </x:c>
      <x:c r="K149" s="38" t="n">
        <x:f>IF(COUNT(INDEX('SKU明细'!$D$11:$D$1309,MATCH("B06b-BK-38.5",'SKU明细'!$A$11:$A$1309,0)))=0,"待核",IF(COUNT(INDEX('SKU明细'!$D$11:$D$1309,MATCH("B06b-BK-38.5",'SKU明细'!$A$11:$A$1309,0)))&lt;1,SUM(INDEX('SKU明细'!$D$11:$D$1309,MATCH("B06b-BK-38.5",'SKU明细'!$A$11:$A$1309,0)))&amp;" + 待核",SUM(INDEX('SKU明细'!$D$11:$D$1309,MATCH("B06b-BK-38.5",'SKU明细'!$A$11:$A$1309,0)))))</x:f>
        <x:v>0</x:v>
      </x:c>
      <x:c r="L149" s="38" t="n">
        <x:f>IF(COUNT(INDEX('SKU明细'!$D$11:$D$1309,MATCH("B06b-BK-39",'SKU明细'!$A$11:$A$1309,0)))=0,"待核",IF(COUNT(INDEX('SKU明细'!$D$11:$D$1309,MATCH("B06b-BK-39",'SKU明细'!$A$11:$A$1309,0)))&lt;1,SUM(INDEX('SKU明细'!$D$11:$D$1309,MATCH("B06b-BK-39",'SKU明细'!$A$11:$A$1309,0)))&amp;" + 待核",SUM(INDEX('SKU明细'!$D$11:$D$1309,MATCH("B06b-BK-39",'SKU明细'!$A$11:$A$1309,0)))))</x:f>
        <x:v>24</x:v>
      </x:c>
      <x:c r="M149" s="38" t="n">
        <x:f>IF(COUNT(INDEX('SKU明细'!$D$11:$D$1309,MATCH("B06b-BK-39.5",'SKU明细'!$A$11:$A$1309,0)))=0,"待核",IF(COUNT(INDEX('SKU明细'!$D$11:$D$1309,MATCH("B06b-BK-39.5",'SKU明细'!$A$11:$A$1309,0)))&lt;1,SUM(INDEX('SKU明细'!$D$11:$D$1309,MATCH("B06b-BK-39.5",'SKU明细'!$A$11:$A$1309,0)))&amp;" + 待核",SUM(INDEX('SKU明细'!$D$11:$D$1309,MATCH("B06b-BK-39.5",'SKU明细'!$A$11:$A$1309,0)))))</x:f>
        <x:v>9</x:v>
      </x:c>
      <x:c r="N149" s="38" t="n">
        <x:f>IF(COUNT(INDEX('SKU明细'!$D$11:$D$1309,MATCH("B06b-BK-40",'SKU明细'!$A$11:$A$1309,0)))=0,"待核",IF(COUNT(INDEX('SKU明细'!$D$11:$D$1309,MATCH("B06b-BK-40",'SKU明细'!$A$11:$A$1309,0)))&lt;1,SUM(INDEX('SKU明细'!$D$11:$D$1309,MATCH("B06b-BK-40",'SKU明细'!$A$11:$A$1309,0)))&amp;" + 待核",SUM(INDEX('SKU明细'!$D$11:$D$1309,MATCH("B06b-BK-40",'SKU明细'!$A$11:$A$1309,0)))))</x:f>
        <x:v>4</x:v>
      </x:c>
      <x:c r="O149" s="38" t="n">
        <x:f>IF(COUNT(INDEX('SKU明细'!$D$11:$D$1309,MATCH("B06b-BK-40.5",'SKU明细'!$A$11:$A$1309,0)))=0,"待核",IF(COUNT(INDEX('SKU明细'!$D$11:$D$1309,MATCH("B06b-BK-40.5",'SKU明细'!$A$11:$A$1309,0)))&lt;1,SUM(INDEX('SKU明细'!$D$11:$D$1309,MATCH("B06b-BK-40.5",'SKU明细'!$A$11:$A$1309,0)))&amp;" + 待核",SUM(INDEX('SKU明细'!$D$11:$D$1309,MATCH("B06b-BK-40.5",'SKU明细'!$A$11:$A$1309,0)))))</x:f>
        <x:v>0</x:v>
      </x:c>
      <x:c r="P149" s="38" t="n">
        <x:f>IF(COUNT(INDEX('SKU明细'!$D$11:$D$1309,MATCH("B06b-BK-41",'SKU明细'!$A$11:$A$1309,0)))=0,"待核",IF(COUNT(INDEX('SKU明细'!$D$11:$D$1309,MATCH("B06b-BK-41",'SKU明细'!$A$11:$A$1309,0)))&lt;1,SUM(INDEX('SKU明细'!$D$11:$D$1309,MATCH("B06b-BK-41",'SKU明细'!$A$11:$A$1309,0)))&amp;" + 待核",SUM(INDEX('SKU明细'!$D$11:$D$1309,MATCH("B06b-BK-41",'SKU明细'!$A$11:$A$1309,0)))))</x:f>
        <x:v>12</x:v>
      </x:c>
      <x:c r="Q149" s="38" t="str">
        <x:f>"—"</x:f>
        <x:v>—</x:v>
      </x:c>
      <x:c r="R149" s="38" t="n">
        <x:f>IF(COUNT(INDEX('SKU明细'!$D$11:$D$1309,MATCH("B06b-BK-42",'SKU明细'!$A$11:$A$1309,0)))=0,"待核",IF(COUNT(INDEX('SKU明细'!$D$11:$D$1309,MATCH("B06b-BK-42",'SKU明细'!$A$11:$A$1309,0)))&lt;1,SUM(INDEX('SKU明细'!$D$11:$D$1309,MATCH("B06b-BK-42",'SKU明细'!$A$11:$A$1309,0)))&amp;" + 待核",SUM(INDEX('SKU明细'!$D$11:$D$1309,MATCH("B06b-BK-42",'SKU明细'!$A$11:$A$1309,0)))))</x:f>
        <x:v>7</x:v>
      </x:c>
      <x:c r="S149" s="38" t="n">
        <x:f>IF(COUNT(INDEX('SKU明细'!$D$11:$D$1309,MATCH("B06b-BK-37",'SKU明细'!$A$11:$A$1309,0)),INDEX('SKU明细'!$D$11:$D$1309,MATCH("B06b-BK-37.5",'SKU明细'!$A$11:$A$1309,0)),INDEX('SKU明细'!$D$11:$D$1309,MATCH("B06b-BK-38",'SKU明细'!$A$11:$A$1309,0)),INDEX('SKU明细'!$D$11:$D$1309,MATCH("B06b-BK-38.5",'SKU明细'!$A$11:$A$1309,0)),INDEX('SKU明细'!$D$11:$D$1309,MATCH("B06b-BK-39",'SKU明细'!$A$11:$A$1309,0)),INDEX('SKU明细'!$D$11:$D$1309,MATCH("B06b-BK-39.5",'SKU明细'!$A$11:$A$1309,0)),INDEX('SKU明细'!$D$11:$D$1309,MATCH("B06b-BK-40",'SKU明细'!$A$11:$A$1309,0)),INDEX('SKU明细'!$D$11:$D$1309,MATCH("B06b-BK-40.5",'SKU明细'!$A$11:$A$1309,0)),INDEX('SKU明细'!$D$11:$D$1309,MATCH("B06b-BK-41",'SKU明细'!$A$11:$A$1309,0)),INDEX('SKU明细'!$D$11:$D$1309,MATCH("B06b-BK-42",'SKU明细'!$A$11:$A$1309,0)))=0,"待核",SUM(INDEX('SKU明细'!$D$11:$D$1309,MATCH("B06b-BK-37",'SKU明细'!$A$11:$A$1309,0)),INDEX('SKU明细'!$D$11:$D$1309,MATCH("B06b-BK-37.5",'SKU明细'!$A$11:$A$1309,0)),INDEX('SKU明细'!$D$11:$D$1309,MATCH("B06b-BK-38",'SKU明细'!$A$11:$A$1309,0)),INDEX('SKU明细'!$D$11:$D$1309,MATCH("B06b-BK-38.5",'SKU明细'!$A$11:$A$1309,0)),INDEX('SKU明细'!$D$11:$D$1309,MATCH("B06b-BK-39",'SKU明细'!$A$11:$A$1309,0)),INDEX('SKU明细'!$D$11:$D$1309,MATCH("B06b-BK-39.5",'SKU明细'!$A$11:$A$1309,0)),INDEX('SKU明细'!$D$11:$D$1309,MATCH("B06b-BK-40",'SKU明细'!$A$11:$A$1309,0)),INDEX('SKU明细'!$D$11:$D$1309,MATCH("B06b-BK-40.5",'SKU明细'!$A$11:$A$1309,0)),INDEX('SKU明细'!$D$11:$D$1309,MATCH("B06b-BK-41",'SKU明细'!$A$11:$A$1309,0)),INDEX('SKU明细'!$D$11:$D$1309,MATCH("B06b-BK-42",'SKU明细'!$A$11:$A$1309,0))))</x:f>
        <x:v>82</x:v>
      </x:c>
      <x:c r="T149" s="38" t="n">
        <x:f>IF(COUNTIFS($A$9:$A$191,A149,$U$9:$U$191,"&lt;&gt;待核")=0,"待核",SUMIF($A$9:$A$191,A149,$S$9:$S$191))</x:f>
        <x:v>132</x:v>
      </x:c>
      <x:c r="U149" s="37" t="str">
        <x:f>IF(COUNT(INDEX('SKU明细'!$D$11:$D$1309,MATCH("B06b-BK-37",'SKU明细'!$A$11:$A$1309,0)),INDEX('SKU明细'!$D$11:$D$1309,MATCH("B06b-BK-37.5",'SKU明细'!$A$11:$A$1309,0)),INDEX('SKU明细'!$D$11:$D$1309,MATCH("B06b-BK-38",'SKU明细'!$A$11:$A$1309,0)),INDEX('SKU明细'!$D$11:$D$1309,MATCH("B06b-BK-38.5",'SKU明细'!$A$11:$A$1309,0)),INDEX('SKU明细'!$D$11:$D$1309,MATCH("B06b-BK-39",'SKU明细'!$A$11:$A$1309,0)),INDEX('SKU明细'!$D$11:$D$1309,MATCH("B06b-BK-39.5",'SKU明细'!$A$11:$A$1309,0)),INDEX('SKU明细'!$D$11:$D$1309,MATCH("B06b-BK-40",'SKU明细'!$A$11:$A$1309,0)),INDEX('SKU明细'!$D$11:$D$1309,MATCH("B06b-BK-40.5",'SKU明细'!$A$11:$A$1309,0)),INDEX('SKU明细'!$D$11:$D$1309,MATCH("B06b-BK-41",'SKU明细'!$A$11:$A$1309,0)),INDEX('SKU明细'!$D$11:$D$1309,MATCH("B06b-BK-42",'SKU明细'!$A$11:$A$1309,0)))=0,"待核",IF(COUNT(INDEX('SKU明细'!$D$11:$D$1309,MATCH("B06b-BK-37",'SKU明细'!$A$11:$A$1309,0)),INDEX('SKU明细'!$D$11:$D$1309,MATCH("B06b-BK-37.5",'SKU明细'!$A$11:$A$1309,0)),INDEX('SKU明细'!$D$11:$D$1309,MATCH("B06b-BK-38",'SKU明细'!$A$11:$A$1309,0)),INDEX('SKU明细'!$D$11:$D$1309,MATCH("B06b-BK-38.5",'SKU明细'!$A$11:$A$1309,0)),INDEX('SKU明细'!$D$11:$D$1309,MATCH("B06b-BK-39",'SKU明细'!$A$11:$A$1309,0)),INDEX('SKU明细'!$D$11:$D$1309,MATCH("B06b-BK-39.5",'SKU明细'!$A$11:$A$1309,0)),INDEX('SKU明细'!$D$11:$D$1309,MATCH("B06b-BK-40",'SKU明细'!$A$11:$A$1309,0)),INDEX('SKU明细'!$D$11:$D$1309,MATCH("B06b-BK-40.5",'SKU明细'!$A$11:$A$1309,0)),INDEX('SKU明细'!$D$11:$D$1309,MATCH("B06b-BK-41",'SKU明细'!$A$11:$A$1309,0)),INDEX('SKU明细'!$D$11:$D$1309,MATCH("B06b-BK-42",'SKU明细'!$A$11:$A$1309,0)))&lt;10,"另有待核","已核"))</x:f>
        <x:v>已核</x:v>
      </x:c>
      <x:c r="V149" s="37" t="str">
        <x:v>在售、停售</x:v>
      </x:c>
      <x:c r="W149" s="11" t="n">
        <x:f>IF(COUNT(INDEX('SKU明细'!$BV$11:$BV$1309,MATCH("B06b-BK-37",'SKU明细'!$A$11:$A$1309,0)),INDEX('SKU明细'!$BV$11:$BV$1309,MATCH("B06b-BK-37.5",'SKU明细'!$A$11:$A$1309,0)),INDEX('SKU明细'!$BV$11:$BV$1309,MATCH("B06b-BK-38",'SKU明细'!$A$11:$A$1309,0)),INDEX('SKU明细'!$BV$11:$BV$1309,MATCH("B06b-BK-38.5",'SKU明细'!$A$11:$A$1309,0)),INDEX('SKU明细'!$BV$11:$BV$1309,MATCH("B06b-BK-39",'SKU明细'!$A$11:$A$1309,0)),INDEX('SKU明细'!$BV$11:$BV$1309,MATCH("B06b-BK-39.5",'SKU明细'!$A$11:$A$1309,0)),INDEX('SKU明细'!$BV$11:$BV$1309,MATCH("B06b-BK-40",'SKU明细'!$A$11:$A$1309,0)),INDEX('SKU明细'!$BV$11:$BV$1309,MATCH("B06b-BK-40.5",'SKU明细'!$A$11:$A$1309,0)),INDEX('SKU明细'!$BV$11:$BV$1309,MATCH("B06b-BK-41",'SKU明细'!$A$11:$A$1309,0)),INDEX('SKU明细'!$BV$11:$BV$1309,MATCH("B06b-BK-42",'SKU明细'!$A$11:$A$1309,0)))=10,SUM(INDEX('SKU明细'!$BV$11:$BV$1309,MATCH("B06b-BK-37",'SKU明细'!$A$11:$A$1309,0)),INDEX('SKU明细'!$BV$11:$BV$1309,MATCH("B06b-BK-37.5",'SKU明细'!$A$11:$A$1309,0)),INDEX('SKU明细'!$BV$11:$BV$1309,MATCH("B06b-BK-38",'SKU明细'!$A$11:$A$1309,0)),INDEX('SKU明细'!$BV$11:$BV$1309,MATCH("B06b-BK-38.5",'SKU明细'!$A$11:$A$1309,0)),INDEX('SKU明细'!$BV$11:$BV$1309,MATCH("B06b-BK-39",'SKU明细'!$A$11:$A$1309,0)),INDEX('SKU明细'!$BV$11:$BV$1309,MATCH("B06b-BK-39.5",'SKU明细'!$A$11:$A$1309,0)),INDEX('SKU明细'!$BV$11:$BV$1309,MATCH("B06b-BK-40",'SKU明细'!$A$11:$A$1309,0)),INDEX('SKU明细'!$BV$11:$BV$1309,MATCH("B06b-BK-40.5",'SKU明细'!$A$11:$A$1309,0)),INDEX('SKU明细'!$BV$11:$BV$1309,MATCH("B06b-BK-41",'SKU明细'!$A$11:$A$1309,0)),INDEX('SKU明细'!$BV$11:$BV$1309,MATCH("B06b-BK-42",'SKU明细'!$A$11:$A$1309,0))),"待核")</x:f>
        <x:v>8.918815730624301</x:v>
      </x:c>
      <x:c r="X149" s="11" t="n">
        <x:f>INDEX('SKU明细'!$BW$11:$BW$1309,MATCH("B06b-BK-37",'SKU明细'!$A$11:$A$1309,0))</x:f>
        <x:v>1.1090677182221615</x:v>
      </x:c>
      <x:c r="Y149" s="13" t="n">
        <x:f>IF(COUNT(INDEX('SKU明细'!$BY$11:$BY$1309,MATCH("B06b-BK-37",'SKU明细'!$A$11:$A$1309,0)),INDEX('SKU明细'!$BY$11:$BY$1309,MATCH("B06b-BK-37.5",'SKU明细'!$A$11:$A$1309,0)),INDEX('SKU明细'!$BY$11:$BY$1309,MATCH("B06b-BK-38",'SKU明细'!$A$11:$A$1309,0)),INDEX('SKU明细'!$BY$11:$BY$1309,MATCH("B06b-BK-38.5",'SKU明细'!$A$11:$A$1309,0)),INDEX('SKU明细'!$BY$11:$BY$1309,MATCH("B06b-BK-39",'SKU明细'!$A$11:$A$1309,0)),INDEX('SKU明细'!$BY$11:$BY$1309,MATCH("B06b-BK-39.5",'SKU明细'!$A$11:$A$1309,0)),INDEX('SKU明细'!$BY$11:$BY$1309,MATCH("B06b-BK-40",'SKU明细'!$A$11:$A$1309,0)),INDEX('SKU明细'!$BY$11:$BY$1309,MATCH("B06b-BK-40.5",'SKU明细'!$A$11:$A$1309,0)),INDEX('SKU明细'!$BY$11:$BY$1309,MATCH("B06b-BK-41",'SKU明细'!$A$11:$A$1309,0)),INDEX('SKU明细'!$BY$11:$BY$1309,MATCH("B06b-BK-42",'SKU明细'!$A$11:$A$1309,0)))=10,SUM(INDEX('SKU明细'!$BY$11:$BY$1309,MATCH("B06b-BK-37",'SKU明细'!$A$11:$A$1309,0)),INDEX('SKU明细'!$BY$11:$BY$1309,MATCH("B06b-BK-37.5",'SKU明细'!$A$11:$A$1309,0)),INDEX('SKU明细'!$BY$11:$BY$1309,MATCH("B06b-BK-38",'SKU明细'!$A$11:$A$1309,0)),INDEX('SKU明细'!$BY$11:$BY$1309,MATCH("B06b-BK-38.5",'SKU明细'!$A$11:$A$1309,0)),INDEX('SKU明细'!$BY$11:$BY$1309,MATCH("B06b-BK-39",'SKU明细'!$A$11:$A$1309,0)),INDEX('SKU明细'!$BY$11:$BY$1309,MATCH("B06b-BK-39.5",'SKU明细'!$A$11:$A$1309,0)),INDEX('SKU明细'!$BY$11:$BY$1309,MATCH("B06b-BK-40",'SKU明细'!$A$11:$A$1309,0)),INDEX('SKU明细'!$BY$11:$BY$1309,MATCH("B06b-BK-40.5",'SKU明细'!$A$11:$A$1309,0)),INDEX('SKU明细'!$BY$11:$BY$1309,MATCH("B06b-BK-41",'SKU明细'!$A$11:$A$1309,0)),INDEX('SKU明细'!$BY$11:$BY$1309,MATCH("B06b-BK-42",'SKU明细'!$A$11:$A$1309,0))),"待核")</x:f>
        <x:v>118.69884733928899</x:v>
      </x:c>
      <x:c r="Z149" s="11" t="n">
        <x:f>INDEX('SKU明细'!$BZ$11:$BZ$1309,MATCH("B06b-BK-37",'SKU明细'!$A$11:$A$1309,0))</x:f>
        <x:v>1.0372741535934282</x:v>
      </x:c>
      <x:c r="AA149" s="13" t="n">
        <x:f>IF(COUNT(INDEX('SKU明细'!$CB$11:$CB$1309,MATCH("B06b-BK-37",'SKU明细'!$A$11:$A$1309,0)),INDEX('SKU明细'!$CB$11:$CB$1309,MATCH("B06b-BK-37.5",'SKU明细'!$A$11:$A$1309,0)),INDEX('SKU明细'!$CB$11:$CB$1309,MATCH("B06b-BK-38",'SKU明细'!$A$11:$A$1309,0)),INDEX('SKU明细'!$CB$11:$CB$1309,MATCH("B06b-BK-38.5",'SKU明细'!$A$11:$A$1309,0)),INDEX('SKU明细'!$CB$11:$CB$1309,MATCH("B06b-BK-39",'SKU明细'!$A$11:$A$1309,0)),INDEX('SKU明细'!$CB$11:$CB$1309,MATCH("B06b-BK-39.5",'SKU明细'!$A$11:$A$1309,0)),INDEX('SKU明细'!$CB$11:$CB$1309,MATCH("B06b-BK-40",'SKU明细'!$A$11:$A$1309,0)),INDEX('SKU明细'!$CB$11:$CB$1309,MATCH("B06b-BK-40.5",'SKU明细'!$A$11:$A$1309,0)),INDEX('SKU明细'!$CB$11:$CB$1309,MATCH("B06b-BK-41",'SKU明细'!$A$11:$A$1309,0)),INDEX('SKU明细'!$CB$11:$CB$1309,MATCH("B06b-BK-42",'SKU明细'!$A$11:$A$1309,0)))=10,SUM(INDEX('SKU明细'!$CB$11:$CB$1309,MATCH("B06b-BK-37",'SKU明细'!$A$11:$A$1309,0)),INDEX('SKU明细'!$CB$11:$CB$1309,MATCH("B06b-BK-37.5",'SKU明细'!$A$11:$A$1309,0)),INDEX('SKU明细'!$CB$11:$CB$1309,MATCH("B06b-BK-38",'SKU明细'!$A$11:$A$1309,0)),INDEX('SKU明细'!$CB$11:$CB$1309,MATCH("B06b-BK-38.5",'SKU明细'!$A$11:$A$1309,0)),INDEX('SKU明细'!$CB$11:$CB$1309,MATCH("B06b-BK-39",'SKU明细'!$A$11:$A$1309,0)),INDEX('SKU明细'!$CB$11:$CB$1309,MATCH("B06b-BK-39.5",'SKU明细'!$A$11:$A$1309,0)),INDEX('SKU明细'!$CB$11:$CB$1309,MATCH("B06b-BK-40",'SKU明细'!$A$11:$A$1309,0)),INDEX('SKU明细'!$CB$11:$CB$1309,MATCH("B06b-BK-40.5",'SKU明细'!$A$11:$A$1309,0)),INDEX('SKU明细'!$CB$11:$CB$1309,MATCH("B06b-BK-41",'SKU明细'!$A$11:$A$1309,0)),INDEX('SKU明细'!$CB$11:$CB$1309,MATCH("B06b-BK-42",'SKU明细'!$A$11:$A$1309,0))),"待核")</x:f>
        <x:v>277.53771114117234</x:v>
      </x:c>
      <x:c r="AB149" s="11" t="n">
        <x:f>INDEX('SKU明细'!$CC$11:$CC$1309,MATCH("B06b-BK-37",'SKU明细'!$A$11:$A$1309,0))</x:f>
        <x:v>0.979949351738161</x:v>
      </x:c>
      <x:c r="AC149" s="13" t="n">
        <x:f>IF(COUNT(INDEX('SKU明细'!$CE$11:$CE$1309,MATCH("B06b-BK-37",'SKU明细'!$A$11:$A$1309,0)),INDEX('SKU明细'!$CE$11:$CE$1309,MATCH("B06b-BK-37.5",'SKU明细'!$A$11:$A$1309,0)),INDEX('SKU明细'!$CE$11:$CE$1309,MATCH("B06b-BK-38",'SKU明细'!$A$11:$A$1309,0)),INDEX('SKU明细'!$CE$11:$CE$1309,MATCH("B06b-BK-38.5",'SKU明细'!$A$11:$A$1309,0)),INDEX('SKU明细'!$CE$11:$CE$1309,MATCH("B06b-BK-39",'SKU明细'!$A$11:$A$1309,0)),INDEX('SKU明细'!$CE$11:$CE$1309,MATCH("B06b-BK-39.5",'SKU明细'!$A$11:$A$1309,0)),INDEX('SKU明细'!$CE$11:$CE$1309,MATCH("B06b-BK-40",'SKU明细'!$A$11:$A$1309,0)),INDEX('SKU明细'!$CE$11:$CE$1309,MATCH("B06b-BK-40.5",'SKU明细'!$A$11:$A$1309,0)),INDEX('SKU明细'!$CE$11:$CE$1309,MATCH("B06b-BK-41",'SKU明细'!$A$11:$A$1309,0)),INDEX('SKU明细'!$CE$11:$CE$1309,MATCH("B06b-BK-42",'SKU明细'!$A$11:$A$1309,0)))=10,SUM(INDEX('SKU明细'!$CE$11:$CE$1309,MATCH("B06b-BK-37",'SKU明细'!$A$11:$A$1309,0)),INDEX('SKU明细'!$CE$11:$CE$1309,MATCH("B06b-BK-37.5",'SKU明细'!$A$11:$A$1309,0)),INDEX('SKU明细'!$CE$11:$CE$1309,MATCH("B06b-BK-38",'SKU明细'!$A$11:$A$1309,0)),INDEX('SKU明细'!$CE$11:$CE$1309,MATCH("B06b-BK-38.5",'SKU明细'!$A$11:$A$1309,0)),INDEX('SKU明细'!$CE$11:$CE$1309,MATCH("B06b-BK-39",'SKU明细'!$A$11:$A$1309,0)),INDEX('SKU明细'!$CE$11:$CE$1309,MATCH("B06b-BK-39.5",'SKU明细'!$A$11:$A$1309,0)),INDEX('SKU明细'!$CE$11:$CE$1309,MATCH("B06b-BK-40",'SKU明细'!$A$11:$A$1309,0)),INDEX('SKU明细'!$CE$11:$CE$1309,MATCH("B06b-BK-40.5",'SKU明细'!$A$11:$A$1309,0)),INDEX('SKU明细'!$CE$11:$CE$1309,MATCH("B06b-BK-41",'SKU明细'!$A$11:$A$1309,0)),INDEX('SKU明细'!$CE$11:$CE$1309,MATCH("B06b-BK-42",'SKU明细'!$A$11:$A$1309,0))),"待核")</x:f>
        <x:v>270.93961849841935</x:v>
      </x:c>
      <x:c r="AD149" s="11" t="n">
        <x:f>INDEX('SKU明细'!$CF$11:$CF$1309,MATCH("B06b-BK-37",'SKU明细'!$A$11:$A$1309,0))</x:f>
        <x:v>1.1571949690048173</x:v>
      </x:c>
      <x:c r="AE149" s="13" t="n">
        <x:f>IF(COUNT(INDEX('SKU明细'!$CH$11:$CH$1309,MATCH("B06b-BK-37",'SKU明细'!$A$11:$A$1309,0)),INDEX('SKU明细'!$CH$11:$CH$1309,MATCH("B06b-BK-37.5",'SKU明细'!$A$11:$A$1309,0)),INDEX('SKU明细'!$CH$11:$CH$1309,MATCH("B06b-BK-38",'SKU明细'!$A$11:$A$1309,0)),INDEX('SKU明细'!$CH$11:$CH$1309,MATCH("B06b-BK-38.5",'SKU明细'!$A$11:$A$1309,0)),INDEX('SKU明细'!$CH$11:$CH$1309,MATCH("B06b-BK-39",'SKU明细'!$A$11:$A$1309,0)),INDEX('SKU明细'!$CH$11:$CH$1309,MATCH("B06b-BK-39.5",'SKU明细'!$A$11:$A$1309,0)),INDEX('SKU明细'!$CH$11:$CH$1309,MATCH("B06b-BK-40",'SKU明细'!$A$11:$A$1309,0)),INDEX('SKU明细'!$CH$11:$CH$1309,MATCH("B06b-BK-40.5",'SKU明细'!$A$11:$A$1309,0)),INDEX('SKU明细'!$CH$11:$CH$1309,MATCH("B06b-BK-41",'SKU明细'!$A$11:$A$1309,0)),INDEX('SKU明细'!$CH$11:$CH$1309,MATCH("B06b-BK-42",'SKU明细'!$A$11:$A$1309,0)))=10,SUM(INDEX('SKU明细'!$CH$11:$CH$1309,MATCH("B06b-BK-37",'SKU明细'!$A$11:$A$1309,0)),INDEX('SKU明细'!$CH$11:$CH$1309,MATCH("B06b-BK-37.5",'SKU明细'!$A$11:$A$1309,0)),INDEX('SKU明细'!$CH$11:$CH$1309,MATCH("B06b-BK-38",'SKU明细'!$A$11:$A$1309,0)),INDEX('SKU明细'!$CH$11:$CH$1309,MATCH("B06b-BK-38.5",'SKU明细'!$A$11:$A$1309,0)),INDEX('SKU明细'!$CH$11:$CH$1309,MATCH("B06b-BK-39",'SKU明细'!$A$11:$A$1309,0)),INDEX('SKU明细'!$CH$11:$CH$1309,MATCH("B06b-BK-39.5",'SKU明细'!$A$11:$A$1309,0)),INDEX('SKU明细'!$CH$11:$CH$1309,MATCH("B06b-BK-40",'SKU明细'!$A$11:$A$1309,0)),INDEX('SKU明细'!$CH$11:$CH$1309,MATCH("B06b-BK-40.5",'SKU明细'!$A$11:$A$1309,0)),INDEX('SKU明细'!$CH$11:$CH$1309,MATCH("B06b-BK-41",'SKU明细'!$A$11:$A$1309,0)),INDEX('SKU明细'!$CH$11:$CH$1309,MATCH("B06b-BK-42",'SKU明细'!$A$11:$A$1309,0))),"待核")</x:f>
        <x:v>175.45374778031095</x:v>
      </x:c>
      <x:c r="AF149" s="13" t="n">
        <x:f>IF(COUNT(INDEX('SKU明细'!$CI$11:$CI$1309,MATCH("B06b-BK-37",'SKU明细'!$A$11:$A$1309,0)),INDEX('SKU明细'!$CI$11:$CI$1309,MATCH("B06b-BK-37.5",'SKU明细'!$A$11:$A$1309,0)),INDEX('SKU明细'!$CI$11:$CI$1309,MATCH("B06b-BK-38",'SKU明细'!$A$11:$A$1309,0)),INDEX('SKU明细'!$CI$11:$CI$1309,MATCH("B06b-BK-38.5",'SKU明细'!$A$11:$A$1309,0)),INDEX('SKU明细'!$CI$11:$CI$1309,MATCH("B06b-BK-39",'SKU明细'!$A$11:$A$1309,0)),INDEX('SKU明细'!$CI$11:$CI$1309,MATCH("B06b-BK-39.5",'SKU明细'!$A$11:$A$1309,0)),INDEX('SKU明细'!$CI$11:$CI$1309,MATCH("B06b-BK-40",'SKU明细'!$A$11:$A$1309,0)),INDEX('SKU明细'!$CI$11:$CI$1309,MATCH("B06b-BK-40.5",'SKU明细'!$A$11:$A$1309,0)),INDEX('SKU明细'!$CI$11:$CI$1309,MATCH("B06b-BK-41",'SKU明细'!$A$11:$A$1309,0)),INDEX('SKU明细'!$CI$11:$CI$1309,MATCH("B06b-BK-42",'SKU明细'!$A$11:$A$1309,0)))=10,SUM(INDEX('SKU明细'!$CI$11:$CI$1309,MATCH("B06b-BK-37",'SKU明细'!$A$11:$A$1309,0)),INDEX('SKU明细'!$CI$11:$CI$1309,MATCH("B06b-BK-37.5",'SKU明细'!$A$11:$A$1309,0)),INDEX('SKU明细'!$CI$11:$CI$1309,MATCH("B06b-BK-38",'SKU明细'!$A$11:$A$1309,0)),INDEX('SKU明细'!$CI$11:$CI$1309,MATCH("B06b-BK-38.5",'SKU明细'!$A$11:$A$1309,0)),INDEX('SKU明细'!$CI$11:$CI$1309,MATCH("B06b-BK-39",'SKU明细'!$A$11:$A$1309,0)),INDEX('SKU明细'!$CI$11:$CI$1309,MATCH("B06b-BK-39.5",'SKU明细'!$A$11:$A$1309,0)),INDEX('SKU明细'!$CI$11:$CI$1309,MATCH("B06b-BK-40",'SKU明细'!$A$11:$A$1309,0)),INDEX('SKU明细'!$CI$11:$CI$1309,MATCH("B06b-BK-40.5",'SKU明细'!$A$11:$A$1309,0)),INDEX('SKU明细'!$CI$11:$CI$1309,MATCH("B06b-BK-41",'SKU明细'!$A$11:$A$1309,0)),INDEX('SKU明细'!$CI$11:$CI$1309,MATCH("B06b-BK-42",'SKU明细'!$A$11:$A$1309,0))),"待核")</x:f>
        <x:v>842.6299247591915</x:v>
      </x:c>
    </x:row>
    <x:row r="150" ht="40" customHeight="1">
      <x:c r="A150" s="37" t="str">
        <x:v>B06b</x:v>
      </x:c>
      <x:c r="B150" s="37" t="str">
        <x:v>艾年</x:v>
      </x:c>
      <x:c r="C150" s="37" t="str">
        <x:v>黑色PU</x:v>
      </x:c>
      <x:c r="D150" s="37" t="str">
        <x:v>BKP</x:v>
      </x:c>
      <x:c r="E150" s="37" t="str">
        <x:v>B06b-BKP</x:v>
      </x:c>
      <x:c r="F150" s="37"/>
      <x:c r="G150" s="38" t="str">
        <x:f>"—"</x:f>
        <x:v>—</x:v>
      </x:c>
      <x:c r="H150" s="38" t="n">
        <x:f>IF(COUNT(INDEX('SKU明细'!$D$11:$D$1309,MATCH("B06b-BKP-37",'SKU明细'!$A$11:$A$1309,0)))=0,"待核",IF(COUNT(INDEX('SKU明细'!$D$11:$D$1309,MATCH("B06b-BKP-37",'SKU明细'!$A$11:$A$1309,0)))&lt;1,SUM(INDEX('SKU明细'!$D$11:$D$1309,MATCH("B06b-BKP-37",'SKU明细'!$A$11:$A$1309,0)))&amp;" + 待核",SUM(INDEX('SKU明细'!$D$11:$D$1309,MATCH("B06b-BKP-37",'SKU明细'!$A$11:$A$1309,0)))))</x:f>
        <x:v>0</x:v>
      </x:c>
      <x:c r="I150" s="38" t="n">
        <x:f>IF(COUNT(INDEX('SKU明细'!$D$11:$D$1309,MATCH("B06b-BKP-37.5",'SKU明细'!$A$11:$A$1309,0)))=0,"待核",IF(COUNT(INDEX('SKU明细'!$D$11:$D$1309,MATCH("B06b-BKP-37.5",'SKU明细'!$A$11:$A$1309,0)))&lt;1,SUM(INDEX('SKU明细'!$D$11:$D$1309,MATCH("B06b-BKP-37.5",'SKU明细'!$A$11:$A$1309,0)))&amp;" + 待核",SUM(INDEX('SKU明细'!$D$11:$D$1309,MATCH("B06b-BKP-37.5",'SKU明细'!$A$11:$A$1309,0)))))</x:f>
        <x:v>0</x:v>
      </x:c>
      <x:c r="J150" s="38" t="n">
        <x:f>IF(COUNT(INDEX('SKU明细'!$D$11:$D$1309,MATCH("B06b-BKP-38",'SKU明细'!$A$11:$A$1309,0)))=0,"待核",IF(COUNT(INDEX('SKU明细'!$D$11:$D$1309,MATCH("B06b-BKP-38",'SKU明细'!$A$11:$A$1309,0)))&lt;1,SUM(INDEX('SKU明细'!$D$11:$D$1309,MATCH("B06b-BKP-38",'SKU明细'!$A$11:$A$1309,0)))&amp;" + 待核",SUM(INDEX('SKU明细'!$D$11:$D$1309,MATCH("B06b-BKP-38",'SKU明细'!$A$11:$A$1309,0)))))</x:f>
        <x:v>0</x:v>
      </x:c>
      <x:c r="K150" s="38" t="n">
        <x:f>IF(COUNT(INDEX('SKU明细'!$D$11:$D$1309,MATCH("B06b-BKP-38.5",'SKU明细'!$A$11:$A$1309,0)))=0,"待核",IF(COUNT(INDEX('SKU明细'!$D$11:$D$1309,MATCH("B06b-BKP-38.5",'SKU明细'!$A$11:$A$1309,0)))&lt;1,SUM(INDEX('SKU明细'!$D$11:$D$1309,MATCH("B06b-BKP-38.5",'SKU明细'!$A$11:$A$1309,0)))&amp;" + 待核",SUM(INDEX('SKU明细'!$D$11:$D$1309,MATCH("B06b-BKP-38.5",'SKU明细'!$A$11:$A$1309,0)))))</x:f>
        <x:v>0</x:v>
      </x:c>
      <x:c r="L150" s="38" t="n">
        <x:f>IF(COUNT(INDEX('SKU明细'!$D$11:$D$1309,MATCH("B06b-BKP-39",'SKU明细'!$A$11:$A$1309,0)))=0,"待核",IF(COUNT(INDEX('SKU明细'!$D$11:$D$1309,MATCH("B06b-BKP-39",'SKU明细'!$A$11:$A$1309,0)))&lt;1,SUM(INDEX('SKU明细'!$D$11:$D$1309,MATCH("B06b-BKP-39",'SKU明细'!$A$11:$A$1309,0)))&amp;" + 待核",SUM(INDEX('SKU明细'!$D$11:$D$1309,MATCH("B06b-BKP-39",'SKU明细'!$A$11:$A$1309,0)))))</x:f>
        <x:v>0</x:v>
      </x:c>
      <x:c r="M150" s="38" t="n">
        <x:f>IF(COUNT(INDEX('SKU明细'!$D$11:$D$1309,MATCH("B06b-BKP-39.5",'SKU明细'!$A$11:$A$1309,0)))=0,"待核",IF(COUNT(INDEX('SKU明细'!$D$11:$D$1309,MATCH("B06b-BKP-39.5",'SKU明细'!$A$11:$A$1309,0)))&lt;1,SUM(INDEX('SKU明细'!$D$11:$D$1309,MATCH("B06b-BKP-39.5",'SKU明细'!$A$11:$A$1309,0)))&amp;" + 待核",SUM(INDEX('SKU明细'!$D$11:$D$1309,MATCH("B06b-BKP-39.5",'SKU明细'!$A$11:$A$1309,0)))))</x:f>
        <x:v>0</x:v>
      </x:c>
      <x:c r="N150" s="38" t="n">
        <x:f>IF(COUNT(INDEX('SKU明细'!$D$11:$D$1309,MATCH("B06b-BKP-40",'SKU明细'!$A$11:$A$1309,0)))=0,"待核",IF(COUNT(INDEX('SKU明细'!$D$11:$D$1309,MATCH("B06b-BKP-40",'SKU明细'!$A$11:$A$1309,0)))&lt;1,SUM(INDEX('SKU明细'!$D$11:$D$1309,MATCH("B06b-BKP-40",'SKU明细'!$A$11:$A$1309,0)))&amp;" + 待核",SUM(INDEX('SKU明细'!$D$11:$D$1309,MATCH("B06b-BKP-40",'SKU明细'!$A$11:$A$1309,0)))))</x:f>
        <x:v>9</x:v>
      </x:c>
      <x:c r="O150" s="38" t="n">
        <x:f>IF(COUNT(INDEX('SKU明细'!$D$11:$D$1309,MATCH("B06b-BKP-40.5",'SKU明细'!$A$11:$A$1309,0)))=0,"待核",IF(COUNT(INDEX('SKU明细'!$D$11:$D$1309,MATCH("B06b-BKP-40.5",'SKU明细'!$A$11:$A$1309,0)))&lt;1,SUM(INDEX('SKU明细'!$D$11:$D$1309,MATCH("B06b-BKP-40.5",'SKU明细'!$A$11:$A$1309,0)))&amp;" + 待核",SUM(INDEX('SKU明细'!$D$11:$D$1309,MATCH("B06b-BKP-40.5",'SKU明细'!$A$11:$A$1309,0)))))</x:f>
        <x:v>12</x:v>
      </x:c>
      <x:c r="P150" s="38" t="n">
        <x:f>IF(COUNT(INDEX('SKU明细'!$D$11:$D$1309,MATCH("B06b-BKP-41",'SKU明细'!$A$11:$A$1309,0)))=0,"待核",IF(COUNT(INDEX('SKU明细'!$D$11:$D$1309,MATCH("B06b-BKP-41",'SKU明细'!$A$11:$A$1309,0)))&lt;1,SUM(INDEX('SKU明细'!$D$11:$D$1309,MATCH("B06b-BKP-41",'SKU明细'!$A$11:$A$1309,0)))&amp;" + 待核",SUM(INDEX('SKU明细'!$D$11:$D$1309,MATCH("B06b-BKP-41",'SKU明细'!$A$11:$A$1309,0)))))</x:f>
        <x:v>1</x:v>
      </x:c>
      <x:c r="Q150" s="38" t="str">
        <x:f>IF(COUNT(INDEX('SKU明细'!$D$11:$D$1309,MATCH("B06b-BKP-41.5",'SKU明细'!$A$11:$A$1309,0)))=0,"待核",IF(COUNT(INDEX('SKU明细'!$D$11:$D$1309,MATCH("B06b-BKP-41.5",'SKU明细'!$A$11:$A$1309,0)))&lt;1,SUM(INDEX('SKU明细'!$D$11:$D$1309,MATCH("B06b-BKP-41.5",'SKU明细'!$A$11:$A$1309,0)))&amp;" + 待核",SUM(INDEX('SKU明细'!$D$11:$D$1309,MATCH("B06b-BKP-41.5",'SKU明细'!$A$11:$A$1309,0)))))</x:f>
        <x:v>待核</x:v>
      </x:c>
      <x:c r="R150" s="38" t="n">
        <x:f>IF(COUNT(INDEX('SKU明细'!$D$11:$D$1309,MATCH("B06b-BKP-42",'SKU明细'!$A$11:$A$1309,0)))=0,"待核",IF(COUNT(INDEX('SKU明细'!$D$11:$D$1309,MATCH("B06b-BKP-42",'SKU明细'!$A$11:$A$1309,0)))&lt;1,SUM(INDEX('SKU明细'!$D$11:$D$1309,MATCH("B06b-BKP-42",'SKU明细'!$A$11:$A$1309,0)))&amp;" + 待核",SUM(INDEX('SKU明细'!$D$11:$D$1309,MATCH("B06b-BKP-42",'SKU明细'!$A$11:$A$1309,0)))))</x:f>
        <x:v>0</x:v>
      </x:c>
      <x:c r="S150" s="38" t="n">
        <x:f>IF(COUNT(INDEX('SKU明细'!$D$11:$D$1309,MATCH("B06b-BKP-37",'SKU明细'!$A$11:$A$1309,0)),INDEX('SKU明细'!$D$11:$D$1309,MATCH("B06b-BKP-37.5",'SKU明细'!$A$11:$A$1309,0)),INDEX('SKU明细'!$D$11:$D$1309,MATCH("B06b-BKP-38",'SKU明细'!$A$11:$A$1309,0)),INDEX('SKU明细'!$D$11:$D$1309,MATCH("B06b-BKP-38.5",'SKU明细'!$A$11:$A$1309,0)),INDEX('SKU明细'!$D$11:$D$1309,MATCH("B06b-BKP-39",'SKU明细'!$A$11:$A$1309,0)),INDEX('SKU明细'!$D$11:$D$1309,MATCH("B06b-BKP-39.5",'SKU明细'!$A$11:$A$1309,0)),INDEX('SKU明细'!$D$11:$D$1309,MATCH("B06b-BKP-40",'SKU明细'!$A$11:$A$1309,0)),INDEX('SKU明细'!$D$11:$D$1309,MATCH("B06b-BKP-40.5",'SKU明细'!$A$11:$A$1309,0)),INDEX('SKU明细'!$D$11:$D$1309,MATCH("B06b-BKP-41",'SKU明细'!$A$11:$A$1309,0)),INDEX('SKU明细'!$D$11:$D$1309,MATCH("B06b-BKP-41.5",'SKU明细'!$A$11:$A$1309,0)),INDEX('SKU明细'!$D$11:$D$1309,MATCH("B06b-BKP-42",'SKU明细'!$A$11:$A$1309,0)))=0,"待核",SUM(INDEX('SKU明细'!$D$11:$D$1309,MATCH("B06b-BKP-37",'SKU明细'!$A$11:$A$1309,0)),INDEX('SKU明细'!$D$11:$D$1309,MATCH("B06b-BKP-37.5",'SKU明细'!$A$11:$A$1309,0)),INDEX('SKU明细'!$D$11:$D$1309,MATCH("B06b-BKP-38",'SKU明细'!$A$11:$A$1309,0)),INDEX('SKU明细'!$D$11:$D$1309,MATCH("B06b-BKP-38.5",'SKU明细'!$A$11:$A$1309,0)),INDEX('SKU明细'!$D$11:$D$1309,MATCH("B06b-BKP-39",'SKU明细'!$A$11:$A$1309,0)),INDEX('SKU明细'!$D$11:$D$1309,MATCH("B06b-BKP-39.5",'SKU明细'!$A$11:$A$1309,0)),INDEX('SKU明细'!$D$11:$D$1309,MATCH("B06b-BKP-40",'SKU明细'!$A$11:$A$1309,0)),INDEX('SKU明细'!$D$11:$D$1309,MATCH("B06b-BKP-40.5",'SKU明细'!$A$11:$A$1309,0)),INDEX('SKU明细'!$D$11:$D$1309,MATCH("B06b-BKP-41",'SKU明细'!$A$11:$A$1309,0)),INDEX('SKU明细'!$D$11:$D$1309,MATCH("B06b-BKP-41.5",'SKU明细'!$A$11:$A$1309,0)),INDEX('SKU明细'!$D$11:$D$1309,MATCH("B06b-BKP-42",'SKU明细'!$A$11:$A$1309,0))))</x:f>
        <x:v>22</x:v>
      </x:c>
      <x:c r="T150" s="38" t="n">
        <x:f>IF(COUNTIFS($A$9:$A$191,A150,$U$9:$U$191,"&lt;&gt;待核")=0,"待核",SUMIF($A$9:$A$191,A150,$S$9:$S$191))</x:f>
        <x:v>132</x:v>
      </x:c>
      <x:c r="U150" s="37" t="str">
        <x:f>IF(COUNT(INDEX('SKU明细'!$D$11:$D$1309,MATCH("B06b-BKP-37",'SKU明细'!$A$11:$A$1309,0)),INDEX('SKU明细'!$D$11:$D$1309,MATCH("B06b-BKP-37.5",'SKU明细'!$A$11:$A$1309,0)),INDEX('SKU明细'!$D$11:$D$1309,MATCH("B06b-BKP-38",'SKU明细'!$A$11:$A$1309,0)),INDEX('SKU明细'!$D$11:$D$1309,MATCH("B06b-BKP-38.5",'SKU明细'!$A$11:$A$1309,0)),INDEX('SKU明细'!$D$11:$D$1309,MATCH("B06b-BKP-39",'SKU明细'!$A$11:$A$1309,0)),INDEX('SKU明细'!$D$11:$D$1309,MATCH("B06b-BKP-39.5",'SKU明细'!$A$11:$A$1309,0)),INDEX('SKU明细'!$D$11:$D$1309,MATCH("B06b-BKP-40",'SKU明细'!$A$11:$A$1309,0)),INDEX('SKU明细'!$D$11:$D$1309,MATCH("B06b-BKP-40.5",'SKU明细'!$A$11:$A$1309,0)),INDEX('SKU明细'!$D$11:$D$1309,MATCH("B06b-BKP-41",'SKU明细'!$A$11:$A$1309,0)),INDEX('SKU明细'!$D$11:$D$1309,MATCH("B06b-BKP-41.5",'SKU明细'!$A$11:$A$1309,0)),INDEX('SKU明细'!$D$11:$D$1309,MATCH("B06b-BKP-42",'SKU明细'!$A$11:$A$1309,0)))=0,"待核",IF(COUNT(INDEX('SKU明细'!$D$11:$D$1309,MATCH("B06b-BKP-37",'SKU明细'!$A$11:$A$1309,0)),INDEX('SKU明细'!$D$11:$D$1309,MATCH("B06b-BKP-37.5",'SKU明细'!$A$11:$A$1309,0)),INDEX('SKU明细'!$D$11:$D$1309,MATCH("B06b-BKP-38",'SKU明细'!$A$11:$A$1309,0)),INDEX('SKU明细'!$D$11:$D$1309,MATCH("B06b-BKP-38.5",'SKU明细'!$A$11:$A$1309,0)),INDEX('SKU明细'!$D$11:$D$1309,MATCH("B06b-BKP-39",'SKU明细'!$A$11:$A$1309,0)),INDEX('SKU明细'!$D$11:$D$1309,MATCH("B06b-BKP-39.5",'SKU明细'!$A$11:$A$1309,0)),INDEX('SKU明细'!$D$11:$D$1309,MATCH("B06b-BKP-40",'SKU明细'!$A$11:$A$1309,0)),INDEX('SKU明细'!$D$11:$D$1309,MATCH("B06b-BKP-40.5",'SKU明细'!$A$11:$A$1309,0)),INDEX('SKU明细'!$D$11:$D$1309,MATCH("B06b-BKP-41",'SKU明细'!$A$11:$A$1309,0)),INDEX('SKU明细'!$D$11:$D$1309,MATCH("B06b-BKP-41.5",'SKU明细'!$A$11:$A$1309,0)),INDEX('SKU明细'!$D$11:$D$1309,MATCH("B06b-BKP-42",'SKU明细'!$A$11:$A$1309,0)))&lt;11,"另有待核","已核"))</x:f>
        <x:v>另有待核</x:v>
      </x:c>
      <x:c r="V150" s="37" t="str">
        <x:v>停售、在售</x:v>
      </x:c>
      <x:c r="W150" s="11" t="n">
        <x:f>IF(COUNT(INDEX('SKU明细'!$BV$11:$BV$1309,MATCH("B06b-BKP-37",'SKU明细'!$A$11:$A$1309,0)),INDEX('SKU明细'!$BV$11:$BV$1309,MATCH("B06b-BKP-37.5",'SKU明细'!$A$11:$A$1309,0)),INDEX('SKU明细'!$BV$11:$BV$1309,MATCH("B06b-BKP-38",'SKU明细'!$A$11:$A$1309,0)),INDEX('SKU明细'!$BV$11:$BV$1309,MATCH("B06b-BKP-38.5",'SKU明细'!$A$11:$A$1309,0)),INDEX('SKU明细'!$BV$11:$BV$1309,MATCH("B06b-BKP-39",'SKU明细'!$A$11:$A$1309,0)),INDEX('SKU明细'!$BV$11:$BV$1309,MATCH("B06b-BKP-39.5",'SKU明细'!$A$11:$A$1309,0)),INDEX('SKU明细'!$BV$11:$BV$1309,MATCH("B06b-BKP-40",'SKU明细'!$A$11:$A$1309,0)),INDEX('SKU明细'!$BV$11:$BV$1309,MATCH("B06b-BKP-40.5",'SKU明细'!$A$11:$A$1309,0)),INDEX('SKU明细'!$BV$11:$BV$1309,MATCH("B06b-BKP-41",'SKU明细'!$A$11:$A$1309,0)),INDEX('SKU明细'!$BV$11:$BV$1309,MATCH("B06b-BKP-41.5",'SKU明细'!$A$11:$A$1309,0)),INDEX('SKU明细'!$BV$11:$BV$1309,MATCH("B06b-BKP-42",'SKU明细'!$A$11:$A$1309,0)))=11,SUM(INDEX('SKU明细'!$BV$11:$BV$1309,MATCH("B06b-BKP-37",'SKU明细'!$A$11:$A$1309,0)),INDEX('SKU明细'!$BV$11:$BV$1309,MATCH("B06b-BKP-37.5",'SKU明细'!$A$11:$A$1309,0)),INDEX('SKU明细'!$BV$11:$BV$1309,MATCH("B06b-BKP-38",'SKU明细'!$A$11:$A$1309,0)),INDEX('SKU明细'!$BV$11:$BV$1309,MATCH("B06b-BKP-38.5",'SKU明细'!$A$11:$A$1309,0)),INDEX('SKU明细'!$BV$11:$BV$1309,MATCH("B06b-BKP-39",'SKU明细'!$A$11:$A$1309,0)),INDEX('SKU明细'!$BV$11:$BV$1309,MATCH("B06b-BKP-39.5",'SKU明细'!$A$11:$A$1309,0)),INDEX('SKU明细'!$BV$11:$BV$1309,MATCH("B06b-BKP-40",'SKU明细'!$A$11:$A$1309,0)),INDEX('SKU明细'!$BV$11:$BV$1309,MATCH("B06b-BKP-40.5",'SKU明细'!$A$11:$A$1309,0)),INDEX('SKU明细'!$BV$11:$BV$1309,MATCH("B06b-BKP-41",'SKU明细'!$A$11:$A$1309,0)),INDEX('SKU明细'!$BV$11:$BV$1309,MATCH("B06b-BKP-41.5",'SKU明细'!$A$11:$A$1309,0)),INDEX('SKU明细'!$BV$11:$BV$1309,MATCH("B06b-BKP-42",'SKU明细'!$A$11:$A$1309,0))),"待核")</x:f>
        <x:v>2.1968390725299884</x:v>
      </x:c>
      <x:c r="X150" s="11" t="n">
        <x:f>INDEX('SKU明细'!$BW$11:$BW$1309,MATCH("B06b-BKP-37",'SKU明细'!$A$11:$A$1309,0))</x:f>
        <x:v>1.1090677182221615</x:v>
      </x:c>
      <x:c r="Y150" s="13" t="n">
        <x:f>IF(COUNT(INDEX('SKU明细'!$BY$11:$BY$1309,MATCH("B06b-BKP-37",'SKU明细'!$A$11:$A$1309,0)),INDEX('SKU明细'!$BY$11:$BY$1309,MATCH("B06b-BKP-37.5",'SKU明细'!$A$11:$A$1309,0)),INDEX('SKU明细'!$BY$11:$BY$1309,MATCH("B06b-BKP-38",'SKU明细'!$A$11:$A$1309,0)),INDEX('SKU明细'!$BY$11:$BY$1309,MATCH("B06b-BKP-38.5",'SKU明细'!$A$11:$A$1309,0)),INDEX('SKU明细'!$BY$11:$BY$1309,MATCH("B06b-BKP-39",'SKU明细'!$A$11:$A$1309,0)),INDEX('SKU明细'!$BY$11:$BY$1309,MATCH("B06b-BKP-39.5",'SKU明细'!$A$11:$A$1309,0)),INDEX('SKU明细'!$BY$11:$BY$1309,MATCH("B06b-BKP-40",'SKU明细'!$A$11:$A$1309,0)),INDEX('SKU明细'!$BY$11:$BY$1309,MATCH("B06b-BKP-40.5",'SKU明细'!$A$11:$A$1309,0)),INDEX('SKU明细'!$BY$11:$BY$1309,MATCH("B06b-BKP-41",'SKU明细'!$A$11:$A$1309,0)),INDEX('SKU明细'!$BY$11:$BY$1309,MATCH("B06b-BKP-41.5",'SKU明细'!$A$11:$A$1309,0)),INDEX('SKU明细'!$BY$11:$BY$1309,MATCH("B06b-BKP-42",'SKU明细'!$A$11:$A$1309,0)))=11,SUM(INDEX('SKU明细'!$BY$11:$BY$1309,MATCH("B06b-BKP-37",'SKU明细'!$A$11:$A$1309,0)),INDEX('SKU明细'!$BY$11:$BY$1309,MATCH("B06b-BKP-37.5",'SKU明细'!$A$11:$A$1309,0)),INDEX('SKU明细'!$BY$11:$BY$1309,MATCH("B06b-BKP-38",'SKU明细'!$A$11:$A$1309,0)),INDEX('SKU明细'!$BY$11:$BY$1309,MATCH("B06b-BKP-38.5",'SKU明细'!$A$11:$A$1309,0)),INDEX('SKU明细'!$BY$11:$BY$1309,MATCH("B06b-BKP-39",'SKU明细'!$A$11:$A$1309,0)),INDEX('SKU明细'!$BY$11:$BY$1309,MATCH("B06b-BKP-39.5",'SKU明细'!$A$11:$A$1309,0)),INDEX('SKU明细'!$BY$11:$BY$1309,MATCH("B06b-BKP-40",'SKU明细'!$A$11:$A$1309,0)),INDEX('SKU明细'!$BY$11:$BY$1309,MATCH("B06b-BKP-40.5",'SKU明细'!$A$11:$A$1309,0)),INDEX('SKU明细'!$BY$11:$BY$1309,MATCH("B06b-BKP-41",'SKU明细'!$A$11:$A$1309,0)),INDEX('SKU明细'!$BY$11:$BY$1309,MATCH("B06b-BKP-41.5",'SKU明细'!$A$11:$A$1309,0)),INDEX('SKU明细'!$BY$11:$BY$1309,MATCH("B06b-BKP-42",'SKU明细'!$A$11:$A$1309,0))),"待核")</x:f>
        <x:v>29.237319569665488</x:v>
      </x:c>
      <x:c r="Z150" s="11" t="n">
        <x:f>INDEX('SKU明细'!$BZ$11:$BZ$1309,MATCH("B06b-BKP-37",'SKU明细'!$A$11:$A$1309,0))</x:f>
        <x:v>1.0372741535934282</x:v>
      </x:c>
      <x:c r="AA150" s="13" t="n">
        <x:f>IF(COUNT(INDEX('SKU明细'!$CB$11:$CB$1309,MATCH("B06b-BKP-37",'SKU明细'!$A$11:$A$1309,0)),INDEX('SKU明细'!$CB$11:$CB$1309,MATCH("B06b-BKP-37.5",'SKU明细'!$A$11:$A$1309,0)),INDEX('SKU明细'!$CB$11:$CB$1309,MATCH("B06b-BKP-38",'SKU明细'!$A$11:$A$1309,0)),INDEX('SKU明细'!$CB$11:$CB$1309,MATCH("B06b-BKP-38.5",'SKU明细'!$A$11:$A$1309,0)),INDEX('SKU明细'!$CB$11:$CB$1309,MATCH("B06b-BKP-39",'SKU明细'!$A$11:$A$1309,0)),INDEX('SKU明细'!$CB$11:$CB$1309,MATCH("B06b-BKP-39.5",'SKU明细'!$A$11:$A$1309,0)),INDEX('SKU明细'!$CB$11:$CB$1309,MATCH("B06b-BKP-40",'SKU明细'!$A$11:$A$1309,0)),INDEX('SKU明细'!$CB$11:$CB$1309,MATCH("B06b-BKP-40.5",'SKU明细'!$A$11:$A$1309,0)),INDEX('SKU明细'!$CB$11:$CB$1309,MATCH("B06b-BKP-41",'SKU明细'!$A$11:$A$1309,0)),INDEX('SKU明细'!$CB$11:$CB$1309,MATCH("B06b-BKP-41.5",'SKU明细'!$A$11:$A$1309,0)),INDEX('SKU明细'!$CB$11:$CB$1309,MATCH("B06b-BKP-42",'SKU明细'!$A$11:$A$1309,0)))=11,SUM(INDEX('SKU明细'!$CB$11:$CB$1309,MATCH("B06b-BKP-37",'SKU明细'!$A$11:$A$1309,0)),INDEX('SKU明细'!$CB$11:$CB$1309,MATCH("B06b-BKP-37.5",'SKU明细'!$A$11:$A$1309,0)),INDEX('SKU明细'!$CB$11:$CB$1309,MATCH("B06b-BKP-38",'SKU明细'!$A$11:$A$1309,0)),INDEX('SKU明细'!$CB$11:$CB$1309,MATCH("B06b-BKP-38.5",'SKU明细'!$A$11:$A$1309,0)),INDEX('SKU明细'!$CB$11:$CB$1309,MATCH("B06b-BKP-39",'SKU明细'!$A$11:$A$1309,0)),INDEX('SKU明细'!$CB$11:$CB$1309,MATCH("B06b-BKP-39.5",'SKU明细'!$A$11:$A$1309,0)),INDEX('SKU明细'!$CB$11:$CB$1309,MATCH("B06b-BKP-40",'SKU明细'!$A$11:$A$1309,0)),INDEX('SKU明细'!$CB$11:$CB$1309,MATCH("B06b-BKP-40.5",'SKU明细'!$A$11:$A$1309,0)),INDEX('SKU明细'!$CB$11:$CB$1309,MATCH("B06b-BKP-41",'SKU明细'!$A$11:$A$1309,0)),INDEX('SKU明细'!$CB$11:$CB$1309,MATCH("B06b-BKP-41.5",'SKU明细'!$A$11:$A$1309,0)),INDEX('SKU明细'!$CB$11:$CB$1309,MATCH("B06b-BKP-42",'SKU明细'!$A$11:$A$1309,0))),"待核")</x:f>
        <x:v>68.36173168618548</x:v>
      </x:c>
      <x:c r="AB150" s="11" t="n">
        <x:f>INDEX('SKU明细'!$CC$11:$CC$1309,MATCH("B06b-BKP-37",'SKU明细'!$A$11:$A$1309,0))</x:f>
        <x:v>0.979949351738161</x:v>
      </x:c>
      <x:c r="AC150" s="13" t="n">
        <x:f>IF(COUNT(INDEX('SKU明细'!$CE$11:$CE$1309,MATCH("B06b-BKP-37",'SKU明细'!$A$11:$A$1309,0)),INDEX('SKU明细'!$CE$11:$CE$1309,MATCH("B06b-BKP-37.5",'SKU明细'!$A$11:$A$1309,0)),INDEX('SKU明细'!$CE$11:$CE$1309,MATCH("B06b-BKP-38",'SKU明细'!$A$11:$A$1309,0)),INDEX('SKU明细'!$CE$11:$CE$1309,MATCH("B06b-BKP-38.5",'SKU明细'!$A$11:$A$1309,0)),INDEX('SKU明细'!$CE$11:$CE$1309,MATCH("B06b-BKP-39",'SKU明细'!$A$11:$A$1309,0)),INDEX('SKU明细'!$CE$11:$CE$1309,MATCH("B06b-BKP-39.5",'SKU明细'!$A$11:$A$1309,0)),INDEX('SKU明细'!$CE$11:$CE$1309,MATCH("B06b-BKP-40",'SKU明细'!$A$11:$A$1309,0)),INDEX('SKU明细'!$CE$11:$CE$1309,MATCH("B06b-BKP-40.5",'SKU明细'!$A$11:$A$1309,0)),INDEX('SKU明细'!$CE$11:$CE$1309,MATCH("B06b-BKP-41",'SKU明细'!$A$11:$A$1309,0)),INDEX('SKU明细'!$CE$11:$CE$1309,MATCH("B06b-BKP-41.5",'SKU明细'!$A$11:$A$1309,0)),INDEX('SKU明细'!$CE$11:$CE$1309,MATCH("B06b-BKP-42",'SKU明细'!$A$11:$A$1309,0)))=11,SUM(INDEX('SKU明细'!$CE$11:$CE$1309,MATCH("B06b-BKP-37",'SKU明细'!$A$11:$A$1309,0)),INDEX('SKU明细'!$CE$11:$CE$1309,MATCH("B06b-BKP-37.5",'SKU明细'!$A$11:$A$1309,0)),INDEX('SKU明细'!$CE$11:$CE$1309,MATCH("B06b-BKP-38",'SKU明细'!$A$11:$A$1309,0)),INDEX('SKU明细'!$CE$11:$CE$1309,MATCH("B06b-BKP-38.5",'SKU明细'!$A$11:$A$1309,0)),INDEX('SKU明细'!$CE$11:$CE$1309,MATCH("B06b-BKP-39",'SKU明细'!$A$11:$A$1309,0)),INDEX('SKU明细'!$CE$11:$CE$1309,MATCH("B06b-BKP-39.5",'SKU明细'!$A$11:$A$1309,0)),INDEX('SKU明细'!$CE$11:$CE$1309,MATCH("B06b-BKP-40",'SKU明细'!$A$11:$A$1309,0)),INDEX('SKU明细'!$CE$11:$CE$1309,MATCH("B06b-BKP-40.5",'SKU明细'!$A$11:$A$1309,0)),INDEX('SKU明细'!$CE$11:$CE$1309,MATCH("B06b-BKP-41",'SKU明细'!$A$11:$A$1309,0)),INDEX('SKU明细'!$CE$11:$CE$1309,MATCH("B06b-BKP-41.5",'SKU明细'!$A$11:$A$1309,0)),INDEX('SKU明细'!$CE$11:$CE$1309,MATCH("B06b-BKP-42",'SKU明细'!$A$11:$A$1309,0))),"待核")</x:f>
        <x:v>66.73652177496358</x:v>
      </x:c>
      <x:c r="AD150" s="11" t="n">
        <x:f>INDEX('SKU明细'!$CF$11:$CF$1309,MATCH("B06b-BKP-37",'SKU明细'!$A$11:$A$1309,0))</x:f>
        <x:v>1.1571949690048173</x:v>
      </x:c>
      <x:c r="AE150" s="13" t="n">
        <x:f>IF(COUNT(INDEX('SKU明细'!$CH$11:$CH$1309,MATCH("B06b-BKP-37",'SKU明细'!$A$11:$A$1309,0)),INDEX('SKU明细'!$CH$11:$CH$1309,MATCH("B06b-BKP-37.5",'SKU明细'!$A$11:$A$1309,0)),INDEX('SKU明细'!$CH$11:$CH$1309,MATCH("B06b-BKP-38",'SKU明细'!$A$11:$A$1309,0)),INDEX('SKU明细'!$CH$11:$CH$1309,MATCH("B06b-BKP-38.5",'SKU明细'!$A$11:$A$1309,0)),INDEX('SKU明细'!$CH$11:$CH$1309,MATCH("B06b-BKP-39",'SKU明细'!$A$11:$A$1309,0)),INDEX('SKU明细'!$CH$11:$CH$1309,MATCH("B06b-BKP-39.5",'SKU明细'!$A$11:$A$1309,0)),INDEX('SKU明细'!$CH$11:$CH$1309,MATCH("B06b-BKP-40",'SKU明细'!$A$11:$A$1309,0)),INDEX('SKU明细'!$CH$11:$CH$1309,MATCH("B06b-BKP-40.5",'SKU明细'!$A$11:$A$1309,0)),INDEX('SKU明细'!$CH$11:$CH$1309,MATCH("B06b-BKP-41",'SKU明细'!$A$11:$A$1309,0)),INDEX('SKU明细'!$CH$11:$CH$1309,MATCH("B06b-BKP-41.5",'SKU明细'!$A$11:$A$1309,0)),INDEX('SKU明细'!$CH$11:$CH$1309,MATCH("B06b-BKP-42",'SKU明细'!$A$11:$A$1309,0)))=11,SUM(INDEX('SKU明细'!$CH$11:$CH$1309,MATCH("B06b-BKP-37",'SKU明细'!$A$11:$A$1309,0)),INDEX('SKU明细'!$CH$11:$CH$1309,MATCH("B06b-BKP-37.5",'SKU明细'!$A$11:$A$1309,0)),INDEX('SKU明细'!$CH$11:$CH$1309,MATCH("B06b-BKP-38",'SKU明细'!$A$11:$A$1309,0)),INDEX('SKU明细'!$CH$11:$CH$1309,MATCH("B06b-BKP-38.5",'SKU明细'!$A$11:$A$1309,0)),INDEX('SKU明细'!$CH$11:$CH$1309,MATCH("B06b-BKP-39",'SKU明细'!$A$11:$A$1309,0)),INDEX('SKU明细'!$CH$11:$CH$1309,MATCH("B06b-BKP-39.5",'SKU明细'!$A$11:$A$1309,0)),INDEX('SKU明细'!$CH$11:$CH$1309,MATCH("B06b-BKP-40",'SKU明细'!$A$11:$A$1309,0)),INDEX('SKU明细'!$CH$11:$CH$1309,MATCH("B06b-BKP-40.5",'SKU明细'!$A$11:$A$1309,0)),INDEX('SKU明细'!$CH$11:$CH$1309,MATCH("B06b-BKP-41",'SKU明细'!$A$11:$A$1309,0)),INDEX('SKU明细'!$CH$11:$CH$1309,MATCH("B06b-BKP-41.5",'SKU明细'!$A$11:$A$1309,0)),INDEX('SKU明细'!$CH$11:$CH$1309,MATCH("B06b-BKP-42",'SKU明细'!$A$11:$A$1309,0))),"待核")</x:f>
        <x:v>43.21690908156349</x:v>
      </x:c>
      <x:c r="AF150" s="13" t="n">
        <x:f>IF(COUNT(INDEX('SKU明细'!$CI$11:$CI$1309,MATCH("B06b-BKP-37",'SKU明细'!$A$11:$A$1309,0)),INDEX('SKU明细'!$CI$11:$CI$1309,MATCH("B06b-BKP-37.5",'SKU明细'!$A$11:$A$1309,0)),INDEX('SKU明细'!$CI$11:$CI$1309,MATCH("B06b-BKP-38",'SKU明细'!$A$11:$A$1309,0)),INDEX('SKU明细'!$CI$11:$CI$1309,MATCH("B06b-BKP-38.5",'SKU明细'!$A$11:$A$1309,0)),INDEX('SKU明细'!$CI$11:$CI$1309,MATCH("B06b-BKP-39",'SKU明细'!$A$11:$A$1309,0)),INDEX('SKU明细'!$CI$11:$CI$1309,MATCH("B06b-BKP-39.5",'SKU明细'!$A$11:$A$1309,0)),INDEX('SKU明细'!$CI$11:$CI$1309,MATCH("B06b-BKP-40",'SKU明细'!$A$11:$A$1309,0)),INDEX('SKU明细'!$CI$11:$CI$1309,MATCH("B06b-BKP-40.5",'SKU明细'!$A$11:$A$1309,0)),INDEX('SKU明细'!$CI$11:$CI$1309,MATCH("B06b-BKP-41",'SKU明细'!$A$11:$A$1309,0)),INDEX('SKU明细'!$CI$11:$CI$1309,MATCH("B06b-BKP-41.5",'SKU明细'!$A$11:$A$1309,0)),INDEX('SKU明细'!$CI$11:$CI$1309,MATCH("B06b-BKP-42",'SKU明细'!$A$11:$A$1309,0)))=11,SUM(INDEX('SKU明细'!$CI$11:$CI$1309,MATCH("B06b-BKP-37",'SKU明细'!$A$11:$A$1309,0)),INDEX('SKU明细'!$CI$11:$CI$1309,MATCH("B06b-BKP-37.5",'SKU明细'!$A$11:$A$1309,0)),INDEX('SKU明细'!$CI$11:$CI$1309,MATCH("B06b-BKP-38",'SKU明细'!$A$11:$A$1309,0)),INDEX('SKU明细'!$CI$11:$CI$1309,MATCH("B06b-BKP-38.5",'SKU明细'!$A$11:$A$1309,0)),INDEX('SKU明细'!$CI$11:$CI$1309,MATCH("B06b-BKP-39",'SKU明细'!$A$11:$A$1309,0)),INDEX('SKU明细'!$CI$11:$CI$1309,MATCH("B06b-BKP-39.5",'SKU明细'!$A$11:$A$1309,0)),INDEX('SKU明细'!$CI$11:$CI$1309,MATCH("B06b-BKP-40",'SKU明细'!$A$11:$A$1309,0)),INDEX('SKU明细'!$CI$11:$CI$1309,MATCH("B06b-BKP-40.5",'SKU明细'!$A$11:$A$1309,0)),INDEX('SKU明细'!$CI$11:$CI$1309,MATCH("B06b-BKP-41",'SKU明细'!$A$11:$A$1309,0)),INDEX('SKU明细'!$CI$11:$CI$1309,MATCH("B06b-BKP-41.5",'SKU明细'!$A$11:$A$1309,0)),INDEX('SKU明细'!$CI$11:$CI$1309,MATCH("B06b-BKP-42",'SKU明细'!$A$11:$A$1309,0))),"待核")</x:f>
        <x:v>207.55248211237804</x:v>
      </x:c>
    </x:row>
    <x:row r="151" ht="40" customHeight="1">
      <x:c r="A151" s="37" t="str">
        <x:v>B06b</x:v>
      </x:c>
      <x:c r="B151" s="37" t="str">
        <x:v>艾年</x:v>
      </x:c>
      <x:c r="C151" s="37" t="str">
        <x:v>咖色PU</x:v>
      </x:c>
      <x:c r="D151" s="37" t="str">
        <x:v>CCP0</x:v>
      </x:c>
      <x:c r="E151" s="37" t="str">
        <x:v>B06b-CCP0</x:v>
      </x:c>
      <x:c r="F151" s="37"/>
      <x:c r="G151" s="38" t="str">
        <x:f>"—"</x:f>
        <x:v>—</x:v>
      </x:c>
      <x:c r="H151" s="38" t="str">
        <x:f>"—"</x:f>
        <x:v>—</x:v>
      </x:c>
      <x:c r="I151" s="38" t="n">
        <x:f>IF(COUNT(INDEX('SKU明细'!$D$11:$D$1309,MATCH("B06b-CCP0-6.5",'SKU明细'!$A$11:$A$1309,0)))=0,"待核",IF(COUNT(INDEX('SKU明细'!$D$11:$D$1309,MATCH("B06b-CCP0-6.5",'SKU明细'!$A$11:$A$1309,0)))&lt;1,SUM(INDEX('SKU明细'!$D$11:$D$1309,MATCH("B06b-CCP0-6.5",'SKU明细'!$A$11:$A$1309,0)))&amp;" + 待核",SUM(INDEX('SKU明细'!$D$11:$D$1309,MATCH("B06b-CCP0-6.5",'SKU明细'!$A$11:$A$1309,0)))))</x:f>
        <x:v>0</x:v>
      </x:c>
      <x:c r="J151" s="38" t="n">
        <x:f>IF(COUNT(INDEX('SKU明细'!$D$11:$D$1309,MATCH("B06b-CCP0-7",'SKU明细'!$A$11:$A$1309,0)))=0,"待核",IF(COUNT(INDEX('SKU明细'!$D$11:$D$1309,MATCH("B06b-CCP0-7",'SKU明细'!$A$11:$A$1309,0)))&lt;1,SUM(INDEX('SKU明细'!$D$11:$D$1309,MATCH("B06b-CCP0-7",'SKU明细'!$A$11:$A$1309,0)))&amp;" + 待核",SUM(INDEX('SKU明细'!$D$11:$D$1309,MATCH("B06b-CCP0-7",'SKU明细'!$A$11:$A$1309,0)))))</x:f>
        <x:v>0</x:v>
      </x:c>
      <x:c r="K151" s="38" t="n">
        <x:f>IF(COUNT(INDEX('SKU明细'!$D$11:$D$1309,MATCH("B06b-CCP0-7.5",'SKU明细'!$A$11:$A$1309,0)))=0,"待核",IF(COUNT(INDEX('SKU明细'!$D$11:$D$1309,MATCH("B06b-CCP0-7.5",'SKU明细'!$A$11:$A$1309,0)))&lt;1,SUM(INDEX('SKU明细'!$D$11:$D$1309,MATCH("B06b-CCP0-7.5",'SKU明细'!$A$11:$A$1309,0)))&amp;" + 待核",SUM(INDEX('SKU明细'!$D$11:$D$1309,MATCH("B06b-CCP0-7.5",'SKU明细'!$A$11:$A$1309,0)))))</x:f>
        <x:v>0</x:v>
      </x:c>
      <x:c r="L151" s="38" t="n">
        <x:f>IF(COUNT(INDEX('SKU明细'!$D$11:$D$1309,MATCH("B06b-CCP0-8",'SKU明细'!$A$11:$A$1309,0)))=0,"待核",IF(COUNT(INDEX('SKU明细'!$D$11:$D$1309,MATCH("B06b-CCP0-8",'SKU明细'!$A$11:$A$1309,0)))&lt;1,SUM(INDEX('SKU明细'!$D$11:$D$1309,MATCH("B06b-CCP0-8",'SKU明细'!$A$11:$A$1309,0)))&amp;" + 待核",SUM(INDEX('SKU明细'!$D$11:$D$1309,MATCH("B06b-CCP0-8",'SKU明细'!$A$11:$A$1309,0)))))</x:f>
        <x:v>0</x:v>
      </x:c>
      <x:c r="M151" s="38" t="str">
        <x:f>"—"</x:f>
        <x:v>—</x:v>
      </x:c>
      <x:c r="N151" s="38" t="n">
        <x:f>IF(COUNT(INDEX('SKU明细'!$D$11:$D$1309,MATCH("B06b-CCP0-9",'SKU明细'!$A$11:$A$1309,0)))=0,"待核",IF(COUNT(INDEX('SKU明细'!$D$11:$D$1309,MATCH("B06b-CCP0-9",'SKU明细'!$A$11:$A$1309,0)))&lt;1,SUM(INDEX('SKU明细'!$D$11:$D$1309,MATCH("B06b-CCP0-9",'SKU明细'!$A$11:$A$1309,0)))&amp;" + 待核",SUM(INDEX('SKU明细'!$D$11:$D$1309,MATCH("B06b-CCP0-9",'SKU明细'!$A$11:$A$1309,0)))))</x:f>
        <x:v>0</x:v>
      </x:c>
      <x:c r="O151" s="38" t="str">
        <x:f>"—"</x:f>
        <x:v>—</x:v>
      </x:c>
      <x:c r="P151" s="38" t="n">
        <x:f>IF(COUNT(INDEX('SKU明细'!$D$11:$D$1309,MATCH("B06b-CCP0-10",'SKU明细'!$A$11:$A$1309,0)))=0,"待核",IF(COUNT(INDEX('SKU明细'!$D$11:$D$1309,MATCH("B06b-CCP0-10",'SKU明细'!$A$11:$A$1309,0)))&lt;1,SUM(INDEX('SKU明细'!$D$11:$D$1309,MATCH("B06b-CCP0-10",'SKU明细'!$A$11:$A$1309,0)))&amp;" + 待核",SUM(INDEX('SKU明细'!$D$11:$D$1309,MATCH("B06b-CCP0-10",'SKU明细'!$A$11:$A$1309,0)))))</x:f>
        <x:v>0</x:v>
      </x:c>
      <x:c r="Q151" s="38" t="str">
        <x:f>IF(COUNT(INDEX('SKU明细'!$D$11:$D$1309,MATCH("B06b-CCP0-10.5",'SKU明细'!$A$11:$A$1309,0)))=0,"待核",IF(COUNT(INDEX('SKU明细'!$D$11:$D$1309,MATCH("B06b-CCP0-10.5",'SKU明细'!$A$11:$A$1309,0)))&lt;1,SUM(INDEX('SKU明细'!$D$11:$D$1309,MATCH("B06b-CCP0-10.5",'SKU明细'!$A$11:$A$1309,0)))&amp;" + 待核",SUM(INDEX('SKU明细'!$D$11:$D$1309,MATCH("B06b-CCP0-10.5",'SKU明细'!$A$11:$A$1309,0)))))</x:f>
        <x:v>待核</x:v>
      </x:c>
      <x:c r="R151" s="38" t="n">
        <x:f>IF(COUNT(INDEX('SKU明细'!$D$11:$D$1309,MATCH("B06b-CCP0-11",'SKU明细'!$A$11:$A$1309,0)))=0,"待核",IF(COUNT(INDEX('SKU明细'!$D$11:$D$1309,MATCH("B06b-CCP0-11",'SKU明细'!$A$11:$A$1309,0)))&lt;1,SUM(INDEX('SKU明细'!$D$11:$D$1309,MATCH("B06b-CCP0-11",'SKU明细'!$A$11:$A$1309,0)))&amp;" + 待核",SUM(INDEX('SKU明细'!$D$11:$D$1309,MATCH("B06b-CCP0-11",'SKU明细'!$A$11:$A$1309,0)))))</x:f>
        <x:v>0</x:v>
      </x:c>
      <x:c r="S151" s="38" t="n">
        <x:f>IF(COUNT(INDEX('SKU明细'!$D$11:$D$1309,MATCH("B06b-CCP0-6.5",'SKU明细'!$A$11:$A$1309,0)),INDEX('SKU明细'!$D$11:$D$1309,MATCH("B06b-CCP0-7",'SKU明细'!$A$11:$A$1309,0)),INDEX('SKU明细'!$D$11:$D$1309,MATCH("B06b-CCP0-7.5",'SKU明细'!$A$11:$A$1309,0)),INDEX('SKU明细'!$D$11:$D$1309,MATCH("B06b-CCP0-8",'SKU明细'!$A$11:$A$1309,0)),INDEX('SKU明细'!$D$11:$D$1309,MATCH("B06b-CCP0-9",'SKU明细'!$A$11:$A$1309,0)),INDEX('SKU明细'!$D$11:$D$1309,MATCH("B06b-CCP0-10",'SKU明细'!$A$11:$A$1309,0)),INDEX('SKU明细'!$D$11:$D$1309,MATCH("B06b-CCP0-10.5",'SKU明细'!$A$11:$A$1309,0)),INDEX('SKU明细'!$D$11:$D$1309,MATCH("B06b-CCP0-11",'SKU明细'!$A$11:$A$1309,0)))=0,"待核",SUM(INDEX('SKU明细'!$D$11:$D$1309,MATCH("B06b-CCP0-6.5",'SKU明细'!$A$11:$A$1309,0)),INDEX('SKU明细'!$D$11:$D$1309,MATCH("B06b-CCP0-7",'SKU明细'!$A$11:$A$1309,0)),INDEX('SKU明细'!$D$11:$D$1309,MATCH("B06b-CCP0-7.5",'SKU明细'!$A$11:$A$1309,0)),INDEX('SKU明细'!$D$11:$D$1309,MATCH("B06b-CCP0-8",'SKU明细'!$A$11:$A$1309,0)),INDEX('SKU明细'!$D$11:$D$1309,MATCH("B06b-CCP0-9",'SKU明细'!$A$11:$A$1309,0)),INDEX('SKU明细'!$D$11:$D$1309,MATCH("B06b-CCP0-10",'SKU明细'!$A$11:$A$1309,0)),INDEX('SKU明细'!$D$11:$D$1309,MATCH("B06b-CCP0-10.5",'SKU明细'!$A$11:$A$1309,0)),INDEX('SKU明细'!$D$11:$D$1309,MATCH("B06b-CCP0-11",'SKU明细'!$A$11:$A$1309,0))))</x:f>
        <x:v>0</x:v>
      </x:c>
      <x:c r="T151" s="38" t="n">
        <x:f>IF(COUNTIFS($A$9:$A$191,A151,$U$9:$U$191,"&lt;&gt;待核")=0,"待核",SUMIF($A$9:$A$191,A151,$S$9:$S$191))</x:f>
        <x:v>132</x:v>
      </x:c>
      <x:c r="U151" s="37" t="str">
        <x:f>IF(COUNT(INDEX('SKU明细'!$D$11:$D$1309,MATCH("B06b-CCP0-6.5",'SKU明细'!$A$11:$A$1309,0)),INDEX('SKU明细'!$D$11:$D$1309,MATCH("B06b-CCP0-7",'SKU明细'!$A$11:$A$1309,0)),INDEX('SKU明细'!$D$11:$D$1309,MATCH("B06b-CCP0-7.5",'SKU明细'!$A$11:$A$1309,0)),INDEX('SKU明细'!$D$11:$D$1309,MATCH("B06b-CCP0-8",'SKU明细'!$A$11:$A$1309,0)),INDEX('SKU明细'!$D$11:$D$1309,MATCH("B06b-CCP0-9",'SKU明细'!$A$11:$A$1309,0)),INDEX('SKU明细'!$D$11:$D$1309,MATCH("B06b-CCP0-10",'SKU明细'!$A$11:$A$1309,0)),INDEX('SKU明细'!$D$11:$D$1309,MATCH("B06b-CCP0-10.5",'SKU明细'!$A$11:$A$1309,0)),INDEX('SKU明细'!$D$11:$D$1309,MATCH("B06b-CCP0-11",'SKU明细'!$A$11:$A$1309,0)))=0,"待核",IF(COUNT(INDEX('SKU明细'!$D$11:$D$1309,MATCH("B06b-CCP0-6.5",'SKU明细'!$A$11:$A$1309,0)),INDEX('SKU明细'!$D$11:$D$1309,MATCH("B06b-CCP0-7",'SKU明细'!$A$11:$A$1309,0)),INDEX('SKU明细'!$D$11:$D$1309,MATCH("B06b-CCP0-7.5",'SKU明细'!$A$11:$A$1309,0)),INDEX('SKU明细'!$D$11:$D$1309,MATCH("B06b-CCP0-8",'SKU明细'!$A$11:$A$1309,0)),INDEX('SKU明细'!$D$11:$D$1309,MATCH("B06b-CCP0-9",'SKU明细'!$A$11:$A$1309,0)),INDEX('SKU明细'!$D$11:$D$1309,MATCH("B06b-CCP0-10",'SKU明细'!$A$11:$A$1309,0)),INDEX('SKU明细'!$D$11:$D$1309,MATCH("B06b-CCP0-10.5",'SKU明细'!$A$11:$A$1309,0)),INDEX('SKU明细'!$D$11:$D$1309,MATCH("B06b-CCP0-11",'SKU明细'!$A$11:$A$1309,0)))&lt;8,"另有待核","已核"))</x:f>
        <x:v>另有待核</x:v>
      </x:c>
      <x:c r="V151" s="37" t="str">
        <x:v>在售、停售</x:v>
      </x:c>
      <x:c r="W151" s="11" t="n">
        <x:f>IF(COUNT(INDEX('SKU明细'!$BV$11:$BV$1309,MATCH("B06b-CCP0-6.5",'SKU明细'!$A$11:$A$1309,0)),INDEX('SKU明细'!$BV$11:$BV$1309,MATCH("B06b-CCP0-7",'SKU明细'!$A$11:$A$1309,0)),INDEX('SKU明细'!$BV$11:$BV$1309,MATCH("B06b-CCP0-7.5",'SKU明细'!$A$11:$A$1309,0)),INDEX('SKU明细'!$BV$11:$BV$1309,MATCH("B06b-CCP0-8",'SKU明细'!$A$11:$A$1309,0)),INDEX('SKU明细'!$BV$11:$BV$1309,MATCH("B06b-CCP0-9",'SKU明细'!$A$11:$A$1309,0)),INDEX('SKU明细'!$BV$11:$BV$1309,MATCH("B06b-CCP0-10",'SKU明细'!$A$11:$A$1309,0)),INDEX('SKU明细'!$BV$11:$BV$1309,MATCH("B06b-CCP0-10.5",'SKU明细'!$A$11:$A$1309,0)),INDEX('SKU明细'!$BV$11:$BV$1309,MATCH("B06b-CCP0-11",'SKU明细'!$A$11:$A$1309,0)))=8,SUM(INDEX('SKU明细'!$BV$11:$BV$1309,MATCH("B06b-CCP0-6.5",'SKU明细'!$A$11:$A$1309,0)),INDEX('SKU明细'!$BV$11:$BV$1309,MATCH("B06b-CCP0-7",'SKU明细'!$A$11:$A$1309,0)),INDEX('SKU明细'!$BV$11:$BV$1309,MATCH("B06b-CCP0-7.5",'SKU明细'!$A$11:$A$1309,0)),INDEX('SKU明细'!$BV$11:$BV$1309,MATCH("B06b-CCP0-8",'SKU明细'!$A$11:$A$1309,0)),INDEX('SKU明细'!$BV$11:$BV$1309,MATCH("B06b-CCP0-9",'SKU明细'!$A$11:$A$1309,0)),INDEX('SKU明细'!$BV$11:$BV$1309,MATCH("B06b-CCP0-10",'SKU明细'!$A$11:$A$1309,0)),INDEX('SKU明细'!$BV$11:$BV$1309,MATCH("B06b-CCP0-10.5",'SKU明细'!$A$11:$A$1309,0)),INDEX('SKU明细'!$BV$11:$BV$1309,MATCH("B06b-CCP0-11",'SKU明细'!$A$11:$A$1309,0))),"待核")</x:f>
        <x:v>2.1842159740642213</x:v>
      </x:c>
      <x:c r="X151" s="11" t="n">
        <x:f>INDEX('SKU明细'!$BW$11:$BW$1309,MATCH("B06b-CCP0-6.5",'SKU明细'!$A$11:$A$1309,0))</x:f>
        <x:v>1.1090677182221615</x:v>
      </x:c>
      <x:c r="Y151" s="13" t="n">
        <x:f>IF(COUNT(INDEX('SKU明细'!$BY$11:$BY$1309,MATCH("B06b-CCP0-6.5",'SKU明细'!$A$11:$A$1309,0)),INDEX('SKU明细'!$BY$11:$BY$1309,MATCH("B06b-CCP0-7",'SKU明细'!$A$11:$A$1309,0)),INDEX('SKU明细'!$BY$11:$BY$1309,MATCH("B06b-CCP0-7.5",'SKU明细'!$A$11:$A$1309,0)),INDEX('SKU明细'!$BY$11:$BY$1309,MATCH("B06b-CCP0-8",'SKU明细'!$A$11:$A$1309,0)),INDEX('SKU明细'!$BY$11:$BY$1309,MATCH("B06b-CCP0-9",'SKU明细'!$A$11:$A$1309,0)),INDEX('SKU明细'!$BY$11:$BY$1309,MATCH("B06b-CCP0-10",'SKU明细'!$A$11:$A$1309,0)),INDEX('SKU明细'!$BY$11:$BY$1309,MATCH("B06b-CCP0-10.5",'SKU明细'!$A$11:$A$1309,0)),INDEX('SKU明细'!$BY$11:$BY$1309,MATCH("B06b-CCP0-11",'SKU明细'!$A$11:$A$1309,0)))=8,SUM(INDEX('SKU明细'!$BY$11:$BY$1309,MATCH("B06b-CCP0-6.5",'SKU明细'!$A$11:$A$1309,0)),INDEX('SKU明细'!$BY$11:$BY$1309,MATCH("B06b-CCP0-7",'SKU明细'!$A$11:$A$1309,0)),INDEX('SKU明细'!$BY$11:$BY$1309,MATCH("B06b-CCP0-7.5",'SKU明细'!$A$11:$A$1309,0)),INDEX('SKU明细'!$BY$11:$BY$1309,MATCH("B06b-CCP0-8",'SKU明细'!$A$11:$A$1309,0)),INDEX('SKU明细'!$BY$11:$BY$1309,MATCH("B06b-CCP0-9",'SKU明细'!$A$11:$A$1309,0)),INDEX('SKU明细'!$BY$11:$BY$1309,MATCH("B06b-CCP0-10",'SKU明细'!$A$11:$A$1309,0)),INDEX('SKU明细'!$BY$11:$BY$1309,MATCH("B06b-CCP0-10.5",'SKU明细'!$A$11:$A$1309,0)),INDEX('SKU明细'!$BY$11:$BY$1309,MATCH("B06b-CCP0-11",'SKU明细'!$A$11:$A$1309,0))),"待核")</x:f>
        <x:v>29.069321117517624</x:v>
      </x:c>
      <x:c r="Z151" s="11" t="n">
        <x:f>INDEX('SKU明细'!$BZ$11:$BZ$1309,MATCH("B06b-CCP0-6.5",'SKU明细'!$A$11:$A$1309,0))</x:f>
        <x:v>1.0372741535934282</x:v>
      </x:c>
      <x:c r="AA151" s="13" t="n">
        <x:f>IF(COUNT(INDEX('SKU明细'!$CB$11:$CB$1309,MATCH("B06b-CCP0-6.5",'SKU明细'!$A$11:$A$1309,0)),INDEX('SKU明细'!$CB$11:$CB$1309,MATCH("B06b-CCP0-7",'SKU明细'!$A$11:$A$1309,0)),INDEX('SKU明细'!$CB$11:$CB$1309,MATCH("B06b-CCP0-7.5",'SKU明细'!$A$11:$A$1309,0)),INDEX('SKU明细'!$CB$11:$CB$1309,MATCH("B06b-CCP0-8",'SKU明细'!$A$11:$A$1309,0)),INDEX('SKU明细'!$CB$11:$CB$1309,MATCH("B06b-CCP0-9",'SKU明细'!$A$11:$A$1309,0)),INDEX('SKU明细'!$CB$11:$CB$1309,MATCH("B06b-CCP0-10",'SKU明细'!$A$11:$A$1309,0)),INDEX('SKU明细'!$CB$11:$CB$1309,MATCH("B06b-CCP0-10.5",'SKU明细'!$A$11:$A$1309,0)),INDEX('SKU明细'!$CB$11:$CB$1309,MATCH("B06b-CCP0-11",'SKU明细'!$A$11:$A$1309,0)))=8,SUM(INDEX('SKU明细'!$CB$11:$CB$1309,MATCH("B06b-CCP0-6.5",'SKU明细'!$A$11:$A$1309,0)),INDEX('SKU明细'!$CB$11:$CB$1309,MATCH("B06b-CCP0-7",'SKU明细'!$A$11:$A$1309,0)),INDEX('SKU明细'!$CB$11:$CB$1309,MATCH("B06b-CCP0-7.5",'SKU明细'!$A$11:$A$1309,0)),INDEX('SKU明细'!$CB$11:$CB$1309,MATCH("B06b-CCP0-8",'SKU明细'!$A$11:$A$1309,0)),INDEX('SKU明细'!$CB$11:$CB$1309,MATCH("B06b-CCP0-9",'SKU明细'!$A$11:$A$1309,0)),INDEX('SKU明细'!$CB$11:$CB$1309,MATCH("B06b-CCP0-10",'SKU明细'!$A$11:$A$1309,0)),INDEX('SKU明细'!$CB$11:$CB$1309,MATCH("B06b-CCP0-10.5",'SKU明细'!$A$11:$A$1309,0)),INDEX('SKU明细'!$CB$11:$CB$1309,MATCH("B06b-CCP0-11",'SKU明细'!$A$11:$A$1309,0))),"待核")</x:f>
        <x:v>67.96892327288131</x:v>
      </x:c>
      <x:c r="AB151" s="11" t="n">
        <x:f>INDEX('SKU明细'!$CC$11:$CC$1309,MATCH("B06b-CCP0-6.5",'SKU明细'!$A$11:$A$1309,0))</x:f>
        <x:v>0.979949351738161</x:v>
      </x:c>
      <x:c r="AC151" s="13" t="n">
        <x:f>IF(COUNT(INDEX('SKU明细'!$CE$11:$CE$1309,MATCH("B06b-CCP0-6.5",'SKU明细'!$A$11:$A$1309,0)),INDEX('SKU明细'!$CE$11:$CE$1309,MATCH("B06b-CCP0-7",'SKU明细'!$A$11:$A$1309,0)),INDEX('SKU明细'!$CE$11:$CE$1309,MATCH("B06b-CCP0-7.5",'SKU明细'!$A$11:$A$1309,0)),INDEX('SKU明细'!$CE$11:$CE$1309,MATCH("B06b-CCP0-8",'SKU明细'!$A$11:$A$1309,0)),INDEX('SKU明细'!$CE$11:$CE$1309,MATCH("B06b-CCP0-9",'SKU明细'!$A$11:$A$1309,0)),INDEX('SKU明细'!$CE$11:$CE$1309,MATCH("B06b-CCP0-10",'SKU明细'!$A$11:$A$1309,0)),INDEX('SKU明细'!$CE$11:$CE$1309,MATCH("B06b-CCP0-10.5",'SKU明细'!$A$11:$A$1309,0)),INDEX('SKU明细'!$CE$11:$CE$1309,MATCH("B06b-CCP0-11",'SKU明细'!$A$11:$A$1309,0)))=8,SUM(INDEX('SKU明细'!$CE$11:$CE$1309,MATCH("B06b-CCP0-6.5",'SKU明细'!$A$11:$A$1309,0)),INDEX('SKU明细'!$CE$11:$CE$1309,MATCH("B06b-CCP0-7",'SKU明细'!$A$11:$A$1309,0)),INDEX('SKU明细'!$CE$11:$CE$1309,MATCH("B06b-CCP0-7.5",'SKU明细'!$A$11:$A$1309,0)),INDEX('SKU明细'!$CE$11:$CE$1309,MATCH("B06b-CCP0-8",'SKU明细'!$A$11:$A$1309,0)),INDEX('SKU明细'!$CE$11:$CE$1309,MATCH("B06b-CCP0-9",'SKU明细'!$A$11:$A$1309,0)),INDEX('SKU明细'!$CE$11:$CE$1309,MATCH("B06b-CCP0-10",'SKU明细'!$A$11:$A$1309,0)),INDEX('SKU明细'!$CE$11:$CE$1309,MATCH("B06b-CCP0-10.5",'SKU明细'!$A$11:$A$1309,0)),INDEX('SKU明细'!$CE$11:$CE$1309,MATCH("B06b-CCP0-11",'SKU明细'!$A$11:$A$1309,0))),"待核")</x:f>
        <x:v>66.35305186305146</x:v>
      </x:c>
      <x:c r="AD151" s="11" t="n">
        <x:f>INDEX('SKU明细'!$CF$11:$CF$1309,MATCH("B06b-CCP0-6.5",'SKU明细'!$A$11:$A$1309,0))</x:f>
        <x:v>1.1571949690048173</x:v>
      </x:c>
      <x:c r="AE151" s="13" t="n">
        <x:f>IF(COUNT(INDEX('SKU明细'!$CH$11:$CH$1309,MATCH("B06b-CCP0-6.5",'SKU明细'!$A$11:$A$1309,0)),INDEX('SKU明细'!$CH$11:$CH$1309,MATCH("B06b-CCP0-7",'SKU明细'!$A$11:$A$1309,0)),INDEX('SKU明细'!$CH$11:$CH$1309,MATCH("B06b-CCP0-7.5",'SKU明细'!$A$11:$A$1309,0)),INDEX('SKU明细'!$CH$11:$CH$1309,MATCH("B06b-CCP0-8",'SKU明细'!$A$11:$A$1309,0)),INDEX('SKU明细'!$CH$11:$CH$1309,MATCH("B06b-CCP0-9",'SKU明细'!$A$11:$A$1309,0)),INDEX('SKU明细'!$CH$11:$CH$1309,MATCH("B06b-CCP0-10",'SKU明细'!$A$11:$A$1309,0)),INDEX('SKU明细'!$CH$11:$CH$1309,MATCH("B06b-CCP0-10.5",'SKU明细'!$A$11:$A$1309,0)),INDEX('SKU明细'!$CH$11:$CH$1309,MATCH("B06b-CCP0-11",'SKU明细'!$A$11:$A$1309,0)))=8,SUM(INDEX('SKU明细'!$CH$11:$CH$1309,MATCH("B06b-CCP0-6.5",'SKU明细'!$A$11:$A$1309,0)),INDEX('SKU明细'!$CH$11:$CH$1309,MATCH("B06b-CCP0-7",'SKU明细'!$A$11:$A$1309,0)),INDEX('SKU明细'!$CH$11:$CH$1309,MATCH("B06b-CCP0-7.5",'SKU明细'!$A$11:$A$1309,0)),INDEX('SKU明细'!$CH$11:$CH$1309,MATCH("B06b-CCP0-8",'SKU明细'!$A$11:$A$1309,0)),INDEX('SKU明细'!$CH$11:$CH$1309,MATCH("B06b-CCP0-9",'SKU明细'!$A$11:$A$1309,0)),INDEX('SKU明细'!$CH$11:$CH$1309,MATCH("B06b-CCP0-10",'SKU明细'!$A$11:$A$1309,0)),INDEX('SKU明细'!$CH$11:$CH$1309,MATCH("B06b-CCP0-10.5",'SKU明细'!$A$11:$A$1309,0)),INDEX('SKU明细'!$CH$11:$CH$1309,MATCH("B06b-CCP0-11",'SKU明细'!$A$11:$A$1309,0))),"待核")</x:f>
        <x:v>42.96858351892025</x:v>
      </x:c>
      <x:c r="AF151" s="13" t="n">
        <x:f>IF(COUNT(INDEX('SKU明细'!$CI$11:$CI$1309,MATCH("B06b-CCP0-6.5",'SKU明细'!$A$11:$A$1309,0)),INDEX('SKU明细'!$CI$11:$CI$1309,MATCH("B06b-CCP0-7",'SKU明细'!$A$11:$A$1309,0)),INDEX('SKU明细'!$CI$11:$CI$1309,MATCH("B06b-CCP0-7.5",'SKU明细'!$A$11:$A$1309,0)),INDEX('SKU明细'!$CI$11:$CI$1309,MATCH("B06b-CCP0-8",'SKU明细'!$A$11:$A$1309,0)),INDEX('SKU明细'!$CI$11:$CI$1309,MATCH("B06b-CCP0-9",'SKU明细'!$A$11:$A$1309,0)),INDEX('SKU明细'!$CI$11:$CI$1309,MATCH("B06b-CCP0-10",'SKU明细'!$A$11:$A$1309,0)),INDEX('SKU明细'!$CI$11:$CI$1309,MATCH("B06b-CCP0-10.5",'SKU明细'!$A$11:$A$1309,0)),INDEX('SKU明细'!$CI$11:$CI$1309,MATCH("B06b-CCP0-11",'SKU明细'!$A$11:$A$1309,0)))=8,SUM(INDEX('SKU明细'!$CI$11:$CI$1309,MATCH("B06b-CCP0-6.5",'SKU明细'!$A$11:$A$1309,0)),INDEX('SKU明细'!$CI$11:$CI$1309,MATCH("B06b-CCP0-7",'SKU明细'!$A$11:$A$1309,0)),INDEX('SKU明细'!$CI$11:$CI$1309,MATCH("B06b-CCP0-7.5",'SKU明细'!$A$11:$A$1309,0)),INDEX('SKU明细'!$CI$11:$CI$1309,MATCH("B06b-CCP0-8",'SKU明细'!$A$11:$A$1309,0)),INDEX('SKU明细'!$CI$11:$CI$1309,MATCH("B06b-CCP0-9",'SKU明细'!$A$11:$A$1309,0)),INDEX('SKU明细'!$CI$11:$CI$1309,MATCH("B06b-CCP0-10",'SKU明细'!$A$11:$A$1309,0)),INDEX('SKU明细'!$CI$11:$CI$1309,MATCH("B06b-CCP0-10.5",'SKU明细'!$A$11:$A$1309,0)),INDEX('SKU明细'!$CI$11:$CI$1309,MATCH("B06b-CCP0-11",'SKU明细'!$A$11:$A$1309,0))),"待核")</x:f>
        <x:v>206.3598797723706</x:v>
      </x:c>
    </x:row>
    <x:row r="152" ht="40" customHeight="1">
      <x:c r="A152" s="37" t="str">
        <x:v>B06b</x:v>
      </x:c>
      <x:c r="B152" s="37" t="str">
        <x:v>艾年</x:v>
      </x:c>
      <x:c r="C152" s="37" t="str">
        <x:v>灰色羊京绒</x:v>
      </x:c>
      <x:c r="D152" s="37" t="str">
        <x:v>GY</x:v>
      </x:c>
      <x:c r="E152" s="37" t="str">
        <x:v>B06b-GY</x:v>
      </x:c>
      <x:c r="F152" s="37"/>
      <x:c r="G152" s="38" t="str">
        <x:f>"—"</x:f>
        <x:v>—</x:v>
      </x:c>
      <x:c r="H152" s="38" t="n">
        <x:f>IF(COUNT(INDEX('SKU明细'!$D$11:$D$1309,MATCH("B06b-GY-37",'SKU明细'!$A$11:$A$1309,0)))=0,"待核",IF(COUNT(INDEX('SKU明细'!$D$11:$D$1309,MATCH("B06b-GY-37",'SKU明细'!$A$11:$A$1309,0)))&lt;1,SUM(INDEX('SKU明细'!$D$11:$D$1309,MATCH("B06b-GY-37",'SKU明细'!$A$11:$A$1309,0)))&amp;" + 待核",SUM(INDEX('SKU明细'!$D$11:$D$1309,MATCH("B06b-GY-37",'SKU明细'!$A$11:$A$1309,0)))))</x:f>
        <x:v>0</x:v>
      </x:c>
      <x:c r="I152" s="38" t="n">
        <x:f>IF(COUNT(INDEX('SKU明细'!$D$11:$D$1309,MATCH("B06b-GY-37.5",'SKU明细'!$A$11:$A$1309,0)))=0,"待核",IF(COUNT(INDEX('SKU明细'!$D$11:$D$1309,MATCH("B06b-GY-37.5",'SKU明细'!$A$11:$A$1309,0)))&lt;1,SUM(INDEX('SKU明细'!$D$11:$D$1309,MATCH("B06b-GY-37.5",'SKU明细'!$A$11:$A$1309,0)))&amp;" + 待核",SUM(INDEX('SKU明细'!$D$11:$D$1309,MATCH("B06b-GY-37.5",'SKU明细'!$A$11:$A$1309,0)))))</x:f>
        <x:v>0</x:v>
      </x:c>
      <x:c r="J152" s="38" t="n">
        <x:f>IF(COUNT(INDEX('SKU明细'!$D$11:$D$1309,MATCH("B06b-GY-38",'SKU明细'!$A$11:$A$1309,0)))=0,"待核",IF(COUNT(INDEX('SKU明细'!$D$11:$D$1309,MATCH("B06b-GY-38",'SKU明细'!$A$11:$A$1309,0)))&lt;1,SUM(INDEX('SKU明细'!$D$11:$D$1309,MATCH("B06b-GY-38",'SKU明细'!$A$11:$A$1309,0)))&amp;" + 待核",SUM(INDEX('SKU明细'!$D$11:$D$1309,MATCH("B06b-GY-38",'SKU明细'!$A$11:$A$1309,0)))))</x:f>
        <x:v>0</x:v>
      </x:c>
      <x:c r="K152" s="38" t="str">
        <x:f>"—"</x:f>
        <x:v>—</x:v>
      </x:c>
      <x:c r="L152" s="38" t="n">
        <x:f>IF(COUNT(INDEX('SKU明细'!$D$11:$D$1309,MATCH("B06b-GY-39",'SKU明细'!$A$11:$A$1309,0)))=0,"待核",IF(COUNT(INDEX('SKU明细'!$D$11:$D$1309,MATCH("B06b-GY-39",'SKU明细'!$A$11:$A$1309,0)))&lt;1,SUM(INDEX('SKU明细'!$D$11:$D$1309,MATCH("B06b-GY-39",'SKU明细'!$A$11:$A$1309,0)))&amp;" + 待核",SUM(INDEX('SKU明细'!$D$11:$D$1309,MATCH("B06b-GY-39",'SKU明细'!$A$11:$A$1309,0)))))</x:f>
        <x:v>0</x:v>
      </x:c>
      <x:c r="M152" s="38" t="str">
        <x:f>"—"</x:f>
        <x:v>—</x:v>
      </x:c>
      <x:c r="N152" s="38" t="n">
        <x:f>IF(COUNT(INDEX('SKU明细'!$D$11:$D$1309,MATCH("B06b-GY-40",'SKU明细'!$A$11:$A$1309,0)))=0,"待核",IF(COUNT(INDEX('SKU明细'!$D$11:$D$1309,MATCH("B06b-GY-40",'SKU明细'!$A$11:$A$1309,0)))&lt;1,SUM(INDEX('SKU明细'!$D$11:$D$1309,MATCH("B06b-GY-40",'SKU明细'!$A$11:$A$1309,0)))&amp;" + 待核",SUM(INDEX('SKU明细'!$D$11:$D$1309,MATCH("B06b-GY-40",'SKU明细'!$A$11:$A$1309,0)))))</x:f>
        <x:v>0</x:v>
      </x:c>
      <x:c r="O152" s="38" t="str">
        <x:f>"—"</x:f>
        <x:v>—</x:v>
      </x:c>
      <x:c r="P152" s="38" t="str">
        <x:f>"—"</x:f>
        <x:v>—</x:v>
      </x:c>
      <x:c r="Q152" s="38" t="str">
        <x:f>"—"</x:f>
        <x:v>—</x:v>
      </x:c>
      <x:c r="R152" s="38" t="n">
        <x:f>IF(COUNT(INDEX('SKU明细'!$D$11:$D$1309,MATCH("B06b-GY-42",'SKU明细'!$A$11:$A$1309,0)))=0,"待核",IF(COUNT(INDEX('SKU明细'!$D$11:$D$1309,MATCH("B06b-GY-42",'SKU明细'!$A$11:$A$1309,0)))&lt;1,SUM(INDEX('SKU明细'!$D$11:$D$1309,MATCH("B06b-GY-42",'SKU明细'!$A$11:$A$1309,0)))&amp;" + 待核",SUM(INDEX('SKU明细'!$D$11:$D$1309,MATCH("B06b-GY-42",'SKU明细'!$A$11:$A$1309,0)))))</x:f>
        <x:v>0</x:v>
      </x:c>
      <x:c r="S152" s="38" t="n">
        <x:f>IF(COUNT(INDEX('SKU明细'!$D$11:$D$1309,MATCH("B06b-GY-37",'SKU明细'!$A$11:$A$1309,0)),INDEX('SKU明细'!$D$11:$D$1309,MATCH("B06b-GY-37.5",'SKU明细'!$A$11:$A$1309,0)),INDEX('SKU明细'!$D$11:$D$1309,MATCH("B06b-GY-38",'SKU明细'!$A$11:$A$1309,0)),INDEX('SKU明细'!$D$11:$D$1309,MATCH("B06b-GY-39",'SKU明细'!$A$11:$A$1309,0)),INDEX('SKU明细'!$D$11:$D$1309,MATCH("B06b-GY-40",'SKU明细'!$A$11:$A$1309,0)),INDEX('SKU明细'!$D$11:$D$1309,MATCH("B06b-GY-42",'SKU明细'!$A$11:$A$1309,0)))=0,"待核",SUM(INDEX('SKU明细'!$D$11:$D$1309,MATCH("B06b-GY-37",'SKU明细'!$A$11:$A$1309,0)),INDEX('SKU明细'!$D$11:$D$1309,MATCH("B06b-GY-37.5",'SKU明细'!$A$11:$A$1309,0)),INDEX('SKU明细'!$D$11:$D$1309,MATCH("B06b-GY-38",'SKU明细'!$A$11:$A$1309,0)),INDEX('SKU明细'!$D$11:$D$1309,MATCH("B06b-GY-39",'SKU明细'!$A$11:$A$1309,0)),INDEX('SKU明细'!$D$11:$D$1309,MATCH("B06b-GY-40",'SKU明细'!$A$11:$A$1309,0)),INDEX('SKU明细'!$D$11:$D$1309,MATCH("B06b-GY-42",'SKU明细'!$A$11:$A$1309,0))))</x:f>
        <x:v>0</x:v>
      </x:c>
      <x:c r="T152" s="38" t="n">
        <x:f>IF(COUNTIFS($A$9:$A$191,A152,$U$9:$U$191,"&lt;&gt;待核")=0,"待核",SUMIF($A$9:$A$191,A152,$S$9:$S$191))</x:f>
        <x:v>132</x:v>
      </x:c>
      <x:c r="U152" s="37" t="str">
        <x:f>IF(COUNT(INDEX('SKU明细'!$D$11:$D$1309,MATCH("B06b-GY-37",'SKU明细'!$A$11:$A$1309,0)),INDEX('SKU明细'!$D$11:$D$1309,MATCH("B06b-GY-37.5",'SKU明细'!$A$11:$A$1309,0)),INDEX('SKU明细'!$D$11:$D$1309,MATCH("B06b-GY-38",'SKU明细'!$A$11:$A$1309,0)),INDEX('SKU明细'!$D$11:$D$1309,MATCH("B06b-GY-39",'SKU明细'!$A$11:$A$1309,0)),INDEX('SKU明细'!$D$11:$D$1309,MATCH("B06b-GY-40",'SKU明细'!$A$11:$A$1309,0)),INDEX('SKU明细'!$D$11:$D$1309,MATCH("B06b-GY-42",'SKU明细'!$A$11:$A$1309,0)))=0,"待核",IF(COUNT(INDEX('SKU明细'!$D$11:$D$1309,MATCH("B06b-GY-37",'SKU明细'!$A$11:$A$1309,0)),INDEX('SKU明细'!$D$11:$D$1309,MATCH("B06b-GY-37.5",'SKU明细'!$A$11:$A$1309,0)),INDEX('SKU明细'!$D$11:$D$1309,MATCH("B06b-GY-38",'SKU明细'!$A$11:$A$1309,0)),INDEX('SKU明细'!$D$11:$D$1309,MATCH("B06b-GY-39",'SKU明细'!$A$11:$A$1309,0)),INDEX('SKU明细'!$D$11:$D$1309,MATCH("B06b-GY-40",'SKU明细'!$A$11:$A$1309,0)),INDEX('SKU明细'!$D$11:$D$1309,MATCH("B06b-GY-42",'SKU明细'!$A$11:$A$1309,0)))&lt;6,"另有待核","已核"))</x:f>
        <x:v>已核</x:v>
      </x:c>
      <x:c r="V152" s="37" t="str">
        <x:v>停售</x:v>
      </x:c>
      <x:c r="W152" s="11" t="n">
        <x:f>IF(COUNT(INDEX('SKU明细'!$BV$11:$BV$1309,MATCH("B06b-GY-37",'SKU明细'!$A$11:$A$1309,0)),INDEX('SKU明细'!$BV$11:$BV$1309,MATCH("B06b-GY-37.5",'SKU明细'!$A$11:$A$1309,0)),INDEX('SKU明细'!$BV$11:$BV$1309,MATCH("B06b-GY-38",'SKU明细'!$A$11:$A$1309,0)),INDEX('SKU明细'!$BV$11:$BV$1309,MATCH("B06b-GY-39",'SKU明细'!$A$11:$A$1309,0)),INDEX('SKU明细'!$BV$11:$BV$1309,MATCH("B06b-GY-40",'SKU明细'!$A$11:$A$1309,0)),INDEX('SKU明细'!$BV$11:$BV$1309,MATCH("B06b-GY-42",'SKU明细'!$A$11:$A$1309,0)))=6,SUM(INDEX('SKU明细'!$BV$11:$BV$1309,MATCH("B06b-GY-37",'SKU明细'!$A$11:$A$1309,0)),INDEX('SKU明细'!$BV$11:$BV$1309,MATCH("B06b-GY-37.5",'SKU明细'!$A$11:$A$1309,0)),INDEX('SKU明细'!$BV$11:$BV$1309,MATCH("B06b-GY-38",'SKU明细'!$A$11:$A$1309,0)),INDEX('SKU明细'!$BV$11:$BV$1309,MATCH("B06b-GY-39",'SKU明细'!$A$11:$A$1309,0)),INDEX('SKU明细'!$BV$11:$BV$1309,MATCH("B06b-GY-40",'SKU明细'!$A$11:$A$1309,0)),INDEX('SKU明细'!$BV$11:$BV$1309,MATCH("B06b-GY-42",'SKU明细'!$A$11:$A$1309,0))),"待核")</x:f>
        <x:v>0</x:v>
      </x:c>
      <x:c r="X152" s="11" t="n">
        <x:f>INDEX('SKU明细'!$BW$11:$BW$1309,MATCH("B06b-GY-37",'SKU明细'!$A$11:$A$1309,0))</x:f>
        <x:v>1.1090677182221615</x:v>
      </x:c>
      <x:c r="Y152" s="13" t="n">
        <x:f>IF(COUNT(INDEX('SKU明细'!$BY$11:$BY$1309,MATCH("B06b-GY-37",'SKU明细'!$A$11:$A$1309,0)),INDEX('SKU明细'!$BY$11:$BY$1309,MATCH("B06b-GY-37.5",'SKU明细'!$A$11:$A$1309,0)),INDEX('SKU明细'!$BY$11:$BY$1309,MATCH("B06b-GY-38",'SKU明细'!$A$11:$A$1309,0)),INDEX('SKU明细'!$BY$11:$BY$1309,MATCH("B06b-GY-39",'SKU明细'!$A$11:$A$1309,0)),INDEX('SKU明细'!$BY$11:$BY$1309,MATCH("B06b-GY-40",'SKU明细'!$A$11:$A$1309,0)),INDEX('SKU明细'!$BY$11:$BY$1309,MATCH("B06b-GY-42",'SKU明细'!$A$11:$A$1309,0)))=6,SUM(INDEX('SKU明细'!$BY$11:$BY$1309,MATCH("B06b-GY-37",'SKU明细'!$A$11:$A$1309,0)),INDEX('SKU明细'!$BY$11:$BY$1309,MATCH("B06b-GY-37.5",'SKU明细'!$A$11:$A$1309,0)),INDEX('SKU明细'!$BY$11:$BY$1309,MATCH("B06b-GY-38",'SKU明细'!$A$11:$A$1309,0)),INDEX('SKU明细'!$BY$11:$BY$1309,MATCH("B06b-GY-39",'SKU明细'!$A$11:$A$1309,0)),INDEX('SKU明细'!$BY$11:$BY$1309,MATCH("B06b-GY-40",'SKU明细'!$A$11:$A$1309,0)),INDEX('SKU明细'!$BY$11:$BY$1309,MATCH("B06b-GY-42",'SKU明细'!$A$11:$A$1309,0))),"待核")</x:f>
        <x:v>0</x:v>
      </x:c>
      <x:c r="Z152" s="11" t="n">
        <x:f>INDEX('SKU明细'!$BZ$11:$BZ$1309,MATCH("B06b-GY-37",'SKU明细'!$A$11:$A$1309,0))</x:f>
        <x:v>1.0372741535934282</x:v>
      </x:c>
      <x:c r="AA152" s="13" t="n">
        <x:f>IF(COUNT(INDEX('SKU明细'!$CB$11:$CB$1309,MATCH("B06b-GY-37",'SKU明细'!$A$11:$A$1309,0)),INDEX('SKU明细'!$CB$11:$CB$1309,MATCH("B06b-GY-37.5",'SKU明细'!$A$11:$A$1309,0)),INDEX('SKU明细'!$CB$11:$CB$1309,MATCH("B06b-GY-38",'SKU明细'!$A$11:$A$1309,0)),INDEX('SKU明细'!$CB$11:$CB$1309,MATCH("B06b-GY-39",'SKU明细'!$A$11:$A$1309,0)),INDEX('SKU明细'!$CB$11:$CB$1309,MATCH("B06b-GY-40",'SKU明细'!$A$11:$A$1309,0)),INDEX('SKU明细'!$CB$11:$CB$1309,MATCH("B06b-GY-42",'SKU明细'!$A$11:$A$1309,0)))=6,SUM(INDEX('SKU明细'!$CB$11:$CB$1309,MATCH("B06b-GY-37",'SKU明细'!$A$11:$A$1309,0)),INDEX('SKU明细'!$CB$11:$CB$1309,MATCH("B06b-GY-37.5",'SKU明细'!$A$11:$A$1309,0)),INDEX('SKU明细'!$CB$11:$CB$1309,MATCH("B06b-GY-38",'SKU明细'!$A$11:$A$1309,0)),INDEX('SKU明细'!$CB$11:$CB$1309,MATCH("B06b-GY-39",'SKU明细'!$A$11:$A$1309,0)),INDEX('SKU明细'!$CB$11:$CB$1309,MATCH("B06b-GY-40",'SKU明细'!$A$11:$A$1309,0)),INDEX('SKU明细'!$CB$11:$CB$1309,MATCH("B06b-GY-42",'SKU明细'!$A$11:$A$1309,0))),"待核")</x:f>
        <x:v>0</x:v>
      </x:c>
      <x:c r="AB152" s="11" t="n">
        <x:f>INDEX('SKU明细'!$CC$11:$CC$1309,MATCH("B06b-GY-37",'SKU明细'!$A$11:$A$1309,0))</x:f>
        <x:v>0.979949351738161</x:v>
      </x:c>
      <x:c r="AC152" s="13" t="n">
        <x:f>IF(COUNT(INDEX('SKU明细'!$CE$11:$CE$1309,MATCH("B06b-GY-37",'SKU明细'!$A$11:$A$1309,0)),INDEX('SKU明细'!$CE$11:$CE$1309,MATCH("B06b-GY-37.5",'SKU明细'!$A$11:$A$1309,0)),INDEX('SKU明细'!$CE$11:$CE$1309,MATCH("B06b-GY-38",'SKU明细'!$A$11:$A$1309,0)),INDEX('SKU明细'!$CE$11:$CE$1309,MATCH("B06b-GY-39",'SKU明细'!$A$11:$A$1309,0)),INDEX('SKU明细'!$CE$11:$CE$1309,MATCH("B06b-GY-40",'SKU明细'!$A$11:$A$1309,0)),INDEX('SKU明细'!$CE$11:$CE$1309,MATCH("B06b-GY-42",'SKU明细'!$A$11:$A$1309,0)))=6,SUM(INDEX('SKU明细'!$CE$11:$CE$1309,MATCH("B06b-GY-37",'SKU明细'!$A$11:$A$1309,0)),INDEX('SKU明细'!$CE$11:$CE$1309,MATCH("B06b-GY-37.5",'SKU明细'!$A$11:$A$1309,0)),INDEX('SKU明细'!$CE$11:$CE$1309,MATCH("B06b-GY-38",'SKU明细'!$A$11:$A$1309,0)),INDEX('SKU明细'!$CE$11:$CE$1309,MATCH("B06b-GY-39",'SKU明细'!$A$11:$A$1309,0)),INDEX('SKU明细'!$CE$11:$CE$1309,MATCH("B06b-GY-40",'SKU明细'!$A$11:$A$1309,0)),INDEX('SKU明细'!$CE$11:$CE$1309,MATCH("B06b-GY-42",'SKU明细'!$A$11:$A$1309,0))),"待核")</x:f>
        <x:v>0</x:v>
      </x:c>
      <x:c r="AD152" s="11" t="n">
        <x:f>INDEX('SKU明细'!$CF$11:$CF$1309,MATCH("B06b-GY-37",'SKU明细'!$A$11:$A$1309,0))</x:f>
        <x:v>1.1571949690048173</x:v>
      </x:c>
      <x:c r="AE152" s="13" t="n">
        <x:f>IF(COUNT(INDEX('SKU明细'!$CH$11:$CH$1309,MATCH("B06b-GY-37",'SKU明细'!$A$11:$A$1309,0)),INDEX('SKU明细'!$CH$11:$CH$1309,MATCH("B06b-GY-37.5",'SKU明细'!$A$11:$A$1309,0)),INDEX('SKU明细'!$CH$11:$CH$1309,MATCH("B06b-GY-38",'SKU明细'!$A$11:$A$1309,0)),INDEX('SKU明细'!$CH$11:$CH$1309,MATCH("B06b-GY-39",'SKU明细'!$A$11:$A$1309,0)),INDEX('SKU明细'!$CH$11:$CH$1309,MATCH("B06b-GY-40",'SKU明细'!$A$11:$A$1309,0)),INDEX('SKU明细'!$CH$11:$CH$1309,MATCH("B06b-GY-42",'SKU明细'!$A$11:$A$1309,0)))=6,SUM(INDEX('SKU明细'!$CH$11:$CH$1309,MATCH("B06b-GY-37",'SKU明细'!$A$11:$A$1309,0)),INDEX('SKU明细'!$CH$11:$CH$1309,MATCH("B06b-GY-37.5",'SKU明细'!$A$11:$A$1309,0)),INDEX('SKU明细'!$CH$11:$CH$1309,MATCH("B06b-GY-38",'SKU明细'!$A$11:$A$1309,0)),INDEX('SKU明细'!$CH$11:$CH$1309,MATCH("B06b-GY-39",'SKU明细'!$A$11:$A$1309,0)),INDEX('SKU明细'!$CH$11:$CH$1309,MATCH("B06b-GY-40",'SKU明细'!$A$11:$A$1309,0)),INDEX('SKU明细'!$CH$11:$CH$1309,MATCH("B06b-GY-42",'SKU明细'!$A$11:$A$1309,0))),"待核")</x:f>
        <x:v>0</x:v>
      </x:c>
      <x:c r="AF152" s="13" t="n">
        <x:f>IF(COUNT(INDEX('SKU明细'!$CI$11:$CI$1309,MATCH("B06b-GY-37",'SKU明细'!$A$11:$A$1309,0)),INDEX('SKU明细'!$CI$11:$CI$1309,MATCH("B06b-GY-37.5",'SKU明细'!$A$11:$A$1309,0)),INDEX('SKU明细'!$CI$11:$CI$1309,MATCH("B06b-GY-38",'SKU明细'!$A$11:$A$1309,0)),INDEX('SKU明细'!$CI$11:$CI$1309,MATCH("B06b-GY-39",'SKU明细'!$A$11:$A$1309,0)),INDEX('SKU明细'!$CI$11:$CI$1309,MATCH("B06b-GY-40",'SKU明细'!$A$11:$A$1309,0)),INDEX('SKU明细'!$CI$11:$CI$1309,MATCH("B06b-GY-42",'SKU明细'!$A$11:$A$1309,0)))=6,SUM(INDEX('SKU明细'!$CI$11:$CI$1309,MATCH("B06b-GY-37",'SKU明细'!$A$11:$A$1309,0)),INDEX('SKU明细'!$CI$11:$CI$1309,MATCH("B06b-GY-37.5",'SKU明细'!$A$11:$A$1309,0)),INDEX('SKU明细'!$CI$11:$CI$1309,MATCH("B06b-GY-38",'SKU明细'!$A$11:$A$1309,0)),INDEX('SKU明细'!$CI$11:$CI$1309,MATCH("B06b-GY-39",'SKU明细'!$A$11:$A$1309,0)),INDEX('SKU明细'!$CI$11:$CI$1309,MATCH("B06b-GY-40",'SKU明细'!$A$11:$A$1309,0)),INDEX('SKU明细'!$CI$11:$CI$1309,MATCH("B06b-GY-42",'SKU明细'!$A$11:$A$1309,0))),"待核")</x:f>
        <x:v>0</x:v>
      </x:c>
    </x:row>
    <x:row r="153" ht="40" customHeight="1">
      <x:c r="A153" s="37" t="str">
        <x:v>B06b</x:v>
      </x:c>
      <x:c r="B153" s="37" t="str">
        <x:v>艾年</x:v>
      </x:c>
      <x:c r="C153" s="37" t="str">
        <x:v>豹纹羊京绒</x:v>
      </x:c>
      <x:c r="D153" s="37" t="str">
        <x:v>LP</x:v>
      </x:c>
      <x:c r="E153" s="37" t="str">
        <x:v>B06b-LP</x:v>
      </x:c>
      <x:c r="F153" s="37"/>
      <x:c r="G153" s="38" t="str">
        <x:f>"—"</x:f>
        <x:v>—</x:v>
      </x:c>
      <x:c r="H153" s="38" t="n">
        <x:f>IF(COUNT(INDEX('SKU明细'!$D$11:$D$1309,MATCH("B06b-LP-37",'SKU明细'!$A$11:$A$1309,0)))=0,"待核",IF(COUNT(INDEX('SKU明细'!$D$11:$D$1309,MATCH("B06b-LP-37",'SKU明细'!$A$11:$A$1309,0)))&lt;1,SUM(INDEX('SKU明细'!$D$11:$D$1309,MATCH("B06b-LP-37",'SKU明细'!$A$11:$A$1309,0)))&amp;" + 待核",SUM(INDEX('SKU明细'!$D$11:$D$1309,MATCH("B06b-LP-37",'SKU明细'!$A$11:$A$1309,0)))))</x:f>
        <x:v>0</x:v>
      </x:c>
      <x:c r="I153" s="38" t="n">
        <x:f>IF(COUNT(INDEX('SKU明细'!$D$11:$D$1309,MATCH("B06b-LP-37.5",'SKU明细'!$A$11:$A$1309,0)))=0,"待核",IF(COUNT(INDEX('SKU明细'!$D$11:$D$1309,MATCH("B06b-LP-37.5",'SKU明细'!$A$11:$A$1309,0)))&lt;1,SUM(INDEX('SKU明细'!$D$11:$D$1309,MATCH("B06b-LP-37.5",'SKU明细'!$A$11:$A$1309,0)))&amp;" + 待核",SUM(INDEX('SKU明细'!$D$11:$D$1309,MATCH("B06b-LP-37.5",'SKU明细'!$A$11:$A$1309,0)))))</x:f>
        <x:v>0</x:v>
      </x:c>
      <x:c r="J153" s="38" t="n">
        <x:f>IF(COUNT(INDEX('SKU明细'!$D$11:$D$1309,MATCH("B06b-LP-38",'SKU明细'!$A$11:$A$1309,0)))=0,"待核",IF(COUNT(INDEX('SKU明细'!$D$11:$D$1309,MATCH("B06b-LP-38",'SKU明细'!$A$11:$A$1309,0)))&lt;1,SUM(INDEX('SKU明细'!$D$11:$D$1309,MATCH("B06b-LP-38",'SKU明细'!$A$11:$A$1309,0)))&amp;" + 待核",SUM(INDEX('SKU明细'!$D$11:$D$1309,MATCH("B06b-LP-38",'SKU明细'!$A$11:$A$1309,0)))))</x:f>
        <x:v>0</x:v>
      </x:c>
      <x:c r="K153" s="38" t="n">
        <x:f>IF(COUNT(INDEX('SKU明细'!$D$11:$D$1309,MATCH("B06b-LP-38.5",'SKU明细'!$A$11:$A$1309,0)))=0,"待核",IF(COUNT(INDEX('SKU明细'!$D$11:$D$1309,MATCH("B06b-LP-38.5",'SKU明细'!$A$11:$A$1309,0)))&lt;1,SUM(INDEX('SKU明细'!$D$11:$D$1309,MATCH("B06b-LP-38.5",'SKU明细'!$A$11:$A$1309,0)))&amp;" + 待核",SUM(INDEX('SKU明细'!$D$11:$D$1309,MATCH("B06b-LP-38.5",'SKU明细'!$A$11:$A$1309,0)))))</x:f>
        <x:v>0</x:v>
      </x:c>
      <x:c r="L153" s="38" t="n">
        <x:f>IF(COUNT(INDEX('SKU明细'!$D$11:$D$1309,MATCH("B06b-LP-39",'SKU明细'!$A$11:$A$1309,0)))=0,"待核",IF(COUNT(INDEX('SKU明细'!$D$11:$D$1309,MATCH("B06b-LP-39",'SKU明细'!$A$11:$A$1309,0)))&lt;1,SUM(INDEX('SKU明细'!$D$11:$D$1309,MATCH("B06b-LP-39",'SKU明细'!$A$11:$A$1309,0)))&amp;" + 待核",SUM(INDEX('SKU明细'!$D$11:$D$1309,MATCH("B06b-LP-39",'SKU明细'!$A$11:$A$1309,0)))))</x:f>
        <x:v>0</x:v>
      </x:c>
      <x:c r="M153" s="38" t="n">
        <x:f>IF(COUNT(INDEX('SKU明细'!$D$11:$D$1309,MATCH("B06b-LP-39.5",'SKU明细'!$A$11:$A$1309,0)))=0,"待核",IF(COUNT(INDEX('SKU明细'!$D$11:$D$1309,MATCH("B06b-LP-39.5",'SKU明细'!$A$11:$A$1309,0)))&lt;1,SUM(INDEX('SKU明细'!$D$11:$D$1309,MATCH("B06b-LP-39.5",'SKU明细'!$A$11:$A$1309,0)))&amp;" + 待核",SUM(INDEX('SKU明细'!$D$11:$D$1309,MATCH("B06b-LP-39.5",'SKU明细'!$A$11:$A$1309,0)))))</x:f>
        <x:v>0</x:v>
      </x:c>
      <x:c r="N153" s="38" t="n">
        <x:f>IF(COUNT(INDEX('SKU明细'!$D$11:$D$1309,MATCH("B06b-LP-40",'SKU明细'!$A$11:$A$1309,0)))=0,"待核",IF(COUNT(INDEX('SKU明细'!$D$11:$D$1309,MATCH("B06b-LP-40",'SKU明细'!$A$11:$A$1309,0)))&lt;1,SUM(INDEX('SKU明细'!$D$11:$D$1309,MATCH("B06b-LP-40",'SKU明细'!$A$11:$A$1309,0)))&amp;" + 待核",SUM(INDEX('SKU明细'!$D$11:$D$1309,MATCH("B06b-LP-40",'SKU明细'!$A$11:$A$1309,0)))))</x:f>
        <x:v>0</x:v>
      </x:c>
      <x:c r="O153" s="38" t="n">
        <x:f>IF(COUNT(INDEX('SKU明细'!$D$11:$D$1309,MATCH("B06b-LP-40.5",'SKU明细'!$A$11:$A$1309,0)))=0,"待核",IF(COUNT(INDEX('SKU明细'!$D$11:$D$1309,MATCH("B06b-LP-40.5",'SKU明细'!$A$11:$A$1309,0)))&lt;1,SUM(INDEX('SKU明细'!$D$11:$D$1309,MATCH("B06b-LP-40.5",'SKU明细'!$A$11:$A$1309,0)))&amp;" + 待核",SUM(INDEX('SKU明细'!$D$11:$D$1309,MATCH("B06b-LP-40.5",'SKU明细'!$A$11:$A$1309,0)))))</x:f>
        <x:v>0</x:v>
      </x:c>
      <x:c r="P153" s="38" t="n">
        <x:f>IF(COUNT(INDEX('SKU明细'!$D$11:$D$1309,MATCH("B06b-LP-41",'SKU明细'!$A$11:$A$1309,0)))=0,"待核",IF(COUNT(INDEX('SKU明细'!$D$11:$D$1309,MATCH("B06b-LP-41",'SKU明细'!$A$11:$A$1309,0)))&lt;1,SUM(INDEX('SKU明细'!$D$11:$D$1309,MATCH("B06b-LP-41",'SKU明细'!$A$11:$A$1309,0)))&amp;" + 待核",SUM(INDEX('SKU明细'!$D$11:$D$1309,MATCH("B06b-LP-41",'SKU明细'!$A$11:$A$1309,0)))))</x:f>
        <x:v>0</x:v>
      </x:c>
      <x:c r="Q153" s="38" t="n">
        <x:f>IF(COUNT(INDEX('SKU明细'!$D$11:$D$1309,MATCH("B06b-LP-41.5",'SKU明细'!$A$11:$A$1309,0)))=0,"待核",IF(COUNT(INDEX('SKU明细'!$D$11:$D$1309,MATCH("B06b-LP-41.5",'SKU明细'!$A$11:$A$1309,0)))&lt;1,SUM(INDEX('SKU明细'!$D$11:$D$1309,MATCH("B06b-LP-41.5",'SKU明细'!$A$11:$A$1309,0)))&amp;" + 待核",SUM(INDEX('SKU明细'!$D$11:$D$1309,MATCH("B06b-LP-41.5",'SKU明细'!$A$11:$A$1309,0)))))</x:f>
        <x:v>0</x:v>
      </x:c>
      <x:c r="R153" s="38" t="n">
        <x:f>IF(COUNT(INDEX('SKU明细'!$D$11:$D$1309,MATCH("B06b-LP-42",'SKU明细'!$A$11:$A$1309,0)))=0,"待核",IF(COUNT(INDEX('SKU明细'!$D$11:$D$1309,MATCH("B06b-LP-42",'SKU明细'!$A$11:$A$1309,0)))&lt;1,SUM(INDEX('SKU明细'!$D$11:$D$1309,MATCH("B06b-LP-42",'SKU明细'!$A$11:$A$1309,0)))&amp;" + 待核",SUM(INDEX('SKU明细'!$D$11:$D$1309,MATCH("B06b-LP-42",'SKU明细'!$A$11:$A$1309,0)))))</x:f>
        <x:v>0</x:v>
      </x:c>
      <x:c r="S153" s="38" t="n">
        <x:f>IF(COUNT(INDEX('SKU明细'!$D$11:$D$1309,MATCH("B06b-LP-37",'SKU明细'!$A$11:$A$1309,0)),INDEX('SKU明细'!$D$11:$D$1309,MATCH("B06b-LP-37.5",'SKU明细'!$A$11:$A$1309,0)),INDEX('SKU明细'!$D$11:$D$1309,MATCH("B06b-LP-38",'SKU明细'!$A$11:$A$1309,0)),INDEX('SKU明细'!$D$11:$D$1309,MATCH("B06b-LP-38.5",'SKU明细'!$A$11:$A$1309,0)),INDEX('SKU明细'!$D$11:$D$1309,MATCH("B06b-LP-39",'SKU明细'!$A$11:$A$1309,0)),INDEX('SKU明细'!$D$11:$D$1309,MATCH("B06b-LP-39.5",'SKU明细'!$A$11:$A$1309,0)),INDEX('SKU明细'!$D$11:$D$1309,MATCH("B06b-LP-40",'SKU明细'!$A$11:$A$1309,0)),INDEX('SKU明细'!$D$11:$D$1309,MATCH("B06b-LP-40.5",'SKU明细'!$A$11:$A$1309,0)),INDEX('SKU明细'!$D$11:$D$1309,MATCH("B06b-LP-41",'SKU明细'!$A$11:$A$1309,0)),INDEX('SKU明细'!$D$11:$D$1309,MATCH("B06b-LP-41.5",'SKU明细'!$A$11:$A$1309,0)),INDEX('SKU明细'!$D$11:$D$1309,MATCH("B06b-LP-42",'SKU明细'!$A$11:$A$1309,0)))=0,"待核",SUM(INDEX('SKU明细'!$D$11:$D$1309,MATCH("B06b-LP-37",'SKU明细'!$A$11:$A$1309,0)),INDEX('SKU明细'!$D$11:$D$1309,MATCH("B06b-LP-37.5",'SKU明细'!$A$11:$A$1309,0)),INDEX('SKU明细'!$D$11:$D$1309,MATCH("B06b-LP-38",'SKU明细'!$A$11:$A$1309,0)),INDEX('SKU明细'!$D$11:$D$1309,MATCH("B06b-LP-38.5",'SKU明细'!$A$11:$A$1309,0)),INDEX('SKU明细'!$D$11:$D$1309,MATCH("B06b-LP-39",'SKU明细'!$A$11:$A$1309,0)),INDEX('SKU明细'!$D$11:$D$1309,MATCH("B06b-LP-39.5",'SKU明细'!$A$11:$A$1309,0)),INDEX('SKU明细'!$D$11:$D$1309,MATCH("B06b-LP-40",'SKU明细'!$A$11:$A$1309,0)),INDEX('SKU明细'!$D$11:$D$1309,MATCH("B06b-LP-40.5",'SKU明细'!$A$11:$A$1309,0)),INDEX('SKU明细'!$D$11:$D$1309,MATCH("B06b-LP-41",'SKU明细'!$A$11:$A$1309,0)),INDEX('SKU明细'!$D$11:$D$1309,MATCH("B06b-LP-41.5",'SKU明细'!$A$11:$A$1309,0)),INDEX('SKU明细'!$D$11:$D$1309,MATCH("B06b-LP-42",'SKU明细'!$A$11:$A$1309,0))))</x:f>
        <x:v>0</x:v>
      </x:c>
      <x:c r="T153" s="38" t="n">
        <x:f>IF(COUNTIFS($A$9:$A$191,A153,$U$9:$U$191,"&lt;&gt;待核")=0,"待核",SUMIF($A$9:$A$191,A153,$S$9:$S$191))</x:f>
        <x:v>132</x:v>
      </x:c>
      <x:c r="U153" s="37" t="str">
        <x:f>IF(COUNT(INDEX('SKU明细'!$D$11:$D$1309,MATCH("B06b-LP-37",'SKU明细'!$A$11:$A$1309,0)),INDEX('SKU明细'!$D$11:$D$1309,MATCH("B06b-LP-37.5",'SKU明细'!$A$11:$A$1309,0)),INDEX('SKU明细'!$D$11:$D$1309,MATCH("B06b-LP-38",'SKU明细'!$A$11:$A$1309,0)),INDEX('SKU明细'!$D$11:$D$1309,MATCH("B06b-LP-38.5",'SKU明细'!$A$11:$A$1309,0)),INDEX('SKU明细'!$D$11:$D$1309,MATCH("B06b-LP-39",'SKU明细'!$A$11:$A$1309,0)),INDEX('SKU明细'!$D$11:$D$1309,MATCH("B06b-LP-39.5",'SKU明细'!$A$11:$A$1309,0)),INDEX('SKU明细'!$D$11:$D$1309,MATCH("B06b-LP-40",'SKU明细'!$A$11:$A$1309,0)),INDEX('SKU明细'!$D$11:$D$1309,MATCH("B06b-LP-40.5",'SKU明细'!$A$11:$A$1309,0)),INDEX('SKU明细'!$D$11:$D$1309,MATCH("B06b-LP-41",'SKU明细'!$A$11:$A$1309,0)),INDEX('SKU明细'!$D$11:$D$1309,MATCH("B06b-LP-41.5",'SKU明细'!$A$11:$A$1309,0)),INDEX('SKU明细'!$D$11:$D$1309,MATCH("B06b-LP-42",'SKU明细'!$A$11:$A$1309,0)))=0,"待核",IF(COUNT(INDEX('SKU明细'!$D$11:$D$1309,MATCH("B06b-LP-37",'SKU明细'!$A$11:$A$1309,0)),INDEX('SKU明细'!$D$11:$D$1309,MATCH("B06b-LP-37.5",'SKU明细'!$A$11:$A$1309,0)),INDEX('SKU明细'!$D$11:$D$1309,MATCH("B06b-LP-38",'SKU明细'!$A$11:$A$1309,0)),INDEX('SKU明细'!$D$11:$D$1309,MATCH("B06b-LP-38.5",'SKU明细'!$A$11:$A$1309,0)),INDEX('SKU明细'!$D$11:$D$1309,MATCH("B06b-LP-39",'SKU明细'!$A$11:$A$1309,0)),INDEX('SKU明细'!$D$11:$D$1309,MATCH("B06b-LP-39.5",'SKU明细'!$A$11:$A$1309,0)),INDEX('SKU明细'!$D$11:$D$1309,MATCH("B06b-LP-40",'SKU明细'!$A$11:$A$1309,0)),INDEX('SKU明细'!$D$11:$D$1309,MATCH("B06b-LP-40.5",'SKU明细'!$A$11:$A$1309,0)),INDEX('SKU明细'!$D$11:$D$1309,MATCH("B06b-LP-41",'SKU明细'!$A$11:$A$1309,0)),INDEX('SKU明细'!$D$11:$D$1309,MATCH("B06b-LP-41.5",'SKU明细'!$A$11:$A$1309,0)),INDEX('SKU明细'!$D$11:$D$1309,MATCH("B06b-LP-42",'SKU明细'!$A$11:$A$1309,0)))&lt;11,"另有待核","已核"))</x:f>
        <x:v>已核</x:v>
      </x:c>
      <x:c r="V153" s="37" t="str">
        <x:v>在售、停售</x:v>
      </x:c>
      <x:c r="W153" s="11" t="n">
        <x:f>IF(COUNT(INDEX('SKU明细'!$BV$11:$BV$1309,MATCH("B06b-LP-37",'SKU明细'!$A$11:$A$1309,0)),INDEX('SKU明细'!$BV$11:$BV$1309,MATCH("B06b-LP-37.5",'SKU明细'!$A$11:$A$1309,0)),INDEX('SKU明细'!$BV$11:$BV$1309,MATCH("B06b-LP-38",'SKU明细'!$A$11:$A$1309,0)),INDEX('SKU明细'!$BV$11:$BV$1309,MATCH("B06b-LP-38.5",'SKU明细'!$A$11:$A$1309,0)),INDEX('SKU明细'!$BV$11:$BV$1309,MATCH("B06b-LP-39",'SKU明细'!$A$11:$A$1309,0)),INDEX('SKU明细'!$BV$11:$BV$1309,MATCH("B06b-LP-39.5",'SKU明细'!$A$11:$A$1309,0)),INDEX('SKU明细'!$BV$11:$BV$1309,MATCH("B06b-LP-40",'SKU明细'!$A$11:$A$1309,0)),INDEX('SKU明细'!$BV$11:$BV$1309,MATCH("B06b-LP-40.5",'SKU明细'!$A$11:$A$1309,0)),INDEX('SKU明细'!$BV$11:$BV$1309,MATCH("B06b-LP-41",'SKU明细'!$A$11:$A$1309,0)),INDEX('SKU明细'!$BV$11:$BV$1309,MATCH("B06b-LP-41.5",'SKU明细'!$A$11:$A$1309,0)),INDEX('SKU明细'!$BV$11:$BV$1309,MATCH("B06b-LP-42",'SKU明细'!$A$11:$A$1309,0)))=11,SUM(INDEX('SKU明细'!$BV$11:$BV$1309,MATCH("B06b-LP-37",'SKU明细'!$A$11:$A$1309,0)),INDEX('SKU明细'!$BV$11:$BV$1309,MATCH("B06b-LP-37.5",'SKU明细'!$A$11:$A$1309,0)),INDEX('SKU明细'!$BV$11:$BV$1309,MATCH("B06b-LP-38",'SKU明细'!$A$11:$A$1309,0)),INDEX('SKU明细'!$BV$11:$BV$1309,MATCH("B06b-LP-38.5",'SKU明细'!$A$11:$A$1309,0)),INDEX('SKU明细'!$BV$11:$BV$1309,MATCH("B06b-LP-39",'SKU明细'!$A$11:$A$1309,0)),INDEX('SKU明细'!$BV$11:$BV$1309,MATCH("B06b-LP-39.5",'SKU明细'!$A$11:$A$1309,0)),INDEX('SKU明细'!$BV$11:$BV$1309,MATCH("B06b-LP-40",'SKU明细'!$A$11:$A$1309,0)),INDEX('SKU明细'!$BV$11:$BV$1309,MATCH("B06b-LP-40.5",'SKU明细'!$A$11:$A$1309,0)),INDEX('SKU明细'!$BV$11:$BV$1309,MATCH("B06b-LP-41",'SKU明细'!$A$11:$A$1309,0)),INDEX('SKU明细'!$BV$11:$BV$1309,MATCH("B06b-LP-41.5",'SKU明细'!$A$11:$A$1309,0)),INDEX('SKU明细'!$BV$11:$BV$1309,MATCH("B06b-LP-42",'SKU明细'!$A$11:$A$1309,0))),"待核")</x:f>
        <x:v>3.3094608435746906</x:v>
      </x:c>
      <x:c r="X153" s="11" t="n">
        <x:f>INDEX('SKU明细'!$BW$11:$BW$1309,MATCH("B06b-LP-37",'SKU明细'!$A$11:$A$1309,0))</x:f>
        <x:v>1.1090677182221615</x:v>
      </x:c>
      <x:c r="Y153" s="13" t="n">
        <x:f>IF(COUNT(INDEX('SKU明细'!$BY$11:$BY$1309,MATCH("B06b-LP-37",'SKU明细'!$A$11:$A$1309,0)),INDEX('SKU明细'!$BY$11:$BY$1309,MATCH("B06b-LP-37.5",'SKU明细'!$A$11:$A$1309,0)),INDEX('SKU明细'!$BY$11:$BY$1309,MATCH("B06b-LP-38",'SKU明细'!$A$11:$A$1309,0)),INDEX('SKU明细'!$BY$11:$BY$1309,MATCH("B06b-LP-38.5",'SKU明细'!$A$11:$A$1309,0)),INDEX('SKU明细'!$BY$11:$BY$1309,MATCH("B06b-LP-39",'SKU明细'!$A$11:$A$1309,0)),INDEX('SKU明细'!$BY$11:$BY$1309,MATCH("B06b-LP-39.5",'SKU明细'!$A$11:$A$1309,0)),INDEX('SKU明细'!$BY$11:$BY$1309,MATCH("B06b-LP-40",'SKU明细'!$A$11:$A$1309,0)),INDEX('SKU明细'!$BY$11:$BY$1309,MATCH("B06b-LP-40.5",'SKU明细'!$A$11:$A$1309,0)),INDEX('SKU明细'!$BY$11:$BY$1309,MATCH("B06b-LP-41",'SKU明细'!$A$11:$A$1309,0)),INDEX('SKU明细'!$BY$11:$BY$1309,MATCH("B06b-LP-41.5",'SKU明细'!$A$11:$A$1309,0)),INDEX('SKU明细'!$BY$11:$BY$1309,MATCH("B06b-LP-42",'SKU明细'!$A$11:$A$1309,0)))=11,SUM(INDEX('SKU明细'!$BY$11:$BY$1309,MATCH("B06b-LP-37",'SKU明细'!$A$11:$A$1309,0)),INDEX('SKU明细'!$BY$11:$BY$1309,MATCH("B06b-LP-37.5",'SKU明细'!$A$11:$A$1309,0)),INDEX('SKU明细'!$BY$11:$BY$1309,MATCH("B06b-LP-38",'SKU明细'!$A$11:$A$1309,0)),INDEX('SKU明细'!$BY$11:$BY$1309,MATCH("B06b-LP-38.5",'SKU明细'!$A$11:$A$1309,0)),INDEX('SKU明细'!$BY$11:$BY$1309,MATCH("B06b-LP-39",'SKU明细'!$A$11:$A$1309,0)),INDEX('SKU明细'!$BY$11:$BY$1309,MATCH("B06b-LP-39.5",'SKU明细'!$A$11:$A$1309,0)),INDEX('SKU明细'!$BY$11:$BY$1309,MATCH("B06b-LP-40",'SKU明细'!$A$11:$A$1309,0)),INDEX('SKU明细'!$BY$11:$BY$1309,MATCH("B06b-LP-40.5",'SKU明细'!$A$11:$A$1309,0)),INDEX('SKU明细'!$BY$11:$BY$1309,MATCH("B06b-LP-41",'SKU明细'!$A$11:$A$1309,0)),INDEX('SKU明细'!$BY$11:$BY$1309,MATCH("B06b-LP-41.5",'SKU明细'!$A$11:$A$1309,0)),INDEX('SKU明细'!$BY$11:$BY$1309,MATCH("B06b-LP-42",'SKU明细'!$A$11:$A$1309,0))),"待核")</x:f>
        <x:v>44.04499423594767</x:v>
      </x:c>
      <x:c r="Z153" s="11" t="n">
        <x:f>INDEX('SKU明细'!$BZ$11:$BZ$1309,MATCH("B06b-LP-37",'SKU明细'!$A$11:$A$1309,0))</x:f>
        <x:v>1.0372741535934282</x:v>
      </x:c>
      <x:c r="AA153" s="13" t="n">
        <x:f>IF(COUNT(INDEX('SKU明细'!$CB$11:$CB$1309,MATCH("B06b-LP-37",'SKU明细'!$A$11:$A$1309,0)),INDEX('SKU明细'!$CB$11:$CB$1309,MATCH("B06b-LP-37.5",'SKU明细'!$A$11:$A$1309,0)),INDEX('SKU明细'!$CB$11:$CB$1309,MATCH("B06b-LP-38",'SKU明细'!$A$11:$A$1309,0)),INDEX('SKU明细'!$CB$11:$CB$1309,MATCH("B06b-LP-38.5",'SKU明细'!$A$11:$A$1309,0)),INDEX('SKU明细'!$CB$11:$CB$1309,MATCH("B06b-LP-39",'SKU明细'!$A$11:$A$1309,0)),INDEX('SKU明细'!$CB$11:$CB$1309,MATCH("B06b-LP-39.5",'SKU明细'!$A$11:$A$1309,0)),INDEX('SKU明细'!$CB$11:$CB$1309,MATCH("B06b-LP-40",'SKU明细'!$A$11:$A$1309,0)),INDEX('SKU明细'!$CB$11:$CB$1309,MATCH("B06b-LP-40.5",'SKU明细'!$A$11:$A$1309,0)),INDEX('SKU明细'!$CB$11:$CB$1309,MATCH("B06b-LP-41",'SKU明细'!$A$11:$A$1309,0)),INDEX('SKU明细'!$CB$11:$CB$1309,MATCH("B06b-LP-41.5",'SKU明细'!$A$11:$A$1309,0)),INDEX('SKU明细'!$CB$11:$CB$1309,MATCH("B06b-LP-42",'SKU明细'!$A$11:$A$1309,0)))=11,SUM(INDEX('SKU明细'!$CB$11:$CB$1309,MATCH("B06b-LP-37",'SKU明细'!$A$11:$A$1309,0)),INDEX('SKU明细'!$CB$11:$CB$1309,MATCH("B06b-LP-37.5",'SKU明细'!$A$11:$A$1309,0)),INDEX('SKU明细'!$CB$11:$CB$1309,MATCH("B06b-LP-38",'SKU明细'!$A$11:$A$1309,0)),INDEX('SKU明细'!$CB$11:$CB$1309,MATCH("B06b-LP-38.5",'SKU明细'!$A$11:$A$1309,0)),INDEX('SKU明细'!$CB$11:$CB$1309,MATCH("B06b-LP-39",'SKU明细'!$A$11:$A$1309,0)),INDEX('SKU明细'!$CB$11:$CB$1309,MATCH("B06b-LP-39.5",'SKU明细'!$A$11:$A$1309,0)),INDEX('SKU明细'!$CB$11:$CB$1309,MATCH("B06b-LP-40",'SKU明细'!$A$11:$A$1309,0)),INDEX('SKU明细'!$CB$11:$CB$1309,MATCH("B06b-LP-40.5",'SKU明细'!$A$11:$A$1309,0)),INDEX('SKU明细'!$CB$11:$CB$1309,MATCH("B06b-LP-41",'SKU明细'!$A$11:$A$1309,0)),INDEX('SKU明细'!$CB$11:$CB$1309,MATCH("B06b-LP-41.5",'SKU明细'!$A$11:$A$1309,0)),INDEX('SKU明细'!$CB$11:$CB$1309,MATCH("B06b-LP-42",'SKU明细'!$A$11:$A$1309,0))),"待核")</x:f>
        <x:v>102.9845458610859</x:v>
      </x:c>
      <x:c r="AB153" s="11" t="n">
        <x:f>INDEX('SKU明细'!$CC$11:$CC$1309,MATCH("B06b-LP-37",'SKU明细'!$A$11:$A$1309,0))</x:f>
        <x:v>0.979949351738161</x:v>
      </x:c>
      <x:c r="AC153" s="13" t="n">
        <x:f>IF(COUNT(INDEX('SKU明细'!$CE$11:$CE$1309,MATCH("B06b-LP-37",'SKU明细'!$A$11:$A$1309,0)),INDEX('SKU明细'!$CE$11:$CE$1309,MATCH("B06b-LP-37.5",'SKU明细'!$A$11:$A$1309,0)),INDEX('SKU明细'!$CE$11:$CE$1309,MATCH("B06b-LP-38",'SKU明细'!$A$11:$A$1309,0)),INDEX('SKU明细'!$CE$11:$CE$1309,MATCH("B06b-LP-38.5",'SKU明细'!$A$11:$A$1309,0)),INDEX('SKU明细'!$CE$11:$CE$1309,MATCH("B06b-LP-39",'SKU明细'!$A$11:$A$1309,0)),INDEX('SKU明细'!$CE$11:$CE$1309,MATCH("B06b-LP-39.5",'SKU明细'!$A$11:$A$1309,0)),INDEX('SKU明细'!$CE$11:$CE$1309,MATCH("B06b-LP-40",'SKU明细'!$A$11:$A$1309,0)),INDEX('SKU明细'!$CE$11:$CE$1309,MATCH("B06b-LP-40.5",'SKU明细'!$A$11:$A$1309,0)),INDEX('SKU明细'!$CE$11:$CE$1309,MATCH("B06b-LP-41",'SKU明细'!$A$11:$A$1309,0)),INDEX('SKU明细'!$CE$11:$CE$1309,MATCH("B06b-LP-41.5",'SKU明细'!$A$11:$A$1309,0)),INDEX('SKU明细'!$CE$11:$CE$1309,MATCH("B06b-LP-42",'SKU明细'!$A$11:$A$1309,0)))=11,SUM(INDEX('SKU明细'!$CE$11:$CE$1309,MATCH("B06b-LP-37",'SKU明细'!$A$11:$A$1309,0)),INDEX('SKU明细'!$CE$11:$CE$1309,MATCH("B06b-LP-37.5",'SKU明细'!$A$11:$A$1309,0)),INDEX('SKU明细'!$CE$11:$CE$1309,MATCH("B06b-LP-38",'SKU明细'!$A$11:$A$1309,0)),INDEX('SKU明细'!$CE$11:$CE$1309,MATCH("B06b-LP-38.5",'SKU明细'!$A$11:$A$1309,0)),INDEX('SKU明细'!$CE$11:$CE$1309,MATCH("B06b-LP-39",'SKU明细'!$A$11:$A$1309,0)),INDEX('SKU明细'!$CE$11:$CE$1309,MATCH("B06b-LP-39.5",'SKU明细'!$A$11:$A$1309,0)),INDEX('SKU明细'!$CE$11:$CE$1309,MATCH("B06b-LP-40",'SKU明细'!$A$11:$A$1309,0)),INDEX('SKU明细'!$CE$11:$CE$1309,MATCH("B06b-LP-40.5",'SKU明细'!$A$11:$A$1309,0)),INDEX('SKU明细'!$CE$11:$CE$1309,MATCH("B06b-LP-41",'SKU明细'!$A$11:$A$1309,0)),INDEX('SKU明细'!$CE$11:$CE$1309,MATCH("B06b-LP-41.5",'SKU明细'!$A$11:$A$1309,0)),INDEX('SKU明细'!$CE$11:$CE$1309,MATCH("B06b-LP-42",'SKU明细'!$A$11:$A$1309,0))),"待核")</x:f>
        <x:v>100.53622425617921</x:v>
      </x:c>
      <x:c r="AD153" s="11" t="n">
        <x:f>INDEX('SKU明细'!$CF$11:$CF$1309,MATCH("B06b-LP-37",'SKU明细'!$A$11:$A$1309,0))</x:f>
        <x:v>1.1571949690048173</x:v>
      </x:c>
      <x:c r="AE153" s="13" t="n">
        <x:f>IF(COUNT(INDEX('SKU明细'!$CH$11:$CH$1309,MATCH("B06b-LP-37",'SKU明细'!$A$11:$A$1309,0)),INDEX('SKU明细'!$CH$11:$CH$1309,MATCH("B06b-LP-37.5",'SKU明细'!$A$11:$A$1309,0)),INDEX('SKU明细'!$CH$11:$CH$1309,MATCH("B06b-LP-38",'SKU明细'!$A$11:$A$1309,0)),INDEX('SKU明细'!$CH$11:$CH$1309,MATCH("B06b-LP-38.5",'SKU明细'!$A$11:$A$1309,0)),INDEX('SKU明细'!$CH$11:$CH$1309,MATCH("B06b-LP-39",'SKU明细'!$A$11:$A$1309,0)),INDEX('SKU明细'!$CH$11:$CH$1309,MATCH("B06b-LP-39.5",'SKU明细'!$A$11:$A$1309,0)),INDEX('SKU明细'!$CH$11:$CH$1309,MATCH("B06b-LP-40",'SKU明细'!$A$11:$A$1309,0)),INDEX('SKU明细'!$CH$11:$CH$1309,MATCH("B06b-LP-40.5",'SKU明细'!$A$11:$A$1309,0)),INDEX('SKU明细'!$CH$11:$CH$1309,MATCH("B06b-LP-41",'SKU明细'!$A$11:$A$1309,0)),INDEX('SKU明细'!$CH$11:$CH$1309,MATCH("B06b-LP-41.5",'SKU明细'!$A$11:$A$1309,0)),INDEX('SKU明细'!$CH$11:$CH$1309,MATCH("B06b-LP-42",'SKU明细'!$A$11:$A$1309,0)))=11,SUM(INDEX('SKU明细'!$CH$11:$CH$1309,MATCH("B06b-LP-37",'SKU明细'!$A$11:$A$1309,0)),INDEX('SKU明细'!$CH$11:$CH$1309,MATCH("B06b-LP-37.5",'SKU明细'!$A$11:$A$1309,0)),INDEX('SKU明细'!$CH$11:$CH$1309,MATCH("B06b-LP-38",'SKU明细'!$A$11:$A$1309,0)),INDEX('SKU明细'!$CH$11:$CH$1309,MATCH("B06b-LP-38.5",'SKU明细'!$A$11:$A$1309,0)),INDEX('SKU明细'!$CH$11:$CH$1309,MATCH("B06b-LP-39",'SKU明细'!$A$11:$A$1309,0)),INDEX('SKU明细'!$CH$11:$CH$1309,MATCH("B06b-LP-39.5",'SKU明细'!$A$11:$A$1309,0)),INDEX('SKU明细'!$CH$11:$CH$1309,MATCH("B06b-LP-40",'SKU明细'!$A$11:$A$1309,0)),INDEX('SKU明细'!$CH$11:$CH$1309,MATCH("B06b-LP-40.5",'SKU明细'!$A$11:$A$1309,0)),INDEX('SKU明细'!$CH$11:$CH$1309,MATCH("B06b-LP-41",'SKU明细'!$A$11:$A$1309,0)),INDEX('SKU明细'!$CH$11:$CH$1309,MATCH("B06b-LP-41.5",'SKU明细'!$A$11:$A$1309,0)),INDEX('SKU明细'!$CH$11:$CH$1309,MATCH("B06b-LP-42",'SKU明细'!$A$11:$A$1309,0))),"待核")</x:f>
        <x:v>65.10475445115222</x:v>
      </x:c>
      <x:c r="AF153" s="13" t="n">
        <x:f>IF(COUNT(INDEX('SKU明细'!$CI$11:$CI$1309,MATCH("B06b-LP-37",'SKU明细'!$A$11:$A$1309,0)),INDEX('SKU明细'!$CI$11:$CI$1309,MATCH("B06b-LP-37.5",'SKU明细'!$A$11:$A$1309,0)),INDEX('SKU明细'!$CI$11:$CI$1309,MATCH("B06b-LP-38",'SKU明细'!$A$11:$A$1309,0)),INDEX('SKU明细'!$CI$11:$CI$1309,MATCH("B06b-LP-38.5",'SKU明细'!$A$11:$A$1309,0)),INDEX('SKU明细'!$CI$11:$CI$1309,MATCH("B06b-LP-39",'SKU明细'!$A$11:$A$1309,0)),INDEX('SKU明细'!$CI$11:$CI$1309,MATCH("B06b-LP-39.5",'SKU明细'!$A$11:$A$1309,0)),INDEX('SKU明细'!$CI$11:$CI$1309,MATCH("B06b-LP-40",'SKU明细'!$A$11:$A$1309,0)),INDEX('SKU明细'!$CI$11:$CI$1309,MATCH("B06b-LP-40.5",'SKU明细'!$A$11:$A$1309,0)),INDEX('SKU明细'!$CI$11:$CI$1309,MATCH("B06b-LP-41",'SKU明细'!$A$11:$A$1309,0)),INDEX('SKU明细'!$CI$11:$CI$1309,MATCH("B06b-LP-41.5",'SKU明细'!$A$11:$A$1309,0)),INDEX('SKU明细'!$CI$11:$CI$1309,MATCH("B06b-LP-42",'SKU明细'!$A$11:$A$1309,0)))=11,SUM(INDEX('SKU明细'!$CI$11:$CI$1309,MATCH("B06b-LP-37",'SKU明细'!$A$11:$A$1309,0)),INDEX('SKU明细'!$CI$11:$CI$1309,MATCH("B06b-LP-37.5",'SKU明细'!$A$11:$A$1309,0)),INDEX('SKU明细'!$CI$11:$CI$1309,MATCH("B06b-LP-38",'SKU明细'!$A$11:$A$1309,0)),INDEX('SKU明细'!$CI$11:$CI$1309,MATCH("B06b-LP-38.5",'SKU明细'!$A$11:$A$1309,0)),INDEX('SKU明细'!$CI$11:$CI$1309,MATCH("B06b-LP-39",'SKU明细'!$A$11:$A$1309,0)),INDEX('SKU明细'!$CI$11:$CI$1309,MATCH("B06b-LP-39.5",'SKU明细'!$A$11:$A$1309,0)),INDEX('SKU明细'!$CI$11:$CI$1309,MATCH("B06b-LP-40",'SKU明细'!$A$11:$A$1309,0)),INDEX('SKU明细'!$CI$11:$CI$1309,MATCH("B06b-LP-40.5",'SKU明细'!$A$11:$A$1309,0)),INDEX('SKU明细'!$CI$11:$CI$1309,MATCH("B06b-LP-41",'SKU明细'!$A$11:$A$1309,0)),INDEX('SKU明细'!$CI$11:$CI$1309,MATCH("B06b-LP-41.5",'SKU明细'!$A$11:$A$1309,0)),INDEX('SKU明细'!$CI$11:$CI$1309,MATCH("B06b-LP-42",'SKU明细'!$A$11:$A$1309,0))),"待核")</x:f>
        <x:v>312.67051880436503</x:v>
      </x:c>
    </x:row>
    <x:row r="154" ht="40" customHeight="1">
      <x:c r="A154" s="37" t="str">
        <x:v>B06b</x:v>
      </x:c>
      <x:c r="B154" s="37" t="str">
        <x:v>艾年</x:v>
      </x:c>
      <x:c r="C154" s="37" t="str">
        <x:v>裸色PU</x:v>
      </x:c>
      <x:c r="D154" s="37" t="str">
        <x:v>NDP0</x:v>
      </x:c>
      <x:c r="E154" s="37" t="str">
        <x:v>B06b-NDP0</x:v>
      </x:c>
      <x:c r="F154" s="37"/>
      <x:c r="G154" s="38" t="str">
        <x:f>"—"</x:f>
        <x:v>—</x:v>
      </x:c>
      <x:c r="H154" s="38" t="n">
        <x:f>IF(COUNT(INDEX('SKU明细'!$D$11:$D$1309,MATCH("B06b-NDP0-6",'SKU明细'!$A$11:$A$1309,0)))=0,"待核",IF(COUNT(INDEX('SKU明细'!$D$11:$D$1309,MATCH("B06b-NDP0-6",'SKU明细'!$A$11:$A$1309,0)))&lt;1,SUM(INDEX('SKU明细'!$D$11:$D$1309,MATCH("B06b-NDP0-6",'SKU明细'!$A$11:$A$1309,0)))&amp;" + 待核",SUM(INDEX('SKU明细'!$D$11:$D$1309,MATCH("B06b-NDP0-6",'SKU明细'!$A$11:$A$1309,0)))))</x:f>
        <x:v>0</x:v>
      </x:c>
      <x:c r="I154" s="38" t="str">
        <x:f>"—"</x:f>
        <x:v>—</x:v>
      </x:c>
      <x:c r="J154" s="38" t="n">
        <x:f>IF(COUNT(INDEX('SKU明细'!$D$11:$D$1309,MATCH("B06b-NDP0-7",'SKU明细'!$A$11:$A$1309,0)))=0,"待核",IF(COUNT(INDEX('SKU明细'!$D$11:$D$1309,MATCH("B06b-NDP0-7",'SKU明细'!$A$11:$A$1309,0)))&lt;1,SUM(INDEX('SKU明细'!$D$11:$D$1309,MATCH("B06b-NDP0-7",'SKU明细'!$A$11:$A$1309,0)))&amp;" + 待核",SUM(INDEX('SKU明细'!$D$11:$D$1309,MATCH("B06b-NDP0-7",'SKU明细'!$A$11:$A$1309,0)))))</x:f>
        <x:v>0</x:v>
      </x:c>
      <x:c r="K154" s="38" t="str">
        <x:f>"—"</x:f>
        <x:v>—</x:v>
      </x:c>
      <x:c r="L154" s="38" t="n">
        <x:f>IF(COUNT(INDEX('SKU明细'!$D$11:$D$1309,MATCH("B06b-NDP0-8",'SKU明细'!$A$11:$A$1309,0)))=0,"待核",IF(COUNT(INDEX('SKU明细'!$D$11:$D$1309,MATCH("B06b-NDP0-8",'SKU明细'!$A$11:$A$1309,0)))&lt;1,SUM(INDEX('SKU明细'!$D$11:$D$1309,MATCH("B06b-NDP0-8",'SKU明细'!$A$11:$A$1309,0)))&amp;" + 待核",SUM(INDEX('SKU明细'!$D$11:$D$1309,MATCH("B06b-NDP0-8",'SKU明细'!$A$11:$A$1309,0)))))</x:f>
        <x:v>0</x:v>
      </x:c>
      <x:c r="M154" s="38" t="n">
        <x:f>IF(COUNT(INDEX('SKU明细'!$D$11:$D$1309,MATCH("B06b-NDP0-8.5",'SKU明细'!$A$11:$A$1309,0)))=0,"待核",IF(COUNT(INDEX('SKU明细'!$D$11:$D$1309,MATCH("B06b-NDP0-8.5",'SKU明细'!$A$11:$A$1309,0)))&lt;1,SUM(INDEX('SKU明细'!$D$11:$D$1309,MATCH("B06b-NDP0-8.5",'SKU明细'!$A$11:$A$1309,0)))&amp;" + 待核",SUM(INDEX('SKU明细'!$D$11:$D$1309,MATCH("B06b-NDP0-8.5",'SKU明细'!$A$11:$A$1309,0)))))</x:f>
        <x:v>0</x:v>
      </x:c>
      <x:c r="N154" s="38" t="n">
        <x:f>IF(COUNT(INDEX('SKU明细'!$D$11:$D$1309,MATCH("B06b-NDP0-9",'SKU明细'!$A$11:$A$1309,0)))=0,"待核",IF(COUNT(INDEX('SKU明细'!$D$11:$D$1309,MATCH("B06b-NDP0-9",'SKU明细'!$A$11:$A$1309,0)))&lt;1,SUM(INDEX('SKU明细'!$D$11:$D$1309,MATCH("B06b-NDP0-9",'SKU明细'!$A$11:$A$1309,0)))&amp;" + 待核",SUM(INDEX('SKU明细'!$D$11:$D$1309,MATCH("B06b-NDP0-9",'SKU明细'!$A$11:$A$1309,0)))))</x:f>
        <x:v>0</x:v>
      </x:c>
      <x:c r="O154" s="38" t="str">
        <x:f>"—"</x:f>
        <x:v>—</x:v>
      </x:c>
      <x:c r="P154" s="38" t="str">
        <x:f>"—"</x:f>
        <x:v>—</x:v>
      </x:c>
      <x:c r="Q154" s="38" t="str">
        <x:f>"—"</x:f>
        <x:v>—</x:v>
      </x:c>
      <x:c r="R154" s="38" t="n">
        <x:f>IF(COUNT(INDEX('SKU明细'!$D$11:$D$1309,MATCH("B06b-NDP0-11",'SKU明细'!$A$11:$A$1309,0)))=0,"待核",IF(COUNT(INDEX('SKU明细'!$D$11:$D$1309,MATCH("B06b-NDP0-11",'SKU明细'!$A$11:$A$1309,0)))&lt;1,SUM(INDEX('SKU明细'!$D$11:$D$1309,MATCH("B06b-NDP0-11",'SKU明细'!$A$11:$A$1309,0)))&amp;" + 待核",SUM(INDEX('SKU明细'!$D$11:$D$1309,MATCH("B06b-NDP0-11",'SKU明细'!$A$11:$A$1309,0)))))</x:f>
        <x:v>0</x:v>
      </x:c>
      <x:c r="S154" s="38" t="n">
        <x:f>IF(COUNT(INDEX('SKU明细'!$D$11:$D$1309,MATCH("B06b-NDP0-6",'SKU明细'!$A$11:$A$1309,0)),INDEX('SKU明细'!$D$11:$D$1309,MATCH("B06b-NDP0-7",'SKU明细'!$A$11:$A$1309,0)),INDEX('SKU明细'!$D$11:$D$1309,MATCH("B06b-NDP0-8",'SKU明细'!$A$11:$A$1309,0)),INDEX('SKU明细'!$D$11:$D$1309,MATCH("B06b-NDP0-8.5",'SKU明细'!$A$11:$A$1309,0)),INDEX('SKU明细'!$D$11:$D$1309,MATCH("B06b-NDP0-9",'SKU明细'!$A$11:$A$1309,0)),INDEX('SKU明细'!$D$11:$D$1309,MATCH("B06b-NDP0-11",'SKU明细'!$A$11:$A$1309,0)))=0,"待核",SUM(INDEX('SKU明细'!$D$11:$D$1309,MATCH("B06b-NDP0-6",'SKU明细'!$A$11:$A$1309,0)),INDEX('SKU明细'!$D$11:$D$1309,MATCH("B06b-NDP0-7",'SKU明细'!$A$11:$A$1309,0)),INDEX('SKU明细'!$D$11:$D$1309,MATCH("B06b-NDP0-8",'SKU明细'!$A$11:$A$1309,0)),INDEX('SKU明细'!$D$11:$D$1309,MATCH("B06b-NDP0-8.5",'SKU明细'!$A$11:$A$1309,0)),INDEX('SKU明细'!$D$11:$D$1309,MATCH("B06b-NDP0-9",'SKU明细'!$A$11:$A$1309,0)),INDEX('SKU明细'!$D$11:$D$1309,MATCH("B06b-NDP0-11",'SKU明细'!$A$11:$A$1309,0))))</x:f>
        <x:v>0</x:v>
      </x:c>
      <x:c r="T154" s="38" t="n">
        <x:f>IF(COUNTIFS($A$9:$A$191,A154,$U$9:$U$191,"&lt;&gt;待核")=0,"待核",SUMIF($A$9:$A$191,A154,$S$9:$S$191))</x:f>
        <x:v>132</x:v>
      </x:c>
      <x:c r="U154" s="37" t="str">
        <x:f>IF(COUNT(INDEX('SKU明细'!$D$11:$D$1309,MATCH("B06b-NDP0-6",'SKU明细'!$A$11:$A$1309,0)),INDEX('SKU明细'!$D$11:$D$1309,MATCH("B06b-NDP0-7",'SKU明细'!$A$11:$A$1309,0)),INDEX('SKU明细'!$D$11:$D$1309,MATCH("B06b-NDP0-8",'SKU明细'!$A$11:$A$1309,0)),INDEX('SKU明细'!$D$11:$D$1309,MATCH("B06b-NDP0-8.5",'SKU明细'!$A$11:$A$1309,0)),INDEX('SKU明细'!$D$11:$D$1309,MATCH("B06b-NDP0-9",'SKU明细'!$A$11:$A$1309,0)),INDEX('SKU明细'!$D$11:$D$1309,MATCH("B06b-NDP0-11",'SKU明细'!$A$11:$A$1309,0)))=0,"待核",IF(COUNT(INDEX('SKU明细'!$D$11:$D$1309,MATCH("B06b-NDP0-6",'SKU明细'!$A$11:$A$1309,0)),INDEX('SKU明细'!$D$11:$D$1309,MATCH("B06b-NDP0-7",'SKU明细'!$A$11:$A$1309,0)),INDEX('SKU明细'!$D$11:$D$1309,MATCH("B06b-NDP0-8",'SKU明细'!$A$11:$A$1309,0)),INDEX('SKU明细'!$D$11:$D$1309,MATCH("B06b-NDP0-8.5",'SKU明细'!$A$11:$A$1309,0)),INDEX('SKU明细'!$D$11:$D$1309,MATCH("B06b-NDP0-9",'SKU明细'!$A$11:$A$1309,0)),INDEX('SKU明细'!$D$11:$D$1309,MATCH("B06b-NDP0-11",'SKU明细'!$A$11:$A$1309,0)))&lt;6,"另有待核","已核"))</x:f>
        <x:v>已核</x:v>
      </x:c>
      <x:c r="V154" s="37" t="str">
        <x:v>在售、停售</x:v>
      </x:c>
      <x:c r="W154" s="11" t="n">
        <x:f>IF(COUNT(INDEX('SKU明细'!$BV$11:$BV$1309,MATCH("B06b-NDP0-6",'SKU明细'!$A$11:$A$1309,0)),INDEX('SKU明细'!$BV$11:$BV$1309,MATCH("B06b-NDP0-7",'SKU明细'!$A$11:$A$1309,0)),INDEX('SKU明细'!$BV$11:$BV$1309,MATCH("B06b-NDP0-8",'SKU明细'!$A$11:$A$1309,0)),INDEX('SKU明细'!$BV$11:$BV$1309,MATCH("B06b-NDP0-8.5",'SKU明细'!$A$11:$A$1309,0)),INDEX('SKU明细'!$BV$11:$BV$1309,MATCH("B06b-NDP0-9",'SKU明细'!$A$11:$A$1309,0)),INDEX('SKU明细'!$BV$11:$BV$1309,MATCH("B06b-NDP0-11",'SKU明细'!$A$11:$A$1309,0)))=6,SUM(INDEX('SKU明细'!$BV$11:$BV$1309,MATCH("B06b-NDP0-6",'SKU明细'!$A$11:$A$1309,0)),INDEX('SKU明细'!$BV$11:$BV$1309,MATCH("B06b-NDP0-7",'SKU明细'!$A$11:$A$1309,0)),INDEX('SKU明细'!$BV$11:$BV$1309,MATCH("B06b-NDP0-8",'SKU明细'!$A$11:$A$1309,0)),INDEX('SKU明细'!$BV$11:$BV$1309,MATCH("B06b-NDP0-8.5",'SKU明细'!$A$11:$A$1309,0)),INDEX('SKU明细'!$BV$11:$BV$1309,MATCH("B06b-NDP0-9",'SKU明细'!$A$11:$A$1309,0)),INDEX('SKU明细'!$BV$11:$BV$1309,MATCH("B06b-NDP0-11",'SKU明细'!$A$11:$A$1309,0))),"待核")</x:f>
        <x:v>0.949812540451568</x:v>
      </x:c>
      <x:c r="X154" s="11" t="n">
        <x:f>INDEX('SKU明细'!$BW$11:$BW$1309,MATCH("B06b-NDP0-6",'SKU明细'!$A$11:$A$1309,0))</x:f>
        <x:v>1.1090677182221615</x:v>
      </x:c>
      <x:c r="Y154" s="13" t="n">
        <x:f>IF(COUNT(INDEX('SKU明细'!$BY$11:$BY$1309,MATCH("B06b-NDP0-6",'SKU明细'!$A$11:$A$1309,0)),INDEX('SKU明细'!$BY$11:$BY$1309,MATCH("B06b-NDP0-7",'SKU明细'!$A$11:$A$1309,0)),INDEX('SKU明细'!$BY$11:$BY$1309,MATCH("B06b-NDP0-8",'SKU明细'!$A$11:$A$1309,0)),INDEX('SKU明细'!$BY$11:$BY$1309,MATCH("B06b-NDP0-8.5",'SKU明细'!$A$11:$A$1309,0)),INDEX('SKU明细'!$BY$11:$BY$1309,MATCH("B06b-NDP0-9",'SKU明细'!$A$11:$A$1309,0)),INDEX('SKU明细'!$BY$11:$BY$1309,MATCH("B06b-NDP0-11",'SKU明细'!$A$11:$A$1309,0)))=6,SUM(INDEX('SKU明细'!$BY$11:$BY$1309,MATCH("B06b-NDP0-6",'SKU明细'!$A$11:$A$1309,0)),INDEX('SKU明细'!$BY$11:$BY$1309,MATCH("B06b-NDP0-7",'SKU明细'!$A$11:$A$1309,0)),INDEX('SKU明细'!$BY$11:$BY$1309,MATCH("B06b-NDP0-8",'SKU明细'!$A$11:$A$1309,0)),INDEX('SKU明细'!$BY$11:$BY$1309,MATCH("B06b-NDP0-8.5",'SKU明细'!$A$11:$A$1309,0)),INDEX('SKU明细'!$BY$11:$BY$1309,MATCH("B06b-NDP0-9",'SKU明细'!$A$11:$A$1309,0)),INDEX('SKU明细'!$BY$11:$BY$1309,MATCH("B06b-NDP0-11",'SKU明细'!$A$11:$A$1309,0))),"待核")</x:f>
        <x:v>12.640877123728982</x:v>
      </x:c>
      <x:c r="Z154" s="11" t="n">
        <x:f>INDEX('SKU明细'!$BZ$11:$BZ$1309,MATCH("B06b-NDP0-6",'SKU明细'!$A$11:$A$1309,0))</x:f>
        <x:v>1.0372741535934282</x:v>
      </x:c>
      <x:c r="AA154" s="13" t="n">
        <x:f>IF(COUNT(INDEX('SKU明细'!$CB$11:$CB$1309,MATCH("B06b-NDP0-6",'SKU明细'!$A$11:$A$1309,0)),INDEX('SKU明细'!$CB$11:$CB$1309,MATCH("B06b-NDP0-7",'SKU明细'!$A$11:$A$1309,0)),INDEX('SKU明细'!$CB$11:$CB$1309,MATCH("B06b-NDP0-8",'SKU明细'!$A$11:$A$1309,0)),INDEX('SKU明细'!$CB$11:$CB$1309,MATCH("B06b-NDP0-8.5",'SKU明细'!$A$11:$A$1309,0)),INDEX('SKU明细'!$CB$11:$CB$1309,MATCH("B06b-NDP0-9",'SKU明细'!$A$11:$A$1309,0)),INDEX('SKU明细'!$CB$11:$CB$1309,MATCH("B06b-NDP0-11",'SKU明细'!$A$11:$A$1309,0)))=6,SUM(INDEX('SKU明细'!$CB$11:$CB$1309,MATCH("B06b-NDP0-6",'SKU明细'!$A$11:$A$1309,0)),INDEX('SKU明细'!$CB$11:$CB$1309,MATCH("B06b-NDP0-7",'SKU明细'!$A$11:$A$1309,0)),INDEX('SKU明细'!$CB$11:$CB$1309,MATCH("B06b-NDP0-8",'SKU明细'!$A$11:$A$1309,0)),INDEX('SKU明细'!$CB$11:$CB$1309,MATCH("B06b-NDP0-8.5",'SKU明细'!$A$11:$A$1309,0)),INDEX('SKU明细'!$CB$11:$CB$1309,MATCH("B06b-NDP0-9",'SKU明细'!$A$11:$A$1309,0)),INDEX('SKU明细'!$CB$11:$CB$1309,MATCH("B06b-NDP0-11",'SKU明细'!$A$11:$A$1309,0))),"待核")</x:f>
        <x:v>29.556479969079724</x:v>
      </x:c>
      <x:c r="AB154" s="11" t="n">
        <x:f>INDEX('SKU明细'!$CC$11:$CC$1309,MATCH("B06b-NDP0-6",'SKU明细'!$A$11:$A$1309,0))</x:f>
        <x:v>0.979949351738161</x:v>
      </x:c>
      <x:c r="AC154" s="13" t="n">
        <x:f>IF(COUNT(INDEX('SKU明细'!$CE$11:$CE$1309,MATCH("B06b-NDP0-6",'SKU明细'!$A$11:$A$1309,0)),INDEX('SKU明细'!$CE$11:$CE$1309,MATCH("B06b-NDP0-7",'SKU明细'!$A$11:$A$1309,0)),INDEX('SKU明细'!$CE$11:$CE$1309,MATCH("B06b-NDP0-8",'SKU明细'!$A$11:$A$1309,0)),INDEX('SKU明细'!$CE$11:$CE$1309,MATCH("B06b-NDP0-8.5",'SKU明细'!$A$11:$A$1309,0)),INDEX('SKU明细'!$CE$11:$CE$1309,MATCH("B06b-NDP0-9",'SKU明细'!$A$11:$A$1309,0)),INDEX('SKU明细'!$CE$11:$CE$1309,MATCH("B06b-NDP0-11",'SKU明细'!$A$11:$A$1309,0)))=6,SUM(INDEX('SKU明细'!$CE$11:$CE$1309,MATCH("B06b-NDP0-6",'SKU明细'!$A$11:$A$1309,0)),INDEX('SKU明细'!$CE$11:$CE$1309,MATCH("B06b-NDP0-7",'SKU明细'!$A$11:$A$1309,0)),INDEX('SKU明细'!$CE$11:$CE$1309,MATCH("B06b-NDP0-8",'SKU明细'!$A$11:$A$1309,0)),INDEX('SKU明细'!$CE$11:$CE$1309,MATCH("B06b-NDP0-8.5",'SKU明细'!$A$11:$A$1309,0)),INDEX('SKU明细'!$CE$11:$CE$1309,MATCH("B06b-NDP0-9",'SKU明细'!$A$11:$A$1309,0)),INDEX('SKU明细'!$CE$11:$CE$1309,MATCH("B06b-NDP0-11",'SKU明细'!$A$11:$A$1309,0))),"待核")</x:f>
        <x:v>28.85381368193699</x:v>
      </x:c>
      <x:c r="AD154" s="11" t="n">
        <x:f>INDEX('SKU明细'!$CF$11:$CF$1309,MATCH("B06b-NDP0-6",'SKU明细'!$A$11:$A$1309,0))</x:f>
        <x:v>1.1571949690048173</x:v>
      </x:c>
      <x:c r="AE154" s="13" t="n">
        <x:f>IF(COUNT(INDEX('SKU明细'!$CH$11:$CH$1309,MATCH("B06b-NDP0-6",'SKU明细'!$A$11:$A$1309,0)),INDEX('SKU明细'!$CH$11:$CH$1309,MATCH("B06b-NDP0-7",'SKU明细'!$A$11:$A$1309,0)),INDEX('SKU明细'!$CH$11:$CH$1309,MATCH("B06b-NDP0-8",'SKU明细'!$A$11:$A$1309,0)),INDEX('SKU明细'!$CH$11:$CH$1309,MATCH("B06b-NDP0-8.5",'SKU明细'!$A$11:$A$1309,0)),INDEX('SKU明细'!$CH$11:$CH$1309,MATCH("B06b-NDP0-9",'SKU明细'!$A$11:$A$1309,0)),INDEX('SKU明细'!$CH$11:$CH$1309,MATCH("B06b-NDP0-11",'SKU明细'!$A$11:$A$1309,0)))=6,SUM(INDEX('SKU明细'!$CH$11:$CH$1309,MATCH("B06b-NDP0-6",'SKU明细'!$A$11:$A$1309,0)),INDEX('SKU明细'!$CH$11:$CH$1309,MATCH("B06b-NDP0-7",'SKU明细'!$A$11:$A$1309,0)),INDEX('SKU明细'!$CH$11:$CH$1309,MATCH("B06b-NDP0-8",'SKU明细'!$A$11:$A$1309,0)),INDEX('SKU明细'!$CH$11:$CH$1309,MATCH("B06b-NDP0-8.5",'SKU明细'!$A$11:$A$1309,0)),INDEX('SKU明细'!$CH$11:$CH$1309,MATCH("B06b-NDP0-9",'SKU明细'!$A$11:$A$1309,0)),INDEX('SKU明细'!$CH$11:$CH$1309,MATCH("B06b-NDP0-11",'SKU明细'!$A$11:$A$1309,0))),"待核")</x:f>
        <x:v>18.685010986240062</x:v>
      </x:c>
      <x:c r="AF154" s="13" t="n">
        <x:f>IF(COUNT(INDEX('SKU明细'!$CI$11:$CI$1309,MATCH("B06b-NDP0-6",'SKU明细'!$A$11:$A$1309,0)),INDEX('SKU明细'!$CI$11:$CI$1309,MATCH("B06b-NDP0-7",'SKU明细'!$A$11:$A$1309,0)),INDEX('SKU明细'!$CI$11:$CI$1309,MATCH("B06b-NDP0-8",'SKU明细'!$A$11:$A$1309,0)),INDEX('SKU明细'!$CI$11:$CI$1309,MATCH("B06b-NDP0-8.5",'SKU明细'!$A$11:$A$1309,0)),INDEX('SKU明细'!$CI$11:$CI$1309,MATCH("B06b-NDP0-9",'SKU明细'!$A$11:$A$1309,0)),INDEX('SKU明细'!$CI$11:$CI$1309,MATCH("B06b-NDP0-11",'SKU明细'!$A$11:$A$1309,0)))=6,SUM(INDEX('SKU明细'!$CI$11:$CI$1309,MATCH("B06b-NDP0-6",'SKU明细'!$A$11:$A$1309,0)),INDEX('SKU明细'!$CI$11:$CI$1309,MATCH("B06b-NDP0-7",'SKU明细'!$A$11:$A$1309,0)),INDEX('SKU明细'!$CI$11:$CI$1309,MATCH("B06b-NDP0-8",'SKU明细'!$A$11:$A$1309,0)),INDEX('SKU明细'!$CI$11:$CI$1309,MATCH("B06b-NDP0-8.5",'SKU明细'!$A$11:$A$1309,0)),INDEX('SKU明细'!$CI$11:$CI$1309,MATCH("B06b-NDP0-9",'SKU明细'!$A$11:$A$1309,0)),INDEX('SKU明细'!$CI$11:$CI$1309,MATCH("B06b-NDP0-11",'SKU明细'!$A$11:$A$1309,0))),"待核")</x:f>
        <x:v>89.73618176098576</x:v>
      </x:c>
    </x:row>
    <x:row r="155" ht="40" customHeight="1">
      <x:c r="A155" s="37" t="str">
        <x:v>B06b</x:v>
      </x:c>
      <x:c r="B155" s="37" t="str">
        <x:v>艾年</x:v>
      </x:c>
      <x:c r="C155" s="37" t="str">
        <x:v>裸色羊京绒</x:v>
      </x:c>
      <x:c r="D155" s="37" t="str">
        <x:v>NU</x:v>
      </x:c>
      <x:c r="E155" s="37" t="str">
        <x:v>B06b-NU</x:v>
      </x:c>
      <x:c r="F155" s="37"/>
      <x:c r="G155" s="38" t="str">
        <x:f>"—"</x:f>
        <x:v>—</x:v>
      </x:c>
      <x:c r="H155" s="38" t="n">
        <x:f>IF(COUNT(INDEX('SKU明细'!$D$11:$D$1309,MATCH("B06b-NU-37-N",'SKU明细'!$A$11:$A$1309,0)))=0,"待核",IF(COUNT(INDEX('SKU明细'!$D$11:$D$1309,MATCH("B06b-NU-37-N",'SKU明细'!$A$11:$A$1309,0)))&lt;1,SUM(INDEX('SKU明细'!$D$11:$D$1309,MATCH("B06b-NU-37-N",'SKU明细'!$A$11:$A$1309,0)))&amp;" + 待核",SUM(INDEX('SKU明细'!$D$11:$D$1309,MATCH("B06b-NU-37-N",'SKU明细'!$A$11:$A$1309,0)))))</x:f>
        <x:v>0</x:v>
      </x:c>
      <x:c r="I155" s="38" t="n">
        <x:f>IF(COUNT(INDEX('SKU明细'!$D$11:$D$1309,MATCH("B06b-NU-37.5",'SKU明细'!$A$11:$A$1309,0)))=0,"待核",IF(COUNT(INDEX('SKU明细'!$D$11:$D$1309,MATCH("B06b-NU-37.5",'SKU明细'!$A$11:$A$1309,0)))&lt;1,SUM(INDEX('SKU明细'!$D$11:$D$1309,MATCH("B06b-NU-37.5",'SKU明细'!$A$11:$A$1309,0)))&amp;" + 待核",SUM(INDEX('SKU明细'!$D$11:$D$1309,MATCH("B06b-NU-37.5",'SKU明细'!$A$11:$A$1309,0)))))</x:f>
        <x:v>0</x:v>
      </x:c>
      <x:c r="J155" s="38" t="n">
        <x:f>IF(COUNT(INDEX('SKU明细'!$D$11:$D$1309,MATCH("B06b-NU-38-N",'SKU明细'!$A$11:$A$1309,0)))=0,"待核",IF(COUNT(INDEX('SKU明细'!$D$11:$D$1309,MATCH("B06b-NU-38-N",'SKU明细'!$A$11:$A$1309,0)))&lt;1,SUM(INDEX('SKU明细'!$D$11:$D$1309,MATCH("B06b-NU-38-N",'SKU明细'!$A$11:$A$1309,0)))&amp;" + 待核",SUM(INDEX('SKU明细'!$D$11:$D$1309,MATCH("B06b-NU-38-N",'SKU明细'!$A$11:$A$1309,0)))))</x:f>
        <x:v>0</x:v>
      </x:c>
      <x:c r="K155" s="38" t="n">
        <x:f>IF(COUNT(INDEX('SKU明细'!$D$11:$D$1309,MATCH("B06b-NU-38.5",'SKU明细'!$A$11:$A$1309,0)))=0,"待核",IF(COUNT(INDEX('SKU明细'!$D$11:$D$1309,MATCH("B06b-NU-38.5",'SKU明细'!$A$11:$A$1309,0)))&lt;1,SUM(INDEX('SKU明细'!$D$11:$D$1309,MATCH("B06b-NU-38.5",'SKU明细'!$A$11:$A$1309,0)))&amp;" + 待核",SUM(INDEX('SKU明细'!$D$11:$D$1309,MATCH("B06b-NU-38.5",'SKU明细'!$A$11:$A$1309,0)))))</x:f>
        <x:v>0</x:v>
      </x:c>
      <x:c r="L155" s="38" t="n">
        <x:f>IF(COUNT(INDEX('SKU明细'!$D$11:$D$1309,MATCH("B06b-NU-39-N",'SKU明细'!$A$11:$A$1309,0)))=0,"待核",IF(COUNT(INDEX('SKU明细'!$D$11:$D$1309,MATCH("B06b-NU-39-N",'SKU明细'!$A$11:$A$1309,0)))&lt;1,SUM(INDEX('SKU明细'!$D$11:$D$1309,MATCH("B06b-NU-39-N",'SKU明细'!$A$11:$A$1309,0)))&amp;" + 待核",SUM(INDEX('SKU明细'!$D$11:$D$1309,MATCH("B06b-NU-39-N",'SKU明细'!$A$11:$A$1309,0)))))</x:f>
        <x:v>0</x:v>
      </x:c>
      <x:c r="M155" s="38" t="n">
        <x:f>IF(COUNT(INDEX('SKU明细'!$D$11:$D$1309,MATCH("B06b-NU-39.5",'SKU明细'!$A$11:$A$1309,0)))=0,"待核",IF(COUNT(INDEX('SKU明细'!$D$11:$D$1309,MATCH("B06b-NU-39.5",'SKU明细'!$A$11:$A$1309,0)))&lt;1,SUM(INDEX('SKU明细'!$D$11:$D$1309,MATCH("B06b-NU-39.5",'SKU明细'!$A$11:$A$1309,0)))&amp;" + 待核",SUM(INDEX('SKU明细'!$D$11:$D$1309,MATCH("B06b-NU-39.5",'SKU明细'!$A$11:$A$1309,0)))))</x:f>
        <x:v>0</x:v>
      </x:c>
      <x:c r="N155" s="38" t="n">
        <x:f>IF(COUNT(INDEX('SKU明细'!$D$11:$D$1309,MATCH("B06b-NU-40",'SKU明细'!$A$11:$A$1309,0)))=0,"待核",IF(COUNT(INDEX('SKU明细'!$D$11:$D$1309,MATCH("B06b-NU-40",'SKU明细'!$A$11:$A$1309,0)))&lt;1,SUM(INDEX('SKU明细'!$D$11:$D$1309,MATCH("B06b-NU-40",'SKU明细'!$A$11:$A$1309,0)))&amp;" + 待核",SUM(INDEX('SKU明细'!$D$11:$D$1309,MATCH("B06b-NU-40",'SKU明细'!$A$11:$A$1309,0)))))</x:f>
        <x:v>0</x:v>
      </x:c>
      <x:c r="O155" s="38" t="n">
        <x:f>IF(COUNT(INDEX('SKU明细'!$D$11:$D$1309,MATCH("B06b-NU-40.5",'SKU明细'!$A$11:$A$1309,0)))=0,"待核",IF(COUNT(INDEX('SKU明细'!$D$11:$D$1309,MATCH("B06b-NU-40.5",'SKU明细'!$A$11:$A$1309,0)))&lt;1,SUM(INDEX('SKU明细'!$D$11:$D$1309,MATCH("B06b-NU-40.5",'SKU明细'!$A$11:$A$1309,0)))&amp;" + 待核",SUM(INDEX('SKU明细'!$D$11:$D$1309,MATCH("B06b-NU-40.5",'SKU明细'!$A$11:$A$1309,0)))))</x:f>
        <x:v>0</x:v>
      </x:c>
      <x:c r="P155" s="38" t="n">
        <x:f>IF(COUNT(INDEX('SKU明细'!$D$11:$D$1309,MATCH("B06b-NU-41",'SKU明细'!$A$11:$A$1309,0)))=0,"待核",IF(COUNT(INDEX('SKU明细'!$D$11:$D$1309,MATCH("B06b-NU-41",'SKU明细'!$A$11:$A$1309,0)))&lt;1,SUM(INDEX('SKU明细'!$D$11:$D$1309,MATCH("B06b-NU-41",'SKU明细'!$A$11:$A$1309,0)))&amp;" + 待核",SUM(INDEX('SKU明细'!$D$11:$D$1309,MATCH("B06b-NU-41",'SKU明细'!$A$11:$A$1309,0)))))</x:f>
        <x:v>0</x:v>
      </x:c>
      <x:c r="Q155" s="38" t="n">
        <x:f>IF(COUNT(INDEX('SKU明细'!$D$11:$D$1309,MATCH("B06b-NU-41.5",'SKU明细'!$A$11:$A$1309,0)))=0,"待核",IF(COUNT(INDEX('SKU明细'!$D$11:$D$1309,MATCH("B06b-NU-41.5",'SKU明细'!$A$11:$A$1309,0)))&lt;1,SUM(INDEX('SKU明细'!$D$11:$D$1309,MATCH("B06b-NU-41.5",'SKU明细'!$A$11:$A$1309,0)))&amp;" + 待核",SUM(INDEX('SKU明细'!$D$11:$D$1309,MATCH("B06b-NU-41.5",'SKU明细'!$A$11:$A$1309,0)))))</x:f>
        <x:v>10</x:v>
      </x:c>
      <x:c r="R155" s="38" t="n">
        <x:f>IF(COUNT(INDEX('SKU明细'!$D$11:$D$1309,MATCH("B06b-NU-42",'SKU明细'!$A$11:$A$1309,0)))=0,"待核",IF(COUNT(INDEX('SKU明细'!$D$11:$D$1309,MATCH("B06b-NU-42",'SKU明细'!$A$11:$A$1309,0)))&lt;1,SUM(INDEX('SKU明细'!$D$11:$D$1309,MATCH("B06b-NU-42",'SKU明细'!$A$11:$A$1309,0)))&amp;" + 待核",SUM(INDEX('SKU明细'!$D$11:$D$1309,MATCH("B06b-NU-42",'SKU明细'!$A$11:$A$1309,0)))))</x:f>
        <x:v>14</x:v>
      </x:c>
      <x:c r="S155" s="38" t="n">
        <x:f>IF(COUNT(INDEX('SKU明细'!$D$11:$D$1309,MATCH("B06b-NU-37-N",'SKU明细'!$A$11:$A$1309,0)),INDEX('SKU明细'!$D$11:$D$1309,MATCH("B06b-NU-37.5",'SKU明细'!$A$11:$A$1309,0)),INDEX('SKU明细'!$D$11:$D$1309,MATCH("B06b-NU-38-N",'SKU明细'!$A$11:$A$1309,0)),INDEX('SKU明细'!$D$11:$D$1309,MATCH("B06b-NU-38.5",'SKU明细'!$A$11:$A$1309,0)),INDEX('SKU明细'!$D$11:$D$1309,MATCH("B06b-NU-39-N",'SKU明细'!$A$11:$A$1309,0)),INDEX('SKU明细'!$D$11:$D$1309,MATCH("B06b-NU-39.5",'SKU明细'!$A$11:$A$1309,0)),INDEX('SKU明细'!$D$11:$D$1309,MATCH("B06b-NU-40",'SKU明细'!$A$11:$A$1309,0)),INDEX('SKU明细'!$D$11:$D$1309,MATCH("B06b-NU-40.5",'SKU明细'!$A$11:$A$1309,0)),INDEX('SKU明细'!$D$11:$D$1309,MATCH("B06b-NU-41",'SKU明细'!$A$11:$A$1309,0)),INDEX('SKU明细'!$D$11:$D$1309,MATCH("B06b-NU-41.5",'SKU明细'!$A$11:$A$1309,0)),INDEX('SKU明细'!$D$11:$D$1309,MATCH("B06b-NU-42",'SKU明细'!$A$11:$A$1309,0)))=0,"待核",SUM(INDEX('SKU明细'!$D$11:$D$1309,MATCH("B06b-NU-37-N",'SKU明细'!$A$11:$A$1309,0)),INDEX('SKU明细'!$D$11:$D$1309,MATCH("B06b-NU-37.5",'SKU明细'!$A$11:$A$1309,0)),INDEX('SKU明细'!$D$11:$D$1309,MATCH("B06b-NU-38-N",'SKU明细'!$A$11:$A$1309,0)),INDEX('SKU明细'!$D$11:$D$1309,MATCH("B06b-NU-38.5",'SKU明细'!$A$11:$A$1309,0)),INDEX('SKU明细'!$D$11:$D$1309,MATCH("B06b-NU-39-N",'SKU明细'!$A$11:$A$1309,0)),INDEX('SKU明细'!$D$11:$D$1309,MATCH("B06b-NU-39.5",'SKU明细'!$A$11:$A$1309,0)),INDEX('SKU明细'!$D$11:$D$1309,MATCH("B06b-NU-40",'SKU明细'!$A$11:$A$1309,0)),INDEX('SKU明细'!$D$11:$D$1309,MATCH("B06b-NU-40.5",'SKU明细'!$A$11:$A$1309,0)),INDEX('SKU明细'!$D$11:$D$1309,MATCH("B06b-NU-41",'SKU明细'!$A$11:$A$1309,0)),INDEX('SKU明细'!$D$11:$D$1309,MATCH("B06b-NU-41.5",'SKU明细'!$A$11:$A$1309,0)),INDEX('SKU明细'!$D$11:$D$1309,MATCH("B06b-NU-42",'SKU明细'!$A$11:$A$1309,0))))</x:f>
        <x:v>24</x:v>
      </x:c>
      <x:c r="T155" s="38" t="n">
        <x:f>IF(COUNTIFS($A$9:$A$191,A155,$U$9:$U$191,"&lt;&gt;待核")=0,"待核",SUMIF($A$9:$A$191,A155,$S$9:$S$191))</x:f>
        <x:v>132</x:v>
      </x:c>
      <x:c r="U155" s="37" t="str">
        <x:f>IF(COUNT(INDEX('SKU明细'!$D$11:$D$1309,MATCH("B06b-NU-37-N",'SKU明细'!$A$11:$A$1309,0)),INDEX('SKU明细'!$D$11:$D$1309,MATCH("B06b-NU-37.5",'SKU明细'!$A$11:$A$1309,0)),INDEX('SKU明细'!$D$11:$D$1309,MATCH("B06b-NU-38-N",'SKU明细'!$A$11:$A$1309,0)),INDEX('SKU明细'!$D$11:$D$1309,MATCH("B06b-NU-38.5",'SKU明细'!$A$11:$A$1309,0)),INDEX('SKU明细'!$D$11:$D$1309,MATCH("B06b-NU-39-N",'SKU明细'!$A$11:$A$1309,0)),INDEX('SKU明细'!$D$11:$D$1309,MATCH("B06b-NU-39.5",'SKU明细'!$A$11:$A$1309,0)),INDEX('SKU明细'!$D$11:$D$1309,MATCH("B06b-NU-40",'SKU明细'!$A$11:$A$1309,0)),INDEX('SKU明细'!$D$11:$D$1309,MATCH("B06b-NU-40.5",'SKU明细'!$A$11:$A$1309,0)),INDEX('SKU明细'!$D$11:$D$1309,MATCH("B06b-NU-41",'SKU明细'!$A$11:$A$1309,0)),INDEX('SKU明细'!$D$11:$D$1309,MATCH("B06b-NU-41.5",'SKU明细'!$A$11:$A$1309,0)),INDEX('SKU明细'!$D$11:$D$1309,MATCH("B06b-NU-42",'SKU明细'!$A$11:$A$1309,0)))=0,"待核",IF(COUNT(INDEX('SKU明细'!$D$11:$D$1309,MATCH("B06b-NU-37-N",'SKU明细'!$A$11:$A$1309,0)),INDEX('SKU明细'!$D$11:$D$1309,MATCH("B06b-NU-37.5",'SKU明细'!$A$11:$A$1309,0)),INDEX('SKU明细'!$D$11:$D$1309,MATCH("B06b-NU-38-N",'SKU明细'!$A$11:$A$1309,0)),INDEX('SKU明细'!$D$11:$D$1309,MATCH("B06b-NU-38.5",'SKU明细'!$A$11:$A$1309,0)),INDEX('SKU明细'!$D$11:$D$1309,MATCH("B06b-NU-39-N",'SKU明细'!$A$11:$A$1309,0)),INDEX('SKU明细'!$D$11:$D$1309,MATCH("B06b-NU-39.5",'SKU明细'!$A$11:$A$1309,0)),INDEX('SKU明细'!$D$11:$D$1309,MATCH("B06b-NU-40",'SKU明细'!$A$11:$A$1309,0)),INDEX('SKU明细'!$D$11:$D$1309,MATCH("B06b-NU-40.5",'SKU明细'!$A$11:$A$1309,0)),INDEX('SKU明细'!$D$11:$D$1309,MATCH("B06b-NU-41",'SKU明细'!$A$11:$A$1309,0)),INDEX('SKU明细'!$D$11:$D$1309,MATCH("B06b-NU-41.5",'SKU明细'!$A$11:$A$1309,0)),INDEX('SKU明细'!$D$11:$D$1309,MATCH("B06b-NU-42",'SKU明细'!$A$11:$A$1309,0)))&lt;11,"另有待核","已核"))</x:f>
        <x:v>已核</x:v>
      </x:c>
      <x:c r="V155" s="37" t="str">
        <x:v>在售、停售</x:v>
      </x:c>
      <x:c r="W155" s="11" t="n">
        <x:f>IF(COUNT(INDEX('SKU明细'!$BV$11:$BV$1309,MATCH("B06b-NU-37-N",'SKU明细'!$A$11:$A$1309,0)),INDEX('SKU明细'!$BV$11:$BV$1309,MATCH("B06b-NU-37.5",'SKU明细'!$A$11:$A$1309,0)),INDEX('SKU明细'!$BV$11:$BV$1309,MATCH("B06b-NU-38-N",'SKU明细'!$A$11:$A$1309,0)),INDEX('SKU明细'!$BV$11:$BV$1309,MATCH("B06b-NU-38.5",'SKU明细'!$A$11:$A$1309,0)),INDEX('SKU明细'!$BV$11:$BV$1309,MATCH("B06b-NU-39-N",'SKU明细'!$A$11:$A$1309,0)),INDEX('SKU明细'!$BV$11:$BV$1309,MATCH("B06b-NU-39.5",'SKU明细'!$A$11:$A$1309,0)),INDEX('SKU明细'!$BV$11:$BV$1309,MATCH("B06b-NU-40",'SKU明细'!$A$11:$A$1309,0)),INDEX('SKU明细'!$BV$11:$BV$1309,MATCH("B06b-NU-40.5",'SKU明细'!$A$11:$A$1309,0)),INDEX('SKU明细'!$BV$11:$BV$1309,MATCH("B06b-NU-41",'SKU明细'!$A$11:$A$1309,0)),INDEX('SKU明细'!$BV$11:$BV$1309,MATCH("B06b-NU-41.5",'SKU明细'!$A$11:$A$1309,0)),INDEX('SKU明细'!$BV$11:$BV$1309,MATCH("B06b-NU-42",'SKU明细'!$A$11:$A$1309,0)))=11,SUM(INDEX('SKU明细'!$BV$11:$BV$1309,MATCH("B06b-NU-37-N",'SKU明细'!$A$11:$A$1309,0)),INDEX('SKU明细'!$BV$11:$BV$1309,MATCH("B06b-NU-37.5",'SKU明细'!$A$11:$A$1309,0)),INDEX('SKU明细'!$BV$11:$BV$1309,MATCH("B06b-NU-38-N",'SKU明细'!$A$11:$A$1309,0)),INDEX('SKU明细'!$BV$11:$BV$1309,MATCH("B06b-NU-38.5",'SKU明细'!$A$11:$A$1309,0)),INDEX('SKU明细'!$BV$11:$BV$1309,MATCH("B06b-NU-39-N",'SKU明细'!$A$11:$A$1309,0)),INDEX('SKU明细'!$BV$11:$BV$1309,MATCH("B06b-NU-39.5",'SKU明细'!$A$11:$A$1309,0)),INDEX('SKU明细'!$BV$11:$BV$1309,MATCH("B06b-NU-40",'SKU明细'!$A$11:$A$1309,0)),INDEX('SKU明细'!$BV$11:$BV$1309,MATCH("B06b-NU-40.5",'SKU明细'!$A$11:$A$1309,0)),INDEX('SKU明细'!$BV$11:$BV$1309,MATCH("B06b-NU-41",'SKU明细'!$A$11:$A$1309,0)),INDEX('SKU明细'!$BV$11:$BV$1309,MATCH("B06b-NU-41.5",'SKU明细'!$A$11:$A$1309,0)),INDEX('SKU明细'!$BV$11:$BV$1309,MATCH("B06b-NU-42",'SKU明细'!$A$11:$A$1309,0))),"待核")</x:f>
        <x:v>2.6897557457416745</x:v>
      </x:c>
      <x:c r="X155" s="11" t="n">
        <x:f>INDEX('SKU明细'!$BW$11:$BW$1309,MATCH("B06b-NU-37-N",'SKU明细'!$A$11:$A$1309,0))</x:f>
        <x:v>1.1090677182221615</x:v>
      </x:c>
      <x:c r="Y155" s="13" t="n">
        <x:f>IF(COUNT(INDEX('SKU明细'!$BY$11:$BY$1309,MATCH("B06b-NU-37-N",'SKU明细'!$A$11:$A$1309,0)),INDEX('SKU明细'!$BY$11:$BY$1309,MATCH("B06b-NU-37.5",'SKU明细'!$A$11:$A$1309,0)),INDEX('SKU明细'!$BY$11:$BY$1309,MATCH("B06b-NU-38-N",'SKU明细'!$A$11:$A$1309,0)),INDEX('SKU明细'!$BY$11:$BY$1309,MATCH("B06b-NU-38.5",'SKU明细'!$A$11:$A$1309,0)),INDEX('SKU明细'!$BY$11:$BY$1309,MATCH("B06b-NU-39-N",'SKU明细'!$A$11:$A$1309,0)),INDEX('SKU明细'!$BY$11:$BY$1309,MATCH("B06b-NU-39.5",'SKU明细'!$A$11:$A$1309,0)),INDEX('SKU明细'!$BY$11:$BY$1309,MATCH("B06b-NU-40",'SKU明细'!$A$11:$A$1309,0)),INDEX('SKU明细'!$BY$11:$BY$1309,MATCH("B06b-NU-40.5",'SKU明细'!$A$11:$A$1309,0)),INDEX('SKU明细'!$BY$11:$BY$1309,MATCH("B06b-NU-41",'SKU明细'!$A$11:$A$1309,0)),INDEX('SKU明细'!$BY$11:$BY$1309,MATCH("B06b-NU-41.5",'SKU明细'!$A$11:$A$1309,0)),INDEX('SKU明细'!$BY$11:$BY$1309,MATCH("B06b-NU-42",'SKU明细'!$A$11:$A$1309,0)))=11,SUM(INDEX('SKU明细'!$BY$11:$BY$1309,MATCH("B06b-NU-37-N",'SKU明细'!$A$11:$A$1309,0)),INDEX('SKU明细'!$BY$11:$BY$1309,MATCH("B06b-NU-37.5",'SKU明细'!$A$11:$A$1309,0)),INDEX('SKU明细'!$BY$11:$BY$1309,MATCH("B06b-NU-38-N",'SKU明细'!$A$11:$A$1309,0)),INDEX('SKU明细'!$BY$11:$BY$1309,MATCH("B06b-NU-38.5",'SKU明细'!$A$11:$A$1309,0)),INDEX('SKU明细'!$BY$11:$BY$1309,MATCH("B06b-NU-39-N",'SKU明细'!$A$11:$A$1309,0)),INDEX('SKU明细'!$BY$11:$BY$1309,MATCH("B06b-NU-39.5",'SKU明细'!$A$11:$A$1309,0)),INDEX('SKU明细'!$BY$11:$BY$1309,MATCH("B06b-NU-40",'SKU明细'!$A$11:$A$1309,0)),INDEX('SKU明细'!$BY$11:$BY$1309,MATCH("B06b-NU-40.5",'SKU明细'!$A$11:$A$1309,0)),INDEX('SKU明细'!$BY$11:$BY$1309,MATCH("B06b-NU-41",'SKU明细'!$A$11:$A$1309,0)),INDEX('SKU明细'!$BY$11:$BY$1309,MATCH("B06b-NU-41.5",'SKU明细'!$A$11:$A$1309,0)),INDEX('SKU明细'!$BY$11:$BY$1309,MATCH("B06b-NU-42",'SKU明细'!$A$11:$A$1309,0))),"待核")</x:f>
        <x:v>35.797455210056015</x:v>
      </x:c>
      <x:c r="Z155" s="11" t="n">
        <x:f>INDEX('SKU明细'!$BZ$11:$BZ$1309,MATCH("B06b-NU-37-N",'SKU明细'!$A$11:$A$1309,0))</x:f>
        <x:v>1.0372741535934282</x:v>
      </x:c>
      <x:c r="AA155" s="13" t="n">
        <x:f>IF(COUNT(INDEX('SKU明细'!$CB$11:$CB$1309,MATCH("B06b-NU-37-N",'SKU明细'!$A$11:$A$1309,0)),INDEX('SKU明细'!$CB$11:$CB$1309,MATCH("B06b-NU-37.5",'SKU明细'!$A$11:$A$1309,0)),INDEX('SKU明细'!$CB$11:$CB$1309,MATCH("B06b-NU-38-N",'SKU明细'!$A$11:$A$1309,0)),INDEX('SKU明细'!$CB$11:$CB$1309,MATCH("B06b-NU-38.5",'SKU明细'!$A$11:$A$1309,0)),INDEX('SKU明细'!$CB$11:$CB$1309,MATCH("B06b-NU-39-N",'SKU明细'!$A$11:$A$1309,0)),INDEX('SKU明细'!$CB$11:$CB$1309,MATCH("B06b-NU-39.5",'SKU明细'!$A$11:$A$1309,0)),INDEX('SKU明细'!$CB$11:$CB$1309,MATCH("B06b-NU-40",'SKU明细'!$A$11:$A$1309,0)),INDEX('SKU明细'!$CB$11:$CB$1309,MATCH("B06b-NU-40.5",'SKU明细'!$A$11:$A$1309,0)),INDEX('SKU明细'!$CB$11:$CB$1309,MATCH("B06b-NU-41",'SKU明细'!$A$11:$A$1309,0)),INDEX('SKU明细'!$CB$11:$CB$1309,MATCH("B06b-NU-41.5",'SKU明细'!$A$11:$A$1309,0)),INDEX('SKU明细'!$CB$11:$CB$1309,MATCH("B06b-NU-42",'SKU明细'!$A$11:$A$1309,0)))=11,SUM(INDEX('SKU明细'!$CB$11:$CB$1309,MATCH("B06b-NU-37-N",'SKU明细'!$A$11:$A$1309,0)),INDEX('SKU明细'!$CB$11:$CB$1309,MATCH("B06b-NU-37.5",'SKU明细'!$A$11:$A$1309,0)),INDEX('SKU明细'!$CB$11:$CB$1309,MATCH("B06b-NU-38-N",'SKU明细'!$A$11:$A$1309,0)),INDEX('SKU明细'!$CB$11:$CB$1309,MATCH("B06b-NU-38.5",'SKU明细'!$A$11:$A$1309,0)),INDEX('SKU明细'!$CB$11:$CB$1309,MATCH("B06b-NU-39-N",'SKU明细'!$A$11:$A$1309,0)),INDEX('SKU明细'!$CB$11:$CB$1309,MATCH("B06b-NU-39.5",'SKU明细'!$A$11:$A$1309,0)),INDEX('SKU明细'!$CB$11:$CB$1309,MATCH("B06b-NU-40",'SKU明细'!$A$11:$A$1309,0)),INDEX('SKU明细'!$CB$11:$CB$1309,MATCH("B06b-NU-40.5",'SKU明细'!$A$11:$A$1309,0)),INDEX('SKU明细'!$CB$11:$CB$1309,MATCH("B06b-NU-41",'SKU明细'!$A$11:$A$1309,0)),INDEX('SKU明细'!$CB$11:$CB$1309,MATCH("B06b-NU-41.5",'SKU明细'!$A$11:$A$1309,0)),INDEX('SKU明细'!$CB$11:$CB$1309,MATCH("B06b-NU-42",'SKU明细'!$A$11:$A$1309,0))),"待核")</x:f>
        <x:v>83.70042343611767</x:v>
      </x:c>
      <x:c r="AB155" s="11" t="n">
        <x:f>INDEX('SKU明细'!$CC$11:$CC$1309,MATCH("B06b-NU-37-N",'SKU明细'!$A$11:$A$1309,0))</x:f>
        <x:v>0.979949351738161</x:v>
      </x:c>
      <x:c r="AC155" s="13" t="n">
        <x:f>IF(COUNT(INDEX('SKU明细'!$CE$11:$CE$1309,MATCH("B06b-NU-37-N",'SKU明细'!$A$11:$A$1309,0)),INDEX('SKU明细'!$CE$11:$CE$1309,MATCH("B06b-NU-37.5",'SKU明细'!$A$11:$A$1309,0)),INDEX('SKU明细'!$CE$11:$CE$1309,MATCH("B06b-NU-38-N",'SKU明细'!$A$11:$A$1309,0)),INDEX('SKU明细'!$CE$11:$CE$1309,MATCH("B06b-NU-38.5",'SKU明细'!$A$11:$A$1309,0)),INDEX('SKU明细'!$CE$11:$CE$1309,MATCH("B06b-NU-39-N",'SKU明细'!$A$11:$A$1309,0)),INDEX('SKU明细'!$CE$11:$CE$1309,MATCH("B06b-NU-39.5",'SKU明细'!$A$11:$A$1309,0)),INDEX('SKU明细'!$CE$11:$CE$1309,MATCH("B06b-NU-40",'SKU明细'!$A$11:$A$1309,0)),INDEX('SKU明细'!$CE$11:$CE$1309,MATCH("B06b-NU-40.5",'SKU明细'!$A$11:$A$1309,0)),INDEX('SKU明细'!$CE$11:$CE$1309,MATCH("B06b-NU-41",'SKU明细'!$A$11:$A$1309,0)),INDEX('SKU明细'!$CE$11:$CE$1309,MATCH("B06b-NU-41.5",'SKU明细'!$A$11:$A$1309,0)),INDEX('SKU明细'!$CE$11:$CE$1309,MATCH("B06b-NU-42",'SKU明细'!$A$11:$A$1309,0)))=11,SUM(INDEX('SKU明细'!$CE$11:$CE$1309,MATCH("B06b-NU-37-N",'SKU明细'!$A$11:$A$1309,0)),INDEX('SKU明细'!$CE$11:$CE$1309,MATCH("B06b-NU-37.5",'SKU明细'!$A$11:$A$1309,0)),INDEX('SKU明细'!$CE$11:$CE$1309,MATCH("B06b-NU-38-N",'SKU明细'!$A$11:$A$1309,0)),INDEX('SKU明细'!$CE$11:$CE$1309,MATCH("B06b-NU-38.5",'SKU明细'!$A$11:$A$1309,0)),INDEX('SKU明细'!$CE$11:$CE$1309,MATCH("B06b-NU-39-N",'SKU明细'!$A$11:$A$1309,0)),INDEX('SKU明细'!$CE$11:$CE$1309,MATCH("B06b-NU-39.5",'SKU明细'!$A$11:$A$1309,0)),INDEX('SKU明细'!$CE$11:$CE$1309,MATCH("B06b-NU-40",'SKU明细'!$A$11:$A$1309,0)),INDEX('SKU明细'!$CE$11:$CE$1309,MATCH("B06b-NU-40.5",'SKU明细'!$A$11:$A$1309,0)),INDEX('SKU明细'!$CE$11:$CE$1309,MATCH("B06b-NU-41",'SKU明细'!$A$11:$A$1309,0)),INDEX('SKU明细'!$CE$11:$CE$1309,MATCH("B06b-NU-41.5",'SKU明细'!$A$11:$A$1309,0)),INDEX('SKU明细'!$CE$11:$CE$1309,MATCH("B06b-NU-42",'SKU明细'!$A$11:$A$1309,0))),"待核")</x:f>
        <x:v>81.71055638057999</x:v>
      </x:c>
      <x:c r="AD155" s="11" t="n">
        <x:f>INDEX('SKU明细'!$CF$11:$CF$1309,MATCH("B06b-NU-37-N",'SKU明细'!$A$11:$A$1309,0))</x:f>
        <x:v>1.1571949690048173</x:v>
      </x:c>
      <x:c r="AE155" s="13" t="n">
        <x:f>IF(COUNT(INDEX('SKU明细'!$CH$11:$CH$1309,MATCH("B06b-NU-37-N",'SKU明细'!$A$11:$A$1309,0)),INDEX('SKU明细'!$CH$11:$CH$1309,MATCH("B06b-NU-37.5",'SKU明细'!$A$11:$A$1309,0)),INDEX('SKU明细'!$CH$11:$CH$1309,MATCH("B06b-NU-38-N",'SKU明细'!$A$11:$A$1309,0)),INDEX('SKU明细'!$CH$11:$CH$1309,MATCH("B06b-NU-38.5",'SKU明细'!$A$11:$A$1309,0)),INDEX('SKU明细'!$CH$11:$CH$1309,MATCH("B06b-NU-39-N",'SKU明细'!$A$11:$A$1309,0)),INDEX('SKU明细'!$CH$11:$CH$1309,MATCH("B06b-NU-39.5",'SKU明细'!$A$11:$A$1309,0)),INDEX('SKU明细'!$CH$11:$CH$1309,MATCH("B06b-NU-40",'SKU明细'!$A$11:$A$1309,0)),INDEX('SKU明细'!$CH$11:$CH$1309,MATCH("B06b-NU-40.5",'SKU明细'!$A$11:$A$1309,0)),INDEX('SKU明细'!$CH$11:$CH$1309,MATCH("B06b-NU-41",'SKU明细'!$A$11:$A$1309,0)),INDEX('SKU明细'!$CH$11:$CH$1309,MATCH("B06b-NU-41.5",'SKU明细'!$A$11:$A$1309,0)),INDEX('SKU明细'!$CH$11:$CH$1309,MATCH("B06b-NU-42",'SKU明细'!$A$11:$A$1309,0)))=11,SUM(INDEX('SKU明细'!$CH$11:$CH$1309,MATCH("B06b-NU-37-N",'SKU明细'!$A$11:$A$1309,0)),INDEX('SKU明细'!$CH$11:$CH$1309,MATCH("B06b-NU-37.5",'SKU明细'!$A$11:$A$1309,0)),INDEX('SKU明细'!$CH$11:$CH$1309,MATCH("B06b-NU-38-N",'SKU明细'!$A$11:$A$1309,0)),INDEX('SKU明细'!$CH$11:$CH$1309,MATCH("B06b-NU-38.5",'SKU明细'!$A$11:$A$1309,0)),INDEX('SKU明细'!$CH$11:$CH$1309,MATCH("B06b-NU-39-N",'SKU明细'!$A$11:$A$1309,0)),INDEX('SKU明细'!$CH$11:$CH$1309,MATCH("B06b-NU-39.5",'SKU明细'!$A$11:$A$1309,0)),INDEX('SKU明细'!$CH$11:$CH$1309,MATCH("B06b-NU-40",'SKU明细'!$A$11:$A$1309,0)),INDEX('SKU明细'!$CH$11:$CH$1309,MATCH("B06b-NU-40.5",'SKU明细'!$A$11:$A$1309,0)),INDEX('SKU明细'!$CH$11:$CH$1309,MATCH("B06b-NU-41",'SKU明细'!$A$11:$A$1309,0)),INDEX('SKU明细'!$CH$11:$CH$1309,MATCH("B06b-NU-41.5",'SKU明细'!$A$11:$A$1309,0)),INDEX('SKU明细'!$CH$11:$CH$1309,MATCH("B06b-NU-42",'SKU明细'!$A$11:$A$1309,0))),"待核")</x:f>
        <x:v>52.91372088600912</x:v>
      </x:c>
      <x:c r="AF155" s="13" t="n">
        <x:f>IF(COUNT(INDEX('SKU明细'!$CI$11:$CI$1309,MATCH("B06b-NU-37-N",'SKU明细'!$A$11:$A$1309,0)),INDEX('SKU明细'!$CI$11:$CI$1309,MATCH("B06b-NU-37.5",'SKU明细'!$A$11:$A$1309,0)),INDEX('SKU明细'!$CI$11:$CI$1309,MATCH("B06b-NU-38-N",'SKU明细'!$A$11:$A$1309,0)),INDEX('SKU明细'!$CI$11:$CI$1309,MATCH("B06b-NU-38.5",'SKU明细'!$A$11:$A$1309,0)),INDEX('SKU明细'!$CI$11:$CI$1309,MATCH("B06b-NU-39-N",'SKU明细'!$A$11:$A$1309,0)),INDEX('SKU明细'!$CI$11:$CI$1309,MATCH("B06b-NU-39.5",'SKU明细'!$A$11:$A$1309,0)),INDEX('SKU明细'!$CI$11:$CI$1309,MATCH("B06b-NU-40",'SKU明细'!$A$11:$A$1309,0)),INDEX('SKU明细'!$CI$11:$CI$1309,MATCH("B06b-NU-40.5",'SKU明细'!$A$11:$A$1309,0)),INDEX('SKU明细'!$CI$11:$CI$1309,MATCH("B06b-NU-41",'SKU明细'!$A$11:$A$1309,0)),INDEX('SKU明细'!$CI$11:$CI$1309,MATCH("B06b-NU-41.5",'SKU明细'!$A$11:$A$1309,0)),INDEX('SKU明细'!$CI$11:$CI$1309,MATCH("B06b-NU-42",'SKU明细'!$A$11:$A$1309,0)))=11,SUM(INDEX('SKU明细'!$CI$11:$CI$1309,MATCH("B06b-NU-37-N",'SKU明细'!$A$11:$A$1309,0)),INDEX('SKU明细'!$CI$11:$CI$1309,MATCH("B06b-NU-37.5",'SKU明细'!$A$11:$A$1309,0)),INDEX('SKU明细'!$CI$11:$CI$1309,MATCH("B06b-NU-38-N",'SKU明细'!$A$11:$A$1309,0)),INDEX('SKU明细'!$CI$11:$CI$1309,MATCH("B06b-NU-38.5",'SKU明细'!$A$11:$A$1309,0)),INDEX('SKU明细'!$CI$11:$CI$1309,MATCH("B06b-NU-39-N",'SKU明细'!$A$11:$A$1309,0)),INDEX('SKU明细'!$CI$11:$CI$1309,MATCH("B06b-NU-39.5",'SKU明细'!$A$11:$A$1309,0)),INDEX('SKU明细'!$CI$11:$CI$1309,MATCH("B06b-NU-40",'SKU明细'!$A$11:$A$1309,0)),INDEX('SKU明细'!$CI$11:$CI$1309,MATCH("B06b-NU-40.5",'SKU明细'!$A$11:$A$1309,0)),INDEX('SKU明细'!$CI$11:$CI$1309,MATCH("B06b-NU-41",'SKU明细'!$A$11:$A$1309,0)),INDEX('SKU明细'!$CI$11:$CI$1309,MATCH("B06b-NU-41.5",'SKU明细'!$A$11:$A$1309,0)),INDEX('SKU明细'!$CI$11:$CI$1309,MATCH("B06b-NU-42",'SKU明细'!$A$11:$A$1309,0))),"待核")</x:f>
        <x:v>254.12215591276285</x:v>
      </x:c>
    </x:row>
    <x:row r="156" ht="40" customHeight="1">
      <x:c r="A156" s="37" t="str">
        <x:v>B06b</x:v>
      </x:c>
      <x:c r="B156" s="37" t="str">
        <x:v>艾年</x:v>
      </x:c>
      <x:c r="C156" s="37" t="str">
        <x:v>藏青色羊京绒</x:v>
      </x:c>
      <x:c r="D156" s="37" t="str">
        <x:v>NY</x:v>
      </x:c>
      <x:c r="E156" s="37" t="str">
        <x:v>B06b-NY</x:v>
      </x:c>
      <x:c r="F156" s="37"/>
      <x:c r="G156" s="38" t="str">
        <x:f>"—"</x:f>
        <x:v>—</x:v>
      </x:c>
      <x:c r="H156" s="38" t="n">
        <x:f>IF(COUNT(INDEX('SKU明细'!$D$11:$D$1309,MATCH("B06b-NY-37",'SKU明细'!$A$11:$A$1309,0)))=0,"待核",IF(COUNT(INDEX('SKU明细'!$D$11:$D$1309,MATCH("B06b-NY-37",'SKU明细'!$A$11:$A$1309,0)))&lt;1,SUM(INDEX('SKU明细'!$D$11:$D$1309,MATCH("B06b-NY-37",'SKU明细'!$A$11:$A$1309,0)))&amp;" + 待核",SUM(INDEX('SKU明细'!$D$11:$D$1309,MATCH("B06b-NY-37",'SKU明细'!$A$11:$A$1309,0)))))</x:f>
        <x:v>0</x:v>
      </x:c>
      <x:c r="I156" s="38" t="n">
        <x:f>IF(COUNT(INDEX('SKU明细'!$D$11:$D$1309,MATCH("B06b-NY-37.5",'SKU明细'!$A$11:$A$1309,0)))=0,"待核",IF(COUNT(INDEX('SKU明细'!$D$11:$D$1309,MATCH("B06b-NY-37.5",'SKU明细'!$A$11:$A$1309,0)))&lt;1,SUM(INDEX('SKU明细'!$D$11:$D$1309,MATCH("B06b-NY-37.5",'SKU明细'!$A$11:$A$1309,0)))&amp;" + 待核",SUM(INDEX('SKU明细'!$D$11:$D$1309,MATCH("B06b-NY-37.5",'SKU明细'!$A$11:$A$1309,0)))))</x:f>
        <x:v>0</x:v>
      </x:c>
      <x:c r="J156" s="38" t="n">
        <x:f>IF(COUNT(INDEX('SKU明细'!$D$11:$D$1309,MATCH("B06b-NY-38",'SKU明细'!$A$11:$A$1309,0)))=0,"待核",IF(COUNT(INDEX('SKU明细'!$D$11:$D$1309,MATCH("B06b-NY-38",'SKU明细'!$A$11:$A$1309,0)))&lt;1,SUM(INDEX('SKU明细'!$D$11:$D$1309,MATCH("B06b-NY-38",'SKU明细'!$A$11:$A$1309,0)))&amp;" + 待核",SUM(INDEX('SKU明细'!$D$11:$D$1309,MATCH("B06b-NY-38",'SKU明细'!$A$11:$A$1309,0)))))</x:f>
        <x:v>0</x:v>
      </x:c>
      <x:c r="K156" s="38" t="n">
        <x:f>IF(COUNT(INDEX('SKU明细'!$D$11:$D$1309,MATCH("B06b-NY-38.5",'SKU明细'!$A$11:$A$1309,0)))=0,"待核",IF(COUNT(INDEX('SKU明细'!$D$11:$D$1309,MATCH("B06b-NY-38.5",'SKU明细'!$A$11:$A$1309,0)))&lt;1,SUM(INDEX('SKU明细'!$D$11:$D$1309,MATCH("B06b-NY-38.5",'SKU明细'!$A$11:$A$1309,0)))&amp;" + 待核",SUM(INDEX('SKU明细'!$D$11:$D$1309,MATCH("B06b-NY-38.5",'SKU明细'!$A$11:$A$1309,0)))))</x:f>
        <x:v>0</x:v>
      </x:c>
      <x:c r="L156" s="38" t="n">
        <x:f>IF(COUNT(INDEX('SKU明细'!$D$11:$D$1309,MATCH("B06b-NY-39-N",'SKU明细'!$A$11:$A$1309,0)))=0,"待核",IF(COUNT(INDEX('SKU明细'!$D$11:$D$1309,MATCH("B06b-NY-39-N",'SKU明细'!$A$11:$A$1309,0)))&lt;1,SUM(INDEX('SKU明细'!$D$11:$D$1309,MATCH("B06b-NY-39-N",'SKU明细'!$A$11:$A$1309,0)))&amp;" + 待核",SUM(INDEX('SKU明细'!$D$11:$D$1309,MATCH("B06b-NY-39-N",'SKU明细'!$A$11:$A$1309,0)))))</x:f>
        <x:v>0</x:v>
      </x:c>
      <x:c r="M156" s="38" t="n">
        <x:f>IF(COUNT(INDEX('SKU明细'!$D$11:$D$1309,MATCH("B06b-NY-39.5",'SKU明细'!$A$11:$A$1309,0)))=0,"待核",IF(COUNT(INDEX('SKU明细'!$D$11:$D$1309,MATCH("B06b-NY-39.5",'SKU明细'!$A$11:$A$1309,0)))&lt;1,SUM(INDEX('SKU明细'!$D$11:$D$1309,MATCH("B06b-NY-39.5",'SKU明细'!$A$11:$A$1309,0)))&amp;" + 待核",SUM(INDEX('SKU明细'!$D$11:$D$1309,MATCH("B06b-NY-39.5",'SKU明细'!$A$11:$A$1309,0)))))</x:f>
        <x:v>0</x:v>
      </x:c>
      <x:c r="N156" s="38" t="n">
        <x:f>IF(COUNT(INDEX('SKU明细'!$D$11:$D$1309,MATCH("B06b-NY-40",'SKU明细'!$A$11:$A$1309,0)))=0,"待核",IF(COUNT(INDEX('SKU明细'!$D$11:$D$1309,MATCH("B06b-NY-40",'SKU明细'!$A$11:$A$1309,0)))&lt;1,SUM(INDEX('SKU明细'!$D$11:$D$1309,MATCH("B06b-NY-40",'SKU明细'!$A$11:$A$1309,0)))&amp;" + 待核",SUM(INDEX('SKU明细'!$D$11:$D$1309,MATCH("B06b-NY-40",'SKU明细'!$A$11:$A$1309,0)))))</x:f>
        <x:v>0</x:v>
      </x:c>
      <x:c r="O156" s="38" t="n">
        <x:f>IF(COUNT(INDEX('SKU明细'!$D$11:$D$1309,MATCH("B06b-NY-40.5",'SKU明细'!$A$11:$A$1309,0)))=0,"待核",IF(COUNT(INDEX('SKU明细'!$D$11:$D$1309,MATCH("B06b-NY-40.5",'SKU明细'!$A$11:$A$1309,0)))&lt;1,SUM(INDEX('SKU明细'!$D$11:$D$1309,MATCH("B06b-NY-40.5",'SKU明细'!$A$11:$A$1309,0)))&amp;" + 待核",SUM(INDEX('SKU明细'!$D$11:$D$1309,MATCH("B06b-NY-40.5",'SKU明细'!$A$11:$A$1309,0)))))</x:f>
        <x:v>4</x:v>
      </x:c>
      <x:c r="P156" s="38" t="n">
        <x:f>IF(COUNT(INDEX('SKU明细'!$D$11:$D$1309,MATCH("B06b-NY-41",'SKU明细'!$A$11:$A$1309,0)))=0,"待核",IF(COUNT(INDEX('SKU明细'!$D$11:$D$1309,MATCH("B06b-NY-41",'SKU明细'!$A$11:$A$1309,0)))&lt;1,SUM(INDEX('SKU明细'!$D$11:$D$1309,MATCH("B06b-NY-41",'SKU明细'!$A$11:$A$1309,0)))&amp;" + 待核",SUM(INDEX('SKU明细'!$D$11:$D$1309,MATCH("B06b-NY-41",'SKU明细'!$A$11:$A$1309,0)))))</x:f>
        <x:v>0</x:v>
      </x:c>
      <x:c r="Q156" s="38" t="str">
        <x:f>"—"</x:f>
        <x:v>—</x:v>
      </x:c>
      <x:c r="R156" s="38" t="n">
        <x:f>IF(COUNT(INDEX('SKU明细'!$D$11:$D$1309,MATCH("B06b-NY-42",'SKU明细'!$A$11:$A$1309,0)))=0,"待核",IF(COUNT(INDEX('SKU明细'!$D$11:$D$1309,MATCH("B06b-NY-42",'SKU明细'!$A$11:$A$1309,0)))&lt;1,SUM(INDEX('SKU明细'!$D$11:$D$1309,MATCH("B06b-NY-42",'SKU明细'!$A$11:$A$1309,0)))&amp;" + 待核",SUM(INDEX('SKU明细'!$D$11:$D$1309,MATCH("B06b-NY-42",'SKU明细'!$A$11:$A$1309,0)))))</x:f>
        <x:v>0</x:v>
      </x:c>
      <x:c r="S156" s="38" t="n">
        <x:f>IF(COUNT(INDEX('SKU明细'!$D$11:$D$1309,MATCH("B06b-NY-37",'SKU明细'!$A$11:$A$1309,0)),INDEX('SKU明细'!$D$11:$D$1309,MATCH("B06b-NY-37.5",'SKU明细'!$A$11:$A$1309,0)),INDEX('SKU明细'!$D$11:$D$1309,MATCH("B06b-NY-38",'SKU明细'!$A$11:$A$1309,0)),INDEX('SKU明细'!$D$11:$D$1309,MATCH("B06b-NY-38.5",'SKU明细'!$A$11:$A$1309,0)),INDEX('SKU明细'!$D$11:$D$1309,MATCH("B06b-NY-39-N",'SKU明细'!$A$11:$A$1309,0)),INDEX('SKU明细'!$D$11:$D$1309,MATCH("B06b-NY-39.5",'SKU明细'!$A$11:$A$1309,0)),INDEX('SKU明细'!$D$11:$D$1309,MATCH("B06b-NY-40",'SKU明细'!$A$11:$A$1309,0)),INDEX('SKU明细'!$D$11:$D$1309,MATCH("B06b-NY-40.5",'SKU明细'!$A$11:$A$1309,0)),INDEX('SKU明细'!$D$11:$D$1309,MATCH("B06b-NY-41",'SKU明细'!$A$11:$A$1309,0)),INDEX('SKU明细'!$D$11:$D$1309,MATCH("B06b-NY-42",'SKU明细'!$A$11:$A$1309,0)))=0,"待核",SUM(INDEX('SKU明细'!$D$11:$D$1309,MATCH("B06b-NY-37",'SKU明细'!$A$11:$A$1309,0)),INDEX('SKU明细'!$D$11:$D$1309,MATCH("B06b-NY-37.5",'SKU明细'!$A$11:$A$1309,0)),INDEX('SKU明细'!$D$11:$D$1309,MATCH("B06b-NY-38",'SKU明细'!$A$11:$A$1309,0)),INDEX('SKU明细'!$D$11:$D$1309,MATCH("B06b-NY-38.5",'SKU明细'!$A$11:$A$1309,0)),INDEX('SKU明细'!$D$11:$D$1309,MATCH("B06b-NY-39-N",'SKU明细'!$A$11:$A$1309,0)),INDEX('SKU明细'!$D$11:$D$1309,MATCH("B06b-NY-39.5",'SKU明细'!$A$11:$A$1309,0)),INDEX('SKU明细'!$D$11:$D$1309,MATCH("B06b-NY-40",'SKU明细'!$A$11:$A$1309,0)),INDEX('SKU明细'!$D$11:$D$1309,MATCH("B06b-NY-40.5",'SKU明细'!$A$11:$A$1309,0)),INDEX('SKU明细'!$D$11:$D$1309,MATCH("B06b-NY-41",'SKU明细'!$A$11:$A$1309,0)),INDEX('SKU明细'!$D$11:$D$1309,MATCH("B06b-NY-42",'SKU明细'!$A$11:$A$1309,0))))</x:f>
        <x:v>4</x:v>
      </x:c>
      <x:c r="T156" s="38" t="n">
        <x:f>IF(COUNTIFS($A$9:$A$191,A156,$U$9:$U$191,"&lt;&gt;待核")=0,"待核",SUMIF($A$9:$A$191,A156,$S$9:$S$191))</x:f>
        <x:v>132</x:v>
      </x:c>
      <x:c r="U156" s="37" t="str">
        <x:f>IF(COUNT(INDEX('SKU明细'!$D$11:$D$1309,MATCH("B06b-NY-37",'SKU明细'!$A$11:$A$1309,0)),INDEX('SKU明细'!$D$11:$D$1309,MATCH("B06b-NY-37.5",'SKU明细'!$A$11:$A$1309,0)),INDEX('SKU明细'!$D$11:$D$1309,MATCH("B06b-NY-38",'SKU明细'!$A$11:$A$1309,0)),INDEX('SKU明细'!$D$11:$D$1309,MATCH("B06b-NY-38.5",'SKU明细'!$A$11:$A$1309,0)),INDEX('SKU明细'!$D$11:$D$1309,MATCH("B06b-NY-39-N",'SKU明细'!$A$11:$A$1309,0)),INDEX('SKU明细'!$D$11:$D$1309,MATCH("B06b-NY-39.5",'SKU明细'!$A$11:$A$1309,0)),INDEX('SKU明细'!$D$11:$D$1309,MATCH("B06b-NY-40",'SKU明细'!$A$11:$A$1309,0)),INDEX('SKU明细'!$D$11:$D$1309,MATCH("B06b-NY-40.5",'SKU明细'!$A$11:$A$1309,0)),INDEX('SKU明细'!$D$11:$D$1309,MATCH("B06b-NY-41",'SKU明细'!$A$11:$A$1309,0)),INDEX('SKU明细'!$D$11:$D$1309,MATCH("B06b-NY-42",'SKU明细'!$A$11:$A$1309,0)))=0,"待核",IF(COUNT(INDEX('SKU明细'!$D$11:$D$1309,MATCH("B06b-NY-37",'SKU明细'!$A$11:$A$1309,0)),INDEX('SKU明细'!$D$11:$D$1309,MATCH("B06b-NY-37.5",'SKU明细'!$A$11:$A$1309,0)),INDEX('SKU明细'!$D$11:$D$1309,MATCH("B06b-NY-38",'SKU明细'!$A$11:$A$1309,0)),INDEX('SKU明细'!$D$11:$D$1309,MATCH("B06b-NY-38.5",'SKU明细'!$A$11:$A$1309,0)),INDEX('SKU明细'!$D$11:$D$1309,MATCH("B06b-NY-39-N",'SKU明细'!$A$11:$A$1309,0)),INDEX('SKU明细'!$D$11:$D$1309,MATCH("B06b-NY-39.5",'SKU明细'!$A$11:$A$1309,0)),INDEX('SKU明细'!$D$11:$D$1309,MATCH("B06b-NY-40",'SKU明细'!$A$11:$A$1309,0)),INDEX('SKU明细'!$D$11:$D$1309,MATCH("B06b-NY-40.5",'SKU明细'!$A$11:$A$1309,0)),INDEX('SKU明细'!$D$11:$D$1309,MATCH("B06b-NY-41",'SKU明细'!$A$11:$A$1309,0)),INDEX('SKU明细'!$D$11:$D$1309,MATCH("B06b-NY-42",'SKU明细'!$A$11:$A$1309,0)))&lt;10,"另有待核","已核"))</x:f>
        <x:v>已核</x:v>
      </x:c>
      <x:c r="V156" s="37" t="str">
        <x:v>停售、在售</x:v>
      </x:c>
      <x:c r="W156" s="11" t="n">
        <x:f>IF(COUNT(INDEX('SKU明细'!$BV$11:$BV$1309,MATCH("B06b-NY-37",'SKU明细'!$A$11:$A$1309,0)),INDEX('SKU明细'!$BV$11:$BV$1309,MATCH("B06b-NY-37.5",'SKU明细'!$A$11:$A$1309,0)),INDEX('SKU明细'!$BV$11:$BV$1309,MATCH("B06b-NY-38",'SKU明细'!$A$11:$A$1309,0)),INDEX('SKU明细'!$BV$11:$BV$1309,MATCH("B06b-NY-38.5",'SKU明细'!$A$11:$A$1309,0)),INDEX('SKU明细'!$BV$11:$BV$1309,MATCH("B06b-NY-39-N",'SKU明细'!$A$11:$A$1309,0)),INDEX('SKU明细'!$BV$11:$BV$1309,MATCH("B06b-NY-39.5",'SKU明细'!$A$11:$A$1309,0)),INDEX('SKU明细'!$BV$11:$BV$1309,MATCH("B06b-NY-40",'SKU明细'!$A$11:$A$1309,0)),INDEX('SKU明细'!$BV$11:$BV$1309,MATCH("B06b-NY-40.5",'SKU明细'!$A$11:$A$1309,0)),INDEX('SKU明细'!$BV$11:$BV$1309,MATCH("B06b-NY-41",'SKU明细'!$A$11:$A$1309,0)),INDEX('SKU明细'!$BV$11:$BV$1309,MATCH("B06b-NY-42",'SKU明细'!$A$11:$A$1309,0)))=10,SUM(INDEX('SKU明细'!$BV$11:$BV$1309,MATCH("B06b-NY-37",'SKU明细'!$A$11:$A$1309,0)),INDEX('SKU明细'!$BV$11:$BV$1309,MATCH("B06b-NY-37.5",'SKU明细'!$A$11:$A$1309,0)),INDEX('SKU明细'!$BV$11:$BV$1309,MATCH("B06b-NY-38",'SKU明细'!$A$11:$A$1309,0)),INDEX('SKU明细'!$BV$11:$BV$1309,MATCH("B06b-NY-38.5",'SKU明细'!$A$11:$A$1309,0)),INDEX('SKU明细'!$BV$11:$BV$1309,MATCH("B06b-NY-39-N",'SKU明细'!$A$11:$A$1309,0)),INDEX('SKU明细'!$BV$11:$BV$1309,MATCH("B06b-NY-39.5",'SKU明细'!$A$11:$A$1309,0)),INDEX('SKU明细'!$BV$11:$BV$1309,MATCH("B06b-NY-40",'SKU明细'!$A$11:$A$1309,0)),INDEX('SKU明细'!$BV$11:$BV$1309,MATCH("B06b-NY-40.5",'SKU明细'!$A$11:$A$1309,0)),INDEX('SKU明细'!$BV$11:$BV$1309,MATCH("B06b-NY-41",'SKU明细'!$A$11:$A$1309,0)),INDEX('SKU明细'!$BV$11:$BV$1309,MATCH("B06b-NY-42",'SKU明细'!$A$11:$A$1309,0))),"待核")</x:f>
        <x:v>1.0519173612688397</x:v>
      </x:c>
      <x:c r="X156" s="11" t="n">
        <x:f>INDEX('SKU明细'!$BW$11:$BW$1309,MATCH("B06b-NY-37",'SKU明细'!$A$11:$A$1309,0))</x:f>
        <x:v>1.1090677182221615</x:v>
      </x:c>
      <x:c r="Y156" s="13" t="n">
        <x:f>IF(COUNT(INDEX('SKU明细'!$BY$11:$BY$1309,MATCH("B06b-NY-37",'SKU明细'!$A$11:$A$1309,0)),INDEX('SKU明细'!$BY$11:$BY$1309,MATCH("B06b-NY-37.5",'SKU明细'!$A$11:$A$1309,0)),INDEX('SKU明细'!$BY$11:$BY$1309,MATCH("B06b-NY-38",'SKU明细'!$A$11:$A$1309,0)),INDEX('SKU明细'!$BY$11:$BY$1309,MATCH("B06b-NY-38.5",'SKU明细'!$A$11:$A$1309,0)),INDEX('SKU明细'!$BY$11:$BY$1309,MATCH("B06b-NY-39-N",'SKU明细'!$A$11:$A$1309,0)),INDEX('SKU明细'!$BY$11:$BY$1309,MATCH("B06b-NY-39.5",'SKU明细'!$A$11:$A$1309,0)),INDEX('SKU明细'!$BY$11:$BY$1309,MATCH("B06b-NY-40",'SKU明细'!$A$11:$A$1309,0)),INDEX('SKU明细'!$BY$11:$BY$1309,MATCH("B06b-NY-40.5",'SKU明细'!$A$11:$A$1309,0)),INDEX('SKU明细'!$BY$11:$BY$1309,MATCH("B06b-NY-41",'SKU明细'!$A$11:$A$1309,0)),INDEX('SKU明细'!$BY$11:$BY$1309,MATCH("B06b-NY-42",'SKU明细'!$A$11:$A$1309,0)))=10,SUM(INDEX('SKU明细'!$BY$11:$BY$1309,MATCH("B06b-NY-37",'SKU明细'!$A$11:$A$1309,0)),INDEX('SKU明细'!$BY$11:$BY$1309,MATCH("B06b-NY-37.5",'SKU明细'!$A$11:$A$1309,0)),INDEX('SKU明细'!$BY$11:$BY$1309,MATCH("B06b-NY-38",'SKU明细'!$A$11:$A$1309,0)),INDEX('SKU明细'!$BY$11:$BY$1309,MATCH("B06b-NY-38.5",'SKU明细'!$A$11:$A$1309,0)),INDEX('SKU明细'!$BY$11:$BY$1309,MATCH("B06b-NY-39-N",'SKU明细'!$A$11:$A$1309,0)),INDEX('SKU明细'!$BY$11:$BY$1309,MATCH("B06b-NY-39.5",'SKU明细'!$A$11:$A$1309,0)),INDEX('SKU明细'!$BY$11:$BY$1309,MATCH("B06b-NY-40",'SKU明细'!$A$11:$A$1309,0)),INDEX('SKU明细'!$BY$11:$BY$1309,MATCH("B06b-NY-40.5",'SKU明细'!$A$11:$A$1309,0)),INDEX('SKU明细'!$BY$11:$BY$1309,MATCH("B06b-NY-41",'SKU明细'!$A$11:$A$1309,0)),INDEX('SKU明细'!$BY$11:$BY$1309,MATCH("B06b-NY-42",'SKU明细'!$A$11:$A$1309,0))),"待核")</x:f>
        <x:v>13.99977105144851</x:v>
      </x:c>
      <x:c r="Z156" s="11" t="n">
        <x:f>INDEX('SKU明细'!$BZ$11:$BZ$1309,MATCH("B06b-NY-37",'SKU明细'!$A$11:$A$1309,0))</x:f>
        <x:v>1.0372741535934282</x:v>
      </x:c>
      <x:c r="AA156" s="13" t="n">
        <x:f>IF(COUNT(INDEX('SKU明细'!$CB$11:$CB$1309,MATCH("B06b-NY-37",'SKU明细'!$A$11:$A$1309,0)),INDEX('SKU明细'!$CB$11:$CB$1309,MATCH("B06b-NY-37.5",'SKU明细'!$A$11:$A$1309,0)),INDEX('SKU明细'!$CB$11:$CB$1309,MATCH("B06b-NY-38",'SKU明细'!$A$11:$A$1309,0)),INDEX('SKU明细'!$CB$11:$CB$1309,MATCH("B06b-NY-38.5",'SKU明细'!$A$11:$A$1309,0)),INDEX('SKU明细'!$CB$11:$CB$1309,MATCH("B06b-NY-39-N",'SKU明细'!$A$11:$A$1309,0)),INDEX('SKU明细'!$CB$11:$CB$1309,MATCH("B06b-NY-39.5",'SKU明细'!$A$11:$A$1309,0)),INDEX('SKU明细'!$CB$11:$CB$1309,MATCH("B06b-NY-40",'SKU明细'!$A$11:$A$1309,0)),INDEX('SKU明细'!$CB$11:$CB$1309,MATCH("B06b-NY-40.5",'SKU明细'!$A$11:$A$1309,0)),INDEX('SKU明细'!$CB$11:$CB$1309,MATCH("B06b-NY-41",'SKU明细'!$A$11:$A$1309,0)),INDEX('SKU明细'!$CB$11:$CB$1309,MATCH("B06b-NY-42",'SKU明细'!$A$11:$A$1309,0)))=10,SUM(INDEX('SKU明细'!$CB$11:$CB$1309,MATCH("B06b-NY-37",'SKU明细'!$A$11:$A$1309,0)),INDEX('SKU明细'!$CB$11:$CB$1309,MATCH("B06b-NY-37.5",'SKU明细'!$A$11:$A$1309,0)),INDEX('SKU明细'!$CB$11:$CB$1309,MATCH("B06b-NY-38",'SKU明细'!$A$11:$A$1309,0)),INDEX('SKU明细'!$CB$11:$CB$1309,MATCH("B06b-NY-38.5",'SKU明细'!$A$11:$A$1309,0)),INDEX('SKU明细'!$CB$11:$CB$1309,MATCH("B06b-NY-39-N",'SKU明细'!$A$11:$A$1309,0)),INDEX('SKU明细'!$CB$11:$CB$1309,MATCH("B06b-NY-39.5",'SKU明细'!$A$11:$A$1309,0)),INDEX('SKU明细'!$CB$11:$CB$1309,MATCH("B06b-NY-40",'SKU明细'!$A$11:$A$1309,0)),INDEX('SKU明细'!$CB$11:$CB$1309,MATCH("B06b-NY-40.5",'SKU明细'!$A$11:$A$1309,0)),INDEX('SKU明细'!$CB$11:$CB$1309,MATCH("B06b-NY-41",'SKU明细'!$A$11:$A$1309,0)),INDEX('SKU明细'!$CB$11:$CB$1309,MATCH("B06b-NY-42",'SKU明细'!$A$11:$A$1309,0))),"待核")</x:f>
        <x:v>32.73380071681105</x:v>
      </x:c>
      <x:c r="AB156" s="11" t="n">
        <x:f>INDEX('SKU明细'!$CC$11:$CC$1309,MATCH("B06b-NY-37",'SKU明细'!$A$11:$A$1309,0))</x:f>
        <x:v>0.979949351738161</x:v>
      </x:c>
      <x:c r="AC156" s="13" t="n">
        <x:f>IF(COUNT(INDEX('SKU明细'!$CE$11:$CE$1309,MATCH("B06b-NY-37",'SKU明细'!$A$11:$A$1309,0)),INDEX('SKU明细'!$CE$11:$CE$1309,MATCH("B06b-NY-37.5",'SKU明细'!$A$11:$A$1309,0)),INDEX('SKU明细'!$CE$11:$CE$1309,MATCH("B06b-NY-38",'SKU明细'!$A$11:$A$1309,0)),INDEX('SKU明细'!$CE$11:$CE$1309,MATCH("B06b-NY-38.5",'SKU明细'!$A$11:$A$1309,0)),INDEX('SKU明细'!$CE$11:$CE$1309,MATCH("B06b-NY-39-N",'SKU明细'!$A$11:$A$1309,0)),INDEX('SKU明细'!$CE$11:$CE$1309,MATCH("B06b-NY-39.5",'SKU明细'!$A$11:$A$1309,0)),INDEX('SKU明细'!$CE$11:$CE$1309,MATCH("B06b-NY-40",'SKU明细'!$A$11:$A$1309,0)),INDEX('SKU明细'!$CE$11:$CE$1309,MATCH("B06b-NY-40.5",'SKU明细'!$A$11:$A$1309,0)),INDEX('SKU明细'!$CE$11:$CE$1309,MATCH("B06b-NY-41",'SKU明细'!$A$11:$A$1309,0)),INDEX('SKU明细'!$CE$11:$CE$1309,MATCH("B06b-NY-42",'SKU明细'!$A$11:$A$1309,0)))=10,SUM(INDEX('SKU明细'!$CE$11:$CE$1309,MATCH("B06b-NY-37",'SKU明细'!$A$11:$A$1309,0)),INDEX('SKU明细'!$CE$11:$CE$1309,MATCH("B06b-NY-37.5",'SKU明细'!$A$11:$A$1309,0)),INDEX('SKU明细'!$CE$11:$CE$1309,MATCH("B06b-NY-38",'SKU明细'!$A$11:$A$1309,0)),INDEX('SKU明细'!$CE$11:$CE$1309,MATCH("B06b-NY-38.5",'SKU明细'!$A$11:$A$1309,0)),INDEX('SKU明细'!$CE$11:$CE$1309,MATCH("B06b-NY-39-N",'SKU明细'!$A$11:$A$1309,0)),INDEX('SKU明细'!$CE$11:$CE$1309,MATCH("B06b-NY-39.5",'SKU明细'!$A$11:$A$1309,0)),INDEX('SKU明细'!$CE$11:$CE$1309,MATCH("B06b-NY-40",'SKU明细'!$A$11:$A$1309,0)),INDEX('SKU明细'!$CE$11:$CE$1309,MATCH("B06b-NY-40.5",'SKU明细'!$A$11:$A$1309,0)),INDEX('SKU明细'!$CE$11:$CE$1309,MATCH("B06b-NY-41",'SKU明细'!$A$11:$A$1309,0)),INDEX('SKU明细'!$CE$11:$CE$1309,MATCH("B06b-NY-42",'SKU明细'!$A$11:$A$1309,0))),"待核")</x:f>
        <x:v>31.95559782398301</x:v>
      </x:c>
      <x:c r="AD156" s="11" t="n">
        <x:f>INDEX('SKU明细'!$CF$11:$CF$1309,MATCH("B06b-NY-37",'SKU明细'!$A$11:$A$1309,0))</x:f>
        <x:v>1.1571949690048173</x:v>
      </x:c>
      <x:c r="AE156" s="13" t="n">
        <x:f>IF(COUNT(INDEX('SKU明细'!$CH$11:$CH$1309,MATCH("B06b-NY-37",'SKU明细'!$A$11:$A$1309,0)),INDEX('SKU明细'!$CH$11:$CH$1309,MATCH("B06b-NY-37.5",'SKU明细'!$A$11:$A$1309,0)),INDEX('SKU明细'!$CH$11:$CH$1309,MATCH("B06b-NY-38",'SKU明细'!$A$11:$A$1309,0)),INDEX('SKU明细'!$CH$11:$CH$1309,MATCH("B06b-NY-38.5",'SKU明细'!$A$11:$A$1309,0)),INDEX('SKU明细'!$CH$11:$CH$1309,MATCH("B06b-NY-39-N",'SKU明细'!$A$11:$A$1309,0)),INDEX('SKU明细'!$CH$11:$CH$1309,MATCH("B06b-NY-39.5",'SKU明细'!$A$11:$A$1309,0)),INDEX('SKU明细'!$CH$11:$CH$1309,MATCH("B06b-NY-40",'SKU明细'!$A$11:$A$1309,0)),INDEX('SKU明细'!$CH$11:$CH$1309,MATCH("B06b-NY-40.5",'SKU明细'!$A$11:$A$1309,0)),INDEX('SKU明细'!$CH$11:$CH$1309,MATCH("B06b-NY-41",'SKU明细'!$A$11:$A$1309,0)),INDEX('SKU明细'!$CH$11:$CH$1309,MATCH("B06b-NY-42",'SKU明细'!$A$11:$A$1309,0)))=10,SUM(INDEX('SKU明细'!$CH$11:$CH$1309,MATCH("B06b-NY-37",'SKU明细'!$A$11:$A$1309,0)),INDEX('SKU明细'!$CH$11:$CH$1309,MATCH("B06b-NY-37.5",'SKU明细'!$A$11:$A$1309,0)),INDEX('SKU明细'!$CH$11:$CH$1309,MATCH("B06b-NY-38",'SKU明细'!$A$11:$A$1309,0)),INDEX('SKU明细'!$CH$11:$CH$1309,MATCH("B06b-NY-38.5",'SKU明细'!$A$11:$A$1309,0)),INDEX('SKU明细'!$CH$11:$CH$1309,MATCH("B06b-NY-39-N",'SKU明细'!$A$11:$A$1309,0)),INDEX('SKU明细'!$CH$11:$CH$1309,MATCH("B06b-NY-39.5",'SKU明细'!$A$11:$A$1309,0)),INDEX('SKU明细'!$CH$11:$CH$1309,MATCH("B06b-NY-40",'SKU明细'!$A$11:$A$1309,0)),INDEX('SKU明细'!$CH$11:$CH$1309,MATCH("B06b-NY-40.5",'SKU明细'!$A$11:$A$1309,0)),INDEX('SKU明细'!$CH$11:$CH$1309,MATCH("B06b-NY-41",'SKU明细'!$A$11:$A$1309,0)),INDEX('SKU明细'!$CH$11:$CH$1309,MATCH("B06b-NY-42",'SKU明细'!$A$11:$A$1309,0))),"待核")</x:f>
        <x:v>20.69364913057511</x:v>
      </x:c>
      <x:c r="AF156" s="13" t="n">
        <x:f>IF(COUNT(INDEX('SKU明细'!$CI$11:$CI$1309,MATCH("B06b-NY-37",'SKU明细'!$A$11:$A$1309,0)),INDEX('SKU明细'!$CI$11:$CI$1309,MATCH("B06b-NY-37.5",'SKU明细'!$A$11:$A$1309,0)),INDEX('SKU明细'!$CI$11:$CI$1309,MATCH("B06b-NY-38",'SKU明细'!$A$11:$A$1309,0)),INDEX('SKU明细'!$CI$11:$CI$1309,MATCH("B06b-NY-38.5",'SKU明细'!$A$11:$A$1309,0)),INDEX('SKU明细'!$CI$11:$CI$1309,MATCH("B06b-NY-39-N",'SKU明细'!$A$11:$A$1309,0)),INDEX('SKU明细'!$CI$11:$CI$1309,MATCH("B06b-NY-39.5",'SKU明细'!$A$11:$A$1309,0)),INDEX('SKU明细'!$CI$11:$CI$1309,MATCH("B06b-NY-40",'SKU明细'!$A$11:$A$1309,0)),INDEX('SKU明细'!$CI$11:$CI$1309,MATCH("B06b-NY-40.5",'SKU明细'!$A$11:$A$1309,0)),INDEX('SKU明细'!$CI$11:$CI$1309,MATCH("B06b-NY-41",'SKU明细'!$A$11:$A$1309,0)),INDEX('SKU明细'!$CI$11:$CI$1309,MATCH("B06b-NY-42",'SKU明细'!$A$11:$A$1309,0)))=10,SUM(INDEX('SKU明细'!$CI$11:$CI$1309,MATCH("B06b-NY-37",'SKU明细'!$A$11:$A$1309,0)),INDEX('SKU明细'!$CI$11:$CI$1309,MATCH("B06b-NY-37.5",'SKU明细'!$A$11:$A$1309,0)),INDEX('SKU明细'!$CI$11:$CI$1309,MATCH("B06b-NY-38",'SKU明细'!$A$11:$A$1309,0)),INDEX('SKU明细'!$CI$11:$CI$1309,MATCH("B06b-NY-38.5",'SKU明细'!$A$11:$A$1309,0)),INDEX('SKU明细'!$CI$11:$CI$1309,MATCH("B06b-NY-39-N",'SKU明细'!$A$11:$A$1309,0)),INDEX('SKU明细'!$CI$11:$CI$1309,MATCH("B06b-NY-39.5",'SKU明细'!$A$11:$A$1309,0)),INDEX('SKU明细'!$CI$11:$CI$1309,MATCH("B06b-NY-40",'SKU明细'!$A$11:$A$1309,0)),INDEX('SKU明细'!$CI$11:$CI$1309,MATCH("B06b-NY-40.5",'SKU明细'!$A$11:$A$1309,0)),INDEX('SKU明细'!$CI$11:$CI$1309,MATCH("B06b-NY-41",'SKU明细'!$A$11:$A$1309,0)),INDEX('SKU明细'!$CI$11:$CI$1309,MATCH("B06b-NY-42",'SKU明细'!$A$11:$A$1309,0))),"待核")</x:f>
        <x:v>99.38281872281766</x:v>
      </x:c>
    </x:row>
    <x:row r="157" ht="40" customHeight="1">
      <x:c r="A157" s="37" t="str">
        <x:v>B06b</x:v>
      </x:c>
      <x:c r="B157" s="37" t="str">
        <x:v>艾年</x:v>
      </x:c>
      <x:c r="C157" s="37" t="str">
        <x:v>大红色羊京绒</x:v>
      </x:c>
      <x:c r="D157" s="37" t="str">
        <x:v>RD</x:v>
      </x:c>
      <x:c r="E157" s="37" t="str">
        <x:v>B06b-RD</x:v>
      </x:c>
      <x:c r="F157" s="37"/>
      <x:c r="G157" s="38" t="str">
        <x:f>"—"</x:f>
        <x:v>—</x:v>
      </x:c>
      <x:c r="H157" s="38" t="n">
        <x:f>IF(COUNT(INDEX('SKU明细'!$D$11:$D$1309,MATCH("B06b-RD-37",'SKU明细'!$A$11:$A$1309,0)))=0,"待核",IF(COUNT(INDEX('SKU明细'!$D$11:$D$1309,MATCH("B06b-RD-37",'SKU明细'!$A$11:$A$1309,0)))&lt;1,SUM(INDEX('SKU明细'!$D$11:$D$1309,MATCH("B06b-RD-37",'SKU明细'!$A$11:$A$1309,0)))&amp;" + 待核",SUM(INDEX('SKU明细'!$D$11:$D$1309,MATCH("B06b-RD-37",'SKU明细'!$A$11:$A$1309,0)))))</x:f>
        <x:v>0</x:v>
      </x:c>
      <x:c r="I157" s="38" t="str">
        <x:f>"—"</x:f>
        <x:v>—</x:v>
      </x:c>
      <x:c r="J157" s="38" t="n">
        <x:f>IF(COUNT(INDEX('SKU明细'!$D$11:$D$1309,MATCH("B06b-RD-38-N",'SKU明细'!$A$11:$A$1309,0)))=0,"待核",IF(COUNT(INDEX('SKU明细'!$D$11:$D$1309,MATCH("B06b-RD-38-N",'SKU明细'!$A$11:$A$1309,0)))&lt;1,SUM(INDEX('SKU明细'!$D$11:$D$1309,MATCH("B06b-RD-38-N",'SKU明细'!$A$11:$A$1309,0)))&amp;" + 待核",SUM(INDEX('SKU明细'!$D$11:$D$1309,MATCH("B06b-RD-38-N",'SKU明细'!$A$11:$A$1309,0)))))</x:f>
        <x:v>0</x:v>
      </x:c>
      <x:c r="K157" s="38" t="str">
        <x:f>"—"</x:f>
        <x:v>—</x:v>
      </x:c>
      <x:c r="L157" s="38" t="n">
        <x:f>IF(COUNT(INDEX('SKU明细'!$D$11:$D$1309,MATCH("B06b-RD-39",'SKU明细'!$A$11:$A$1309,0)))=0,"待核",IF(COUNT(INDEX('SKU明细'!$D$11:$D$1309,MATCH("B06b-RD-39",'SKU明细'!$A$11:$A$1309,0)))&lt;1,SUM(INDEX('SKU明细'!$D$11:$D$1309,MATCH("B06b-RD-39",'SKU明细'!$A$11:$A$1309,0)))&amp;" + 待核",SUM(INDEX('SKU明细'!$D$11:$D$1309,MATCH("B06b-RD-39",'SKU明细'!$A$11:$A$1309,0)))))</x:f>
        <x:v>0</x:v>
      </x:c>
      <x:c r="M157" s="38" t="str">
        <x:f>"—"</x:f>
        <x:v>—</x:v>
      </x:c>
      <x:c r="N157" s="38" t="n">
        <x:f>IF(COUNT(INDEX('SKU明细'!$D$11:$D$1309,MATCH("B06b-RD-40",'SKU明细'!$A$11:$A$1309,0)))=0,"待核",IF(COUNT(INDEX('SKU明细'!$D$11:$D$1309,MATCH("B06b-RD-40",'SKU明细'!$A$11:$A$1309,0)))&lt;1,SUM(INDEX('SKU明细'!$D$11:$D$1309,MATCH("B06b-RD-40",'SKU明细'!$A$11:$A$1309,0)))&amp;" + 待核",SUM(INDEX('SKU明细'!$D$11:$D$1309,MATCH("B06b-RD-40",'SKU明细'!$A$11:$A$1309,0)))))</x:f>
        <x:v>0</x:v>
      </x:c>
      <x:c r="O157" s="38" t="str">
        <x:f>"—"</x:f>
        <x:v>—</x:v>
      </x:c>
      <x:c r="P157" s="38" t="n">
        <x:f>IF(COUNT(INDEX('SKU明细'!$D$11:$D$1309,MATCH("B06b-RD-41",'SKU明细'!$A$11:$A$1309,0)))=0,"待核",IF(COUNT(INDEX('SKU明细'!$D$11:$D$1309,MATCH("B06b-RD-41",'SKU明细'!$A$11:$A$1309,0)))&lt;1,SUM(INDEX('SKU明细'!$D$11:$D$1309,MATCH("B06b-RD-41",'SKU明细'!$A$11:$A$1309,0)))&amp;" + 待核",SUM(INDEX('SKU明细'!$D$11:$D$1309,MATCH("B06b-RD-41",'SKU明细'!$A$11:$A$1309,0)))))</x:f>
        <x:v>0</x:v>
      </x:c>
      <x:c r="Q157" s="38" t="str">
        <x:f>"—"</x:f>
        <x:v>—</x:v>
      </x:c>
      <x:c r="R157" s="38" t="n">
        <x:f>IF(COUNT(INDEX('SKU明细'!$D$11:$D$1309,MATCH("B06b-RD-42",'SKU明细'!$A$11:$A$1309,0)))=0,"待核",IF(COUNT(INDEX('SKU明细'!$D$11:$D$1309,MATCH("B06b-RD-42",'SKU明细'!$A$11:$A$1309,0)))&lt;1,SUM(INDEX('SKU明细'!$D$11:$D$1309,MATCH("B06b-RD-42",'SKU明细'!$A$11:$A$1309,0)))&amp;" + 待核",SUM(INDEX('SKU明细'!$D$11:$D$1309,MATCH("B06b-RD-42",'SKU明细'!$A$11:$A$1309,0)))))</x:f>
        <x:v>0</x:v>
      </x:c>
      <x:c r="S157" s="38" t="n">
        <x:f>IF(COUNT(INDEX('SKU明细'!$D$11:$D$1309,MATCH("B06b-RD-37",'SKU明细'!$A$11:$A$1309,0)),INDEX('SKU明细'!$D$11:$D$1309,MATCH("B06b-RD-38-N",'SKU明细'!$A$11:$A$1309,0)),INDEX('SKU明细'!$D$11:$D$1309,MATCH("B06b-RD-39",'SKU明细'!$A$11:$A$1309,0)),INDEX('SKU明细'!$D$11:$D$1309,MATCH("B06b-RD-40",'SKU明细'!$A$11:$A$1309,0)),INDEX('SKU明细'!$D$11:$D$1309,MATCH("B06b-RD-41",'SKU明细'!$A$11:$A$1309,0)),INDEX('SKU明细'!$D$11:$D$1309,MATCH("B06b-RD-42",'SKU明细'!$A$11:$A$1309,0)))=0,"待核",SUM(INDEX('SKU明细'!$D$11:$D$1309,MATCH("B06b-RD-37",'SKU明细'!$A$11:$A$1309,0)),INDEX('SKU明细'!$D$11:$D$1309,MATCH("B06b-RD-38-N",'SKU明细'!$A$11:$A$1309,0)),INDEX('SKU明细'!$D$11:$D$1309,MATCH("B06b-RD-39",'SKU明细'!$A$11:$A$1309,0)),INDEX('SKU明细'!$D$11:$D$1309,MATCH("B06b-RD-40",'SKU明细'!$A$11:$A$1309,0)),INDEX('SKU明细'!$D$11:$D$1309,MATCH("B06b-RD-41",'SKU明细'!$A$11:$A$1309,0)),INDEX('SKU明细'!$D$11:$D$1309,MATCH("B06b-RD-42",'SKU明细'!$A$11:$A$1309,0))))</x:f>
        <x:v>0</x:v>
      </x:c>
      <x:c r="T157" s="38" t="n">
        <x:f>IF(COUNTIFS($A$9:$A$191,A157,$U$9:$U$191,"&lt;&gt;待核")=0,"待核",SUMIF($A$9:$A$191,A157,$S$9:$S$191))</x:f>
        <x:v>132</x:v>
      </x:c>
      <x:c r="U157" s="37" t="str">
        <x:f>IF(COUNT(INDEX('SKU明细'!$D$11:$D$1309,MATCH("B06b-RD-37",'SKU明细'!$A$11:$A$1309,0)),INDEX('SKU明细'!$D$11:$D$1309,MATCH("B06b-RD-38-N",'SKU明细'!$A$11:$A$1309,0)),INDEX('SKU明细'!$D$11:$D$1309,MATCH("B06b-RD-39",'SKU明细'!$A$11:$A$1309,0)),INDEX('SKU明细'!$D$11:$D$1309,MATCH("B06b-RD-40",'SKU明细'!$A$11:$A$1309,0)),INDEX('SKU明细'!$D$11:$D$1309,MATCH("B06b-RD-41",'SKU明细'!$A$11:$A$1309,0)),INDEX('SKU明细'!$D$11:$D$1309,MATCH("B06b-RD-42",'SKU明细'!$A$11:$A$1309,0)))=0,"待核",IF(COUNT(INDEX('SKU明细'!$D$11:$D$1309,MATCH("B06b-RD-37",'SKU明细'!$A$11:$A$1309,0)),INDEX('SKU明细'!$D$11:$D$1309,MATCH("B06b-RD-38-N",'SKU明细'!$A$11:$A$1309,0)),INDEX('SKU明细'!$D$11:$D$1309,MATCH("B06b-RD-39",'SKU明细'!$A$11:$A$1309,0)),INDEX('SKU明细'!$D$11:$D$1309,MATCH("B06b-RD-40",'SKU明细'!$A$11:$A$1309,0)),INDEX('SKU明细'!$D$11:$D$1309,MATCH("B06b-RD-41",'SKU明细'!$A$11:$A$1309,0)),INDEX('SKU明细'!$D$11:$D$1309,MATCH("B06b-RD-42",'SKU明细'!$A$11:$A$1309,0)))&lt;6,"另有待核","已核"))</x:f>
        <x:v>已核</x:v>
      </x:c>
      <x:c r="V157" s="37" t="str">
        <x:v>在售、停售</x:v>
      </x:c>
      <x:c r="W157" s="11" t="n">
        <x:f>IF(COUNT(INDEX('SKU明细'!$BV$11:$BV$1309,MATCH("B06b-RD-37",'SKU明细'!$A$11:$A$1309,0)),INDEX('SKU明细'!$BV$11:$BV$1309,MATCH("B06b-RD-38-N",'SKU明细'!$A$11:$A$1309,0)),INDEX('SKU明细'!$BV$11:$BV$1309,MATCH("B06b-RD-39",'SKU明细'!$A$11:$A$1309,0)),INDEX('SKU明细'!$BV$11:$BV$1309,MATCH("B06b-RD-40",'SKU明细'!$A$11:$A$1309,0)),INDEX('SKU明细'!$BV$11:$BV$1309,MATCH("B06b-RD-41",'SKU明细'!$A$11:$A$1309,0)),INDEX('SKU明细'!$BV$11:$BV$1309,MATCH("B06b-RD-42",'SKU明细'!$A$11:$A$1309,0)))=6,SUM(INDEX('SKU明细'!$BV$11:$BV$1309,MATCH("B06b-RD-37",'SKU明细'!$A$11:$A$1309,0)),INDEX('SKU明细'!$BV$11:$BV$1309,MATCH("B06b-RD-38-N",'SKU明细'!$A$11:$A$1309,0)),INDEX('SKU明细'!$BV$11:$BV$1309,MATCH("B06b-RD-39",'SKU明细'!$A$11:$A$1309,0)),INDEX('SKU明细'!$BV$11:$BV$1309,MATCH("B06b-RD-40",'SKU明细'!$A$11:$A$1309,0)),INDEX('SKU明细'!$BV$11:$BV$1309,MATCH("B06b-RD-41",'SKU明细'!$A$11:$A$1309,0)),INDEX('SKU明细'!$BV$11:$BV$1309,MATCH("B06b-RD-42",'SKU明细'!$A$11:$A$1309,0))),"待核")</x:f>
        <x:v>0.10476654450012479</x:v>
      </x:c>
      <x:c r="X157" s="11" t="n">
        <x:f>INDEX('SKU明细'!$BW$11:$BW$1309,MATCH("B06b-RD-37",'SKU明细'!$A$11:$A$1309,0))</x:f>
        <x:v>1.1090677182221615</x:v>
      </x:c>
      <x:c r="Y157" s="13" t="n">
        <x:f>IF(COUNT(INDEX('SKU明细'!$BY$11:$BY$1309,MATCH("B06b-RD-37",'SKU明细'!$A$11:$A$1309,0)),INDEX('SKU明细'!$BY$11:$BY$1309,MATCH("B06b-RD-38-N",'SKU明细'!$A$11:$A$1309,0)),INDEX('SKU明细'!$BY$11:$BY$1309,MATCH("B06b-RD-39",'SKU明细'!$A$11:$A$1309,0)),INDEX('SKU明细'!$BY$11:$BY$1309,MATCH("B06b-RD-40",'SKU明细'!$A$11:$A$1309,0)),INDEX('SKU明细'!$BY$11:$BY$1309,MATCH("B06b-RD-41",'SKU明细'!$A$11:$A$1309,0)),INDEX('SKU明细'!$BY$11:$BY$1309,MATCH("B06b-RD-42",'SKU明细'!$A$11:$A$1309,0)))=6,SUM(INDEX('SKU明细'!$BY$11:$BY$1309,MATCH("B06b-RD-37",'SKU明细'!$A$11:$A$1309,0)),INDEX('SKU明细'!$BY$11:$BY$1309,MATCH("B06b-RD-38-N",'SKU明细'!$A$11:$A$1309,0)),INDEX('SKU明细'!$BY$11:$BY$1309,MATCH("B06b-RD-39",'SKU明细'!$A$11:$A$1309,0)),INDEX('SKU明细'!$BY$11:$BY$1309,MATCH("B06b-RD-40",'SKU明细'!$A$11:$A$1309,0)),INDEX('SKU明细'!$BY$11:$BY$1309,MATCH("B06b-RD-41",'SKU明细'!$A$11:$A$1309,0)),INDEX('SKU明细'!$BY$11:$BY$1309,MATCH("B06b-RD-42",'SKU明细'!$A$11:$A$1309,0))),"待核")</x:f>
        <x:v>1.3943183094572875</x:v>
      </x:c>
      <x:c r="Z157" s="11" t="n">
        <x:f>INDEX('SKU明细'!$BZ$11:$BZ$1309,MATCH("B06b-RD-37",'SKU明细'!$A$11:$A$1309,0))</x:f>
        <x:v>1.0372741535934282</x:v>
      </x:c>
      <x:c r="AA157" s="13" t="n">
        <x:f>IF(COUNT(INDEX('SKU明细'!$CB$11:$CB$1309,MATCH("B06b-RD-37",'SKU明细'!$A$11:$A$1309,0)),INDEX('SKU明细'!$CB$11:$CB$1309,MATCH("B06b-RD-38-N",'SKU明细'!$A$11:$A$1309,0)),INDEX('SKU明细'!$CB$11:$CB$1309,MATCH("B06b-RD-39",'SKU明细'!$A$11:$A$1309,0)),INDEX('SKU明细'!$CB$11:$CB$1309,MATCH("B06b-RD-40",'SKU明细'!$A$11:$A$1309,0)),INDEX('SKU明细'!$CB$11:$CB$1309,MATCH("B06b-RD-41",'SKU明细'!$A$11:$A$1309,0)),INDEX('SKU明细'!$CB$11:$CB$1309,MATCH("B06b-RD-42",'SKU明细'!$A$11:$A$1309,0)))=6,SUM(INDEX('SKU明细'!$CB$11:$CB$1309,MATCH("B06b-RD-37",'SKU明细'!$A$11:$A$1309,0)),INDEX('SKU明细'!$CB$11:$CB$1309,MATCH("B06b-RD-38-N",'SKU明细'!$A$11:$A$1309,0)),INDEX('SKU明细'!$CB$11:$CB$1309,MATCH("B06b-RD-39",'SKU明细'!$A$11:$A$1309,0)),INDEX('SKU明细'!$CB$11:$CB$1309,MATCH("B06b-RD-40",'SKU明细'!$A$11:$A$1309,0)),INDEX('SKU明细'!$CB$11:$CB$1309,MATCH("B06b-RD-41",'SKU明细'!$A$11:$A$1309,0)),INDEX('SKU明细'!$CB$11:$CB$1309,MATCH("B06b-RD-42",'SKU明细'!$A$11:$A$1309,0))),"待核")</x:f>
        <x:v>3.2601488631382556</x:v>
      </x:c>
      <x:c r="AB157" s="11" t="n">
        <x:f>INDEX('SKU明细'!$CC$11:$CC$1309,MATCH("B06b-RD-37",'SKU明细'!$A$11:$A$1309,0))</x:f>
        <x:v>0.979949351738161</x:v>
      </x:c>
      <x:c r="AC157" s="13" t="n">
        <x:f>IF(COUNT(INDEX('SKU明细'!$CE$11:$CE$1309,MATCH("B06b-RD-37",'SKU明细'!$A$11:$A$1309,0)),INDEX('SKU明细'!$CE$11:$CE$1309,MATCH("B06b-RD-38-N",'SKU明细'!$A$11:$A$1309,0)),INDEX('SKU明细'!$CE$11:$CE$1309,MATCH("B06b-RD-39",'SKU明细'!$A$11:$A$1309,0)),INDEX('SKU明细'!$CE$11:$CE$1309,MATCH("B06b-RD-40",'SKU明细'!$A$11:$A$1309,0)),INDEX('SKU明细'!$CE$11:$CE$1309,MATCH("B06b-RD-41",'SKU明细'!$A$11:$A$1309,0)),INDEX('SKU明细'!$CE$11:$CE$1309,MATCH("B06b-RD-42",'SKU明细'!$A$11:$A$1309,0)))=6,SUM(INDEX('SKU明细'!$CE$11:$CE$1309,MATCH("B06b-RD-37",'SKU明细'!$A$11:$A$1309,0)),INDEX('SKU明细'!$CE$11:$CE$1309,MATCH("B06b-RD-38-N",'SKU明细'!$A$11:$A$1309,0)),INDEX('SKU明细'!$CE$11:$CE$1309,MATCH("B06b-RD-39",'SKU明细'!$A$11:$A$1309,0)),INDEX('SKU明细'!$CE$11:$CE$1309,MATCH("B06b-RD-40",'SKU明细'!$A$11:$A$1309,0)),INDEX('SKU明细'!$CE$11:$CE$1309,MATCH("B06b-RD-41",'SKU明细'!$A$11:$A$1309,0)),INDEX('SKU明细'!$CE$11:$CE$1309,MATCH("B06b-RD-42",'SKU明细'!$A$11:$A$1309,0))),"待核")</x:f>
        <x:v>3.182643128369079</x:v>
      </x:c>
      <x:c r="AD157" s="11" t="n">
        <x:f>INDEX('SKU明细'!$CF$11:$CF$1309,MATCH("B06b-RD-37",'SKU明细'!$A$11:$A$1309,0))</x:f>
        <x:v>1.1571949690048173</x:v>
      </x:c>
      <x:c r="AE157" s="13" t="n">
        <x:f>IF(COUNT(INDEX('SKU明细'!$CH$11:$CH$1309,MATCH("B06b-RD-37",'SKU明细'!$A$11:$A$1309,0)),INDEX('SKU明细'!$CH$11:$CH$1309,MATCH("B06b-RD-38-N",'SKU明细'!$A$11:$A$1309,0)),INDEX('SKU明细'!$CH$11:$CH$1309,MATCH("B06b-RD-39",'SKU明细'!$A$11:$A$1309,0)),INDEX('SKU明细'!$CH$11:$CH$1309,MATCH("B06b-RD-40",'SKU明细'!$A$11:$A$1309,0)),INDEX('SKU明细'!$CH$11:$CH$1309,MATCH("B06b-RD-41",'SKU明细'!$A$11:$A$1309,0)),INDEX('SKU明细'!$CH$11:$CH$1309,MATCH("B06b-RD-42",'SKU明细'!$A$11:$A$1309,0)))=6,SUM(INDEX('SKU明细'!$CH$11:$CH$1309,MATCH("B06b-RD-37",'SKU明细'!$A$11:$A$1309,0)),INDEX('SKU明细'!$CH$11:$CH$1309,MATCH("B06b-RD-38-N",'SKU明细'!$A$11:$A$1309,0)),INDEX('SKU明细'!$CH$11:$CH$1309,MATCH("B06b-RD-39",'SKU明细'!$A$11:$A$1309,0)),INDEX('SKU明细'!$CH$11:$CH$1309,MATCH("B06b-RD-40",'SKU明细'!$A$11:$A$1309,0)),INDEX('SKU明细'!$CH$11:$CH$1309,MATCH("B06b-RD-41",'SKU明细'!$A$11:$A$1309,0)),INDEX('SKU明细'!$CH$11:$CH$1309,MATCH("B06b-RD-42",'SKU明细'!$A$11:$A$1309,0))),"待核")</x:f>
        <x:v>2.0610004096645835</x:v>
      </x:c>
      <x:c r="AF157" s="13" t="n">
        <x:f>IF(COUNT(INDEX('SKU明细'!$CI$11:$CI$1309,MATCH("B06b-RD-37",'SKU明细'!$A$11:$A$1309,0)),INDEX('SKU明细'!$CI$11:$CI$1309,MATCH("B06b-RD-38-N",'SKU明细'!$A$11:$A$1309,0)),INDEX('SKU明细'!$CI$11:$CI$1309,MATCH("B06b-RD-39",'SKU明细'!$A$11:$A$1309,0)),INDEX('SKU明细'!$CI$11:$CI$1309,MATCH("B06b-RD-40",'SKU明细'!$A$11:$A$1309,0)),INDEX('SKU明细'!$CI$11:$CI$1309,MATCH("B06b-RD-41",'SKU明细'!$A$11:$A$1309,0)),INDEX('SKU明细'!$CI$11:$CI$1309,MATCH("B06b-RD-42",'SKU明细'!$A$11:$A$1309,0)))=6,SUM(INDEX('SKU明细'!$CI$11:$CI$1309,MATCH("B06b-RD-37",'SKU明细'!$A$11:$A$1309,0)),INDEX('SKU明细'!$CI$11:$CI$1309,MATCH("B06b-RD-38-N",'SKU明细'!$A$11:$A$1309,0)),INDEX('SKU明细'!$CI$11:$CI$1309,MATCH("B06b-RD-39",'SKU明细'!$A$11:$A$1309,0)),INDEX('SKU明细'!$CI$11:$CI$1309,MATCH("B06b-RD-40",'SKU明细'!$A$11:$A$1309,0)),INDEX('SKU明细'!$CI$11:$CI$1309,MATCH("B06b-RD-41",'SKU明细'!$A$11:$A$1309,0)),INDEX('SKU明细'!$CI$11:$CI$1309,MATCH("B06b-RD-42",'SKU明细'!$A$11:$A$1309,0))),"待核")</x:f>
        <x:v>9.898110710629206</x:v>
      </x:c>
    </x:row>
    <x:row r="158" ht="40" customHeight="1">
      <x:c r="A158" s="37" t="str">
        <x:v>B06b</x:v>
      </x:c>
      <x:c r="B158" s="37" t="str">
        <x:v>艾年</x:v>
      </x:c>
      <x:c r="C158" s="37" t="str">
        <x:v>驼色羊京绒</x:v>
      </x:c>
      <x:c r="D158" s="37" t="str">
        <x:v>TN</x:v>
      </x:c>
      <x:c r="E158" s="37" t="str">
        <x:v>B06b-TN</x:v>
      </x:c>
      <x:c r="F158" s="37"/>
      <x:c r="G158" s="38" t="str">
        <x:f>"—"</x:f>
        <x:v>—</x:v>
      </x:c>
      <x:c r="H158" s="38" t="str">
        <x:f>"—"</x:f>
        <x:v>—</x:v>
      </x:c>
      <x:c r="I158" s="38" t="str">
        <x:f>"—"</x:f>
        <x:v>—</x:v>
      </x:c>
      <x:c r="J158" s="38" t="str">
        <x:f>"—"</x:f>
        <x:v>—</x:v>
      </x:c>
      <x:c r="K158" s="38" t="str">
        <x:f>"—"</x:f>
        <x:v>—</x:v>
      </x:c>
      <x:c r="L158" s="38" t="n">
        <x:f>IF(COUNT(INDEX('SKU明细'!$D$11:$D$1309,MATCH("B06b-TN-39",'SKU明细'!$A$11:$A$1309,0)))=0,"待核",IF(COUNT(INDEX('SKU明细'!$D$11:$D$1309,MATCH("B06b-TN-39",'SKU明细'!$A$11:$A$1309,0)))&lt;1,SUM(INDEX('SKU明细'!$D$11:$D$1309,MATCH("B06b-TN-39",'SKU明细'!$A$11:$A$1309,0)))&amp;" + 待核",SUM(INDEX('SKU明细'!$D$11:$D$1309,MATCH("B06b-TN-39",'SKU明细'!$A$11:$A$1309,0)))))</x:f>
        <x:v>0</x:v>
      </x:c>
      <x:c r="M158" s="38" t="str">
        <x:f>"—"</x:f>
        <x:v>—</x:v>
      </x:c>
      <x:c r="N158" s="38" t="n">
        <x:f>IF(COUNT(INDEX('SKU明细'!$D$11:$D$1309,MATCH("B06b-TN-40-N",'SKU明细'!$A$11:$A$1309,0)))=0,"待核",IF(COUNT(INDEX('SKU明细'!$D$11:$D$1309,MATCH("B06b-TN-40-N",'SKU明细'!$A$11:$A$1309,0)))&lt;1,SUM(INDEX('SKU明细'!$D$11:$D$1309,MATCH("B06b-TN-40-N",'SKU明细'!$A$11:$A$1309,0)))&amp;" + 待核",SUM(INDEX('SKU明细'!$D$11:$D$1309,MATCH("B06b-TN-40-N",'SKU明细'!$A$11:$A$1309,0)))))</x:f>
        <x:v>0</x:v>
      </x:c>
      <x:c r="O158" s="38" t="str">
        <x:f>"—"</x:f>
        <x:v>—</x:v>
      </x:c>
      <x:c r="P158" s="38" t="n">
        <x:f>IF(COUNT(INDEX('SKU明细'!$D$11:$D$1309,MATCH("B06b-TN-41",'SKU明细'!$A$11:$A$1309,0)))=0,"待核",IF(COUNT(INDEX('SKU明细'!$D$11:$D$1309,MATCH("B06b-TN-41",'SKU明细'!$A$11:$A$1309,0)))&lt;1,SUM(INDEX('SKU明细'!$D$11:$D$1309,MATCH("B06b-TN-41",'SKU明细'!$A$11:$A$1309,0)))&amp;" + 待核",SUM(INDEX('SKU明细'!$D$11:$D$1309,MATCH("B06b-TN-41",'SKU明细'!$A$11:$A$1309,0)))))</x:f>
        <x:v>0</x:v>
      </x:c>
      <x:c r="Q158" s="38" t="str">
        <x:f>"—"</x:f>
        <x:v>—</x:v>
      </x:c>
      <x:c r="R158" s="38" t="str">
        <x:f>"—"</x:f>
        <x:v>—</x:v>
      </x:c>
      <x:c r="S158" s="38" t="n">
        <x:f>IF(COUNT(INDEX('SKU明细'!$D$11:$D$1309,MATCH("B06b-TN-39",'SKU明细'!$A$11:$A$1309,0)),INDEX('SKU明细'!$D$11:$D$1309,MATCH("B06b-TN-40-N",'SKU明细'!$A$11:$A$1309,0)),INDEX('SKU明细'!$D$11:$D$1309,MATCH("B06b-TN-41",'SKU明细'!$A$11:$A$1309,0)))=0,"待核",SUM(INDEX('SKU明细'!$D$11:$D$1309,MATCH("B06b-TN-39",'SKU明细'!$A$11:$A$1309,0)),INDEX('SKU明细'!$D$11:$D$1309,MATCH("B06b-TN-40-N",'SKU明细'!$A$11:$A$1309,0)),INDEX('SKU明细'!$D$11:$D$1309,MATCH("B06b-TN-41",'SKU明细'!$A$11:$A$1309,0))))</x:f>
        <x:v>0</x:v>
      </x:c>
      <x:c r="T158" s="38" t="n">
        <x:f>IF(COUNTIFS($A$9:$A$191,A158,$U$9:$U$191,"&lt;&gt;待核")=0,"待核",SUMIF($A$9:$A$191,A158,$S$9:$S$191))</x:f>
        <x:v>132</x:v>
      </x:c>
      <x:c r="U158" s="37" t="str">
        <x:f>IF(COUNT(INDEX('SKU明细'!$D$11:$D$1309,MATCH("B06b-TN-39",'SKU明细'!$A$11:$A$1309,0)),INDEX('SKU明细'!$D$11:$D$1309,MATCH("B06b-TN-40-N",'SKU明细'!$A$11:$A$1309,0)),INDEX('SKU明细'!$D$11:$D$1309,MATCH("B06b-TN-41",'SKU明细'!$A$11:$A$1309,0)))=0,"待核",IF(COUNT(INDEX('SKU明细'!$D$11:$D$1309,MATCH("B06b-TN-39",'SKU明细'!$A$11:$A$1309,0)),INDEX('SKU明细'!$D$11:$D$1309,MATCH("B06b-TN-40-N",'SKU明细'!$A$11:$A$1309,0)),INDEX('SKU明细'!$D$11:$D$1309,MATCH("B06b-TN-41",'SKU明细'!$A$11:$A$1309,0)))&lt;3,"另有待核","已核"))</x:f>
        <x:v>已核</x:v>
      </x:c>
      <x:c r="V158" s="37" t="str">
        <x:v>停售、在售</x:v>
      </x:c>
      <x:c r="W158" s="11" t="n">
        <x:f>IF(COUNT(INDEX('SKU明细'!$BV$11:$BV$1309,MATCH("B06b-TN-39",'SKU明细'!$A$11:$A$1309,0)),INDEX('SKU明细'!$BV$11:$BV$1309,MATCH("B06b-TN-40-N",'SKU明细'!$A$11:$A$1309,0)),INDEX('SKU明细'!$BV$11:$BV$1309,MATCH("B06b-TN-41",'SKU明细'!$A$11:$A$1309,0)))=3,SUM(INDEX('SKU明细'!$BV$11:$BV$1309,MATCH("B06b-TN-39",'SKU明细'!$A$11:$A$1309,0)),INDEX('SKU明细'!$BV$11:$BV$1309,MATCH("B06b-TN-40-N",'SKU明细'!$A$11:$A$1309,0)),INDEX('SKU明细'!$BV$11:$BV$1309,MATCH("B06b-TN-41",'SKU明细'!$A$11:$A$1309,0))),"待核")</x:f>
        <x:v>0</x:v>
      </x:c>
      <x:c r="X158" s="11" t="n">
        <x:f>INDEX('SKU明细'!$BW$11:$BW$1309,MATCH("B06b-TN-39",'SKU明细'!$A$11:$A$1309,0))</x:f>
        <x:v>1.1090677182221615</x:v>
      </x:c>
      <x:c r="Y158" s="13" t="n">
        <x:f>IF(COUNT(INDEX('SKU明细'!$BY$11:$BY$1309,MATCH("B06b-TN-39",'SKU明细'!$A$11:$A$1309,0)),INDEX('SKU明细'!$BY$11:$BY$1309,MATCH("B06b-TN-40-N",'SKU明细'!$A$11:$A$1309,0)),INDEX('SKU明细'!$BY$11:$BY$1309,MATCH("B06b-TN-41",'SKU明细'!$A$11:$A$1309,0)))=3,SUM(INDEX('SKU明细'!$BY$11:$BY$1309,MATCH("B06b-TN-39",'SKU明细'!$A$11:$A$1309,0)),INDEX('SKU明细'!$BY$11:$BY$1309,MATCH("B06b-TN-40-N",'SKU明细'!$A$11:$A$1309,0)),INDEX('SKU明细'!$BY$11:$BY$1309,MATCH("B06b-TN-41",'SKU明细'!$A$11:$A$1309,0))),"待核")</x:f>
        <x:v>0</x:v>
      </x:c>
      <x:c r="Z158" s="11" t="n">
        <x:f>INDEX('SKU明细'!$BZ$11:$BZ$1309,MATCH("B06b-TN-39",'SKU明细'!$A$11:$A$1309,0))</x:f>
        <x:v>1.0372741535934282</x:v>
      </x:c>
      <x:c r="AA158" s="13" t="n">
        <x:f>IF(COUNT(INDEX('SKU明细'!$CB$11:$CB$1309,MATCH("B06b-TN-39",'SKU明细'!$A$11:$A$1309,0)),INDEX('SKU明细'!$CB$11:$CB$1309,MATCH("B06b-TN-40-N",'SKU明细'!$A$11:$A$1309,0)),INDEX('SKU明细'!$CB$11:$CB$1309,MATCH("B06b-TN-41",'SKU明细'!$A$11:$A$1309,0)))=3,SUM(INDEX('SKU明细'!$CB$11:$CB$1309,MATCH("B06b-TN-39",'SKU明细'!$A$11:$A$1309,0)),INDEX('SKU明细'!$CB$11:$CB$1309,MATCH("B06b-TN-40-N",'SKU明细'!$A$11:$A$1309,0)),INDEX('SKU明细'!$CB$11:$CB$1309,MATCH("B06b-TN-41",'SKU明细'!$A$11:$A$1309,0))),"待核")</x:f>
        <x:v>0</x:v>
      </x:c>
      <x:c r="AB158" s="11" t="n">
        <x:f>INDEX('SKU明细'!$CC$11:$CC$1309,MATCH("B06b-TN-39",'SKU明细'!$A$11:$A$1309,0))</x:f>
        <x:v>0.979949351738161</x:v>
      </x:c>
      <x:c r="AC158" s="13" t="n">
        <x:f>IF(COUNT(INDEX('SKU明细'!$CE$11:$CE$1309,MATCH("B06b-TN-39",'SKU明细'!$A$11:$A$1309,0)),INDEX('SKU明细'!$CE$11:$CE$1309,MATCH("B06b-TN-40-N",'SKU明细'!$A$11:$A$1309,0)),INDEX('SKU明细'!$CE$11:$CE$1309,MATCH("B06b-TN-41",'SKU明细'!$A$11:$A$1309,0)))=3,SUM(INDEX('SKU明细'!$CE$11:$CE$1309,MATCH("B06b-TN-39",'SKU明细'!$A$11:$A$1309,0)),INDEX('SKU明细'!$CE$11:$CE$1309,MATCH("B06b-TN-40-N",'SKU明细'!$A$11:$A$1309,0)),INDEX('SKU明细'!$CE$11:$CE$1309,MATCH("B06b-TN-41",'SKU明细'!$A$11:$A$1309,0))),"待核")</x:f>
        <x:v>0</x:v>
      </x:c>
      <x:c r="AD158" s="11" t="n">
        <x:f>INDEX('SKU明细'!$CF$11:$CF$1309,MATCH("B06b-TN-39",'SKU明细'!$A$11:$A$1309,0))</x:f>
        <x:v>1.1571949690048173</x:v>
      </x:c>
      <x:c r="AE158" s="13" t="n">
        <x:f>IF(COUNT(INDEX('SKU明细'!$CH$11:$CH$1309,MATCH("B06b-TN-39",'SKU明细'!$A$11:$A$1309,0)),INDEX('SKU明细'!$CH$11:$CH$1309,MATCH("B06b-TN-40-N",'SKU明细'!$A$11:$A$1309,0)),INDEX('SKU明细'!$CH$11:$CH$1309,MATCH("B06b-TN-41",'SKU明细'!$A$11:$A$1309,0)))=3,SUM(INDEX('SKU明细'!$CH$11:$CH$1309,MATCH("B06b-TN-39",'SKU明细'!$A$11:$A$1309,0)),INDEX('SKU明细'!$CH$11:$CH$1309,MATCH("B06b-TN-40-N",'SKU明细'!$A$11:$A$1309,0)),INDEX('SKU明细'!$CH$11:$CH$1309,MATCH("B06b-TN-41",'SKU明细'!$A$11:$A$1309,0))),"待核")</x:f>
        <x:v>0</x:v>
      </x:c>
      <x:c r="AF158" s="13" t="n">
        <x:f>IF(COUNT(INDEX('SKU明细'!$CI$11:$CI$1309,MATCH("B06b-TN-39",'SKU明细'!$A$11:$A$1309,0)),INDEX('SKU明细'!$CI$11:$CI$1309,MATCH("B06b-TN-40-N",'SKU明细'!$A$11:$A$1309,0)),INDEX('SKU明细'!$CI$11:$CI$1309,MATCH("B06b-TN-41",'SKU明细'!$A$11:$A$1309,0)))=3,SUM(INDEX('SKU明细'!$CI$11:$CI$1309,MATCH("B06b-TN-39",'SKU明细'!$A$11:$A$1309,0)),INDEX('SKU明细'!$CI$11:$CI$1309,MATCH("B06b-TN-40-N",'SKU明细'!$A$11:$A$1309,0)),INDEX('SKU明细'!$CI$11:$CI$1309,MATCH("B06b-TN-41",'SKU明细'!$A$11:$A$1309,0))),"待核")</x:f>
        <x:v>0</x:v>
      </x:c>
    </x:row>
    <x:row r="159" ht="40" customHeight="1">
      <x:c r="A159" s="35" t="str">
        <x:v>60516</x:v>
      </x:c>
      <x:c r="B159" s="35" t="str">
        <x:v>徐新怡</x:v>
      </x:c>
      <x:c r="C159" s="35" t="str">
        <x:v>黑色</x:v>
      </x:c>
      <x:c r="D159" s="35" t="str">
        <x:v>BK</x:v>
      </x:c>
      <x:c r="E159" s="35" t="str">
        <x:v>60516-BK-S-K</x:v>
      </x:c>
      <x:c r="F159" s="35"/>
      <x:c r="G159" s="36" t="str">
        <x:f>"—"</x:f>
        <x:v>—</x:v>
      </x:c>
      <x:c r="H159" s="36" t="n">
        <x:f>IF(COUNT(INDEX('SKU明细'!$D$11:$D$1309,MATCH("60516-BK-S-K-6",'SKU明细'!$A$11:$A$1309,0)))=0,"待核",IF(COUNT(INDEX('SKU明细'!$D$11:$D$1309,MATCH("60516-BK-S-K-6",'SKU明细'!$A$11:$A$1309,0)))&lt;1,SUM(INDEX('SKU明细'!$D$11:$D$1309,MATCH("60516-BK-S-K-6",'SKU明细'!$A$11:$A$1309,0)))&amp;" + 待核",SUM(INDEX('SKU明细'!$D$11:$D$1309,MATCH("60516-BK-S-K-6",'SKU明细'!$A$11:$A$1309,0)))))</x:f>
        <x:v>0</x:v>
      </x:c>
      <x:c r="I159" s="36" t="n">
        <x:f>IF(COUNT(INDEX('SKU明细'!$D$11:$D$1309,MATCH("60516-BK-S-K-6.5",'SKU明细'!$A$11:$A$1309,0)))=0,"待核",IF(COUNT(INDEX('SKU明细'!$D$11:$D$1309,MATCH("60516-BK-S-K-6.5",'SKU明细'!$A$11:$A$1309,0)))&lt;1,SUM(INDEX('SKU明细'!$D$11:$D$1309,MATCH("60516-BK-S-K-6.5",'SKU明细'!$A$11:$A$1309,0)))&amp;" + 待核",SUM(INDEX('SKU明细'!$D$11:$D$1309,MATCH("60516-BK-S-K-6.5",'SKU明细'!$A$11:$A$1309,0)))))</x:f>
        <x:v>0</x:v>
      </x:c>
      <x:c r="J159" s="36" t="n">
        <x:f>IF(COUNT(INDEX('SKU明细'!$D$11:$D$1309,MATCH("60516-BK-S-K-7",'SKU明细'!$A$11:$A$1309,0)))=0,"待核",IF(COUNT(INDEX('SKU明细'!$D$11:$D$1309,MATCH("60516-BK-S-K-7",'SKU明细'!$A$11:$A$1309,0)))&lt;1,SUM(INDEX('SKU明细'!$D$11:$D$1309,MATCH("60516-BK-S-K-7",'SKU明细'!$A$11:$A$1309,0)))&amp;" + 待核",SUM(INDEX('SKU明细'!$D$11:$D$1309,MATCH("60516-BK-S-K-7",'SKU明细'!$A$11:$A$1309,0)))))</x:f>
        <x:v>0</x:v>
      </x:c>
      <x:c r="K159" s="36" t="n">
        <x:f>IF(COUNT(INDEX('SKU明细'!$D$11:$D$1309,MATCH("60516-BK-S-K-7.5",'SKU明细'!$A$11:$A$1309,0)))=0,"待核",IF(COUNT(INDEX('SKU明细'!$D$11:$D$1309,MATCH("60516-BK-S-K-7.5",'SKU明细'!$A$11:$A$1309,0)))&lt;1,SUM(INDEX('SKU明细'!$D$11:$D$1309,MATCH("60516-BK-S-K-7.5",'SKU明细'!$A$11:$A$1309,0)))&amp;" + 待核",SUM(INDEX('SKU明细'!$D$11:$D$1309,MATCH("60516-BK-S-K-7.5",'SKU明细'!$A$11:$A$1309,0)))))</x:f>
        <x:v>0</x:v>
      </x:c>
      <x:c r="L159" s="36" t="n">
        <x:f>IF(COUNT(INDEX('SKU明细'!$D$11:$D$1309,MATCH("60516-BK-S-K-8",'SKU明细'!$A$11:$A$1309,0)))=0,"待核",IF(COUNT(INDEX('SKU明细'!$D$11:$D$1309,MATCH("60516-BK-S-K-8",'SKU明细'!$A$11:$A$1309,0)))&lt;1,SUM(INDEX('SKU明细'!$D$11:$D$1309,MATCH("60516-BK-S-K-8",'SKU明细'!$A$11:$A$1309,0)))&amp;" + 待核",SUM(INDEX('SKU明细'!$D$11:$D$1309,MATCH("60516-BK-S-K-8",'SKU明细'!$A$11:$A$1309,0)))))</x:f>
        <x:v>0</x:v>
      </x:c>
      <x:c r="M159" s="36" t="str">
        <x:f>"—"</x:f>
        <x:v>—</x:v>
      </x:c>
      <x:c r="N159" s="36" t="n">
        <x:f>IF(COUNT(INDEX('SKU明细'!$D$11:$D$1309,MATCH("60516-BK-S-K-9",'SKU明细'!$A$11:$A$1309,0)))=0,"待核",IF(COUNT(INDEX('SKU明细'!$D$11:$D$1309,MATCH("60516-BK-S-K-9",'SKU明细'!$A$11:$A$1309,0)))&lt;1,SUM(INDEX('SKU明细'!$D$11:$D$1309,MATCH("60516-BK-S-K-9",'SKU明细'!$A$11:$A$1309,0)))&amp;" + 待核",SUM(INDEX('SKU明细'!$D$11:$D$1309,MATCH("60516-BK-S-K-9",'SKU明细'!$A$11:$A$1309,0)))))</x:f>
        <x:v>0</x:v>
      </x:c>
      <x:c r="O159" s="36" t="str">
        <x:f>"—"</x:f>
        <x:v>—</x:v>
      </x:c>
      <x:c r="P159" s="36" t="n">
        <x:f>IF(COUNT(INDEX('SKU明细'!$D$11:$D$1309,MATCH("60516-BK-S-K-10",'SKU明细'!$A$11:$A$1309,0)))=0,"待核",IF(COUNT(INDEX('SKU明细'!$D$11:$D$1309,MATCH("60516-BK-S-K-10",'SKU明细'!$A$11:$A$1309,0)))&lt;1,SUM(INDEX('SKU明细'!$D$11:$D$1309,MATCH("60516-BK-S-K-10",'SKU明细'!$A$11:$A$1309,0)))&amp;" + 待核",SUM(INDEX('SKU明细'!$D$11:$D$1309,MATCH("60516-BK-S-K-10",'SKU明细'!$A$11:$A$1309,0)))))</x:f>
        <x:v>4</x:v>
      </x:c>
      <x:c r="Q159" s="36" t="str">
        <x:f>"—"</x:f>
        <x:v>—</x:v>
      </x:c>
      <x:c r="R159" s="36" t="n">
        <x:f>IF(COUNT(INDEX('SKU明细'!$D$11:$D$1309,MATCH("60516-BK-S-K-11",'SKU明细'!$A$11:$A$1309,0)))=0,"待核",IF(COUNT(INDEX('SKU明细'!$D$11:$D$1309,MATCH("60516-BK-S-K-11",'SKU明细'!$A$11:$A$1309,0)))&lt;1,SUM(INDEX('SKU明细'!$D$11:$D$1309,MATCH("60516-BK-S-K-11",'SKU明细'!$A$11:$A$1309,0)))&amp;" + 待核",SUM(INDEX('SKU明细'!$D$11:$D$1309,MATCH("60516-BK-S-K-11",'SKU明细'!$A$11:$A$1309,0)))))</x:f>
        <x:v>15</x:v>
      </x:c>
      <x:c r="S159" s="36" t="n">
        <x:f>IF(COUNT(INDEX('SKU明细'!$D$11:$D$1309,MATCH("60516-BK-S-K-6",'SKU明细'!$A$11:$A$1309,0)),INDEX('SKU明细'!$D$11:$D$1309,MATCH("60516-BK-S-K-6.5",'SKU明细'!$A$11:$A$1309,0)),INDEX('SKU明细'!$D$11:$D$1309,MATCH("60516-BK-S-K-7",'SKU明细'!$A$11:$A$1309,0)),INDEX('SKU明细'!$D$11:$D$1309,MATCH("60516-BK-S-K-7.5",'SKU明细'!$A$11:$A$1309,0)),INDEX('SKU明细'!$D$11:$D$1309,MATCH("60516-BK-S-K-8",'SKU明细'!$A$11:$A$1309,0)),INDEX('SKU明细'!$D$11:$D$1309,MATCH("60516-BK-S-K-9",'SKU明细'!$A$11:$A$1309,0)),INDEX('SKU明细'!$D$11:$D$1309,MATCH("60516-BK-S-K-10",'SKU明细'!$A$11:$A$1309,0)),INDEX('SKU明细'!$D$11:$D$1309,MATCH("60516-BK-S-K-11",'SKU明细'!$A$11:$A$1309,0)))=0,"待核",SUM(INDEX('SKU明细'!$D$11:$D$1309,MATCH("60516-BK-S-K-6",'SKU明细'!$A$11:$A$1309,0)),INDEX('SKU明细'!$D$11:$D$1309,MATCH("60516-BK-S-K-6.5",'SKU明细'!$A$11:$A$1309,0)),INDEX('SKU明细'!$D$11:$D$1309,MATCH("60516-BK-S-K-7",'SKU明细'!$A$11:$A$1309,0)),INDEX('SKU明细'!$D$11:$D$1309,MATCH("60516-BK-S-K-7.5",'SKU明细'!$A$11:$A$1309,0)),INDEX('SKU明细'!$D$11:$D$1309,MATCH("60516-BK-S-K-8",'SKU明细'!$A$11:$A$1309,0)),INDEX('SKU明细'!$D$11:$D$1309,MATCH("60516-BK-S-K-9",'SKU明细'!$A$11:$A$1309,0)),INDEX('SKU明细'!$D$11:$D$1309,MATCH("60516-BK-S-K-10",'SKU明细'!$A$11:$A$1309,0)),INDEX('SKU明细'!$D$11:$D$1309,MATCH("60516-BK-S-K-11",'SKU明细'!$A$11:$A$1309,0))))</x:f>
        <x:v>19</x:v>
      </x:c>
      <x:c r="T159" s="36" t="n">
        <x:f>IF(COUNTIFS($A$9:$A$191,A159,$U$9:$U$191,"&lt;&gt;待核")=0,"待核",SUMIF($A$9:$A$191,A159,$S$9:$S$191))</x:f>
        <x:v>121</x:v>
      </x:c>
      <x:c r="U159" s="35" t="str">
        <x:f>IF(COUNT(INDEX('SKU明细'!$D$11:$D$1309,MATCH("60516-BK-S-K-6",'SKU明细'!$A$11:$A$1309,0)),INDEX('SKU明细'!$D$11:$D$1309,MATCH("60516-BK-S-K-6.5",'SKU明细'!$A$11:$A$1309,0)),INDEX('SKU明细'!$D$11:$D$1309,MATCH("60516-BK-S-K-7",'SKU明细'!$A$11:$A$1309,0)),INDEX('SKU明细'!$D$11:$D$1309,MATCH("60516-BK-S-K-7.5",'SKU明细'!$A$11:$A$1309,0)),INDEX('SKU明细'!$D$11:$D$1309,MATCH("60516-BK-S-K-8",'SKU明细'!$A$11:$A$1309,0)),INDEX('SKU明细'!$D$11:$D$1309,MATCH("60516-BK-S-K-9",'SKU明细'!$A$11:$A$1309,0)),INDEX('SKU明细'!$D$11:$D$1309,MATCH("60516-BK-S-K-10",'SKU明细'!$A$11:$A$1309,0)),INDEX('SKU明细'!$D$11:$D$1309,MATCH("60516-BK-S-K-11",'SKU明细'!$A$11:$A$1309,0)))=0,"待核",IF(COUNT(INDEX('SKU明细'!$D$11:$D$1309,MATCH("60516-BK-S-K-6",'SKU明细'!$A$11:$A$1309,0)),INDEX('SKU明细'!$D$11:$D$1309,MATCH("60516-BK-S-K-6.5",'SKU明细'!$A$11:$A$1309,0)),INDEX('SKU明细'!$D$11:$D$1309,MATCH("60516-BK-S-K-7",'SKU明细'!$A$11:$A$1309,0)),INDEX('SKU明细'!$D$11:$D$1309,MATCH("60516-BK-S-K-7.5",'SKU明细'!$A$11:$A$1309,0)),INDEX('SKU明细'!$D$11:$D$1309,MATCH("60516-BK-S-K-8",'SKU明细'!$A$11:$A$1309,0)),INDEX('SKU明细'!$D$11:$D$1309,MATCH("60516-BK-S-K-9",'SKU明细'!$A$11:$A$1309,0)),INDEX('SKU明细'!$D$11:$D$1309,MATCH("60516-BK-S-K-10",'SKU明细'!$A$11:$A$1309,0)),INDEX('SKU明细'!$D$11:$D$1309,MATCH("60516-BK-S-K-11",'SKU明细'!$A$11:$A$1309,0)))&lt;8,"另有待核","已核"))</x:f>
        <x:v>已核</x:v>
      </x:c>
      <x:c r="V159" s="35" t="str">
        <x:v>在售</x:v>
      </x:c>
      <x:c r="W159" s="11" t="n">
        <x:f>IF(COUNT(INDEX('SKU明细'!$BV$11:$BV$1309,MATCH("60516-BK-S-K-6",'SKU明细'!$A$11:$A$1309,0)),INDEX('SKU明细'!$BV$11:$BV$1309,MATCH("60516-BK-S-K-6.5",'SKU明细'!$A$11:$A$1309,0)),INDEX('SKU明细'!$BV$11:$BV$1309,MATCH("60516-BK-S-K-7",'SKU明细'!$A$11:$A$1309,0)),INDEX('SKU明细'!$BV$11:$BV$1309,MATCH("60516-BK-S-K-7.5",'SKU明细'!$A$11:$A$1309,0)),INDEX('SKU明细'!$BV$11:$BV$1309,MATCH("60516-BK-S-K-8",'SKU明细'!$A$11:$A$1309,0)),INDEX('SKU明细'!$BV$11:$BV$1309,MATCH("60516-BK-S-K-9",'SKU明细'!$A$11:$A$1309,0)),INDEX('SKU明细'!$BV$11:$BV$1309,MATCH("60516-BK-S-K-10",'SKU明细'!$A$11:$A$1309,0)),INDEX('SKU明细'!$BV$11:$BV$1309,MATCH("60516-BK-S-K-11",'SKU明细'!$A$11:$A$1309,0)))=8,SUM(INDEX('SKU明细'!$BV$11:$BV$1309,MATCH("60516-BK-S-K-6",'SKU明细'!$A$11:$A$1309,0)),INDEX('SKU明细'!$BV$11:$BV$1309,MATCH("60516-BK-S-K-6.5",'SKU明细'!$A$11:$A$1309,0)),INDEX('SKU明细'!$BV$11:$BV$1309,MATCH("60516-BK-S-K-7",'SKU明细'!$A$11:$A$1309,0)),INDEX('SKU明细'!$BV$11:$BV$1309,MATCH("60516-BK-S-K-7.5",'SKU明细'!$A$11:$A$1309,0)),INDEX('SKU明细'!$BV$11:$BV$1309,MATCH("60516-BK-S-K-8",'SKU明细'!$A$11:$A$1309,0)),INDEX('SKU明细'!$BV$11:$BV$1309,MATCH("60516-BK-S-K-9",'SKU明细'!$A$11:$A$1309,0)),INDEX('SKU明细'!$BV$11:$BV$1309,MATCH("60516-BK-S-K-10",'SKU明细'!$A$11:$A$1309,0)),INDEX('SKU明细'!$BV$11:$BV$1309,MATCH("60516-BK-S-K-11",'SKU明细'!$A$11:$A$1309,0))),"待核")</x:f>
        <x:v>3.012241449805921</x:v>
      </x:c>
      <x:c r="X159" s="11" t="n">
        <x:f>INDEX('SKU明细'!$BW$11:$BW$1309,MATCH("60516-BK-S-K-6",'SKU明细'!$A$11:$A$1309,0))</x:f>
        <x:v>1.8609238953732312</x:v>
      </x:c>
      <x:c r="Y159" s="13" t="n">
        <x:f>IF(COUNT(INDEX('SKU明细'!$BY$11:$BY$1309,MATCH("60516-BK-S-K-6",'SKU明细'!$A$11:$A$1309,0)),INDEX('SKU明细'!$BY$11:$BY$1309,MATCH("60516-BK-S-K-6.5",'SKU明细'!$A$11:$A$1309,0)),INDEX('SKU明细'!$BY$11:$BY$1309,MATCH("60516-BK-S-K-7",'SKU明细'!$A$11:$A$1309,0)),INDEX('SKU明细'!$BY$11:$BY$1309,MATCH("60516-BK-S-K-7.5",'SKU明细'!$A$11:$A$1309,0)),INDEX('SKU明细'!$BY$11:$BY$1309,MATCH("60516-BK-S-K-8",'SKU明细'!$A$11:$A$1309,0)),INDEX('SKU明细'!$BY$11:$BY$1309,MATCH("60516-BK-S-K-9",'SKU明细'!$A$11:$A$1309,0)),INDEX('SKU明细'!$BY$11:$BY$1309,MATCH("60516-BK-S-K-10",'SKU明细'!$A$11:$A$1309,0)),INDEX('SKU明细'!$BY$11:$BY$1309,MATCH("60516-BK-S-K-11",'SKU明细'!$A$11:$A$1309,0)))=8,SUM(INDEX('SKU明细'!$BY$11:$BY$1309,MATCH("60516-BK-S-K-6",'SKU明细'!$A$11:$A$1309,0)),INDEX('SKU明细'!$BY$11:$BY$1309,MATCH("60516-BK-S-K-6.5",'SKU明细'!$A$11:$A$1309,0)),INDEX('SKU明细'!$BY$11:$BY$1309,MATCH("60516-BK-S-K-7",'SKU明细'!$A$11:$A$1309,0)),INDEX('SKU明细'!$BY$11:$BY$1309,MATCH("60516-BK-S-K-7.5",'SKU明细'!$A$11:$A$1309,0)),INDEX('SKU明细'!$BY$11:$BY$1309,MATCH("60516-BK-S-K-8",'SKU明细'!$A$11:$A$1309,0)),INDEX('SKU明细'!$BY$11:$BY$1309,MATCH("60516-BK-S-K-9",'SKU明细'!$A$11:$A$1309,0)),INDEX('SKU明细'!$BY$11:$BY$1309,MATCH("60516-BK-S-K-10",'SKU明细'!$A$11:$A$1309,0)),INDEX('SKU明细'!$BY$11:$BY$1309,MATCH("60516-BK-S-K-11",'SKU明细'!$A$11:$A$1309,0))),"待核")</x:f>
        <x:v>67.26662511093053</x:v>
      </x:c>
      <x:c r="Z159" s="11" t="n">
        <x:f>INDEX('SKU明细'!$BZ$11:$BZ$1309,MATCH("60516-BK-S-K-6",'SKU明细'!$A$11:$A$1309,0))</x:f>
        <x:v>1.438375649833085</x:v>
      </x:c>
      <x:c r="AA159" s="13" t="n">
        <x:f>IF(COUNT(INDEX('SKU明细'!$CB$11:$CB$1309,MATCH("60516-BK-S-K-6",'SKU明细'!$A$11:$A$1309,0)),INDEX('SKU明细'!$CB$11:$CB$1309,MATCH("60516-BK-S-K-6.5",'SKU明细'!$A$11:$A$1309,0)),INDEX('SKU明细'!$CB$11:$CB$1309,MATCH("60516-BK-S-K-7",'SKU明细'!$A$11:$A$1309,0)),INDEX('SKU明细'!$CB$11:$CB$1309,MATCH("60516-BK-S-K-7.5",'SKU明细'!$A$11:$A$1309,0)),INDEX('SKU明细'!$CB$11:$CB$1309,MATCH("60516-BK-S-K-8",'SKU明细'!$A$11:$A$1309,0)),INDEX('SKU明细'!$CB$11:$CB$1309,MATCH("60516-BK-S-K-9",'SKU明细'!$A$11:$A$1309,0)),INDEX('SKU明细'!$CB$11:$CB$1309,MATCH("60516-BK-S-K-10",'SKU明细'!$A$11:$A$1309,0)),INDEX('SKU明细'!$CB$11:$CB$1309,MATCH("60516-BK-S-K-11",'SKU明细'!$A$11:$A$1309,0)))=8,SUM(INDEX('SKU明细'!$CB$11:$CB$1309,MATCH("60516-BK-S-K-6",'SKU明细'!$A$11:$A$1309,0)),INDEX('SKU明细'!$CB$11:$CB$1309,MATCH("60516-BK-S-K-6.5",'SKU明细'!$A$11:$A$1309,0)),INDEX('SKU明细'!$CB$11:$CB$1309,MATCH("60516-BK-S-K-7",'SKU明细'!$A$11:$A$1309,0)),INDEX('SKU明细'!$CB$11:$CB$1309,MATCH("60516-BK-S-K-7.5",'SKU明细'!$A$11:$A$1309,0)),INDEX('SKU明细'!$CB$11:$CB$1309,MATCH("60516-BK-S-K-8",'SKU明细'!$A$11:$A$1309,0)),INDEX('SKU明细'!$CB$11:$CB$1309,MATCH("60516-BK-S-K-9",'SKU明细'!$A$11:$A$1309,0)),INDEX('SKU明细'!$CB$11:$CB$1309,MATCH("60516-BK-S-K-10",'SKU明细'!$A$11:$A$1309,0)),INDEX('SKU明细'!$CB$11:$CB$1309,MATCH("60516-BK-S-K-11",'SKU明细'!$A$11:$A$1309,0))),"待核")</x:f>
        <x:v>129.98204258456238</x:v>
      </x:c>
      <x:c r="AB159" s="11" t="n">
        <x:f>INDEX('SKU明细'!$CC$11:$CC$1309,MATCH("60516-BK-S-K-6",'SKU明细'!$A$11:$A$1309,0))</x:f>
        <x:v>0.9519742599124907</x:v>
      </x:c>
      <x:c r="AC159" s="13" t="n">
        <x:f>IF(COUNT(INDEX('SKU明细'!$CE$11:$CE$1309,MATCH("60516-BK-S-K-6",'SKU明细'!$A$11:$A$1309,0)),INDEX('SKU明细'!$CE$11:$CE$1309,MATCH("60516-BK-S-K-6.5",'SKU明细'!$A$11:$A$1309,0)),INDEX('SKU明细'!$CE$11:$CE$1309,MATCH("60516-BK-S-K-7",'SKU明细'!$A$11:$A$1309,0)),INDEX('SKU明细'!$CE$11:$CE$1309,MATCH("60516-BK-S-K-7.5",'SKU明细'!$A$11:$A$1309,0)),INDEX('SKU明细'!$CE$11:$CE$1309,MATCH("60516-BK-S-K-8",'SKU明细'!$A$11:$A$1309,0)),INDEX('SKU明细'!$CE$11:$CE$1309,MATCH("60516-BK-S-K-9",'SKU明细'!$A$11:$A$1309,0)),INDEX('SKU明细'!$CE$11:$CE$1309,MATCH("60516-BK-S-K-10",'SKU明细'!$A$11:$A$1309,0)),INDEX('SKU明细'!$CE$11:$CE$1309,MATCH("60516-BK-S-K-11",'SKU明细'!$A$11:$A$1309,0)))=8,SUM(INDEX('SKU明细'!$CE$11:$CE$1309,MATCH("60516-BK-S-K-6",'SKU明细'!$A$11:$A$1309,0)),INDEX('SKU明细'!$CE$11:$CE$1309,MATCH("60516-BK-S-K-6.5",'SKU明细'!$A$11:$A$1309,0)),INDEX('SKU明细'!$CE$11:$CE$1309,MATCH("60516-BK-S-K-7",'SKU明细'!$A$11:$A$1309,0)),INDEX('SKU明细'!$CE$11:$CE$1309,MATCH("60516-BK-S-K-7.5",'SKU明细'!$A$11:$A$1309,0)),INDEX('SKU明细'!$CE$11:$CE$1309,MATCH("60516-BK-S-K-8",'SKU明细'!$A$11:$A$1309,0)),INDEX('SKU明细'!$CE$11:$CE$1309,MATCH("60516-BK-S-K-9",'SKU明细'!$A$11:$A$1309,0)),INDEX('SKU明细'!$CE$11:$CE$1309,MATCH("60516-BK-S-K-10",'SKU明细'!$A$11:$A$1309,0)),INDEX('SKU明细'!$CE$11:$CE$1309,MATCH("60516-BK-S-K-11",'SKU明细'!$A$11:$A$1309,0))),"待核")</x:f>
        <x:v>88.89486607055832</x:v>
      </x:c>
      <x:c r="AD159" s="11" t="n">
        <x:f>INDEX('SKU明细'!$CF$11:$CF$1309,MATCH("60516-BK-S-K-6",'SKU明细'!$A$11:$A$1309,0))</x:f>
        <x:v>0.8673021058229575</x:v>
      </x:c>
      <x:c r="AE159" s="13" t="n">
        <x:f>IF(COUNT(INDEX('SKU明细'!$CH$11:$CH$1309,MATCH("60516-BK-S-K-6",'SKU明细'!$A$11:$A$1309,0)),INDEX('SKU明细'!$CH$11:$CH$1309,MATCH("60516-BK-S-K-6.5",'SKU明细'!$A$11:$A$1309,0)),INDEX('SKU明细'!$CH$11:$CH$1309,MATCH("60516-BK-S-K-7",'SKU明细'!$A$11:$A$1309,0)),INDEX('SKU明细'!$CH$11:$CH$1309,MATCH("60516-BK-S-K-7.5",'SKU明细'!$A$11:$A$1309,0)),INDEX('SKU明细'!$CH$11:$CH$1309,MATCH("60516-BK-S-K-8",'SKU明细'!$A$11:$A$1309,0)),INDEX('SKU明细'!$CH$11:$CH$1309,MATCH("60516-BK-S-K-9",'SKU明细'!$A$11:$A$1309,0)),INDEX('SKU明细'!$CH$11:$CH$1309,MATCH("60516-BK-S-K-10",'SKU明细'!$A$11:$A$1309,0)),INDEX('SKU明细'!$CH$11:$CH$1309,MATCH("60516-BK-S-K-11",'SKU明细'!$A$11:$A$1309,0)))=8,SUM(INDEX('SKU明细'!$CH$11:$CH$1309,MATCH("60516-BK-S-K-6",'SKU明细'!$A$11:$A$1309,0)),INDEX('SKU明细'!$CH$11:$CH$1309,MATCH("60516-BK-S-K-6.5",'SKU明细'!$A$11:$A$1309,0)),INDEX('SKU明细'!$CH$11:$CH$1309,MATCH("60516-BK-S-K-7",'SKU明细'!$A$11:$A$1309,0)),INDEX('SKU明细'!$CH$11:$CH$1309,MATCH("60516-BK-S-K-7.5",'SKU明细'!$A$11:$A$1309,0)),INDEX('SKU明细'!$CH$11:$CH$1309,MATCH("60516-BK-S-K-8",'SKU明细'!$A$11:$A$1309,0)),INDEX('SKU明细'!$CH$11:$CH$1309,MATCH("60516-BK-S-K-9",'SKU明细'!$A$11:$A$1309,0)),INDEX('SKU明细'!$CH$11:$CH$1309,MATCH("60516-BK-S-K-10",'SKU明细'!$A$11:$A$1309,0)),INDEX('SKU明细'!$CH$11:$CH$1309,MATCH("60516-BK-S-K-11",'SKU明细'!$A$11:$A$1309,0))),"待核")</x:f>
        <x:v>44.41289699528586</x:v>
      </x:c>
      <x:c r="AF159" s="13" t="n">
        <x:f>IF(COUNT(INDEX('SKU明细'!$CI$11:$CI$1309,MATCH("60516-BK-S-K-6",'SKU明细'!$A$11:$A$1309,0)),INDEX('SKU明细'!$CI$11:$CI$1309,MATCH("60516-BK-S-K-6.5",'SKU明细'!$A$11:$A$1309,0)),INDEX('SKU明细'!$CI$11:$CI$1309,MATCH("60516-BK-S-K-7",'SKU明细'!$A$11:$A$1309,0)),INDEX('SKU明细'!$CI$11:$CI$1309,MATCH("60516-BK-S-K-7.5",'SKU明细'!$A$11:$A$1309,0)),INDEX('SKU明细'!$CI$11:$CI$1309,MATCH("60516-BK-S-K-8",'SKU明细'!$A$11:$A$1309,0)),INDEX('SKU明细'!$CI$11:$CI$1309,MATCH("60516-BK-S-K-9",'SKU明细'!$A$11:$A$1309,0)),INDEX('SKU明细'!$CI$11:$CI$1309,MATCH("60516-BK-S-K-10",'SKU明细'!$A$11:$A$1309,0)),INDEX('SKU明细'!$CI$11:$CI$1309,MATCH("60516-BK-S-K-11",'SKU明细'!$A$11:$A$1309,0)))=8,SUM(INDEX('SKU明细'!$CI$11:$CI$1309,MATCH("60516-BK-S-K-6",'SKU明细'!$A$11:$A$1309,0)),INDEX('SKU明细'!$CI$11:$CI$1309,MATCH("60516-BK-S-K-6.5",'SKU明细'!$A$11:$A$1309,0)),INDEX('SKU明细'!$CI$11:$CI$1309,MATCH("60516-BK-S-K-7",'SKU明细'!$A$11:$A$1309,0)),INDEX('SKU明细'!$CI$11:$CI$1309,MATCH("60516-BK-S-K-7.5",'SKU明细'!$A$11:$A$1309,0)),INDEX('SKU明细'!$CI$11:$CI$1309,MATCH("60516-BK-S-K-8",'SKU明细'!$A$11:$A$1309,0)),INDEX('SKU明细'!$CI$11:$CI$1309,MATCH("60516-BK-S-K-9",'SKU明细'!$A$11:$A$1309,0)),INDEX('SKU明细'!$CI$11:$CI$1309,MATCH("60516-BK-S-K-10",'SKU明细'!$A$11:$A$1309,0)),INDEX('SKU明细'!$CI$11:$CI$1309,MATCH("60516-BK-S-K-11",'SKU明细'!$A$11:$A$1309,0))),"待核")</x:f>
        <x:v>330.5564307613371</x:v>
      </x:c>
    </x:row>
    <x:row r="160" ht="40" customHeight="1">
      <x:c r="A160" s="35" t="str">
        <x:v>60516</x:v>
      </x:c>
      <x:c r="B160" s="35" t="str">
        <x:v>徐新怡</x:v>
      </x:c>
      <x:c r="C160" s="35" t="str">
        <x:v>黑色</x:v>
      </x:c>
      <x:c r="D160" s="35" t="str">
        <x:v>BK-S-K</x:v>
      </x:c>
      <x:c r="E160" s="35" t="str">
        <x:v>60516-BK-S-K</x:v>
      </x:c>
      <x:c r="F160" s="35"/>
      <x:c r="G160" s="36" t="str">
        <x:f>"—"</x:f>
        <x:v>—</x:v>
      </x:c>
      <x:c r="H160" s="36" t="str">
        <x:f>"—"</x:f>
        <x:v>—</x:v>
      </x:c>
      <x:c r="I160" s="36" t="str">
        <x:f>"—"</x:f>
        <x:v>—</x:v>
      </x:c>
      <x:c r="J160" s="36" t="str">
        <x:f>"—"</x:f>
        <x:v>—</x:v>
      </x:c>
      <x:c r="K160" s="36" t="str">
        <x:f>"—"</x:f>
        <x:v>—</x:v>
      </x:c>
      <x:c r="L160" s="36" t="str">
        <x:f>"—"</x:f>
        <x:v>—</x:v>
      </x:c>
      <x:c r="M160" s="36" t="n">
        <x:f>IF(COUNT(INDEX('SKU明细'!$D$11:$D$1309,MATCH("60516-BK-S-K-8.5",'SKU明细'!$A$11:$A$1309,0)))=0,"待核",IF(COUNT(INDEX('SKU明细'!$D$11:$D$1309,MATCH("60516-BK-S-K-8.5",'SKU明细'!$A$11:$A$1309,0)))&lt;1,SUM(INDEX('SKU明细'!$D$11:$D$1309,MATCH("60516-BK-S-K-8.5",'SKU明细'!$A$11:$A$1309,0)))&amp;" + 待核",SUM(INDEX('SKU明细'!$D$11:$D$1309,MATCH("60516-BK-S-K-8.5",'SKU明细'!$A$11:$A$1309,0)))))</x:f>
        <x:v>0</x:v>
      </x:c>
      <x:c r="N160" s="36" t="str">
        <x:f>"—"</x:f>
        <x:v>—</x:v>
      </x:c>
      <x:c r="O160" s="36" t="n">
        <x:f>IF(COUNT(INDEX('SKU明细'!$D$11:$D$1309,MATCH("60516-BK-S-K-9.5",'SKU明细'!$A$11:$A$1309,0)))=0,"待核",IF(COUNT(INDEX('SKU明细'!$D$11:$D$1309,MATCH("60516-BK-S-K-9.5",'SKU明细'!$A$11:$A$1309,0)))&lt;1,SUM(INDEX('SKU明细'!$D$11:$D$1309,MATCH("60516-BK-S-K-9.5",'SKU明细'!$A$11:$A$1309,0)))&amp;" + 待核",SUM(INDEX('SKU明细'!$D$11:$D$1309,MATCH("60516-BK-S-K-9.5",'SKU明细'!$A$11:$A$1309,0)))))</x:f>
        <x:v>0</x:v>
      </x:c>
      <x:c r="P160" s="36" t="str">
        <x:f>"—"</x:f>
        <x:v>—</x:v>
      </x:c>
      <x:c r="Q160" s="36" t="n">
        <x:f>IF(COUNT(INDEX('SKU明细'!$D$11:$D$1309,MATCH("60516-BK-S-K-10.5",'SKU明细'!$A$11:$A$1309,0)))=0,"待核",IF(COUNT(INDEX('SKU明细'!$D$11:$D$1309,MATCH("60516-BK-S-K-10.5",'SKU明细'!$A$11:$A$1309,0)))&lt;1,SUM(INDEX('SKU明细'!$D$11:$D$1309,MATCH("60516-BK-S-K-10.5",'SKU明细'!$A$11:$A$1309,0)))&amp;" + 待核",SUM(INDEX('SKU明细'!$D$11:$D$1309,MATCH("60516-BK-S-K-10.5",'SKU明细'!$A$11:$A$1309,0)))))</x:f>
        <x:v>0</x:v>
      </x:c>
      <x:c r="R160" s="36" t="str">
        <x:f>"—"</x:f>
        <x:v>—</x:v>
      </x:c>
      <x:c r="S160" s="36" t="n">
        <x:f>IF(COUNT(INDEX('SKU明细'!$D$11:$D$1309,MATCH("60516-BK-S-K-8.5",'SKU明细'!$A$11:$A$1309,0)),INDEX('SKU明细'!$D$11:$D$1309,MATCH("60516-BK-S-K-9.5",'SKU明细'!$A$11:$A$1309,0)),INDEX('SKU明细'!$D$11:$D$1309,MATCH("60516-BK-S-K-10.5",'SKU明细'!$A$11:$A$1309,0)))=0,"待核",SUM(INDEX('SKU明细'!$D$11:$D$1309,MATCH("60516-BK-S-K-8.5",'SKU明细'!$A$11:$A$1309,0)),INDEX('SKU明细'!$D$11:$D$1309,MATCH("60516-BK-S-K-9.5",'SKU明细'!$A$11:$A$1309,0)),INDEX('SKU明细'!$D$11:$D$1309,MATCH("60516-BK-S-K-10.5",'SKU明细'!$A$11:$A$1309,0))))</x:f>
        <x:v>0</x:v>
      </x:c>
      <x:c r="T160" s="36" t="n">
        <x:f>IF(COUNTIFS($A$9:$A$191,A160,$U$9:$U$191,"&lt;&gt;待核")=0,"待核",SUMIF($A$9:$A$191,A160,$S$9:$S$191))</x:f>
        <x:v>121</x:v>
      </x:c>
      <x:c r="U160" s="35" t="str">
        <x:f>IF(COUNT(INDEX('SKU明细'!$D$11:$D$1309,MATCH("60516-BK-S-K-8.5",'SKU明细'!$A$11:$A$1309,0)),INDEX('SKU明细'!$D$11:$D$1309,MATCH("60516-BK-S-K-9.5",'SKU明细'!$A$11:$A$1309,0)),INDEX('SKU明细'!$D$11:$D$1309,MATCH("60516-BK-S-K-10.5",'SKU明细'!$A$11:$A$1309,0)))=0,"待核",IF(COUNT(INDEX('SKU明细'!$D$11:$D$1309,MATCH("60516-BK-S-K-8.5",'SKU明细'!$A$11:$A$1309,0)),INDEX('SKU明细'!$D$11:$D$1309,MATCH("60516-BK-S-K-9.5",'SKU明细'!$A$11:$A$1309,0)),INDEX('SKU明细'!$D$11:$D$1309,MATCH("60516-BK-S-K-10.5",'SKU明细'!$A$11:$A$1309,0)))&lt;3,"另有待核","已核"))</x:f>
        <x:v>已核</x:v>
      </x:c>
      <x:c r="V160" s="35" t="str">
        <x:v>停售</x:v>
      </x:c>
      <x:c r="W160" s="11" t="n">
        <x:f>IF(COUNT(INDEX('SKU明细'!$BV$11:$BV$1309,MATCH("60516-BK-S-K-8.5",'SKU明细'!$A$11:$A$1309,0)),INDEX('SKU明细'!$BV$11:$BV$1309,MATCH("60516-BK-S-K-9.5",'SKU明细'!$A$11:$A$1309,0)),INDEX('SKU明细'!$BV$11:$BV$1309,MATCH("60516-BK-S-K-10.5",'SKU明细'!$A$11:$A$1309,0)))=3,SUM(INDEX('SKU明细'!$BV$11:$BV$1309,MATCH("60516-BK-S-K-8.5",'SKU明细'!$A$11:$A$1309,0)),INDEX('SKU明细'!$BV$11:$BV$1309,MATCH("60516-BK-S-K-9.5",'SKU明细'!$A$11:$A$1309,0)),INDEX('SKU明细'!$BV$11:$BV$1309,MATCH("60516-BK-S-K-10.5",'SKU明细'!$A$11:$A$1309,0))),"待核")</x:f>
        <x:v>0.02399154213817918</x:v>
      </x:c>
      <x:c r="X160" s="11" t="n">
        <x:f>INDEX('SKU明细'!$BW$11:$BW$1309,MATCH("60516-BK-S-K-8.5",'SKU明细'!$A$11:$A$1309,0))</x:f>
        <x:v>1.8609238953732312</x:v>
      </x:c>
      <x:c r="Y160" s="13" t="n">
        <x:f>IF(COUNT(INDEX('SKU明细'!$BY$11:$BY$1309,MATCH("60516-BK-S-K-8.5",'SKU明细'!$A$11:$A$1309,0)),INDEX('SKU明细'!$BY$11:$BY$1309,MATCH("60516-BK-S-K-9.5",'SKU明细'!$A$11:$A$1309,0)),INDEX('SKU明细'!$BY$11:$BY$1309,MATCH("60516-BK-S-K-10.5",'SKU明细'!$A$11:$A$1309,0)))=3,SUM(INDEX('SKU明细'!$BY$11:$BY$1309,MATCH("60516-BK-S-K-8.5",'SKU明细'!$A$11:$A$1309,0)),INDEX('SKU明细'!$BY$11:$BY$1309,MATCH("60516-BK-S-K-9.5",'SKU明细'!$A$11:$A$1309,0)),INDEX('SKU明细'!$BY$11:$BY$1309,MATCH("60516-BK-S-K-10.5",'SKU明细'!$A$11:$A$1309,0))),"待核")</x:f>
        <x:v>0.5357572086214971</x:v>
      </x:c>
      <x:c r="Z160" s="11" t="n">
        <x:f>INDEX('SKU明细'!$BZ$11:$BZ$1309,MATCH("60516-BK-S-K-8.5",'SKU明细'!$A$11:$A$1309,0))</x:f>
        <x:v>1.438375649833085</x:v>
      </x:c>
      <x:c r="AA160" s="13" t="n">
        <x:f>IF(COUNT(INDEX('SKU明细'!$CB$11:$CB$1309,MATCH("60516-BK-S-K-8.5",'SKU明细'!$A$11:$A$1309,0)),INDEX('SKU明细'!$CB$11:$CB$1309,MATCH("60516-BK-S-K-9.5",'SKU明细'!$A$11:$A$1309,0)),INDEX('SKU明细'!$CB$11:$CB$1309,MATCH("60516-BK-S-K-10.5",'SKU明细'!$A$11:$A$1309,0)))=3,SUM(INDEX('SKU明细'!$CB$11:$CB$1309,MATCH("60516-BK-S-K-8.5",'SKU明细'!$A$11:$A$1309,0)),INDEX('SKU明细'!$CB$11:$CB$1309,MATCH("60516-BK-S-K-9.5",'SKU明细'!$A$11:$A$1309,0)),INDEX('SKU明细'!$CB$11:$CB$1309,MATCH("60516-BK-S-K-10.5",'SKU明细'!$A$11:$A$1309,0))),"待核")</x:f>
        <x:v>1.0352655004050397</x:v>
      </x:c>
      <x:c r="AB160" s="11" t="n">
        <x:f>INDEX('SKU明细'!$CC$11:$CC$1309,MATCH("60516-BK-S-K-8.5",'SKU明细'!$A$11:$A$1309,0))</x:f>
        <x:v>0.9519742599124907</x:v>
      </x:c>
      <x:c r="AC160" s="13" t="n">
        <x:f>IF(COUNT(INDEX('SKU明细'!$CE$11:$CE$1309,MATCH("60516-BK-S-K-8.5",'SKU明细'!$A$11:$A$1309,0)),INDEX('SKU明细'!$CE$11:$CE$1309,MATCH("60516-BK-S-K-9.5",'SKU明细'!$A$11:$A$1309,0)),INDEX('SKU明细'!$CE$11:$CE$1309,MATCH("60516-BK-S-K-10.5",'SKU明细'!$A$11:$A$1309,0)))=3,SUM(INDEX('SKU明细'!$CE$11:$CE$1309,MATCH("60516-BK-S-K-8.5",'SKU明细'!$A$11:$A$1309,0)),INDEX('SKU明细'!$CE$11:$CE$1309,MATCH("60516-BK-S-K-9.5",'SKU明细'!$A$11:$A$1309,0)),INDEX('SKU明细'!$CE$11:$CE$1309,MATCH("60516-BK-S-K-10.5",'SKU明细'!$A$11:$A$1309,0))),"待核")</x:f>
        <x:v>0.7080192477057262</x:v>
      </x:c>
      <x:c r="AD160" s="11" t="n">
        <x:f>INDEX('SKU明细'!$CF$11:$CF$1309,MATCH("60516-BK-S-K-8.5",'SKU明细'!$A$11:$A$1309,0))</x:f>
        <x:v>0.8673021058229575</x:v>
      </x:c>
      <x:c r="AE160" s="13" t="n">
        <x:f>IF(COUNT(INDEX('SKU明细'!$CH$11:$CH$1309,MATCH("60516-BK-S-K-8.5",'SKU明细'!$A$11:$A$1309,0)),INDEX('SKU明细'!$CH$11:$CH$1309,MATCH("60516-BK-S-K-9.5",'SKU明细'!$A$11:$A$1309,0)),INDEX('SKU明细'!$CH$11:$CH$1309,MATCH("60516-BK-S-K-10.5",'SKU明细'!$A$11:$A$1309,0)))=3,SUM(INDEX('SKU明细'!$CH$11:$CH$1309,MATCH("60516-BK-S-K-8.5",'SKU明细'!$A$11:$A$1309,0)),INDEX('SKU明细'!$CH$11:$CH$1309,MATCH("60516-BK-S-K-9.5",'SKU明细'!$A$11:$A$1309,0)),INDEX('SKU明细'!$CH$11:$CH$1309,MATCH("60516-BK-S-K-10.5",'SKU明细'!$A$11:$A$1309,0))),"待核")</x:f>
        <x:v>0.3537345553125114</x:v>
      </x:c>
      <x:c r="AF160" s="13" t="n">
        <x:f>IF(COUNT(INDEX('SKU明细'!$CI$11:$CI$1309,MATCH("60516-BK-S-K-8.5",'SKU明细'!$A$11:$A$1309,0)),INDEX('SKU明细'!$CI$11:$CI$1309,MATCH("60516-BK-S-K-9.5",'SKU明细'!$A$11:$A$1309,0)),INDEX('SKU明细'!$CI$11:$CI$1309,MATCH("60516-BK-S-K-10.5",'SKU明细'!$A$11:$A$1309,0)))=3,SUM(INDEX('SKU明细'!$CI$11:$CI$1309,MATCH("60516-BK-S-K-8.5",'SKU明细'!$A$11:$A$1309,0)),INDEX('SKU明细'!$CI$11:$CI$1309,MATCH("60516-BK-S-K-9.5",'SKU明细'!$A$11:$A$1309,0)),INDEX('SKU明细'!$CI$11:$CI$1309,MATCH("60516-BK-S-K-10.5",'SKU明细'!$A$11:$A$1309,0))),"待核")</x:f>
        <x:v>2.6327765120447744</x:v>
      </x:c>
    </x:row>
    <x:row r="161" ht="40" customHeight="1">
      <x:c r="A161" s="35" t="str">
        <x:v>60516</x:v>
      </x:c>
      <x:c r="B161" s="35" t="str">
        <x:v>徐新怡</x:v>
      </x:c>
      <x:c r="C161" s="35" t="str">
        <x:v>豹纹</x:v>
      </x:c>
      <x:c r="D161" s="35" t="str">
        <x:v>LP</x:v>
      </x:c>
      <x:c r="E161" s="35" t="str">
        <x:v>60516-LP-S-K</x:v>
      </x:c>
      <x:c r="F161" s="35"/>
      <x:c r="G161" s="36" t="str">
        <x:f>"—"</x:f>
        <x:v>—</x:v>
      </x:c>
      <x:c r="H161" s="36" t="n">
        <x:f>IF(COUNT(INDEX('SKU明细'!$D$11:$D$1309,MATCH("60516-LP-S-K-6",'SKU明细'!$A$11:$A$1309,0)))=0,"待核",IF(COUNT(INDEX('SKU明细'!$D$11:$D$1309,MATCH("60516-LP-S-K-6",'SKU明细'!$A$11:$A$1309,0)))&lt;1,SUM(INDEX('SKU明细'!$D$11:$D$1309,MATCH("60516-LP-S-K-6",'SKU明细'!$A$11:$A$1309,0)))&amp;" + 待核",SUM(INDEX('SKU明细'!$D$11:$D$1309,MATCH("60516-LP-S-K-6",'SKU明细'!$A$11:$A$1309,0)))))</x:f>
        <x:v>0</x:v>
      </x:c>
      <x:c r="I161" s="36" t="str">
        <x:f>"—"</x:f>
        <x:v>—</x:v>
      </x:c>
      <x:c r="J161" s="36" t="n">
        <x:f>IF(COUNT(INDEX('SKU明细'!$D$11:$D$1309,MATCH("60516-LP-S-K-7",'SKU明细'!$A$11:$A$1309,0)))=0,"待核",IF(COUNT(INDEX('SKU明细'!$D$11:$D$1309,MATCH("60516-LP-S-K-7",'SKU明细'!$A$11:$A$1309,0)))&lt;1,SUM(INDEX('SKU明细'!$D$11:$D$1309,MATCH("60516-LP-S-K-7",'SKU明细'!$A$11:$A$1309,0)))&amp;" + 待核",SUM(INDEX('SKU明细'!$D$11:$D$1309,MATCH("60516-LP-S-K-7",'SKU明细'!$A$11:$A$1309,0)))))</x:f>
        <x:v>0</x:v>
      </x:c>
      <x:c r="K161" s="36" t="n">
        <x:f>IF(COUNT(INDEX('SKU明细'!$D$11:$D$1309,MATCH("60516-LP-S-K-7.5",'SKU明细'!$A$11:$A$1309,0)))=0,"待核",IF(COUNT(INDEX('SKU明细'!$D$11:$D$1309,MATCH("60516-LP-S-K-7.5",'SKU明细'!$A$11:$A$1309,0)))&lt;1,SUM(INDEX('SKU明细'!$D$11:$D$1309,MATCH("60516-LP-S-K-7.5",'SKU明细'!$A$11:$A$1309,0)))&amp;" + 待核",SUM(INDEX('SKU明细'!$D$11:$D$1309,MATCH("60516-LP-S-K-7.5",'SKU明细'!$A$11:$A$1309,0)))))</x:f>
        <x:v>18</x:v>
      </x:c>
      <x:c r="L161" s="36" t="n">
        <x:f>IF(COUNT(INDEX('SKU明细'!$D$11:$D$1309,MATCH("60516-LP-S-K-8",'SKU明细'!$A$11:$A$1309,0)))=0,"待核",IF(COUNT(INDEX('SKU明细'!$D$11:$D$1309,MATCH("60516-LP-S-K-8",'SKU明细'!$A$11:$A$1309,0)))&lt;1,SUM(INDEX('SKU明细'!$D$11:$D$1309,MATCH("60516-LP-S-K-8",'SKU明细'!$A$11:$A$1309,0)))&amp;" + 待核",SUM(INDEX('SKU明细'!$D$11:$D$1309,MATCH("60516-LP-S-K-8",'SKU明细'!$A$11:$A$1309,0)))))</x:f>
        <x:v>20</x:v>
      </x:c>
      <x:c r="M161" s="36" t="n">
        <x:f>IF(COUNT(INDEX('SKU明细'!$D$11:$D$1309,MATCH("60516-LP-S-K-8.5",'SKU明细'!$A$11:$A$1309,0)))=0,"待核",IF(COUNT(INDEX('SKU明细'!$D$11:$D$1309,MATCH("60516-LP-S-K-8.5",'SKU明细'!$A$11:$A$1309,0)))&lt;1,SUM(INDEX('SKU明细'!$D$11:$D$1309,MATCH("60516-LP-S-K-8.5",'SKU明细'!$A$11:$A$1309,0)))&amp;" + 待核",SUM(INDEX('SKU明细'!$D$11:$D$1309,MATCH("60516-LP-S-K-8.5",'SKU明细'!$A$11:$A$1309,0)))))</x:f>
        <x:v>0</x:v>
      </x:c>
      <x:c r="N161" s="36" t="n">
        <x:f>IF(COUNT(INDEX('SKU明细'!$D$11:$D$1309,MATCH("60516-LP-S-K-9",'SKU明细'!$A$11:$A$1309,0)))=0,"待核",IF(COUNT(INDEX('SKU明细'!$D$11:$D$1309,MATCH("60516-LP-S-K-9",'SKU明细'!$A$11:$A$1309,0)))&lt;1,SUM(INDEX('SKU明细'!$D$11:$D$1309,MATCH("60516-LP-S-K-9",'SKU明细'!$A$11:$A$1309,0)))&amp;" + 待核",SUM(INDEX('SKU明细'!$D$11:$D$1309,MATCH("60516-LP-S-K-9",'SKU明细'!$A$11:$A$1309,0)))))</x:f>
        <x:v>23</x:v>
      </x:c>
      <x:c r="O161" s="36" t="str">
        <x:f>"—"</x:f>
        <x:v>—</x:v>
      </x:c>
      <x:c r="P161" s="36" t="n">
        <x:f>IF(COUNT(INDEX('SKU明细'!$D$11:$D$1309,MATCH("60516-LP-S-K-10",'SKU明细'!$A$11:$A$1309,0)))=0,"待核",IF(COUNT(INDEX('SKU明细'!$D$11:$D$1309,MATCH("60516-LP-S-K-10",'SKU明细'!$A$11:$A$1309,0)))&lt;1,SUM(INDEX('SKU明细'!$D$11:$D$1309,MATCH("60516-LP-S-K-10",'SKU明细'!$A$11:$A$1309,0)))&amp;" + 待核",SUM(INDEX('SKU明细'!$D$11:$D$1309,MATCH("60516-LP-S-K-10",'SKU明细'!$A$11:$A$1309,0)))))</x:f>
        <x:v>20</x:v>
      </x:c>
      <x:c r="Q161" s="36" t="str">
        <x:f>"—"</x:f>
        <x:v>—</x:v>
      </x:c>
      <x:c r="R161" s="36" t="n">
        <x:f>IF(COUNT(INDEX('SKU明细'!$D$11:$D$1309,MATCH("60516-LP-S-K-11",'SKU明细'!$A$11:$A$1309,0)))=0,"待核",IF(COUNT(INDEX('SKU明细'!$D$11:$D$1309,MATCH("60516-LP-S-K-11",'SKU明细'!$A$11:$A$1309,0)))&lt;1,SUM(INDEX('SKU明细'!$D$11:$D$1309,MATCH("60516-LP-S-K-11",'SKU明细'!$A$11:$A$1309,0)))&amp;" + 待核",SUM(INDEX('SKU明细'!$D$11:$D$1309,MATCH("60516-LP-S-K-11",'SKU明细'!$A$11:$A$1309,0)))))</x:f>
        <x:v>3</x:v>
      </x:c>
      <x:c r="S161" s="36" t="n">
        <x:f>IF(COUNT(INDEX('SKU明细'!$D$11:$D$1309,MATCH("60516-LP-S-K-6",'SKU明细'!$A$11:$A$1309,0)),INDEX('SKU明细'!$D$11:$D$1309,MATCH("60516-LP-S-K-7",'SKU明细'!$A$11:$A$1309,0)),INDEX('SKU明细'!$D$11:$D$1309,MATCH("60516-LP-S-K-7.5",'SKU明细'!$A$11:$A$1309,0)),INDEX('SKU明细'!$D$11:$D$1309,MATCH("60516-LP-S-K-8",'SKU明细'!$A$11:$A$1309,0)),INDEX('SKU明细'!$D$11:$D$1309,MATCH("60516-LP-S-K-8.5",'SKU明细'!$A$11:$A$1309,0)),INDEX('SKU明细'!$D$11:$D$1309,MATCH("60516-LP-S-K-9",'SKU明细'!$A$11:$A$1309,0)),INDEX('SKU明细'!$D$11:$D$1309,MATCH("60516-LP-S-K-10",'SKU明细'!$A$11:$A$1309,0)),INDEX('SKU明细'!$D$11:$D$1309,MATCH("60516-LP-S-K-11",'SKU明细'!$A$11:$A$1309,0)))=0,"待核",SUM(INDEX('SKU明细'!$D$11:$D$1309,MATCH("60516-LP-S-K-6",'SKU明细'!$A$11:$A$1309,0)),INDEX('SKU明细'!$D$11:$D$1309,MATCH("60516-LP-S-K-7",'SKU明细'!$A$11:$A$1309,0)),INDEX('SKU明细'!$D$11:$D$1309,MATCH("60516-LP-S-K-7.5",'SKU明细'!$A$11:$A$1309,0)),INDEX('SKU明细'!$D$11:$D$1309,MATCH("60516-LP-S-K-8",'SKU明细'!$A$11:$A$1309,0)),INDEX('SKU明细'!$D$11:$D$1309,MATCH("60516-LP-S-K-8.5",'SKU明细'!$A$11:$A$1309,0)),INDEX('SKU明细'!$D$11:$D$1309,MATCH("60516-LP-S-K-9",'SKU明细'!$A$11:$A$1309,0)),INDEX('SKU明细'!$D$11:$D$1309,MATCH("60516-LP-S-K-10",'SKU明细'!$A$11:$A$1309,0)),INDEX('SKU明细'!$D$11:$D$1309,MATCH("60516-LP-S-K-11",'SKU明细'!$A$11:$A$1309,0))))</x:f>
        <x:v>84</x:v>
      </x:c>
      <x:c r="T161" s="36" t="n">
        <x:f>IF(COUNTIFS($A$9:$A$191,A161,$U$9:$U$191,"&lt;&gt;待核")=0,"待核",SUMIF($A$9:$A$191,A161,$S$9:$S$191))</x:f>
        <x:v>121</x:v>
      </x:c>
      <x:c r="U161" s="35" t="str">
        <x:f>IF(COUNT(INDEX('SKU明细'!$D$11:$D$1309,MATCH("60516-LP-S-K-6",'SKU明细'!$A$11:$A$1309,0)),INDEX('SKU明细'!$D$11:$D$1309,MATCH("60516-LP-S-K-7",'SKU明细'!$A$11:$A$1309,0)),INDEX('SKU明细'!$D$11:$D$1309,MATCH("60516-LP-S-K-7.5",'SKU明细'!$A$11:$A$1309,0)),INDEX('SKU明细'!$D$11:$D$1309,MATCH("60516-LP-S-K-8",'SKU明细'!$A$11:$A$1309,0)),INDEX('SKU明细'!$D$11:$D$1309,MATCH("60516-LP-S-K-8.5",'SKU明细'!$A$11:$A$1309,0)),INDEX('SKU明细'!$D$11:$D$1309,MATCH("60516-LP-S-K-9",'SKU明细'!$A$11:$A$1309,0)),INDEX('SKU明细'!$D$11:$D$1309,MATCH("60516-LP-S-K-10",'SKU明细'!$A$11:$A$1309,0)),INDEX('SKU明细'!$D$11:$D$1309,MATCH("60516-LP-S-K-11",'SKU明细'!$A$11:$A$1309,0)))=0,"待核",IF(COUNT(INDEX('SKU明细'!$D$11:$D$1309,MATCH("60516-LP-S-K-6",'SKU明细'!$A$11:$A$1309,0)),INDEX('SKU明细'!$D$11:$D$1309,MATCH("60516-LP-S-K-7",'SKU明细'!$A$11:$A$1309,0)),INDEX('SKU明细'!$D$11:$D$1309,MATCH("60516-LP-S-K-7.5",'SKU明细'!$A$11:$A$1309,0)),INDEX('SKU明细'!$D$11:$D$1309,MATCH("60516-LP-S-K-8",'SKU明细'!$A$11:$A$1309,0)),INDEX('SKU明细'!$D$11:$D$1309,MATCH("60516-LP-S-K-8.5",'SKU明细'!$A$11:$A$1309,0)),INDEX('SKU明细'!$D$11:$D$1309,MATCH("60516-LP-S-K-9",'SKU明细'!$A$11:$A$1309,0)),INDEX('SKU明细'!$D$11:$D$1309,MATCH("60516-LP-S-K-10",'SKU明细'!$A$11:$A$1309,0)),INDEX('SKU明细'!$D$11:$D$1309,MATCH("60516-LP-S-K-11",'SKU明细'!$A$11:$A$1309,0)))&lt;8,"另有待核","已核"))</x:f>
        <x:v>已核</x:v>
      </x:c>
      <x:c r="V161" s="35" t="str">
        <x:v>在售、停售</x:v>
      </x:c>
      <x:c r="W161" s="11" t="n">
        <x:f>IF(COUNT(INDEX('SKU明细'!$BV$11:$BV$1309,MATCH("60516-LP-S-K-6",'SKU明细'!$A$11:$A$1309,0)),INDEX('SKU明细'!$BV$11:$BV$1309,MATCH("60516-LP-S-K-7",'SKU明细'!$A$11:$A$1309,0)),INDEX('SKU明细'!$BV$11:$BV$1309,MATCH("60516-LP-S-K-7.5",'SKU明细'!$A$11:$A$1309,0)),INDEX('SKU明细'!$BV$11:$BV$1309,MATCH("60516-LP-S-K-8",'SKU明细'!$A$11:$A$1309,0)),INDEX('SKU明细'!$BV$11:$BV$1309,MATCH("60516-LP-S-K-8.5",'SKU明细'!$A$11:$A$1309,0)),INDEX('SKU明细'!$BV$11:$BV$1309,MATCH("60516-LP-S-K-9",'SKU明细'!$A$11:$A$1309,0)),INDEX('SKU明细'!$BV$11:$BV$1309,MATCH("60516-LP-S-K-10",'SKU明细'!$A$11:$A$1309,0)),INDEX('SKU明细'!$BV$11:$BV$1309,MATCH("60516-LP-S-K-11",'SKU明细'!$A$11:$A$1309,0)))=8,SUM(INDEX('SKU明细'!$BV$11:$BV$1309,MATCH("60516-LP-S-K-6",'SKU明细'!$A$11:$A$1309,0)),INDEX('SKU明细'!$BV$11:$BV$1309,MATCH("60516-LP-S-K-7",'SKU明细'!$A$11:$A$1309,0)),INDEX('SKU明细'!$BV$11:$BV$1309,MATCH("60516-LP-S-K-7.5",'SKU明细'!$A$11:$A$1309,0)),INDEX('SKU明细'!$BV$11:$BV$1309,MATCH("60516-LP-S-K-8",'SKU明细'!$A$11:$A$1309,0)),INDEX('SKU明细'!$BV$11:$BV$1309,MATCH("60516-LP-S-K-8.5",'SKU明细'!$A$11:$A$1309,0)),INDEX('SKU明细'!$BV$11:$BV$1309,MATCH("60516-LP-S-K-9",'SKU明细'!$A$11:$A$1309,0)),INDEX('SKU明细'!$BV$11:$BV$1309,MATCH("60516-LP-S-K-10",'SKU明细'!$A$11:$A$1309,0)),INDEX('SKU明细'!$BV$11:$BV$1309,MATCH("60516-LP-S-K-11",'SKU明细'!$A$11:$A$1309,0))),"待核")</x:f>
        <x:v>4.298159646775271</x:v>
      </x:c>
      <x:c r="X161" s="11" t="n">
        <x:f>INDEX('SKU明细'!$BW$11:$BW$1309,MATCH("60516-LP-S-K-6",'SKU明细'!$A$11:$A$1309,0))</x:f>
        <x:v>1.8609238953732312</x:v>
      </x:c>
      <x:c r="Y161" s="13" t="n">
        <x:f>IF(COUNT(INDEX('SKU明细'!$BY$11:$BY$1309,MATCH("60516-LP-S-K-6",'SKU明细'!$A$11:$A$1309,0)),INDEX('SKU明细'!$BY$11:$BY$1309,MATCH("60516-LP-S-K-7",'SKU明细'!$A$11:$A$1309,0)),INDEX('SKU明细'!$BY$11:$BY$1309,MATCH("60516-LP-S-K-7.5",'SKU明细'!$A$11:$A$1309,0)),INDEX('SKU明细'!$BY$11:$BY$1309,MATCH("60516-LP-S-K-8",'SKU明细'!$A$11:$A$1309,0)),INDEX('SKU明细'!$BY$11:$BY$1309,MATCH("60516-LP-S-K-8.5",'SKU明细'!$A$11:$A$1309,0)),INDEX('SKU明细'!$BY$11:$BY$1309,MATCH("60516-LP-S-K-9",'SKU明细'!$A$11:$A$1309,0)),INDEX('SKU明细'!$BY$11:$BY$1309,MATCH("60516-LP-S-K-10",'SKU明细'!$A$11:$A$1309,0)),INDEX('SKU明细'!$BY$11:$BY$1309,MATCH("60516-LP-S-K-11",'SKU明细'!$A$11:$A$1309,0)))=8,SUM(INDEX('SKU明细'!$BY$11:$BY$1309,MATCH("60516-LP-S-K-6",'SKU明细'!$A$11:$A$1309,0)),INDEX('SKU明细'!$BY$11:$BY$1309,MATCH("60516-LP-S-K-7",'SKU明细'!$A$11:$A$1309,0)),INDEX('SKU明细'!$BY$11:$BY$1309,MATCH("60516-LP-S-K-7.5",'SKU明细'!$A$11:$A$1309,0)),INDEX('SKU明细'!$BY$11:$BY$1309,MATCH("60516-LP-S-K-8",'SKU明细'!$A$11:$A$1309,0)),INDEX('SKU明细'!$BY$11:$BY$1309,MATCH("60516-LP-S-K-8.5",'SKU明细'!$A$11:$A$1309,0)),INDEX('SKU明细'!$BY$11:$BY$1309,MATCH("60516-LP-S-K-9",'SKU明细'!$A$11:$A$1309,0)),INDEX('SKU明细'!$BY$11:$BY$1309,MATCH("60516-LP-S-K-10",'SKU明细'!$A$11:$A$1309,0)),INDEX('SKU明细'!$BY$11:$BY$1309,MATCH("60516-LP-S-K-11",'SKU明细'!$A$11:$A$1309,0))),"待核")</x:f>
        <x:v>95.98257591375683</x:v>
      </x:c>
      <x:c r="Z161" s="11" t="n">
        <x:f>INDEX('SKU明细'!$BZ$11:$BZ$1309,MATCH("60516-LP-S-K-6",'SKU明细'!$A$11:$A$1309,0))</x:f>
        <x:v>1.438375649833085</x:v>
      </x:c>
      <x:c r="AA161" s="13" t="n">
        <x:f>IF(COUNT(INDEX('SKU明细'!$CB$11:$CB$1309,MATCH("60516-LP-S-K-6",'SKU明细'!$A$11:$A$1309,0)),INDEX('SKU明细'!$CB$11:$CB$1309,MATCH("60516-LP-S-K-7",'SKU明细'!$A$11:$A$1309,0)),INDEX('SKU明细'!$CB$11:$CB$1309,MATCH("60516-LP-S-K-7.5",'SKU明细'!$A$11:$A$1309,0)),INDEX('SKU明细'!$CB$11:$CB$1309,MATCH("60516-LP-S-K-8",'SKU明细'!$A$11:$A$1309,0)),INDEX('SKU明细'!$CB$11:$CB$1309,MATCH("60516-LP-S-K-8.5",'SKU明细'!$A$11:$A$1309,0)),INDEX('SKU明细'!$CB$11:$CB$1309,MATCH("60516-LP-S-K-9",'SKU明细'!$A$11:$A$1309,0)),INDEX('SKU明细'!$CB$11:$CB$1309,MATCH("60516-LP-S-K-10",'SKU明细'!$A$11:$A$1309,0)),INDEX('SKU明细'!$CB$11:$CB$1309,MATCH("60516-LP-S-K-11",'SKU明细'!$A$11:$A$1309,0)))=8,SUM(INDEX('SKU明细'!$CB$11:$CB$1309,MATCH("60516-LP-S-K-6",'SKU明细'!$A$11:$A$1309,0)),INDEX('SKU明细'!$CB$11:$CB$1309,MATCH("60516-LP-S-K-7",'SKU明细'!$A$11:$A$1309,0)),INDEX('SKU明细'!$CB$11:$CB$1309,MATCH("60516-LP-S-K-7.5",'SKU明细'!$A$11:$A$1309,0)),INDEX('SKU明细'!$CB$11:$CB$1309,MATCH("60516-LP-S-K-8",'SKU明细'!$A$11:$A$1309,0)),INDEX('SKU明细'!$CB$11:$CB$1309,MATCH("60516-LP-S-K-8.5",'SKU明细'!$A$11:$A$1309,0)),INDEX('SKU明细'!$CB$11:$CB$1309,MATCH("60516-LP-S-K-9",'SKU明细'!$A$11:$A$1309,0)),INDEX('SKU明细'!$CB$11:$CB$1309,MATCH("60516-LP-S-K-10",'SKU明细'!$A$11:$A$1309,0)),INDEX('SKU明细'!$CB$11:$CB$1309,MATCH("60516-LP-S-K-11",'SKU明细'!$A$11:$A$1309,0))),"待核")</x:f>
        <x:v>185.47104525050173</x:v>
      </x:c>
      <x:c r="AB161" s="11" t="n">
        <x:f>INDEX('SKU明细'!$CC$11:$CC$1309,MATCH("60516-LP-S-K-6",'SKU明细'!$A$11:$A$1309,0))</x:f>
        <x:v>0.9519742599124907</x:v>
      </x:c>
      <x:c r="AC161" s="13" t="n">
        <x:f>IF(COUNT(INDEX('SKU明细'!$CE$11:$CE$1309,MATCH("60516-LP-S-K-6",'SKU明细'!$A$11:$A$1309,0)),INDEX('SKU明细'!$CE$11:$CE$1309,MATCH("60516-LP-S-K-7",'SKU明细'!$A$11:$A$1309,0)),INDEX('SKU明细'!$CE$11:$CE$1309,MATCH("60516-LP-S-K-7.5",'SKU明细'!$A$11:$A$1309,0)),INDEX('SKU明细'!$CE$11:$CE$1309,MATCH("60516-LP-S-K-8",'SKU明细'!$A$11:$A$1309,0)),INDEX('SKU明细'!$CE$11:$CE$1309,MATCH("60516-LP-S-K-8.5",'SKU明细'!$A$11:$A$1309,0)),INDEX('SKU明细'!$CE$11:$CE$1309,MATCH("60516-LP-S-K-9",'SKU明细'!$A$11:$A$1309,0)),INDEX('SKU明细'!$CE$11:$CE$1309,MATCH("60516-LP-S-K-10",'SKU明细'!$A$11:$A$1309,0)),INDEX('SKU明细'!$CE$11:$CE$1309,MATCH("60516-LP-S-K-11",'SKU明细'!$A$11:$A$1309,0)))=8,SUM(INDEX('SKU明细'!$CE$11:$CE$1309,MATCH("60516-LP-S-K-6",'SKU明细'!$A$11:$A$1309,0)),INDEX('SKU明细'!$CE$11:$CE$1309,MATCH("60516-LP-S-K-7",'SKU明细'!$A$11:$A$1309,0)),INDEX('SKU明细'!$CE$11:$CE$1309,MATCH("60516-LP-S-K-7.5",'SKU明细'!$A$11:$A$1309,0)),INDEX('SKU明细'!$CE$11:$CE$1309,MATCH("60516-LP-S-K-8",'SKU明细'!$A$11:$A$1309,0)),INDEX('SKU明细'!$CE$11:$CE$1309,MATCH("60516-LP-S-K-8.5",'SKU明细'!$A$11:$A$1309,0)),INDEX('SKU明细'!$CE$11:$CE$1309,MATCH("60516-LP-S-K-9",'SKU明细'!$A$11:$A$1309,0)),INDEX('SKU明细'!$CE$11:$CE$1309,MATCH("60516-LP-S-K-10",'SKU明细'!$A$11:$A$1309,0)),INDEX('SKU明细'!$CE$11:$CE$1309,MATCH("60516-LP-S-K-11",'SKU明细'!$A$11:$A$1309,0))),"待核")</x:f>
        <x:v>126.84385781046328</x:v>
      </x:c>
      <x:c r="AD161" s="11" t="n">
        <x:f>INDEX('SKU明细'!$CF$11:$CF$1309,MATCH("60516-LP-S-K-6",'SKU明细'!$A$11:$A$1309,0))</x:f>
        <x:v>0.8673021058229575</x:v>
      </x:c>
      <x:c r="AE161" s="13" t="n">
        <x:f>IF(COUNT(INDEX('SKU明细'!$CH$11:$CH$1309,MATCH("60516-LP-S-K-6",'SKU明细'!$A$11:$A$1309,0)),INDEX('SKU明细'!$CH$11:$CH$1309,MATCH("60516-LP-S-K-7",'SKU明细'!$A$11:$A$1309,0)),INDEX('SKU明细'!$CH$11:$CH$1309,MATCH("60516-LP-S-K-7.5",'SKU明细'!$A$11:$A$1309,0)),INDEX('SKU明细'!$CH$11:$CH$1309,MATCH("60516-LP-S-K-8",'SKU明细'!$A$11:$A$1309,0)),INDEX('SKU明细'!$CH$11:$CH$1309,MATCH("60516-LP-S-K-8.5",'SKU明细'!$A$11:$A$1309,0)),INDEX('SKU明细'!$CH$11:$CH$1309,MATCH("60516-LP-S-K-9",'SKU明细'!$A$11:$A$1309,0)),INDEX('SKU明细'!$CH$11:$CH$1309,MATCH("60516-LP-S-K-10",'SKU明细'!$A$11:$A$1309,0)),INDEX('SKU明细'!$CH$11:$CH$1309,MATCH("60516-LP-S-K-11",'SKU明细'!$A$11:$A$1309,0)))=8,SUM(INDEX('SKU明细'!$CH$11:$CH$1309,MATCH("60516-LP-S-K-6",'SKU明细'!$A$11:$A$1309,0)),INDEX('SKU明细'!$CH$11:$CH$1309,MATCH("60516-LP-S-K-7",'SKU明细'!$A$11:$A$1309,0)),INDEX('SKU明细'!$CH$11:$CH$1309,MATCH("60516-LP-S-K-7.5",'SKU明细'!$A$11:$A$1309,0)),INDEX('SKU明细'!$CH$11:$CH$1309,MATCH("60516-LP-S-K-8",'SKU明细'!$A$11:$A$1309,0)),INDEX('SKU明细'!$CH$11:$CH$1309,MATCH("60516-LP-S-K-8.5",'SKU明细'!$A$11:$A$1309,0)),INDEX('SKU明细'!$CH$11:$CH$1309,MATCH("60516-LP-S-K-9",'SKU明细'!$A$11:$A$1309,0)),INDEX('SKU明细'!$CH$11:$CH$1309,MATCH("60516-LP-S-K-10",'SKU明细'!$A$11:$A$1309,0)),INDEX('SKU明细'!$CH$11:$CH$1309,MATCH("60516-LP-S-K-11",'SKU明细'!$A$11:$A$1309,0))),"待核")</x:f>
        <x:v>63.372649517794684</x:v>
      </x:c>
      <x:c r="AF161" s="13" t="n">
        <x:f>IF(COUNT(INDEX('SKU明细'!$CI$11:$CI$1309,MATCH("60516-LP-S-K-6",'SKU明细'!$A$11:$A$1309,0)),INDEX('SKU明细'!$CI$11:$CI$1309,MATCH("60516-LP-S-K-7",'SKU明细'!$A$11:$A$1309,0)),INDEX('SKU明细'!$CI$11:$CI$1309,MATCH("60516-LP-S-K-7.5",'SKU明细'!$A$11:$A$1309,0)),INDEX('SKU明细'!$CI$11:$CI$1309,MATCH("60516-LP-S-K-8",'SKU明细'!$A$11:$A$1309,0)),INDEX('SKU明细'!$CI$11:$CI$1309,MATCH("60516-LP-S-K-8.5",'SKU明细'!$A$11:$A$1309,0)),INDEX('SKU明细'!$CI$11:$CI$1309,MATCH("60516-LP-S-K-9",'SKU明细'!$A$11:$A$1309,0)),INDEX('SKU明细'!$CI$11:$CI$1309,MATCH("60516-LP-S-K-10",'SKU明细'!$A$11:$A$1309,0)),INDEX('SKU明细'!$CI$11:$CI$1309,MATCH("60516-LP-S-K-11",'SKU明细'!$A$11:$A$1309,0)))=8,SUM(INDEX('SKU明细'!$CI$11:$CI$1309,MATCH("60516-LP-S-K-6",'SKU明细'!$A$11:$A$1309,0)),INDEX('SKU明细'!$CI$11:$CI$1309,MATCH("60516-LP-S-K-7",'SKU明细'!$A$11:$A$1309,0)),INDEX('SKU明细'!$CI$11:$CI$1309,MATCH("60516-LP-S-K-7.5",'SKU明细'!$A$11:$A$1309,0)),INDEX('SKU明细'!$CI$11:$CI$1309,MATCH("60516-LP-S-K-8",'SKU明细'!$A$11:$A$1309,0)),INDEX('SKU明细'!$CI$11:$CI$1309,MATCH("60516-LP-S-K-8.5",'SKU明细'!$A$11:$A$1309,0)),INDEX('SKU明细'!$CI$11:$CI$1309,MATCH("60516-LP-S-K-9",'SKU明细'!$A$11:$A$1309,0)),INDEX('SKU明细'!$CI$11:$CI$1309,MATCH("60516-LP-S-K-10",'SKU明细'!$A$11:$A$1309,0)),INDEX('SKU明细'!$CI$11:$CI$1309,MATCH("60516-LP-S-K-11",'SKU明细'!$A$11:$A$1309,0))),"待核")</x:f>
        <x:v>471.6701284925165</x:v>
      </x:c>
    </x:row>
    <x:row r="162" ht="40" customHeight="1">
      <x:c r="A162" s="35" t="str">
        <x:v>60516</x:v>
      </x:c>
      <x:c r="B162" s="35" t="str">
        <x:v>徐新怡</x:v>
      </x:c>
      <x:c r="C162" s="35" t="str">
        <x:v>豹纹</x:v>
      </x:c>
      <x:c r="D162" s="35" t="str">
        <x:v>LP-S-K</x:v>
      </x:c>
      <x:c r="E162" s="35" t="str">
        <x:v>60516-LP-S-K</x:v>
      </x:c>
      <x:c r="F162" s="35"/>
      <x:c r="G162" s="36" t="str">
        <x:f>"—"</x:f>
        <x:v>—</x:v>
      </x:c>
      <x:c r="H162" s="36" t="str">
        <x:f>"—"</x:f>
        <x:v>—</x:v>
      </x:c>
      <x:c r="I162" s="36" t="n">
        <x:f>IF(COUNT(INDEX('SKU明细'!$D$11:$D$1309,MATCH("60516-LP-S-K-6.5",'SKU明细'!$A$11:$A$1309,0)))=0,"待核",IF(COUNT(INDEX('SKU明细'!$D$11:$D$1309,MATCH("60516-LP-S-K-6.5",'SKU明细'!$A$11:$A$1309,0)))&lt;1,SUM(INDEX('SKU明细'!$D$11:$D$1309,MATCH("60516-LP-S-K-6.5",'SKU明细'!$A$11:$A$1309,0)))&amp;" + 待核",SUM(INDEX('SKU明细'!$D$11:$D$1309,MATCH("60516-LP-S-K-6.5",'SKU明细'!$A$11:$A$1309,0)))))</x:f>
        <x:v>0</x:v>
      </x:c>
      <x:c r="J162" s="36" t="str">
        <x:f>"—"</x:f>
        <x:v>—</x:v>
      </x:c>
      <x:c r="K162" s="36" t="str">
        <x:f>"—"</x:f>
        <x:v>—</x:v>
      </x:c>
      <x:c r="L162" s="36" t="str">
        <x:f>"—"</x:f>
        <x:v>—</x:v>
      </x:c>
      <x:c r="M162" s="36" t="str">
        <x:f>"—"</x:f>
        <x:v>—</x:v>
      </x:c>
      <x:c r="N162" s="36" t="str">
        <x:f>"—"</x:f>
        <x:v>—</x:v>
      </x:c>
      <x:c r="O162" s="36" t="n">
        <x:f>IF(COUNT(INDEX('SKU明细'!$D$11:$D$1309,MATCH("60516-LP-S-K-9.5",'SKU明细'!$A$11:$A$1309,0)))=0,"待核",IF(COUNT(INDEX('SKU明细'!$D$11:$D$1309,MATCH("60516-LP-S-K-9.5",'SKU明细'!$A$11:$A$1309,0)))&lt;1,SUM(INDEX('SKU明细'!$D$11:$D$1309,MATCH("60516-LP-S-K-9.5",'SKU明细'!$A$11:$A$1309,0)))&amp;" + 待核",SUM(INDEX('SKU明细'!$D$11:$D$1309,MATCH("60516-LP-S-K-9.5",'SKU明细'!$A$11:$A$1309,0)))))</x:f>
        <x:v>1</x:v>
      </x:c>
      <x:c r="P162" s="36" t="str">
        <x:f>"—"</x:f>
        <x:v>—</x:v>
      </x:c>
      <x:c r="Q162" s="36" t="n">
        <x:f>IF(COUNT(INDEX('SKU明细'!$D$11:$D$1309,MATCH("60516-LP-S-K-10.5",'SKU明细'!$A$11:$A$1309,0)))=0,"待核",IF(COUNT(INDEX('SKU明细'!$D$11:$D$1309,MATCH("60516-LP-S-K-10.5",'SKU明细'!$A$11:$A$1309,0)))&lt;1,SUM(INDEX('SKU明细'!$D$11:$D$1309,MATCH("60516-LP-S-K-10.5",'SKU明细'!$A$11:$A$1309,0)))&amp;" + 待核",SUM(INDEX('SKU明细'!$D$11:$D$1309,MATCH("60516-LP-S-K-10.5",'SKU明细'!$A$11:$A$1309,0)))))</x:f>
        <x:v>4</x:v>
      </x:c>
      <x:c r="R162" s="36" t="str">
        <x:f>"—"</x:f>
        <x:v>—</x:v>
      </x:c>
      <x:c r="S162" s="36" t="n">
        <x:f>IF(COUNT(INDEX('SKU明细'!$D$11:$D$1309,MATCH("60516-LP-S-K-6.5",'SKU明细'!$A$11:$A$1309,0)),INDEX('SKU明细'!$D$11:$D$1309,MATCH("60516-LP-S-K-9.5",'SKU明细'!$A$11:$A$1309,0)),INDEX('SKU明细'!$D$11:$D$1309,MATCH("60516-LP-S-K-10.5",'SKU明细'!$A$11:$A$1309,0)))=0,"待核",SUM(INDEX('SKU明细'!$D$11:$D$1309,MATCH("60516-LP-S-K-6.5",'SKU明细'!$A$11:$A$1309,0)),INDEX('SKU明细'!$D$11:$D$1309,MATCH("60516-LP-S-K-9.5",'SKU明细'!$A$11:$A$1309,0)),INDEX('SKU明细'!$D$11:$D$1309,MATCH("60516-LP-S-K-10.5",'SKU明细'!$A$11:$A$1309,0))))</x:f>
        <x:v>5</x:v>
      </x:c>
      <x:c r="T162" s="36" t="n">
        <x:f>IF(COUNTIFS($A$9:$A$191,A162,$U$9:$U$191,"&lt;&gt;待核")=0,"待核",SUMIF($A$9:$A$191,A162,$S$9:$S$191))</x:f>
        <x:v>121</x:v>
      </x:c>
      <x:c r="U162" s="35" t="str">
        <x:f>IF(COUNT(INDEX('SKU明细'!$D$11:$D$1309,MATCH("60516-LP-S-K-6.5",'SKU明细'!$A$11:$A$1309,0)),INDEX('SKU明细'!$D$11:$D$1309,MATCH("60516-LP-S-K-9.5",'SKU明细'!$A$11:$A$1309,0)),INDEX('SKU明细'!$D$11:$D$1309,MATCH("60516-LP-S-K-10.5",'SKU明细'!$A$11:$A$1309,0)))=0,"待核",IF(COUNT(INDEX('SKU明细'!$D$11:$D$1309,MATCH("60516-LP-S-K-6.5",'SKU明细'!$A$11:$A$1309,0)),INDEX('SKU明细'!$D$11:$D$1309,MATCH("60516-LP-S-K-9.5",'SKU明细'!$A$11:$A$1309,0)),INDEX('SKU明细'!$D$11:$D$1309,MATCH("60516-LP-S-K-10.5",'SKU明细'!$A$11:$A$1309,0)))&lt;3,"另有待核","已核"))</x:f>
        <x:v>已核</x:v>
      </x:c>
      <x:c r="V162" s="35" t="str">
        <x:v>停售、在售</x:v>
      </x:c>
      <x:c r="W162" s="11" t="n">
        <x:f>IF(COUNT(INDEX('SKU明细'!$BV$11:$BV$1309,MATCH("60516-LP-S-K-6.5",'SKU明细'!$A$11:$A$1309,0)),INDEX('SKU明细'!$BV$11:$BV$1309,MATCH("60516-LP-S-K-9.5",'SKU明细'!$A$11:$A$1309,0)),INDEX('SKU明细'!$BV$11:$BV$1309,MATCH("60516-LP-S-K-10.5",'SKU明细'!$A$11:$A$1309,0)))=3,SUM(INDEX('SKU明细'!$BV$11:$BV$1309,MATCH("60516-LP-S-K-6.5",'SKU明细'!$A$11:$A$1309,0)),INDEX('SKU明细'!$BV$11:$BV$1309,MATCH("60516-LP-S-K-9.5",'SKU明细'!$A$11:$A$1309,0)),INDEX('SKU明细'!$BV$11:$BV$1309,MATCH("60516-LP-S-K-10.5",'SKU明细'!$A$11:$A$1309,0))),"待核")</x:f>
        <x:v>0.5508003725788619</x:v>
      </x:c>
      <x:c r="X162" s="11" t="n">
        <x:f>INDEX('SKU明细'!$BW$11:$BW$1309,MATCH("60516-LP-S-K-6.5",'SKU明细'!$A$11:$A$1309,0))</x:f>
        <x:v>1.8609238953732312</x:v>
      </x:c>
      <x:c r="Y162" s="13" t="n">
        <x:f>IF(COUNT(INDEX('SKU明细'!$BY$11:$BY$1309,MATCH("60516-LP-S-K-6.5",'SKU明细'!$A$11:$A$1309,0)),INDEX('SKU明细'!$BY$11:$BY$1309,MATCH("60516-LP-S-K-9.5",'SKU明细'!$A$11:$A$1309,0)),INDEX('SKU明细'!$BY$11:$BY$1309,MATCH("60516-LP-S-K-10.5",'SKU明细'!$A$11:$A$1309,0)))=3,SUM(INDEX('SKU明细'!$BY$11:$BY$1309,MATCH("60516-LP-S-K-6.5",'SKU明细'!$A$11:$A$1309,0)),INDEX('SKU明细'!$BY$11:$BY$1309,MATCH("60516-LP-S-K-9.5",'SKU明细'!$A$11:$A$1309,0)),INDEX('SKU明细'!$BY$11:$BY$1309,MATCH("60516-LP-S-K-10.5",'SKU明细'!$A$11:$A$1309,0))),"待核")</x:f>
        <x:v>12.299970898949795</x:v>
      </x:c>
      <x:c r="Z162" s="11" t="n">
        <x:f>INDEX('SKU明细'!$BZ$11:$BZ$1309,MATCH("60516-LP-S-K-6.5",'SKU明细'!$A$11:$A$1309,0))</x:f>
        <x:v>1.438375649833085</x:v>
      </x:c>
      <x:c r="AA162" s="13" t="n">
        <x:f>IF(COUNT(INDEX('SKU明细'!$CB$11:$CB$1309,MATCH("60516-LP-S-K-6.5",'SKU明细'!$A$11:$A$1309,0)),INDEX('SKU明细'!$CB$11:$CB$1309,MATCH("60516-LP-S-K-9.5",'SKU明细'!$A$11:$A$1309,0)),INDEX('SKU明细'!$CB$11:$CB$1309,MATCH("60516-LP-S-K-10.5",'SKU明细'!$A$11:$A$1309,0)))=3,SUM(INDEX('SKU明细'!$CB$11:$CB$1309,MATCH("60516-LP-S-K-6.5",'SKU明细'!$A$11:$A$1309,0)),INDEX('SKU明细'!$CB$11:$CB$1309,MATCH("60516-LP-S-K-9.5",'SKU明细'!$A$11:$A$1309,0)),INDEX('SKU明细'!$CB$11:$CB$1309,MATCH("60516-LP-S-K-10.5",'SKU明细'!$A$11:$A$1309,0))),"待核")</x:f>
        <x:v>23.76773531509278</x:v>
      </x:c>
      <x:c r="AB162" s="11" t="n">
        <x:f>INDEX('SKU明细'!$CC$11:$CC$1309,MATCH("60516-LP-S-K-6.5",'SKU明细'!$A$11:$A$1309,0))</x:f>
        <x:v>0.9519742599124907</x:v>
      </x:c>
      <x:c r="AC162" s="13" t="n">
        <x:f>IF(COUNT(INDEX('SKU明细'!$CE$11:$CE$1309,MATCH("60516-LP-S-K-6.5",'SKU明细'!$A$11:$A$1309,0)),INDEX('SKU明细'!$CE$11:$CE$1309,MATCH("60516-LP-S-K-9.5",'SKU明细'!$A$11:$A$1309,0)),INDEX('SKU明细'!$CE$11:$CE$1309,MATCH("60516-LP-S-K-10.5",'SKU明细'!$A$11:$A$1309,0)))=3,SUM(INDEX('SKU明细'!$CE$11:$CE$1309,MATCH("60516-LP-S-K-6.5",'SKU明细'!$A$11:$A$1309,0)),INDEX('SKU明细'!$CE$11:$CE$1309,MATCH("60516-LP-S-K-9.5",'SKU明细'!$A$11:$A$1309,0)),INDEX('SKU明细'!$CE$11:$CE$1309,MATCH("60516-LP-S-K-10.5",'SKU明细'!$A$11:$A$1309,0))),"待核")</x:f>
        <x:v>16.254781088403874</x:v>
      </x:c>
      <x:c r="AD162" s="11" t="n">
        <x:f>INDEX('SKU明细'!$CF$11:$CF$1309,MATCH("60516-LP-S-K-6.5",'SKU明细'!$A$11:$A$1309,0))</x:f>
        <x:v>0.8673021058229575</x:v>
      </x:c>
      <x:c r="AE162" s="13" t="n">
        <x:f>IF(COUNT(INDEX('SKU明细'!$CH$11:$CH$1309,MATCH("60516-LP-S-K-6.5",'SKU明细'!$A$11:$A$1309,0)),INDEX('SKU明细'!$CH$11:$CH$1309,MATCH("60516-LP-S-K-9.5",'SKU明细'!$A$11:$A$1309,0)),INDEX('SKU明细'!$CH$11:$CH$1309,MATCH("60516-LP-S-K-10.5",'SKU明细'!$A$11:$A$1309,0)))=3,SUM(INDEX('SKU明细'!$CH$11:$CH$1309,MATCH("60516-LP-S-K-6.5",'SKU明细'!$A$11:$A$1309,0)),INDEX('SKU明细'!$CH$11:$CH$1309,MATCH("60516-LP-S-K-9.5",'SKU明细'!$A$11:$A$1309,0)),INDEX('SKU明细'!$CH$11:$CH$1309,MATCH("60516-LP-S-K-10.5",'SKU明细'!$A$11:$A$1309,0))),"待核")</x:f>
        <x:v>8.121075491437182</x:v>
      </x:c>
      <x:c r="AF162" s="13" t="n">
        <x:f>IF(COUNT(INDEX('SKU明细'!$CI$11:$CI$1309,MATCH("60516-LP-S-K-6.5",'SKU明细'!$A$11:$A$1309,0)),INDEX('SKU明细'!$CI$11:$CI$1309,MATCH("60516-LP-S-K-9.5",'SKU明细'!$A$11:$A$1309,0)),INDEX('SKU明细'!$CI$11:$CI$1309,MATCH("60516-LP-S-K-10.5",'SKU明细'!$A$11:$A$1309,0)))=3,SUM(INDEX('SKU明细'!$CI$11:$CI$1309,MATCH("60516-LP-S-K-6.5",'SKU明细'!$A$11:$A$1309,0)),INDEX('SKU明细'!$CI$11:$CI$1309,MATCH("60516-LP-S-K-9.5",'SKU明细'!$A$11:$A$1309,0)),INDEX('SKU明细'!$CI$11:$CI$1309,MATCH("60516-LP-S-K-10.5",'SKU明细'!$A$11:$A$1309,0))),"待核")</x:f>
        <x:v>60.44356279388363</x:v>
      </x:c>
    </x:row>
    <x:row r="163" ht="40" customHeight="1">
      <x:c r="A163" s="35" t="str">
        <x:v>60516</x:v>
      </x:c>
      <x:c r="B163" s="35" t="str">
        <x:v>徐新怡</x:v>
      </x:c>
      <x:c r="C163" s="35" t="str">
        <x:v>裸色</x:v>
      </x:c>
      <x:c r="D163" s="35" t="str">
        <x:v>ND</x:v>
      </x:c>
      <x:c r="E163" s="35" t="str">
        <x:v>60516-ND-S-K</x:v>
      </x:c>
      <x:c r="F163" s="35"/>
      <x:c r="G163" s="36" t="str">
        <x:f>"—"</x:f>
        <x:v>—</x:v>
      </x:c>
      <x:c r="H163" s="36" t="n">
        <x:f>IF(COUNT(INDEX('SKU明细'!$D$11:$D$1309,MATCH("60516-ND-S-K-6",'SKU明细'!$A$11:$A$1309,0)))=0,"待核",IF(COUNT(INDEX('SKU明细'!$D$11:$D$1309,MATCH("60516-ND-S-K-6",'SKU明细'!$A$11:$A$1309,0)))&lt;1,SUM(INDEX('SKU明细'!$D$11:$D$1309,MATCH("60516-ND-S-K-6",'SKU明细'!$A$11:$A$1309,0)))&amp;" + 待核",SUM(INDEX('SKU明细'!$D$11:$D$1309,MATCH("60516-ND-S-K-6",'SKU明细'!$A$11:$A$1309,0)))))</x:f>
        <x:v>0</x:v>
      </x:c>
      <x:c r="I163" s="36" t="str">
        <x:f>"—"</x:f>
        <x:v>—</x:v>
      </x:c>
      <x:c r="J163" s="36" t="n">
        <x:f>IF(COUNT(INDEX('SKU明细'!$D$11:$D$1309,MATCH("60516-ND-S-K-7",'SKU明细'!$A$11:$A$1309,0)))=0,"待核",IF(COUNT(INDEX('SKU明细'!$D$11:$D$1309,MATCH("60516-ND-S-K-7",'SKU明细'!$A$11:$A$1309,0)))&lt;1,SUM(INDEX('SKU明细'!$D$11:$D$1309,MATCH("60516-ND-S-K-7",'SKU明细'!$A$11:$A$1309,0)))&amp;" + 待核",SUM(INDEX('SKU明细'!$D$11:$D$1309,MATCH("60516-ND-S-K-7",'SKU明细'!$A$11:$A$1309,0)))))</x:f>
        <x:v>0</x:v>
      </x:c>
      <x:c r="K163" s="36" t="str">
        <x:f>"—"</x:f>
        <x:v>—</x:v>
      </x:c>
      <x:c r="L163" s="36" t="n">
        <x:f>IF(COUNT(INDEX('SKU明细'!$D$11:$D$1309,MATCH("60516-ND-S-K-8",'SKU明细'!$A$11:$A$1309,0)))=0,"待核",IF(COUNT(INDEX('SKU明细'!$D$11:$D$1309,MATCH("60516-ND-S-K-8",'SKU明细'!$A$11:$A$1309,0)))&lt;1,SUM(INDEX('SKU明细'!$D$11:$D$1309,MATCH("60516-ND-S-K-8",'SKU明细'!$A$11:$A$1309,0)))&amp;" + 待核",SUM(INDEX('SKU明细'!$D$11:$D$1309,MATCH("60516-ND-S-K-8",'SKU明细'!$A$11:$A$1309,0)))))</x:f>
        <x:v>0</x:v>
      </x:c>
      <x:c r="M163" s="36" t="str">
        <x:f>"—"</x:f>
        <x:v>—</x:v>
      </x:c>
      <x:c r="N163" s="36" t="n">
        <x:f>IF(COUNT(INDEX('SKU明细'!$D$11:$D$1309,MATCH("60516-ND-S-K-9",'SKU明细'!$A$11:$A$1309,0)))=0,"待核",IF(COUNT(INDEX('SKU明细'!$D$11:$D$1309,MATCH("60516-ND-S-K-9",'SKU明细'!$A$11:$A$1309,0)))&lt;1,SUM(INDEX('SKU明细'!$D$11:$D$1309,MATCH("60516-ND-S-K-9",'SKU明细'!$A$11:$A$1309,0)))&amp;" + 待核",SUM(INDEX('SKU明细'!$D$11:$D$1309,MATCH("60516-ND-S-K-9",'SKU明细'!$A$11:$A$1309,0)))))</x:f>
        <x:v>0</x:v>
      </x:c>
      <x:c r="O163" s="36" t="str">
        <x:f>"—"</x:f>
        <x:v>—</x:v>
      </x:c>
      <x:c r="P163" s="36" t="n">
        <x:f>IF(COUNT(INDEX('SKU明细'!$D$11:$D$1309,MATCH("60516-ND-S-K-10",'SKU明细'!$A$11:$A$1309,0)))=0,"待核",IF(COUNT(INDEX('SKU明细'!$D$11:$D$1309,MATCH("60516-ND-S-K-10",'SKU明细'!$A$11:$A$1309,0)))&lt;1,SUM(INDEX('SKU明细'!$D$11:$D$1309,MATCH("60516-ND-S-K-10",'SKU明细'!$A$11:$A$1309,0)))&amp;" + 待核",SUM(INDEX('SKU明细'!$D$11:$D$1309,MATCH("60516-ND-S-K-10",'SKU明细'!$A$11:$A$1309,0)))))</x:f>
        <x:v>4</x:v>
      </x:c>
      <x:c r="Q163" s="36" t="str">
        <x:f>"—"</x:f>
        <x:v>—</x:v>
      </x:c>
      <x:c r="R163" s="36" t="n">
        <x:f>IF(COUNT(INDEX('SKU明细'!$D$11:$D$1309,MATCH("60516-ND-S-K-11",'SKU明细'!$A$11:$A$1309,0)))=0,"待核",IF(COUNT(INDEX('SKU明细'!$D$11:$D$1309,MATCH("60516-ND-S-K-11",'SKU明细'!$A$11:$A$1309,0)))&lt;1,SUM(INDEX('SKU明细'!$D$11:$D$1309,MATCH("60516-ND-S-K-11",'SKU明细'!$A$11:$A$1309,0)))&amp;" + 待核",SUM(INDEX('SKU明细'!$D$11:$D$1309,MATCH("60516-ND-S-K-11",'SKU明细'!$A$11:$A$1309,0)))))</x:f>
        <x:v>1</x:v>
      </x:c>
      <x:c r="S163" s="36" t="n">
        <x:f>IF(COUNT(INDEX('SKU明细'!$D$11:$D$1309,MATCH("60516-ND-S-K-6",'SKU明细'!$A$11:$A$1309,0)),INDEX('SKU明细'!$D$11:$D$1309,MATCH("60516-ND-S-K-7",'SKU明细'!$A$11:$A$1309,0)),INDEX('SKU明细'!$D$11:$D$1309,MATCH("60516-ND-S-K-8",'SKU明细'!$A$11:$A$1309,0)),INDEX('SKU明细'!$D$11:$D$1309,MATCH("60516-ND-S-K-9",'SKU明细'!$A$11:$A$1309,0)),INDEX('SKU明细'!$D$11:$D$1309,MATCH("60516-ND-S-K-10",'SKU明细'!$A$11:$A$1309,0)),INDEX('SKU明细'!$D$11:$D$1309,MATCH("60516-ND-S-K-11",'SKU明细'!$A$11:$A$1309,0)))=0,"待核",SUM(INDEX('SKU明细'!$D$11:$D$1309,MATCH("60516-ND-S-K-6",'SKU明细'!$A$11:$A$1309,0)),INDEX('SKU明细'!$D$11:$D$1309,MATCH("60516-ND-S-K-7",'SKU明细'!$A$11:$A$1309,0)),INDEX('SKU明细'!$D$11:$D$1309,MATCH("60516-ND-S-K-8",'SKU明细'!$A$11:$A$1309,0)),INDEX('SKU明细'!$D$11:$D$1309,MATCH("60516-ND-S-K-9",'SKU明细'!$A$11:$A$1309,0)),INDEX('SKU明细'!$D$11:$D$1309,MATCH("60516-ND-S-K-10",'SKU明细'!$A$11:$A$1309,0)),INDEX('SKU明细'!$D$11:$D$1309,MATCH("60516-ND-S-K-11",'SKU明细'!$A$11:$A$1309,0))))</x:f>
        <x:v>5</x:v>
      </x:c>
      <x:c r="T163" s="36" t="n">
        <x:f>IF(COUNTIFS($A$9:$A$191,A163,$U$9:$U$191,"&lt;&gt;待核")=0,"待核",SUMIF($A$9:$A$191,A163,$S$9:$S$191))</x:f>
        <x:v>121</x:v>
      </x:c>
      <x:c r="U163" s="35" t="str">
        <x:f>IF(COUNT(INDEX('SKU明细'!$D$11:$D$1309,MATCH("60516-ND-S-K-6",'SKU明细'!$A$11:$A$1309,0)),INDEX('SKU明细'!$D$11:$D$1309,MATCH("60516-ND-S-K-7",'SKU明细'!$A$11:$A$1309,0)),INDEX('SKU明细'!$D$11:$D$1309,MATCH("60516-ND-S-K-8",'SKU明细'!$A$11:$A$1309,0)),INDEX('SKU明细'!$D$11:$D$1309,MATCH("60516-ND-S-K-9",'SKU明细'!$A$11:$A$1309,0)),INDEX('SKU明细'!$D$11:$D$1309,MATCH("60516-ND-S-K-10",'SKU明细'!$A$11:$A$1309,0)),INDEX('SKU明细'!$D$11:$D$1309,MATCH("60516-ND-S-K-11",'SKU明细'!$A$11:$A$1309,0)))=0,"待核",IF(COUNT(INDEX('SKU明细'!$D$11:$D$1309,MATCH("60516-ND-S-K-6",'SKU明细'!$A$11:$A$1309,0)),INDEX('SKU明细'!$D$11:$D$1309,MATCH("60516-ND-S-K-7",'SKU明细'!$A$11:$A$1309,0)),INDEX('SKU明细'!$D$11:$D$1309,MATCH("60516-ND-S-K-8",'SKU明细'!$A$11:$A$1309,0)),INDEX('SKU明细'!$D$11:$D$1309,MATCH("60516-ND-S-K-9",'SKU明细'!$A$11:$A$1309,0)),INDEX('SKU明细'!$D$11:$D$1309,MATCH("60516-ND-S-K-10",'SKU明细'!$A$11:$A$1309,0)),INDEX('SKU明细'!$D$11:$D$1309,MATCH("60516-ND-S-K-11",'SKU明细'!$A$11:$A$1309,0)))&lt;6,"另有待核","已核"))</x:f>
        <x:v>已核</x:v>
      </x:c>
      <x:c r="V163" s="35" t="str">
        <x:v>在售、停售</x:v>
      </x:c>
      <x:c r="W163" s="11" t="n">
        <x:f>IF(COUNT(INDEX('SKU明细'!$BV$11:$BV$1309,MATCH("60516-ND-S-K-6",'SKU明细'!$A$11:$A$1309,0)),INDEX('SKU明细'!$BV$11:$BV$1309,MATCH("60516-ND-S-K-7",'SKU明细'!$A$11:$A$1309,0)),INDEX('SKU明细'!$BV$11:$BV$1309,MATCH("60516-ND-S-K-8",'SKU明细'!$A$11:$A$1309,0)),INDEX('SKU明细'!$BV$11:$BV$1309,MATCH("60516-ND-S-K-9",'SKU明细'!$A$11:$A$1309,0)),INDEX('SKU明细'!$BV$11:$BV$1309,MATCH("60516-ND-S-K-10",'SKU明细'!$A$11:$A$1309,0)),INDEX('SKU明细'!$BV$11:$BV$1309,MATCH("60516-ND-S-K-11",'SKU明细'!$A$11:$A$1309,0)))=6,SUM(INDEX('SKU明细'!$BV$11:$BV$1309,MATCH("60516-ND-S-K-6",'SKU明细'!$A$11:$A$1309,0)),INDEX('SKU明细'!$BV$11:$BV$1309,MATCH("60516-ND-S-K-7",'SKU明细'!$A$11:$A$1309,0)),INDEX('SKU明细'!$BV$11:$BV$1309,MATCH("60516-ND-S-K-8",'SKU明细'!$A$11:$A$1309,0)),INDEX('SKU明细'!$BV$11:$BV$1309,MATCH("60516-ND-S-K-9",'SKU明细'!$A$11:$A$1309,0)),INDEX('SKU明细'!$BV$11:$BV$1309,MATCH("60516-ND-S-K-10",'SKU明细'!$A$11:$A$1309,0)),INDEX('SKU明细'!$BV$11:$BV$1309,MATCH("60516-ND-S-K-11",'SKU明细'!$A$11:$A$1309,0))),"待核")</x:f>
        <x:v>0.734414933892073</x:v>
      </x:c>
      <x:c r="X163" s="11" t="n">
        <x:f>INDEX('SKU明细'!$BW$11:$BW$1309,MATCH("60516-ND-S-K-6",'SKU明细'!$A$11:$A$1309,0))</x:f>
        <x:v>1.8609238953732312</x:v>
      </x:c>
      <x:c r="Y163" s="13" t="n">
        <x:f>IF(COUNT(INDEX('SKU明细'!$BY$11:$BY$1309,MATCH("60516-ND-S-K-6",'SKU明细'!$A$11:$A$1309,0)),INDEX('SKU明细'!$BY$11:$BY$1309,MATCH("60516-ND-S-K-7",'SKU明细'!$A$11:$A$1309,0)),INDEX('SKU明细'!$BY$11:$BY$1309,MATCH("60516-ND-S-K-8",'SKU明细'!$A$11:$A$1309,0)),INDEX('SKU明细'!$BY$11:$BY$1309,MATCH("60516-ND-S-K-9",'SKU明细'!$A$11:$A$1309,0)),INDEX('SKU明细'!$BY$11:$BY$1309,MATCH("60516-ND-S-K-10",'SKU明细'!$A$11:$A$1309,0)),INDEX('SKU明细'!$BY$11:$BY$1309,MATCH("60516-ND-S-K-11",'SKU明细'!$A$11:$A$1309,0)))=6,SUM(INDEX('SKU明细'!$BY$11:$BY$1309,MATCH("60516-ND-S-K-6",'SKU明细'!$A$11:$A$1309,0)),INDEX('SKU明细'!$BY$11:$BY$1309,MATCH("60516-ND-S-K-7",'SKU明细'!$A$11:$A$1309,0)),INDEX('SKU明细'!$BY$11:$BY$1309,MATCH("60516-ND-S-K-8",'SKU明细'!$A$11:$A$1309,0)),INDEX('SKU明细'!$BY$11:$BY$1309,MATCH("60516-ND-S-K-9",'SKU明细'!$A$11:$A$1309,0)),INDEX('SKU明细'!$BY$11:$BY$1309,MATCH("60516-ND-S-K-10",'SKU明细'!$A$11:$A$1309,0)),INDEX('SKU明细'!$BY$11:$BY$1309,MATCH("60516-ND-S-K-11",'SKU明细'!$A$11:$A$1309,0))),"待核")</x:f>
        <x:v>16.400283595184526</x:v>
      </x:c>
      <x:c r="Z163" s="11" t="n">
        <x:f>INDEX('SKU明细'!$BZ$11:$BZ$1309,MATCH("60516-ND-S-K-6",'SKU明细'!$A$11:$A$1309,0))</x:f>
        <x:v>1.438375649833085</x:v>
      </x:c>
      <x:c r="AA163" s="13" t="n">
        <x:f>IF(COUNT(INDEX('SKU明细'!$CB$11:$CB$1309,MATCH("60516-ND-S-K-6",'SKU明细'!$A$11:$A$1309,0)),INDEX('SKU明细'!$CB$11:$CB$1309,MATCH("60516-ND-S-K-7",'SKU明细'!$A$11:$A$1309,0)),INDEX('SKU明细'!$CB$11:$CB$1309,MATCH("60516-ND-S-K-8",'SKU明细'!$A$11:$A$1309,0)),INDEX('SKU明细'!$CB$11:$CB$1309,MATCH("60516-ND-S-K-9",'SKU明细'!$A$11:$A$1309,0)),INDEX('SKU明细'!$CB$11:$CB$1309,MATCH("60516-ND-S-K-10",'SKU明细'!$A$11:$A$1309,0)),INDEX('SKU明细'!$CB$11:$CB$1309,MATCH("60516-ND-S-K-11",'SKU明细'!$A$11:$A$1309,0)))=6,SUM(INDEX('SKU明细'!$CB$11:$CB$1309,MATCH("60516-ND-S-K-6",'SKU明细'!$A$11:$A$1309,0)),INDEX('SKU明细'!$CB$11:$CB$1309,MATCH("60516-ND-S-K-7",'SKU明细'!$A$11:$A$1309,0)),INDEX('SKU明细'!$CB$11:$CB$1309,MATCH("60516-ND-S-K-8",'SKU明细'!$A$11:$A$1309,0)),INDEX('SKU明细'!$CB$11:$CB$1309,MATCH("60516-ND-S-K-9",'SKU明细'!$A$11:$A$1309,0)),INDEX('SKU明细'!$CB$11:$CB$1309,MATCH("60516-ND-S-K-10",'SKU明细'!$A$11:$A$1309,0)),INDEX('SKU明细'!$CB$11:$CB$1309,MATCH("60516-ND-S-K-11",'SKU明细'!$A$11:$A$1309,0))),"待核")</x:f>
        <x:v>31.690936733523987</x:v>
      </x:c>
      <x:c r="AB163" s="11" t="n">
        <x:f>INDEX('SKU明细'!$CC$11:$CC$1309,MATCH("60516-ND-S-K-6",'SKU明细'!$A$11:$A$1309,0))</x:f>
        <x:v>0.9519742599124907</x:v>
      </x:c>
      <x:c r="AC163" s="13" t="n">
        <x:f>IF(COUNT(INDEX('SKU明细'!$CE$11:$CE$1309,MATCH("60516-ND-S-K-6",'SKU明细'!$A$11:$A$1309,0)),INDEX('SKU明细'!$CE$11:$CE$1309,MATCH("60516-ND-S-K-7",'SKU明细'!$A$11:$A$1309,0)),INDEX('SKU明细'!$CE$11:$CE$1309,MATCH("60516-ND-S-K-8",'SKU明细'!$A$11:$A$1309,0)),INDEX('SKU明细'!$CE$11:$CE$1309,MATCH("60516-ND-S-K-9",'SKU明细'!$A$11:$A$1309,0)),INDEX('SKU明细'!$CE$11:$CE$1309,MATCH("60516-ND-S-K-10",'SKU明细'!$A$11:$A$1309,0)),INDEX('SKU明细'!$CE$11:$CE$1309,MATCH("60516-ND-S-K-11",'SKU明细'!$A$11:$A$1309,0)))=6,SUM(INDEX('SKU明细'!$CE$11:$CE$1309,MATCH("60516-ND-S-K-6",'SKU明细'!$A$11:$A$1309,0)),INDEX('SKU明细'!$CE$11:$CE$1309,MATCH("60516-ND-S-K-7",'SKU明细'!$A$11:$A$1309,0)),INDEX('SKU明细'!$CE$11:$CE$1309,MATCH("60516-ND-S-K-8",'SKU明细'!$A$11:$A$1309,0)),INDEX('SKU明细'!$CE$11:$CE$1309,MATCH("60516-ND-S-K-9",'SKU明细'!$A$11:$A$1309,0)),INDEX('SKU明细'!$CE$11:$CE$1309,MATCH("60516-ND-S-K-10",'SKU明细'!$A$11:$A$1309,0)),INDEX('SKU明细'!$CE$11:$CE$1309,MATCH("60516-ND-S-K-11",'SKU明细'!$A$11:$A$1309,0))),"待核")</x:f>
        <x:v>21.673467507978195</x:v>
      </x:c>
      <x:c r="AD163" s="11" t="n">
        <x:f>INDEX('SKU明细'!$CF$11:$CF$1309,MATCH("60516-ND-S-K-6",'SKU明细'!$A$11:$A$1309,0))</x:f>
        <x:v>0.8673021058229575</x:v>
      </x:c>
      <x:c r="AE163" s="13" t="n">
        <x:f>IF(COUNT(INDEX('SKU明细'!$CH$11:$CH$1309,MATCH("60516-ND-S-K-6",'SKU明细'!$A$11:$A$1309,0)),INDEX('SKU明细'!$CH$11:$CH$1309,MATCH("60516-ND-S-K-7",'SKU明细'!$A$11:$A$1309,0)),INDEX('SKU明细'!$CH$11:$CH$1309,MATCH("60516-ND-S-K-8",'SKU明细'!$A$11:$A$1309,0)),INDEX('SKU明细'!$CH$11:$CH$1309,MATCH("60516-ND-S-K-9",'SKU明细'!$A$11:$A$1309,0)),INDEX('SKU明细'!$CH$11:$CH$1309,MATCH("60516-ND-S-K-10",'SKU明细'!$A$11:$A$1309,0)),INDEX('SKU明细'!$CH$11:$CH$1309,MATCH("60516-ND-S-K-11",'SKU明细'!$A$11:$A$1309,0)))=6,SUM(INDEX('SKU明细'!$CH$11:$CH$1309,MATCH("60516-ND-S-K-6",'SKU明细'!$A$11:$A$1309,0)),INDEX('SKU明细'!$CH$11:$CH$1309,MATCH("60516-ND-S-K-7",'SKU明细'!$A$11:$A$1309,0)),INDEX('SKU明细'!$CH$11:$CH$1309,MATCH("60516-ND-S-K-8",'SKU明细'!$A$11:$A$1309,0)),INDEX('SKU明细'!$CH$11:$CH$1309,MATCH("60516-ND-S-K-9",'SKU明细'!$A$11:$A$1309,0)),INDEX('SKU明细'!$CH$11:$CH$1309,MATCH("60516-ND-S-K-10",'SKU明细'!$A$11:$A$1309,0)),INDEX('SKU明细'!$CH$11:$CH$1309,MATCH("60516-ND-S-K-11",'SKU明细'!$A$11:$A$1309,0))),"待核")</x:f>
        <x:v>10.828313518111191</x:v>
      </x:c>
      <x:c r="AF163" s="13" t="n">
        <x:f>IF(COUNT(INDEX('SKU明细'!$CI$11:$CI$1309,MATCH("60516-ND-S-K-6",'SKU明细'!$A$11:$A$1309,0)),INDEX('SKU明细'!$CI$11:$CI$1309,MATCH("60516-ND-S-K-7",'SKU明细'!$A$11:$A$1309,0)),INDEX('SKU明细'!$CI$11:$CI$1309,MATCH("60516-ND-S-K-8",'SKU明细'!$A$11:$A$1309,0)),INDEX('SKU明细'!$CI$11:$CI$1309,MATCH("60516-ND-S-K-9",'SKU明细'!$A$11:$A$1309,0)),INDEX('SKU明细'!$CI$11:$CI$1309,MATCH("60516-ND-S-K-10",'SKU明细'!$A$11:$A$1309,0)),INDEX('SKU明细'!$CI$11:$CI$1309,MATCH("60516-ND-S-K-11",'SKU明细'!$A$11:$A$1309,0)))=6,SUM(INDEX('SKU明细'!$CI$11:$CI$1309,MATCH("60516-ND-S-K-6",'SKU明细'!$A$11:$A$1309,0)),INDEX('SKU明细'!$CI$11:$CI$1309,MATCH("60516-ND-S-K-7",'SKU明细'!$A$11:$A$1309,0)),INDEX('SKU明细'!$CI$11:$CI$1309,MATCH("60516-ND-S-K-8",'SKU明细'!$A$11:$A$1309,0)),INDEX('SKU明细'!$CI$11:$CI$1309,MATCH("60516-ND-S-K-9",'SKU明细'!$A$11:$A$1309,0)),INDEX('SKU明细'!$CI$11:$CI$1309,MATCH("60516-ND-S-K-10",'SKU明细'!$A$11:$A$1309,0)),INDEX('SKU明细'!$CI$11:$CI$1309,MATCH("60516-ND-S-K-11",'SKU明细'!$A$11:$A$1309,0))),"待核")</x:f>
        <x:v>80.59300135479792</x:v>
      </x:c>
    </x:row>
    <x:row r="164" ht="40" customHeight="1">
      <x:c r="A164" s="35" t="str">
        <x:v>60516</x:v>
      </x:c>
      <x:c r="B164" s="35" t="str">
        <x:v>徐新怡</x:v>
      </x:c>
      <x:c r="C164" s="35" t="str">
        <x:v>裸色</x:v>
      </x:c>
      <x:c r="D164" s="35" t="str">
        <x:v>ND-S-K</x:v>
      </x:c>
      <x:c r="E164" s="35" t="str">
        <x:v>60516-ND-S-K</x:v>
      </x:c>
      <x:c r="F164" s="35"/>
      <x:c r="G164" s="36" t="str">
        <x:f>"—"</x:f>
        <x:v>—</x:v>
      </x:c>
      <x:c r="H164" s="36" t="str">
        <x:f>"—"</x:f>
        <x:v>—</x:v>
      </x:c>
      <x:c r="I164" s="36" t="n">
        <x:f>IF(COUNT(INDEX('SKU明细'!$D$11:$D$1309,MATCH("60516-ND-S-K-6.5",'SKU明细'!$A$11:$A$1309,0)))=0,"待核",IF(COUNT(INDEX('SKU明细'!$D$11:$D$1309,MATCH("60516-ND-S-K-6.5",'SKU明细'!$A$11:$A$1309,0)))&lt;1,SUM(INDEX('SKU明细'!$D$11:$D$1309,MATCH("60516-ND-S-K-6.5",'SKU明细'!$A$11:$A$1309,0)))&amp;" + 待核",SUM(INDEX('SKU明细'!$D$11:$D$1309,MATCH("60516-ND-S-K-6.5",'SKU明细'!$A$11:$A$1309,0)))))</x:f>
        <x:v>0</x:v>
      </x:c>
      <x:c r="J164" s="36" t="str">
        <x:f>"—"</x:f>
        <x:v>—</x:v>
      </x:c>
      <x:c r="K164" s="36" t="n">
        <x:f>IF(COUNT(INDEX('SKU明细'!$D$11:$D$1309,MATCH("60516-ND-S-K-7.5",'SKU明细'!$A$11:$A$1309,0)))=0,"待核",IF(COUNT(INDEX('SKU明细'!$D$11:$D$1309,MATCH("60516-ND-S-K-7.5",'SKU明细'!$A$11:$A$1309,0)))&lt;1,SUM(INDEX('SKU明细'!$D$11:$D$1309,MATCH("60516-ND-S-K-7.5",'SKU明细'!$A$11:$A$1309,0)))&amp;" + 待核",SUM(INDEX('SKU明细'!$D$11:$D$1309,MATCH("60516-ND-S-K-7.5",'SKU明细'!$A$11:$A$1309,0)))))</x:f>
        <x:v>0</x:v>
      </x:c>
      <x:c r="L164" s="36" t="str">
        <x:f>"—"</x:f>
        <x:v>—</x:v>
      </x:c>
      <x:c r="M164" s="36" t="n">
        <x:f>IF(COUNT(INDEX('SKU明细'!$D$11:$D$1309,MATCH("60516-ND-S-K-8.5",'SKU明细'!$A$11:$A$1309,0)))=0,"待核",IF(COUNT(INDEX('SKU明细'!$D$11:$D$1309,MATCH("60516-ND-S-K-8.5",'SKU明细'!$A$11:$A$1309,0)))&lt;1,SUM(INDEX('SKU明细'!$D$11:$D$1309,MATCH("60516-ND-S-K-8.5",'SKU明细'!$A$11:$A$1309,0)))&amp;" + 待核",SUM(INDEX('SKU明细'!$D$11:$D$1309,MATCH("60516-ND-S-K-8.5",'SKU明细'!$A$11:$A$1309,0)))))</x:f>
        <x:v>0</x:v>
      </x:c>
      <x:c r="N164" s="36" t="str">
        <x:f>"—"</x:f>
        <x:v>—</x:v>
      </x:c>
      <x:c r="O164" s="36" t="n">
        <x:f>IF(COUNT(INDEX('SKU明细'!$D$11:$D$1309,MATCH("60516-ND-S-K-9.5",'SKU明细'!$A$11:$A$1309,0)))=0,"待核",IF(COUNT(INDEX('SKU明细'!$D$11:$D$1309,MATCH("60516-ND-S-K-9.5",'SKU明细'!$A$11:$A$1309,0)))&lt;1,SUM(INDEX('SKU明细'!$D$11:$D$1309,MATCH("60516-ND-S-K-9.5",'SKU明细'!$A$11:$A$1309,0)))&amp;" + 待核",SUM(INDEX('SKU明细'!$D$11:$D$1309,MATCH("60516-ND-S-K-9.5",'SKU明细'!$A$11:$A$1309,0)))))</x:f>
        <x:v>0</x:v>
      </x:c>
      <x:c r="P164" s="36" t="str">
        <x:f>"—"</x:f>
        <x:v>—</x:v>
      </x:c>
      <x:c r="Q164" s="36" t="n">
        <x:f>IF(COUNT(INDEX('SKU明细'!$D$11:$D$1309,MATCH("60516-ND-S-K-10.5",'SKU明细'!$A$11:$A$1309,0)))=0,"待核",IF(COUNT(INDEX('SKU明细'!$D$11:$D$1309,MATCH("60516-ND-S-K-10.5",'SKU明细'!$A$11:$A$1309,0)))&lt;1,SUM(INDEX('SKU明细'!$D$11:$D$1309,MATCH("60516-ND-S-K-10.5",'SKU明细'!$A$11:$A$1309,0)))&amp;" + 待核",SUM(INDEX('SKU明细'!$D$11:$D$1309,MATCH("60516-ND-S-K-10.5",'SKU明细'!$A$11:$A$1309,0)))))</x:f>
        <x:v>0</x:v>
      </x:c>
      <x:c r="R164" s="36" t="str">
        <x:f>"—"</x:f>
        <x:v>—</x:v>
      </x:c>
      <x:c r="S164" s="36" t="n">
        <x:f>IF(COUNT(INDEX('SKU明细'!$D$11:$D$1309,MATCH("60516-ND-S-K-6.5",'SKU明细'!$A$11:$A$1309,0)),INDEX('SKU明细'!$D$11:$D$1309,MATCH("60516-ND-S-K-7.5",'SKU明细'!$A$11:$A$1309,0)),INDEX('SKU明细'!$D$11:$D$1309,MATCH("60516-ND-S-K-8.5",'SKU明细'!$A$11:$A$1309,0)),INDEX('SKU明细'!$D$11:$D$1309,MATCH("60516-ND-S-K-9.5",'SKU明细'!$A$11:$A$1309,0)),INDEX('SKU明细'!$D$11:$D$1309,MATCH("60516-ND-S-K-10.5",'SKU明细'!$A$11:$A$1309,0)))=0,"待核",SUM(INDEX('SKU明细'!$D$11:$D$1309,MATCH("60516-ND-S-K-6.5",'SKU明细'!$A$11:$A$1309,0)),INDEX('SKU明细'!$D$11:$D$1309,MATCH("60516-ND-S-K-7.5",'SKU明细'!$A$11:$A$1309,0)),INDEX('SKU明细'!$D$11:$D$1309,MATCH("60516-ND-S-K-8.5",'SKU明细'!$A$11:$A$1309,0)),INDEX('SKU明细'!$D$11:$D$1309,MATCH("60516-ND-S-K-9.5",'SKU明细'!$A$11:$A$1309,0)),INDEX('SKU明细'!$D$11:$D$1309,MATCH("60516-ND-S-K-10.5",'SKU明细'!$A$11:$A$1309,0))))</x:f>
        <x:v>0</x:v>
      </x:c>
      <x:c r="T164" s="36" t="n">
        <x:f>IF(COUNTIFS($A$9:$A$191,A164,$U$9:$U$191,"&lt;&gt;待核")=0,"待核",SUMIF($A$9:$A$191,A164,$S$9:$S$191))</x:f>
        <x:v>121</x:v>
      </x:c>
      <x:c r="U164" s="35" t="str">
        <x:f>IF(COUNT(INDEX('SKU明细'!$D$11:$D$1309,MATCH("60516-ND-S-K-6.5",'SKU明细'!$A$11:$A$1309,0)),INDEX('SKU明细'!$D$11:$D$1309,MATCH("60516-ND-S-K-7.5",'SKU明细'!$A$11:$A$1309,0)),INDEX('SKU明细'!$D$11:$D$1309,MATCH("60516-ND-S-K-8.5",'SKU明细'!$A$11:$A$1309,0)),INDEX('SKU明细'!$D$11:$D$1309,MATCH("60516-ND-S-K-9.5",'SKU明细'!$A$11:$A$1309,0)),INDEX('SKU明细'!$D$11:$D$1309,MATCH("60516-ND-S-K-10.5",'SKU明细'!$A$11:$A$1309,0)))=0,"待核",IF(COUNT(INDEX('SKU明细'!$D$11:$D$1309,MATCH("60516-ND-S-K-6.5",'SKU明细'!$A$11:$A$1309,0)),INDEX('SKU明细'!$D$11:$D$1309,MATCH("60516-ND-S-K-7.5",'SKU明细'!$A$11:$A$1309,0)),INDEX('SKU明细'!$D$11:$D$1309,MATCH("60516-ND-S-K-8.5",'SKU明细'!$A$11:$A$1309,0)),INDEX('SKU明细'!$D$11:$D$1309,MATCH("60516-ND-S-K-9.5",'SKU明细'!$A$11:$A$1309,0)),INDEX('SKU明细'!$D$11:$D$1309,MATCH("60516-ND-S-K-10.5",'SKU明细'!$A$11:$A$1309,0)))&lt;5,"另有待核","已核"))</x:f>
        <x:v>已核</x:v>
      </x:c>
      <x:c r="V164" s="35" t="str">
        <x:v>在售、停售</x:v>
      </x:c>
      <x:c r="W164" s="11" t="n">
        <x:f>IF(COUNT(INDEX('SKU明细'!$BV$11:$BV$1309,MATCH("60516-ND-S-K-6.5",'SKU明细'!$A$11:$A$1309,0)),INDEX('SKU明细'!$BV$11:$BV$1309,MATCH("60516-ND-S-K-7.5",'SKU明细'!$A$11:$A$1309,0)),INDEX('SKU明细'!$BV$11:$BV$1309,MATCH("60516-ND-S-K-8.5",'SKU明细'!$A$11:$A$1309,0)),INDEX('SKU明细'!$BV$11:$BV$1309,MATCH("60516-ND-S-K-9.5",'SKU明细'!$A$11:$A$1309,0)),INDEX('SKU明细'!$BV$11:$BV$1309,MATCH("60516-ND-S-K-10.5",'SKU明细'!$A$11:$A$1309,0)))=5,SUM(INDEX('SKU明细'!$BV$11:$BV$1309,MATCH("60516-ND-S-K-6.5",'SKU明细'!$A$11:$A$1309,0)),INDEX('SKU明细'!$BV$11:$BV$1309,MATCH("60516-ND-S-K-7.5",'SKU明细'!$A$11:$A$1309,0)),INDEX('SKU明细'!$BV$11:$BV$1309,MATCH("60516-ND-S-K-8.5",'SKU明细'!$A$11:$A$1309,0)),INDEX('SKU明细'!$BV$11:$BV$1309,MATCH("60516-ND-S-K-9.5",'SKU明细'!$A$11:$A$1309,0)),INDEX('SKU明细'!$BV$11:$BV$1309,MATCH("60516-ND-S-K-10.5",'SKU明细'!$A$11:$A$1309,0))),"待核")</x:f>
        <x:v>0.10417605460898423</x:v>
      </x:c>
      <x:c r="X164" s="11" t="n">
        <x:f>INDEX('SKU明细'!$BW$11:$BW$1309,MATCH("60516-ND-S-K-6.5",'SKU明细'!$A$11:$A$1309,0))</x:f>
        <x:v>1.8609238953732312</x:v>
      </x:c>
      <x:c r="Y164" s="13" t="n">
        <x:f>IF(COUNT(INDEX('SKU明细'!$BY$11:$BY$1309,MATCH("60516-ND-S-K-6.5",'SKU明细'!$A$11:$A$1309,0)),INDEX('SKU明细'!$BY$11:$BY$1309,MATCH("60516-ND-S-K-7.5",'SKU明细'!$A$11:$A$1309,0)),INDEX('SKU明细'!$BY$11:$BY$1309,MATCH("60516-ND-S-K-8.5",'SKU明细'!$A$11:$A$1309,0)),INDEX('SKU明细'!$BY$11:$BY$1309,MATCH("60516-ND-S-K-9.5",'SKU明细'!$A$11:$A$1309,0)),INDEX('SKU明细'!$BY$11:$BY$1309,MATCH("60516-ND-S-K-10.5",'SKU明细'!$A$11:$A$1309,0)))=5,SUM(INDEX('SKU明细'!$BY$11:$BY$1309,MATCH("60516-ND-S-K-6.5",'SKU明细'!$A$11:$A$1309,0)),INDEX('SKU明细'!$BY$11:$BY$1309,MATCH("60516-ND-S-K-7.5",'SKU明细'!$A$11:$A$1309,0)),INDEX('SKU明细'!$BY$11:$BY$1309,MATCH("60516-ND-S-K-8.5",'SKU明细'!$A$11:$A$1309,0)),INDEX('SKU明细'!$BY$11:$BY$1309,MATCH("60516-ND-S-K-9.5",'SKU明细'!$A$11:$A$1309,0)),INDEX('SKU明细'!$BY$11:$BY$1309,MATCH("60516-ND-S-K-10.5",'SKU明细'!$A$11:$A$1309,0))),"待核")</x:f>
        <x:v>2.3263645121707848</x:v>
      </x:c>
      <x:c r="Z164" s="11" t="n">
        <x:f>INDEX('SKU明细'!$BZ$11:$BZ$1309,MATCH("60516-ND-S-K-6.5",'SKU明细'!$A$11:$A$1309,0))</x:f>
        <x:v>1.438375649833085</x:v>
      </x:c>
      <x:c r="AA164" s="13" t="n">
        <x:f>IF(COUNT(INDEX('SKU明细'!$CB$11:$CB$1309,MATCH("60516-ND-S-K-6.5",'SKU明细'!$A$11:$A$1309,0)),INDEX('SKU明细'!$CB$11:$CB$1309,MATCH("60516-ND-S-K-7.5",'SKU明细'!$A$11:$A$1309,0)),INDEX('SKU明细'!$CB$11:$CB$1309,MATCH("60516-ND-S-K-8.5",'SKU明细'!$A$11:$A$1309,0)),INDEX('SKU明细'!$CB$11:$CB$1309,MATCH("60516-ND-S-K-9.5",'SKU明细'!$A$11:$A$1309,0)),INDEX('SKU明细'!$CB$11:$CB$1309,MATCH("60516-ND-S-K-10.5",'SKU明细'!$A$11:$A$1309,0)))=5,SUM(INDEX('SKU明细'!$CB$11:$CB$1309,MATCH("60516-ND-S-K-6.5",'SKU明细'!$A$11:$A$1309,0)),INDEX('SKU明细'!$CB$11:$CB$1309,MATCH("60516-ND-S-K-7.5",'SKU明细'!$A$11:$A$1309,0)),INDEX('SKU明细'!$CB$11:$CB$1309,MATCH("60516-ND-S-K-8.5",'SKU明细'!$A$11:$A$1309,0)),INDEX('SKU明细'!$CB$11:$CB$1309,MATCH("60516-ND-S-K-9.5",'SKU明细'!$A$11:$A$1309,0)),INDEX('SKU明细'!$CB$11:$CB$1309,MATCH("60516-ND-S-K-10.5",'SKU明细'!$A$11:$A$1309,0))),"待核")</x:f>
        <x:v>4.4953290073573395</x:v>
      </x:c>
      <x:c r="AB164" s="11" t="n">
        <x:f>INDEX('SKU明细'!$CC$11:$CC$1309,MATCH("60516-ND-S-K-6.5",'SKU明细'!$A$11:$A$1309,0))</x:f>
        <x:v>0.9519742599124907</x:v>
      </x:c>
      <x:c r="AC164" s="13" t="n">
        <x:f>IF(COUNT(INDEX('SKU明细'!$CE$11:$CE$1309,MATCH("60516-ND-S-K-6.5",'SKU明细'!$A$11:$A$1309,0)),INDEX('SKU明细'!$CE$11:$CE$1309,MATCH("60516-ND-S-K-7.5",'SKU明细'!$A$11:$A$1309,0)),INDEX('SKU明细'!$CE$11:$CE$1309,MATCH("60516-ND-S-K-8.5",'SKU明细'!$A$11:$A$1309,0)),INDEX('SKU明细'!$CE$11:$CE$1309,MATCH("60516-ND-S-K-9.5",'SKU明细'!$A$11:$A$1309,0)),INDEX('SKU明细'!$CE$11:$CE$1309,MATCH("60516-ND-S-K-10.5",'SKU明细'!$A$11:$A$1309,0)))=5,SUM(INDEX('SKU明细'!$CE$11:$CE$1309,MATCH("60516-ND-S-K-6.5",'SKU明细'!$A$11:$A$1309,0)),INDEX('SKU明细'!$CE$11:$CE$1309,MATCH("60516-ND-S-K-7.5",'SKU明细'!$A$11:$A$1309,0)),INDEX('SKU明细'!$CE$11:$CE$1309,MATCH("60516-ND-S-K-8.5",'SKU明细'!$A$11:$A$1309,0)),INDEX('SKU明细'!$CE$11:$CE$1309,MATCH("60516-ND-S-K-9.5",'SKU明细'!$A$11:$A$1309,0)),INDEX('SKU明细'!$CE$11:$CE$1309,MATCH("60516-ND-S-K-10.5",'SKU明细'!$A$11:$A$1309,0))),"待核")</x:f>
        <x:v>3.07436059709672</x:v>
      </x:c>
      <x:c r="AD164" s="11" t="n">
        <x:f>INDEX('SKU明细'!$CF$11:$CF$1309,MATCH("60516-ND-S-K-6.5",'SKU明细'!$A$11:$A$1309,0))</x:f>
        <x:v>0.8673021058229575</x:v>
      </x:c>
      <x:c r="AE164" s="13" t="n">
        <x:f>IF(COUNT(INDEX('SKU明细'!$CH$11:$CH$1309,MATCH("60516-ND-S-K-6.5",'SKU明细'!$A$11:$A$1309,0)),INDEX('SKU明细'!$CH$11:$CH$1309,MATCH("60516-ND-S-K-7.5",'SKU明细'!$A$11:$A$1309,0)),INDEX('SKU明细'!$CH$11:$CH$1309,MATCH("60516-ND-S-K-8.5",'SKU明细'!$A$11:$A$1309,0)),INDEX('SKU明细'!$CH$11:$CH$1309,MATCH("60516-ND-S-K-9.5",'SKU明细'!$A$11:$A$1309,0)),INDEX('SKU明细'!$CH$11:$CH$1309,MATCH("60516-ND-S-K-10.5",'SKU明细'!$A$11:$A$1309,0)))=5,SUM(INDEX('SKU明细'!$CH$11:$CH$1309,MATCH("60516-ND-S-K-6.5",'SKU明细'!$A$11:$A$1309,0)),INDEX('SKU明细'!$CH$11:$CH$1309,MATCH("60516-ND-S-K-7.5",'SKU明细'!$A$11:$A$1309,0)),INDEX('SKU明细'!$CH$11:$CH$1309,MATCH("60516-ND-S-K-8.5",'SKU明细'!$A$11:$A$1309,0)),INDEX('SKU明细'!$CH$11:$CH$1309,MATCH("60516-ND-S-K-9.5",'SKU明细'!$A$11:$A$1309,0)),INDEX('SKU明细'!$CH$11:$CH$1309,MATCH("60516-ND-S-K-10.5",'SKU明细'!$A$11:$A$1309,0))),"待核")</x:f>
        <x:v>1.5359858961578905</x:v>
      </x:c>
      <x:c r="AF164" s="13" t="n">
        <x:f>IF(COUNT(INDEX('SKU明细'!$CI$11:$CI$1309,MATCH("60516-ND-S-K-6.5",'SKU明细'!$A$11:$A$1309,0)),INDEX('SKU明细'!$CI$11:$CI$1309,MATCH("60516-ND-S-K-7.5",'SKU明细'!$A$11:$A$1309,0)),INDEX('SKU明细'!$CI$11:$CI$1309,MATCH("60516-ND-S-K-8.5",'SKU明细'!$A$11:$A$1309,0)),INDEX('SKU明细'!$CI$11:$CI$1309,MATCH("60516-ND-S-K-9.5",'SKU明细'!$A$11:$A$1309,0)),INDEX('SKU明细'!$CI$11:$CI$1309,MATCH("60516-ND-S-K-10.5",'SKU明细'!$A$11:$A$1309,0)))=5,SUM(INDEX('SKU明细'!$CI$11:$CI$1309,MATCH("60516-ND-S-K-6.5",'SKU明细'!$A$11:$A$1309,0)),INDEX('SKU明细'!$CI$11:$CI$1309,MATCH("60516-ND-S-K-7.5",'SKU明细'!$A$11:$A$1309,0)),INDEX('SKU明细'!$CI$11:$CI$1309,MATCH("60516-ND-S-K-8.5",'SKU明细'!$A$11:$A$1309,0)),INDEX('SKU明细'!$CI$11:$CI$1309,MATCH("60516-ND-S-K-9.5",'SKU明细'!$A$11:$A$1309,0)),INDEX('SKU明细'!$CI$11:$CI$1309,MATCH("60516-ND-S-K-10.5",'SKU明细'!$A$11:$A$1309,0))),"待核")</x:f>
        <x:v>11.432040012782736</x:v>
      </x:c>
    </x:row>
    <x:row r="165" ht="40" customHeight="1">
      <x:c r="A165" s="35" t="str">
        <x:v>60516</x:v>
      </x:c>
      <x:c r="B165" s="35" t="str">
        <x:v>徐新怡</x:v>
      </x:c>
      <x:c r="C165" s="35" t="str">
        <x:v>藏青色</x:v>
      </x:c>
      <x:c r="D165" s="35" t="str">
        <x:v>NY</x:v>
      </x:c>
      <x:c r="E165" s="35" t="str">
        <x:v>60516-NY-S-K</x:v>
      </x:c>
      <x:c r="F165" s="35"/>
      <x:c r="G165" s="36" t="str">
        <x:f>"—"</x:f>
        <x:v>—</x:v>
      </x:c>
      <x:c r="H165" s="36" t="n">
        <x:f>IF(COUNT(INDEX('SKU明细'!$D$11:$D$1309,MATCH("60516-NY-S-K-6",'SKU明细'!$A$11:$A$1309,0)))=0,"待核",IF(COUNT(INDEX('SKU明细'!$D$11:$D$1309,MATCH("60516-NY-S-K-6",'SKU明细'!$A$11:$A$1309,0)))&lt;1,SUM(INDEX('SKU明细'!$D$11:$D$1309,MATCH("60516-NY-S-K-6",'SKU明细'!$A$11:$A$1309,0)))&amp;" + 待核",SUM(INDEX('SKU明细'!$D$11:$D$1309,MATCH("60516-NY-S-K-6",'SKU明细'!$A$11:$A$1309,0)))))</x:f>
        <x:v>0</x:v>
      </x:c>
      <x:c r="I165" s="36" t="str">
        <x:f>"—"</x:f>
        <x:v>—</x:v>
      </x:c>
      <x:c r="J165" s="36" t="n">
        <x:f>IF(COUNT(INDEX('SKU明细'!$D$11:$D$1309,MATCH("60516-NY-S-K-7",'SKU明细'!$A$11:$A$1309,0)))=0,"待核",IF(COUNT(INDEX('SKU明细'!$D$11:$D$1309,MATCH("60516-NY-S-K-7",'SKU明细'!$A$11:$A$1309,0)))&lt;1,SUM(INDEX('SKU明细'!$D$11:$D$1309,MATCH("60516-NY-S-K-7",'SKU明细'!$A$11:$A$1309,0)))&amp;" + 待核",SUM(INDEX('SKU明细'!$D$11:$D$1309,MATCH("60516-NY-S-K-7",'SKU明细'!$A$11:$A$1309,0)))))</x:f>
        <x:v>0</x:v>
      </x:c>
      <x:c r="K165" s="36" t="str">
        <x:f>"—"</x:f>
        <x:v>—</x:v>
      </x:c>
      <x:c r="L165" s="36" t="n">
        <x:f>IF(COUNT(INDEX('SKU明细'!$D$11:$D$1309,MATCH("60516-NY-S-K-8",'SKU明细'!$A$11:$A$1309,0)))=0,"待核",IF(COUNT(INDEX('SKU明细'!$D$11:$D$1309,MATCH("60516-NY-S-K-8",'SKU明细'!$A$11:$A$1309,0)))&lt;1,SUM(INDEX('SKU明细'!$D$11:$D$1309,MATCH("60516-NY-S-K-8",'SKU明细'!$A$11:$A$1309,0)))&amp;" + 待核",SUM(INDEX('SKU明细'!$D$11:$D$1309,MATCH("60516-NY-S-K-8",'SKU明细'!$A$11:$A$1309,0)))))</x:f>
        <x:v>0</x:v>
      </x:c>
      <x:c r="M165" s="36" t="str">
        <x:f>"—"</x:f>
        <x:v>—</x:v>
      </x:c>
      <x:c r="N165" s="36" t="n">
        <x:f>IF(COUNT(INDEX('SKU明细'!$D$11:$D$1309,MATCH("60516-NY-S-K-9",'SKU明细'!$A$11:$A$1309,0)))=0,"待核",IF(COUNT(INDEX('SKU明细'!$D$11:$D$1309,MATCH("60516-NY-S-K-9",'SKU明细'!$A$11:$A$1309,0)))&lt;1,SUM(INDEX('SKU明细'!$D$11:$D$1309,MATCH("60516-NY-S-K-9",'SKU明细'!$A$11:$A$1309,0)))&amp;" + 待核",SUM(INDEX('SKU明细'!$D$11:$D$1309,MATCH("60516-NY-S-K-9",'SKU明细'!$A$11:$A$1309,0)))))</x:f>
        <x:v>0</x:v>
      </x:c>
      <x:c r="O165" s="36" t="str">
        <x:f>"—"</x:f>
        <x:v>—</x:v>
      </x:c>
      <x:c r="P165" s="36" t="n">
        <x:f>IF(COUNT(INDEX('SKU明细'!$D$11:$D$1309,MATCH("60516-NY-S-K-10",'SKU明细'!$A$11:$A$1309,0)))=0,"待核",IF(COUNT(INDEX('SKU明细'!$D$11:$D$1309,MATCH("60516-NY-S-K-10",'SKU明细'!$A$11:$A$1309,0)))&lt;1,SUM(INDEX('SKU明细'!$D$11:$D$1309,MATCH("60516-NY-S-K-10",'SKU明细'!$A$11:$A$1309,0)))&amp;" + 待核",SUM(INDEX('SKU明细'!$D$11:$D$1309,MATCH("60516-NY-S-K-10",'SKU明细'!$A$11:$A$1309,0)))))</x:f>
        <x:v>0</x:v>
      </x:c>
      <x:c r="Q165" s="36" t="str">
        <x:f>"—"</x:f>
        <x:v>—</x:v>
      </x:c>
      <x:c r="R165" s="36" t="n">
        <x:f>IF(COUNT(INDEX('SKU明细'!$D$11:$D$1309,MATCH("60516-NY-S-K-11",'SKU明细'!$A$11:$A$1309,0)))=0,"待核",IF(COUNT(INDEX('SKU明细'!$D$11:$D$1309,MATCH("60516-NY-S-K-11",'SKU明细'!$A$11:$A$1309,0)))&lt;1,SUM(INDEX('SKU明细'!$D$11:$D$1309,MATCH("60516-NY-S-K-11",'SKU明细'!$A$11:$A$1309,0)))&amp;" + 待核",SUM(INDEX('SKU明细'!$D$11:$D$1309,MATCH("60516-NY-S-K-11",'SKU明细'!$A$11:$A$1309,0)))))</x:f>
        <x:v>0</x:v>
      </x:c>
      <x:c r="S165" s="36" t="n">
        <x:f>IF(COUNT(INDEX('SKU明细'!$D$11:$D$1309,MATCH("60516-NY-S-K-6",'SKU明细'!$A$11:$A$1309,0)),INDEX('SKU明细'!$D$11:$D$1309,MATCH("60516-NY-S-K-7",'SKU明细'!$A$11:$A$1309,0)),INDEX('SKU明细'!$D$11:$D$1309,MATCH("60516-NY-S-K-8",'SKU明细'!$A$11:$A$1309,0)),INDEX('SKU明细'!$D$11:$D$1309,MATCH("60516-NY-S-K-9",'SKU明细'!$A$11:$A$1309,0)),INDEX('SKU明细'!$D$11:$D$1309,MATCH("60516-NY-S-K-10",'SKU明细'!$A$11:$A$1309,0)),INDEX('SKU明细'!$D$11:$D$1309,MATCH("60516-NY-S-K-11",'SKU明细'!$A$11:$A$1309,0)))=0,"待核",SUM(INDEX('SKU明细'!$D$11:$D$1309,MATCH("60516-NY-S-K-6",'SKU明细'!$A$11:$A$1309,0)),INDEX('SKU明细'!$D$11:$D$1309,MATCH("60516-NY-S-K-7",'SKU明细'!$A$11:$A$1309,0)),INDEX('SKU明细'!$D$11:$D$1309,MATCH("60516-NY-S-K-8",'SKU明细'!$A$11:$A$1309,0)),INDEX('SKU明细'!$D$11:$D$1309,MATCH("60516-NY-S-K-9",'SKU明细'!$A$11:$A$1309,0)),INDEX('SKU明细'!$D$11:$D$1309,MATCH("60516-NY-S-K-10",'SKU明细'!$A$11:$A$1309,0)),INDEX('SKU明细'!$D$11:$D$1309,MATCH("60516-NY-S-K-11",'SKU明细'!$A$11:$A$1309,0))))</x:f>
        <x:v>0</x:v>
      </x:c>
      <x:c r="T165" s="36" t="n">
        <x:f>IF(COUNTIFS($A$9:$A$191,A165,$U$9:$U$191,"&lt;&gt;待核")=0,"待核",SUMIF($A$9:$A$191,A165,$S$9:$S$191))</x:f>
        <x:v>121</x:v>
      </x:c>
      <x:c r="U165" s="35" t="str">
        <x:f>IF(COUNT(INDEX('SKU明细'!$D$11:$D$1309,MATCH("60516-NY-S-K-6",'SKU明细'!$A$11:$A$1309,0)),INDEX('SKU明细'!$D$11:$D$1309,MATCH("60516-NY-S-K-7",'SKU明细'!$A$11:$A$1309,0)),INDEX('SKU明细'!$D$11:$D$1309,MATCH("60516-NY-S-K-8",'SKU明细'!$A$11:$A$1309,0)),INDEX('SKU明细'!$D$11:$D$1309,MATCH("60516-NY-S-K-9",'SKU明细'!$A$11:$A$1309,0)),INDEX('SKU明细'!$D$11:$D$1309,MATCH("60516-NY-S-K-10",'SKU明细'!$A$11:$A$1309,0)),INDEX('SKU明细'!$D$11:$D$1309,MATCH("60516-NY-S-K-11",'SKU明细'!$A$11:$A$1309,0)))=0,"待核",IF(COUNT(INDEX('SKU明细'!$D$11:$D$1309,MATCH("60516-NY-S-K-6",'SKU明细'!$A$11:$A$1309,0)),INDEX('SKU明细'!$D$11:$D$1309,MATCH("60516-NY-S-K-7",'SKU明细'!$A$11:$A$1309,0)),INDEX('SKU明细'!$D$11:$D$1309,MATCH("60516-NY-S-K-8",'SKU明细'!$A$11:$A$1309,0)),INDEX('SKU明细'!$D$11:$D$1309,MATCH("60516-NY-S-K-9",'SKU明细'!$A$11:$A$1309,0)),INDEX('SKU明细'!$D$11:$D$1309,MATCH("60516-NY-S-K-10",'SKU明细'!$A$11:$A$1309,0)),INDEX('SKU明细'!$D$11:$D$1309,MATCH("60516-NY-S-K-11",'SKU明细'!$A$11:$A$1309,0)))&lt;6,"另有待核","已核"))</x:f>
        <x:v>已核</x:v>
      </x:c>
      <x:c r="V165" s="35" t="str">
        <x:v>停售、在售</x:v>
      </x:c>
      <x:c r="W165" s="11" t="n">
        <x:f>IF(COUNT(INDEX('SKU明细'!$BV$11:$BV$1309,MATCH("60516-NY-S-K-6",'SKU明细'!$A$11:$A$1309,0)),INDEX('SKU明细'!$BV$11:$BV$1309,MATCH("60516-NY-S-K-7",'SKU明细'!$A$11:$A$1309,0)),INDEX('SKU明细'!$BV$11:$BV$1309,MATCH("60516-NY-S-K-8",'SKU明细'!$A$11:$A$1309,0)),INDEX('SKU明细'!$BV$11:$BV$1309,MATCH("60516-NY-S-K-9",'SKU明细'!$A$11:$A$1309,0)),INDEX('SKU明细'!$BV$11:$BV$1309,MATCH("60516-NY-S-K-10",'SKU明细'!$A$11:$A$1309,0)),INDEX('SKU明细'!$BV$11:$BV$1309,MATCH("60516-NY-S-K-11",'SKU明细'!$A$11:$A$1309,0)))=6,SUM(INDEX('SKU明细'!$BV$11:$BV$1309,MATCH("60516-NY-S-K-6",'SKU明细'!$A$11:$A$1309,0)),INDEX('SKU明细'!$BV$11:$BV$1309,MATCH("60516-NY-S-K-7",'SKU明细'!$A$11:$A$1309,0)),INDEX('SKU明细'!$BV$11:$BV$1309,MATCH("60516-NY-S-K-8",'SKU明细'!$A$11:$A$1309,0)),INDEX('SKU明细'!$BV$11:$BV$1309,MATCH("60516-NY-S-K-9",'SKU明细'!$A$11:$A$1309,0)),INDEX('SKU明细'!$BV$11:$BV$1309,MATCH("60516-NY-S-K-10",'SKU明细'!$A$11:$A$1309,0)),INDEX('SKU明细'!$BV$11:$BV$1309,MATCH("60516-NY-S-K-11",'SKU明细'!$A$11:$A$1309,0))),"待核")</x:f>
        <x:v>0.40228224770351345</x:v>
      </x:c>
      <x:c r="X165" s="11" t="n">
        <x:f>INDEX('SKU明细'!$BW$11:$BW$1309,MATCH("60516-NY-S-K-6",'SKU明细'!$A$11:$A$1309,0))</x:f>
        <x:v>1.8609238953732312</x:v>
      </x:c>
      <x:c r="Y165" s="13" t="n">
        <x:f>IF(COUNT(INDEX('SKU明细'!$BY$11:$BY$1309,MATCH("60516-NY-S-K-6",'SKU明细'!$A$11:$A$1309,0)),INDEX('SKU明细'!$BY$11:$BY$1309,MATCH("60516-NY-S-K-7",'SKU明细'!$A$11:$A$1309,0)),INDEX('SKU明细'!$BY$11:$BY$1309,MATCH("60516-NY-S-K-8",'SKU明细'!$A$11:$A$1309,0)),INDEX('SKU明细'!$BY$11:$BY$1309,MATCH("60516-NY-S-K-9",'SKU明细'!$A$11:$A$1309,0)),INDEX('SKU明细'!$BY$11:$BY$1309,MATCH("60516-NY-S-K-10",'SKU明细'!$A$11:$A$1309,0)),INDEX('SKU明细'!$BY$11:$BY$1309,MATCH("60516-NY-S-K-11",'SKU明细'!$A$11:$A$1309,0)))=6,SUM(INDEX('SKU明细'!$BY$11:$BY$1309,MATCH("60516-NY-S-K-6",'SKU明细'!$A$11:$A$1309,0)),INDEX('SKU明细'!$BY$11:$BY$1309,MATCH("60516-NY-S-K-7",'SKU明细'!$A$11:$A$1309,0)),INDEX('SKU明细'!$BY$11:$BY$1309,MATCH("60516-NY-S-K-8",'SKU明细'!$A$11:$A$1309,0)),INDEX('SKU明细'!$BY$11:$BY$1309,MATCH("60516-NY-S-K-9",'SKU明细'!$A$11:$A$1309,0)),INDEX('SKU明细'!$BY$11:$BY$1309,MATCH("60516-NY-S-K-10",'SKU明细'!$A$11:$A$1309,0)),INDEX('SKU明细'!$BY$11:$BY$1309,MATCH("60516-NY-S-K-11",'SKU明细'!$A$11:$A$1309,0))),"待核")</x:f>
        <x:v>8.983399769231056</x:v>
      </x:c>
      <x:c r="Z165" s="11" t="n">
        <x:f>INDEX('SKU明细'!$BZ$11:$BZ$1309,MATCH("60516-NY-S-K-6",'SKU明细'!$A$11:$A$1309,0))</x:f>
        <x:v>1.438375649833085</x:v>
      </x:c>
      <x:c r="AA165" s="13" t="n">
        <x:f>IF(COUNT(INDEX('SKU明细'!$CB$11:$CB$1309,MATCH("60516-NY-S-K-6",'SKU明细'!$A$11:$A$1309,0)),INDEX('SKU明细'!$CB$11:$CB$1309,MATCH("60516-NY-S-K-7",'SKU明细'!$A$11:$A$1309,0)),INDEX('SKU明细'!$CB$11:$CB$1309,MATCH("60516-NY-S-K-8",'SKU明细'!$A$11:$A$1309,0)),INDEX('SKU明细'!$CB$11:$CB$1309,MATCH("60516-NY-S-K-9",'SKU明细'!$A$11:$A$1309,0)),INDEX('SKU明细'!$CB$11:$CB$1309,MATCH("60516-NY-S-K-10",'SKU明细'!$A$11:$A$1309,0)),INDEX('SKU明细'!$CB$11:$CB$1309,MATCH("60516-NY-S-K-11",'SKU明细'!$A$11:$A$1309,0)))=6,SUM(INDEX('SKU明细'!$CB$11:$CB$1309,MATCH("60516-NY-S-K-6",'SKU明细'!$A$11:$A$1309,0)),INDEX('SKU明细'!$CB$11:$CB$1309,MATCH("60516-NY-S-K-7",'SKU明细'!$A$11:$A$1309,0)),INDEX('SKU明细'!$CB$11:$CB$1309,MATCH("60516-NY-S-K-8",'SKU明细'!$A$11:$A$1309,0)),INDEX('SKU明细'!$CB$11:$CB$1309,MATCH("60516-NY-S-K-9",'SKU明细'!$A$11:$A$1309,0)),INDEX('SKU明细'!$CB$11:$CB$1309,MATCH("60516-NY-S-K-10",'SKU明细'!$A$11:$A$1309,0)),INDEX('SKU明细'!$CB$11:$CB$1309,MATCH("60516-NY-S-K-11",'SKU明细'!$A$11:$A$1309,0))),"待核")</x:f>
        <x:v>17.35898968370566</x:v>
      </x:c>
      <x:c r="AB165" s="11" t="n">
        <x:f>INDEX('SKU明细'!$CC$11:$CC$1309,MATCH("60516-NY-S-K-6",'SKU明细'!$A$11:$A$1309,0))</x:f>
        <x:v>0.9519742599124907</x:v>
      </x:c>
      <x:c r="AC165" s="13" t="n">
        <x:f>IF(COUNT(INDEX('SKU明细'!$CE$11:$CE$1309,MATCH("60516-NY-S-K-6",'SKU明细'!$A$11:$A$1309,0)),INDEX('SKU明细'!$CE$11:$CE$1309,MATCH("60516-NY-S-K-7",'SKU明细'!$A$11:$A$1309,0)),INDEX('SKU明细'!$CE$11:$CE$1309,MATCH("60516-NY-S-K-8",'SKU明细'!$A$11:$A$1309,0)),INDEX('SKU明细'!$CE$11:$CE$1309,MATCH("60516-NY-S-K-9",'SKU明细'!$A$11:$A$1309,0)),INDEX('SKU明细'!$CE$11:$CE$1309,MATCH("60516-NY-S-K-10",'SKU明细'!$A$11:$A$1309,0)),INDEX('SKU明细'!$CE$11:$CE$1309,MATCH("60516-NY-S-K-11",'SKU明细'!$A$11:$A$1309,0)))=6,SUM(INDEX('SKU明细'!$CE$11:$CE$1309,MATCH("60516-NY-S-K-6",'SKU明细'!$A$11:$A$1309,0)),INDEX('SKU明细'!$CE$11:$CE$1309,MATCH("60516-NY-S-K-7",'SKU明细'!$A$11:$A$1309,0)),INDEX('SKU明细'!$CE$11:$CE$1309,MATCH("60516-NY-S-K-8",'SKU明细'!$A$11:$A$1309,0)),INDEX('SKU明细'!$CE$11:$CE$1309,MATCH("60516-NY-S-K-9",'SKU明细'!$A$11:$A$1309,0)),INDEX('SKU明细'!$CE$11:$CE$1309,MATCH("60516-NY-S-K-10",'SKU明细'!$A$11:$A$1309,0)),INDEX('SKU明细'!$CE$11:$CE$1309,MATCH("60516-NY-S-K-11",'SKU明细'!$A$11:$A$1309,0))),"待核")</x:f>
        <x:v>11.87183269603805</x:v>
      </x:c>
      <x:c r="AD165" s="11" t="n">
        <x:f>INDEX('SKU明细'!$CF$11:$CF$1309,MATCH("60516-NY-S-K-6",'SKU明细'!$A$11:$A$1309,0))</x:f>
        <x:v>0.8673021058229575</x:v>
      </x:c>
      <x:c r="AE165" s="13" t="n">
        <x:f>IF(COUNT(INDEX('SKU明细'!$CH$11:$CH$1309,MATCH("60516-NY-S-K-6",'SKU明细'!$A$11:$A$1309,0)),INDEX('SKU明细'!$CH$11:$CH$1309,MATCH("60516-NY-S-K-7",'SKU明细'!$A$11:$A$1309,0)),INDEX('SKU明细'!$CH$11:$CH$1309,MATCH("60516-NY-S-K-8",'SKU明细'!$A$11:$A$1309,0)),INDEX('SKU明细'!$CH$11:$CH$1309,MATCH("60516-NY-S-K-9",'SKU明细'!$A$11:$A$1309,0)),INDEX('SKU明细'!$CH$11:$CH$1309,MATCH("60516-NY-S-K-10",'SKU明细'!$A$11:$A$1309,0)),INDEX('SKU明细'!$CH$11:$CH$1309,MATCH("60516-NY-S-K-11",'SKU明细'!$A$11:$A$1309,0)))=6,SUM(INDEX('SKU明细'!$CH$11:$CH$1309,MATCH("60516-NY-S-K-6",'SKU明细'!$A$11:$A$1309,0)),INDEX('SKU明细'!$CH$11:$CH$1309,MATCH("60516-NY-S-K-7",'SKU明细'!$A$11:$A$1309,0)),INDEX('SKU明细'!$CH$11:$CH$1309,MATCH("60516-NY-S-K-8",'SKU明细'!$A$11:$A$1309,0)),INDEX('SKU明细'!$CH$11:$CH$1309,MATCH("60516-NY-S-K-9",'SKU明细'!$A$11:$A$1309,0)),INDEX('SKU明细'!$CH$11:$CH$1309,MATCH("60516-NY-S-K-10",'SKU明细'!$A$11:$A$1309,0)),INDEX('SKU明细'!$CH$11:$CH$1309,MATCH("60516-NY-S-K-11",'SKU明细'!$A$11:$A$1309,0))),"待核")</x:f>
        <x:v>5.931304089663647</x:v>
      </x:c>
      <x:c r="AF165" s="13" t="n">
        <x:f>IF(COUNT(INDEX('SKU明细'!$CI$11:$CI$1309,MATCH("60516-NY-S-K-6",'SKU明细'!$A$11:$A$1309,0)),INDEX('SKU明细'!$CI$11:$CI$1309,MATCH("60516-NY-S-K-7",'SKU明细'!$A$11:$A$1309,0)),INDEX('SKU明细'!$CI$11:$CI$1309,MATCH("60516-NY-S-K-8",'SKU明细'!$A$11:$A$1309,0)),INDEX('SKU明细'!$CI$11:$CI$1309,MATCH("60516-NY-S-K-9",'SKU明细'!$A$11:$A$1309,0)),INDEX('SKU明细'!$CI$11:$CI$1309,MATCH("60516-NY-S-K-10",'SKU明细'!$A$11:$A$1309,0)),INDEX('SKU明细'!$CI$11:$CI$1309,MATCH("60516-NY-S-K-11",'SKU明细'!$A$11:$A$1309,0)))=6,SUM(INDEX('SKU明细'!$CI$11:$CI$1309,MATCH("60516-NY-S-K-6",'SKU明细'!$A$11:$A$1309,0)),INDEX('SKU明细'!$CI$11:$CI$1309,MATCH("60516-NY-S-K-7",'SKU明细'!$A$11:$A$1309,0)),INDEX('SKU明细'!$CI$11:$CI$1309,MATCH("60516-NY-S-K-8",'SKU明细'!$A$11:$A$1309,0)),INDEX('SKU明细'!$CI$11:$CI$1309,MATCH("60516-NY-S-K-9",'SKU明细'!$A$11:$A$1309,0)),INDEX('SKU明细'!$CI$11:$CI$1309,MATCH("60516-NY-S-K-10",'SKU明细'!$A$11:$A$1309,0)),INDEX('SKU明细'!$CI$11:$CI$1309,MATCH("60516-NY-S-K-11",'SKU明细'!$A$11:$A$1309,0))),"待核")</x:f>
        <x:v>44.14552623863842</x:v>
      </x:c>
    </x:row>
    <x:row r="166" ht="40" customHeight="1">
      <x:c r="A166" s="35" t="str">
        <x:v>60516</x:v>
      </x:c>
      <x:c r="B166" s="35" t="str">
        <x:v>徐新怡</x:v>
      </x:c>
      <x:c r="C166" s="35" t="str">
        <x:v>藏青色</x:v>
      </x:c>
      <x:c r="D166" s="35" t="str">
        <x:v>NY-S-K</x:v>
      </x:c>
      <x:c r="E166" s="35" t="str">
        <x:v>60516-NY-S-K</x:v>
      </x:c>
      <x:c r="F166" s="35"/>
      <x:c r="G166" s="36" t="str">
        <x:f>"—"</x:f>
        <x:v>—</x:v>
      </x:c>
      <x:c r="H166" s="36" t="str">
        <x:f>"—"</x:f>
        <x:v>—</x:v>
      </x:c>
      <x:c r="I166" s="36" t="n">
        <x:f>IF(COUNT(INDEX('SKU明细'!$D$11:$D$1309,MATCH("60516-NY-S-K-6.5",'SKU明细'!$A$11:$A$1309,0)))=0,"待核",IF(COUNT(INDEX('SKU明细'!$D$11:$D$1309,MATCH("60516-NY-S-K-6.5",'SKU明细'!$A$11:$A$1309,0)))&lt;1,SUM(INDEX('SKU明细'!$D$11:$D$1309,MATCH("60516-NY-S-K-6.5",'SKU明细'!$A$11:$A$1309,0)))&amp;" + 待核",SUM(INDEX('SKU明细'!$D$11:$D$1309,MATCH("60516-NY-S-K-6.5",'SKU明细'!$A$11:$A$1309,0)))))</x:f>
        <x:v>0</x:v>
      </x:c>
      <x:c r="J166" s="36" t="str">
        <x:f>"—"</x:f>
        <x:v>—</x:v>
      </x:c>
      <x:c r="K166" s="36" t="n">
        <x:f>IF(COUNT(INDEX('SKU明细'!$D$11:$D$1309,MATCH("60516-NY-S-K-7.5",'SKU明细'!$A$11:$A$1309,0)))=0,"待核",IF(COUNT(INDEX('SKU明细'!$D$11:$D$1309,MATCH("60516-NY-S-K-7.5",'SKU明细'!$A$11:$A$1309,0)))&lt;1,SUM(INDEX('SKU明细'!$D$11:$D$1309,MATCH("60516-NY-S-K-7.5",'SKU明细'!$A$11:$A$1309,0)))&amp;" + 待核",SUM(INDEX('SKU明细'!$D$11:$D$1309,MATCH("60516-NY-S-K-7.5",'SKU明细'!$A$11:$A$1309,0)))))</x:f>
        <x:v>0</x:v>
      </x:c>
      <x:c r="L166" s="36" t="str">
        <x:f>"—"</x:f>
        <x:v>—</x:v>
      </x:c>
      <x:c r="M166" s="36" t="n">
        <x:f>IF(COUNT(INDEX('SKU明细'!$D$11:$D$1309,MATCH("60516-NY-S-K-8.5",'SKU明细'!$A$11:$A$1309,0)))=0,"待核",IF(COUNT(INDEX('SKU明细'!$D$11:$D$1309,MATCH("60516-NY-S-K-8.5",'SKU明细'!$A$11:$A$1309,0)))&lt;1,SUM(INDEX('SKU明细'!$D$11:$D$1309,MATCH("60516-NY-S-K-8.5",'SKU明细'!$A$11:$A$1309,0)))&amp;" + 待核",SUM(INDEX('SKU明细'!$D$11:$D$1309,MATCH("60516-NY-S-K-8.5",'SKU明细'!$A$11:$A$1309,0)))))</x:f>
        <x:v>0</x:v>
      </x:c>
      <x:c r="N166" s="36" t="str">
        <x:f>"—"</x:f>
        <x:v>—</x:v>
      </x:c>
      <x:c r="O166" s="36" t="n">
        <x:f>IF(COUNT(INDEX('SKU明细'!$D$11:$D$1309,MATCH("60516-NY-S-K-9.5",'SKU明细'!$A$11:$A$1309,0)))=0,"待核",IF(COUNT(INDEX('SKU明细'!$D$11:$D$1309,MATCH("60516-NY-S-K-9.5",'SKU明细'!$A$11:$A$1309,0)))&lt;1,SUM(INDEX('SKU明细'!$D$11:$D$1309,MATCH("60516-NY-S-K-9.5",'SKU明细'!$A$11:$A$1309,0)))&amp;" + 待核",SUM(INDEX('SKU明细'!$D$11:$D$1309,MATCH("60516-NY-S-K-9.5",'SKU明细'!$A$11:$A$1309,0)))))</x:f>
        <x:v>0</x:v>
      </x:c>
      <x:c r="P166" s="36" t="str">
        <x:f>"—"</x:f>
        <x:v>—</x:v>
      </x:c>
      <x:c r="Q166" s="36" t="n">
        <x:f>IF(COUNT(INDEX('SKU明细'!$D$11:$D$1309,MATCH("60516-NY-S-K-10.5",'SKU明细'!$A$11:$A$1309,0)))=0,"待核",IF(COUNT(INDEX('SKU明细'!$D$11:$D$1309,MATCH("60516-NY-S-K-10.5",'SKU明细'!$A$11:$A$1309,0)))&lt;1,SUM(INDEX('SKU明细'!$D$11:$D$1309,MATCH("60516-NY-S-K-10.5",'SKU明细'!$A$11:$A$1309,0)))&amp;" + 待核",SUM(INDEX('SKU明细'!$D$11:$D$1309,MATCH("60516-NY-S-K-10.5",'SKU明细'!$A$11:$A$1309,0)))))</x:f>
        <x:v>0</x:v>
      </x:c>
      <x:c r="R166" s="36" t="str">
        <x:f>"—"</x:f>
        <x:v>—</x:v>
      </x:c>
      <x:c r="S166" s="36" t="n">
        <x:f>IF(COUNT(INDEX('SKU明细'!$D$11:$D$1309,MATCH("60516-NY-S-K-6.5",'SKU明细'!$A$11:$A$1309,0)),INDEX('SKU明细'!$D$11:$D$1309,MATCH("60516-NY-S-K-7.5",'SKU明细'!$A$11:$A$1309,0)),INDEX('SKU明细'!$D$11:$D$1309,MATCH("60516-NY-S-K-8.5",'SKU明细'!$A$11:$A$1309,0)),INDEX('SKU明细'!$D$11:$D$1309,MATCH("60516-NY-S-K-9.5",'SKU明细'!$A$11:$A$1309,0)),INDEX('SKU明细'!$D$11:$D$1309,MATCH("60516-NY-S-K-10.5",'SKU明细'!$A$11:$A$1309,0)))=0,"待核",SUM(INDEX('SKU明细'!$D$11:$D$1309,MATCH("60516-NY-S-K-6.5",'SKU明细'!$A$11:$A$1309,0)),INDEX('SKU明细'!$D$11:$D$1309,MATCH("60516-NY-S-K-7.5",'SKU明细'!$A$11:$A$1309,0)),INDEX('SKU明细'!$D$11:$D$1309,MATCH("60516-NY-S-K-8.5",'SKU明细'!$A$11:$A$1309,0)),INDEX('SKU明细'!$D$11:$D$1309,MATCH("60516-NY-S-K-9.5",'SKU明细'!$A$11:$A$1309,0)),INDEX('SKU明细'!$D$11:$D$1309,MATCH("60516-NY-S-K-10.5",'SKU明细'!$A$11:$A$1309,0))))</x:f>
        <x:v>0</x:v>
      </x:c>
      <x:c r="T166" s="36" t="n">
        <x:f>IF(COUNTIFS($A$9:$A$191,A166,$U$9:$U$191,"&lt;&gt;待核")=0,"待核",SUMIF($A$9:$A$191,A166,$S$9:$S$191))</x:f>
        <x:v>121</x:v>
      </x:c>
      <x:c r="U166" s="35" t="str">
        <x:f>IF(COUNT(INDEX('SKU明细'!$D$11:$D$1309,MATCH("60516-NY-S-K-6.5",'SKU明细'!$A$11:$A$1309,0)),INDEX('SKU明细'!$D$11:$D$1309,MATCH("60516-NY-S-K-7.5",'SKU明细'!$A$11:$A$1309,0)),INDEX('SKU明细'!$D$11:$D$1309,MATCH("60516-NY-S-K-8.5",'SKU明细'!$A$11:$A$1309,0)),INDEX('SKU明细'!$D$11:$D$1309,MATCH("60516-NY-S-K-9.5",'SKU明细'!$A$11:$A$1309,0)),INDEX('SKU明细'!$D$11:$D$1309,MATCH("60516-NY-S-K-10.5",'SKU明细'!$A$11:$A$1309,0)))=0,"待核",IF(COUNT(INDEX('SKU明细'!$D$11:$D$1309,MATCH("60516-NY-S-K-6.5",'SKU明细'!$A$11:$A$1309,0)),INDEX('SKU明细'!$D$11:$D$1309,MATCH("60516-NY-S-K-7.5",'SKU明细'!$A$11:$A$1309,0)),INDEX('SKU明细'!$D$11:$D$1309,MATCH("60516-NY-S-K-8.5",'SKU明细'!$A$11:$A$1309,0)),INDEX('SKU明细'!$D$11:$D$1309,MATCH("60516-NY-S-K-9.5",'SKU明细'!$A$11:$A$1309,0)),INDEX('SKU明细'!$D$11:$D$1309,MATCH("60516-NY-S-K-10.5",'SKU明细'!$A$11:$A$1309,0)))&lt;5,"另有待核","已核"))</x:f>
        <x:v>已核</x:v>
      </x:c>
      <x:c r="V166" s="35" t="str">
        <x:v>停售</x:v>
      </x:c>
      <x:c r="W166" s="11" t="n">
        <x:f>IF(COUNT(INDEX('SKU明细'!$BV$11:$BV$1309,MATCH("60516-NY-S-K-6.5",'SKU明细'!$A$11:$A$1309,0)),INDEX('SKU明细'!$BV$11:$BV$1309,MATCH("60516-NY-S-K-7.5",'SKU明细'!$A$11:$A$1309,0)),INDEX('SKU明细'!$BV$11:$BV$1309,MATCH("60516-NY-S-K-8.5",'SKU明细'!$A$11:$A$1309,0)),INDEX('SKU明细'!$BV$11:$BV$1309,MATCH("60516-NY-S-K-9.5",'SKU明细'!$A$11:$A$1309,0)),INDEX('SKU明细'!$BV$11:$BV$1309,MATCH("60516-NY-S-K-10.5",'SKU明细'!$A$11:$A$1309,0)))=5,SUM(INDEX('SKU明细'!$BV$11:$BV$1309,MATCH("60516-NY-S-K-6.5",'SKU明细'!$A$11:$A$1309,0)),INDEX('SKU明细'!$BV$11:$BV$1309,MATCH("60516-NY-S-K-7.5",'SKU明细'!$A$11:$A$1309,0)),INDEX('SKU明细'!$BV$11:$BV$1309,MATCH("60516-NY-S-K-8.5",'SKU明细'!$A$11:$A$1309,0)),INDEX('SKU明细'!$BV$11:$BV$1309,MATCH("60516-NY-S-K-9.5",'SKU明细'!$A$11:$A$1309,0)),INDEX('SKU明细'!$BV$11:$BV$1309,MATCH("60516-NY-S-K-10.5",'SKU明细'!$A$11:$A$1309,0))),"待核")</x:f>
        <x:v>0.0035790593337944416</x:v>
      </x:c>
      <x:c r="X166" s="11" t="n">
        <x:f>INDEX('SKU明细'!$BW$11:$BW$1309,MATCH("60516-NY-S-K-6.5",'SKU明细'!$A$11:$A$1309,0))</x:f>
        <x:v>1.8609238953732312</x:v>
      </x:c>
      <x:c r="Y166" s="13" t="n">
        <x:f>IF(COUNT(INDEX('SKU明细'!$BY$11:$BY$1309,MATCH("60516-NY-S-K-6.5",'SKU明细'!$A$11:$A$1309,0)),INDEX('SKU明细'!$BY$11:$BY$1309,MATCH("60516-NY-S-K-7.5",'SKU明细'!$A$11:$A$1309,0)),INDEX('SKU明细'!$BY$11:$BY$1309,MATCH("60516-NY-S-K-8.5",'SKU明细'!$A$11:$A$1309,0)),INDEX('SKU明细'!$BY$11:$BY$1309,MATCH("60516-NY-S-K-9.5",'SKU明细'!$A$11:$A$1309,0)),INDEX('SKU明细'!$BY$11:$BY$1309,MATCH("60516-NY-S-K-10.5",'SKU明细'!$A$11:$A$1309,0)))=5,SUM(INDEX('SKU明细'!$BY$11:$BY$1309,MATCH("60516-NY-S-K-6.5",'SKU明细'!$A$11:$A$1309,0)),INDEX('SKU明细'!$BY$11:$BY$1309,MATCH("60516-NY-S-K-7.5",'SKU明细'!$A$11:$A$1309,0)),INDEX('SKU明细'!$BY$11:$BY$1309,MATCH("60516-NY-S-K-8.5",'SKU明细'!$A$11:$A$1309,0)),INDEX('SKU明细'!$BY$11:$BY$1309,MATCH("60516-NY-S-K-9.5",'SKU明细'!$A$11:$A$1309,0)),INDEX('SKU明细'!$BY$11:$BY$1309,MATCH("60516-NY-S-K-10.5",'SKU明细'!$A$11:$A$1309,0))),"待核")</x:f>
        <x:v>0.07992428444660009</x:v>
      </x:c>
      <x:c r="Z166" s="11" t="n">
        <x:f>INDEX('SKU明细'!$BZ$11:$BZ$1309,MATCH("60516-NY-S-K-6.5",'SKU明细'!$A$11:$A$1309,0))</x:f>
        <x:v>1.438375649833085</x:v>
      </x:c>
      <x:c r="AA166" s="13" t="n">
        <x:f>IF(COUNT(INDEX('SKU明细'!$CB$11:$CB$1309,MATCH("60516-NY-S-K-6.5",'SKU明细'!$A$11:$A$1309,0)),INDEX('SKU明细'!$CB$11:$CB$1309,MATCH("60516-NY-S-K-7.5",'SKU明细'!$A$11:$A$1309,0)),INDEX('SKU明细'!$CB$11:$CB$1309,MATCH("60516-NY-S-K-8.5",'SKU明细'!$A$11:$A$1309,0)),INDEX('SKU明细'!$CB$11:$CB$1309,MATCH("60516-NY-S-K-9.5",'SKU明细'!$A$11:$A$1309,0)),INDEX('SKU明细'!$CB$11:$CB$1309,MATCH("60516-NY-S-K-10.5",'SKU明细'!$A$11:$A$1309,0)))=5,SUM(INDEX('SKU明细'!$CB$11:$CB$1309,MATCH("60516-NY-S-K-6.5",'SKU明细'!$A$11:$A$1309,0)),INDEX('SKU明细'!$CB$11:$CB$1309,MATCH("60516-NY-S-K-7.5",'SKU明细'!$A$11:$A$1309,0)),INDEX('SKU明细'!$CB$11:$CB$1309,MATCH("60516-NY-S-K-8.5",'SKU明细'!$A$11:$A$1309,0)),INDEX('SKU明细'!$CB$11:$CB$1309,MATCH("60516-NY-S-K-9.5",'SKU明细'!$A$11:$A$1309,0)),INDEX('SKU明细'!$CB$11:$CB$1309,MATCH("60516-NY-S-K-10.5",'SKU明细'!$A$11:$A$1309,0))),"待核")</x:f>
        <x:v>0.15444095385113243</x:v>
      </x:c>
      <x:c r="AB166" s="11" t="n">
        <x:f>INDEX('SKU明细'!$CC$11:$CC$1309,MATCH("60516-NY-S-K-6.5",'SKU明细'!$A$11:$A$1309,0))</x:f>
        <x:v>0.9519742599124907</x:v>
      </x:c>
      <x:c r="AC166" s="13" t="n">
        <x:f>IF(COUNT(INDEX('SKU明细'!$CE$11:$CE$1309,MATCH("60516-NY-S-K-6.5",'SKU明细'!$A$11:$A$1309,0)),INDEX('SKU明细'!$CE$11:$CE$1309,MATCH("60516-NY-S-K-7.5",'SKU明细'!$A$11:$A$1309,0)),INDEX('SKU明细'!$CE$11:$CE$1309,MATCH("60516-NY-S-K-8.5",'SKU明细'!$A$11:$A$1309,0)),INDEX('SKU明细'!$CE$11:$CE$1309,MATCH("60516-NY-S-K-9.5",'SKU明细'!$A$11:$A$1309,0)),INDEX('SKU明细'!$CE$11:$CE$1309,MATCH("60516-NY-S-K-10.5",'SKU明细'!$A$11:$A$1309,0)))=5,SUM(INDEX('SKU明细'!$CE$11:$CE$1309,MATCH("60516-NY-S-K-6.5",'SKU明细'!$A$11:$A$1309,0)),INDEX('SKU明细'!$CE$11:$CE$1309,MATCH("60516-NY-S-K-7.5",'SKU明细'!$A$11:$A$1309,0)),INDEX('SKU明细'!$CE$11:$CE$1309,MATCH("60516-NY-S-K-8.5",'SKU明细'!$A$11:$A$1309,0)),INDEX('SKU明细'!$CE$11:$CE$1309,MATCH("60516-NY-S-K-9.5",'SKU明细'!$A$11:$A$1309,0)),INDEX('SKU明细'!$CE$11:$CE$1309,MATCH("60516-NY-S-K-10.5",'SKU明细'!$A$11:$A$1309,0))),"待核")</x:f>
        <x:v>0.10562234317462753</x:v>
      </x:c>
      <x:c r="AD166" s="11" t="n">
        <x:f>INDEX('SKU明细'!$CF$11:$CF$1309,MATCH("60516-NY-S-K-6.5",'SKU明细'!$A$11:$A$1309,0))</x:f>
        <x:v>0.8673021058229575</x:v>
      </x:c>
      <x:c r="AE166" s="13" t="n">
        <x:f>IF(COUNT(INDEX('SKU明细'!$CH$11:$CH$1309,MATCH("60516-NY-S-K-6.5",'SKU明细'!$A$11:$A$1309,0)),INDEX('SKU明细'!$CH$11:$CH$1309,MATCH("60516-NY-S-K-7.5",'SKU明细'!$A$11:$A$1309,0)),INDEX('SKU明细'!$CH$11:$CH$1309,MATCH("60516-NY-S-K-8.5",'SKU明细'!$A$11:$A$1309,0)),INDEX('SKU明细'!$CH$11:$CH$1309,MATCH("60516-NY-S-K-9.5",'SKU明细'!$A$11:$A$1309,0)),INDEX('SKU明细'!$CH$11:$CH$1309,MATCH("60516-NY-S-K-10.5",'SKU明细'!$A$11:$A$1309,0)))=5,SUM(INDEX('SKU明细'!$CH$11:$CH$1309,MATCH("60516-NY-S-K-6.5",'SKU明细'!$A$11:$A$1309,0)),INDEX('SKU明细'!$CH$11:$CH$1309,MATCH("60516-NY-S-K-7.5",'SKU明细'!$A$11:$A$1309,0)),INDEX('SKU明细'!$CH$11:$CH$1309,MATCH("60516-NY-S-K-8.5",'SKU明细'!$A$11:$A$1309,0)),INDEX('SKU明细'!$CH$11:$CH$1309,MATCH("60516-NY-S-K-9.5",'SKU明细'!$A$11:$A$1309,0)),INDEX('SKU明细'!$CH$11:$CH$1309,MATCH("60516-NY-S-K-10.5",'SKU明细'!$A$11:$A$1309,0))),"待核")</x:f>
        <x:v>0.05277013685010892</x:v>
      </x:c>
      <x:c r="AF166" s="13" t="n">
        <x:f>IF(COUNT(INDEX('SKU明细'!$CI$11:$CI$1309,MATCH("60516-NY-S-K-6.5",'SKU明细'!$A$11:$A$1309,0)),INDEX('SKU明细'!$CI$11:$CI$1309,MATCH("60516-NY-S-K-7.5",'SKU明细'!$A$11:$A$1309,0)),INDEX('SKU明细'!$CI$11:$CI$1309,MATCH("60516-NY-S-K-8.5",'SKU明细'!$A$11:$A$1309,0)),INDEX('SKU明细'!$CI$11:$CI$1309,MATCH("60516-NY-S-K-9.5",'SKU明细'!$A$11:$A$1309,0)),INDEX('SKU明细'!$CI$11:$CI$1309,MATCH("60516-NY-S-K-10.5",'SKU明细'!$A$11:$A$1309,0)))=5,SUM(INDEX('SKU明细'!$CI$11:$CI$1309,MATCH("60516-NY-S-K-6.5",'SKU明细'!$A$11:$A$1309,0)),INDEX('SKU明细'!$CI$11:$CI$1309,MATCH("60516-NY-S-K-7.5",'SKU明细'!$A$11:$A$1309,0)),INDEX('SKU明细'!$CI$11:$CI$1309,MATCH("60516-NY-S-K-8.5",'SKU明细'!$A$11:$A$1309,0)),INDEX('SKU明细'!$CI$11:$CI$1309,MATCH("60516-NY-S-K-9.5",'SKU明细'!$A$11:$A$1309,0)),INDEX('SKU明细'!$CI$11:$CI$1309,MATCH("60516-NY-S-K-10.5",'SKU明细'!$A$11:$A$1309,0))),"待核")</x:f>
        <x:v>0.392757718322469</x:v>
      </x:c>
    </x:row>
    <x:row r="167" ht="40" customHeight="1">
      <x:c r="A167" s="35" t="str">
        <x:v>60516</x:v>
      </x:c>
      <x:c r="B167" s="35" t="str">
        <x:v>徐新怡</x:v>
      </x:c>
      <x:c r="C167" s="35" t="str">
        <x:v>红色</x:v>
      </x:c>
      <x:c r="D167" s="35" t="str">
        <x:v>RD</x:v>
      </x:c>
      <x:c r="E167" s="35" t="str">
        <x:v>60516-RD-S-K</x:v>
      </x:c>
      <x:c r="F167" s="35"/>
      <x:c r="G167" s="36" t="str">
        <x:f>"—"</x:f>
        <x:v>—</x:v>
      </x:c>
      <x:c r="H167" s="36" t="n">
        <x:f>IF(COUNT(INDEX('SKU明细'!$D$11:$D$1309,MATCH("60516-RD-S-K-6",'SKU明细'!$A$11:$A$1309,0)))=0,"待核",IF(COUNT(INDEX('SKU明细'!$D$11:$D$1309,MATCH("60516-RD-S-K-6",'SKU明细'!$A$11:$A$1309,0)))&lt;1,SUM(INDEX('SKU明细'!$D$11:$D$1309,MATCH("60516-RD-S-K-6",'SKU明细'!$A$11:$A$1309,0)))&amp;" + 待核",SUM(INDEX('SKU明细'!$D$11:$D$1309,MATCH("60516-RD-S-K-6",'SKU明细'!$A$11:$A$1309,0)))))</x:f>
        <x:v>0</x:v>
      </x:c>
      <x:c r="I167" s="36" t="str">
        <x:f>"—"</x:f>
        <x:v>—</x:v>
      </x:c>
      <x:c r="J167" s="36" t="n">
        <x:f>IF(COUNT(INDEX('SKU明细'!$D$11:$D$1309,MATCH("60516-RD-S-K-7",'SKU明细'!$A$11:$A$1309,0)))=0,"待核",IF(COUNT(INDEX('SKU明细'!$D$11:$D$1309,MATCH("60516-RD-S-K-7",'SKU明细'!$A$11:$A$1309,0)))&lt;1,SUM(INDEX('SKU明细'!$D$11:$D$1309,MATCH("60516-RD-S-K-7",'SKU明细'!$A$11:$A$1309,0)))&amp;" + 待核",SUM(INDEX('SKU明细'!$D$11:$D$1309,MATCH("60516-RD-S-K-7",'SKU明细'!$A$11:$A$1309,0)))))</x:f>
        <x:v>0</x:v>
      </x:c>
      <x:c r="K167" s="36" t="n">
        <x:f>IF(COUNT(INDEX('SKU明细'!$D$11:$D$1309,MATCH("60516-RD-S-K-7.5",'SKU明细'!$A$11:$A$1309,0)))=0,"待核",IF(COUNT(INDEX('SKU明细'!$D$11:$D$1309,MATCH("60516-RD-S-K-7.5",'SKU明细'!$A$11:$A$1309,0)))&lt;1,SUM(INDEX('SKU明细'!$D$11:$D$1309,MATCH("60516-RD-S-K-7.5",'SKU明细'!$A$11:$A$1309,0)))&amp;" + 待核",SUM(INDEX('SKU明细'!$D$11:$D$1309,MATCH("60516-RD-S-K-7.5",'SKU明细'!$A$11:$A$1309,0)))))</x:f>
        <x:v>0</x:v>
      </x:c>
      <x:c r="L167" s="36" t="n">
        <x:f>IF(COUNT(INDEX('SKU明细'!$D$11:$D$1309,MATCH("60516-RD-S-K-8",'SKU明细'!$A$11:$A$1309,0)))=0,"待核",IF(COUNT(INDEX('SKU明细'!$D$11:$D$1309,MATCH("60516-RD-S-K-8",'SKU明细'!$A$11:$A$1309,0)))&lt;1,SUM(INDEX('SKU明细'!$D$11:$D$1309,MATCH("60516-RD-S-K-8",'SKU明细'!$A$11:$A$1309,0)))&amp;" + 待核",SUM(INDEX('SKU明细'!$D$11:$D$1309,MATCH("60516-RD-S-K-8",'SKU明细'!$A$11:$A$1309,0)))))</x:f>
        <x:v>0</x:v>
      </x:c>
      <x:c r="M167" s="36" t="n">
        <x:f>IF(COUNT(INDEX('SKU明细'!$D$11:$D$1309,MATCH("60516-RD-S-K-8.5",'SKU明细'!$A$11:$A$1309,0)))=0,"待核",IF(COUNT(INDEX('SKU明细'!$D$11:$D$1309,MATCH("60516-RD-S-K-8.5",'SKU明细'!$A$11:$A$1309,0)))&lt;1,SUM(INDEX('SKU明细'!$D$11:$D$1309,MATCH("60516-RD-S-K-8.5",'SKU明细'!$A$11:$A$1309,0)))&amp;" + 待核",SUM(INDEX('SKU明细'!$D$11:$D$1309,MATCH("60516-RD-S-K-8.5",'SKU明细'!$A$11:$A$1309,0)))))</x:f>
        <x:v>0</x:v>
      </x:c>
      <x:c r="N167" s="36" t="n">
        <x:f>IF(COUNT(INDEX('SKU明细'!$D$11:$D$1309,MATCH("60516-RD-S-K-9",'SKU明细'!$A$11:$A$1309,0)))=0,"待核",IF(COUNT(INDEX('SKU明细'!$D$11:$D$1309,MATCH("60516-RD-S-K-9",'SKU明细'!$A$11:$A$1309,0)))&lt;1,SUM(INDEX('SKU明细'!$D$11:$D$1309,MATCH("60516-RD-S-K-9",'SKU明细'!$A$11:$A$1309,0)))&amp;" + 待核",SUM(INDEX('SKU明细'!$D$11:$D$1309,MATCH("60516-RD-S-K-9",'SKU明细'!$A$11:$A$1309,0)))))</x:f>
        <x:v>8</x:v>
      </x:c>
      <x:c r="O167" s="36" t="str">
        <x:f>"—"</x:f>
        <x:v>—</x:v>
      </x:c>
      <x:c r="P167" s="36" t="n">
        <x:f>IF(COUNT(INDEX('SKU明细'!$D$11:$D$1309,MATCH("60516-RD-S-K-10",'SKU明细'!$A$11:$A$1309,0)))=0,"待核",IF(COUNT(INDEX('SKU明细'!$D$11:$D$1309,MATCH("60516-RD-S-K-10",'SKU明细'!$A$11:$A$1309,0)))&lt;1,SUM(INDEX('SKU明细'!$D$11:$D$1309,MATCH("60516-RD-S-K-10",'SKU明细'!$A$11:$A$1309,0)))&amp;" + 待核",SUM(INDEX('SKU明细'!$D$11:$D$1309,MATCH("60516-RD-S-K-10",'SKU明细'!$A$11:$A$1309,0)))))</x:f>
        <x:v>0</x:v>
      </x:c>
      <x:c r="Q167" s="36" t="str">
        <x:f>"—"</x:f>
        <x:v>—</x:v>
      </x:c>
      <x:c r="R167" s="36" t="n">
        <x:f>IF(COUNT(INDEX('SKU明细'!$D$11:$D$1309,MATCH("60516-RD-S-K-11",'SKU明细'!$A$11:$A$1309,0)))=0,"待核",IF(COUNT(INDEX('SKU明细'!$D$11:$D$1309,MATCH("60516-RD-S-K-11",'SKU明细'!$A$11:$A$1309,0)))&lt;1,SUM(INDEX('SKU明细'!$D$11:$D$1309,MATCH("60516-RD-S-K-11",'SKU明细'!$A$11:$A$1309,0)))&amp;" + 待核",SUM(INDEX('SKU明细'!$D$11:$D$1309,MATCH("60516-RD-S-K-11",'SKU明细'!$A$11:$A$1309,0)))))</x:f>
        <x:v>0</x:v>
      </x:c>
      <x:c r="S167" s="36" t="n">
        <x:f>IF(COUNT(INDEX('SKU明细'!$D$11:$D$1309,MATCH("60516-RD-S-K-6",'SKU明细'!$A$11:$A$1309,0)),INDEX('SKU明细'!$D$11:$D$1309,MATCH("60516-RD-S-K-7",'SKU明细'!$A$11:$A$1309,0)),INDEX('SKU明细'!$D$11:$D$1309,MATCH("60516-RD-S-K-7.5",'SKU明细'!$A$11:$A$1309,0)),INDEX('SKU明细'!$D$11:$D$1309,MATCH("60516-RD-S-K-8",'SKU明细'!$A$11:$A$1309,0)),INDEX('SKU明细'!$D$11:$D$1309,MATCH("60516-RD-S-K-8.5",'SKU明细'!$A$11:$A$1309,0)),INDEX('SKU明细'!$D$11:$D$1309,MATCH("60516-RD-S-K-9",'SKU明细'!$A$11:$A$1309,0)),INDEX('SKU明细'!$D$11:$D$1309,MATCH("60516-RD-S-K-10",'SKU明细'!$A$11:$A$1309,0)),INDEX('SKU明细'!$D$11:$D$1309,MATCH("60516-RD-S-K-11",'SKU明细'!$A$11:$A$1309,0)))=0,"待核",SUM(INDEX('SKU明细'!$D$11:$D$1309,MATCH("60516-RD-S-K-6",'SKU明细'!$A$11:$A$1309,0)),INDEX('SKU明细'!$D$11:$D$1309,MATCH("60516-RD-S-K-7",'SKU明细'!$A$11:$A$1309,0)),INDEX('SKU明细'!$D$11:$D$1309,MATCH("60516-RD-S-K-7.5",'SKU明细'!$A$11:$A$1309,0)),INDEX('SKU明细'!$D$11:$D$1309,MATCH("60516-RD-S-K-8",'SKU明细'!$A$11:$A$1309,0)),INDEX('SKU明细'!$D$11:$D$1309,MATCH("60516-RD-S-K-8.5",'SKU明细'!$A$11:$A$1309,0)),INDEX('SKU明细'!$D$11:$D$1309,MATCH("60516-RD-S-K-9",'SKU明细'!$A$11:$A$1309,0)),INDEX('SKU明细'!$D$11:$D$1309,MATCH("60516-RD-S-K-10",'SKU明细'!$A$11:$A$1309,0)),INDEX('SKU明细'!$D$11:$D$1309,MATCH("60516-RD-S-K-11",'SKU明细'!$A$11:$A$1309,0))))</x:f>
        <x:v>8</x:v>
      </x:c>
      <x:c r="T167" s="36" t="n">
        <x:f>IF(COUNTIFS($A$9:$A$191,A167,$U$9:$U$191,"&lt;&gt;待核")=0,"待核",SUMIF($A$9:$A$191,A167,$S$9:$S$191))</x:f>
        <x:v>121</x:v>
      </x:c>
      <x:c r="U167" s="35" t="str">
        <x:f>IF(COUNT(INDEX('SKU明细'!$D$11:$D$1309,MATCH("60516-RD-S-K-6",'SKU明细'!$A$11:$A$1309,0)),INDEX('SKU明细'!$D$11:$D$1309,MATCH("60516-RD-S-K-7",'SKU明细'!$A$11:$A$1309,0)),INDEX('SKU明细'!$D$11:$D$1309,MATCH("60516-RD-S-K-7.5",'SKU明细'!$A$11:$A$1309,0)),INDEX('SKU明细'!$D$11:$D$1309,MATCH("60516-RD-S-K-8",'SKU明细'!$A$11:$A$1309,0)),INDEX('SKU明细'!$D$11:$D$1309,MATCH("60516-RD-S-K-8.5",'SKU明细'!$A$11:$A$1309,0)),INDEX('SKU明细'!$D$11:$D$1309,MATCH("60516-RD-S-K-9",'SKU明细'!$A$11:$A$1309,0)),INDEX('SKU明细'!$D$11:$D$1309,MATCH("60516-RD-S-K-10",'SKU明细'!$A$11:$A$1309,0)),INDEX('SKU明细'!$D$11:$D$1309,MATCH("60516-RD-S-K-11",'SKU明细'!$A$11:$A$1309,0)))=0,"待核",IF(COUNT(INDEX('SKU明细'!$D$11:$D$1309,MATCH("60516-RD-S-K-6",'SKU明细'!$A$11:$A$1309,0)),INDEX('SKU明细'!$D$11:$D$1309,MATCH("60516-RD-S-K-7",'SKU明细'!$A$11:$A$1309,0)),INDEX('SKU明细'!$D$11:$D$1309,MATCH("60516-RD-S-K-7.5",'SKU明细'!$A$11:$A$1309,0)),INDEX('SKU明细'!$D$11:$D$1309,MATCH("60516-RD-S-K-8",'SKU明细'!$A$11:$A$1309,0)),INDEX('SKU明细'!$D$11:$D$1309,MATCH("60516-RD-S-K-8.5",'SKU明细'!$A$11:$A$1309,0)),INDEX('SKU明细'!$D$11:$D$1309,MATCH("60516-RD-S-K-9",'SKU明细'!$A$11:$A$1309,0)),INDEX('SKU明细'!$D$11:$D$1309,MATCH("60516-RD-S-K-10",'SKU明细'!$A$11:$A$1309,0)),INDEX('SKU明细'!$D$11:$D$1309,MATCH("60516-RD-S-K-11",'SKU明细'!$A$11:$A$1309,0)))&lt;8,"另有待核","已核"))</x:f>
        <x:v>已核</x:v>
      </x:c>
      <x:c r="V167" s="35" t="str">
        <x:v>在售、停售</x:v>
      </x:c>
      <x:c r="W167" s="11" t="n">
        <x:f>IF(COUNT(INDEX('SKU明细'!$BV$11:$BV$1309,MATCH("60516-RD-S-K-6",'SKU明细'!$A$11:$A$1309,0)),INDEX('SKU明细'!$BV$11:$BV$1309,MATCH("60516-RD-S-K-7",'SKU明细'!$A$11:$A$1309,0)),INDEX('SKU明细'!$BV$11:$BV$1309,MATCH("60516-RD-S-K-7.5",'SKU明细'!$A$11:$A$1309,0)),INDEX('SKU明细'!$BV$11:$BV$1309,MATCH("60516-RD-S-K-8",'SKU明细'!$A$11:$A$1309,0)),INDEX('SKU明细'!$BV$11:$BV$1309,MATCH("60516-RD-S-K-8.5",'SKU明细'!$A$11:$A$1309,0)),INDEX('SKU明细'!$BV$11:$BV$1309,MATCH("60516-RD-S-K-9",'SKU明细'!$A$11:$A$1309,0)),INDEX('SKU明细'!$BV$11:$BV$1309,MATCH("60516-RD-S-K-10",'SKU明细'!$A$11:$A$1309,0)),INDEX('SKU明细'!$BV$11:$BV$1309,MATCH("60516-RD-S-K-11",'SKU明细'!$A$11:$A$1309,0)))=8,SUM(INDEX('SKU明细'!$BV$11:$BV$1309,MATCH("60516-RD-S-K-6",'SKU明细'!$A$11:$A$1309,0)),INDEX('SKU明细'!$BV$11:$BV$1309,MATCH("60516-RD-S-K-7",'SKU明细'!$A$11:$A$1309,0)),INDEX('SKU明细'!$BV$11:$BV$1309,MATCH("60516-RD-S-K-7.5",'SKU明细'!$A$11:$A$1309,0)),INDEX('SKU明细'!$BV$11:$BV$1309,MATCH("60516-RD-S-K-8",'SKU明细'!$A$11:$A$1309,0)),INDEX('SKU明细'!$BV$11:$BV$1309,MATCH("60516-RD-S-K-8.5",'SKU明细'!$A$11:$A$1309,0)),INDEX('SKU明细'!$BV$11:$BV$1309,MATCH("60516-RD-S-K-9",'SKU明细'!$A$11:$A$1309,0)),INDEX('SKU明细'!$BV$11:$BV$1309,MATCH("60516-RD-S-K-10",'SKU明细'!$A$11:$A$1309,0)),INDEX('SKU明细'!$BV$11:$BV$1309,MATCH("60516-RD-S-K-11",'SKU明细'!$A$11:$A$1309,0))),"待核")</x:f>
        <x:v>0.38418092382384295</x:v>
      </x:c>
      <x:c r="X167" s="11" t="n">
        <x:f>INDEX('SKU明细'!$BW$11:$BW$1309,MATCH("60516-RD-S-K-6",'SKU明细'!$A$11:$A$1309,0))</x:f>
        <x:v>1.8609238953732312</x:v>
      </x:c>
      <x:c r="Y167" s="13" t="n">
        <x:f>IF(COUNT(INDEX('SKU明细'!$BY$11:$BY$1309,MATCH("60516-RD-S-K-6",'SKU明细'!$A$11:$A$1309,0)),INDEX('SKU明细'!$BY$11:$BY$1309,MATCH("60516-RD-S-K-7",'SKU明细'!$A$11:$A$1309,0)),INDEX('SKU明细'!$BY$11:$BY$1309,MATCH("60516-RD-S-K-7.5",'SKU明细'!$A$11:$A$1309,0)),INDEX('SKU明细'!$BY$11:$BY$1309,MATCH("60516-RD-S-K-8",'SKU明细'!$A$11:$A$1309,0)),INDEX('SKU明细'!$BY$11:$BY$1309,MATCH("60516-RD-S-K-8.5",'SKU明细'!$A$11:$A$1309,0)),INDEX('SKU明细'!$BY$11:$BY$1309,MATCH("60516-RD-S-K-9",'SKU明细'!$A$11:$A$1309,0)),INDEX('SKU明细'!$BY$11:$BY$1309,MATCH("60516-RD-S-K-10",'SKU明细'!$A$11:$A$1309,0)),INDEX('SKU明细'!$BY$11:$BY$1309,MATCH("60516-RD-S-K-11",'SKU明细'!$A$11:$A$1309,0)))=8,SUM(INDEX('SKU明细'!$BY$11:$BY$1309,MATCH("60516-RD-S-K-6",'SKU明细'!$A$11:$A$1309,0)),INDEX('SKU明细'!$BY$11:$BY$1309,MATCH("60516-RD-S-K-7",'SKU明细'!$A$11:$A$1309,0)),INDEX('SKU明细'!$BY$11:$BY$1309,MATCH("60516-RD-S-K-7.5",'SKU明细'!$A$11:$A$1309,0)),INDEX('SKU明细'!$BY$11:$BY$1309,MATCH("60516-RD-S-K-8",'SKU明细'!$A$11:$A$1309,0)),INDEX('SKU明细'!$BY$11:$BY$1309,MATCH("60516-RD-S-K-8.5",'SKU明细'!$A$11:$A$1309,0)),INDEX('SKU明细'!$BY$11:$BY$1309,MATCH("60516-RD-S-K-9",'SKU明细'!$A$11:$A$1309,0)),INDEX('SKU明细'!$BY$11:$BY$1309,MATCH("60516-RD-S-K-10",'SKU明细'!$A$11:$A$1309,0)),INDEX('SKU明细'!$BY$11:$BY$1309,MATCH("60516-RD-S-K-11",'SKU明细'!$A$11:$A$1309,0))),"待核")</x:f>
        <x:v>8.57917753548423</x:v>
      </x:c>
      <x:c r="Z167" s="11" t="n">
        <x:f>INDEX('SKU明细'!$BZ$11:$BZ$1309,MATCH("60516-RD-S-K-6",'SKU明细'!$A$11:$A$1309,0))</x:f>
        <x:v>1.438375649833085</x:v>
      </x:c>
      <x:c r="AA167" s="13" t="n">
        <x:f>IF(COUNT(INDEX('SKU明细'!$CB$11:$CB$1309,MATCH("60516-RD-S-K-6",'SKU明细'!$A$11:$A$1309,0)),INDEX('SKU明细'!$CB$11:$CB$1309,MATCH("60516-RD-S-K-7",'SKU明细'!$A$11:$A$1309,0)),INDEX('SKU明细'!$CB$11:$CB$1309,MATCH("60516-RD-S-K-7.5",'SKU明细'!$A$11:$A$1309,0)),INDEX('SKU明细'!$CB$11:$CB$1309,MATCH("60516-RD-S-K-8",'SKU明细'!$A$11:$A$1309,0)),INDEX('SKU明细'!$CB$11:$CB$1309,MATCH("60516-RD-S-K-8.5",'SKU明细'!$A$11:$A$1309,0)),INDEX('SKU明细'!$CB$11:$CB$1309,MATCH("60516-RD-S-K-9",'SKU明细'!$A$11:$A$1309,0)),INDEX('SKU明细'!$CB$11:$CB$1309,MATCH("60516-RD-S-K-10",'SKU明细'!$A$11:$A$1309,0)),INDEX('SKU明细'!$CB$11:$CB$1309,MATCH("60516-RD-S-K-11",'SKU明细'!$A$11:$A$1309,0)))=8,SUM(INDEX('SKU明细'!$CB$11:$CB$1309,MATCH("60516-RD-S-K-6",'SKU明细'!$A$11:$A$1309,0)),INDEX('SKU明细'!$CB$11:$CB$1309,MATCH("60516-RD-S-K-7",'SKU明细'!$A$11:$A$1309,0)),INDEX('SKU明细'!$CB$11:$CB$1309,MATCH("60516-RD-S-K-7.5",'SKU明细'!$A$11:$A$1309,0)),INDEX('SKU明细'!$CB$11:$CB$1309,MATCH("60516-RD-S-K-8",'SKU明细'!$A$11:$A$1309,0)),INDEX('SKU明细'!$CB$11:$CB$1309,MATCH("60516-RD-S-K-8.5",'SKU明细'!$A$11:$A$1309,0)),INDEX('SKU明细'!$CB$11:$CB$1309,MATCH("60516-RD-S-K-9",'SKU明细'!$A$11:$A$1309,0)),INDEX('SKU明细'!$CB$11:$CB$1309,MATCH("60516-RD-S-K-10",'SKU明细'!$A$11:$A$1309,0)),INDEX('SKU明细'!$CB$11:$CB$1309,MATCH("60516-RD-S-K-11",'SKU明细'!$A$11:$A$1309,0))),"待核")</x:f>
        <x:v>16.577894578757853</x:v>
      </x:c>
      <x:c r="AB167" s="11" t="n">
        <x:f>INDEX('SKU明细'!$CC$11:$CC$1309,MATCH("60516-RD-S-K-6",'SKU明细'!$A$11:$A$1309,0))</x:f>
        <x:v>0.9519742599124907</x:v>
      </x:c>
      <x:c r="AC167" s="13" t="n">
        <x:f>IF(COUNT(INDEX('SKU明细'!$CE$11:$CE$1309,MATCH("60516-RD-S-K-6",'SKU明细'!$A$11:$A$1309,0)),INDEX('SKU明细'!$CE$11:$CE$1309,MATCH("60516-RD-S-K-7",'SKU明细'!$A$11:$A$1309,0)),INDEX('SKU明细'!$CE$11:$CE$1309,MATCH("60516-RD-S-K-7.5",'SKU明细'!$A$11:$A$1309,0)),INDEX('SKU明细'!$CE$11:$CE$1309,MATCH("60516-RD-S-K-8",'SKU明细'!$A$11:$A$1309,0)),INDEX('SKU明细'!$CE$11:$CE$1309,MATCH("60516-RD-S-K-8.5",'SKU明细'!$A$11:$A$1309,0)),INDEX('SKU明细'!$CE$11:$CE$1309,MATCH("60516-RD-S-K-9",'SKU明细'!$A$11:$A$1309,0)),INDEX('SKU明细'!$CE$11:$CE$1309,MATCH("60516-RD-S-K-10",'SKU明细'!$A$11:$A$1309,0)),INDEX('SKU明细'!$CE$11:$CE$1309,MATCH("60516-RD-S-K-11",'SKU明细'!$A$11:$A$1309,0)))=8,SUM(INDEX('SKU明细'!$CE$11:$CE$1309,MATCH("60516-RD-S-K-6",'SKU明细'!$A$11:$A$1309,0)),INDEX('SKU明细'!$CE$11:$CE$1309,MATCH("60516-RD-S-K-7",'SKU明细'!$A$11:$A$1309,0)),INDEX('SKU明细'!$CE$11:$CE$1309,MATCH("60516-RD-S-K-7.5",'SKU明细'!$A$11:$A$1309,0)),INDEX('SKU明细'!$CE$11:$CE$1309,MATCH("60516-RD-S-K-8",'SKU明细'!$A$11:$A$1309,0)),INDEX('SKU明细'!$CE$11:$CE$1309,MATCH("60516-RD-S-K-8.5",'SKU明细'!$A$11:$A$1309,0)),INDEX('SKU明细'!$CE$11:$CE$1309,MATCH("60516-RD-S-K-9",'SKU明细'!$A$11:$A$1309,0)),INDEX('SKU明细'!$CE$11:$CE$1309,MATCH("60516-RD-S-K-10",'SKU明细'!$A$11:$A$1309,0)),INDEX('SKU明细'!$CE$11:$CE$1309,MATCH("60516-RD-S-K-11",'SKU明细'!$A$11:$A$1309,0))),"待核")</x:f>
        <x:v>11.337640869520698</x:v>
      </x:c>
      <x:c r="AD167" s="11" t="n">
        <x:f>INDEX('SKU明细'!$CF$11:$CF$1309,MATCH("60516-RD-S-K-6",'SKU明细'!$A$11:$A$1309,0))</x:f>
        <x:v>0.8673021058229575</x:v>
      </x:c>
      <x:c r="AE167" s="13" t="n">
        <x:f>IF(COUNT(INDEX('SKU明细'!$CH$11:$CH$1309,MATCH("60516-RD-S-K-6",'SKU明细'!$A$11:$A$1309,0)),INDEX('SKU明细'!$CH$11:$CH$1309,MATCH("60516-RD-S-K-7",'SKU明细'!$A$11:$A$1309,0)),INDEX('SKU明细'!$CH$11:$CH$1309,MATCH("60516-RD-S-K-7.5",'SKU明细'!$A$11:$A$1309,0)),INDEX('SKU明细'!$CH$11:$CH$1309,MATCH("60516-RD-S-K-8",'SKU明细'!$A$11:$A$1309,0)),INDEX('SKU明细'!$CH$11:$CH$1309,MATCH("60516-RD-S-K-8.5",'SKU明细'!$A$11:$A$1309,0)),INDEX('SKU明细'!$CH$11:$CH$1309,MATCH("60516-RD-S-K-9",'SKU明细'!$A$11:$A$1309,0)),INDEX('SKU明细'!$CH$11:$CH$1309,MATCH("60516-RD-S-K-10",'SKU明细'!$A$11:$A$1309,0)),INDEX('SKU明细'!$CH$11:$CH$1309,MATCH("60516-RD-S-K-11",'SKU明细'!$A$11:$A$1309,0)))=8,SUM(INDEX('SKU明细'!$CH$11:$CH$1309,MATCH("60516-RD-S-K-6",'SKU明细'!$A$11:$A$1309,0)),INDEX('SKU明细'!$CH$11:$CH$1309,MATCH("60516-RD-S-K-7",'SKU明细'!$A$11:$A$1309,0)),INDEX('SKU明细'!$CH$11:$CH$1309,MATCH("60516-RD-S-K-7.5",'SKU明细'!$A$11:$A$1309,0)),INDEX('SKU明细'!$CH$11:$CH$1309,MATCH("60516-RD-S-K-8",'SKU明细'!$A$11:$A$1309,0)),INDEX('SKU明细'!$CH$11:$CH$1309,MATCH("60516-RD-S-K-8.5",'SKU明细'!$A$11:$A$1309,0)),INDEX('SKU明细'!$CH$11:$CH$1309,MATCH("60516-RD-S-K-9",'SKU明细'!$A$11:$A$1309,0)),INDEX('SKU明细'!$CH$11:$CH$1309,MATCH("60516-RD-S-K-10",'SKU明细'!$A$11:$A$1309,0)),INDEX('SKU明细'!$CH$11:$CH$1309,MATCH("60516-RD-S-K-11",'SKU明细'!$A$11:$A$1309,0))),"待核")</x:f>
        <x:v>5.664415712240281</x:v>
      </x:c>
      <x:c r="AF167" s="13" t="n">
        <x:f>IF(COUNT(INDEX('SKU明细'!$CI$11:$CI$1309,MATCH("60516-RD-S-K-6",'SKU明细'!$A$11:$A$1309,0)),INDEX('SKU明细'!$CI$11:$CI$1309,MATCH("60516-RD-S-K-7",'SKU明细'!$A$11:$A$1309,0)),INDEX('SKU明细'!$CI$11:$CI$1309,MATCH("60516-RD-S-K-7.5",'SKU明细'!$A$11:$A$1309,0)),INDEX('SKU明细'!$CI$11:$CI$1309,MATCH("60516-RD-S-K-8",'SKU明细'!$A$11:$A$1309,0)),INDEX('SKU明细'!$CI$11:$CI$1309,MATCH("60516-RD-S-K-8.5",'SKU明细'!$A$11:$A$1309,0)),INDEX('SKU明细'!$CI$11:$CI$1309,MATCH("60516-RD-S-K-9",'SKU明细'!$A$11:$A$1309,0)),INDEX('SKU明细'!$CI$11:$CI$1309,MATCH("60516-RD-S-K-10",'SKU明细'!$A$11:$A$1309,0)),INDEX('SKU明细'!$CI$11:$CI$1309,MATCH("60516-RD-S-K-11",'SKU明细'!$A$11:$A$1309,0)))=8,SUM(INDEX('SKU明细'!$CI$11:$CI$1309,MATCH("60516-RD-S-K-6",'SKU明细'!$A$11:$A$1309,0)),INDEX('SKU明细'!$CI$11:$CI$1309,MATCH("60516-RD-S-K-7",'SKU明细'!$A$11:$A$1309,0)),INDEX('SKU明细'!$CI$11:$CI$1309,MATCH("60516-RD-S-K-7.5",'SKU明细'!$A$11:$A$1309,0)),INDEX('SKU明细'!$CI$11:$CI$1309,MATCH("60516-RD-S-K-8",'SKU明细'!$A$11:$A$1309,0)),INDEX('SKU明细'!$CI$11:$CI$1309,MATCH("60516-RD-S-K-8.5",'SKU明细'!$A$11:$A$1309,0)),INDEX('SKU明细'!$CI$11:$CI$1309,MATCH("60516-RD-S-K-9",'SKU明细'!$A$11:$A$1309,0)),INDEX('SKU明细'!$CI$11:$CI$1309,MATCH("60516-RD-S-K-10",'SKU明细'!$A$11:$A$1309,0)),INDEX('SKU明细'!$CI$11:$CI$1309,MATCH("60516-RD-S-K-11",'SKU明细'!$A$11:$A$1309,0))),"待核")</x:f>
        <x:v>42.159128696003066</x:v>
      </x:c>
    </x:row>
    <x:row r="168" ht="40" customHeight="1">
      <x:c r="A168" s="35" t="str">
        <x:v>60516</x:v>
      </x:c>
      <x:c r="B168" s="35" t="str">
        <x:v>徐新怡</x:v>
      </x:c>
      <x:c r="C168" s="35" t="str">
        <x:v>红色</x:v>
      </x:c>
      <x:c r="D168" s="35" t="str">
        <x:v>RD-S-K</x:v>
      </x:c>
      <x:c r="E168" s="35" t="str">
        <x:v>60516-RD-S-K</x:v>
      </x:c>
      <x:c r="F168" s="35"/>
      <x:c r="G168" s="36" t="str">
        <x:f>"—"</x:f>
        <x:v>—</x:v>
      </x:c>
      <x:c r="H168" s="36" t="str">
        <x:f>"—"</x:f>
        <x:v>—</x:v>
      </x:c>
      <x:c r="I168" s="36" t="n">
        <x:f>IF(COUNT(INDEX('SKU明细'!$D$11:$D$1309,MATCH("60516-RD-S-K-6.5",'SKU明细'!$A$11:$A$1309,0)))=0,"待核",IF(COUNT(INDEX('SKU明细'!$D$11:$D$1309,MATCH("60516-RD-S-K-6.5",'SKU明细'!$A$11:$A$1309,0)))&lt;1,SUM(INDEX('SKU明细'!$D$11:$D$1309,MATCH("60516-RD-S-K-6.5",'SKU明细'!$A$11:$A$1309,0)))&amp;" + 待核",SUM(INDEX('SKU明细'!$D$11:$D$1309,MATCH("60516-RD-S-K-6.5",'SKU明细'!$A$11:$A$1309,0)))))</x:f>
        <x:v>0</x:v>
      </x:c>
      <x:c r="J168" s="36" t="str">
        <x:f>"—"</x:f>
        <x:v>—</x:v>
      </x:c>
      <x:c r="K168" s="36" t="str">
        <x:f>"—"</x:f>
        <x:v>—</x:v>
      </x:c>
      <x:c r="L168" s="36" t="str">
        <x:f>"—"</x:f>
        <x:v>—</x:v>
      </x:c>
      <x:c r="M168" s="36" t="str">
        <x:f>"—"</x:f>
        <x:v>—</x:v>
      </x:c>
      <x:c r="N168" s="36" t="str">
        <x:f>"—"</x:f>
        <x:v>—</x:v>
      </x:c>
      <x:c r="O168" s="36" t="n">
        <x:f>IF(COUNT(INDEX('SKU明细'!$D$11:$D$1309,MATCH("60516-RD-S-K-9.5",'SKU明细'!$A$11:$A$1309,0)))=0,"待核",IF(COUNT(INDEX('SKU明细'!$D$11:$D$1309,MATCH("60516-RD-S-K-9.5",'SKU明细'!$A$11:$A$1309,0)))&lt;1,SUM(INDEX('SKU明细'!$D$11:$D$1309,MATCH("60516-RD-S-K-9.5",'SKU明细'!$A$11:$A$1309,0)))&amp;" + 待核",SUM(INDEX('SKU明细'!$D$11:$D$1309,MATCH("60516-RD-S-K-9.5",'SKU明细'!$A$11:$A$1309,0)))))</x:f>
        <x:v>0</x:v>
      </x:c>
      <x:c r="P168" s="36" t="str">
        <x:f>"—"</x:f>
        <x:v>—</x:v>
      </x:c>
      <x:c r="Q168" s="36" t="n">
        <x:f>IF(COUNT(INDEX('SKU明细'!$D$11:$D$1309,MATCH("60516-RD-S-K-10.5",'SKU明细'!$A$11:$A$1309,0)))=0,"待核",IF(COUNT(INDEX('SKU明细'!$D$11:$D$1309,MATCH("60516-RD-S-K-10.5",'SKU明细'!$A$11:$A$1309,0)))&lt;1,SUM(INDEX('SKU明细'!$D$11:$D$1309,MATCH("60516-RD-S-K-10.5",'SKU明细'!$A$11:$A$1309,0)))&amp;" + 待核",SUM(INDEX('SKU明细'!$D$11:$D$1309,MATCH("60516-RD-S-K-10.5",'SKU明细'!$A$11:$A$1309,0)))))</x:f>
        <x:v>0</x:v>
      </x:c>
      <x:c r="R168" s="36" t="str">
        <x:f>"—"</x:f>
        <x:v>—</x:v>
      </x:c>
      <x:c r="S168" s="36" t="n">
        <x:f>IF(COUNT(INDEX('SKU明细'!$D$11:$D$1309,MATCH("60516-RD-S-K-6.5",'SKU明细'!$A$11:$A$1309,0)),INDEX('SKU明细'!$D$11:$D$1309,MATCH("60516-RD-S-K-9.5",'SKU明细'!$A$11:$A$1309,0)),INDEX('SKU明细'!$D$11:$D$1309,MATCH("60516-RD-S-K-10.5",'SKU明细'!$A$11:$A$1309,0)))=0,"待核",SUM(INDEX('SKU明细'!$D$11:$D$1309,MATCH("60516-RD-S-K-6.5",'SKU明细'!$A$11:$A$1309,0)),INDEX('SKU明细'!$D$11:$D$1309,MATCH("60516-RD-S-K-9.5",'SKU明细'!$A$11:$A$1309,0)),INDEX('SKU明细'!$D$11:$D$1309,MATCH("60516-RD-S-K-10.5",'SKU明细'!$A$11:$A$1309,0))))</x:f>
        <x:v>0</x:v>
      </x:c>
      <x:c r="T168" s="36" t="n">
        <x:f>IF(COUNTIFS($A$9:$A$191,A168,$U$9:$U$191,"&lt;&gt;待核")=0,"待核",SUMIF($A$9:$A$191,A168,$S$9:$S$191))</x:f>
        <x:v>121</x:v>
      </x:c>
      <x:c r="U168" s="35" t="str">
        <x:f>IF(COUNT(INDEX('SKU明细'!$D$11:$D$1309,MATCH("60516-RD-S-K-6.5",'SKU明细'!$A$11:$A$1309,0)),INDEX('SKU明细'!$D$11:$D$1309,MATCH("60516-RD-S-K-9.5",'SKU明细'!$A$11:$A$1309,0)),INDEX('SKU明细'!$D$11:$D$1309,MATCH("60516-RD-S-K-10.5",'SKU明细'!$A$11:$A$1309,0)))=0,"待核",IF(COUNT(INDEX('SKU明细'!$D$11:$D$1309,MATCH("60516-RD-S-K-6.5",'SKU明细'!$A$11:$A$1309,0)),INDEX('SKU明细'!$D$11:$D$1309,MATCH("60516-RD-S-K-9.5",'SKU明细'!$A$11:$A$1309,0)),INDEX('SKU明细'!$D$11:$D$1309,MATCH("60516-RD-S-K-10.5",'SKU明细'!$A$11:$A$1309,0)))&lt;3,"另有待核","已核"))</x:f>
        <x:v>已核</x:v>
      </x:c>
      <x:c r="V168" s="35" t="str">
        <x:v>停售</x:v>
      </x:c>
      <x:c r="W168" s="11" t="n">
        <x:f>IF(COUNT(INDEX('SKU明细'!$BV$11:$BV$1309,MATCH("60516-RD-S-K-6.5",'SKU明细'!$A$11:$A$1309,0)),INDEX('SKU明细'!$BV$11:$BV$1309,MATCH("60516-RD-S-K-9.5",'SKU明细'!$A$11:$A$1309,0)),INDEX('SKU明细'!$BV$11:$BV$1309,MATCH("60516-RD-S-K-10.5",'SKU明细'!$A$11:$A$1309,0)))=3,SUM(INDEX('SKU明细'!$BV$11:$BV$1309,MATCH("60516-RD-S-K-6.5",'SKU明细'!$A$11:$A$1309,0)),INDEX('SKU明细'!$BV$11:$BV$1309,MATCH("60516-RD-S-K-9.5",'SKU明细'!$A$11:$A$1309,0)),INDEX('SKU明细'!$BV$11:$BV$1309,MATCH("60516-RD-S-K-10.5",'SKU明细'!$A$11:$A$1309,0))),"待核")</x:f>
        <x:v>0.010441032389712817</x:v>
      </x:c>
      <x:c r="X168" s="11" t="n">
        <x:f>INDEX('SKU明细'!$BW$11:$BW$1309,MATCH("60516-RD-S-K-6.5",'SKU明细'!$A$11:$A$1309,0))</x:f>
        <x:v>1.8609238953732312</x:v>
      </x:c>
      <x:c r="Y168" s="13" t="n">
        <x:f>IF(COUNT(INDEX('SKU明细'!$BY$11:$BY$1309,MATCH("60516-RD-S-K-6.5",'SKU明细'!$A$11:$A$1309,0)),INDEX('SKU明细'!$BY$11:$BY$1309,MATCH("60516-RD-S-K-9.5",'SKU明细'!$A$11:$A$1309,0)),INDEX('SKU明细'!$BY$11:$BY$1309,MATCH("60516-RD-S-K-10.5",'SKU明细'!$A$11:$A$1309,0)))=3,SUM(INDEX('SKU明细'!$BY$11:$BY$1309,MATCH("60516-RD-S-K-6.5",'SKU明细'!$A$11:$A$1309,0)),INDEX('SKU明细'!$BY$11:$BY$1309,MATCH("60516-RD-S-K-9.5",'SKU明细'!$A$11:$A$1309,0)),INDEX('SKU明细'!$BY$11:$BY$1309,MATCH("60516-RD-S-K-10.5",'SKU明细'!$A$11:$A$1309,0))),"待核")</x:f>
        <x:v>0.23315959999658942</x:v>
      </x:c>
      <x:c r="Z168" s="11" t="n">
        <x:f>INDEX('SKU明细'!$BZ$11:$BZ$1309,MATCH("60516-RD-S-K-6.5",'SKU明细'!$A$11:$A$1309,0))</x:f>
        <x:v>1.438375649833085</x:v>
      </x:c>
      <x:c r="AA168" s="13" t="n">
        <x:f>IF(COUNT(INDEX('SKU明细'!$CB$11:$CB$1309,MATCH("60516-RD-S-K-6.5",'SKU明细'!$A$11:$A$1309,0)),INDEX('SKU明细'!$CB$11:$CB$1309,MATCH("60516-RD-S-K-9.5",'SKU明细'!$A$11:$A$1309,0)),INDEX('SKU明细'!$CB$11:$CB$1309,MATCH("60516-RD-S-K-10.5",'SKU明细'!$A$11:$A$1309,0)))=3,SUM(INDEX('SKU明细'!$CB$11:$CB$1309,MATCH("60516-RD-S-K-6.5",'SKU明细'!$A$11:$A$1309,0)),INDEX('SKU明细'!$CB$11:$CB$1309,MATCH("60516-RD-S-K-9.5",'SKU明细'!$A$11:$A$1309,0)),INDEX('SKU明细'!$CB$11:$CB$1309,MATCH("60516-RD-S-K-10.5",'SKU明细'!$A$11:$A$1309,0))),"待核")</x:f>
        <x:v>0.45054380245444386</x:v>
      </x:c>
      <x:c r="AB168" s="11" t="n">
        <x:f>INDEX('SKU明细'!$CC$11:$CC$1309,MATCH("60516-RD-S-K-6.5",'SKU明细'!$A$11:$A$1309,0))</x:f>
        <x:v>0.9519742599124907</x:v>
      </x:c>
      <x:c r="AC168" s="13" t="n">
        <x:f>IF(COUNT(INDEX('SKU明细'!$CE$11:$CE$1309,MATCH("60516-RD-S-K-6.5",'SKU明细'!$A$11:$A$1309,0)),INDEX('SKU明细'!$CE$11:$CE$1309,MATCH("60516-RD-S-K-9.5",'SKU明细'!$A$11:$A$1309,0)),INDEX('SKU明细'!$CE$11:$CE$1309,MATCH("60516-RD-S-K-10.5",'SKU明细'!$A$11:$A$1309,0)))=3,SUM(INDEX('SKU明细'!$CE$11:$CE$1309,MATCH("60516-RD-S-K-6.5",'SKU明细'!$A$11:$A$1309,0)),INDEX('SKU明细'!$CE$11:$CE$1309,MATCH("60516-RD-S-K-9.5",'SKU明细'!$A$11:$A$1309,0)),INDEX('SKU明细'!$CE$11:$CE$1309,MATCH("60516-RD-S-K-10.5",'SKU明细'!$A$11:$A$1309,0))),"待核")</x:f>
        <x:v>0.3081274165394953</x:v>
      </x:c>
      <x:c r="AD168" s="11" t="n">
        <x:f>INDEX('SKU明细'!$CF$11:$CF$1309,MATCH("60516-RD-S-K-6.5",'SKU明细'!$A$11:$A$1309,0))</x:f>
        <x:v>0.8673021058229575</x:v>
      </x:c>
      <x:c r="AE168" s="13" t="n">
        <x:f>IF(COUNT(INDEX('SKU明细'!$CH$11:$CH$1309,MATCH("60516-RD-S-K-6.5",'SKU明细'!$A$11:$A$1309,0)),INDEX('SKU明细'!$CH$11:$CH$1309,MATCH("60516-RD-S-K-9.5",'SKU明细'!$A$11:$A$1309,0)),INDEX('SKU明细'!$CH$11:$CH$1309,MATCH("60516-RD-S-K-10.5",'SKU明细'!$A$11:$A$1309,0)))=3,SUM(INDEX('SKU明细'!$CH$11:$CH$1309,MATCH("60516-RD-S-K-6.5",'SKU明细'!$A$11:$A$1309,0)),INDEX('SKU明细'!$CH$11:$CH$1309,MATCH("60516-RD-S-K-9.5",'SKU明细'!$A$11:$A$1309,0)),INDEX('SKU明细'!$CH$11:$CH$1309,MATCH("60516-RD-S-K-10.5",'SKU明细'!$A$11:$A$1309,0))),"待核")</x:f>
        <x:v>0.15394399943558176</x:v>
      </x:c>
      <x:c r="AF168" s="13" t="n">
        <x:f>IF(COUNT(INDEX('SKU明细'!$CI$11:$CI$1309,MATCH("60516-RD-S-K-6.5",'SKU明细'!$A$11:$A$1309,0)),INDEX('SKU明细'!$CI$11:$CI$1309,MATCH("60516-RD-S-K-9.5",'SKU明细'!$A$11:$A$1309,0)),INDEX('SKU明细'!$CI$11:$CI$1309,MATCH("60516-RD-S-K-10.5",'SKU明细'!$A$11:$A$1309,0)))=3,SUM(INDEX('SKU明细'!$CI$11:$CI$1309,MATCH("60516-RD-S-K-6.5",'SKU明细'!$A$11:$A$1309,0)),INDEX('SKU明细'!$CI$11:$CI$1309,MATCH("60516-RD-S-K-9.5",'SKU明细'!$A$11:$A$1309,0)),INDEX('SKU明细'!$CI$11:$CI$1309,MATCH("60516-RD-S-K-10.5",'SKU明细'!$A$11:$A$1309,0))),"待核")</x:f>
        <x:v>1.1457748184261105</x:v>
      </x:c>
    </x:row>
    <x:row r="169" ht="40" customHeight="1">
      <x:c r="A169" s="35" t="str">
        <x:v>60516</x:v>
      </x:c>
      <x:c r="B169" s="35" t="str">
        <x:v>徐新怡</x:v>
      </x:c>
      <x:c r="C169" s="35" t="str">
        <x:v>驼色</x:v>
      </x:c>
      <x:c r="D169" s="35" t="str">
        <x:v>TN</x:v>
      </x:c>
      <x:c r="E169" s="35" t="str">
        <x:v>60516-TN-S-K</x:v>
      </x:c>
      <x:c r="F169" s="35"/>
      <x:c r="G169" s="36" t="str">
        <x:f>"—"</x:f>
        <x:v>—</x:v>
      </x:c>
      <x:c r="H169" s="36" t="n">
        <x:f>IF(COUNT(INDEX('SKU明细'!$D$11:$D$1309,MATCH("60516-TN-S-K-6",'SKU明细'!$A$11:$A$1309,0)))=0,"待核",IF(COUNT(INDEX('SKU明细'!$D$11:$D$1309,MATCH("60516-TN-S-K-6",'SKU明细'!$A$11:$A$1309,0)))&lt;1,SUM(INDEX('SKU明细'!$D$11:$D$1309,MATCH("60516-TN-S-K-6",'SKU明细'!$A$11:$A$1309,0)))&amp;" + 待核",SUM(INDEX('SKU明细'!$D$11:$D$1309,MATCH("60516-TN-S-K-6",'SKU明细'!$A$11:$A$1309,0)))))</x:f>
        <x:v>0</x:v>
      </x:c>
      <x:c r="I169" s="36" t="str">
        <x:f>"—"</x:f>
        <x:v>—</x:v>
      </x:c>
      <x:c r="J169" s="36" t="n">
        <x:f>IF(COUNT(INDEX('SKU明细'!$D$11:$D$1309,MATCH("60516-TN-S-K-7",'SKU明细'!$A$11:$A$1309,0)))=0,"待核",IF(COUNT(INDEX('SKU明细'!$D$11:$D$1309,MATCH("60516-TN-S-K-7",'SKU明细'!$A$11:$A$1309,0)))&lt;1,SUM(INDEX('SKU明细'!$D$11:$D$1309,MATCH("60516-TN-S-K-7",'SKU明细'!$A$11:$A$1309,0)))&amp;" + 待核",SUM(INDEX('SKU明细'!$D$11:$D$1309,MATCH("60516-TN-S-K-7",'SKU明细'!$A$11:$A$1309,0)))))</x:f>
        <x:v>0</x:v>
      </x:c>
      <x:c r="K169" s="36" t="str">
        <x:f>"—"</x:f>
        <x:v>—</x:v>
      </x:c>
      <x:c r="L169" s="36" t="n">
        <x:f>IF(COUNT(INDEX('SKU明细'!$D$11:$D$1309,MATCH("60516-TN-S-K-8",'SKU明细'!$A$11:$A$1309,0)))=0,"待核",IF(COUNT(INDEX('SKU明细'!$D$11:$D$1309,MATCH("60516-TN-S-K-8",'SKU明细'!$A$11:$A$1309,0)))&lt;1,SUM(INDEX('SKU明细'!$D$11:$D$1309,MATCH("60516-TN-S-K-8",'SKU明细'!$A$11:$A$1309,0)))&amp;" + 待核",SUM(INDEX('SKU明细'!$D$11:$D$1309,MATCH("60516-TN-S-K-8",'SKU明细'!$A$11:$A$1309,0)))))</x:f>
        <x:v>0</x:v>
      </x:c>
      <x:c r="M169" s="36" t="str">
        <x:f>"—"</x:f>
        <x:v>—</x:v>
      </x:c>
      <x:c r="N169" s="36" t="n">
        <x:f>IF(COUNT(INDEX('SKU明细'!$D$11:$D$1309,MATCH("60516-TN-S-K-9",'SKU明细'!$A$11:$A$1309,0)))=0,"待核",IF(COUNT(INDEX('SKU明细'!$D$11:$D$1309,MATCH("60516-TN-S-K-9",'SKU明细'!$A$11:$A$1309,0)))&lt;1,SUM(INDEX('SKU明细'!$D$11:$D$1309,MATCH("60516-TN-S-K-9",'SKU明细'!$A$11:$A$1309,0)))&amp;" + 待核",SUM(INDEX('SKU明细'!$D$11:$D$1309,MATCH("60516-TN-S-K-9",'SKU明细'!$A$11:$A$1309,0)))))</x:f>
        <x:v>0</x:v>
      </x:c>
      <x:c r="O169" s="36" t="str">
        <x:f>"—"</x:f>
        <x:v>—</x:v>
      </x:c>
      <x:c r="P169" s="36" t="n">
        <x:f>IF(COUNT(INDEX('SKU明细'!$D$11:$D$1309,MATCH("60516-TN-S-K-10",'SKU明细'!$A$11:$A$1309,0)))=0,"待核",IF(COUNT(INDEX('SKU明细'!$D$11:$D$1309,MATCH("60516-TN-S-K-10",'SKU明细'!$A$11:$A$1309,0)))&lt;1,SUM(INDEX('SKU明细'!$D$11:$D$1309,MATCH("60516-TN-S-K-10",'SKU明细'!$A$11:$A$1309,0)))&amp;" + 待核",SUM(INDEX('SKU明细'!$D$11:$D$1309,MATCH("60516-TN-S-K-10",'SKU明细'!$A$11:$A$1309,0)))))</x:f>
        <x:v>0</x:v>
      </x:c>
      <x:c r="Q169" s="36" t="str">
        <x:f>"—"</x:f>
        <x:v>—</x:v>
      </x:c>
      <x:c r="R169" s="36" t="n">
        <x:f>IF(COUNT(INDEX('SKU明细'!$D$11:$D$1309,MATCH("60516-TN-S-K-11",'SKU明细'!$A$11:$A$1309,0)))=0,"待核",IF(COUNT(INDEX('SKU明细'!$D$11:$D$1309,MATCH("60516-TN-S-K-11",'SKU明细'!$A$11:$A$1309,0)))&lt;1,SUM(INDEX('SKU明细'!$D$11:$D$1309,MATCH("60516-TN-S-K-11",'SKU明细'!$A$11:$A$1309,0)))&amp;" + 待核",SUM(INDEX('SKU明细'!$D$11:$D$1309,MATCH("60516-TN-S-K-11",'SKU明细'!$A$11:$A$1309,0)))))</x:f>
        <x:v>0</x:v>
      </x:c>
      <x:c r="S169" s="36" t="n">
        <x:f>IF(COUNT(INDEX('SKU明细'!$D$11:$D$1309,MATCH("60516-TN-S-K-6",'SKU明细'!$A$11:$A$1309,0)),INDEX('SKU明细'!$D$11:$D$1309,MATCH("60516-TN-S-K-7",'SKU明细'!$A$11:$A$1309,0)),INDEX('SKU明细'!$D$11:$D$1309,MATCH("60516-TN-S-K-8",'SKU明细'!$A$11:$A$1309,0)),INDEX('SKU明细'!$D$11:$D$1309,MATCH("60516-TN-S-K-9",'SKU明细'!$A$11:$A$1309,0)),INDEX('SKU明细'!$D$11:$D$1309,MATCH("60516-TN-S-K-10",'SKU明细'!$A$11:$A$1309,0)),INDEX('SKU明细'!$D$11:$D$1309,MATCH("60516-TN-S-K-11",'SKU明细'!$A$11:$A$1309,0)))=0,"待核",SUM(INDEX('SKU明细'!$D$11:$D$1309,MATCH("60516-TN-S-K-6",'SKU明细'!$A$11:$A$1309,0)),INDEX('SKU明细'!$D$11:$D$1309,MATCH("60516-TN-S-K-7",'SKU明细'!$A$11:$A$1309,0)),INDEX('SKU明细'!$D$11:$D$1309,MATCH("60516-TN-S-K-8",'SKU明细'!$A$11:$A$1309,0)),INDEX('SKU明细'!$D$11:$D$1309,MATCH("60516-TN-S-K-9",'SKU明细'!$A$11:$A$1309,0)),INDEX('SKU明细'!$D$11:$D$1309,MATCH("60516-TN-S-K-10",'SKU明细'!$A$11:$A$1309,0)),INDEX('SKU明细'!$D$11:$D$1309,MATCH("60516-TN-S-K-11",'SKU明细'!$A$11:$A$1309,0))))</x:f>
        <x:v>0</x:v>
      </x:c>
      <x:c r="T169" s="36" t="n">
        <x:f>IF(COUNTIFS($A$9:$A$191,A169,$U$9:$U$191,"&lt;&gt;待核")=0,"待核",SUMIF($A$9:$A$191,A169,$S$9:$S$191))</x:f>
        <x:v>121</x:v>
      </x:c>
      <x:c r="U169" s="35" t="str">
        <x:f>IF(COUNT(INDEX('SKU明细'!$D$11:$D$1309,MATCH("60516-TN-S-K-6",'SKU明细'!$A$11:$A$1309,0)),INDEX('SKU明细'!$D$11:$D$1309,MATCH("60516-TN-S-K-7",'SKU明细'!$A$11:$A$1309,0)),INDEX('SKU明细'!$D$11:$D$1309,MATCH("60516-TN-S-K-8",'SKU明细'!$A$11:$A$1309,0)),INDEX('SKU明细'!$D$11:$D$1309,MATCH("60516-TN-S-K-9",'SKU明细'!$A$11:$A$1309,0)),INDEX('SKU明细'!$D$11:$D$1309,MATCH("60516-TN-S-K-10",'SKU明细'!$A$11:$A$1309,0)),INDEX('SKU明细'!$D$11:$D$1309,MATCH("60516-TN-S-K-11",'SKU明细'!$A$11:$A$1309,0)))=0,"待核",IF(COUNT(INDEX('SKU明细'!$D$11:$D$1309,MATCH("60516-TN-S-K-6",'SKU明细'!$A$11:$A$1309,0)),INDEX('SKU明细'!$D$11:$D$1309,MATCH("60516-TN-S-K-7",'SKU明细'!$A$11:$A$1309,0)),INDEX('SKU明细'!$D$11:$D$1309,MATCH("60516-TN-S-K-8",'SKU明细'!$A$11:$A$1309,0)),INDEX('SKU明细'!$D$11:$D$1309,MATCH("60516-TN-S-K-9",'SKU明细'!$A$11:$A$1309,0)),INDEX('SKU明细'!$D$11:$D$1309,MATCH("60516-TN-S-K-10",'SKU明细'!$A$11:$A$1309,0)),INDEX('SKU明细'!$D$11:$D$1309,MATCH("60516-TN-S-K-11",'SKU明细'!$A$11:$A$1309,0)))&lt;6,"另有待核","已核"))</x:f>
        <x:v>已核</x:v>
      </x:c>
      <x:c r="V169" s="35" t="str">
        <x:v>停售</x:v>
      </x:c>
      <x:c r="W169" s="11" t="n">
        <x:f>IF(COUNT(INDEX('SKU明细'!$BV$11:$BV$1309,MATCH("60516-TN-S-K-6",'SKU明细'!$A$11:$A$1309,0)),INDEX('SKU明细'!$BV$11:$BV$1309,MATCH("60516-TN-S-K-7",'SKU明细'!$A$11:$A$1309,0)),INDEX('SKU明细'!$BV$11:$BV$1309,MATCH("60516-TN-S-K-8",'SKU明细'!$A$11:$A$1309,0)),INDEX('SKU明细'!$BV$11:$BV$1309,MATCH("60516-TN-S-K-9",'SKU明细'!$A$11:$A$1309,0)),INDEX('SKU明细'!$BV$11:$BV$1309,MATCH("60516-TN-S-K-10",'SKU明细'!$A$11:$A$1309,0)),INDEX('SKU明细'!$BV$11:$BV$1309,MATCH("60516-TN-S-K-11",'SKU明细'!$A$11:$A$1309,0)))=6,SUM(INDEX('SKU明细'!$BV$11:$BV$1309,MATCH("60516-TN-S-K-6",'SKU明细'!$A$11:$A$1309,0)),INDEX('SKU明细'!$BV$11:$BV$1309,MATCH("60516-TN-S-K-7",'SKU明细'!$A$11:$A$1309,0)),INDEX('SKU明细'!$BV$11:$BV$1309,MATCH("60516-TN-S-K-8",'SKU明细'!$A$11:$A$1309,0)),INDEX('SKU明细'!$BV$11:$BV$1309,MATCH("60516-TN-S-K-9",'SKU明细'!$A$11:$A$1309,0)),INDEX('SKU明细'!$BV$11:$BV$1309,MATCH("60516-TN-S-K-10",'SKU明细'!$A$11:$A$1309,0)),INDEX('SKU明细'!$BV$11:$BV$1309,MATCH("60516-TN-S-K-11",'SKU明细'!$A$11:$A$1309,0))),"待核")</x:f>
        <x:v>0</x:v>
      </x:c>
      <x:c r="X169" s="11" t="n">
        <x:f>INDEX('SKU明细'!$BW$11:$BW$1309,MATCH("60516-TN-S-K-6",'SKU明细'!$A$11:$A$1309,0))</x:f>
        <x:v>1.8609238953732312</x:v>
      </x:c>
      <x:c r="Y169" s="13" t="n">
        <x:f>IF(COUNT(INDEX('SKU明细'!$BY$11:$BY$1309,MATCH("60516-TN-S-K-6",'SKU明细'!$A$11:$A$1309,0)),INDEX('SKU明细'!$BY$11:$BY$1309,MATCH("60516-TN-S-K-7",'SKU明细'!$A$11:$A$1309,0)),INDEX('SKU明细'!$BY$11:$BY$1309,MATCH("60516-TN-S-K-8",'SKU明细'!$A$11:$A$1309,0)),INDEX('SKU明细'!$BY$11:$BY$1309,MATCH("60516-TN-S-K-9",'SKU明细'!$A$11:$A$1309,0)),INDEX('SKU明细'!$BY$11:$BY$1309,MATCH("60516-TN-S-K-10",'SKU明细'!$A$11:$A$1309,0)),INDEX('SKU明细'!$BY$11:$BY$1309,MATCH("60516-TN-S-K-11",'SKU明细'!$A$11:$A$1309,0)))=6,SUM(INDEX('SKU明细'!$BY$11:$BY$1309,MATCH("60516-TN-S-K-6",'SKU明细'!$A$11:$A$1309,0)),INDEX('SKU明细'!$BY$11:$BY$1309,MATCH("60516-TN-S-K-7",'SKU明细'!$A$11:$A$1309,0)),INDEX('SKU明细'!$BY$11:$BY$1309,MATCH("60516-TN-S-K-8",'SKU明细'!$A$11:$A$1309,0)),INDEX('SKU明细'!$BY$11:$BY$1309,MATCH("60516-TN-S-K-9",'SKU明细'!$A$11:$A$1309,0)),INDEX('SKU明细'!$BY$11:$BY$1309,MATCH("60516-TN-S-K-10",'SKU明细'!$A$11:$A$1309,0)),INDEX('SKU明细'!$BY$11:$BY$1309,MATCH("60516-TN-S-K-11",'SKU明细'!$A$11:$A$1309,0))),"待核")</x:f>
        <x:v>0</x:v>
      </x:c>
      <x:c r="Z169" s="11" t="n">
        <x:f>INDEX('SKU明细'!$BZ$11:$BZ$1309,MATCH("60516-TN-S-K-6",'SKU明细'!$A$11:$A$1309,0))</x:f>
        <x:v>1.438375649833085</x:v>
      </x:c>
      <x:c r="AA169" s="13" t="n">
        <x:f>IF(COUNT(INDEX('SKU明细'!$CB$11:$CB$1309,MATCH("60516-TN-S-K-6",'SKU明细'!$A$11:$A$1309,0)),INDEX('SKU明细'!$CB$11:$CB$1309,MATCH("60516-TN-S-K-7",'SKU明细'!$A$11:$A$1309,0)),INDEX('SKU明细'!$CB$11:$CB$1309,MATCH("60516-TN-S-K-8",'SKU明细'!$A$11:$A$1309,0)),INDEX('SKU明细'!$CB$11:$CB$1309,MATCH("60516-TN-S-K-9",'SKU明细'!$A$11:$A$1309,0)),INDEX('SKU明细'!$CB$11:$CB$1309,MATCH("60516-TN-S-K-10",'SKU明细'!$A$11:$A$1309,0)),INDEX('SKU明细'!$CB$11:$CB$1309,MATCH("60516-TN-S-K-11",'SKU明细'!$A$11:$A$1309,0)))=6,SUM(INDEX('SKU明细'!$CB$11:$CB$1309,MATCH("60516-TN-S-K-6",'SKU明细'!$A$11:$A$1309,0)),INDEX('SKU明细'!$CB$11:$CB$1309,MATCH("60516-TN-S-K-7",'SKU明细'!$A$11:$A$1309,0)),INDEX('SKU明细'!$CB$11:$CB$1309,MATCH("60516-TN-S-K-8",'SKU明细'!$A$11:$A$1309,0)),INDEX('SKU明细'!$CB$11:$CB$1309,MATCH("60516-TN-S-K-9",'SKU明细'!$A$11:$A$1309,0)),INDEX('SKU明细'!$CB$11:$CB$1309,MATCH("60516-TN-S-K-10",'SKU明细'!$A$11:$A$1309,0)),INDEX('SKU明细'!$CB$11:$CB$1309,MATCH("60516-TN-S-K-11",'SKU明细'!$A$11:$A$1309,0))),"待核")</x:f>
        <x:v>0</x:v>
      </x:c>
      <x:c r="AB169" s="11" t="n">
        <x:f>INDEX('SKU明细'!$CC$11:$CC$1309,MATCH("60516-TN-S-K-6",'SKU明细'!$A$11:$A$1309,0))</x:f>
        <x:v>0.9519742599124907</x:v>
      </x:c>
      <x:c r="AC169" s="13" t="n">
        <x:f>IF(COUNT(INDEX('SKU明细'!$CE$11:$CE$1309,MATCH("60516-TN-S-K-6",'SKU明细'!$A$11:$A$1309,0)),INDEX('SKU明细'!$CE$11:$CE$1309,MATCH("60516-TN-S-K-7",'SKU明细'!$A$11:$A$1309,0)),INDEX('SKU明细'!$CE$11:$CE$1309,MATCH("60516-TN-S-K-8",'SKU明细'!$A$11:$A$1309,0)),INDEX('SKU明细'!$CE$11:$CE$1309,MATCH("60516-TN-S-K-9",'SKU明细'!$A$11:$A$1309,0)),INDEX('SKU明细'!$CE$11:$CE$1309,MATCH("60516-TN-S-K-10",'SKU明细'!$A$11:$A$1309,0)),INDEX('SKU明细'!$CE$11:$CE$1309,MATCH("60516-TN-S-K-11",'SKU明细'!$A$11:$A$1309,0)))=6,SUM(INDEX('SKU明细'!$CE$11:$CE$1309,MATCH("60516-TN-S-K-6",'SKU明细'!$A$11:$A$1309,0)),INDEX('SKU明细'!$CE$11:$CE$1309,MATCH("60516-TN-S-K-7",'SKU明细'!$A$11:$A$1309,0)),INDEX('SKU明细'!$CE$11:$CE$1309,MATCH("60516-TN-S-K-8",'SKU明细'!$A$11:$A$1309,0)),INDEX('SKU明细'!$CE$11:$CE$1309,MATCH("60516-TN-S-K-9",'SKU明细'!$A$11:$A$1309,0)),INDEX('SKU明细'!$CE$11:$CE$1309,MATCH("60516-TN-S-K-10",'SKU明细'!$A$11:$A$1309,0)),INDEX('SKU明细'!$CE$11:$CE$1309,MATCH("60516-TN-S-K-11",'SKU明细'!$A$11:$A$1309,0))),"待核")</x:f>
        <x:v>0</x:v>
      </x:c>
      <x:c r="AD169" s="11" t="n">
        <x:f>INDEX('SKU明细'!$CF$11:$CF$1309,MATCH("60516-TN-S-K-6",'SKU明细'!$A$11:$A$1309,0))</x:f>
        <x:v>0.8673021058229575</x:v>
      </x:c>
      <x:c r="AE169" s="13" t="n">
        <x:f>IF(COUNT(INDEX('SKU明细'!$CH$11:$CH$1309,MATCH("60516-TN-S-K-6",'SKU明细'!$A$11:$A$1309,0)),INDEX('SKU明细'!$CH$11:$CH$1309,MATCH("60516-TN-S-K-7",'SKU明细'!$A$11:$A$1309,0)),INDEX('SKU明细'!$CH$11:$CH$1309,MATCH("60516-TN-S-K-8",'SKU明细'!$A$11:$A$1309,0)),INDEX('SKU明细'!$CH$11:$CH$1309,MATCH("60516-TN-S-K-9",'SKU明细'!$A$11:$A$1309,0)),INDEX('SKU明细'!$CH$11:$CH$1309,MATCH("60516-TN-S-K-10",'SKU明细'!$A$11:$A$1309,0)),INDEX('SKU明细'!$CH$11:$CH$1309,MATCH("60516-TN-S-K-11",'SKU明细'!$A$11:$A$1309,0)))=6,SUM(INDEX('SKU明细'!$CH$11:$CH$1309,MATCH("60516-TN-S-K-6",'SKU明细'!$A$11:$A$1309,0)),INDEX('SKU明细'!$CH$11:$CH$1309,MATCH("60516-TN-S-K-7",'SKU明细'!$A$11:$A$1309,0)),INDEX('SKU明细'!$CH$11:$CH$1309,MATCH("60516-TN-S-K-8",'SKU明细'!$A$11:$A$1309,0)),INDEX('SKU明细'!$CH$11:$CH$1309,MATCH("60516-TN-S-K-9",'SKU明细'!$A$11:$A$1309,0)),INDEX('SKU明细'!$CH$11:$CH$1309,MATCH("60516-TN-S-K-10",'SKU明细'!$A$11:$A$1309,0)),INDEX('SKU明细'!$CH$11:$CH$1309,MATCH("60516-TN-S-K-11",'SKU明细'!$A$11:$A$1309,0))),"待核")</x:f>
        <x:v>0</x:v>
      </x:c>
      <x:c r="AF169" s="13" t="n">
        <x:f>IF(COUNT(INDEX('SKU明细'!$CI$11:$CI$1309,MATCH("60516-TN-S-K-6",'SKU明细'!$A$11:$A$1309,0)),INDEX('SKU明细'!$CI$11:$CI$1309,MATCH("60516-TN-S-K-7",'SKU明细'!$A$11:$A$1309,0)),INDEX('SKU明细'!$CI$11:$CI$1309,MATCH("60516-TN-S-K-8",'SKU明细'!$A$11:$A$1309,0)),INDEX('SKU明细'!$CI$11:$CI$1309,MATCH("60516-TN-S-K-9",'SKU明细'!$A$11:$A$1309,0)),INDEX('SKU明细'!$CI$11:$CI$1309,MATCH("60516-TN-S-K-10",'SKU明细'!$A$11:$A$1309,0)),INDEX('SKU明细'!$CI$11:$CI$1309,MATCH("60516-TN-S-K-11",'SKU明细'!$A$11:$A$1309,0)))=6,SUM(INDEX('SKU明细'!$CI$11:$CI$1309,MATCH("60516-TN-S-K-6",'SKU明细'!$A$11:$A$1309,0)),INDEX('SKU明细'!$CI$11:$CI$1309,MATCH("60516-TN-S-K-7",'SKU明细'!$A$11:$A$1309,0)),INDEX('SKU明细'!$CI$11:$CI$1309,MATCH("60516-TN-S-K-8",'SKU明细'!$A$11:$A$1309,0)),INDEX('SKU明细'!$CI$11:$CI$1309,MATCH("60516-TN-S-K-9",'SKU明细'!$A$11:$A$1309,0)),INDEX('SKU明细'!$CI$11:$CI$1309,MATCH("60516-TN-S-K-10",'SKU明细'!$A$11:$A$1309,0)),INDEX('SKU明细'!$CI$11:$CI$1309,MATCH("60516-TN-S-K-11",'SKU明细'!$A$11:$A$1309,0))),"待核")</x:f>
        <x:v>0</x:v>
      </x:c>
    </x:row>
    <x:row r="170" ht="40" customHeight="1">
      <x:c r="A170" s="35" t="str">
        <x:v>60516</x:v>
      </x:c>
      <x:c r="B170" s="35" t="str">
        <x:v>徐新怡</x:v>
      </x:c>
      <x:c r="C170" s="35" t="str">
        <x:v>驼色</x:v>
      </x:c>
      <x:c r="D170" s="35" t="str">
        <x:v>TN-S-K</x:v>
      </x:c>
      <x:c r="E170" s="35" t="str">
        <x:v>60516-TN-S-K</x:v>
      </x:c>
      <x:c r="F170" s="35"/>
      <x:c r="G170" s="36" t="str">
        <x:f>"—"</x:f>
        <x:v>—</x:v>
      </x:c>
      <x:c r="H170" s="36" t="str">
        <x:f>"—"</x:f>
        <x:v>—</x:v>
      </x:c>
      <x:c r="I170" s="36" t="n">
        <x:f>IF(COUNT(INDEX('SKU明细'!$D$11:$D$1309,MATCH("60516-TN-S-K-6.5",'SKU明细'!$A$11:$A$1309,0)))=0,"待核",IF(COUNT(INDEX('SKU明细'!$D$11:$D$1309,MATCH("60516-TN-S-K-6.5",'SKU明细'!$A$11:$A$1309,0)))&lt;1,SUM(INDEX('SKU明细'!$D$11:$D$1309,MATCH("60516-TN-S-K-6.5",'SKU明细'!$A$11:$A$1309,0)))&amp;" + 待核",SUM(INDEX('SKU明细'!$D$11:$D$1309,MATCH("60516-TN-S-K-6.5",'SKU明细'!$A$11:$A$1309,0)))))</x:f>
        <x:v>0</x:v>
      </x:c>
      <x:c r="J170" s="36" t="str">
        <x:f>"—"</x:f>
        <x:v>—</x:v>
      </x:c>
      <x:c r="K170" s="36" t="n">
        <x:f>IF(COUNT(INDEX('SKU明细'!$D$11:$D$1309,MATCH("60516-TN-S-K-7.5",'SKU明细'!$A$11:$A$1309,0)))=0,"待核",IF(COUNT(INDEX('SKU明细'!$D$11:$D$1309,MATCH("60516-TN-S-K-7.5",'SKU明细'!$A$11:$A$1309,0)))&lt;1,SUM(INDEX('SKU明细'!$D$11:$D$1309,MATCH("60516-TN-S-K-7.5",'SKU明细'!$A$11:$A$1309,0)))&amp;" + 待核",SUM(INDEX('SKU明细'!$D$11:$D$1309,MATCH("60516-TN-S-K-7.5",'SKU明细'!$A$11:$A$1309,0)))))</x:f>
        <x:v>0</x:v>
      </x:c>
      <x:c r="L170" s="36" t="str">
        <x:f>"—"</x:f>
        <x:v>—</x:v>
      </x:c>
      <x:c r="M170" s="36" t="n">
        <x:f>IF(COUNT(INDEX('SKU明细'!$D$11:$D$1309,MATCH("60516-TN-S-K-8.5",'SKU明细'!$A$11:$A$1309,0)))=0,"待核",IF(COUNT(INDEX('SKU明细'!$D$11:$D$1309,MATCH("60516-TN-S-K-8.5",'SKU明细'!$A$11:$A$1309,0)))&lt;1,SUM(INDEX('SKU明细'!$D$11:$D$1309,MATCH("60516-TN-S-K-8.5",'SKU明细'!$A$11:$A$1309,0)))&amp;" + 待核",SUM(INDEX('SKU明细'!$D$11:$D$1309,MATCH("60516-TN-S-K-8.5",'SKU明细'!$A$11:$A$1309,0)))))</x:f>
        <x:v>0</x:v>
      </x:c>
      <x:c r="N170" s="36" t="str">
        <x:f>"—"</x:f>
        <x:v>—</x:v>
      </x:c>
      <x:c r="O170" s="36" t="n">
        <x:f>IF(COUNT(INDEX('SKU明细'!$D$11:$D$1309,MATCH("60516-TN-S-K-9.5",'SKU明细'!$A$11:$A$1309,0)))=0,"待核",IF(COUNT(INDEX('SKU明细'!$D$11:$D$1309,MATCH("60516-TN-S-K-9.5",'SKU明细'!$A$11:$A$1309,0)))&lt;1,SUM(INDEX('SKU明细'!$D$11:$D$1309,MATCH("60516-TN-S-K-9.5",'SKU明细'!$A$11:$A$1309,0)))&amp;" + 待核",SUM(INDEX('SKU明细'!$D$11:$D$1309,MATCH("60516-TN-S-K-9.5",'SKU明细'!$A$11:$A$1309,0)))))</x:f>
        <x:v>0</x:v>
      </x:c>
      <x:c r="P170" s="36" t="str">
        <x:f>"—"</x:f>
        <x:v>—</x:v>
      </x:c>
      <x:c r="Q170" s="36" t="n">
        <x:f>IF(COUNT(INDEX('SKU明细'!$D$11:$D$1309,MATCH("60516-TN-S-K-10.5",'SKU明细'!$A$11:$A$1309,0)))=0,"待核",IF(COUNT(INDEX('SKU明细'!$D$11:$D$1309,MATCH("60516-TN-S-K-10.5",'SKU明细'!$A$11:$A$1309,0)))&lt;1,SUM(INDEX('SKU明细'!$D$11:$D$1309,MATCH("60516-TN-S-K-10.5",'SKU明细'!$A$11:$A$1309,0)))&amp;" + 待核",SUM(INDEX('SKU明细'!$D$11:$D$1309,MATCH("60516-TN-S-K-10.5",'SKU明细'!$A$11:$A$1309,0)))))</x:f>
        <x:v>0</x:v>
      </x:c>
      <x:c r="R170" s="36" t="str">
        <x:f>"—"</x:f>
        <x:v>—</x:v>
      </x:c>
      <x:c r="S170" s="36" t="n">
        <x:f>IF(COUNT(INDEX('SKU明细'!$D$11:$D$1309,MATCH("60516-TN-S-K-6.5",'SKU明细'!$A$11:$A$1309,0)),INDEX('SKU明细'!$D$11:$D$1309,MATCH("60516-TN-S-K-7.5",'SKU明细'!$A$11:$A$1309,0)),INDEX('SKU明细'!$D$11:$D$1309,MATCH("60516-TN-S-K-8.5",'SKU明细'!$A$11:$A$1309,0)),INDEX('SKU明细'!$D$11:$D$1309,MATCH("60516-TN-S-K-9.5",'SKU明细'!$A$11:$A$1309,0)),INDEX('SKU明细'!$D$11:$D$1309,MATCH("60516-TN-S-K-10.5",'SKU明细'!$A$11:$A$1309,0)))=0,"待核",SUM(INDEX('SKU明细'!$D$11:$D$1309,MATCH("60516-TN-S-K-6.5",'SKU明细'!$A$11:$A$1309,0)),INDEX('SKU明细'!$D$11:$D$1309,MATCH("60516-TN-S-K-7.5",'SKU明细'!$A$11:$A$1309,0)),INDEX('SKU明细'!$D$11:$D$1309,MATCH("60516-TN-S-K-8.5",'SKU明细'!$A$11:$A$1309,0)),INDEX('SKU明细'!$D$11:$D$1309,MATCH("60516-TN-S-K-9.5",'SKU明细'!$A$11:$A$1309,0)),INDEX('SKU明细'!$D$11:$D$1309,MATCH("60516-TN-S-K-10.5",'SKU明细'!$A$11:$A$1309,0))))</x:f>
        <x:v>0</x:v>
      </x:c>
      <x:c r="T170" s="36" t="n">
        <x:f>IF(COUNTIFS($A$9:$A$191,A170,$U$9:$U$191,"&lt;&gt;待核")=0,"待核",SUMIF($A$9:$A$191,A170,$S$9:$S$191))</x:f>
        <x:v>121</x:v>
      </x:c>
      <x:c r="U170" s="35" t="str">
        <x:f>IF(COUNT(INDEX('SKU明细'!$D$11:$D$1309,MATCH("60516-TN-S-K-6.5",'SKU明细'!$A$11:$A$1309,0)),INDEX('SKU明细'!$D$11:$D$1309,MATCH("60516-TN-S-K-7.5",'SKU明细'!$A$11:$A$1309,0)),INDEX('SKU明细'!$D$11:$D$1309,MATCH("60516-TN-S-K-8.5",'SKU明细'!$A$11:$A$1309,0)),INDEX('SKU明细'!$D$11:$D$1309,MATCH("60516-TN-S-K-9.5",'SKU明细'!$A$11:$A$1309,0)),INDEX('SKU明细'!$D$11:$D$1309,MATCH("60516-TN-S-K-10.5",'SKU明细'!$A$11:$A$1309,0)))=0,"待核",IF(COUNT(INDEX('SKU明细'!$D$11:$D$1309,MATCH("60516-TN-S-K-6.5",'SKU明细'!$A$11:$A$1309,0)),INDEX('SKU明细'!$D$11:$D$1309,MATCH("60516-TN-S-K-7.5",'SKU明细'!$A$11:$A$1309,0)),INDEX('SKU明细'!$D$11:$D$1309,MATCH("60516-TN-S-K-8.5",'SKU明细'!$A$11:$A$1309,0)),INDEX('SKU明细'!$D$11:$D$1309,MATCH("60516-TN-S-K-9.5",'SKU明细'!$A$11:$A$1309,0)),INDEX('SKU明细'!$D$11:$D$1309,MATCH("60516-TN-S-K-10.5",'SKU明细'!$A$11:$A$1309,0)))&lt;5,"另有待核","已核"))</x:f>
        <x:v>已核</x:v>
      </x:c>
      <x:c r="V170" s="35" t="str">
        <x:v>停售</x:v>
      </x:c>
      <x:c r="W170" s="11" t="n">
        <x:f>IF(COUNT(INDEX('SKU明细'!$BV$11:$BV$1309,MATCH("60516-TN-S-K-6.5",'SKU明细'!$A$11:$A$1309,0)),INDEX('SKU明细'!$BV$11:$BV$1309,MATCH("60516-TN-S-K-7.5",'SKU明细'!$A$11:$A$1309,0)),INDEX('SKU明细'!$BV$11:$BV$1309,MATCH("60516-TN-S-K-8.5",'SKU明细'!$A$11:$A$1309,0)),INDEX('SKU明细'!$BV$11:$BV$1309,MATCH("60516-TN-S-K-9.5",'SKU明细'!$A$11:$A$1309,0)),INDEX('SKU明细'!$BV$11:$BV$1309,MATCH("60516-TN-S-K-10.5",'SKU明细'!$A$11:$A$1309,0)))=5,SUM(INDEX('SKU明细'!$BV$11:$BV$1309,MATCH("60516-TN-S-K-6.5",'SKU明细'!$A$11:$A$1309,0)),INDEX('SKU明细'!$BV$11:$BV$1309,MATCH("60516-TN-S-K-7.5",'SKU明细'!$A$11:$A$1309,0)),INDEX('SKU明细'!$BV$11:$BV$1309,MATCH("60516-TN-S-K-8.5",'SKU明细'!$A$11:$A$1309,0)),INDEX('SKU明细'!$BV$11:$BV$1309,MATCH("60516-TN-S-K-9.5",'SKU明细'!$A$11:$A$1309,0)),INDEX('SKU明细'!$BV$11:$BV$1309,MATCH("60516-TN-S-K-10.5",'SKU明细'!$A$11:$A$1309,0))),"待核")</x:f>
        <x:v>0</x:v>
      </x:c>
      <x:c r="X170" s="11" t="n">
        <x:f>INDEX('SKU明细'!$BW$11:$BW$1309,MATCH("60516-TN-S-K-6.5",'SKU明细'!$A$11:$A$1309,0))</x:f>
        <x:v>1.8609238953732312</x:v>
      </x:c>
      <x:c r="Y170" s="13" t="n">
        <x:f>IF(COUNT(INDEX('SKU明细'!$BY$11:$BY$1309,MATCH("60516-TN-S-K-6.5",'SKU明细'!$A$11:$A$1309,0)),INDEX('SKU明细'!$BY$11:$BY$1309,MATCH("60516-TN-S-K-7.5",'SKU明细'!$A$11:$A$1309,0)),INDEX('SKU明细'!$BY$11:$BY$1309,MATCH("60516-TN-S-K-8.5",'SKU明细'!$A$11:$A$1309,0)),INDEX('SKU明细'!$BY$11:$BY$1309,MATCH("60516-TN-S-K-9.5",'SKU明细'!$A$11:$A$1309,0)),INDEX('SKU明细'!$BY$11:$BY$1309,MATCH("60516-TN-S-K-10.5",'SKU明细'!$A$11:$A$1309,0)))=5,SUM(INDEX('SKU明细'!$BY$11:$BY$1309,MATCH("60516-TN-S-K-6.5",'SKU明细'!$A$11:$A$1309,0)),INDEX('SKU明细'!$BY$11:$BY$1309,MATCH("60516-TN-S-K-7.5",'SKU明细'!$A$11:$A$1309,0)),INDEX('SKU明细'!$BY$11:$BY$1309,MATCH("60516-TN-S-K-8.5",'SKU明细'!$A$11:$A$1309,0)),INDEX('SKU明细'!$BY$11:$BY$1309,MATCH("60516-TN-S-K-9.5",'SKU明细'!$A$11:$A$1309,0)),INDEX('SKU明细'!$BY$11:$BY$1309,MATCH("60516-TN-S-K-10.5",'SKU明细'!$A$11:$A$1309,0))),"待核")</x:f>
        <x:v>0</x:v>
      </x:c>
      <x:c r="Z170" s="11" t="n">
        <x:f>INDEX('SKU明细'!$BZ$11:$BZ$1309,MATCH("60516-TN-S-K-6.5",'SKU明细'!$A$11:$A$1309,0))</x:f>
        <x:v>1.438375649833085</x:v>
      </x:c>
      <x:c r="AA170" s="13" t="n">
        <x:f>IF(COUNT(INDEX('SKU明细'!$CB$11:$CB$1309,MATCH("60516-TN-S-K-6.5",'SKU明细'!$A$11:$A$1309,0)),INDEX('SKU明细'!$CB$11:$CB$1309,MATCH("60516-TN-S-K-7.5",'SKU明细'!$A$11:$A$1309,0)),INDEX('SKU明细'!$CB$11:$CB$1309,MATCH("60516-TN-S-K-8.5",'SKU明细'!$A$11:$A$1309,0)),INDEX('SKU明细'!$CB$11:$CB$1309,MATCH("60516-TN-S-K-9.5",'SKU明细'!$A$11:$A$1309,0)),INDEX('SKU明细'!$CB$11:$CB$1309,MATCH("60516-TN-S-K-10.5",'SKU明细'!$A$11:$A$1309,0)))=5,SUM(INDEX('SKU明细'!$CB$11:$CB$1309,MATCH("60516-TN-S-K-6.5",'SKU明细'!$A$11:$A$1309,0)),INDEX('SKU明细'!$CB$11:$CB$1309,MATCH("60516-TN-S-K-7.5",'SKU明细'!$A$11:$A$1309,0)),INDEX('SKU明细'!$CB$11:$CB$1309,MATCH("60516-TN-S-K-8.5",'SKU明细'!$A$11:$A$1309,0)),INDEX('SKU明细'!$CB$11:$CB$1309,MATCH("60516-TN-S-K-9.5",'SKU明细'!$A$11:$A$1309,0)),INDEX('SKU明细'!$CB$11:$CB$1309,MATCH("60516-TN-S-K-10.5",'SKU明细'!$A$11:$A$1309,0))),"待核")</x:f>
        <x:v>0</x:v>
      </x:c>
      <x:c r="AB170" s="11" t="n">
        <x:f>INDEX('SKU明细'!$CC$11:$CC$1309,MATCH("60516-TN-S-K-6.5",'SKU明细'!$A$11:$A$1309,0))</x:f>
        <x:v>0.9519742599124907</x:v>
      </x:c>
      <x:c r="AC170" s="13" t="n">
        <x:f>IF(COUNT(INDEX('SKU明细'!$CE$11:$CE$1309,MATCH("60516-TN-S-K-6.5",'SKU明细'!$A$11:$A$1309,0)),INDEX('SKU明细'!$CE$11:$CE$1309,MATCH("60516-TN-S-K-7.5",'SKU明细'!$A$11:$A$1309,0)),INDEX('SKU明细'!$CE$11:$CE$1309,MATCH("60516-TN-S-K-8.5",'SKU明细'!$A$11:$A$1309,0)),INDEX('SKU明细'!$CE$11:$CE$1309,MATCH("60516-TN-S-K-9.5",'SKU明细'!$A$11:$A$1309,0)),INDEX('SKU明细'!$CE$11:$CE$1309,MATCH("60516-TN-S-K-10.5",'SKU明细'!$A$11:$A$1309,0)))=5,SUM(INDEX('SKU明细'!$CE$11:$CE$1309,MATCH("60516-TN-S-K-6.5",'SKU明细'!$A$11:$A$1309,0)),INDEX('SKU明细'!$CE$11:$CE$1309,MATCH("60516-TN-S-K-7.5",'SKU明细'!$A$11:$A$1309,0)),INDEX('SKU明细'!$CE$11:$CE$1309,MATCH("60516-TN-S-K-8.5",'SKU明细'!$A$11:$A$1309,0)),INDEX('SKU明细'!$CE$11:$CE$1309,MATCH("60516-TN-S-K-9.5",'SKU明细'!$A$11:$A$1309,0)),INDEX('SKU明细'!$CE$11:$CE$1309,MATCH("60516-TN-S-K-10.5",'SKU明细'!$A$11:$A$1309,0))),"待核")</x:f>
        <x:v>0</x:v>
      </x:c>
      <x:c r="AD170" s="11" t="n">
        <x:f>INDEX('SKU明细'!$CF$11:$CF$1309,MATCH("60516-TN-S-K-6.5",'SKU明细'!$A$11:$A$1309,0))</x:f>
        <x:v>0.8673021058229575</x:v>
      </x:c>
      <x:c r="AE170" s="13" t="n">
        <x:f>IF(COUNT(INDEX('SKU明细'!$CH$11:$CH$1309,MATCH("60516-TN-S-K-6.5",'SKU明细'!$A$11:$A$1309,0)),INDEX('SKU明细'!$CH$11:$CH$1309,MATCH("60516-TN-S-K-7.5",'SKU明细'!$A$11:$A$1309,0)),INDEX('SKU明细'!$CH$11:$CH$1309,MATCH("60516-TN-S-K-8.5",'SKU明细'!$A$11:$A$1309,0)),INDEX('SKU明细'!$CH$11:$CH$1309,MATCH("60516-TN-S-K-9.5",'SKU明细'!$A$11:$A$1309,0)),INDEX('SKU明细'!$CH$11:$CH$1309,MATCH("60516-TN-S-K-10.5",'SKU明细'!$A$11:$A$1309,0)))=5,SUM(INDEX('SKU明细'!$CH$11:$CH$1309,MATCH("60516-TN-S-K-6.5",'SKU明细'!$A$11:$A$1309,0)),INDEX('SKU明细'!$CH$11:$CH$1309,MATCH("60516-TN-S-K-7.5",'SKU明细'!$A$11:$A$1309,0)),INDEX('SKU明细'!$CH$11:$CH$1309,MATCH("60516-TN-S-K-8.5",'SKU明细'!$A$11:$A$1309,0)),INDEX('SKU明细'!$CH$11:$CH$1309,MATCH("60516-TN-S-K-9.5",'SKU明细'!$A$11:$A$1309,0)),INDEX('SKU明细'!$CH$11:$CH$1309,MATCH("60516-TN-S-K-10.5",'SKU明细'!$A$11:$A$1309,0))),"待核")</x:f>
        <x:v>0</x:v>
      </x:c>
      <x:c r="AF170" s="13" t="n">
        <x:f>IF(COUNT(INDEX('SKU明细'!$CI$11:$CI$1309,MATCH("60516-TN-S-K-6.5",'SKU明细'!$A$11:$A$1309,0)),INDEX('SKU明细'!$CI$11:$CI$1309,MATCH("60516-TN-S-K-7.5",'SKU明细'!$A$11:$A$1309,0)),INDEX('SKU明细'!$CI$11:$CI$1309,MATCH("60516-TN-S-K-8.5",'SKU明细'!$A$11:$A$1309,0)),INDEX('SKU明细'!$CI$11:$CI$1309,MATCH("60516-TN-S-K-9.5",'SKU明细'!$A$11:$A$1309,0)),INDEX('SKU明细'!$CI$11:$CI$1309,MATCH("60516-TN-S-K-10.5",'SKU明细'!$A$11:$A$1309,0)))=5,SUM(INDEX('SKU明细'!$CI$11:$CI$1309,MATCH("60516-TN-S-K-6.5",'SKU明细'!$A$11:$A$1309,0)),INDEX('SKU明细'!$CI$11:$CI$1309,MATCH("60516-TN-S-K-7.5",'SKU明细'!$A$11:$A$1309,0)),INDEX('SKU明细'!$CI$11:$CI$1309,MATCH("60516-TN-S-K-8.5",'SKU明细'!$A$11:$A$1309,0)),INDEX('SKU明细'!$CI$11:$CI$1309,MATCH("60516-TN-S-K-9.5",'SKU明细'!$A$11:$A$1309,0)),INDEX('SKU明细'!$CI$11:$CI$1309,MATCH("60516-TN-S-K-10.5",'SKU明细'!$A$11:$A$1309,0))),"待核")</x:f>
        <x:v>0</x:v>
      </x:c>
    </x:row>
    <x:row r="171" ht="40" customHeight="1">
      <x:c r="A171" s="37" t="str">
        <x:v>230918</x:v>
      </x:c>
      <x:c r="B171" s="37" t="str">
        <x:v>艾年</x:v>
      </x:c>
      <x:c r="C171" s="37" t="str">
        <x:v>黑色PU</x:v>
      </x:c>
      <x:c r="D171" s="37" t="str">
        <x:v>BK-P</x:v>
      </x:c>
      <x:c r="E171" s="37" t="str">
        <x:v>230918-BK-P-Z</x:v>
      </x:c>
      <x:c r="F171" s="37"/>
      <x:c r="G171" s="38" t="str">
        <x:f>"—"</x:f>
        <x:v>—</x:v>
      </x:c>
      <x:c r="H171" s="38" t="n">
        <x:f>IF(COUNT(INDEX('SKU明细'!$D$11:$D$1309,MATCH("230918-BK-P-Z-6",'SKU明细'!$A$11:$A$1309,0)))=0,"待核",IF(COUNT(INDEX('SKU明细'!$D$11:$D$1309,MATCH("230918-BK-P-Z-6",'SKU明细'!$A$11:$A$1309,0)))&lt;1,SUM(INDEX('SKU明细'!$D$11:$D$1309,MATCH("230918-BK-P-Z-6",'SKU明细'!$A$11:$A$1309,0)))&amp;" + 待核",SUM(INDEX('SKU明细'!$D$11:$D$1309,MATCH("230918-BK-P-Z-6",'SKU明细'!$A$11:$A$1309,0)))))</x:f>
        <x:v>0</x:v>
      </x:c>
      <x:c r="I171" s="38" t="str">
        <x:f>"—"</x:f>
        <x:v>—</x:v>
      </x:c>
      <x:c r="J171" s="38" t="n">
        <x:f>IF(COUNT(INDEX('SKU明细'!$D$11:$D$1309,MATCH("230918-BK-P-Z-7",'SKU明细'!$A$11:$A$1309,0)))=0,"待核",IF(COUNT(INDEX('SKU明细'!$D$11:$D$1309,MATCH("230918-BK-P-Z-7",'SKU明细'!$A$11:$A$1309,0)))&lt;1,SUM(INDEX('SKU明细'!$D$11:$D$1309,MATCH("230918-BK-P-Z-7",'SKU明细'!$A$11:$A$1309,0)))&amp;" + 待核",SUM(INDEX('SKU明细'!$D$11:$D$1309,MATCH("230918-BK-P-Z-7",'SKU明细'!$A$11:$A$1309,0)))))</x:f>
        <x:v>0</x:v>
      </x:c>
      <x:c r="K171" s="38" t="str">
        <x:f>"—"</x:f>
        <x:v>—</x:v>
      </x:c>
      <x:c r="L171" s="38" t="n">
        <x:f>IF(COUNT(INDEX('SKU明细'!$D$11:$D$1309,MATCH("230918-BK-P-Z-8",'SKU明细'!$A$11:$A$1309,0)))=0,"待核",IF(COUNT(INDEX('SKU明细'!$D$11:$D$1309,MATCH("230918-BK-P-Z-8",'SKU明细'!$A$11:$A$1309,0)))&lt;1,SUM(INDEX('SKU明细'!$D$11:$D$1309,MATCH("230918-BK-P-Z-8",'SKU明细'!$A$11:$A$1309,0)))&amp;" + 待核",SUM(INDEX('SKU明细'!$D$11:$D$1309,MATCH("230918-BK-P-Z-8",'SKU明细'!$A$11:$A$1309,0)))))</x:f>
        <x:v>0</x:v>
      </x:c>
      <x:c r="M171" s="38" t="str">
        <x:f>"—"</x:f>
        <x:v>—</x:v>
      </x:c>
      <x:c r="N171" s="38" t="n">
        <x:f>IF(COUNT(INDEX('SKU明细'!$D$11:$D$1309,MATCH("230918-BK-P-Z-9",'SKU明细'!$A$11:$A$1309,0)))=0,"待核",IF(COUNT(INDEX('SKU明细'!$D$11:$D$1309,MATCH("230918-BK-P-Z-9",'SKU明细'!$A$11:$A$1309,0)))&lt;1,SUM(INDEX('SKU明细'!$D$11:$D$1309,MATCH("230918-BK-P-Z-9",'SKU明细'!$A$11:$A$1309,0)))&amp;" + 待核",SUM(INDEX('SKU明细'!$D$11:$D$1309,MATCH("230918-BK-P-Z-9",'SKU明细'!$A$11:$A$1309,0)))))</x:f>
        <x:v>22</x:v>
      </x:c>
      <x:c r="O171" s="38" t="str">
        <x:f>"—"</x:f>
        <x:v>—</x:v>
      </x:c>
      <x:c r="P171" s="38" t="n">
        <x:f>IF(COUNT(INDEX('SKU明细'!$D$11:$D$1309,MATCH("230918-BK-P-Z-10",'SKU明细'!$A$11:$A$1309,0)))=0,"待核",IF(COUNT(INDEX('SKU明细'!$D$11:$D$1309,MATCH("230918-BK-P-Z-10",'SKU明细'!$A$11:$A$1309,0)))&lt;1,SUM(INDEX('SKU明细'!$D$11:$D$1309,MATCH("230918-BK-P-Z-10",'SKU明细'!$A$11:$A$1309,0)))&amp;" + 待核",SUM(INDEX('SKU明细'!$D$11:$D$1309,MATCH("230918-BK-P-Z-10",'SKU明细'!$A$11:$A$1309,0)))))</x:f>
        <x:v>0</x:v>
      </x:c>
      <x:c r="Q171" s="38" t="str">
        <x:f>"—"</x:f>
        <x:v>—</x:v>
      </x:c>
      <x:c r="R171" s="38" t="n">
        <x:f>IF(COUNT(INDEX('SKU明细'!$D$11:$D$1309,MATCH("230918-BK-P-Z-11",'SKU明细'!$A$11:$A$1309,0)))=0,"待核",IF(COUNT(INDEX('SKU明细'!$D$11:$D$1309,MATCH("230918-BK-P-Z-11",'SKU明细'!$A$11:$A$1309,0)))&lt;1,SUM(INDEX('SKU明细'!$D$11:$D$1309,MATCH("230918-BK-P-Z-11",'SKU明细'!$A$11:$A$1309,0)))&amp;" + 待核",SUM(INDEX('SKU明细'!$D$11:$D$1309,MATCH("230918-BK-P-Z-11",'SKU明细'!$A$11:$A$1309,0)))))</x:f>
        <x:v>0</x:v>
      </x:c>
      <x:c r="S171" s="38" t="n">
        <x:f>IF(COUNT(INDEX('SKU明细'!$D$11:$D$1309,MATCH("230918-BK-P-Z-6",'SKU明细'!$A$11:$A$1309,0)),INDEX('SKU明细'!$D$11:$D$1309,MATCH("230918-BK-P-Z-7",'SKU明细'!$A$11:$A$1309,0)),INDEX('SKU明细'!$D$11:$D$1309,MATCH("230918-BK-P-Z-8",'SKU明细'!$A$11:$A$1309,0)),INDEX('SKU明细'!$D$11:$D$1309,MATCH("230918-BK-P-Z-9",'SKU明细'!$A$11:$A$1309,0)),INDEX('SKU明细'!$D$11:$D$1309,MATCH("230918-BK-P-Z-10",'SKU明细'!$A$11:$A$1309,0)),INDEX('SKU明细'!$D$11:$D$1309,MATCH("230918-BK-P-Z-11",'SKU明细'!$A$11:$A$1309,0)))=0,"待核",SUM(INDEX('SKU明细'!$D$11:$D$1309,MATCH("230918-BK-P-Z-6",'SKU明细'!$A$11:$A$1309,0)),INDEX('SKU明细'!$D$11:$D$1309,MATCH("230918-BK-P-Z-7",'SKU明细'!$A$11:$A$1309,0)),INDEX('SKU明细'!$D$11:$D$1309,MATCH("230918-BK-P-Z-8",'SKU明细'!$A$11:$A$1309,0)),INDEX('SKU明细'!$D$11:$D$1309,MATCH("230918-BK-P-Z-9",'SKU明细'!$A$11:$A$1309,0)),INDEX('SKU明细'!$D$11:$D$1309,MATCH("230918-BK-P-Z-10",'SKU明细'!$A$11:$A$1309,0)),INDEX('SKU明细'!$D$11:$D$1309,MATCH("230918-BK-P-Z-11",'SKU明细'!$A$11:$A$1309,0))))</x:f>
        <x:v>22</x:v>
      </x:c>
      <x:c r="T171" s="38" t="n">
        <x:f>IF(COUNTIFS($A$9:$A$191,A171,$U$9:$U$191,"&lt;&gt;待核")=0,"待核",SUMIF($A$9:$A$191,A171,$S$9:$S$191))</x:f>
        <x:v>73</x:v>
      </x:c>
      <x:c r="U171" s="37" t="str">
        <x:f>IF(COUNT(INDEX('SKU明细'!$D$11:$D$1309,MATCH("230918-BK-P-Z-6",'SKU明细'!$A$11:$A$1309,0)),INDEX('SKU明细'!$D$11:$D$1309,MATCH("230918-BK-P-Z-7",'SKU明细'!$A$11:$A$1309,0)),INDEX('SKU明细'!$D$11:$D$1309,MATCH("230918-BK-P-Z-8",'SKU明细'!$A$11:$A$1309,0)),INDEX('SKU明细'!$D$11:$D$1309,MATCH("230918-BK-P-Z-9",'SKU明细'!$A$11:$A$1309,0)),INDEX('SKU明细'!$D$11:$D$1309,MATCH("230918-BK-P-Z-10",'SKU明细'!$A$11:$A$1309,0)),INDEX('SKU明细'!$D$11:$D$1309,MATCH("230918-BK-P-Z-11",'SKU明细'!$A$11:$A$1309,0)))=0,"待核",IF(COUNT(INDEX('SKU明细'!$D$11:$D$1309,MATCH("230918-BK-P-Z-6",'SKU明细'!$A$11:$A$1309,0)),INDEX('SKU明细'!$D$11:$D$1309,MATCH("230918-BK-P-Z-7",'SKU明细'!$A$11:$A$1309,0)),INDEX('SKU明细'!$D$11:$D$1309,MATCH("230918-BK-P-Z-8",'SKU明细'!$A$11:$A$1309,0)),INDEX('SKU明细'!$D$11:$D$1309,MATCH("230918-BK-P-Z-9",'SKU明细'!$A$11:$A$1309,0)),INDEX('SKU明细'!$D$11:$D$1309,MATCH("230918-BK-P-Z-10",'SKU明细'!$A$11:$A$1309,0)),INDEX('SKU明细'!$D$11:$D$1309,MATCH("230918-BK-P-Z-11",'SKU明细'!$A$11:$A$1309,0)))&lt;6,"另有待核","已核"))</x:f>
        <x:v>已核</x:v>
      </x:c>
      <x:c r="V171" s="37" t="str">
        <x:v>在售</x:v>
      </x:c>
      <x:c r="W171" s="11" t="n">
        <x:f>IF(COUNT(INDEX('SKU明细'!$BV$11:$BV$1309,MATCH("230918-BK-P-Z-6",'SKU明细'!$A$11:$A$1309,0)),INDEX('SKU明细'!$BV$11:$BV$1309,MATCH("230918-BK-P-Z-7",'SKU明细'!$A$11:$A$1309,0)),INDEX('SKU明细'!$BV$11:$BV$1309,MATCH("230918-BK-P-Z-8",'SKU明细'!$A$11:$A$1309,0)),INDEX('SKU明细'!$BV$11:$BV$1309,MATCH("230918-BK-P-Z-9",'SKU明细'!$A$11:$A$1309,0)),INDEX('SKU明细'!$BV$11:$BV$1309,MATCH("230918-BK-P-Z-10",'SKU明细'!$A$11:$A$1309,0)),INDEX('SKU明细'!$BV$11:$BV$1309,MATCH("230918-BK-P-Z-11",'SKU明细'!$A$11:$A$1309,0)))=6,SUM(INDEX('SKU明细'!$BV$11:$BV$1309,MATCH("230918-BK-P-Z-6",'SKU明细'!$A$11:$A$1309,0)),INDEX('SKU明细'!$BV$11:$BV$1309,MATCH("230918-BK-P-Z-7",'SKU明细'!$A$11:$A$1309,0)),INDEX('SKU明细'!$BV$11:$BV$1309,MATCH("230918-BK-P-Z-8",'SKU明细'!$A$11:$A$1309,0)),INDEX('SKU明细'!$BV$11:$BV$1309,MATCH("230918-BK-P-Z-9",'SKU明细'!$A$11:$A$1309,0)),INDEX('SKU明细'!$BV$11:$BV$1309,MATCH("230918-BK-P-Z-10",'SKU明细'!$A$11:$A$1309,0)),INDEX('SKU明细'!$BV$11:$BV$1309,MATCH("230918-BK-P-Z-11",'SKU明细'!$A$11:$A$1309,0))),"待核")</x:f>
        <x:v>6.885958849970173</x:v>
      </x:c>
      <x:c r="X171" s="11" t="n">
        <x:f>INDEX('SKU明细'!$BW$11:$BW$1309,MATCH("230918-BK-P-Z-6",'SKU明细'!$A$11:$A$1309,0))</x:f>
        <x:v>1.6747911769553037</x:v>
      </x:c>
      <x:c r="Y171" s="13" t="n">
        <x:f>IF(COUNT(INDEX('SKU明细'!$BY$11:$BY$1309,MATCH("230918-BK-P-Z-6",'SKU明细'!$A$11:$A$1309,0)),INDEX('SKU明细'!$BY$11:$BY$1309,MATCH("230918-BK-P-Z-7",'SKU明细'!$A$11:$A$1309,0)),INDEX('SKU明细'!$BY$11:$BY$1309,MATCH("230918-BK-P-Z-8",'SKU明细'!$A$11:$A$1309,0)),INDEX('SKU明细'!$BY$11:$BY$1309,MATCH("230918-BK-P-Z-9",'SKU明细'!$A$11:$A$1309,0)),INDEX('SKU明细'!$BY$11:$BY$1309,MATCH("230918-BK-P-Z-10",'SKU明细'!$A$11:$A$1309,0)),INDEX('SKU明细'!$BY$11:$BY$1309,MATCH("230918-BK-P-Z-11",'SKU明细'!$A$11:$A$1309,0)))=6,SUM(INDEX('SKU明细'!$BY$11:$BY$1309,MATCH("230918-BK-P-Z-6",'SKU明细'!$A$11:$A$1309,0)),INDEX('SKU明细'!$BY$11:$BY$1309,MATCH("230918-BK-P-Z-7",'SKU明细'!$A$11:$A$1309,0)),INDEX('SKU明细'!$BY$11:$BY$1309,MATCH("230918-BK-P-Z-8",'SKU明细'!$A$11:$A$1309,0)),INDEX('SKU明细'!$BY$11:$BY$1309,MATCH("230918-BK-P-Z-9",'SKU明细'!$A$11:$A$1309,0)),INDEX('SKU明细'!$BY$11:$BY$1309,MATCH("230918-BK-P-Z-10",'SKU明细'!$A$11:$A$1309,0)),INDEX('SKU明细'!$BY$11:$BY$1309,MATCH("230918-BK-P-Z-11",'SKU明细'!$A$11:$A$1309,0))),"待核")</x:f>
        <x:v>138.39051752168803</x:v>
      </x:c>
      <x:c r="Z171" s="11" t="n">
        <x:f>INDEX('SKU明细'!$BZ$11:$BZ$1309,MATCH("230918-BK-P-Z-6",'SKU明细'!$A$11:$A$1309,0))</x:f>
        <x:v>1.5065205700457112</x:v>
      </x:c>
      <x:c r="AA171" s="13" t="n">
        <x:f>IF(COUNT(INDEX('SKU明细'!$CB$11:$CB$1309,MATCH("230918-BK-P-Z-6",'SKU明细'!$A$11:$A$1309,0)),INDEX('SKU明细'!$CB$11:$CB$1309,MATCH("230918-BK-P-Z-7",'SKU明细'!$A$11:$A$1309,0)),INDEX('SKU明细'!$CB$11:$CB$1309,MATCH("230918-BK-P-Z-8",'SKU明细'!$A$11:$A$1309,0)),INDEX('SKU明细'!$CB$11:$CB$1309,MATCH("230918-BK-P-Z-9",'SKU明细'!$A$11:$A$1309,0)),INDEX('SKU明细'!$CB$11:$CB$1309,MATCH("230918-BK-P-Z-10",'SKU明细'!$A$11:$A$1309,0)),INDEX('SKU明细'!$CB$11:$CB$1309,MATCH("230918-BK-P-Z-11",'SKU明细'!$A$11:$A$1309,0)))=6,SUM(INDEX('SKU明细'!$CB$11:$CB$1309,MATCH("230918-BK-P-Z-6",'SKU明细'!$A$11:$A$1309,0)),INDEX('SKU明细'!$CB$11:$CB$1309,MATCH("230918-BK-P-Z-7",'SKU明细'!$A$11:$A$1309,0)),INDEX('SKU明细'!$CB$11:$CB$1309,MATCH("230918-BK-P-Z-8",'SKU明细'!$A$11:$A$1309,0)),INDEX('SKU明细'!$CB$11:$CB$1309,MATCH("230918-BK-P-Z-9",'SKU明细'!$A$11:$A$1309,0)),INDEX('SKU明细'!$CB$11:$CB$1309,MATCH("230918-BK-P-Z-10",'SKU明细'!$A$11:$A$1309,0)),INDEX('SKU明细'!$CB$11:$CB$1309,MATCH("230918-BK-P-Z-11",'SKU明细'!$A$11:$A$1309,0))),"待核")</x:f>
        <x:v>311.2151595590512</x:v>
      </x:c>
      <x:c r="AB171" s="11" t="n">
        <x:f>INDEX('SKU明细'!$CC$11:$CC$1309,MATCH("230918-BK-P-Z-6",'SKU明细'!$A$11:$A$1309,0))</x:f>
        <x:v>1.1492423388181006</x:v>
      </x:c>
      <x:c r="AC171" s="13" t="n">
        <x:f>IF(COUNT(INDEX('SKU明细'!$CE$11:$CE$1309,MATCH("230918-BK-P-Z-6",'SKU明细'!$A$11:$A$1309,0)),INDEX('SKU明细'!$CE$11:$CE$1309,MATCH("230918-BK-P-Z-7",'SKU明细'!$A$11:$A$1309,0)),INDEX('SKU明细'!$CE$11:$CE$1309,MATCH("230918-BK-P-Z-8",'SKU明细'!$A$11:$A$1309,0)),INDEX('SKU明细'!$CE$11:$CE$1309,MATCH("230918-BK-P-Z-9",'SKU明细'!$A$11:$A$1309,0)),INDEX('SKU明细'!$CE$11:$CE$1309,MATCH("230918-BK-P-Z-10",'SKU明细'!$A$11:$A$1309,0)),INDEX('SKU明细'!$CE$11:$CE$1309,MATCH("230918-BK-P-Z-11",'SKU明细'!$A$11:$A$1309,0)))=6,SUM(INDEX('SKU明细'!$CE$11:$CE$1309,MATCH("230918-BK-P-Z-6",'SKU明细'!$A$11:$A$1309,0)),INDEX('SKU明细'!$CE$11:$CE$1309,MATCH("230918-BK-P-Z-7",'SKU明细'!$A$11:$A$1309,0)),INDEX('SKU明细'!$CE$11:$CE$1309,MATCH("230918-BK-P-Z-8",'SKU明细'!$A$11:$A$1309,0)),INDEX('SKU明细'!$CE$11:$CE$1309,MATCH("230918-BK-P-Z-9",'SKU明细'!$A$11:$A$1309,0)),INDEX('SKU明细'!$CE$11:$CE$1309,MATCH("230918-BK-P-Z-10",'SKU明细'!$A$11:$A$1309,0)),INDEX('SKU明细'!$CE$11:$CE$1309,MATCH("230918-BK-P-Z-11",'SKU明细'!$A$11:$A$1309,0))),"待核")</x:f>
        <x:v>245.3226990660925</x:v>
      </x:c>
      <x:c r="AD171" s="11" t="n">
        <x:f>INDEX('SKU明细'!$CF$11:$CF$1309,MATCH("230918-BK-P-Z-6",'SKU明细'!$A$11:$A$1309,0))</x:f>
        <x:v>0.6426892418183868</x:v>
      </x:c>
      <x:c r="AE171" s="13" t="n">
        <x:f>IF(COUNT(INDEX('SKU明细'!$CH$11:$CH$1309,MATCH("230918-BK-P-Z-6",'SKU明细'!$A$11:$A$1309,0)),INDEX('SKU明细'!$CH$11:$CH$1309,MATCH("230918-BK-P-Z-7",'SKU明细'!$A$11:$A$1309,0)),INDEX('SKU明细'!$CH$11:$CH$1309,MATCH("230918-BK-P-Z-8",'SKU明细'!$A$11:$A$1309,0)),INDEX('SKU明细'!$CH$11:$CH$1309,MATCH("230918-BK-P-Z-9",'SKU明细'!$A$11:$A$1309,0)),INDEX('SKU明细'!$CH$11:$CH$1309,MATCH("230918-BK-P-Z-10",'SKU明细'!$A$11:$A$1309,0)),INDEX('SKU明细'!$CH$11:$CH$1309,MATCH("230918-BK-P-Z-11",'SKU明细'!$A$11:$A$1309,0)))=6,SUM(INDEX('SKU明细'!$CH$11:$CH$1309,MATCH("230918-BK-P-Z-6",'SKU明细'!$A$11:$A$1309,0)),INDEX('SKU明细'!$CH$11:$CH$1309,MATCH("230918-BK-P-Z-7",'SKU明细'!$A$11:$A$1309,0)),INDEX('SKU明细'!$CH$11:$CH$1309,MATCH("230918-BK-P-Z-8",'SKU明细'!$A$11:$A$1309,0)),INDEX('SKU明细'!$CH$11:$CH$1309,MATCH("230918-BK-P-Z-9",'SKU明细'!$A$11:$A$1309,0)),INDEX('SKU明细'!$CH$11:$CH$1309,MATCH("230918-BK-P-Z-10",'SKU明细'!$A$11:$A$1309,0)),INDEX('SKU明细'!$CH$11:$CH$1309,MATCH("230918-BK-P-Z-11",'SKU明细'!$A$11:$A$1309,0))),"待核")</x:f>
        <x:v>75.234038432159</x:v>
      </x:c>
      <x:c r="AF171" s="13" t="n">
        <x:f>IF(COUNT(INDEX('SKU明细'!$CI$11:$CI$1309,MATCH("230918-BK-P-Z-6",'SKU明细'!$A$11:$A$1309,0)),INDEX('SKU明细'!$CI$11:$CI$1309,MATCH("230918-BK-P-Z-7",'SKU明细'!$A$11:$A$1309,0)),INDEX('SKU明细'!$CI$11:$CI$1309,MATCH("230918-BK-P-Z-8",'SKU明细'!$A$11:$A$1309,0)),INDEX('SKU明细'!$CI$11:$CI$1309,MATCH("230918-BK-P-Z-9",'SKU明细'!$A$11:$A$1309,0)),INDEX('SKU明细'!$CI$11:$CI$1309,MATCH("230918-BK-P-Z-10",'SKU明细'!$A$11:$A$1309,0)),INDEX('SKU明细'!$CI$11:$CI$1309,MATCH("230918-BK-P-Z-11",'SKU明细'!$A$11:$A$1309,0)))=6,SUM(INDEX('SKU明细'!$CI$11:$CI$1309,MATCH("230918-BK-P-Z-6",'SKU明细'!$A$11:$A$1309,0)),INDEX('SKU明细'!$CI$11:$CI$1309,MATCH("230918-BK-P-Z-7",'SKU明细'!$A$11:$A$1309,0)),INDEX('SKU明细'!$CI$11:$CI$1309,MATCH("230918-BK-P-Z-8",'SKU明细'!$A$11:$A$1309,0)),INDEX('SKU明细'!$CI$11:$CI$1309,MATCH("230918-BK-P-Z-9",'SKU明细'!$A$11:$A$1309,0)),INDEX('SKU明细'!$CI$11:$CI$1309,MATCH("230918-BK-P-Z-10",'SKU明细'!$A$11:$A$1309,0)),INDEX('SKU明细'!$CI$11:$CI$1309,MATCH("230918-BK-P-Z-11",'SKU明细'!$A$11:$A$1309,0))),"待核")</x:f>
        <x:v>770.1624145789908</x:v>
      </x:c>
    </x:row>
    <x:row r="172" ht="40" customHeight="1">
      <x:c r="A172" s="37" t="str">
        <x:v>230918</x:v>
      </x:c>
      <x:c r="B172" s="37" t="str">
        <x:v>艾年</x:v>
      </x:c>
      <x:c r="C172" s="37" t="str">
        <x:v>黑色</x:v>
      </x:c>
      <x:c r="D172" s="37" t="str">
        <x:v>BK</x:v>
      </x:c>
      <x:c r="E172" s="37" t="str">
        <x:v>230918-BK-S-Z</x:v>
      </x:c>
      <x:c r="F172" s="37"/>
      <x:c r="G172" s="38" t="str">
        <x:f>"—"</x:f>
        <x:v>—</x:v>
      </x:c>
      <x:c r="H172" s="38" t="n">
        <x:f>IF(COUNT(INDEX('SKU明细'!$D$11:$D$1309,MATCH("230918-BK-S-Z-6",'SKU明细'!$A$11:$A$1309,0)))=0,"待核",IF(COUNT(INDEX('SKU明细'!$D$11:$D$1309,MATCH("230918-BK-S-Z-6",'SKU明细'!$A$11:$A$1309,0)))&lt;1,SUM(INDEX('SKU明细'!$D$11:$D$1309,MATCH("230918-BK-S-Z-6",'SKU明细'!$A$11:$A$1309,0)))&amp;" + 待核",SUM(INDEX('SKU明细'!$D$11:$D$1309,MATCH("230918-BK-S-Z-6",'SKU明细'!$A$11:$A$1309,0)))))</x:f>
        <x:v>0</x:v>
      </x:c>
      <x:c r="I172" s="38" t="str">
        <x:f>"—"</x:f>
        <x:v>—</x:v>
      </x:c>
      <x:c r="J172" s="38" t="n">
        <x:f>IF(COUNT(INDEX('SKU明细'!$D$11:$D$1309,MATCH("230918-BK-S-Z-7",'SKU明细'!$A$11:$A$1309,0)))=0,"待核",IF(COUNT(INDEX('SKU明细'!$D$11:$D$1309,MATCH("230918-BK-S-Z-7",'SKU明细'!$A$11:$A$1309,0)))&lt;1,SUM(INDEX('SKU明细'!$D$11:$D$1309,MATCH("230918-BK-S-Z-7",'SKU明细'!$A$11:$A$1309,0)))&amp;" + 待核",SUM(INDEX('SKU明细'!$D$11:$D$1309,MATCH("230918-BK-S-Z-7",'SKU明细'!$A$11:$A$1309,0)))))</x:f>
        <x:v>0</x:v>
      </x:c>
      <x:c r="K172" s="38" t="str">
        <x:f>"—"</x:f>
        <x:v>—</x:v>
      </x:c>
      <x:c r="L172" s="38" t="n">
        <x:f>IF(COUNT(INDEX('SKU明细'!$D$11:$D$1309,MATCH("230918-BK-S-Z-8",'SKU明细'!$A$11:$A$1309,0)))=0,"待核",IF(COUNT(INDEX('SKU明细'!$D$11:$D$1309,MATCH("230918-BK-S-Z-8",'SKU明细'!$A$11:$A$1309,0)))&lt;1,SUM(INDEX('SKU明细'!$D$11:$D$1309,MATCH("230918-BK-S-Z-8",'SKU明细'!$A$11:$A$1309,0)))&amp;" + 待核",SUM(INDEX('SKU明细'!$D$11:$D$1309,MATCH("230918-BK-S-Z-8",'SKU明细'!$A$11:$A$1309,0)))))</x:f>
        <x:v>49</x:v>
      </x:c>
      <x:c r="M172" s="38" t="str">
        <x:f>"—"</x:f>
        <x:v>—</x:v>
      </x:c>
      <x:c r="N172" s="38" t="n">
        <x:f>IF(COUNT(INDEX('SKU明细'!$D$11:$D$1309,MATCH("230918-BK-S-Z-9",'SKU明细'!$A$11:$A$1309,0)))=0,"待核",IF(COUNT(INDEX('SKU明细'!$D$11:$D$1309,MATCH("230918-BK-S-Z-9",'SKU明细'!$A$11:$A$1309,0)))&lt;1,SUM(INDEX('SKU明细'!$D$11:$D$1309,MATCH("230918-BK-S-Z-9",'SKU明细'!$A$11:$A$1309,0)))&amp;" + 待核",SUM(INDEX('SKU明细'!$D$11:$D$1309,MATCH("230918-BK-S-Z-9",'SKU明细'!$A$11:$A$1309,0)))))</x:f>
        <x:v>0</x:v>
      </x:c>
      <x:c r="O172" s="38" t="str">
        <x:f>"—"</x:f>
        <x:v>—</x:v>
      </x:c>
      <x:c r="P172" s="38" t="n">
        <x:f>IF(COUNT(INDEX('SKU明细'!$D$11:$D$1309,MATCH("230918-BK-S-Z-10",'SKU明细'!$A$11:$A$1309,0)))=0,"待核",IF(COUNT(INDEX('SKU明细'!$D$11:$D$1309,MATCH("230918-BK-S-Z-10",'SKU明细'!$A$11:$A$1309,0)))&lt;1,SUM(INDEX('SKU明细'!$D$11:$D$1309,MATCH("230918-BK-S-Z-10",'SKU明细'!$A$11:$A$1309,0)))&amp;" + 待核",SUM(INDEX('SKU明细'!$D$11:$D$1309,MATCH("230918-BK-S-Z-10",'SKU明细'!$A$11:$A$1309,0)))))</x:f>
        <x:v>0</x:v>
      </x:c>
      <x:c r="Q172" s="38" t="str">
        <x:f>"—"</x:f>
        <x:v>—</x:v>
      </x:c>
      <x:c r="R172" s="38" t="n">
        <x:f>IF(COUNT(INDEX('SKU明细'!$D$11:$D$1309,MATCH("230918-BK-S-Z-11",'SKU明细'!$A$11:$A$1309,0)))=0,"待核",IF(COUNT(INDEX('SKU明细'!$D$11:$D$1309,MATCH("230918-BK-S-Z-11",'SKU明细'!$A$11:$A$1309,0)))&lt;1,SUM(INDEX('SKU明细'!$D$11:$D$1309,MATCH("230918-BK-S-Z-11",'SKU明细'!$A$11:$A$1309,0)))&amp;" + 待核",SUM(INDEX('SKU明细'!$D$11:$D$1309,MATCH("230918-BK-S-Z-11",'SKU明细'!$A$11:$A$1309,0)))))</x:f>
        <x:v>0</x:v>
      </x:c>
      <x:c r="S172" s="38" t="n">
        <x:f>IF(COUNT(INDEX('SKU明细'!$D$11:$D$1309,MATCH("230918-BK-S-Z-6",'SKU明细'!$A$11:$A$1309,0)),INDEX('SKU明细'!$D$11:$D$1309,MATCH("230918-BK-S-Z-7",'SKU明细'!$A$11:$A$1309,0)),INDEX('SKU明细'!$D$11:$D$1309,MATCH("230918-BK-S-Z-8",'SKU明细'!$A$11:$A$1309,0)),INDEX('SKU明细'!$D$11:$D$1309,MATCH("230918-BK-S-Z-9",'SKU明细'!$A$11:$A$1309,0)),INDEX('SKU明细'!$D$11:$D$1309,MATCH("230918-BK-S-Z-10",'SKU明细'!$A$11:$A$1309,0)),INDEX('SKU明细'!$D$11:$D$1309,MATCH("230918-BK-S-Z-11",'SKU明细'!$A$11:$A$1309,0)))=0,"待核",SUM(INDEX('SKU明细'!$D$11:$D$1309,MATCH("230918-BK-S-Z-6",'SKU明细'!$A$11:$A$1309,0)),INDEX('SKU明细'!$D$11:$D$1309,MATCH("230918-BK-S-Z-7",'SKU明细'!$A$11:$A$1309,0)),INDEX('SKU明细'!$D$11:$D$1309,MATCH("230918-BK-S-Z-8",'SKU明细'!$A$11:$A$1309,0)),INDEX('SKU明细'!$D$11:$D$1309,MATCH("230918-BK-S-Z-9",'SKU明细'!$A$11:$A$1309,0)),INDEX('SKU明细'!$D$11:$D$1309,MATCH("230918-BK-S-Z-10",'SKU明细'!$A$11:$A$1309,0)),INDEX('SKU明细'!$D$11:$D$1309,MATCH("230918-BK-S-Z-11",'SKU明细'!$A$11:$A$1309,0))))</x:f>
        <x:v>49</x:v>
      </x:c>
      <x:c r="T172" s="38" t="n">
        <x:f>IF(COUNTIFS($A$9:$A$191,A172,$U$9:$U$191,"&lt;&gt;待核")=0,"待核",SUMIF($A$9:$A$191,A172,$S$9:$S$191))</x:f>
        <x:v>73</x:v>
      </x:c>
      <x:c r="U172" s="37" t="str">
        <x:f>IF(COUNT(INDEX('SKU明细'!$D$11:$D$1309,MATCH("230918-BK-S-Z-6",'SKU明细'!$A$11:$A$1309,0)),INDEX('SKU明细'!$D$11:$D$1309,MATCH("230918-BK-S-Z-7",'SKU明细'!$A$11:$A$1309,0)),INDEX('SKU明细'!$D$11:$D$1309,MATCH("230918-BK-S-Z-8",'SKU明细'!$A$11:$A$1309,0)),INDEX('SKU明细'!$D$11:$D$1309,MATCH("230918-BK-S-Z-9",'SKU明细'!$A$11:$A$1309,0)),INDEX('SKU明细'!$D$11:$D$1309,MATCH("230918-BK-S-Z-10",'SKU明细'!$A$11:$A$1309,0)),INDEX('SKU明细'!$D$11:$D$1309,MATCH("230918-BK-S-Z-11",'SKU明细'!$A$11:$A$1309,0)))=0,"待核",IF(COUNT(INDEX('SKU明细'!$D$11:$D$1309,MATCH("230918-BK-S-Z-6",'SKU明细'!$A$11:$A$1309,0)),INDEX('SKU明细'!$D$11:$D$1309,MATCH("230918-BK-S-Z-7",'SKU明细'!$A$11:$A$1309,0)),INDEX('SKU明细'!$D$11:$D$1309,MATCH("230918-BK-S-Z-8",'SKU明细'!$A$11:$A$1309,0)),INDEX('SKU明细'!$D$11:$D$1309,MATCH("230918-BK-S-Z-9",'SKU明细'!$A$11:$A$1309,0)),INDEX('SKU明细'!$D$11:$D$1309,MATCH("230918-BK-S-Z-10",'SKU明细'!$A$11:$A$1309,0)),INDEX('SKU明细'!$D$11:$D$1309,MATCH("230918-BK-S-Z-11",'SKU明细'!$A$11:$A$1309,0)))&lt;6,"另有待核","已核"))</x:f>
        <x:v>已核</x:v>
      </x:c>
      <x:c r="V172" s="37" t="str">
        <x:v>在售</x:v>
      </x:c>
      <x:c r="W172" s="11" t="n">
        <x:f>IF(COUNT(INDEX('SKU明细'!$BV$11:$BV$1309,MATCH("230918-BK-S-Z-6",'SKU明细'!$A$11:$A$1309,0)),INDEX('SKU明细'!$BV$11:$BV$1309,MATCH("230918-BK-S-Z-7",'SKU明细'!$A$11:$A$1309,0)),INDEX('SKU明细'!$BV$11:$BV$1309,MATCH("230918-BK-S-Z-8",'SKU明细'!$A$11:$A$1309,0)),INDEX('SKU明细'!$BV$11:$BV$1309,MATCH("230918-BK-S-Z-9",'SKU明细'!$A$11:$A$1309,0)),INDEX('SKU明细'!$BV$11:$BV$1309,MATCH("230918-BK-S-Z-10",'SKU明细'!$A$11:$A$1309,0)),INDEX('SKU明细'!$BV$11:$BV$1309,MATCH("230918-BK-S-Z-11",'SKU明细'!$A$11:$A$1309,0)))=6,SUM(INDEX('SKU明细'!$BV$11:$BV$1309,MATCH("230918-BK-S-Z-6",'SKU明细'!$A$11:$A$1309,0)),INDEX('SKU明细'!$BV$11:$BV$1309,MATCH("230918-BK-S-Z-7",'SKU明细'!$A$11:$A$1309,0)),INDEX('SKU明细'!$BV$11:$BV$1309,MATCH("230918-BK-S-Z-8",'SKU明细'!$A$11:$A$1309,0)),INDEX('SKU明细'!$BV$11:$BV$1309,MATCH("230918-BK-S-Z-9",'SKU明细'!$A$11:$A$1309,0)),INDEX('SKU明细'!$BV$11:$BV$1309,MATCH("230918-BK-S-Z-10",'SKU明细'!$A$11:$A$1309,0)),INDEX('SKU明细'!$BV$11:$BV$1309,MATCH("230918-BK-S-Z-11",'SKU明细'!$A$11:$A$1309,0))),"待核")</x:f>
        <x:v>11.342019976477065</x:v>
      </x:c>
      <x:c r="X172" s="11" t="n">
        <x:f>INDEX('SKU明细'!$BW$11:$BW$1309,MATCH("230918-BK-S-Z-6",'SKU明细'!$A$11:$A$1309,0))</x:f>
        <x:v>1.6747911769553037</x:v>
      </x:c>
      <x:c r="Y172" s="13" t="n">
        <x:f>IF(COUNT(INDEX('SKU明细'!$BY$11:$BY$1309,MATCH("230918-BK-S-Z-6",'SKU明细'!$A$11:$A$1309,0)),INDEX('SKU明细'!$BY$11:$BY$1309,MATCH("230918-BK-S-Z-7",'SKU明细'!$A$11:$A$1309,0)),INDEX('SKU明细'!$BY$11:$BY$1309,MATCH("230918-BK-S-Z-8",'SKU明细'!$A$11:$A$1309,0)),INDEX('SKU明细'!$BY$11:$BY$1309,MATCH("230918-BK-S-Z-9",'SKU明细'!$A$11:$A$1309,0)),INDEX('SKU明细'!$BY$11:$BY$1309,MATCH("230918-BK-S-Z-10",'SKU明细'!$A$11:$A$1309,0)),INDEX('SKU明细'!$BY$11:$BY$1309,MATCH("230918-BK-S-Z-11",'SKU明细'!$A$11:$A$1309,0)))=6,SUM(INDEX('SKU明细'!$BY$11:$BY$1309,MATCH("230918-BK-S-Z-6",'SKU明细'!$A$11:$A$1309,0)),INDEX('SKU明细'!$BY$11:$BY$1309,MATCH("230918-BK-S-Z-7",'SKU明细'!$A$11:$A$1309,0)),INDEX('SKU明细'!$BY$11:$BY$1309,MATCH("230918-BK-S-Z-8",'SKU明细'!$A$11:$A$1309,0)),INDEX('SKU明细'!$BY$11:$BY$1309,MATCH("230918-BK-S-Z-9",'SKU明细'!$A$11:$A$1309,0)),INDEX('SKU明细'!$BY$11:$BY$1309,MATCH("230918-BK-S-Z-10",'SKU明细'!$A$11:$A$1309,0)),INDEX('SKU明细'!$BY$11:$BY$1309,MATCH("230918-BK-S-Z-11",'SKU明细'!$A$11:$A$1309,0))),"待核")</x:f>
        <x:v>227.94617982545506</x:v>
      </x:c>
      <x:c r="Z172" s="11" t="n">
        <x:f>INDEX('SKU明细'!$BZ$11:$BZ$1309,MATCH("230918-BK-S-Z-6",'SKU明细'!$A$11:$A$1309,0))</x:f>
        <x:v>1.5065205700457112</x:v>
      </x:c>
      <x:c r="AA172" s="13" t="n">
        <x:f>IF(COUNT(INDEX('SKU明细'!$CB$11:$CB$1309,MATCH("230918-BK-S-Z-6",'SKU明细'!$A$11:$A$1309,0)),INDEX('SKU明细'!$CB$11:$CB$1309,MATCH("230918-BK-S-Z-7",'SKU明细'!$A$11:$A$1309,0)),INDEX('SKU明细'!$CB$11:$CB$1309,MATCH("230918-BK-S-Z-8",'SKU明细'!$A$11:$A$1309,0)),INDEX('SKU明细'!$CB$11:$CB$1309,MATCH("230918-BK-S-Z-9",'SKU明细'!$A$11:$A$1309,0)),INDEX('SKU明细'!$CB$11:$CB$1309,MATCH("230918-BK-S-Z-10",'SKU明细'!$A$11:$A$1309,0)),INDEX('SKU明细'!$CB$11:$CB$1309,MATCH("230918-BK-S-Z-11",'SKU明细'!$A$11:$A$1309,0)))=6,SUM(INDEX('SKU明细'!$CB$11:$CB$1309,MATCH("230918-BK-S-Z-6",'SKU明细'!$A$11:$A$1309,0)),INDEX('SKU明细'!$CB$11:$CB$1309,MATCH("230918-BK-S-Z-7",'SKU明细'!$A$11:$A$1309,0)),INDEX('SKU明细'!$CB$11:$CB$1309,MATCH("230918-BK-S-Z-8",'SKU明细'!$A$11:$A$1309,0)),INDEX('SKU明细'!$CB$11:$CB$1309,MATCH("230918-BK-S-Z-9",'SKU明细'!$A$11:$A$1309,0)),INDEX('SKU明细'!$CB$11:$CB$1309,MATCH("230918-BK-S-Z-10",'SKU明细'!$A$11:$A$1309,0)),INDEX('SKU明细'!$CB$11:$CB$1309,MATCH("230918-BK-S-Z-11",'SKU明细'!$A$11:$A$1309,0))),"待核")</x:f>
        <x:v>512.6095920129621</x:v>
      </x:c>
      <x:c r="AB172" s="11" t="n">
        <x:f>INDEX('SKU明细'!$CC$11:$CC$1309,MATCH("230918-BK-S-Z-6",'SKU明细'!$A$11:$A$1309,0))</x:f>
        <x:v>1.1492423388181006</x:v>
      </x:c>
      <x:c r="AC172" s="13" t="n">
        <x:f>IF(COUNT(INDEX('SKU明细'!$CE$11:$CE$1309,MATCH("230918-BK-S-Z-6",'SKU明细'!$A$11:$A$1309,0)),INDEX('SKU明细'!$CE$11:$CE$1309,MATCH("230918-BK-S-Z-7",'SKU明细'!$A$11:$A$1309,0)),INDEX('SKU明细'!$CE$11:$CE$1309,MATCH("230918-BK-S-Z-8",'SKU明细'!$A$11:$A$1309,0)),INDEX('SKU明细'!$CE$11:$CE$1309,MATCH("230918-BK-S-Z-9",'SKU明细'!$A$11:$A$1309,0)),INDEX('SKU明细'!$CE$11:$CE$1309,MATCH("230918-BK-S-Z-10",'SKU明细'!$A$11:$A$1309,0)),INDEX('SKU明细'!$CE$11:$CE$1309,MATCH("230918-BK-S-Z-11",'SKU明细'!$A$11:$A$1309,0)))=6,SUM(INDEX('SKU明细'!$CE$11:$CE$1309,MATCH("230918-BK-S-Z-6",'SKU明细'!$A$11:$A$1309,0)),INDEX('SKU明细'!$CE$11:$CE$1309,MATCH("230918-BK-S-Z-7",'SKU明细'!$A$11:$A$1309,0)),INDEX('SKU明细'!$CE$11:$CE$1309,MATCH("230918-BK-S-Z-8",'SKU明细'!$A$11:$A$1309,0)),INDEX('SKU明细'!$CE$11:$CE$1309,MATCH("230918-BK-S-Z-9",'SKU明细'!$A$11:$A$1309,0)),INDEX('SKU明细'!$CE$11:$CE$1309,MATCH("230918-BK-S-Z-10",'SKU明细'!$A$11:$A$1309,0)),INDEX('SKU明细'!$CE$11:$CE$1309,MATCH("230918-BK-S-Z-11",'SKU明细'!$A$11:$A$1309,0))),"待核")</x:f>
        <x:v>404.07661650533174</x:v>
      </x:c>
      <x:c r="AD172" s="11" t="n">
        <x:f>INDEX('SKU明细'!$CF$11:$CF$1309,MATCH("230918-BK-S-Z-6",'SKU明细'!$A$11:$A$1309,0))</x:f>
        <x:v>0.6426892418183868</x:v>
      </x:c>
      <x:c r="AE172" s="13" t="n">
        <x:f>IF(COUNT(INDEX('SKU明细'!$CH$11:$CH$1309,MATCH("230918-BK-S-Z-6",'SKU明细'!$A$11:$A$1309,0)),INDEX('SKU明细'!$CH$11:$CH$1309,MATCH("230918-BK-S-Z-7",'SKU明细'!$A$11:$A$1309,0)),INDEX('SKU明细'!$CH$11:$CH$1309,MATCH("230918-BK-S-Z-8",'SKU明细'!$A$11:$A$1309,0)),INDEX('SKU明细'!$CH$11:$CH$1309,MATCH("230918-BK-S-Z-9",'SKU明细'!$A$11:$A$1309,0)),INDEX('SKU明细'!$CH$11:$CH$1309,MATCH("230918-BK-S-Z-10",'SKU明细'!$A$11:$A$1309,0)),INDEX('SKU明细'!$CH$11:$CH$1309,MATCH("230918-BK-S-Z-11",'SKU明细'!$A$11:$A$1309,0)))=6,SUM(INDEX('SKU明细'!$CH$11:$CH$1309,MATCH("230918-BK-S-Z-6",'SKU明细'!$A$11:$A$1309,0)),INDEX('SKU明细'!$CH$11:$CH$1309,MATCH("230918-BK-S-Z-7",'SKU明细'!$A$11:$A$1309,0)),INDEX('SKU明细'!$CH$11:$CH$1309,MATCH("230918-BK-S-Z-8",'SKU明细'!$A$11:$A$1309,0)),INDEX('SKU明细'!$CH$11:$CH$1309,MATCH("230918-BK-S-Z-9",'SKU明细'!$A$11:$A$1309,0)),INDEX('SKU明细'!$CH$11:$CH$1309,MATCH("230918-BK-S-Z-10",'SKU明细'!$A$11:$A$1309,0)),INDEX('SKU明细'!$CH$11:$CH$1309,MATCH("230918-BK-S-Z-11",'SKU明细'!$A$11:$A$1309,0))),"待核")</x:f>
        <x:v>123.91970172930772</x:v>
      </x:c>
      <x:c r="AF172" s="13" t="n">
        <x:f>IF(COUNT(INDEX('SKU明细'!$CI$11:$CI$1309,MATCH("230918-BK-S-Z-6",'SKU明细'!$A$11:$A$1309,0)),INDEX('SKU明细'!$CI$11:$CI$1309,MATCH("230918-BK-S-Z-7",'SKU明细'!$A$11:$A$1309,0)),INDEX('SKU明细'!$CI$11:$CI$1309,MATCH("230918-BK-S-Z-8",'SKU明细'!$A$11:$A$1309,0)),INDEX('SKU明细'!$CI$11:$CI$1309,MATCH("230918-BK-S-Z-9",'SKU明细'!$A$11:$A$1309,0)),INDEX('SKU明细'!$CI$11:$CI$1309,MATCH("230918-BK-S-Z-10",'SKU明细'!$A$11:$A$1309,0)),INDEX('SKU明细'!$CI$11:$CI$1309,MATCH("230918-BK-S-Z-11",'SKU明细'!$A$11:$A$1309,0)))=6,SUM(INDEX('SKU明细'!$CI$11:$CI$1309,MATCH("230918-BK-S-Z-6",'SKU明细'!$A$11:$A$1309,0)),INDEX('SKU明细'!$CI$11:$CI$1309,MATCH("230918-BK-S-Z-7",'SKU明细'!$A$11:$A$1309,0)),INDEX('SKU明细'!$CI$11:$CI$1309,MATCH("230918-BK-S-Z-8",'SKU明细'!$A$11:$A$1309,0)),INDEX('SKU明细'!$CI$11:$CI$1309,MATCH("230918-BK-S-Z-9",'SKU明细'!$A$11:$A$1309,0)),INDEX('SKU明细'!$CI$11:$CI$1309,MATCH("230918-BK-S-Z-10",'SKU明细'!$A$11:$A$1309,0)),INDEX('SKU明细'!$CI$11:$CI$1309,MATCH("230918-BK-S-Z-11",'SKU明细'!$A$11:$A$1309,0))),"待核")</x:f>
        <x:v>1268.5520900730567</x:v>
      </x:c>
    </x:row>
    <x:row r="173" ht="40" customHeight="1">
      <x:c r="A173" s="37" t="str">
        <x:v>230918</x:v>
      </x:c>
      <x:c r="B173" s="37" t="str">
        <x:v>艾年</x:v>
      </x:c>
      <x:c r="C173" s="37" t="str">
        <x:v>米白色PU</x:v>
      </x:c>
      <x:c r="D173" s="37" t="str">
        <x:v>BW</x:v>
      </x:c>
      <x:c r="E173" s="37" t="str">
        <x:v>230918-BW-S-Z</x:v>
      </x:c>
      <x:c r="F173" s="37"/>
      <x:c r="G173" s="38" t="str">
        <x:f>"—"</x:f>
        <x:v>—</x:v>
      </x:c>
      <x:c r="H173" s="38" t="n">
        <x:f>IF(COUNT(INDEX('SKU明细'!$D$11:$D$1309,MATCH("230918-BW-S-Z-6",'SKU明细'!$A$11:$A$1309,0)))=0,"待核",IF(COUNT(INDEX('SKU明细'!$D$11:$D$1309,MATCH("230918-BW-S-Z-6",'SKU明细'!$A$11:$A$1309,0)))&lt;1,SUM(INDEX('SKU明细'!$D$11:$D$1309,MATCH("230918-BW-S-Z-6",'SKU明细'!$A$11:$A$1309,0)))&amp;" + 待核",SUM(INDEX('SKU明细'!$D$11:$D$1309,MATCH("230918-BW-S-Z-6",'SKU明细'!$A$11:$A$1309,0)))))</x:f>
        <x:v>0</x:v>
      </x:c>
      <x:c r="I173" s="38" t="str">
        <x:f>"—"</x:f>
        <x:v>—</x:v>
      </x:c>
      <x:c r="J173" s="38" t="n">
        <x:f>IF(COUNT(INDEX('SKU明细'!$D$11:$D$1309,MATCH("230918-BW-S-Z-7",'SKU明细'!$A$11:$A$1309,0)))=0,"待核",IF(COUNT(INDEX('SKU明细'!$D$11:$D$1309,MATCH("230918-BW-S-Z-7",'SKU明细'!$A$11:$A$1309,0)))&lt;1,SUM(INDEX('SKU明细'!$D$11:$D$1309,MATCH("230918-BW-S-Z-7",'SKU明细'!$A$11:$A$1309,0)))&amp;" + 待核",SUM(INDEX('SKU明细'!$D$11:$D$1309,MATCH("230918-BW-S-Z-7",'SKU明细'!$A$11:$A$1309,0)))))</x:f>
        <x:v>0</x:v>
      </x:c>
      <x:c r="K173" s="38" t="str">
        <x:f>"—"</x:f>
        <x:v>—</x:v>
      </x:c>
      <x:c r="L173" s="38" t="n">
        <x:f>IF(COUNT(INDEX('SKU明细'!$D$11:$D$1309,MATCH("230918-BW-S-Z-8",'SKU明细'!$A$11:$A$1309,0)))=0,"待核",IF(COUNT(INDEX('SKU明细'!$D$11:$D$1309,MATCH("230918-BW-S-Z-8",'SKU明细'!$A$11:$A$1309,0)))&lt;1,SUM(INDEX('SKU明细'!$D$11:$D$1309,MATCH("230918-BW-S-Z-8",'SKU明细'!$A$11:$A$1309,0)))&amp;" + 待核",SUM(INDEX('SKU明细'!$D$11:$D$1309,MATCH("230918-BW-S-Z-8",'SKU明细'!$A$11:$A$1309,0)))))</x:f>
        <x:v>0</x:v>
      </x:c>
      <x:c r="M173" s="38" t="str">
        <x:f>"—"</x:f>
        <x:v>—</x:v>
      </x:c>
      <x:c r="N173" s="38" t="n">
        <x:f>IF(COUNT(INDEX('SKU明细'!$D$11:$D$1309,MATCH("230918-BW-S-Z-9",'SKU明细'!$A$11:$A$1309,0)))=0,"待核",IF(COUNT(INDEX('SKU明细'!$D$11:$D$1309,MATCH("230918-BW-S-Z-9",'SKU明细'!$A$11:$A$1309,0)))&lt;1,SUM(INDEX('SKU明细'!$D$11:$D$1309,MATCH("230918-BW-S-Z-9",'SKU明细'!$A$11:$A$1309,0)))&amp;" + 待核",SUM(INDEX('SKU明细'!$D$11:$D$1309,MATCH("230918-BW-S-Z-9",'SKU明细'!$A$11:$A$1309,0)))))</x:f>
        <x:v>0</x:v>
      </x:c>
      <x:c r="O173" s="38" t="str">
        <x:f>"—"</x:f>
        <x:v>—</x:v>
      </x:c>
      <x:c r="P173" s="38" t="n">
        <x:f>IF(COUNT(INDEX('SKU明细'!$D$11:$D$1309,MATCH("230918-BW-S-Z-10",'SKU明细'!$A$11:$A$1309,0)))=0,"待核",IF(COUNT(INDEX('SKU明细'!$D$11:$D$1309,MATCH("230918-BW-S-Z-10",'SKU明细'!$A$11:$A$1309,0)))&lt;1,SUM(INDEX('SKU明细'!$D$11:$D$1309,MATCH("230918-BW-S-Z-10",'SKU明细'!$A$11:$A$1309,0)))&amp;" + 待核",SUM(INDEX('SKU明细'!$D$11:$D$1309,MATCH("230918-BW-S-Z-10",'SKU明细'!$A$11:$A$1309,0)))))</x:f>
        <x:v>0</x:v>
      </x:c>
      <x:c r="Q173" s="38" t="str">
        <x:f>"—"</x:f>
        <x:v>—</x:v>
      </x:c>
      <x:c r="R173" s="38" t="n">
        <x:f>IF(COUNT(INDEX('SKU明细'!$D$11:$D$1309,MATCH("230918-BW-S-Z-11",'SKU明细'!$A$11:$A$1309,0)))=0,"待核",IF(COUNT(INDEX('SKU明细'!$D$11:$D$1309,MATCH("230918-BW-S-Z-11",'SKU明细'!$A$11:$A$1309,0)))&lt;1,SUM(INDEX('SKU明细'!$D$11:$D$1309,MATCH("230918-BW-S-Z-11",'SKU明细'!$A$11:$A$1309,0)))&amp;" + 待核",SUM(INDEX('SKU明细'!$D$11:$D$1309,MATCH("230918-BW-S-Z-11",'SKU明细'!$A$11:$A$1309,0)))))</x:f>
        <x:v>0</x:v>
      </x:c>
      <x:c r="S173" s="38" t="n">
        <x:f>IF(COUNT(INDEX('SKU明细'!$D$11:$D$1309,MATCH("230918-BW-S-Z-6",'SKU明细'!$A$11:$A$1309,0)),INDEX('SKU明细'!$D$11:$D$1309,MATCH("230918-BW-S-Z-7",'SKU明细'!$A$11:$A$1309,0)),INDEX('SKU明细'!$D$11:$D$1309,MATCH("230918-BW-S-Z-8",'SKU明细'!$A$11:$A$1309,0)),INDEX('SKU明细'!$D$11:$D$1309,MATCH("230918-BW-S-Z-9",'SKU明细'!$A$11:$A$1309,0)),INDEX('SKU明细'!$D$11:$D$1309,MATCH("230918-BW-S-Z-10",'SKU明细'!$A$11:$A$1309,0)),INDEX('SKU明细'!$D$11:$D$1309,MATCH("230918-BW-S-Z-11",'SKU明细'!$A$11:$A$1309,0)))=0,"待核",SUM(INDEX('SKU明细'!$D$11:$D$1309,MATCH("230918-BW-S-Z-6",'SKU明细'!$A$11:$A$1309,0)),INDEX('SKU明细'!$D$11:$D$1309,MATCH("230918-BW-S-Z-7",'SKU明细'!$A$11:$A$1309,0)),INDEX('SKU明细'!$D$11:$D$1309,MATCH("230918-BW-S-Z-8",'SKU明细'!$A$11:$A$1309,0)),INDEX('SKU明细'!$D$11:$D$1309,MATCH("230918-BW-S-Z-9",'SKU明细'!$A$11:$A$1309,0)),INDEX('SKU明细'!$D$11:$D$1309,MATCH("230918-BW-S-Z-10",'SKU明细'!$A$11:$A$1309,0)),INDEX('SKU明细'!$D$11:$D$1309,MATCH("230918-BW-S-Z-11",'SKU明细'!$A$11:$A$1309,0))))</x:f>
        <x:v>0</x:v>
      </x:c>
      <x:c r="T173" s="38" t="n">
        <x:f>IF(COUNTIFS($A$9:$A$191,A173,$U$9:$U$191,"&lt;&gt;待核")=0,"待核",SUMIF($A$9:$A$191,A173,$S$9:$S$191))</x:f>
        <x:v>73</x:v>
      </x:c>
      <x:c r="U173" s="37" t="str">
        <x:f>IF(COUNT(INDEX('SKU明细'!$D$11:$D$1309,MATCH("230918-BW-S-Z-6",'SKU明细'!$A$11:$A$1309,0)),INDEX('SKU明细'!$D$11:$D$1309,MATCH("230918-BW-S-Z-7",'SKU明细'!$A$11:$A$1309,0)),INDEX('SKU明细'!$D$11:$D$1309,MATCH("230918-BW-S-Z-8",'SKU明细'!$A$11:$A$1309,0)),INDEX('SKU明细'!$D$11:$D$1309,MATCH("230918-BW-S-Z-9",'SKU明细'!$A$11:$A$1309,0)),INDEX('SKU明细'!$D$11:$D$1309,MATCH("230918-BW-S-Z-10",'SKU明细'!$A$11:$A$1309,0)),INDEX('SKU明细'!$D$11:$D$1309,MATCH("230918-BW-S-Z-11",'SKU明细'!$A$11:$A$1309,0)))=0,"待核",IF(COUNT(INDEX('SKU明细'!$D$11:$D$1309,MATCH("230918-BW-S-Z-6",'SKU明细'!$A$11:$A$1309,0)),INDEX('SKU明细'!$D$11:$D$1309,MATCH("230918-BW-S-Z-7",'SKU明细'!$A$11:$A$1309,0)),INDEX('SKU明细'!$D$11:$D$1309,MATCH("230918-BW-S-Z-8",'SKU明细'!$A$11:$A$1309,0)),INDEX('SKU明细'!$D$11:$D$1309,MATCH("230918-BW-S-Z-9",'SKU明细'!$A$11:$A$1309,0)),INDEX('SKU明细'!$D$11:$D$1309,MATCH("230918-BW-S-Z-10",'SKU明细'!$A$11:$A$1309,0)),INDEX('SKU明细'!$D$11:$D$1309,MATCH("230918-BW-S-Z-11",'SKU明细'!$A$11:$A$1309,0)))&lt;6,"另有待核","已核"))</x:f>
        <x:v>已核</x:v>
      </x:c>
      <x:c r="V173" s="37" t="str">
        <x:v>在售</x:v>
      </x:c>
      <x:c r="W173" s="11" t="n">
        <x:f>IF(COUNT(INDEX('SKU明细'!$BV$11:$BV$1309,MATCH("230918-BW-S-Z-6",'SKU明细'!$A$11:$A$1309,0)),INDEX('SKU明细'!$BV$11:$BV$1309,MATCH("230918-BW-S-Z-7",'SKU明细'!$A$11:$A$1309,0)),INDEX('SKU明细'!$BV$11:$BV$1309,MATCH("230918-BW-S-Z-8",'SKU明细'!$A$11:$A$1309,0)),INDEX('SKU明细'!$BV$11:$BV$1309,MATCH("230918-BW-S-Z-9",'SKU明细'!$A$11:$A$1309,0)),INDEX('SKU明细'!$BV$11:$BV$1309,MATCH("230918-BW-S-Z-10",'SKU明细'!$A$11:$A$1309,0)),INDEX('SKU明细'!$BV$11:$BV$1309,MATCH("230918-BW-S-Z-11",'SKU明细'!$A$11:$A$1309,0)))=6,SUM(INDEX('SKU明细'!$BV$11:$BV$1309,MATCH("230918-BW-S-Z-6",'SKU明细'!$A$11:$A$1309,0)),INDEX('SKU明细'!$BV$11:$BV$1309,MATCH("230918-BW-S-Z-7",'SKU明细'!$A$11:$A$1309,0)),INDEX('SKU明细'!$BV$11:$BV$1309,MATCH("230918-BW-S-Z-8",'SKU明细'!$A$11:$A$1309,0)),INDEX('SKU明细'!$BV$11:$BV$1309,MATCH("230918-BW-S-Z-9",'SKU明细'!$A$11:$A$1309,0)),INDEX('SKU明细'!$BV$11:$BV$1309,MATCH("230918-BW-S-Z-10",'SKU明细'!$A$11:$A$1309,0)),INDEX('SKU明细'!$BV$11:$BV$1309,MATCH("230918-BW-S-Z-11",'SKU明细'!$A$11:$A$1309,0))),"待核")</x:f>
        <x:v>2.0540299204395773</x:v>
      </x:c>
      <x:c r="X173" s="11" t="n">
        <x:f>INDEX('SKU明细'!$BW$11:$BW$1309,MATCH("230918-BW-S-Z-6",'SKU明细'!$A$11:$A$1309,0))</x:f>
        <x:v>1.6747911769553037</x:v>
      </x:c>
      <x:c r="Y173" s="13" t="n">
        <x:f>IF(COUNT(INDEX('SKU明细'!$BY$11:$BY$1309,MATCH("230918-BW-S-Z-6",'SKU明细'!$A$11:$A$1309,0)),INDEX('SKU明细'!$BY$11:$BY$1309,MATCH("230918-BW-S-Z-7",'SKU明细'!$A$11:$A$1309,0)),INDEX('SKU明细'!$BY$11:$BY$1309,MATCH("230918-BW-S-Z-8",'SKU明细'!$A$11:$A$1309,0)),INDEX('SKU明细'!$BY$11:$BY$1309,MATCH("230918-BW-S-Z-9",'SKU明细'!$A$11:$A$1309,0)),INDEX('SKU明细'!$BY$11:$BY$1309,MATCH("230918-BW-S-Z-10",'SKU明细'!$A$11:$A$1309,0)),INDEX('SKU明细'!$BY$11:$BY$1309,MATCH("230918-BW-S-Z-11",'SKU明细'!$A$11:$A$1309,0)))=6,SUM(INDEX('SKU明细'!$BY$11:$BY$1309,MATCH("230918-BW-S-Z-6",'SKU明细'!$A$11:$A$1309,0)),INDEX('SKU明细'!$BY$11:$BY$1309,MATCH("230918-BW-S-Z-7",'SKU明细'!$A$11:$A$1309,0)),INDEX('SKU明细'!$BY$11:$BY$1309,MATCH("230918-BW-S-Z-8",'SKU明细'!$A$11:$A$1309,0)),INDEX('SKU明细'!$BY$11:$BY$1309,MATCH("230918-BW-S-Z-9",'SKU明细'!$A$11:$A$1309,0)),INDEX('SKU明细'!$BY$11:$BY$1309,MATCH("230918-BW-S-Z-10",'SKU明细'!$A$11:$A$1309,0)),INDEX('SKU明细'!$BY$11:$BY$1309,MATCH("230918-BW-S-Z-11",'SKU明细'!$A$11:$A$1309,0))),"待核")</x:f>
        <x:v>41.2808542554529</x:v>
      </x:c>
      <x:c r="Z173" s="11" t="n">
        <x:f>INDEX('SKU明细'!$BZ$11:$BZ$1309,MATCH("230918-BW-S-Z-6",'SKU明细'!$A$11:$A$1309,0))</x:f>
        <x:v>1.5065205700457112</x:v>
      </x:c>
      <x:c r="AA173" s="13" t="n">
        <x:f>IF(COUNT(INDEX('SKU明细'!$CB$11:$CB$1309,MATCH("230918-BW-S-Z-6",'SKU明细'!$A$11:$A$1309,0)),INDEX('SKU明细'!$CB$11:$CB$1309,MATCH("230918-BW-S-Z-7",'SKU明细'!$A$11:$A$1309,0)),INDEX('SKU明细'!$CB$11:$CB$1309,MATCH("230918-BW-S-Z-8",'SKU明细'!$A$11:$A$1309,0)),INDEX('SKU明细'!$CB$11:$CB$1309,MATCH("230918-BW-S-Z-9",'SKU明细'!$A$11:$A$1309,0)),INDEX('SKU明细'!$CB$11:$CB$1309,MATCH("230918-BW-S-Z-10",'SKU明细'!$A$11:$A$1309,0)),INDEX('SKU明细'!$CB$11:$CB$1309,MATCH("230918-BW-S-Z-11",'SKU明细'!$A$11:$A$1309,0)))=6,SUM(INDEX('SKU明细'!$CB$11:$CB$1309,MATCH("230918-BW-S-Z-6",'SKU明细'!$A$11:$A$1309,0)),INDEX('SKU明细'!$CB$11:$CB$1309,MATCH("230918-BW-S-Z-7",'SKU明细'!$A$11:$A$1309,0)),INDEX('SKU明细'!$CB$11:$CB$1309,MATCH("230918-BW-S-Z-8",'SKU明细'!$A$11:$A$1309,0)),INDEX('SKU明细'!$CB$11:$CB$1309,MATCH("230918-BW-S-Z-9",'SKU明细'!$A$11:$A$1309,0)),INDEX('SKU明细'!$CB$11:$CB$1309,MATCH("230918-BW-S-Z-10",'SKU明细'!$A$11:$A$1309,0)),INDEX('SKU明细'!$CB$11:$CB$1309,MATCH("230918-BW-S-Z-11",'SKU明细'!$A$11:$A$1309,0))),"待核")</x:f>
        <x:v>92.83314979894736</x:v>
      </x:c>
      <x:c r="AB173" s="11" t="n">
        <x:f>INDEX('SKU明细'!$CC$11:$CC$1309,MATCH("230918-BW-S-Z-6",'SKU明细'!$A$11:$A$1309,0))</x:f>
        <x:v>1.1492423388181006</x:v>
      </x:c>
      <x:c r="AC173" s="13" t="n">
        <x:f>IF(COUNT(INDEX('SKU明细'!$CE$11:$CE$1309,MATCH("230918-BW-S-Z-6",'SKU明细'!$A$11:$A$1309,0)),INDEX('SKU明细'!$CE$11:$CE$1309,MATCH("230918-BW-S-Z-7",'SKU明细'!$A$11:$A$1309,0)),INDEX('SKU明细'!$CE$11:$CE$1309,MATCH("230918-BW-S-Z-8",'SKU明细'!$A$11:$A$1309,0)),INDEX('SKU明细'!$CE$11:$CE$1309,MATCH("230918-BW-S-Z-9",'SKU明细'!$A$11:$A$1309,0)),INDEX('SKU明细'!$CE$11:$CE$1309,MATCH("230918-BW-S-Z-10",'SKU明细'!$A$11:$A$1309,0)),INDEX('SKU明细'!$CE$11:$CE$1309,MATCH("230918-BW-S-Z-11",'SKU明细'!$A$11:$A$1309,0)))=6,SUM(INDEX('SKU明细'!$CE$11:$CE$1309,MATCH("230918-BW-S-Z-6",'SKU明细'!$A$11:$A$1309,0)),INDEX('SKU明细'!$CE$11:$CE$1309,MATCH("230918-BW-S-Z-7",'SKU明细'!$A$11:$A$1309,0)),INDEX('SKU明细'!$CE$11:$CE$1309,MATCH("230918-BW-S-Z-8",'SKU明细'!$A$11:$A$1309,0)),INDEX('SKU明细'!$CE$11:$CE$1309,MATCH("230918-BW-S-Z-9",'SKU明细'!$A$11:$A$1309,0)),INDEX('SKU明细'!$CE$11:$CE$1309,MATCH("230918-BW-S-Z-10",'SKU明细'!$A$11:$A$1309,0)),INDEX('SKU明细'!$CE$11:$CE$1309,MATCH("230918-BW-S-Z-11",'SKU明细'!$A$11:$A$1309,0))),"待核")</x:f>
        <x:v>73.17792264281844</x:v>
      </x:c>
      <x:c r="AD173" s="11" t="n">
        <x:f>INDEX('SKU明细'!$CF$11:$CF$1309,MATCH("230918-BW-S-Z-6",'SKU明细'!$A$11:$A$1309,0))</x:f>
        <x:v>0.6426892418183868</x:v>
      </x:c>
      <x:c r="AE173" s="13" t="n">
        <x:f>IF(COUNT(INDEX('SKU明细'!$CH$11:$CH$1309,MATCH("230918-BW-S-Z-6",'SKU明细'!$A$11:$A$1309,0)),INDEX('SKU明细'!$CH$11:$CH$1309,MATCH("230918-BW-S-Z-7",'SKU明细'!$A$11:$A$1309,0)),INDEX('SKU明细'!$CH$11:$CH$1309,MATCH("230918-BW-S-Z-8",'SKU明细'!$A$11:$A$1309,0)),INDEX('SKU明细'!$CH$11:$CH$1309,MATCH("230918-BW-S-Z-9",'SKU明细'!$A$11:$A$1309,0)),INDEX('SKU明细'!$CH$11:$CH$1309,MATCH("230918-BW-S-Z-10",'SKU明细'!$A$11:$A$1309,0)),INDEX('SKU明细'!$CH$11:$CH$1309,MATCH("230918-BW-S-Z-11",'SKU明细'!$A$11:$A$1309,0)))=6,SUM(INDEX('SKU明细'!$CH$11:$CH$1309,MATCH("230918-BW-S-Z-6",'SKU明细'!$A$11:$A$1309,0)),INDEX('SKU明细'!$CH$11:$CH$1309,MATCH("230918-BW-S-Z-7",'SKU明细'!$A$11:$A$1309,0)),INDEX('SKU明细'!$CH$11:$CH$1309,MATCH("230918-BW-S-Z-8",'SKU明细'!$A$11:$A$1309,0)),INDEX('SKU明细'!$CH$11:$CH$1309,MATCH("230918-BW-S-Z-9",'SKU明细'!$A$11:$A$1309,0)),INDEX('SKU明细'!$CH$11:$CH$1309,MATCH("230918-BW-S-Z-10",'SKU明细'!$A$11:$A$1309,0)),INDEX('SKU明细'!$CH$11:$CH$1309,MATCH("230918-BW-S-Z-11",'SKU明细'!$A$11:$A$1309,0))),"待核")</x:f>
        <x:v>22.441749848073087</x:v>
      </x:c>
      <x:c r="AF173" s="13" t="n">
        <x:f>IF(COUNT(INDEX('SKU明细'!$CI$11:$CI$1309,MATCH("230918-BW-S-Z-6",'SKU明细'!$A$11:$A$1309,0)),INDEX('SKU明细'!$CI$11:$CI$1309,MATCH("230918-BW-S-Z-7",'SKU明细'!$A$11:$A$1309,0)),INDEX('SKU明细'!$CI$11:$CI$1309,MATCH("230918-BW-S-Z-8",'SKU明细'!$A$11:$A$1309,0)),INDEX('SKU明细'!$CI$11:$CI$1309,MATCH("230918-BW-S-Z-9",'SKU明细'!$A$11:$A$1309,0)),INDEX('SKU明细'!$CI$11:$CI$1309,MATCH("230918-BW-S-Z-10",'SKU明细'!$A$11:$A$1309,0)),INDEX('SKU明细'!$CI$11:$CI$1309,MATCH("230918-BW-S-Z-11",'SKU明细'!$A$11:$A$1309,0)))=6,SUM(INDEX('SKU明细'!$CI$11:$CI$1309,MATCH("230918-BW-S-Z-6",'SKU明细'!$A$11:$A$1309,0)),INDEX('SKU明细'!$CI$11:$CI$1309,MATCH("230918-BW-S-Z-7",'SKU明细'!$A$11:$A$1309,0)),INDEX('SKU明细'!$CI$11:$CI$1309,MATCH("230918-BW-S-Z-8",'SKU明细'!$A$11:$A$1309,0)),INDEX('SKU明细'!$CI$11:$CI$1309,MATCH("230918-BW-S-Z-9",'SKU明细'!$A$11:$A$1309,0)),INDEX('SKU明细'!$CI$11:$CI$1309,MATCH("230918-BW-S-Z-10",'SKU明细'!$A$11:$A$1309,0)),INDEX('SKU明细'!$CI$11:$CI$1309,MATCH("230918-BW-S-Z-11",'SKU明细'!$A$11:$A$1309,0))),"待核")</x:f>
        <x:v>229.73367654529181</x:v>
      </x:c>
    </x:row>
    <x:row r="174" ht="40" customHeight="1">
      <x:c r="A174" s="37" t="str">
        <x:v>230918</x:v>
      </x:c>
      <x:c r="B174" s="37" t="str">
        <x:v>艾年</x:v>
      </x:c>
      <x:c r="C174" s="37" t="str">
        <x:v>豹纹</x:v>
      </x:c>
      <x:c r="D174" s="37" t="str">
        <x:v>LP</x:v>
      </x:c>
      <x:c r="E174" s="37" t="str">
        <x:v>230918-LP-S-Z</x:v>
      </x:c>
      <x:c r="F174" s="37"/>
      <x:c r="G174" s="38" t="str">
        <x:f>"—"</x:f>
        <x:v>—</x:v>
      </x:c>
      <x:c r="H174" s="38" t="n">
        <x:f>IF(COUNT(INDEX('SKU明细'!$D$11:$D$1309,MATCH("230918-LP-S-Z-6",'SKU明细'!$A$11:$A$1309,0)))=0,"待核",IF(COUNT(INDEX('SKU明细'!$D$11:$D$1309,MATCH("230918-LP-S-Z-6",'SKU明细'!$A$11:$A$1309,0)))&lt;1,SUM(INDEX('SKU明细'!$D$11:$D$1309,MATCH("230918-LP-S-Z-6",'SKU明细'!$A$11:$A$1309,0)))&amp;" + 待核",SUM(INDEX('SKU明细'!$D$11:$D$1309,MATCH("230918-LP-S-Z-6",'SKU明细'!$A$11:$A$1309,0)))))</x:f>
        <x:v>0</x:v>
      </x:c>
      <x:c r="I174" s="38" t="str">
        <x:f>"—"</x:f>
        <x:v>—</x:v>
      </x:c>
      <x:c r="J174" s="38" t="n">
        <x:f>IF(COUNT(INDEX('SKU明细'!$D$11:$D$1309,MATCH("230918-LP-S-Z-7",'SKU明细'!$A$11:$A$1309,0)))=0,"待核",IF(COUNT(INDEX('SKU明细'!$D$11:$D$1309,MATCH("230918-LP-S-Z-7",'SKU明细'!$A$11:$A$1309,0)))&lt;1,SUM(INDEX('SKU明细'!$D$11:$D$1309,MATCH("230918-LP-S-Z-7",'SKU明细'!$A$11:$A$1309,0)))&amp;" + 待核",SUM(INDEX('SKU明细'!$D$11:$D$1309,MATCH("230918-LP-S-Z-7",'SKU明细'!$A$11:$A$1309,0)))))</x:f>
        <x:v>0</x:v>
      </x:c>
      <x:c r="K174" s="38" t="str">
        <x:f>"—"</x:f>
        <x:v>—</x:v>
      </x:c>
      <x:c r="L174" s="38" t="n">
        <x:f>IF(COUNT(INDEX('SKU明细'!$D$11:$D$1309,MATCH("230918-LP-S-Z-8",'SKU明细'!$A$11:$A$1309,0)))=0,"待核",IF(COUNT(INDEX('SKU明细'!$D$11:$D$1309,MATCH("230918-LP-S-Z-8",'SKU明细'!$A$11:$A$1309,0)))&lt;1,SUM(INDEX('SKU明细'!$D$11:$D$1309,MATCH("230918-LP-S-Z-8",'SKU明细'!$A$11:$A$1309,0)))&amp;" + 待核",SUM(INDEX('SKU明细'!$D$11:$D$1309,MATCH("230918-LP-S-Z-8",'SKU明细'!$A$11:$A$1309,0)))))</x:f>
        <x:v>0</x:v>
      </x:c>
      <x:c r="M174" s="38" t="str">
        <x:f>"—"</x:f>
        <x:v>—</x:v>
      </x:c>
      <x:c r="N174" s="38" t="n">
        <x:f>IF(COUNT(INDEX('SKU明细'!$D$11:$D$1309,MATCH("230918-LP-S-Z-9",'SKU明细'!$A$11:$A$1309,0)))=0,"待核",IF(COUNT(INDEX('SKU明细'!$D$11:$D$1309,MATCH("230918-LP-S-Z-9",'SKU明细'!$A$11:$A$1309,0)))&lt;1,SUM(INDEX('SKU明细'!$D$11:$D$1309,MATCH("230918-LP-S-Z-9",'SKU明细'!$A$11:$A$1309,0)))&amp;" + 待核",SUM(INDEX('SKU明细'!$D$11:$D$1309,MATCH("230918-LP-S-Z-9",'SKU明细'!$A$11:$A$1309,0)))))</x:f>
        <x:v>0</x:v>
      </x:c>
      <x:c r="O174" s="38" t="str">
        <x:f>"—"</x:f>
        <x:v>—</x:v>
      </x:c>
      <x:c r="P174" s="38" t="n">
        <x:f>IF(COUNT(INDEX('SKU明细'!$D$11:$D$1309,MATCH("230918-LP-S-Z-10",'SKU明细'!$A$11:$A$1309,0)))=0,"待核",IF(COUNT(INDEX('SKU明细'!$D$11:$D$1309,MATCH("230918-LP-S-Z-10",'SKU明细'!$A$11:$A$1309,0)))&lt;1,SUM(INDEX('SKU明细'!$D$11:$D$1309,MATCH("230918-LP-S-Z-10",'SKU明细'!$A$11:$A$1309,0)))&amp;" + 待核",SUM(INDEX('SKU明细'!$D$11:$D$1309,MATCH("230918-LP-S-Z-10",'SKU明细'!$A$11:$A$1309,0)))))</x:f>
        <x:v>2</x:v>
      </x:c>
      <x:c r="Q174" s="38" t="str">
        <x:f>"—"</x:f>
        <x:v>—</x:v>
      </x:c>
      <x:c r="R174" s="38" t="n">
        <x:f>IF(COUNT(INDEX('SKU明细'!$D$11:$D$1309,MATCH("230918-LP-S-Z-11",'SKU明细'!$A$11:$A$1309,0)))=0,"待核",IF(COUNT(INDEX('SKU明细'!$D$11:$D$1309,MATCH("230918-LP-S-Z-11",'SKU明细'!$A$11:$A$1309,0)))&lt;1,SUM(INDEX('SKU明细'!$D$11:$D$1309,MATCH("230918-LP-S-Z-11",'SKU明细'!$A$11:$A$1309,0)))&amp;" + 待核",SUM(INDEX('SKU明细'!$D$11:$D$1309,MATCH("230918-LP-S-Z-11",'SKU明细'!$A$11:$A$1309,0)))))</x:f>
        <x:v>0</x:v>
      </x:c>
      <x:c r="S174" s="38" t="n">
        <x:f>IF(COUNT(INDEX('SKU明细'!$D$11:$D$1309,MATCH("230918-LP-S-Z-6",'SKU明细'!$A$11:$A$1309,0)),INDEX('SKU明细'!$D$11:$D$1309,MATCH("230918-LP-S-Z-7",'SKU明细'!$A$11:$A$1309,0)),INDEX('SKU明细'!$D$11:$D$1309,MATCH("230918-LP-S-Z-8",'SKU明细'!$A$11:$A$1309,0)),INDEX('SKU明细'!$D$11:$D$1309,MATCH("230918-LP-S-Z-9",'SKU明细'!$A$11:$A$1309,0)),INDEX('SKU明细'!$D$11:$D$1309,MATCH("230918-LP-S-Z-10",'SKU明细'!$A$11:$A$1309,0)),INDEX('SKU明细'!$D$11:$D$1309,MATCH("230918-LP-S-Z-11",'SKU明细'!$A$11:$A$1309,0)))=0,"待核",SUM(INDEX('SKU明细'!$D$11:$D$1309,MATCH("230918-LP-S-Z-6",'SKU明细'!$A$11:$A$1309,0)),INDEX('SKU明细'!$D$11:$D$1309,MATCH("230918-LP-S-Z-7",'SKU明细'!$A$11:$A$1309,0)),INDEX('SKU明细'!$D$11:$D$1309,MATCH("230918-LP-S-Z-8",'SKU明细'!$A$11:$A$1309,0)),INDEX('SKU明细'!$D$11:$D$1309,MATCH("230918-LP-S-Z-9",'SKU明细'!$A$11:$A$1309,0)),INDEX('SKU明细'!$D$11:$D$1309,MATCH("230918-LP-S-Z-10",'SKU明细'!$A$11:$A$1309,0)),INDEX('SKU明细'!$D$11:$D$1309,MATCH("230918-LP-S-Z-11",'SKU明细'!$A$11:$A$1309,0))))</x:f>
        <x:v>2</x:v>
      </x:c>
      <x:c r="T174" s="38" t="n">
        <x:f>IF(COUNTIFS($A$9:$A$191,A174,$U$9:$U$191,"&lt;&gt;待核")=0,"待核",SUMIF($A$9:$A$191,A174,$S$9:$S$191))</x:f>
        <x:v>73</x:v>
      </x:c>
      <x:c r="U174" s="37" t="str">
        <x:f>IF(COUNT(INDEX('SKU明细'!$D$11:$D$1309,MATCH("230918-LP-S-Z-6",'SKU明细'!$A$11:$A$1309,0)),INDEX('SKU明细'!$D$11:$D$1309,MATCH("230918-LP-S-Z-7",'SKU明细'!$A$11:$A$1309,0)),INDEX('SKU明细'!$D$11:$D$1309,MATCH("230918-LP-S-Z-8",'SKU明细'!$A$11:$A$1309,0)),INDEX('SKU明细'!$D$11:$D$1309,MATCH("230918-LP-S-Z-9",'SKU明细'!$A$11:$A$1309,0)),INDEX('SKU明细'!$D$11:$D$1309,MATCH("230918-LP-S-Z-10",'SKU明细'!$A$11:$A$1309,0)),INDEX('SKU明细'!$D$11:$D$1309,MATCH("230918-LP-S-Z-11",'SKU明细'!$A$11:$A$1309,0)))=0,"待核",IF(COUNT(INDEX('SKU明细'!$D$11:$D$1309,MATCH("230918-LP-S-Z-6",'SKU明细'!$A$11:$A$1309,0)),INDEX('SKU明细'!$D$11:$D$1309,MATCH("230918-LP-S-Z-7",'SKU明细'!$A$11:$A$1309,0)),INDEX('SKU明细'!$D$11:$D$1309,MATCH("230918-LP-S-Z-8",'SKU明细'!$A$11:$A$1309,0)),INDEX('SKU明细'!$D$11:$D$1309,MATCH("230918-LP-S-Z-9",'SKU明细'!$A$11:$A$1309,0)),INDEX('SKU明细'!$D$11:$D$1309,MATCH("230918-LP-S-Z-10",'SKU明细'!$A$11:$A$1309,0)),INDEX('SKU明细'!$D$11:$D$1309,MATCH("230918-LP-S-Z-11",'SKU明细'!$A$11:$A$1309,0)))&lt;6,"另有待核","已核"))</x:f>
        <x:v>已核</x:v>
      </x:c>
      <x:c r="V174" s="37" t="str">
        <x:v>在售、停售</x:v>
      </x:c>
      <x:c r="W174" s="11" t="n">
        <x:f>IF(COUNT(INDEX('SKU明细'!$BV$11:$BV$1309,MATCH("230918-LP-S-Z-6",'SKU明细'!$A$11:$A$1309,0)),INDEX('SKU明细'!$BV$11:$BV$1309,MATCH("230918-LP-S-Z-7",'SKU明细'!$A$11:$A$1309,0)),INDEX('SKU明细'!$BV$11:$BV$1309,MATCH("230918-LP-S-Z-8",'SKU明细'!$A$11:$A$1309,0)),INDEX('SKU明细'!$BV$11:$BV$1309,MATCH("230918-LP-S-Z-9",'SKU明细'!$A$11:$A$1309,0)),INDEX('SKU明细'!$BV$11:$BV$1309,MATCH("230918-LP-S-Z-10",'SKU明细'!$A$11:$A$1309,0)),INDEX('SKU明细'!$BV$11:$BV$1309,MATCH("230918-LP-S-Z-11",'SKU明细'!$A$11:$A$1309,0)))=6,SUM(INDEX('SKU明细'!$BV$11:$BV$1309,MATCH("230918-LP-S-Z-6",'SKU明细'!$A$11:$A$1309,0)),INDEX('SKU明细'!$BV$11:$BV$1309,MATCH("230918-LP-S-Z-7",'SKU明细'!$A$11:$A$1309,0)),INDEX('SKU明细'!$BV$11:$BV$1309,MATCH("230918-LP-S-Z-8",'SKU明细'!$A$11:$A$1309,0)),INDEX('SKU明细'!$BV$11:$BV$1309,MATCH("230918-LP-S-Z-9",'SKU明细'!$A$11:$A$1309,0)),INDEX('SKU明细'!$BV$11:$BV$1309,MATCH("230918-LP-S-Z-10",'SKU明细'!$A$11:$A$1309,0)),INDEX('SKU明细'!$BV$11:$BV$1309,MATCH("230918-LP-S-Z-11",'SKU明细'!$A$11:$A$1309,0))),"待核")</x:f>
        <x:v>0.9107686166172771</x:v>
      </x:c>
      <x:c r="X174" s="11" t="n">
        <x:f>INDEX('SKU明细'!$BW$11:$BW$1309,MATCH("230918-LP-S-Z-6",'SKU明细'!$A$11:$A$1309,0))</x:f>
        <x:v>1.6747911769553037</x:v>
      </x:c>
      <x:c r="Y174" s="13" t="n">
        <x:f>IF(COUNT(INDEX('SKU明细'!$BY$11:$BY$1309,MATCH("230918-LP-S-Z-6",'SKU明细'!$A$11:$A$1309,0)),INDEX('SKU明细'!$BY$11:$BY$1309,MATCH("230918-LP-S-Z-7",'SKU明细'!$A$11:$A$1309,0)),INDEX('SKU明细'!$BY$11:$BY$1309,MATCH("230918-LP-S-Z-8",'SKU明细'!$A$11:$A$1309,0)),INDEX('SKU明细'!$BY$11:$BY$1309,MATCH("230918-LP-S-Z-9",'SKU明细'!$A$11:$A$1309,0)),INDEX('SKU明细'!$BY$11:$BY$1309,MATCH("230918-LP-S-Z-10",'SKU明细'!$A$11:$A$1309,0)),INDEX('SKU明细'!$BY$11:$BY$1309,MATCH("230918-LP-S-Z-11",'SKU明细'!$A$11:$A$1309,0)))=6,SUM(INDEX('SKU明细'!$BY$11:$BY$1309,MATCH("230918-LP-S-Z-6",'SKU明细'!$A$11:$A$1309,0)),INDEX('SKU明细'!$BY$11:$BY$1309,MATCH("230918-LP-S-Z-7",'SKU明细'!$A$11:$A$1309,0)),INDEX('SKU明细'!$BY$11:$BY$1309,MATCH("230918-LP-S-Z-8",'SKU明细'!$A$11:$A$1309,0)),INDEX('SKU明细'!$BY$11:$BY$1309,MATCH("230918-LP-S-Z-9",'SKU明细'!$A$11:$A$1309,0)),INDEX('SKU明细'!$BY$11:$BY$1309,MATCH("230918-LP-S-Z-10",'SKU明细'!$A$11:$A$1309,0)),INDEX('SKU明细'!$BY$11:$BY$1309,MATCH("230918-LP-S-Z-11",'SKU明细'!$A$11:$A$1309,0))),"待核")</x:f>
        <x:v>18.304166920300837</x:v>
      </x:c>
      <x:c r="Z174" s="11" t="n">
        <x:f>INDEX('SKU明细'!$BZ$11:$BZ$1309,MATCH("230918-LP-S-Z-6",'SKU明细'!$A$11:$A$1309,0))</x:f>
        <x:v>1.5065205700457112</x:v>
      </x:c>
      <x:c r="AA174" s="13" t="n">
        <x:f>IF(COUNT(INDEX('SKU明细'!$CB$11:$CB$1309,MATCH("230918-LP-S-Z-6",'SKU明细'!$A$11:$A$1309,0)),INDEX('SKU明细'!$CB$11:$CB$1309,MATCH("230918-LP-S-Z-7",'SKU明细'!$A$11:$A$1309,0)),INDEX('SKU明细'!$CB$11:$CB$1309,MATCH("230918-LP-S-Z-8",'SKU明细'!$A$11:$A$1309,0)),INDEX('SKU明细'!$CB$11:$CB$1309,MATCH("230918-LP-S-Z-9",'SKU明细'!$A$11:$A$1309,0)),INDEX('SKU明细'!$CB$11:$CB$1309,MATCH("230918-LP-S-Z-10",'SKU明细'!$A$11:$A$1309,0)),INDEX('SKU明细'!$CB$11:$CB$1309,MATCH("230918-LP-S-Z-11",'SKU明细'!$A$11:$A$1309,0)))=6,SUM(INDEX('SKU明细'!$CB$11:$CB$1309,MATCH("230918-LP-S-Z-6",'SKU明细'!$A$11:$A$1309,0)),INDEX('SKU明细'!$CB$11:$CB$1309,MATCH("230918-LP-S-Z-7",'SKU明细'!$A$11:$A$1309,0)),INDEX('SKU明细'!$CB$11:$CB$1309,MATCH("230918-LP-S-Z-8",'SKU明细'!$A$11:$A$1309,0)),INDEX('SKU明细'!$CB$11:$CB$1309,MATCH("230918-LP-S-Z-9",'SKU明细'!$A$11:$A$1309,0)),INDEX('SKU明细'!$CB$11:$CB$1309,MATCH("230918-LP-S-Z-10",'SKU明细'!$A$11:$A$1309,0)),INDEX('SKU明细'!$CB$11:$CB$1309,MATCH("230918-LP-S-Z-11",'SKU明细'!$A$11:$A$1309,0))),"待核")</x:f>
        <x:v>41.16274966458012</x:v>
      </x:c>
      <x:c r="AB174" s="11" t="n">
        <x:f>INDEX('SKU明细'!$CC$11:$CC$1309,MATCH("230918-LP-S-Z-6",'SKU明细'!$A$11:$A$1309,0))</x:f>
        <x:v>1.1492423388181006</x:v>
      </x:c>
      <x:c r="AC174" s="13" t="n">
        <x:f>IF(COUNT(INDEX('SKU明细'!$CE$11:$CE$1309,MATCH("230918-LP-S-Z-6",'SKU明细'!$A$11:$A$1309,0)),INDEX('SKU明细'!$CE$11:$CE$1309,MATCH("230918-LP-S-Z-7",'SKU明细'!$A$11:$A$1309,0)),INDEX('SKU明细'!$CE$11:$CE$1309,MATCH("230918-LP-S-Z-8",'SKU明细'!$A$11:$A$1309,0)),INDEX('SKU明细'!$CE$11:$CE$1309,MATCH("230918-LP-S-Z-9",'SKU明细'!$A$11:$A$1309,0)),INDEX('SKU明细'!$CE$11:$CE$1309,MATCH("230918-LP-S-Z-10",'SKU明细'!$A$11:$A$1309,0)),INDEX('SKU明细'!$CE$11:$CE$1309,MATCH("230918-LP-S-Z-11",'SKU明细'!$A$11:$A$1309,0)))=6,SUM(INDEX('SKU明细'!$CE$11:$CE$1309,MATCH("230918-LP-S-Z-6",'SKU明细'!$A$11:$A$1309,0)),INDEX('SKU明细'!$CE$11:$CE$1309,MATCH("230918-LP-S-Z-7",'SKU明细'!$A$11:$A$1309,0)),INDEX('SKU明细'!$CE$11:$CE$1309,MATCH("230918-LP-S-Z-8",'SKU明细'!$A$11:$A$1309,0)),INDEX('SKU明细'!$CE$11:$CE$1309,MATCH("230918-LP-S-Z-9",'SKU明细'!$A$11:$A$1309,0)),INDEX('SKU明细'!$CE$11:$CE$1309,MATCH("230918-LP-S-Z-10",'SKU明细'!$A$11:$A$1309,0)),INDEX('SKU明细'!$CE$11:$CE$1309,MATCH("230918-LP-S-Z-11",'SKU明细'!$A$11:$A$1309,0))),"待核")</x:f>
        <x:v>32.44750950758433</x:v>
      </x:c>
      <x:c r="AD174" s="11" t="n">
        <x:f>INDEX('SKU明细'!$CF$11:$CF$1309,MATCH("230918-LP-S-Z-6",'SKU明细'!$A$11:$A$1309,0))</x:f>
        <x:v>0.6426892418183868</x:v>
      </x:c>
      <x:c r="AE174" s="13" t="n">
        <x:f>IF(COUNT(INDEX('SKU明细'!$CH$11:$CH$1309,MATCH("230918-LP-S-Z-6",'SKU明细'!$A$11:$A$1309,0)),INDEX('SKU明细'!$CH$11:$CH$1309,MATCH("230918-LP-S-Z-7",'SKU明细'!$A$11:$A$1309,0)),INDEX('SKU明细'!$CH$11:$CH$1309,MATCH("230918-LP-S-Z-8",'SKU明细'!$A$11:$A$1309,0)),INDEX('SKU明细'!$CH$11:$CH$1309,MATCH("230918-LP-S-Z-9",'SKU明细'!$A$11:$A$1309,0)),INDEX('SKU明细'!$CH$11:$CH$1309,MATCH("230918-LP-S-Z-10",'SKU明细'!$A$11:$A$1309,0)),INDEX('SKU明细'!$CH$11:$CH$1309,MATCH("230918-LP-S-Z-11",'SKU明细'!$A$11:$A$1309,0)))=6,SUM(INDEX('SKU明细'!$CH$11:$CH$1309,MATCH("230918-LP-S-Z-6",'SKU明细'!$A$11:$A$1309,0)),INDEX('SKU明细'!$CH$11:$CH$1309,MATCH("230918-LP-S-Z-7",'SKU明细'!$A$11:$A$1309,0)),INDEX('SKU明细'!$CH$11:$CH$1309,MATCH("230918-LP-S-Z-8",'SKU明细'!$A$11:$A$1309,0)),INDEX('SKU明细'!$CH$11:$CH$1309,MATCH("230918-LP-S-Z-9",'SKU明细'!$A$11:$A$1309,0)),INDEX('SKU明细'!$CH$11:$CH$1309,MATCH("230918-LP-S-Z-10",'SKU明细'!$A$11:$A$1309,0)),INDEX('SKU明细'!$CH$11:$CH$1309,MATCH("230918-LP-S-Z-11",'SKU明细'!$A$11:$A$1309,0))),"待核")</x:f>
        <x:v>9.95080025865756</x:v>
      </x:c>
      <x:c r="AF174" s="13" t="n">
        <x:f>IF(COUNT(INDEX('SKU明细'!$CI$11:$CI$1309,MATCH("230918-LP-S-Z-6",'SKU明细'!$A$11:$A$1309,0)),INDEX('SKU明细'!$CI$11:$CI$1309,MATCH("230918-LP-S-Z-7",'SKU明细'!$A$11:$A$1309,0)),INDEX('SKU明细'!$CI$11:$CI$1309,MATCH("230918-LP-S-Z-8",'SKU明细'!$A$11:$A$1309,0)),INDEX('SKU明细'!$CI$11:$CI$1309,MATCH("230918-LP-S-Z-9",'SKU明细'!$A$11:$A$1309,0)),INDEX('SKU明细'!$CI$11:$CI$1309,MATCH("230918-LP-S-Z-10",'SKU明细'!$A$11:$A$1309,0)),INDEX('SKU明细'!$CI$11:$CI$1309,MATCH("230918-LP-S-Z-11",'SKU明细'!$A$11:$A$1309,0)))=6,SUM(INDEX('SKU明细'!$CI$11:$CI$1309,MATCH("230918-LP-S-Z-6",'SKU明细'!$A$11:$A$1309,0)),INDEX('SKU明细'!$CI$11:$CI$1309,MATCH("230918-LP-S-Z-7",'SKU明细'!$A$11:$A$1309,0)),INDEX('SKU明细'!$CI$11:$CI$1309,MATCH("230918-LP-S-Z-8",'SKU明细'!$A$11:$A$1309,0)),INDEX('SKU明细'!$CI$11:$CI$1309,MATCH("230918-LP-S-Z-9",'SKU明细'!$A$11:$A$1309,0)),INDEX('SKU明细'!$CI$11:$CI$1309,MATCH("230918-LP-S-Z-10",'SKU明细'!$A$11:$A$1309,0)),INDEX('SKU明细'!$CI$11:$CI$1309,MATCH("230918-LP-S-Z-11",'SKU明细'!$A$11:$A$1309,0))),"待核")</x:f>
        <x:v>101.86522635112286</x:v>
      </x:c>
    </x:row>
    <x:row r="175" ht="40" customHeight="1">
      <x:c r="A175" s="37" t="str">
        <x:v>230918</x:v>
      </x:c>
      <x:c r="B175" s="37" t="str">
        <x:v>艾年</x:v>
      </x:c>
      <x:c r="C175" s="37" t="str">
        <x:v>裸色</x:v>
      </x:c>
      <x:c r="D175" s="37" t="str">
        <x:v>ND</x:v>
      </x:c>
      <x:c r="E175" s="37" t="str">
        <x:v>230918-ND-S-Z</x:v>
      </x:c>
      <x:c r="F175" s="37"/>
      <x:c r="G175" s="38" t="str">
        <x:f>"—"</x:f>
        <x:v>—</x:v>
      </x:c>
      <x:c r="H175" s="38" t="n">
        <x:f>IF(COUNT(INDEX('SKU明细'!$D$11:$D$1309,MATCH("230918-ND-S-Z-6",'SKU明细'!$A$11:$A$1309,0)))=0,"待核",IF(COUNT(INDEX('SKU明细'!$D$11:$D$1309,MATCH("230918-ND-S-Z-6",'SKU明细'!$A$11:$A$1309,0)))&lt;1,SUM(INDEX('SKU明细'!$D$11:$D$1309,MATCH("230918-ND-S-Z-6",'SKU明细'!$A$11:$A$1309,0)))&amp;" + 待核",SUM(INDEX('SKU明细'!$D$11:$D$1309,MATCH("230918-ND-S-Z-6",'SKU明细'!$A$11:$A$1309,0)))))</x:f>
        <x:v>0</x:v>
      </x:c>
      <x:c r="I175" s="38" t="str">
        <x:f>"—"</x:f>
        <x:v>—</x:v>
      </x:c>
      <x:c r="J175" s="38" t="n">
        <x:f>IF(COUNT(INDEX('SKU明细'!$D$11:$D$1309,MATCH("230918-ND-S-Z-7",'SKU明细'!$A$11:$A$1309,0)))=0,"待核",IF(COUNT(INDEX('SKU明细'!$D$11:$D$1309,MATCH("230918-ND-S-Z-7",'SKU明细'!$A$11:$A$1309,0)))&lt;1,SUM(INDEX('SKU明细'!$D$11:$D$1309,MATCH("230918-ND-S-Z-7",'SKU明细'!$A$11:$A$1309,0)))&amp;" + 待核",SUM(INDEX('SKU明细'!$D$11:$D$1309,MATCH("230918-ND-S-Z-7",'SKU明细'!$A$11:$A$1309,0)))))</x:f>
        <x:v>0</x:v>
      </x:c>
      <x:c r="K175" s="38" t="str">
        <x:f>"—"</x:f>
        <x:v>—</x:v>
      </x:c>
      <x:c r="L175" s="38" t="n">
        <x:f>IF(COUNT(INDEX('SKU明细'!$D$11:$D$1309,MATCH("230918-ND-S-Z-8",'SKU明细'!$A$11:$A$1309,0)))=0,"待核",IF(COUNT(INDEX('SKU明细'!$D$11:$D$1309,MATCH("230918-ND-S-Z-8",'SKU明细'!$A$11:$A$1309,0)))&lt;1,SUM(INDEX('SKU明细'!$D$11:$D$1309,MATCH("230918-ND-S-Z-8",'SKU明细'!$A$11:$A$1309,0)))&amp;" + 待核",SUM(INDEX('SKU明细'!$D$11:$D$1309,MATCH("230918-ND-S-Z-8",'SKU明细'!$A$11:$A$1309,0)))))</x:f>
        <x:v>0</x:v>
      </x:c>
      <x:c r="M175" s="38" t="str">
        <x:f>"—"</x:f>
        <x:v>—</x:v>
      </x:c>
      <x:c r="N175" s="38" t="n">
        <x:f>IF(COUNT(INDEX('SKU明细'!$D$11:$D$1309,MATCH("230918-ND-S-Z-9",'SKU明细'!$A$11:$A$1309,0)))=0,"待核",IF(COUNT(INDEX('SKU明细'!$D$11:$D$1309,MATCH("230918-ND-S-Z-9",'SKU明细'!$A$11:$A$1309,0)))&lt;1,SUM(INDEX('SKU明细'!$D$11:$D$1309,MATCH("230918-ND-S-Z-9",'SKU明细'!$A$11:$A$1309,0)))&amp;" + 待核",SUM(INDEX('SKU明细'!$D$11:$D$1309,MATCH("230918-ND-S-Z-9",'SKU明细'!$A$11:$A$1309,0)))))</x:f>
        <x:v>0</x:v>
      </x:c>
      <x:c r="O175" s="38" t="str">
        <x:f>"—"</x:f>
        <x:v>—</x:v>
      </x:c>
      <x:c r="P175" s="38" t="n">
        <x:f>IF(COUNT(INDEX('SKU明细'!$D$11:$D$1309,MATCH("230918-ND-S-Z-10",'SKU明细'!$A$11:$A$1309,0)))=0,"待核",IF(COUNT(INDEX('SKU明细'!$D$11:$D$1309,MATCH("230918-ND-S-Z-10",'SKU明细'!$A$11:$A$1309,0)))&lt;1,SUM(INDEX('SKU明细'!$D$11:$D$1309,MATCH("230918-ND-S-Z-10",'SKU明细'!$A$11:$A$1309,0)))&amp;" + 待核",SUM(INDEX('SKU明细'!$D$11:$D$1309,MATCH("230918-ND-S-Z-10",'SKU明细'!$A$11:$A$1309,0)))))</x:f>
        <x:v>0</x:v>
      </x:c>
      <x:c r="Q175" s="38" t="str">
        <x:f>"—"</x:f>
        <x:v>—</x:v>
      </x:c>
      <x:c r="R175" s="38" t="n">
        <x:f>IF(COUNT(INDEX('SKU明细'!$D$11:$D$1309,MATCH("230918-ND-S-Z-11",'SKU明细'!$A$11:$A$1309,0)))=0,"待核",IF(COUNT(INDEX('SKU明细'!$D$11:$D$1309,MATCH("230918-ND-S-Z-11",'SKU明细'!$A$11:$A$1309,0)))&lt;1,SUM(INDEX('SKU明细'!$D$11:$D$1309,MATCH("230918-ND-S-Z-11",'SKU明细'!$A$11:$A$1309,0)))&amp;" + 待核",SUM(INDEX('SKU明细'!$D$11:$D$1309,MATCH("230918-ND-S-Z-11",'SKU明细'!$A$11:$A$1309,0)))))</x:f>
        <x:v>0</x:v>
      </x:c>
      <x:c r="S175" s="38" t="n">
        <x:f>IF(COUNT(INDEX('SKU明细'!$D$11:$D$1309,MATCH("230918-ND-S-Z-6",'SKU明细'!$A$11:$A$1309,0)),INDEX('SKU明细'!$D$11:$D$1309,MATCH("230918-ND-S-Z-7",'SKU明细'!$A$11:$A$1309,0)),INDEX('SKU明细'!$D$11:$D$1309,MATCH("230918-ND-S-Z-8",'SKU明细'!$A$11:$A$1309,0)),INDEX('SKU明细'!$D$11:$D$1309,MATCH("230918-ND-S-Z-9",'SKU明细'!$A$11:$A$1309,0)),INDEX('SKU明细'!$D$11:$D$1309,MATCH("230918-ND-S-Z-10",'SKU明细'!$A$11:$A$1309,0)),INDEX('SKU明细'!$D$11:$D$1309,MATCH("230918-ND-S-Z-11",'SKU明细'!$A$11:$A$1309,0)))=0,"待核",SUM(INDEX('SKU明细'!$D$11:$D$1309,MATCH("230918-ND-S-Z-6",'SKU明细'!$A$11:$A$1309,0)),INDEX('SKU明细'!$D$11:$D$1309,MATCH("230918-ND-S-Z-7",'SKU明细'!$A$11:$A$1309,0)),INDEX('SKU明细'!$D$11:$D$1309,MATCH("230918-ND-S-Z-8",'SKU明细'!$A$11:$A$1309,0)),INDEX('SKU明细'!$D$11:$D$1309,MATCH("230918-ND-S-Z-9",'SKU明细'!$A$11:$A$1309,0)),INDEX('SKU明细'!$D$11:$D$1309,MATCH("230918-ND-S-Z-10",'SKU明细'!$A$11:$A$1309,0)),INDEX('SKU明细'!$D$11:$D$1309,MATCH("230918-ND-S-Z-11",'SKU明细'!$A$11:$A$1309,0))))</x:f>
        <x:v>0</x:v>
      </x:c>
      <x:c r="T175" s="38" t="n">
        <x:f>IF(COUNTIFS($A$9:$A$191,A175,$U$9:$U$191,"&lt;&gt;待核")=0,"待核",SUMIF($A$9:$A$191,A175,$S$9:$S$191))</x:f>
        <x:v>73</x:v>
      </x:c>
      <x:c r="U175" s="37" t="str">
        <x:f>IF(COUNT(INDEX('SKU明细'!$D$11:$D$1309,MATCH("230918-ND-S-Z-6",'SKU明细'!$A$11:$A$1309,0)),INDEX('SKU明细'!$D$11:$D$1309,MATCH("230918-ND-S-Z-7",'SKU明细'!$A$11:$A$1309,0)),INDEX('SKU明细'!$D$11:$D$1309,MATCH("230918-ND-S-Z-8",'SKU明细'!$A$11:$A$1309,0)),INDEX('SKU明细'!$D$11:$D$1309,MATCH("230918-ND-S-Z-9",'SKU明细'!$A$11:$A$1309,0)),INDEX('SKU明细'!$D$11:$D$1309,MATCH("230918-ND-S-Z-10",'SKU明细'!$A$11:$A$1309,0)),INDEX('SKU明细'!$D$11:$D$1309,MATCH("230918-ND-S-Z-11",'SKU明细'!$A$11:$A$1309,0)))=0,"待核",IF(COUNT(INDEX('SKU明细'!$D$11:$D$1309,MATCH("230918-ND-S-Z-6",'SKU明细'!$A$11:$A$1309,0)),INDEX('SKU明细'!$D$11:$D$1309,MATCH("230918-ND-S-Z-7",'SKU明细'!$A$11:$A$1309,0)),INDEX('SKU明细'!$D$11:$D$1309,MATCH("230918-ND-S-Z-8",'SKU明细'!$A$11:$A$1309,0)),INDEX('SKU明细'!$D$11:$D$1309,MATCH("230918-ND-S-Z-9",'SKU明细'!$A$11:$A$1309,0)),INDEX('SKU明细'!$D$11:$D$1309,MATCH("230918-ND-S-Z-10",'SKU明细'!$A$11:$A$1309,0)),INDEX('SKU明细'!$D$11:$D$1309,MATCH("230918-ND-S-Z-11",'SKU明细'!$A$11:$A$1309,0)))&lt;6,"另有待核","已核"))</x:f>
        <x:v>已核</x:v>
      </x:c>
      <x:c r="V175" s="37" t="str">
        <x:v>在售</x:v>
      </x:c>
      <x:c r="W175" s="11" t="n">
        <x:f>IF(COUNT(INDEX('SKU明细'!$BV$11:$BV$1309,MATCH("230918-ND-S-Z-6",'SKU明细'!$A$11:$A$1309,0)),INDEX('SKU明细'!$BV$11:$BV$1309,MATCH("230918-ND-S-Z-7",'SKU明细'!$A$11:$A$1309,0)),INDEX('SKU明细'!$BV$11:$BV$1309,MATCH("230918-ND-S-Z-8",'SKU明细'!$A$11:$A$1309,0)),INDEX('SKU明细'!$BV$11:$BV$1309,MATCH("230918-ND-S-Z-9",'SKU明细'!$A$11:$A$1309,0)),INDEX('SKU明细'!$BV$11:$BV$1309,MATCH("230918-ND-S-Z-10",'SKU明细'!$A$11:$A$1309,0)),INDEX('SKU明细'!$BV$11:$BV$1309,MATCH("230918-ND-S-Z-11",'SKU明细'!$A$11:$A$1309,0)))=6,SUM(INDEX('SKU明细'!$BV$11:$BV$1309,MATCH("230918-ND-S-Z-6",'SKU明细'!$A$11:$A$1309,0)),INDEX('SKU明细'!$BV$11:$BV$1309,MATCH("230918-ND-S-Z-7",'SKU明细'!$A$11:$A$1309,0)),INDEX('SKU明细'!$BV$11:$BV$1309,MATCH("230918-ND-S-Z-8",'SKU明细'!$A$11:$A$1309,0)),INDEX('SKU明细'!$BV$11:$BV$1309,MATCH("230918-ND-S-Z-9",'SKU明细'!$A$11:$A$1309,0)),INDEX('SKU明细'!$BV$11:$BV$1309,MATCH("230918-ND-S-Z-10",'SKU明细'!$A$11:$A$1309,0)),INDEX('SKU明细'!$BV$11:$BV$1309,MATCH("230918-ND-S-Z-11",'SKU明细'!$A$11:$A$1309,0))),"待核")</x:f>
        <x:v>33.13758128862247</x:v>
      </x:c>
      <x:c r="X175" s="11" t="n">
        <x:f>INDEX('SKU明细'!$BW$11:$BW$1309,MATCH("230918-ND-S-Z-6",'SKU明细'!$A$11:$A$1309,0))</x:f>
        <x:v>1.6747911769553037</x:v>
      </x:c>
      <x:c r="Y175" s="13" t="n">
        <x:f>IF(COUNT(INDEX('SKU明细'!$BY$11:$BY$1309,MATCH("230918-ND-S-Z-6",'SKU明细'!$A$11:$A$1309,0)),INDEX('SKU明细'!$BY$11:$BY$1309,MATCH("230918-ND-S-Z-7",'SKU明细'!$A$11:$A$1309,0)),INDEX('SKU明细'!$BY$11:$BY$1309,MATCH("230918-ND-S-Z-8",'SKU明细'!$A$11:$A$1309,0)),INDEX('SKU明细'!$BY$11:$BY$1309,MATCH("230918-ND-S-Z-9",'SKU明细'!$A$11:$A$1309,0)),INDEX('SKU明细'!$BY$11:$BY$1309,MATCH("230918-ND-S-Z-10",'SKU明细'!$A$11:$A$1309,0)),INDEX('SKU明细'!$BY$11:$BY$1309,MATCH("230918-ND-S-Z-11",'SKU明细'!$A$11:$A$1309,0)))=6,SUM(INDEX('SKU明细'!$BY$11:$BY$1309,MATCH("230918-ND-S-Z-6",'SKU明细'!$A$11:$A$1309,0)),INDEX('SKU明细'!$BY$11:$BY$1309,MATCH("230918-ND-S-Z-7",'SKU明细'!$A$11:$A$1309,0)),INDEX('SKU明细'!$BY$11:$BY$1309,MATCH("230918-ND-S-Z-8",'SKU明细'!$A$11:$A$1309,0)),INDEX('SKU明细'!$BY$11:$BY$1309,MATCH("230918-ND-S-Z-9",'SKU明细'!$A$11:$A$1309,0)),INDEX('SKU明细'!$BY$11:$BY$1309,MATCH("230918-ND-S-Z-10",'SKU明细'!$A$11:$A$1309,0)),INDEX('SKU明细'!$BY$11:$BY$1309,MATCH("230918-ND-S-Z-11",'SKU明细'!$A$11:$A$1309,0))),"待核")</x:f>
        <x:v>665.982345213889</x:v>
      </x:c>
      <x:c r="Z175" s="11" t="n">
        <x:f>INDEX('SKU明细'!$BZ$11:$BZ$1309,MATCH("230918-ND-S-Z-6",'SKU明细'!$A$11:$A$1309,0))</x:f>
        <x:v>1.5065205700457112</x:v>
      </x:c>
      <x:c r="AA175" s="13" t="n">
        <x:f>IF(COUNT(INDEX('SKU明细'!$CB$11:$CB$1309,MATCH("230918-ND-S-Z-6",'SKU明细'!$A$11:$A$1309,0)),INDEX('SKU明细'!$CB$11:$CB$1309,MATCH("230918-ND-S-Z-7",'SKU明细'!$A$11:$A$1309,0)),INDEX('SKU明细'!$CB$11:$CB$1309,MATCH("230918-ND-S-Z-8",'SKU明细'!$A$11:$A$1309,0)),INDEX('SKU明细'!$CB$11:$CB$1309,MATCH("230918-ND-S-Z-9",'SKU明细'!$A$11:$A$1309,0)),INDEX('SKU明细'!$CB$11:$CB$1309,MATCH("230918-ND-S-Z-10",'SKU明细'!$A$11:$A$1309,0)),INDEX('SKU明细'!$CB$11:$CB$1309,MATCH("230918-ND-S-Z-11",'SKU明细'!$A$11:$A$1309,0)))=6,SUM(INDEX('SKU明细'!$CB$11:$CB$1309,MATCH("230918-ND-S-Z-6",'SKU明细'!$A$11:$A$1309,0)),INDEX('SKU明细'!$CB$11:$CB$1309,MATCH("230918-ND-S-Z-7",'SKU明细'!$A$11:$A$1309,0)),INDEX('SKU明细'!$CB$11:$CB$1309,MATCH("230918-ND-S-Z-8",'SKU明细'!$A$11:$A$1309,0)),INDEX('SKU明细'!$CB$11:$CB$1309,MATCH("230918-ND-S-Z-9",'SKU明细'!$A$11:$A$1309,0)),INDEX('SKU明细'!$CB$11:$CB$1309,MATCH("230918-ND-S-Z-10",'SKU明细'!$A$11:$A$1309,0)),INDEX('SKU明细'!$CB$11:$CB$1309,MATCH("230918-ND-S-Z-11",'SKU明细'!$A$11:$A$1309,0))),"待核")</x:f>
        <x:v>1497.6734355861486</x:v>
      </x:c>
      <x:c r="AB175" s="11" t="n">
        <x:f>INDEX('SKU明细'!$CC$11:$CC$1309,MATCH("230918-ND-S-Z-6",'SKU明细'!$A$11:$A$1309,0))</x:f>
        <x:v>1.1492423388181006</x:v>
      </x:c>
      <x:c r="AC175" s="13" t="n">
        <x:f>IF(COUNT(INDEX('SKU明细'!$CE$11:$CE$1309,MATCH("230918-ND-S-Z-6",'SKU明细'!$A$11:$A$1309,0)),INDEX('SKU明细'!$CE$11:$CE$1309,MATCH("230918-ND-S-Z-7",'SKU明细'!$A$11:$A$1309,0)),INDEX('SKU明细'!$CE$11:$CE$1309,MATCH("230918-ND-S-Z-8",'SKU明细'!$A$11:$A$1309,0)),INDEX('SKU明细'!$CE$11:$CE$1309,MATCH("230918-ND-S-Z-9",'SKU明细'!$A$11:$A$1309,0)),INDEX('SKU明细'!$CE$11:$CE$1309,MATCH("230918-ND-S-Z-10",'SKU明细'!$A$11:$A$1309,0)),INDEX('SKU明细'!$CE$11:$CE$1309,MATCH("230918-ND-S-Z-11",'SKU明细'!$A$11:$A$1309,0)))=6,SUM(INDEX('SKU明细'!$CE$11:$CE$1309,MATCH("230918-ND-S-Z-6",'SKU明细'!$A$11:$A$1309,0)),INDEX('SKU明细'!$CE$11:$CE$1309,MATCH("230918-ND-S-Z-7",'SKU明细'!$A$11:$A$1309,0)),INDEX('SKU明细'!$CE$11:$CE$1309,MATCH("230918-ND-S-Z-8",'SKU明细'!$A$11:$A$1309,0)),INDEX('SKU明细'!$CE$11:$CE$1309,MATCH("230918-ND-S-Z-9",'SKU明细'!$A$11:$A$1309,0)),INDEX('SKU明细'!$CE$11:$CE$1309,MATCH("230918-ND-S-Z-10",'SKU明细'!$A$11:$A$1309,0)),INDEX('SKU明细'!$CE$11:$CE$1309,MATCH("230918-ND-S-Z-11",'SKU明细'!$A$11:$A$1309,0))),"待核")</x:f>
        <x:v>1180.5764541102537</x:v>
      </x:c>
      <x:c r="AD175" s="11" t="n">
        <x:f>INDEX('SKU明细'!$CF$11:$CF$1309,MATCH("230918-ND-S-Z-6",'SKU明细'!$A$11:$A$1309,0))</x:f>
        <x:v>0.6426892418183868</x:v>
      </x:c>
      <x:c r="AE175" s="13" t="n">
        <x:f>IF(COUNT(INDEX('SKU明细'!$CH$11:$CH$1309,MATCH("230918-ND-S-Z-6",'SKU明细'!$A$11:$A$1309,0)),INDEX('SKU明细'!$CH$11:$CH$1309,MATCH("230918-ND-S-Z-7",'SKU明细'!$A$11:$A$1309,0)),INDEX('SKU明细'!$CH$11:$CH$1309,MATCH("230918-ND-S-Z-8",'SKU明细'!$A$11:$A$1309,0)),INDEX('SKU明细'!$CH$11:$CH$1309,MATCH("230918-ND-S-Z-9",'SKU明细'!$A$11:$A$1309,0)),INDEX('SKU明细'!$CH$11:$CH$1309,MATCH("230918-ND-S-Z-10",'SKU明细'!$A$11:$A$1309,0)),INDEX('SKU明细'!$CH$11:$CH$1309,MATCH("230918-ND-S-Z-11",'SKU明细'!$A$11:$A$1309,0)))=6,SUM(INDEX('SKU明细'!$CH$11:$CH$1309,MATCH("230918-ND-S-Z-6",'SKU明细'!$A$11:$A$1309,0)),INDEX('SKU明细'!$CH$11:$CH$1309,MATCH("230918-ND-S-Z-7",'SKU明细'!$A$11:$A$1309,0)),INDEX('SKU明细'!$CH$11:$CH$1309,MATCH("230918-ND-S-Z-8",'SKU明细'!$A$11:$A$1309,0)),INDEX('SKU明细'!$CH$11:$CH$1309,MATCH("230918-ND-S-Z-9",'SKU明细'!$A$11:$A$1309,0)),INDEX('SKU明细'!$CH$11:$CH$1309,MATCH("230918-ND-S-Z-10",'SKU明细'!$A$11:$A$1309,0)),INDEX('SKU明细'!$CH$11:$CH$1309,MATCH("230918-ND-S-Z-11",'SKU明细'!$A$11:$A$1309,0))),"待核")</x:f>
        <x:v>362.05183889935887</x:v>
      </x:c>
      <x:c r="AF175" s="13" t="n">
        <x:f>IF(COUNT(INDEX('SKU明细'!$CI$11:$CI$1309,MATCH("230918-ND-S-Z-6",'SKU明细'!$A$11:$A$1309,0)),INDEX('SKU明细'!$CI$11:$CI$1309,MATCH("230918-ND-S-Z-7",'SKU明细'!$A$11:$A$1309,0)),INDEX('SKU明细'!$CI$11:$CI$1309,MATCH("230918-ND-S-Z-8",'SKU明细'!$A$11:$A$1309,0)),INDEX('SKU明细'!$CI$11:$CI$1309,MATCH("230918-ND-S-Z-9",'SKU明细'!$A$11:$A$1309,0)),INDEX('SKU明细'!$CI$11:$CI$1309,MATCH("230918-ND-S-Z-10",'SKU明细'!$A$11:$A$1309,0)),INDEX('SKU明细'!$CI$11:$CI$1309,MATCH("230918-ND-S-Z-11",'SKU明细'!$A$11:$A$1309,0)))=6,SUM(INDEX('SKU明细'!$CI$11:$CI$1309,MATCH("230918-ND-S-Z-6",'SKU明细'!$A$11:$A$1309,0)),INDEX('SKU明细'!$CI$11:$CI$1309,MATCH("230918-ND-S-Z-7",'SKU明细'!$A$11:$A$1309,0)),INDEX('SKU明细'!$CI$11:$CI$1309,MATCH("230918-ND-S-Z-8",'SKU明细'!$A$11:$A$1309,0)),INDEX('SKU明细'!$CI$11:$CI$1309,MATCH("230918-ND-S-Z-9",'SKU明细'!$A$11:$A$1309,0)),INDEX('SKU明细'!$CI$11:$CI$1309,MATCH("230918-ND-S-Z-10",'SKU明细'!$A$11:$A$1309,0)),INDEX('SKU明细'!$CI$11:$CI$1309,MATCH("230918-ND-S-Z-11",'SKU明细'!$A$11:$A$1309,0))),"待核")</x:f>
        <x:v>3706.2840738096497</x:v>
      </x:c>
    </x:row>
    <x:row r="176" ht="40" customHeight="1">
      <x:c r="A176" s="37" t="str">
        <x:v>230918</x:v>
      </x:c>
      <x:c r="B176" s="37" t="str">
        <x:v>艾年</x:v>
      </x:c>
      <x:c r="C176" s="37" t="str">
        <x:v>驼色PU</x:v>
      </x:c>
      <x:c r="D176" s="37" t="str">
        <x:v>TN-P</x:v>
      </x:c>
      <x:c r="E176" s="37" t="str">
        <x:v>230918-TN-P-Z</x:v>
      </x:c>
      <x:c r="F176" s="37"/>
      <x:c r="G176" s="38" t="str">
        <x:f>"—"</x:f>
        <x:v>—</x:v>
      </x:c>
      <x:c r="H176" s="38" t="n">
        <x:f>IF(COUNT(INDEX('SKU明细'!$D$11:$D$1309,MATCH("230918-TN-P-Z-6",'SKU明细'!$A$11:$A$1309,0)))=0,"待核",IF(COUNT(INDEX('SKU明细'!$D$11:$D$1309,MATCH("230918-TN-P-Z-6",'SKU明细'!$A$11:$A$1309,0)))&lt;1,SUM(INDEX('SKU明细'!$D$11:$D$1309,MATCH("230918-TN-P-Z-6",'SKU明细'!$A$11:$A$1309,0)))&amp;" + 待核",SUM(INDEX('SKU明细'!$D$11:$D$1309,MATCH("230918-TN-P-Z-6",'SKU明细'!$A$11:$A$1309,0)))))</x:f>
        <x:v>0</x:v>
      </x:c>
      <x:c r="I176" s="38" t="str">
        <x:f>"—"</x:f>
        <x:v>—</x:v>
      </x:c>
      <x:c r="J176" s="38" t="n">
        <x:f>IF(COUNT(INDEX('SKU明细'!$D$11:$D$1309,MATCH("230918-TN-P-Z-7",'SKU明细'!$A$11:$A$1309,0)))=0,"待核",IF(COUNT(INDEX('SKU明细'!$D$11:$D$1309,MATCH("230918-TN-P-Z-7",'SKU明细'!$A$11:$A$1309,0)))&lt;1,SUM(INDEX('SKU明细'!$D$11:$D$1309,MATCH("230918-TN-P-Z-7",'SKU明细'!$A$11:$A$1309,0)))&amp;" + 待核",SUM(INDEX('SKU明细'!$D$11:$D$1309,MATCH("230918-TN-P-Z-7",'SKU明细'!$A$11:$A$1309,0)))))</x:f>
        <x:v>0</x:v>
      </x:c>
      <x:c r="K176" s="38" t="str">
        <x:f>"—"</x:f>
        <x:v>—</x:v>
      </x:c>
      <x:c r="L176" s="38" t="n">
        <x:f>IF(COUNT(INDEX('SKU明细'!$D$11:$D$1309,MATCH("230918-TN-P-Z-8",'SKU明细'!$A$11:$A$1309,0)))=0,"待核",IF(COUNT(INDEX('SKU明细'!$D$11:$D$1309,MATCH("230918-TN-P-Z-8",'SKU明细'!$A$11:$A$1309,0)))&lt;1,SUM(INDEX('SKU明细'!$D$11:$D$1309,MATCH("230918-TN-P-Z-8",'SKU明细'!$A$11:$A$1309,0)))&amp;" + 待核",SUM(INDEX('SKU明细'!$D$11:$D$1309,MATCH("230918-TN-P-Z-8",'SKU明细'!$A$11:$A$1309,0)))))</x:f>
        <x:v>0</x:v>
      </x:c>
      <x:c r="M176" s="38" t="str">
        <x:f>"—"</x:f>
        <x:v>—</x:v>
      </x:c>
      <x:c r="N176" s="38" t="n">
        <x:f>IF(COUNT(INDEX('SKU明细'!$D$11:$D$1309,MATCH("230918-TN-P-Z-9",'SKU明细'!$A$11:$A$1309,0)))=0,"待核",IF(COUNT(INDEX('SKU明细'!$D$11:$D$1309,MATCH("230918-TN-P-Z-9",'SKU明细'!$A$11:$A$1309,0)))&lt;1,SUM(INDEX('SKU明细'!$D$11:$D$1309,MATCH("230918-TN-P-Z-9",'SKU明细'!$A$11:$A$1309,0)))&amp;" + 待核",SUM(INDEX('SKU明细'!$D$11:$D$1309,MATCH("230918-TN-P-Z-9",'SKU明细'!$A$11:$A$1309,0)))))</x:f>
        <x:v>0</x:v>
      </x:c>
      <x:c r="O176" s="38" t="str">
        <x:f>"—"</x:f>
        <x:v>—</x:v>
      </x:c>
      <x:c r="P176" s="38" t="n">
        <x:f>IF(COUNT(INDEX('SKU明细'!$D$11:$D$1309,MATCH("230918-TN-P-Z-10",'SKU明细'!$A$11:$A$1309,0)))=0,"待核",IF(COUNT(INDEX('SKU明细'!$D$11:$D$1309,MATCH("230918-TN-P-Z-10",'SKU明细'!$A$11:$A$1309,0)))&lt;1,SUM(INDEX('SKU明细'!$D$11:$D$1309,MATCH("230918-TN-P-Z-10",'SKU明细'!$A$11:$A$1309,0)))&amp;" + 待核",SUM(INDEX('SKU明细'!$D$11:$D$1309,MATCH("230918-TN-P-Z-10",'SKU明细'!$A$11:$A$1309,0)))))</x:f>
        <x:v>0</x:v>
      </x:c>
      <x:c r="Q176" s="38" t="str">
        <x:f>"—"</x:f>
        <x:v>—</x:v>
      </x:c>
      <x:c r="R176" s="38" t="n">
        <x:f>IF(COUNT(INDEX('SKU明细'!$D$11:$D$1309,MATCH("230918-TN-P-Z-11",'SKU明细'!$A$11:$A$1309,0)))=0,"待核",IF(COUNT(INDEX('SKU明细'!$D$11:$D$1309,MATCH("230918-TN-P-Z-11",'SKU明细'!$A$11:$A$1309,0)))&lt;1,SUM(INDEX('SKU明细'!$D$11:$D$1309,MATCH("230918-TN-P-Z-11",'SKU明细'!$A$11:$A$1309,0)))&amp;" + 待核",SUM(INDEX('SKU明细'!$D$11:$D$1309,MATCH("230918-TN-P-Z-11",'SKU明细'!$A$11:$A$1309,0)))))</x:f>
        <x:v>0</x:v>
      </x:c>
      <x:c r="S176" s="38" t="n">
        <x:f>IF(COUNT(INDEX('SKU明细'!$D$11:$D$1309,MATCH("230918-TN-P-Z-6",'SKU明细'!$A$11:$A$1309,0)),INDEX('SKU明细'!$D$11:$D$1309,MATCH("230918-TN-P-Z-7",'SKU明细'!$A$11:$A$1309,0)),INDEX('SKU明细'!$D$11:$D$1309,MATCH("230918-TN-P-Z-8",'SKU明细'!$A$11:$A$1309,0)),INDEX('SKU明细'!$D$11:$D$1309,MATCH("230918-TN-P-Z-9",'SKU明细'!$A$11:$A$1309,0)),INDEX('SKU明细'!$D$11:$D$1309,MATCH("230918-TN-P-Z-10",'SKU明细'!$A$11:$A$1309,0)),INDEX('SKU明细'!$D$11:$D$1309,MATCH("230918-TN-P-Z-11",'SKU明细'!$A$11:$A$1309,0)))=0,"待核",SUM(INDEX('SKU明细'!$D$11:$D$1309,MATCH("230918-TN-P-Z-6",'SKU明细'!$A$11:$A$1309,0)),INDEX('SKU明细'!$D$11:$D$1309,MATCH("230918-TN-P-Z-7",'SKU明细'!$A$11:$A$1309,0)),INDEX('SKU明细'!$D$11:$D$1309,MATCH("230918-TN-P-Z-8",'SKU明细'!$A$11:$A$1309,0)),INDEX('SKU明细'!$D$11:$D$1309,MATCH("230918-TN-P-Z-9",'SKU明细'!$A$11:$A$1309,0)),INDEX('SKU明细'!$D$11:$D$1309,MATCH("230918-TN-P-Z-10",'SKU明细'!$A$11:$A$1309,0)),INDEX('SKU明细'!$D$11:$D$1309,MATCH("230918-TN-P-Z-11",'SKU明细'!$A$11:$A$1309,0))))</x:f>
        <x:v>0</x:v>
      </x:c>
      <x:c r="T176" s="38" t="n">
        <x:f>IF(COUNTIFS($A$9:$A$191,A176,$U$9:$U$191,"&lt;&gt;待核")=0,"待核",SUMIF($A$9:$A$191,A176,$S$9:$S$191))</x:f>
        <x:v>73</x:v>
      </x:c>
      <x:c r="U176" s="37" t="str">
        <x:f>IF(COUNT(INDEX('SKU明细'!$D$11:$D$1309,MATCH("230918-TN-P-Z-6",'SKU明细'!$A$11:$A$1309,0)),INDEX('SKU明细'!$D$11:$D$1309,MATCH("230918-TN-P-Z-7",'SKU明细'!$A$11:$A$1309,0)),INDEX('SKU明细'!$D$11:$D$1309,MATCH("230918-TN-P-Z-8",'SKU明细'!$A$11:$A$1309,0)),INDEX('SKU明细'!$D$11:$D$1309,MATCH("230918-TN-P-Z-9",'SKU明细'!$A$11:$A$1309,0)),INDEX('SKU明细'!$D$11:$D$1309,MATCH("230918-TN-P-Z-10",'SKU明细'!$A$11:$A$1309,0)),INDEX('SKU明细'!$D$11:$D$1309,MATCH("230918-TN-P-Z-11",'SKU明细'!$A$11:$A$1309,0)))=0,"待核",IF(COUNT(INDEX('SKU明细'!$D$11:$D$1309,MATCH("230918-TN-P-Z-6",'SKU明细'!$A$11:$A$1309,0)),INDEX('SKU明细'!$D$11:$D$1309,MATCH("230918-TN-P-Z-7",'SKU明细'!$A$11:$A$1309,0)),INDEX('SKU明细'!$D$11:$D$1309,MATCH("230918-TN-P-Z-8",'SKU明细'!$A$11:$A$1309,0)),INDEX('SKU明细'!$D$11:$D$1309,MATCH("230918-TN-P-Z-9",'SKU明细'!$A$11:$A$1309,0)),INDEX('SKU明细'!$D$11:$D$1309,MATCH("230918-TN-P-Z-10",'SKU明细'!$A$11:$A$1309,0)),INDEX('SKU明细'!$D$11:$D$1309,MATCH("230918-TN-P-Z-11",'SKU明细'!$A$11:$A$1309,0)))&lt;6,"另有待核","已核"))</x:f>
        <x:v>已核</x:v>
      </x:c>
      <x:c r="V176" s="37" t="str">
        <x:v>在售</x:v>
      </x:c>
      <x:c r="W176" s="11" t="n">
        <x:f>IF(COUNT(INDEX('SKU明细'!$BV$11:$BV$1309,MATCH("230918-TN-P-Z-6",'SKU明细'!$A$11:$A$1309,0)),INDEX('SKU明细'!$BV$11:$BV$1309,MATCH("230918-TN-P-Z-7",'SKU明细'!$A$11:$A$1309,0)),INDEX('SKU明细'!$BV$11:$BV$1309,MATCH("230918-TN-P-Z-8",'SKU明细'!$A$11:$A$1309,0)),INDEX('SKU明细'!$BV$11:$BV$1309,MATCH("230918-TN-P-Z-9",'SKU明细'!$A$11:$A$1309,0)),INDEX('SKU明细'!$BV$11:$BV$1309,MATCH("230918-TN-P-Z-10",'SKU明细'!$A$11:$A$1309,0)),INDEX('SKU明细'!$BV$11:$BV$1309,MATCH("230918-TN-P-Z-11",'SKU明细'!$A$11:$A$1309,0)))=6,SUM(INDEX('SKU明细'!$BV$11:$BV$1309,MATCH("230918-TN-P-Z-6",'SKU明细'!$A$11:$A$1309,0)),INDEX('SKU明细'!$BV$11:$BV$1309,MATCH("230918-TN-P-Z-7",'SKU明细'!$A$11:$A$1309,0)),INDEX('SKU明细'!$BV$11:$BV$1309,MATCH("230918-TN-P-Z-8",'SKU明细'!$A$11:$A$1309,0)),INDEX('SKU明细'!$BV$11:$BV$1309,MATCH("230918-TN-P-Z-9",'SKU明细'!$A$11:$A$1309,0)),INDEX('SKU明细'!$BV$11:$BV$1309,MATCH("230918-TN-P-Z-10",'SKU明细'!$A$11:$A$1309,0)),INDEX('SKU明细'!$BV$11:$BV$1309,MATCH("230918-TN-P-Z-11",'SKU明细'!$A$11:$A$1309,0))),"待核")</x:f>
        <x:v>2.1763382757354544</x:v>
      </x:c>
      <x:c r="X176" s="11" t="n">
        <x:f>INDEX('SKU明细'!$BW$11:$BW$1309,MATCH("230918-TN-P-Z-6",'SKU明细'!$A$11:$A$1309,0))</x:f>
        <x:v>1.6747911769553037</x:v>
      </x:c>
      <x:c r="Y176" s="13" t="n">
        <x:f>IF(COUNT(INDEX('SKU明细'!$BY$11:$BY$1309,MATCH("230918-TN-P-Z-6",'SKU明细'!$A$11:$A$1309,0)),INDEX('SKU明细'!$BY$11:$BY$1309,MATCH("230918-TN-P-Z-7",'SKU明细'!$A$11:$A$1309,0)),INDEX('SKU明细'!$BY$11:$BY$1309,MATCH("230918-TN-P-Z-8",'SKU明细'!$A$11:$A$1309,0)),INDEX('SKU明细'!$BY$11:$BY$1309,MATCH("230918-TN-P-Z-9",'SKU明细'!$A$11:$A$1309,0)),INDEX('SKU明细'!$BY$11:$BY$1309,MATCH("230918-TN-P-Z-10",'SKU明细'!$A$11:$A$1309,0)),INDEX('SKU明细'!$BY$11:$BY$1309,MATCH("230918-TN-P-Z-11",'SKU明细'!$A$11:$A$1309,0)))=6,SUM(INDEX('SKU明细'!$BY$11:$BY$1309,MATCH("230918-TN-P-Z-6",'SKU明细'!$A$11:$A$1309,0)),INDEX('SKU明细'!$BY$11:$BY$1309,MATCH("230918-TN-P-Z-7",'SKU明细'!$A$11:$A$1309,0)),INDEX('SKU明细'!$BY$11:$BY$1309,MATCH("230918-TN-P-Z-8",'SKU明细'!$A$11:$A$1309,0)),INDEX('SKU明细'!$BY$11:$BY$1309,MATCH("230918-TN-P-Z-9",'SKU明细'!$A$11:$A$1309,0)),INDEX('SKU明细'!$BY$11:$BY$1309,MATCH("230918-TN-P-Z-10",'SKU明细'!$A$11:$A$1309,0)),INDEX('SKU明细'!$BY$11:$BY$1309,MATCH("230918-TN-P-Z-11",'SKU明细'!$A$11:$A$1309,0))),"待核")</x:f>
        <x:v>43.738945707262296</x:v>
      </x:c>
      <x:c r="Z176" s="11" t="n">
        <x:f>INDEX('SKU明细'!$BZ$11:$BZ$1309,MATCH("230918-TN-P-Z-6",'SKU明细'!$A$11:$A$1309,0))</x:f>
        <x:v>1.5065205700457112</x:v>
      </x:c>
      <x:c r="AA176" s="13" t="n">
        <x:f>IF(COUNT(INDEX('SKU明细'!$CB$11:$CB$1309,MATCH("230918-TN-P-Z-6",'SKU明细'!$A$11:$A$1309,0)),INDEX('SKU明细'!$CB$11:$CB$1309,MATCH("230918-TN-P-Z-7",'SKU明细'!$A$11:$A$1309,0)),INDEX('SKU明细'!$CB$11:$CB$1309,MATCH("230918-TN-P-Z-8",'SKU明细'!$A$11:$A$1309,0)),INDEX('SKU明细'!$CB$11:$CB$1309,MATCH("230918-TN-P-Z-9",'SKU明细'!$A$11:$A$1309,0)),INDEX('SKU明细'!$CB$11:$CB$1309,MATCH("230918-TN-P-Z-10",'SKU明细'!$A$11:$A$1309,0)),INDEX('SKU明细'!$CB$11:$CB$1309,MATCH("230918-TN-P-Z-11",'SKU明细'!$A$11:$A$1309,0)))=6,SUM(INDEX('SKU明细'!$CB$11:$CB$1309,MATCH("230918-TN-P-Z-6",'SKU明细'!$A$11:$A$1309,0)),INDEX('SKU明细'!$CB$11:$CB$1309,MATCH("230918-TN-P-Z-7",'SKU明细'!$A$11:$A$1309,0)),INDEX('SKU明细'!$CB$11:$CB$1309,MATCH("230918-TN-P-Z-8",'SKU明细'!$A$11:$A$1309,0)),INDEX('SKU明细'!$CB$11:$CB$1309,MATCH("230918-TN-P-Z-9",'SKU明细'!$A$11:$A$1309,0)),INDEX('SKU明细'!$CB$11:$CB$1309,MATCH("230918-TN-P-Z-10",'SKU明细'!$A$11:$A$1309,0)),INDEX('SKU明细'!$CB$11:$CB$1309,MATCH("230918-TN-P-Z-11",'SKU明细'!$A$11:$A$1309,0))),"待核")</x:f>
        <x:v>98.3609513931983</x:v>
      </x:c>
      <x:c r="AB176" s="11" t="n">
        <x:f>INDEX('SKU明细'!$CC$11:$CC$1309,MATCH("230918-TN-P-Z-6",'SKU明细'!$A$11:$A$1309,0))</x:f>
        <x:v>1.1492423388181006</x:v>
      </x:c>
      <x:c r="AC176" s="13" t="n">
        <x:f>IF(COUNT(INDEX('SKU明细'!$CE$11:$CE$1309,MATCH("230918-TN-P-Z-6",'SKU明细'!$A$11:$A$1309,0)),INDEX('SKU明细'!$CE$11:$CE$1309,MATCH("230918-TN-P-Z-7",'SKU明细'!$A$11:$A$1309,0)),INDEX('SKU明细'!$CE$11:$CE$1309,MATCH("230918-TN-P-Z-8",'SKU明细'!$A$11:$A$1309,0)),INDEX('SKU明细'!$CE$11:$CE$1309,MATCH("230918-TN-P-Z-9",'SKU明细'!$A$11:$A$1309,0)),INDEX('SKU明细'!$CE$11:$CE$1309,MATCH("230918-TN-P-Z-10",'SKU明细'!$A$11:$A$1309,0)),INDEX('SKU明细'!$CE$11:$CE$1309,MATCH("230918-TN-P-Z-11",'SKU明细'!$A$11:$A$1309,0)))=6,SUM(INDEX('SKU明细'!$CE$11:$CE$1309,MATCH("230918-TN-P-Z-6",'SKU明细'!$A$11:$A$1309,0)),INDEX('SKU明细'!$CE$11:$CE$1309,MATCH("230918-TN-P-Z-7",'SKU明细'!$A$11:$A$1309,0)),INDEX('SKU明细'!$CE$11:$CE$1309,MATCH("230918-TN-P-Z-8",'SKU明细'!$A$11:$A$1309,0)),INDEX('SKU明细'!$CE$11:$CE$1309,MATCH("230918-TN-P-Z-9",'SKU明细'!$A$11:$A$1309,0)),INDEX('SKU明细'!$CE$11:$CE$1309,MATCH("230918-TN-P-Z-10",'SKU明细'!$A$11:$A$1309,0)),INDEX('SKU明细'!$CE$11:$CE$1309,MATCH("230918-TN-P-Z-11",'SKU明细'!$A$11:$A$1309,0))),"待核")</x:f>
        <x:v>77.53534279203254</x:v>
      </x:c>
      <x:c r="AD176" s="11" t="n">
        <x:f>INDEX('SKU明细'!$CF$11:$CF$1309,MATCH("230918-TN-P-Z-6",'SKU明细'!$A$11:$A$1309,0))</x:f>
        <x:v>0.6426892418183868</x:v>
      </x:c>
      <x:c r="AE176" s="13" t="n">
        <x:f>IF(COUNT(INDEX('SKU明细'!$CH$11:$CH$1309,MATCH("230918-TN-P-Z-6",'SKU明细'!$A$11:$A$1309,0)),INDEX('SKU明细'!$CH$11:$CH$1309,MATCH("230918-TN-P-Z-7",'SKU明细'!$A$11:$A$1309,0)),INDEX('SKU明细'!$CH$11:$CH$1309,MATCH("230918-TN-P-Z-8",'SKU明细'!$A$11:$A$1309,0)),INDEX('SKU明细'!$CH$11:$CH$1309,MATCH("230918-TN-P-Z-9",'SKU明细'!$A$11:$A$1309,0)),INDEX('SKU明细'!$CH$11:$CH$1309,MATCH("230918-TN-P-Z-10",'SKU明细'!$A$11:$A$1309,0)),INDEX('SKU明细'!$CH$11:$CH$1309,MATCH("230918-TN-P-Z-11",'SKU明细'!$A$11:$A$1309,0)))=6,SUM(INDEX('SKU明细'!$CH$11:$CH$1309,MATCH("230918-TN-P-Z-6",'SKU明细'!$A$11:$A$1309,0)),INDEX('SKU明细'!$CH$11:$CH$1309,MATCH("230918-TN-P-Z-7",'SKU明细'!$A$11:$A$1309,0)),INDEX('SKU明细'!$CH$11:$CH$1309,MATCH("230918-TN-P-Z-8",'SKU明细'!$A$11:$A$1309,0)),INDEX('SKU明细'!$CH$11:$CH$1309,MATCH("230918-TN-P-Z-9",'SKU明细'!$A$11:$A$1309,0)),INDEX('SKU明细'!$CH$11:$CH$1309,MATCH("230918-TN-P-Z-10",'SKU明细'!$A$11:$A$1309,0)),INDEX('SKU明细'!$CH$11:$CH$1309,MATCH("230918-TN-P-Z-11",'SKU明细'!$A$11:$A$1309,0))),"待核")</x:f>
        <x:v>23.778056338336825</x:v>
      </x:c>
      <x:c r="AF176" s="13" t="n">
        <x:f>IF(COUNT(INDEX('SKU明细'!$CI$11:$CI$1309,MATCH("230918-TN-P-Z-6",'SKU明细'!$A$11:$A$1309,0)),INDEX('SKU明细'!$CI$11:$CI$1309,MATCH("230918-TN-P-Z-7",'SKU明细'!$A$11:$A$1309,0)),INDEX('SKU明细'!$CI$11:$CI$1309,MATCH("230918-TN-P-Z-8",'SKU明细'!$A$11:$A$1309,0)),INDEX('SKU明细'!$CI$11:$CI$1309,MATCH("230918-TN-P-Z-9",'SKU明细'!$A$11:$A$1309,0)),INDEX('SKU明细'!$CI$11:$CI$1309,MATCH("230918-TN-P-Z-10",'SKU明细'!$A$11:$A$1309,0)),INDEX('SKU明细'!$CI$11:$CI$1309,MATCH("230918-TN-P-Z-11",'SKU明细'!$A$11:$A$1309,0)))=6,SUM(INDEX('SKU明细'!$CI$11:$CI$1309,MATCH("230918-TN-P-Z-6",'SKU明细'!$A$11:$A$1309,0)),INDEX('SKU明细'!$CI$11:$CI$1309,MATCH("230918-TN-P-Z-7",'SKU明细'!$A$11:$A$1309,0)),INDEX('SKU明细'!$CI$11:$CI$1309,MATCH("230918-TN-P-Z-8",'SKU明细'!$A$11:$A$1309,0)),INDEX('SKU明细'!$CI$11:$CI$1309,MATCH("230918-TN-P-Z-9",'SKU明细'!$A$11:$A$1309,0)),INDEX('SKU明细'!$CI$11:$CI$1309,MATCH("230918-TN-P-Z-10",'SKU明细'!$A$11:$A$1309,0)),INDEX('SKU明细'!$CI$11:$CI$1309,MATCH("230918-TN-P-Z-11",'SKU明细'!$A$11:$A$1309,0))),"待核")</x:f>
        <x:v>243.41329623082996</x:v>
      </x:c>
    </x:row>
    <x:row r="177" ht="40" customHeight="1">
      <x:c r="A177" s="37" t="str">
        <x:v>230918</x:v>
      </x:c>
      <x:c r="B177" s="37" t="str">
        <x:v>艾年</x:v>
      </x:c>
      <x:c r="C177" s="37" t="str">
        <x:v>驼色</x:v>
      </x:c>
      <x:c r="D177" s="37" t="str">
        <x:v>TN</x:v>
      </x:c>
      <x:c r="E177" s="37" t="str">
        <x:v>230918-TN-S-Z</x:v>
      </x:c>
      <x:c r="F177" s="37"/>
      <x:c r="G177" s="38" t="str">
        <x:f>"—"</x:f>
        <x:v>—</x:v>
      </x:c>
      <x:c r="H177" s="38" t="n">
        <x:f>IF(COUNT(INDEX('SKU明细'!$D$11:$D$1309,MATCH("230918-TN-S-Z-6",'SKU明细'!$A$11:$A$1309,0)))=0,"待核",IF(COUNT(INDEX('SKU明细'!$D$11:$D$1309,MATCH("230918-TN-S-Z-6",'SKU明细'!$A$11:$A$1309,0)))&lt;1,SUM(INDEX('SKU明细'!$D$11:$D$1309,MATCH("230918-TN-S-Z-6",'SKU明细'!$A$11:$A$1309,0)))&amp;" + 待核",SUM(INDEX('SKU明细'!$D$11:$D$1309,MATCH("230918-TN-S-Z-6",'SKU明细'!$A$11:$A$1309,0)))))</x:f>
        <x:v>0</x:v>
      </x:c>
      <x:c r="I177" s="38" t="str">
        <x:f>"—"</x:f>
        <x:v>—</x:v>
      </x:c>
      <x:c r="J177" s="38" t="n">
        <x:f>IF(COUNT(INDEX('SKU明细'!$D$11:$D$1309,MATCH("230918-TN-S-Z-7",'SKU明细'!$A$11:$A$1309,0)))=0,"待核",IF(COUNT(INDEX('SKU明细'!$D$11:$D$1309,MATCH("230918-TN-S-Z-7",'SKU明细'!$A$11:$A$1309,0)))&lt;1,SUM(INDEX('SKU明细'!$D$11:$D$1309,MATCH("230918-TN-S-Z-7",'SKU明细'!$A$11:$A$1309,0)))&amp;" + 待核",SUM(INDEX('SKU明细'!$D$11:$D$1309,MATCH("230918-TN-S-Z-7",'SKU明细'!$A$11:$A$1309,0)))))</x:f>
        <x:v>0</x:v>
      </x:c>
      <x:c r="K177" s="38" t="str">
        <x:f>"—"</x:f>
        <x:v>—</x:v>
      </x:c>
      <x:c r="L177" s="38" t="n">
        <x:f>IF(COUNT(INDEX('SKU明细'!$D$11:$D$1309,MATCH("230918-TN-S-Z-8",'SKU明细'!$A$11:$A$1309,0)))=0,"待核",IF(COUNT(INDEX('SKU明细'!$D$11:$D$1309,MATCH("230918-TN-S-Z-8",'SKU明细'!$A$11:$A$1309,0)))&lt;1,SUM(INDEX('SKU明细'!$D$11:$D$1309,MATCH("230918-TN-S-Z-8",'SKU明细'!$A$11:$A$1309,0)))&amp;" + 待核",SUM(INDEX('SKU明细'!$D$11:$D$1309,MATCH("230918-TN-S-Z-8",'SKU明细'!$A$11:$A$1309,0)))))</x:f>
        <x:v>0</x:v>
      </x:c>
      <x:c r="M177" s="38" t="str">
        <x:f>"—"</x:f>
        <x:v>—</x:v>
      </x:c>
      <x:c r="N177" s="38" t="n">
        <x:f>IF(COUNT(INDEX('SKU明细'!$D$11:$D$1309,MATCH("230918-TN-S-Z-9",'SKU明细'!$A$11:$A$1309,0)))=0,"待核",IF(COUNT(INDEX('SKU明细'!$D$11:$D$1309,MATCH("230918-TN-S-Z-9",'SKU明细'!$A$11:$A$1309,0)))&lt;1,SUM(INDEX('SKU明细'!$D$11:$D$1309,MATCH("230918-TN-S-Z-9",'SKU明细'!$A$11:$A$1309,0)))&amp;" + 待核",SUM(INDEX('SKU明细'!$D$11:$D$1309,MATCH("230918-TN-S-Z-9",'SKU明细'!$A$11:$A$1309,0)))))</x:f>
        <x:v>0</x:v>
      </x:c>
      <x:c r="O177" s="38" t="str">
        <x:f>"—"</x:f>
        <x:v>—</x:v>
      </x:c>
      <x:c r="P177" s="38" t="n">
        <x:f>IF(COUNT(INDEX('SKU明细'!$D$11:$D$1309,MATCH("230918-TN-S-Z-10",'SKU明细'!$A$11:$A$1309,0)))=0,"待核",IF(COUNT(INDEX('SKU明细'!$D$11:$D$1309,MATCH("230918-TN-S-Z-10",'SKU明细'!$A$11:$A$1309,0)))&lt;1,SUM(INDEX('SKU明细'!$D$11:$D$1309,MATCH("230918-TN-S-Z-10",'SKU明细'!$A$11:$A$1309,0)))&amp;" + 待核",SUM(INDEX('SKU明细'!$D$11:$D$1309,MATCH("230918-TN-S-Z-10",'SKU明细'!$A$11:$A$1309,0)))))</x:f>
        <x:v>0</x:v>
      </x:c>
      <x:c r="Q177" s="38" t="str">
        <x:f>"—"</x:f>
        <x:v>—</x:v>
      </x:c>
      <x:c r="R177" s="38" t="n">
        <x:f>IF(COUNT(INDEX('SKU明细'!$D$11:$D$1309,MATCH("230918-TN-S-Z-11",'SKU明细'!$A$11:$A$1309,0)))=0,"待核",IF(COUNT(INDEX('SKU明细'!$D$11:$D$1309,MATCH("230918-TN-S-Z-11",'SKU明细'!$A$11:$A$1309,0)))&lt;1,SUM(INDEX('SKU明细'!$D$11:$D$1309,MATCH("230918-TN-S-Z-11",'SKU明细'!$A$11:$A$1309,0)))&amp;" + 待核",SUM(INDEX('SKU明细'!$D$11:$D$1309,MATCH("230918-TN-S-Z-11",'SKU明细'!$A$11:$A$1309,0)))))</x:f>
        <x:v>0</x:v>
      </x:c>
      <x:c r="S177" s="38" t="n">
        <x:f>IF(COUNT(INDEX('SKU明细'!$D$11:$D$1309,MATCH("230918-TN-S-Z-6",'SKU明细'!$A$11:$A$1309,0)),INDEX('SKU明细'!$D$11:$D$1309,MATCH("230918-TN-S-Z-7",'SKU明细'!$A$11:$A$1309,0)),INDEX('SKU明细'!$D$11:$D$1309,MATCH("230918-TN-S-Z-8",'SKU明细'!$A$11:$A$1309,0)),INDEX('SKU明细'!$D$11:$D$1309,MATCH("230918-TN-S-Z-9",'SKU明细'!$A$11:$A$1309,0)),INDEX('SKU明细'!$D$11:$D$1309,MATCH("230918-TN-S-Z-10",'SKU明细'!$A$11:$A$1309,0)),INDEX('SKU明细'!$D$11:$D$1309,MATCH("230918-TN-S-Z-11",'SKU明细'!$A$11:$A$1309,0)))=0,"待核",SUM(INDEX('SKU明细'!$D$11:$D$1309,MATCH("230918-TN-S-Z-6",'SKU明细'!$A$11:$A$1309,0)),INDEX('SKU明细'!$D$11:$D$1309,MATCH("230918-TN-S-Z-7",'SKU明细'!$A$11:$A$1309,0)),INDEX('SKU明细'!$D$11:$D$1309,MATCH("230918-TN-S-Z-8",'SKU明细'!$A$11:$A$1309,0)),INDEX('SKU明细'!$D$11:$D$1309,MATCH("230918-TN-S-Z-9",'SKU明细'!$A$11:$A$1309,0)),INDEX('SKU明细'!$D$11:$D$1309,MATCH("230918-TN-S-Z-10",'SKU明细'!$A$11:$A$1309,0)),INDEX('SKU明细'!$D$11:$D$1309,MATCH("230918-TN-S-Z-11",'SKU明细'!$A$11:$A$1309,0))))</x:f>
        <x:v>0</x:v>
      </x:c>
      <x:c r="T177" s="38" t="n">
        <x:f>IF(COUNTIFS($A$9:$A$191,A177,$U$9:$U$191,"&lt;&gt;待核")=0,"待核",SUMIF($A$9:$A$191,A177,$S$9:$S$191))</x:f>
        <x:v>73</x:v>
      </x:c>
      <x:c r="U177" s="37" t="str">
        <x:f>IF(COUNT(INDEX('SKU明细'!$D$11:$D$1309,MATCH("230918-TN-S-Z-6",'SKU明细'!$A$11:$A$1309,0)),INDEX('SKU明细'!$D$11:$D$1309,MATCH("230918-TN-S-Z-7",'SKU明细'!$A$11:$A$1309,0)),INDEX('SKU明细'!$D$11:$D$1309,MATCH("230918-TN-S-Z-8",'SKU明细'!$A$11:$A$1309,0)),INDEX('SKU明细'!$D$11:$D$1309,MATCH("230918-TN-S-Z-9",'SKU明细'!$A$11:$A$1309,0)),INDEX('SKU明细'!$D$11:$D$1309,MATCH("230918-TN-S-Z-10",'SKU明细'!$A$11:$A$1309,0)),INDEX('SKU明细'!$D$11:$D$1309,MATCH("230918-TN-S-Z-11",'SKU明细'!$A$11:$A$1309,0)))=0,"待核",IF(COUNT(INDEX('SKU明细'!$D$11:$D$1309,MATCH("230918-TN-S-Z-6",'SKU明细'!$A$11:$A$1309,0)),INDEX('SKU明细'!$D$11:$D$1309,MATCH("230918-TN-S-Z-7",'SKU明细'!$A$11:$A$1309,0)),INDEX('SKU明细'!$D$11:$D$1309,MATCH("230918-TN-S-Z-8",'SKU明细'!$A$11:$A$1309,0)),INDEX('SKU明细'!$D$11:$D$1309,MATCH("230918-TN-S-Z-9",'SKU明细'!$A$11:$A$1309,0)),INDEX('SKU明细'!$D$11:$D$1309,MATCH("230918-TN-S-Z-10",'SKU明细'!$A$11:$A$1309,0)),INDEX('SKU明细'!$D$11:$D$1309,MATCH("230918-TN-S-Z-11",'SKU明细'!$A$11:$A$1309,0)))&lt;6,"另有待核","已核"))</x:f>
        <x:v>已核</x:v>
      </x:c>
      <x:c r="V177" s="37" t="str">
        <x:v>在售</x:v>
      </x:c>
      <x:c r="W177" s="11" t="n">
        <x:f>IF(COUNT(INDEX('SKU明细'!$BV$11:$BV$1309,MATCH("230918-TN-S-Z-6",'SKU明细'!$A$11:$A$1309,0)),INDEX('SKU明细'!$BV$11:$BV$1309,MATCH("230918-TN-S-Z-7",'SKU明细'!$A$11:$A$1309,0)),INDEX('SKU明细'!$BV$11:$BV$1309,MATCH("230918-TN-S-Z-8",'SKU明细'!$A$11:$A$1309,0)),INDEX('SKU明细'!$BV$11:$BV$1309,MATCH("230918-TN-S-Z-9",'SKU明细'!$A$11:$A$1309,0)),INDEX('SKU明细'!$BV$11:$BV$1309,MATCH("230918-TN-S-Z-10",'SKU明细'!$A$11:$A$1309,0)),INDEX('SKU明细'!$BV$11:$BV$1309,MATCH("230918-TN-S-Z-11",'SKU明细'!$A$11:$A$1309,0)))=6,SUM(INDEX('SKU明细'!$BV$11:$BV$1309,MATCH("230918-TN-S-Z-6",'SKU明细'!$A$11:$A$1309,0)),INDEX('SKU明细'!$BV$11:$BV$1309,MATCH("230918-TN-S-Z-7",'SKU明细'!$A$11:$A$1309,0)),INDEX('SKU明细'!$BV$11:$BV$1309,MATCH("230918-TN-S-Z-8",'SKU明细'!$A$11:$A$1309,0)),INDEX('SKU明细'!$BV$11:$BV$1309,MATCH("230918-TN-S-Z-9",'SKU明细'!$A$11:$A$1309,0)),INDEX('SKU明细'!$BV$11:$BV$1309,MATCH("230918-TN-S-Z-10",'SKU明细'!$A$11:$A$1309,0)),INDEX('SKU明细'!$BV$11:$BV$1309,MATCH("230918-TN-S-Z-11",'SKU明细'!$A$11:$A$1309,0))),"待核")</x:f>
        <x:v>2.083105723904296</x:v>
      </x:c>
      <x:c r="X177" s="11" t="n">
        <x:f>INDEX('SKU明细'!$BW$11:$BW$1309,MATCH("230918-TN-S-Z-6",'SKU明细'!$A$11:$A$1309,0))</x:f>
        <x:v>1.6747911769553037</x:v>
      </x:c>
      <x:c r="Y177" s="13" t="n">
        <x:f>IF(COUNT(INDEX('SKU明细'!$BY$11:$BY$1309,MATCH("230918-TN-S-Z-6",'SKU明细'!$A$11:$A$1309,0)),INDEX('SKU明细'!$BY$11:$BY$1309,MATCH("230918-TN-S-Z-7",'SKU明细'!$A$11:$A$1309,0)),INDEX('SKU明细'!$BY$11:$BY$1309,MATCH("230918-TN-S-Z-8",'SKU明细'!$A$11:$A$1309,0)),INDEX('SKU明细'!$BY$11:$BY$1309,MATCH("230918-TN-S-Z-9",'SKU明细'!$A$11:$A$1309,0)),INDEX('SKU明细'!$BY$11:$BY$1309,MATCH("230918-TN-S-Z-10",'SKU明细'!$A$11:$A$1309,0)),INDEX('SKU明细'!$BY$11:$BY$1309,MATCH("230918-TN-S-Z-11",'SKU明细'!$A$11:$A$1309,0)))=6,SUM(INDEX('SKU明细'!$BY$11:$BY$1309,MATCH("230918-TN-S-Z-6",'SKU明细'!$A$11:$A$1309,0)),INDEX('SKU明细'!$BY$11:$BY$1309,MATCH("230918-TN-S-Z-7",'SKU明细'!$A$11:$A$1309,0)),INDEX('SKU明细'!$BY$11:$BY$1309,MATCH("230918-TN-S-Z-8",'SKU明细'!$A$11:$A$1309,0)),INDEX('SKU明细'!$BY$11:$BY$1309,MATCH("230918-TN-S-Z-9",'SKU明细'!$A$11:$A$1309,0)),INDEX('SKU明细'!$BY$11:$BY$1309,MATCH("230918-TN-S-Z-10",'SKU明细'!$A$11:$A$1309,0)),INDEX('SKU明细'!$BY$11:$BY$1309,MATCH("230918-TN-S-Z-11",'SKU明细'!$A$11:$A$1309,0))),"待核")</x:f>
        <x:v>41.86520504472007</x:v>
      </x:c>
      <x:c r="Z177" s="11" t="n">
        <x:f>INDEX('SKU明细'!$BZ$11:$BZ$1309,MATCH("230918-TN-S-Z-6",'SKU明细'!$A$11:$A$1309,0))</x:f>
        <x:v>1.5065205700457112</x:v>
      </x:c>
      <x:c r="AA177" s="13" t="n">
        <x:f>IF(COUNT(INDEX('SKU明细'!$CB$11:$CB$1309,MATCH("230918-TN-S-Z-6",'SKU明细'!$A$11:$A$1309,0)),INDEX('SKU明细'!$CB$11:$CB$1309,MATCH("230918-TN-S-Z-7",'SKU明细'!$A$11:$A$1309,0)),INDEX('SKU明细'!$CB$11:$CB$1309,MATCH("230918-TN-S-Z-8",'SKU明细'!$A$11:$A$1309,0)),INDEX('SKU明细'!$CB$11:$CB$1309,MATCH("230918-TN-S-Z-9",'SKU明细'!$A$11:$A$1309,0)),INDEX('SKU明细'!$CB$11:$CB$1309,MATCH("230918-TN-S-Z-10",'SKU明细'!$A$11:$A$1309,0)),INDEX('SKU明细'!$CB$11:$CB$1309,MATCH("230918-TN-S-Z-11",'SKU明细'!$A$11:$A$1309,0)))=6,SUM(INDEX('SKU明细'!$CB$11:$CB$1309,MATCH("230918-TN-S-Z-6",'SKU明细'!$A$11:$A$1309,0)),INDEX('SKU明细'!$CB$11:$CB$1309,MATCH("230918-TN-S-Z-7",'SKU明细'!$A$11:$A$1309,0)),INDEX('SKU明细'!$CB$11:$CB$1309,MATCH("230918-TN-S-Z-8",'SKU明细'!$A$11:$A$1309,0)),INDEX('SKU明细'!$CB$11:$CB$1309,MATCH("230918-TN-S-Z-9",'SKU明细'!$A$11:$A$1309,0)),INDEX('SKU明细'!$CB$11:$CB$1309,MATCH("230918-TN-S-Z-10",'SKU明细'!$A$11:$A$1309,0)),INDEX('SKU明细'!$CB$11:$CB$1309,MATCH("230918-TN-S-Z-11",'SKU明细'!$A$11:$A$1309,0))),"待核")</x:f>
        <x:v>94.14724867925354</x:v>
      </x:c>
      <x:c r="AB177" s="11" t="n">
        <x:f>INDEX('SKU明细'!$CC$11:$CC$1309,MATCH("230918-TN-S-Z-6",'SKU明细'!$A$11:$A$1309,0))</x:f>
        <x:v>1.1492423388181006</x:v>
      </x:c>
      <x:c r="AC177" s="13" t="n">
        <x:f>IF(COUNT(INDEX('SKU明细'!$CE$11:$CE$1309,MATCH("230918-TN-S-Z-6",'SKU明细'!$A$11:$A$1309,0)),INDEX('SKU明细'!$CE$11:$CE$1309,MATCH("230918-TN-S-Z-7",'SKU明细'!$A$11:$A$1309,0)),INDEX('SKU明细'!$CE$11:$CE$1309,MATCH("230918-TN-S-Z-8",'SKU明细'!$A$11:$A$1309,0)),INDEX('SKU明细'!$CE$11:$CE$1309,MATCH("230918-TN-S-Z-9",'SKU明细'!$A$11:$A$1309,0)),INDEX('SKU明细'!$CE$11:$CE$1309,MATCH("230918-TN-S-Z-10",'SKU明细'!$A$11:$A$1309,0)),INDEX('SKU明细'!$CE$11:$CE$1309,MATCH("230918-TN-S-Z-11",'SKU明细'!$A$11:$A$1309,0)))=6,SUM(INDEX('SKU明细'!$CE$11:$CE$1309,MATCH("230918-TN-S-Z-6",'SKU明细'!$A$11:$A$1309,0)),INDEX('SKU明细'!$CE$11:$CE$1309,MATCH("230918-TN-S-Z-7",'SKU明细'!$A$11:$A$1309,0)),INDEX('SKU明细'!$CE$11:$CE$1309,MATCH("230918-TN-S-Z-8",'SKU明细'!$A$11:$A$1309,0)),INDEX('SKU明细'!$CE$11:$CE$1309,MATCH("230918-TN-S-Z-9",'SKU明细'!$A$11:$A$1309,0)),INDEX('SKU明细'!$CE$11:$CE$1309,MATCH("230918-TN-S-Z-10",'SKU明细'!$A$11:$A$1309,0)),INDEX('SKU明细'!$CE$11:$CE$1309,MATCH("230918-TN-S-Z-11",'SKU明细'!$A$11:$A$1309,0))),"待核")</x:f>
        <x:v>74.21379211849953</x:v>
      </x:c>
      <x:c r="AD177" s="11" t="n">
        <x:f>INDEX('SKU明细'!$CF$11:$CF$1309,MATCH("230918-TN-S-Z-6",'SKU明细'!$A$11:$A$1309,0))</x:f>
        <x:v>0.6426892418183868</x:v>
      </x:c>
      <x:c r="AE177" s="13" t="n">
        <x:f>IF(COUNT(INDEX('SKU明细'!$CH$11:$CH$1309,MATCH("230918-TN-S-Z-6",'SKU明细'!$A$11:$A$1309,0)),INDEX('SKU明细'!$CH$11:$CH$1309,MATCH("230918-TN-S-Z-7",'SKU明细'!$A$11:$A$1309,0)),INDEX('SKU明细'!$CH$11:$CH$1309,MATCH("230918-TN-S-Z-8",'SKU明细'!$A$11:$A$1309,0)),INDEX('SKU明细'!$CH$11:$CH$1309,MATCH("230918-TN-S-Z-9",'SKU明细'!$A$11:$A$1309,0)),INDEX('SKU明细'!$CH$11:$CH$1309,MATCH("230918-TN-S-Z-10",'SKU明细'!$A$11:$A$1309,0)),INDEX('SKU明细'!$CH$11:$CH$1309,MATCH("230918-TN-S-Z-11",'SKU明细'!$A$11:$A$1309,0)))=6,SUM(INDEX('SKU明细'!$CH$11:$CH$1309,MATCH("230918-TN-S-Z-6",'SKU明细'!$A$11:$A$1309,0)),INDEX('SKU明细'!$CH$11:$CH$1309,MATCH("230918-TN-S-Z-7",'SKU明细'!$A$11:$A$1309,0)),INDEX('SKU明细'!$CH$11:$CH$1309,MATCH("230918-TN-S-Z-8",'SKU明细'!$A$11:$A$1309,0)),INDEX('SKU明细'!$CH$11:$CH$1309,MATCH("230918-TN-S-Z-9",'SKU明细'!$A$11:$A$1309,0)),INDEX('SKU明细'!$CH$11:$CH$1309,MATCH("230918-TN-S-Z-10",'SKU明细'!$A$11:$A$1309,0)),INDEX('SKU明细'!$CH$11:$CH$1309,MATCH("230918-TN-S-Z-11",'SKU明细'!$A$11:$A$1309,0))),"待核")</x:f>
        <x:v>22.759423851501094</x:v>
      </x:c>
      <x:c r="AF177" s="13" t="n">
        <x:f>IF(COUNT(INDEX('SKU明细'!$CI$11:$CI$1309,MATCH("230918-TN-S-Z-6",'SKU明细'!$A$11:$A$1309,0)),INDEX('SKU明细'!$CI$11:$CI$1309,MATCH("230918-TN-S-Z-7",'SKU明细'!$A$11:$A$1309,0)),INDEX('SKU明细'!$CI$11:$CI$1309,MATCH("230918-TN-S-Z-8",'SKU明细'!$A$11:$A$1309,0)),INDEX('SKU明细'!$CI$11:$CI$1309,MATCH("230918-TN-S-Z-9",'SKU明细'!$A$11:$A$1309,0)),INDEX('SKU明细'!$CI$11:$CI$1309,MATCH("230918-TN-S-Z-10",'SKU明细'!$A$11:$A$1309,0)),INDEX('SKU明细'!$CI$11:$CI$1309,MATCH("230918-TN-S-Z-11",'SKU明细'!$A$11:$A$1309,0)))=6,SUM(INDEX('SKU明细'!$CI$11:$CI$1309,MATCH("230918-TN-S-Z-6",'SKU明细'!$A$11:$A$1309,0)),INDEX('SKU明细'!$CI$11:$CI$1309,MATCH("230918-TN-S-Z-7",'SKU明细'!$A$11:$A$1309,0)),INDEX('SKU明细'!$CI$11:$CI$1309,MATCH("230918-TN-S-Z-8",'SKU明细'!$A$11:$A$1309,0)),INDEX('SKU明细'!$CI$11:$CI$1309,MATCH("230918-TN-S-Z-9",'SKU明细'!$A$11:$A$1309,0)),INDEX('SKU明细'!$CI$11:$CI$1309,MATCH("230918-TN-S-Z-10",'SKU明细'!$A$11:$A$1309,0)),INDEX('SKU明细'!$CI$11:$CI$1309,MATCH("230918-TN-S-Z-11",'SKU明细'!$A$11:$A$1309,0))),"待核")</x:f>
        <x:v>232.9856696939742</x:v>
      </x:c>
    </x:row>
    <x:row r="178" ht="40" customHeight="1">
      <x:c r="A178" s="35" t="str">
        <x:v>9967</x:v>
      </x:c>
      <x:c r="B178" s="35" t="str">
        <x:v>徐新怡</x:v>
      </x:c>
      <x:c r="C178" s="35" t="str">
        <x:v>黑色</x:v>
      </x:c>
      <x:c r="D178" s="35" t="str">
        <x:v>BK</x:v>
      </x:c>
      <x:c r="E178" s="35" t="str">
        <x:v>9967-BK</x:v>
      </x:c>
      <x:c r="F178" s="35"/>
      <x:c r="G178" s="36" t="str">
        <x:f>"—"</x:f>
        <x:v>—</x:v>
      </x:c>
      <x:c r="H178" s="36" t="n">
        <x:f>IF(COUNT(INDEX('SKU明细'!$D$11:$D$1309,MATCH("9967-BK-37",'SKU明细'!$A$11:$A$1309,0)))=0,"待核",IF(COUNT(INDEX('SKU明细'!$D$11:$D$1309,MATCH("9967-BK-37",'SKU明细'!$A$11:$A$1309,0)))&lt;1,SUM(INDEX('SKU明细'!$D$11:$D$1309,MATCH("9967-BK-37",'SKU明细'!$A$11:$A$1309,0)))&amp;" + 待核",SUM(INDEX('SKU明细'!$D$11:$D$1309,MATCH("9967-BK-37",'SKU明细'!$A$11:$A$1309,0)))))</x:f>
        <x:v>0</x:v>
      </x:c>
      <x:c r="I178" s="36" t="str">
        <x:f>"—"</x:f>
        <x:v>—</x:v>
      </x:c>
      <x:c r="J178" s="36" t="n">
        <x:f>IF(COUNT(INDEX('SKU明细'!$D$11:$D$1309,MATCH("9967-BK-38B",'SKU明细'!$A$11:$A$1309,0)))=0,"待核",IF(COUNT(INDEX('SKU明细'!$D$11:$D$1309,MATCH("9967-BK-38B",'SKU明细'!$A$11:$A$1309,0)))&lt;1,SUM(INDEX('SKU明细'!$D$11:$D$1309,MATCH("9967-BK-38B",'SKU明细'!$A$11:$A$1309,0)))&amp;" + 待核",SUM(INDEX('SKU明细'!$D$11:$D$1309,MATCH("9967-BK-38B",'SKU明细'!$A$11:$A$1309,0)))))</x:f>
        <x:v>0</x:v>
      </x:c>
      <x:c r="K178" s="36" t="str">
        <x:f>"—"</x:f>
        <x:v>—</x:v>
      </x:c>
      <x:c r="L178" s="36" t="n">
        <x:f>IF(COUNT(INDEX('SKU明细'!$D$11:$D$1309,MATCH("9967-BK-39B",'SKU明细'!$A$11:$A$1309,0)))=0,"待核",IF(COUNT(INDEX('SKU明细'!$D$11:$D$1309,MATCH("9967-BK-39B",'SKU明细'!$A$11:$A$1309,0)))&lt;1,SUM(INDEX('SKU明细'!$D$11:$D$1309,MATCH("9967-BK-39B",'SKU明细'!$A$11:$A$1309,0)))&amp;" + 待核",SUM(INDEX('SKU明细'!$D$11:$D$1309,MATCH("9967-BK-39B",'SKU明细'!$A$11:$A$1309,0)))))</x:f>
        <x:v>0</x:v>
      </x:c>
      <x:c r="M178" s="36" t="str">
        <x:f>"—"</x:f>
        <x:v>—</x:v>
      </x:c>
      <x:c r="N178" s="36" t="n">
        <x:f>IF(COUNT(INDEX('SKU明细'!$D$11:$D$1309,MATCH("9967-BK-40B",'SKU明细'!$A$11:$A$1309,0)))=0,"待核",IF(COUNT(INDEX('SKU明细'!$D$11:$D$1309,MATCH("9967-BK-40B",'SKU明细'!$A$11:$A$1309,0)))&lt;1,SUM(INDEX('SKU明细'!$D$11:$D$1309,MATCH("9967-BK-40B",'SKU明细'!$A$11:$A$1309,0)))&amp;" + 待核",SUM(INDEX('SKU明细'!$D$11:$D$1309,MATCH("9967-BK-40B",'SKU明细'!$A$11:$A$1309,0)))))</x:f>
        <x:v>0</x:v>
      </x:c>
      <x:c r="O178" s="36" t="n">
        <x:f>IF(COUNT(INDEX('SKU明细'!$D$11:$D$1309,MATCH("9967-BK-41",'SKU明细'!$A$11:$A$1309,0)))=0,"待核",IF(COUNT(INDEX('SKU明细'!$D$11:$D$1309,MATCH("9967-BK-41",'SKU明细'!$A$11:$A$1309,0)))&lt;1,SUM(INDEX('SKU明细'!$D$11:$D$1309,MATCH("9967-BK-41",'SKU明细'!$A$11:$A$1309,0)))&amp;" + 待核",SUM(INDEX('SKU明细'!$D$11:$D$1309,MATCH("9967-BK-41",'SKU明细'!$A$11:$A$1309,0)))))</x:f>
        <x:v>0</x:v>
      </x:c>
      <x:c r="P178" s="36" t="n">
        <x:f>IF(COUNT(INDEX('SKU明细'!$D$11:$D$1309,MATCH("9967-BK-42",'SKU明细'!$A$11:$A$1309,0)))=0,"待核",IF(COUNT(INDEX('SKU明细'!$D$11:$D$1309,MATCH("9967-BK-42",'SKU明细'!$A$11:$A$1309,0)))&lt;1,SUM(INDEX('SKU明细'!$D$11:$D$1309,MATCH("9967-BK-42",'SKU明细'!$A$11:$A$1309,0)))&amp;" + 待核",SUM(INDEX('SKU明细'!$D$11:$D$1309,MATCH("9967-BK-42",'SKU明细'!$A$11:$A$1309,0)))))</x:f>
        <x:v>0</x:v>
      </x:c>
      <x:c r="Q178" s="36" t="str">
        <x:f>"—"</x:f>
        <x:v>—</x:v>
      </x:c>
      <x:c r="R178" s="36" t="str">
        <x:f>"—"</x:f>
        <x:v>—</x:v>
      </x:c>
      <x:c r="S178" s="36" t="n">
        <x:f>IF(COUNT(INDEX('SKU明细'!$D$11:$D$1309,MATCH("9967-BK-37",'SKU明细'!$A$11:$A$1309,0)),INDEX('SKU明细'!$D$11:$D$1309,MATCH("9967-BK-38B",'SKU明细'!$A$11:$A$1309,0)),INDEX('SKU明细'!$D$11:$D$1309,MATCH("9967-BK-39B",'SKU明细'!$A$11:$A$1309,0)),INDEX('SKU明细'!$D$11:$D$1309,MATCH("9967-BK-40B",'SKU明细'!$A$11:$A$1309,0)),INDEX('SKU明细'!$D$11:$D$1309,MATCH("9967-BK-41",'SKU明细'!$A$11:$A$1309,0)),INDEX('SKU明细'!$D$11:$D$1309,MATCH("9967-BK-42",'SKU明细'!$A$11:$A$1309,0)))=0,"待核",SUM(INDEX('SKU明细'!$D$11:$D$1309,MATCH("9967-BK-37",'SKU明细'!$A$11:$A$1309,0)),INDEX('SKU明细'!$D$11:$D$1309,MATCH("9967-BK-38B",'SKU明细'!$A$11:$A$1309,0)),INDEX('SKU明细'!$D$11:$D$1309,MATCH("9967-BK-39B",'SKU明细'!$A$11:$A$1309,0)),INDEX('SKU明细'!$D$11:$D$1309,MATCH("9967-BK-40B",'SKU明细'!$A$11:$A$1309,0)),INDEX('SKU明细'!$D$11:$D$1309,MATCH("9967-BK-41",'SKU明细'!$A$11:$A$1309,0)),INDEX('SKU明细'!$D$11:$D$1309,MATCH("9967-BK-42",'SKU明细'!$A$11:$A$1309,0))))</x:f>
        <x:v>0</x:v>
      </x:c>
      <x:c r="T178" s="36" t="n">
        <x:f>IF(COUNTIFS($A$9:$A$191,A178,$U$9:$U$191,"&lt;&gt;待核")=0,"待核",SUMIF($A$9:$A$191,A178,$S$9:$S$191))</x:f>
        <x:v>10</x:v>
      </x:c>
      <x:c r="U178" s="35" t="str">
        <x:f>IF(COUNT(INDEX('SKU明细'!$D$11:$D$1309,MATCH("9967-BK-37",'SKU明细'!$A$11:$A$1309,0)),INDEX('SKU明细'!$D$11:$D$1309,MATCH("9967-BK-38B",'SKU明细'!$A$11:$A$1309,0)),INDEX('SKU明细'!$D$11:$D$1309,MATCH("9967-BK-39B",'SKU明细'!$A$11:$A$1309,0)),INDEX('SKU明细'!$D$11:$D$1309,MATCH("9967-BK-40B",'SKU明细'!$A$11:$A$1309,0)),INDEX('SKU明细'!$D$11:$D$1309,MATCH("9967-BK-41",'SKU明细'!$A$11:$A$1309,0)),INDEX('SKU明细'!$D$11:$D$1309,MATCH("9967-BK-42",'SKU明细'!$A$11:$A$1309,0)))=0,"待核",IF(COUNT(INDEX('SKU明细'!$D$11:$D$1309,MATCH("9967-BK-37",'SKU明细'!$A$11:$A$1309,0)),INDEX('SKU明细'!$D$11:$D$1309,MATCH("9967-BK-38B",'SKU明细'!$A$11:$A$1309,0)),INDEX('SKU明细'!$D$11:$D$1309,MATCH("9967-BK-39B",'SKU明细'!$A$11:$A$1309,0)),INDEX('SKU明细'!$D$11:$D$1309,MATCH("9967-BK-40B",'SKU明细'!$A$11:$A$1309,0)),INDEX('SKU明细'!$D$11:$D$1309,MATCH("9967-BK-41",'SKU明细'!$A$11:$A$1309,0)),INDEX('SKU明细'!$D$11:$D$1309,MATCH("9967-BK-42",'SKU明细'!$A$11:$A$1309,0)))&lt;6,"另有待核","已核"))</x:f>
        <x:v>已核</x:v>
      </x:c>
      <x:c r="V178" s="35" t="str">
        <x:v>在售</x:v>
      </x:c>
      <x:c r="W178" s="11" t="n">
        <x:f>IF(COUNT(INDEX('SKU明细'!$BV$11:$BV$1309,MATCH("9967-BK-37",'SKU明细'!$A$11:$A$1309,0)),INDEX('SKU明细'!$BV$11:$BV$1309,MATCH("9967-BK-38B",'SKU明细'!$A$11:$A$1309,0)),INDEX('SKU明细'!$BV$11:$BV$1309,MATCH("9967-BK-39B",'SKU明细'!$A$11:$A$1309,0)),INDEX('SKU明细'!$BV$11:$BV$1309,MATCH("9967-BK-40B",'SKU明细'!$A$11:$A$1309,0)),INDEX('SKU明细'!$BV$11:$BV$1309,MATCH("9967-BK-41",'SKU明细'!$A$11:$A$1309,0)),INDEX('SKU明细'!$BV$11:$BV$1309,MATCH("9967-BK-42",'SKU明细'!$A$11:$A$1309,0)))=6,SUM(INDEX('SKU明细'!$BV$11:$BV$1309,MATCH("9967-BK-37",'SKU明细'!$A$11:$A$1309,0)),INDEX('SKU明细'!$BV$11:$BV$1309,MATCH("9967-BK-38B",'SKU明细'!$A$11:$A$1309,0)),INDEX('SKU明细'!$BV$11:$BV$1309,MATCH("9967-BK-39B",'SKU明细'!$A$11:$A$1309,0)),INDEX('SKU明细'!$BV$11:$BV$1309,MATCH("9967-BK-40B",'SKU明细'!$A$11:$A$1309,0)),INDEX('SKU明细'!$BV$11:$BV$1309,MATCH("9967-BK-41",'SKU明细'!$A$11:$A$1309,0)),INDEX('SKU明细'!$BV$11:$BV$1309,MATCH("9967-BK-42",'SKU明细'!$A$11:$A$1309,0))),"待核")</x:f>
        <x:v>0.1679699489724361</x:v>
      </x:c>
      <x:c r="X178" s="11" t="n">
        <x:f>INDEX('SKU明细'!$BW$11:$BW$1309,MATCH("9967-BK-37",'SKU明细'!$A$11:$A$1309,0))</x:f>
        <x:v>0.624562333197096</x:v>
      </x:c>
      <x:c r="Y178" s="13" t="n">
        <x:f>IF(COUNT(INDEX('SKU明细'!$BY$11:$BY$1309,MATCH("9967-BK-37",'SKU明细'!$A$11:$A$1309,0)),INDEX('SKU明细'!$BY$11:$BY$1309,MATCH("9967-BK-38B",'SKU明细'!$A$11:$A$1309,0)),INDEX('SKU明细'!$BY$11:$BY$1309,MATCH("9967-BK-39B",'SKU明细'!$A$11:$A$1309,0)),INDEX('SKU明细'!$BY$11:$BY$1309,MATCH("9967-BK-40B",'SKU明细'!$A$11:$A$1309,0)),INDEX('SKU明细'!$BY$11:$BY$1309,MATCH("9967-BK-41",'SKU明细'!$A$11:$A$1309,0)),INDEX('SKU明细'!$BY$11:$BY$1309,MATCH("9967-BK-42",'SKU明细'!$A$11:$A$1309,0)))=6,SUM(INDEX('SKU明细'!$BY$11:$BY$1309,MATCH("9967-BK-37",'SKU明细'!$A$11:$A$1309,0)),INDEX('SKU明细'!$BY$11:$BY$1309,MATCH("9967-BK-38B",'SKU明细'!$A$11:$A$1309,0)),INDEX('SKU明细'!$BY$11:$BY$1309,MATCH("9967-BK-39B",'SKU明细'!$A$11:$A$1309,0)),INDEX('SKU明细'!$BY$11:$BY$1309,MATCH("9967-BK-40B",'SKU明细'!$A$11:$A$1309,0)),INDEX('SKU明细'!$BY$11:$BY$1309,MATCH("9967-BK-41",'SKU明细'!$A$11:$A$1309,0)),INDEX('SKU明细'!$BY$11:$BY$1309,MATCH("9967-BK-42",'SKU明细'!$A$11:$A$1309,0))),"待核")</x:f>
        <x:v>1.2588924388466625</x:v>
      </x:c>
      <x:c r="Z178" s="11" t="n">
        <x:f>INDEX('SKU明细'!$BZ$11:$BZ$1309,MATCH("9967-BK-37",'SKU明细'!$A$11:$A$1309,0))</x:f>
        <x:v>2.028100514629496</x:v>
      </x:c>
      <x:c r="AA178" s="13" t="n">
        <x:f>IF(COUNT(INDEX('SKU明细'!$CB$11:$CB$1309,MATCH("9967-BK-37",'SKU明细'!$A$11:$A$1309,0)),INDEX('SKU明细'!$CB$11:$CB$1309,MATCH("9967-BK-38B",'SKU明细'!$A$11:$A$1309,0)),INDEX('SKU明细'!$CB$11:$CB$1309,MATCH("9967-BK-39B",'SKU明细'!$A$11:$A$1309,0)),INDEX('SKU明细'!$CB$11:$CB$1309,MATCH("9967-BK-40B",'SKU明细'!$A$11:$A$1309,0)),INDEX('SKU明细'!$CB$11:$CB$1309,MATCH("9967-BK-41",'SKU明细'!$A$11:$A$1309,0)),INDEX('SKU明细'!$CB$11:$CB$1309,MATCH("9967-BK-42",'SKU明细'!$A$11:$A$1309,0)))=6,SUM(INDEX('SKU明细'!$CB$11:$CB$1309,MATCH("9967-BK-37",'SKU明细'!$A$11:$A$1309,0)),INDEX('SKU明细'!$CB$11:$CB$1309,MATCH("9967-BK-38B",'SKU明细'!$A$11:$A$1309,0)),INDEX('SKU明细'!$CB$11:$CB$1309,MATCH("9967-BK-39B",'SKU明细'!$A$11:$A$1309,0)),INDEX('SKU明细'!$CB$11:$CB$1309,MATCH("9967-BK-40B",'SKU明细'!$A$11:$A$1309,0)),INDEX('SKU明细'!$CB$11:$CB$1309,MATCH("9967-BK-41",'SKU明细'!$A$11:$A$1309,0)),INDEX('SKU明细'!$CB$11:$CB$1309,MATCH("9967-BK-42",'SKU明细'!$A$11:$A$1309,0))),"待核")</x:f>
        <x:v>10.219798198598635</x:v>
      </x:c>
      <x:c r="AB178" s="11" t="n">
        <x:f>INDEX('SKU明细'!$CC$11:$CC$1309,MATCH("9967-BK-37",'SKU明细'!$A$11:$A$1309,0))</x:f>
        <x:v>4.058791976082533</x:v>
      </x:c>
      <x:c r="AC178" s="13" t="n">
        <x:f>IF(COUNT(INDEX('SKU明细'!$CE$11:$CE$1309,MATCH("9967-BK-37",'SKU明细'!$A$11:$A$1309,0)),INDEX('SKU明细'!$CE$11:$CE$1309,MATCH("9967-BK-38B",'SKU明细'!$A$11:$A$1309,0)),INDEX('SKU明细'!$CE$11:$CE$1309,MATCH("9967-BK-39B",'SKU明细'!$A$11:$A$1309,0)),INDEX('SKU明细'!$CE$11:$CE$1309,MATCH("9967-BK-40B",'SKU明细'!$A$11:$A$1309,0)),INDEX('SKU明细'!$CE$11:$CE$1309,MATCH("9967-BK-41",'SKU明细'!$A$11:$A$1309,0)),INDEX('SKU明细'!$CE$11:$CE$1309,MATCH("9967-BK-42",'SKU明细'!$A$11:$A$1309,0)))=6,SUM(INDEX('SKU明细'!$CE$11:$CE$1309,MATCH("9967-BK-37",'SKU明细'!$A$11:$A$1309,0)),INDEX('SKU明细'!$CE$11:$CE$1309,MATCH("9967-BK-38B",'SKU明细'!$A$11:$A$1309,0)),INDEX('SKU明细'!$CE$11:$CE$1309,MATCH("9967-BK-39B",'SKU明细'!$A$11:$A$1309,0)),INDEX('SKU明细'!$CE$11:$CE$1309,MATCH("9967-BK-40B",'SKU明细'!$A$11:$A$1309,0)),INDEX('SKU明细'!$CE$11:$CE$1309,MATCH("9967-BK-41",'SKU明细'!$A$11:$A$1309,0)),INDEX('SKU明细'!$CE$11:$CE$1309,MATCH("9967-BK-42",'SKU明细'!$A$11:$A$1309,0))),"待核")</x:f>
        <x:v>21.134407514481808</x:v>
      </x:c>
      <x:c r="AD178" s="11" t="n">
        <x:f>INDEX('SKU明细'!$CF$11:$CF$1309,MATCH("9967-BK-37",'SKU明细'!$A$11:$A$1309,0))</x:f>
        <x:v>3.3923340385719465</x:v>
      </x:c>
      <x:c r="AE178" s="13" t="n">
        <x:f>IF(COUNT(INDEX('SKU明细'!$CH$11:$CH$1309,MATCH("9967-BK-37",'SKU明细'!$A$11:$A$1309,0)),INDEX('SKU明细'!$CH$11:$CH$1309,MATCH("9967-BK-38B",'SKU明细'!$A$11:$A$1309,0)),INDEX('SKU明细'!$CH$11:$CH$1309,MATCH("9967-BK-39B",'SKU明细'!$A$11:$A$1309,0)),INDEX('SKU明细'!$CH$11:$CH$1309,MATCH("9967-BK-40B",'SKU明细'!$A$11:$A$1309,0)),INDEX('SKU明细'!$CH$11:$CH$1309,MATCH("9967-BK-41",'SKU明细'!$A$11:$A$1309,0)),INDEX('SKU明细'!$CH$11:$CH$1309,MATCH("9967-BK-42",'SKU明细'!$A$11:$A$1309,0)))=6,SUM(INDEX('SKU明细'!$CH$11:$CH$1309,MATCH("9967-BK-37",'SKU明细'!$A$11:$A$1309,0)),INDEX('SKU明细'!$CH$11:$CH$1309,MATCH("9967-BK-38B",'SKU明细'!$A$11:$A$1309,0)),INDEX('SKU明细'!$CH$11:$CH$1309,MATCH("9967-BK-39B",'SKU明细'!$A$11:$A$1309,0)),INDEX('SKU明细'!$CH$11:$CH$1309,MATCH("9967-BK-40B",'SKU明细'!$A$11:$A$1309,0)),INDEX('SKU明细'!$CH$11:$CH$1309,MATCH("9967-BK-41",'SKU明细'!$A$11:$A$1309,0)),INDEX('SKU明细'!$CH$11:$CH$1309,MATCH("9967-BK-42",'SKU明细'!$A$11:$A$1309,0))),"待核")</x:f>
        <x:v>9.686772981058596</x:v>
      </x:c>
      <x:c r="AF178" s="13" t="n">
        <x:f>IF(COUNT(INDEX('SKU明细'!$CI$11:$CI$1309,MATCH("9967-BK-37",'SKU明细'!$A$11:$A$1309,0)),INDEX('SKU明细'!$CI$11:$CI$1309,MATCH("9967-BK-38B",'SKU明细'!$A$11:$A$1309,0)),INDEX('SKU明细'!$CI$11:$CI$1309,MATCH("9967-BK-39B",'SKU明细'!$A$11:$A$1309,0)),INDEX('SKU明细'!$CI$11:$CI$1309,MATCH("9967-BK-40B",'SKU明细'!$A$11:$A$1309,0)),INDEX('SKU明细'!$CI$11:$CI$1309,MATCH("9967-BK-41",'SKU明细'!$A$11:$A$1309,0)),INDEX('SKU明细'!$CI$11:$CI$1309,MATCH("9967-BK-42",'SKU明细'!$A$11:$A$1309,0)))=6,SUM(INDEX('SKU明细'!$CI$11:$CI$1309,MATCH("9967-BK-37",'SKU明细'!$A$11:$A$1309,0)),INDEX('SKU明细'!$CI$11:$CI$1309,MATCH("9967-BK-38B",'SKU明细'!$A$11:$A$1309,0)),INDEX('SKU明细'!$CI$11:$CI$1309,MATCH("9967-BK-39B",'SKU明细'!$A$11:$A$1309,0)),INDEX('SKU明细'!$CI$11:$CI$1309,MATCH("9967-BK-40B",'SKU明细'!$A$11:$A$1309,0)),INDEX('SKU明细'!$CI$11:$CI$1309,MATCH("9967-BK-41",'SKU明细'!$A$11:$A$1309,0)),INDEX('SKU明细'!$CI$11:$CI$1309,MATCH("9967-BK-42",'SKU明细'!$A$11:$A$1309,0))),"待核")</x:f>
        <x:v>42.2998711329857</x:v>
      </x:c>
    </x:row>
    <x:row r="179" ht="40" customHeight="1">
      <x:c r="A179" s="35" t="str">
        <x:v>9967</x:v>
      </x:c>
      <x:c r="B179" s="35" t="str">
        <x:v>徐新怡</x:v>
      </x:c>
      <x:c r="C179" s="35" t="str">
        <x:v>棕色</x:v>
      </x:c>
      <x:c r="D179" s="35" t="str">
        <x:v>CT</x:v>
      </x:c>
      <x:c r="E179" s="35" t="str">
        <x:v>9967-CT</x:v>
      </x:c>
      <x:c r="F179" s="35"/>
      <x:c r="G179" s="36" t="str">
        <x:f>"—"</x:f>
        <x:v>—</x:v>
      </x:c>
      <x:c r="H179" s="36" t="n">
        <x:f>IF(COUNT(INDEX('SKU明细'!$D$11:$D$1309,MATCH("9967-CT-37",'SKU明细'!$A$11:$A$1309,0)))=0,"待核",IF(COUNT(INDEX('SKU明细'!$D$11:$D$1309,MATCH("9967-CT-37",'SKU明细'!$A$11:$A$1309,0)))&lt;1,SUM(INDEX('SKU明细'!$D$11:$D$1309,MATCH("9967-CT-37",'SKU明细'!$A$11:$A$1309,0)))&amp;" + 待核",SUM(INDEX('SKU明细'!$D$11:$D$1309,MATCH("9967-CT-37",'SKU明细'!$A$11:$A$1309,0)))))</x:f>
        <x:v>6</x:v>
      </x:c>
      <x:c r="I179" s="36" t="str">
        <x:f>"—"</x:f>
        <x:v>—</x:v>
      </x:c>
      <x:c r="J179" s="36" t="n">
        <x:f>IF(COUNT(INDEX('SKU明细'!$D$11:$D$1309,MATCH("9967-CT-38B",'SKU明细'!$A$11:$A$1309,0)))=0,"待核",IF(COUNT(INDEX('SKU明细'!$D$11:$D$1309,MATCH("9967-CT-38B",'SKU明细'!$A$11:$A$1309,0)))&lt;1,SUM(INDEX('SKU明细'!$D$11:$D$1309,MATCH("9967-CT-38B",'SKU明细'!$A$11:$A$1309,0)))&amp;" + 待核",SUM(INDEX('SKU明细'!$D$11:$D$1309,MATCH("9967-CT-38B",'SKU明细'!$A$11:$A$1309,0)))))</x:f>
        <x:v>0</x:v>
      </x:c>
      <x:c r="K179" s="36" t="str">
        <x:f>"—"</x:f>
        <x:v>—</x:v>
      </x:c>
      <x:c r="L179" s="36" t="n">
        <x:f>IF(COUNT(INDEX('SKU明细'!$D$11:$D$1309,MATCH("9967-CT-39B",'SKU明细'!$A$11:$A$1309,0)))=0,"待核",IF(COUNT(INDEX('SKU明细'!$D$11:$D$1309,MATCH("9967-CT-39B",'SKU明细'!$A$11:$A$1309,0)))&lt;1,SUM(INDEX('SKU明细'!$D$11:$D$1309,MATCH("9967-CT-39B",'SKU明细'!$A$11:$A$1309,0)))&amp;" + 待核",SUM(INDEX('SKU明细'!$D$11:$D$1309,MATCH("9967-CT-39B",'SKU明细'!$A$11:$A$1309,0)))))</x:f>
        <x:v>0</x:v>
      </x:c>
      <x:c r="M179" s="36" t="str">
        <x:f>"—"</x:f>
        <x:v>—</x:v>
      </x:c>
      <x:c r="N179" s="36" t="n">
        <x:f>IF(COUNT(INDEX('SKU明细'!$D$11:$D$1309,MATCH("9967-CT-40B",'SKU明细'!$A$11:$A$1309,0)))=0,"待核",IF(COUNT(INDEX('SKU明细'!$D$11:$D$1309,MATCH("9967-CT-40B",'SKU明细'!$A$11:$A$1309,0)))&lt;1,SUM(INDEX('SKU明细'!$D$11:$D$1309,MATCH("9967-CT-40B",'SKU明细'!$A$11:$A$1309,0)))&amp;" + 待核",SUM(INDEX('SKU明细'!$D$11:$D$1309,MATCH("9967-CT-40B",'SKU明细'!$A$11:$A$1309,0)))))</x:f>
        <x:v>0</x:v>
      </x:c>
      <x:c r="O179" s="36" t="n">
        <x:f>IF(COUNT(INDEX('SKU明细'!$D$11:$D$1309,MATCH("9967-CT-41",'SKU明细'!$A$11:$A$1309,0)))=0,"待核",IF(COUNT(INDEX('SKU明细'!$D$11:$D$1309,MATCH("9967-CT-41",'SKU明细'!$A$11:$A$1309,0)))&lt;1,SUM(INDEX('SKU明细'!$D$11:$D$1309,MATCH("9967-CT-41",'SKU明细'!$A$11:$A$1309,0)))&amp;" + 待核",SUM(INDEX('SKU明细'!$D$11:$D$1309,MATCH("9967-CT-41",'SKU明细'!$A$11:$A$1309,0)))))</x:f>
        <x:v>0</x:v>
      </x:c>
      <x:c r="P179" s="36" t="n">
        <x:f>IF(COUNT(INDEX('SKU明细'!$D$11:$D$1309,MATCH("9967-CT-42",'SKU明细'!$A$11:$A$1309,0)))=0,"待核",IF(COUNT(INDEX('SKU明细'!$D$11:$D$1309,MATCH("9967-CT-42",'SKU明细'!$A$11:$A$1309,0)))&lt;1,SUM(INDEX('SKU明细'!$D$11:$D$1309,MATCH("9967-CT-42",'SKU明细'!$A$11:$A$1309,0)))&amp;" + 待核",SUM(INDEX('SKU明细'!$D$11:$D$1309,MATCH("9967-CT-42",'SKU明细'!$A$11:$A$1309,0)))))</x:f>
        <x:v>0</x:v>
      </x:c>
      <x:c r="Q179" s="36" t="str">
        <x:f>"—"</x:f>
        <x:v>—</x:v>
      </x:c>
      <x:c r="R179" s="36" t="str">
        <x:f>"—"</x:f>
        <x:v>—</x:v>
      </x:c>
      <x:c r="S179" s="36" t="n">
        <x:f>IF(COUNT(INDEX('SKU明细'!$D$11:$D$1309,MATCH("9967-CT-37",'SKU明细'!$A$11:$A$1309,0)),INDEX('SKU明细'!$D$11:$D$1309,MATCH("9967-CT-38B",'SKU明细'!$A$11:$A$1309,0)),INDEX('SKU明细'!$D$11:$D$1309,MATCH("9967-CT-39B",'SKU明细'!$A$11:$A$1309,0)),INDEX('SKU明细'!$D$11:$D$1309,MATCH("9967-CT-40B",'SKU明细'!$A$11:$A$1309,0)),INDEX('SKU明细'!$D$11:$D$1309,MATCH("9967-CT-41",'SKU明细'!$A$11:$A$1309,0)),INDEX('SKU明细'!$D$11:$D$1309,MATCH("9967-CT-42",'SKU明细'!$A$11:$A$1309,0)))=0,"待核",SUM(INDEX('SKU明细'!$D$11:$D$1309,MATCH("9967-CT-37",'SKU明细'!$A$11:$A$1309,0)),INDEX('SKU明细'!$D$11:$D$1309,MATCH("9967-CT-38B",'SKU明细'!$A$11:$A$1309,0)),INDEX('SKU明细'!$D$11:$D$1309,MATCH("9967-CT-39B",'SKU明细'!$A$11:$A$1309,0)),INDEX('SKU明细'!$D$11:$D$1309,MATCH("9967-CT-40B",'SKU明细'!$A$11:$A$1309,0)),INDEX('SKU明细'!$D$11:$D$1309,MATCH("9967-CT-41",'SKU明细'!$A$11:$A$1309,0)),INDEX('SKU明细'!$D$11:$D$1309,MATCH("9967-CT-42",'SKU明细'!$A$11:$A$1309,0))))</x:f>
        <x:v>6</x:v>
      </x:c>
      <x:c r="T179" s="36" t="n">
        <x:f>IF(COUNTIFS($A$9:$A$191,A179,$U$9:$U$191,"&lt;&gt;待核")=0,"待核",SUMIF($A$9:$A$191,A179,$S$9:$S$191))</x:f>
        <x:v>10</x:v>
      </x:c>
      <x:c r="U179" s="35" t="str">
        <x:f>IF(COUNT(INDEX('SKU明细'!$D$11:$D$1309,MATCH("9967-CT-37",'SKU明细'!$A$11:$A$1309,0)),INDEX('SKU明细'!$D$11:$D$1309,MATCH("9967-CT-38B",'SKU明细'!$A$11:$A$1309,0)),INDEX('SKU明细'!$D$11:$D$1309,MATCH("9967-CT-39B",'SKU明细'!$A$11:$A$1309,0)),INDEX('SKU明细'!$D$11:$D$1309,MATCH("9967-CT-40B",'SKU明细'!$A$11:$A$1309,0)),INDEX('SKU明细'!$D$11:$D$1309,MATCH("9967-CT-41",'SKU明细'!$A$11:$A$1309,0)),INDEX('SKU明细'!$D$11:$D$1309,MATCH("9967-CT-42",'SKU明细'!$A$11:$A$1309,0)))=0,"待核",IF(COUNT(INDEX('SKU明细'!$D$11:$D$1309,MATCH("9967-CT-37",'SKU明细'!$A$11:$A$1309,0)),INDEX('SKU明细'!$D$11:$D$1309,MATCH("9967-CT-38B",'SKU明细'!$A$11:$A$1309,0)),INDEX('SKU明细'!$D$11:$D$1309,MATCH("9967-CT-39B",'SKU明细'!$A$11:$A$1309,0)),INDEX('SKU明细'!$D$11:$D$1309,MATCH("9967-CT-40B",'SKU明细'!$A$11:$A$1309,0)),INDEX('SKU明细'!$D$11:$D$1309,MATCH("9967-CT-41",'SKU明细'!$A$11:$A$1309,0)),INDEX('SKU明细'!$D$11:$D$1309,MATCH("9967-CT-42",'SKU明细'!$A$11:$A$1309,0)))&lt;6,"另有待核","已核"))</x:f>
        <x:v>已核</x:v>
      </x:c>
      <x:c r="V179" s="35" t="str">
        <x:v>在售</x:v>
      </x:c>
      <x:c r="W179" s="11" t="n">
        <x:f>IF(COUNT(INDEX('SKU明细'!$BV$11:$BV$1309,MATCH("9967-CT-37",'SKU明细'!$A$11:$A$1309,0)),INDEX('SKU明细'!$BV$11:$BV$1309,MATCH("9967-CT-38B",'SKU明细'!$A$11:$A$1309,0)),INDEX('SKU明细'!$BV$11:$BV$1309,MATCH("9967-CT-39B",'SKU明细'!$A$11:$A$1309,0)),INDEX('SKU明细'!$BV$11:$BV$1309,MATCH("9967-CT-40B",'SKU明细'!$A$11:$A$1309,0)),INDEX('SKU明细'!$BV$11:$BV$1309,MATCH("9967-CT-41",'SKU明细'!$A$11:$A$1309,0)),INDEX('SKU明细'!$BV$11:$BV$1309,MATCH("9967-CT-42",'SKU明细'!$A$11:$A$1309,0)))=6,SUM(INDEX('SKU明细'!$BV$11:$BV$1309,MATCH("9967-CT-37",'SKU明细'!$A$11:$A$1309,0)),INDEX('SKU明细'!$BV$11:$BV$1309,MATCH("9967-CT-38B",'SKU明细'!$A$11:$A$1309,0)),INDEX('SKU明细'!$BV$11:$BV$1309,MATCH("9967-CT-39B",'SKU明细'!$A$11:$A$1309,0)),INDEX('SKU明细'!$BV$11:$BV$1309,MATCH("9967-CT-40B",'SKU明细'!$A$11:$A$1309,0)),INDEX('SKU明细'!$BV$11:$BV$1309,MATCH("9967-CT-41",'SKU明细'!$A$11:$A$1309,0)),INDEX('SKU明细'!$BV$11:$BV$1309,MATCH("9967-CT-42",'SKU明细'!$A$11:$A$1309,0))),"待核")</x:f>
        <x:v>0.3359398979448722</x:v>
      </x:c>
      <x:c r="X179" s="11" t="n">
        <x:f>INDEX('SKU明细'!$BW$11:$BW$1309,MATCH("9967-CT-37",'SKU明细'!$A$11:$A$1309,0))</x:f>
        <x:v>0.624562333197096</x:v>
      </x:c>
      <x:c r="Y179" s="13" t="n">
        <x:f>IF(COUNT(INDEX('SKU明细'!$BY$11:$BY$1309,MATCH("9967-CT-37",'SKU明细'!$A$11:$A$1309,0)),INDEX('SKU明细'!$BY$11:$BY$1309,MATCH("9967-CT-38B",'SKU明细'!$A$11:$A$1309,0)),INDEX('SKU明细'!$BY$11:$BY$1309,MATCH("9967-CT-39B",'SKU明细'!$A$11:$A$1309,0)),INDEX('SKU明细'!$BY$11:$BY$1309,MATCH("9967-CT-40B",'SKU明细'!$A$11:$A$1309,0)),INDEX('SKU明细'!$BY$11:$BY$1309,MATCH("9967-CT-41",'SKU明细'!$A$11:$A$1309,0)),INDEX('SKU明细'!$BY$11:$BY$1309,MATCH("9967-CT-42",'SKU明细'!$A$11:$A$1309,0)))=6,SUM(INDEX('SKU明细'!$BY$11:$BY$1309,MATCH("9967-CT-37",'SKU明细'!$A$11:$A$1309,0)),INDEX('SKU明细'!$BY$11:$BY$1309,MATCH("9967-CT-38B",'SKU明细'!$A$11:$A$1309,0)),INDEX('SKU明细'!$BY$11:$BY$1309,MATCH("9967-CT-39B",'SKU明细'!$A$11:$A$1309,0)),INDEX('SKU明细'!$BY$11:$BY$1309,MATCH("9967-CT-40B",'SKU明细'!$A$11:$A$1309,0)),INDEX('SKU明细'!$BY$11:$BY$1309,MATCH("9967-CT-41",'SKU明细'!$A$11:$A$1309,0)),INDEX('SKU明细'!$BY$11:$BY$1309,MATCH("9967-CT-42",'SKU明细'!$A$11:$A$1309,0))),"待核")</x:f>
        <x:v>2.517784877693325</x:v>
      </x:c>
      <x:c r="Z179" s="11" t="n">
        <x:f>INDEX('SKU明细'!$BZ$11:$BZ$1309,MATCH("9967-CT-37",'SKU明细'!$A$11:$A$1309,0))</x:f>
        <x:v>2.028100514629496</x:v>
      </x:c>
      <x:c r="AA179" s="13" t="n">
        <x:f>IF(COUNT(INDEX('SKU明细'!$CB$11:$CB$1309,MATCH("9967-CT-37",'SKU明细'!$A$11:$A$1309,0)),INDEX('SKU明细'!$CB$11:$CB$1309,MATCH("9967-CT-38B",'SKU明细'!$A$11:$A$1309,0)),INDEX('SKU明细'!$CB$11:$CB$1309,MATCH("9967-CT-39B",'SKU明细'!$A$11:$A$1309,0)),INDEX('SKU明细'!$CB$11:$CB$1309,MATCH("9967-CT-40B",'SKU明细'!$A$11:$A$1309,0)),INDEX('SKU明细'!$CB$11:$CB$1309,MATCH("9967-CT-41",'SKU明细'!$A$11:$A$1309,0)),INDEX('SKU明细'!$CB$11:$CB$1309,MATCH("9967-CT-42",'SKU明细'!$A$11:$A$1309,0)))=6,SUM(INDEX('SKU明细'!$CB$11:$CB$1309,MATCH("9967-CT-37",'SKU明细'!$A$11:$A$1309,0)),INDEX('SKU明细'!$CB$11:$CB$1309,MATCH("9967-CT-38B",'SKU明细'!$A$11:$A$1309,0)),INDEX('SKU明细'!$CB$11:$CB$1309,MATCH("9967-CT-39B",'SKU明细'!$A$11:$A$1309,0)),INDEX('SKU明细'!$CB$11:$CB$1309,MATCH("9967-CT-40B",'SKU明细'!$A$11:$A$1309,0)),INDEX('SKU明细'!$CB$11:$CB$1309,MATCH("9967-CT-41",'SKU明细'!$A$11:$A$1309,0)),INDEX('SKU明细'!$CB$11:$CB$1309,MATCH("9967-CT-42",'SKU明细'!$A$11:$A$1309,0))),"待核")</x:f>
        <x:v>20.439596397197274</x:v>
      </x:c>
      <x:c r="AB179" s="11" t="n">
        <x:f>INDEX('SKU明细'!$CC$11:$CC$1309,MATCH("9967-CT-37",'SKU明细'!$A$11:$A$1309,0))</x:f>
        <x:v>4.058791976082533</x:v>
      </x:c>
      <x:c r="AC179" s="13" t="n">
        <x:f>IF(COUNT(INDEX('SKU明细'!$CE$11:$CE$1309,MATCH("9967-CT-37",'SKU明细'!$A$11:$A$1309,0)),INDEX('SKU明细'!$CE$11:$CE$1309,MATCH("9967-CT-38B",'SKU明细'!$A$11:$A$1309,0)),INDEX('SKU明细'!$CE$11:$CE$1309,MATCH("9967-CT-39B",'SKU明细'!$A$11:$A$1309,0)),INDEX('SKU明细'!$CE$11:$CE$1309,MATCH("9967-CT-40B",'SKU明细'!$A$11:$A$1309,0)),INDEX('SKU明细'!$CE$11:$CE$1309,MATCH("9967-CT-41",'SKU明细'!$A$11:$A$1309,0)),INDEX('SKU明细'!$CE$11:$CE$1309,MATCH("9967-CT-42",'SKU明细'!$A$11:$A$1309,0)))=6,SUM(INDEX('SKU明细'!$CE$11:$CE$1309,MATCH("9967-CT-37",'SKU明细'!$A$11:$A$1309,0)),INDEX('SKU明细'!$CE$11:$CE$1309,MATCH("9967-CT-38B",'SKU明细'!$A$11:$A$1309,0)),INDEX('SKU明细'!$CE$11:$CE$1309,MATCH("9967-CT-39B",'SKU明细'!$A$11:$A$1309,0)),INDEX('SKU明细'!$CE$11:$CE$1309,MATCH("9967-CT-40B",'SKU明细'!$A$11:$A$1309,0)),INDEX('SKU明细'!$CE$11:$CE$1309,MATCH("9967-CT-41",'SKU明细'!$A$11:$A$1309,0)),INDEX('SKU明细'!$CE$11:$CE$1309,MATCH("9967-CT-42",'SKU明细'!$A$11:$A$1309,0))),"待核")</x:f>
        <x:v>42.26881502896361</x:v>
      </x:c>
      <x:c r="AD179" s="11" t="n">
        <x:f>INDEX('SKU明细'!$CF$11:$CF$1309,MATCH("9967-CT-37",'SKU明细'!$A$11:$A$1309,0))</x:f>
        <x:v>3.3923340385719465</x:v>
      </x:c>
      <x:c r="AE179" s="13" t="n">
        <x:f>IF(COUNT(INDEX('SKU明细'!$CH$11:$CH$1309,MATCH("9967-CT-37",'SKU明细'!$A$11:$A$1309,0)),INDEX('SKU明细'!$CH$11:$CH$1309,MATCH("9967-CT-38B",'SKU明细'!$A$11:$A$1309,0)),INDEX('SKU明细'!$CH$11:$CH$1309,MATCH("9967-CT-39B",'SKU明细'!$A$11:$A$1309,0)),INDEX('SKU明细'!$CH$11:$CH$1309,MATCH("9967-CT-40B",'SKU明细'!$A$11:$A$1309,0)),INDEX('SKU明细'!$CH$11:$CH$1309,MATCH("9967-CT-41",'SKU明细'!$A$11:$A$1309,0)),INDEX('SKU明细'!$CH$11:$CH$1309,MATCH("9967-CT-42",'SKU明细'!$A$11:$A$1309,0)))=6,SUM(INDEX('SKU明细'!$CH$11:$CH$1309,MATCH("9967-CT-37",'SKU明细'!$A$11:$A$1309,0)),INDEX('SKU明细'!$CH$11:$CH$1309,MATCH("9967-CT-38B",'SKU明细'!$A$11:$A$1309,0)),INDEX('SKU明细'!$CH$11:$CH$1309,MATCH("9967-CT-39B",'SKU明细'!$A$11:$A$1309,0)),INDEX('SKU明细'!$CH$11:$CH$1309,MATCH("9967-CT-40B",'SKU明细'!$A$11:$A$1309,0)),INDEX('SKU明细'!$CH$11:$CH$1309,MATCH("9967-CT-41",'SKU明细'!$A$11:$A$1309,0)),INDEX('SKU明细'!$CH$11:$CH$1309,MATCH("9967-CT-42",'SKU明细'!$A$11:$A$1309,0))),"待核")</x:f>
        <x:v>19.37354596211719</x:v>
      </x:c>
      <x:c r="AF179" s="13" t="n">
        <x:f>IF(COUNT(INDEX('SKU明细'!$CI$11:$CI$1309,MATCH("9967-CT-37",'SKU明细'!$A$11:$A$1309,0)),INDEX('SKU明细'!$CI$11:$CI$1309,MATCH("9967-CT-38B",'SKU明细'!$A$11:$A$1309,0)),INDEX('SKU明细'!$CI$11:$CI$1309,MATCH("9967-CT-39B",'SKU明细'!$A$11:$A$1309,0)),INDEX('SKU明细'!$CI$11:$CI$1309,MATCH("9967-CT-40B",'SKU明细'!$A$11:$A$1309,0)),INDEX('SKU明细'!$CI$11:$CI$1309,MATCH("9967-CT-41",'SKU明细'!$A$11:$A$1309,0)),INDEX('SKU明细'!$CI$11:$CI$1309,MATCH("9967-CT-42",'SKU明细'!$A$11:$A$1309,0)))=6,SUM(INDEX('SKU明细'!$CI$11:$CI$1309,MATCH("9967-CT-37",'SKU明细'!$A$11:$A$1309,0)),INDEX('SKU明细'!$CI$11:$CI$1309,MATCH("9967-CT-38B",'SKU明细'!$A$11:$A$1309,0)),INDEX('SKU明细'!$CI$11:$CI$1309,MATCH("9967-CT-39B",'SKU明细'!$A$11:$A$1309,0)),INDEX('SKU明细'!$CI$11:$CI$1309,MATCH("9967-CT-40B",'SKU明细'!$A$11:$A$1309,0)),INDEX('SKU明细'!$CI$11:$CI$1309,MATCH("9967-CT-41",'SKU明细'!$A$11:$A$1309,0)),INDEX('SKU明细'!$CI$11:$CI$1309,MATCH("9967-CT-42",'SKU明细'!$A$11:$A$1309,0))),"待核")</x:f>
        <x:v>84.5997422659714</x:v>
      </x:c>
    </x:row>
    <x:row r="180" ht="40" customHeight="1">
      <x:c r="A180" s="35" t="str">
        <x:v>9967</x:v>
      </x:c>
      <x:c r="B180" s="35" t="str">
        <x:v>徐新怡</x:v>
      </x:c>
      <x:c r="C180" s="35" t="str">
        <x:v>灰色</x:v>
      </x:c>
      <x:c r="D180" s="35" t="str">
        <x:v>GY</x:v>
      </x:c>
      <x:c r="E180" s="35" t="str">
        <x:v>9967-GY</x:v>
      </x:c>
      <x:c r="F180" s="35"/>
      <x:c r="G180" s="36" t="str">
        <x:f>"—"</x:f>
        <x:v>—</x:v>
      </x:c>
      <x:c r="H180" s="36" t="n">
        <x:f>IF(COUNT(INDEX('SKU明细'!$D$11:$D$1309,MATCH("9967-GY-37",'SKU明细'!$A$11:$A$1309,0)))=0,"待核",IF(COUNT(INDEX('SKU明细'!$D$11:$D$1309,MATCH("9967-GY-37",'SKU明细'!$A$11:$A$1309,0)))&lt;1,SUM(INDEX('SKU明细'!$D$11:$D$1309,MATCH("9967-GY-37",'SKU明细'!$A$11:$A$1309,0)))&amp;" + 待核",SUM(INDEX('SKU明细'!$D$11:$D$1309,MATCH("9967-GY-37",'SKU明细'!$A$11:$A$1309,0)))))</x:f>
        <x:v>0</x:v>
      </x:c>
      <x:c r="I180" s="36" t="str">
        <x:f>"—"</x:f>
        <x:v>—</x:v>
      </x:c>
      <x:c r="J180" s="36" t="n">
        <x:f>IF(COUNT(INDEX('SKU明细'!$D$11:$D$1309,MATCH("9967-GY-38B",'SKU明细'!$A$11:$A$1309,0)))=0,"待核",IF(COUNT(INDEX('SKU明细'!$D$11:$D$1309,MATCH("9967-GY-38B",'SKU明细'!$A$11:$A$1309,0)))&lt;1,SUM(INDEX('SKU明细'!$D$11:$D$1309,MATCH("9967-GY-38B",'SKU明细'!$A$11:$A$1309,0)))&amp;" + 待核",SUM(INDEX('SKU明细'!$D$11:$D$1309,MATCH("9967-GY-38B",'SKU明细'!$A$11:$A$1309,0)))))</x:f>
        <x:v>4</x:v>
      </x:c>
      <x:c r="K180" s="36" t="str">
        <x:f>"—"</x:f>
        <x:v>—</x:v>
      </x:c>
      <x:c r="L180" s="36" t="n">
        <x:f>IF(COUNT(INDEX('SKU明细'!$D$11:$D$1309,MATCH("9967-GY-39B",'SKU明细'!$A$11:$A$1309,0)))=0,"待核",IF(COUNT(INDEX('SKU明细'!$D$11:$D$1309,MATCH("9967-GY-39B",'SKU明细'!$A$11:$A$1309,0)))&lt;1,SUM(INDEX('SKU明细'!$D$11:$D$1309,MATCH("9967-GY-39B",'SKU明细'!$A$11:$A$1309,0)))&amp;" + 待核",SUM(INDEX('SKU明细'!$D$11:$D$1309,MATCH("9967-GY-39B",'SKU明细'!$A$11:$A$1309,0)))))</x:f>
        <x:v>0</x:v>
      </x:c>
      <x:c r="M180" s="36" t="str">
        <x:f>"—"</x:f>
        <x:v>—</x:v>
      </x:c>
      <x:c r="N180" s="36" t="n">
        <x:f>IF(COUNT(INDEX('SKU明细'!$D$11:$D$1309,MATCH("9967-GY-40B",'SKU明细'!$A$11:$A$1309,0)))=0,"待核",IF(COUNT(INDEX('SKU明细'!$D$11:$D$1309,MATCH("9967-GY-40B",'SKU明细'!$A$11:$A$1309,0)))&lt;1,SUM(INDEX('SKU明细'!$D$11:$D$1309,MATCH("9967-GY-40B",'SKU明细'!$A$11:$A$1309,0)))&amp;" + 待核",SUM(INDEX('SKU明细'!$D$11:$D$1309,MATCH("9967-GY-40B",'SKU明细'!$A$11:$A$1309,0)))))</x:f>
        <x:v>0</x:v>
      </x:c>
      <x:c r="O180" s="36" t="n">
        <x:f>IF(COUNT(INDEX('SKU明细'!$D$11:$D$1309,MATCH("9967-GY-41",'SKU明细'!$A$11:$A$1309,0)))=0,"待核",IF(COUNT(INDEX('SKU明细'!$D$11:$D$1309,MATCH("9967-GY-41",'SKU明细'!$A$11:$A$1309,0)))&lt;1,SUM(INDEX('SKU明细'!$D$11:$D$1309,MATCH("9967-GY-41",'SKU明细'!$A$11:$A$1309,0)))&amp;" + 待核",SUM(INDEX('SKU明细'!$D$11:$D$1309,MATCH("9967-GY-41",'SKU明细'!$A$11:$A$1309,0)))))</x:f>
        <x:v>0</x:v>
      </x:c>
      <x:c r="P180" s="36" t="n">
        <x:f>IF(COUNT(INDEX('SKU明细'!$D$11:$D$1309,MATCH("9967-GY-42",'SKU明细'!$A$11:$A$1309,0)))=0,"待核",IF(COUNT(INDEX('SKU明细'!$D$11:$D$1309,MATCH("9967-GY-42",'SKU明细'!$A$11:$A$1309,0)))&lt;1,SUM(INDEX('SKU明细'!$D$11:$D$1309,MATCH("9967-GY-42",'SKU明细'!$A$11:$A$1309,0)))&amp;" + 待核",SUM(INDEX('SKU明细'!$D$11:$D$1309,MATCH("9967-GY-42",'SKU明细'!$A$11:$A$1309,0)))))</x:f>
        <x:v>0</x:v>
      </x:c>
      <x:c r="Q180" s="36" t="str">
        <x:f>"—"</x:f>
        <x:v>—</x:v>
      </x:c>
      <x:c r="R180" s="36" t="str">
        <x:f>"—"</x:f>
        <x:v>—</x:v>
      </x:c>
      <x:c r="S180" s="36" t="n">
        <x:f>IF(COUNT(INDEX('SKU明细'!$D$11:$D$1309,MATCH("9967-GY-37",'SKU明细'!$A$11:$A$1309,0)),INDEX('SKU明细'!$D$11:$D$1309,MATCH("9967-GY-38B",'SKU明细'!$A$11:$A$1309,0)),INDEX('SKU明细'!$D$11:$D$1309,MATCH("9967-GY-39B",'SKU明细'!$A$11:$A$1309,0)),INDEX('SKU明细'!$D$11:$D$1309,MATCH("9967-GY-40B",'SKU明细'!$A$11:$A$1309,0)),INDEX('SKU明细'!$D$11:$D$1309,MATCH("9967-GY-41",'SKU明细'!$A$11:$A$1309,0)),INDEX('SKU明细'!$D$11:$D$1309,MATCH("9967-GY-42",'SKU明细'!$A$11:$A$1309,0)))=0,"待核",SUM(INDEX('SKU明细'!$D$11:$D$1309,MATCH("9967-GY-37",'SKU明细'!$A$11:$A$1309,0)),INDEX('SKU明细'!$D$11:$D$1309,MATCH("9967-GY-38B",'SKU明细'!$A$11:$A$1309,0)),INDEX('SKU明细'!$D$11:$D$1309,MATCH("9967-GY-39B",'SKU明细'!$A$11:$A$1309,0)),INDEX('SKU明细'!$D$11:$D$1309,MATCH("9967-GY-40B",'SKU明细'!$A$11:$A$1309,0)),INDEX('SKU明细'!$D$11:$D$1309,MATCH("9967-GY-41",'SKU明细'!$A$11:$A$1309,0)),INDEX('SKU明细'!$D$11:$D$1309,MATCH("9967-GY-42",'SKU明细'!$A$11:$A$1309,0))))</x:f>
        <x:v>4</x:v>
      </x:c>
      <x:c r="T180" s="36" t="n">
        <x:f>IF(COUNTIFS($A$9:$A$191,A180,$U$9:$U$191,"&lt;&gt;待核")=0,"待核",SUMIF($A$9:$A$191,A180,$S$9:$S$191))</x:f>
        <x:v>10</x:v>
      </x:c>
      <x:c r="U180" s="35" t="str">
        <x:f>IF(COUNT(INDEX('SKU明细'!$D$11:$D$1309,MATCH("9967-GY-37",'SKU明细'!$A$11:$A$1309,0)),INDEX('SKU明细'!$D$11:$D$1309,MATCH("9967-GY-38B",'SKU明细'!$A$11:$A$1309,0)),INDEX('SKU明细'!$D$11:$D$1309,MATCH("9967-GY-39B",'SKU明细'!$A$11:$A$1309,0)),INDEX('SKU明细'!$D$11:$D$1309,MATCH("9967-GY-40B",'SKU明细'!$A$11:$A$1309,0)),INDEX('SKU明细'!$D$11:$D$1309,MATCH("9967-GY-41",'SKU明细'!$A$11:$A$1309,0)),INDEX('SKU明细'!$D$11:$D$1309,MATCH("9967-GY-42",'SKU明细'!$A$11:$A$1309,0)))=0,"待核",IF(COUNT(INDEX('SKU明细'!$D$11:$D$1309,MATCH("9967-GY-37",'SKU明细'!$A$11:$A$1309,0)),INDEX('SKU明细'!$D$11:$D$1309,MATCH("9967-GY-38B",'SKU明细'!$A$11:$A$1309,0)),INDEX('SKU明细'!$D$11:$D$1309,MATCH("9967-GY-39B",'SKU明细'!$A$11:$A$1309,0)),INDEX('SKU明细'!$D$11:$D$1309,MATCH("9967-GY-40B",'SKU明细'!$A$11:$A$1309,0)),INDEX('SKU明细'!$D$11:$D$1309,MATCH("9967-GY-41",'SKU明细'!$A$11:$A$1309,0)),INDEX('SKU明细'!$D$11:$D$1309,MATCH("9967-GY-42",'SKU明细'!$A$11:$A$1309,0)))&lt;6,"另有待核","已核"))</x:f>
        <x:v>已核</x:v>
      </x:c>
      <x:c r="V180" s="35" t="str">
        <x:v>在售、停售</x:v>
      </x:c>
      <x:c r="W180" s="11" t="n">
        <x:f>IF(COUNT(INDEX('SKU明细'!$BV$11:$BV$1309,MATCH("9967-GY-37",'SKU明细'!$A$11:$A$1309,0)),INDEX('SKU明细'!$BV$11:$BV$1309,MATCH("9967-GY-38B",'SKU明细'!$A$11:$A$1309,0)),INDEX('SKU明细'!$BV$11:$BV$1309,MATCH("9967-GY-39B",'SKU明细'!$A$11:$A$1309,0)),INDEX('SKU明细'!$BV$11:$BV$1309,MATCH("9967-GY-40B",'SKU明细'!$A$11:$A$1309,0)),INDEX('SKU明细'!$BV$11:$BV$1309,MATCH("9967-GY-41",'SKU明细'!$A$11:$A$1309,0)),INDEX('SKU明细'!$BV$11:$BV$1309,MATCH("9967-GY-42",'SKU明细'!$A$11:$A$1309,0)))=6,SUM(INDEX('SKU明细'!$BV$11:$BV$1309,MATCH("9967-GY-37",'SKU明细'!$A$11:$A$1309,0)),INDEX('SKU明细'!$BV$11:$BV$1309,MATCH("9967-GY-38B",'SKU明细'!$A$11:$A$1309,0)),INDEX('SKU明细'!$BV$11:$BV$1309,MATCH("9967-GY-39B",'SKU明细'!$A$11:$A$1309,0)),INDEX('SKU明细'!$BV$11:$BV$1309,MATCH("9967-GY-40B",'SKU明细'!$A$11:$A$1309,0)),INDEX('SKU明细'!$BV$11:$BV$1309,MATCH("9967-GY-41",'SKU明细'!$A$11:$A$1309,0)),INDEX('SKU明细'!$BV$11:$BV$1309,MATCH("9967-GY-42",'SKU明细'!$A$11:$A$1309,0))),"待核")</x:f>
        <x:v>0.018367334915048345</x:v>
      </x:c>
      <x:c r="X180" s="11" t="n">
        <x:f>INDEX('SKU明细'!$BW$11:$BW$1309,MATCH("9967-GY-37",'SKU明细'!$A$11:$A$1309,0))</x:f>
        <x:v>0.624562333197096</x:v>
      </x:c>
      <x:c r="Y180" s="13" t="n">
        <x:f>IF(COUNT(INDEX('SKU明细'!$BY$11:$BY$1309,MATCH("9967-GY-37",'SKU明细'!$A$11:$A$1309,0)),INDEX('SKU明细'!$BY$11:$BY$1309,MATCH("9967-GY-38B",'SKU明细'!$A$11:$A$1309,0)),INDEX('SKU明细'!$BY$11:$BY$1309,MATCH("9967-GY-39B",'SKU明细'!$A$11:$A$1309,0)),INDEX('SKU明细'!$BY$11:$BY$1309,MATCH("9967-GY-40B",'SKU明细'!$A$11:$A$1309,0)),INDEX('SKU明细'!$BY$11:$BY$1309,MATCH("9967-GY-41",'SKU明细'!$A$11:$A$1309,0)),INDEX('SKU明细'!$BY$11:$BY$1309,MATCH("9967-GY-42",'SKU明细'!$A$11:$A$1309,0)))=6,SUM(INDEX('SKU明细'!$BY$11:$BY$1309,MATCH("9967-GY-37",'SKU明细'!$A$11:$A$1309,0)),INDEX('SKU明细'!$BY$11:$BY$1309,MATCH("9967-GY-38B",'SKU明细'!$A$11:$A$1309,0)),INDEX('SKU明细'!$BY$11:$BY$1309,MATCH("9967-GY-39B",'SKU明细'!$A$11:$A$1309,0)),INDEX('SKU明细'!$BY$11:$BY$1309,MATCH("9967-GY-40B",'SKU明细'!$A$11:$A$1309,0)),INDEX('SKU明细'!$BY$11:$BY$1309,MATCH("9967-GY-41",'SKU明细'!$A$11:$A$1309,0)),INDEX('SKU明细'!$BY$11:$BY$1309,MATCH("9967-GY-42",'SKU明细'!$A$11:$A$1309,0))),"待核")</x:f>
        <x:v>0.13765854658986093</x:v>
      </x:c>
      <x:c r="Z180" s="11" t="n">
        <x:f>INDEX('SKU明细'!$BZ$11:$BZ$1309,MATCH("9967-GY-37",'SKU明细'!$A$11:$A$1309,0))</x:f>
        <x:v>2.028100514629496</x:v>
      </x:c>
      <x:c r="AA180" s="13" t="n">
        <x:f>IF(COUNT(INDEX('SKU明细'!$CB$11:$CB$1309,MATCH("9967-GY-37",'SKU明细'!$A$11:$A$1309,0)),INDEX('SKU明细'!$CB$11:$CB$1309,MATCH("9967-GY-38B",'SKU明细'!$A$11:$A$1309,0)),INDEX('SKU明细'!$CB$11:$CB$1309,MATCH("9967-GY-39B",'SKU明细'!$A$11:$A$1309,0)),INDEX('SKU明细'!$CB$11:$CB$1309,MATCH("9967-GY-40B",'SKU明细'!$A$11:$A$1309,0)),INDEX('SKU明细'!$CB$11:$CB$1309,MATCH("9967-GY-41",'SKU明细'!$A$11:$A$1309,0)),INDEX('SKU明细'!$CB$11:$CB$1309,MATCH("9967-GY-42",'SKU明细'!$A$11:$A$1309,0)))=6,SUM(INDEX('SKU明细'!$CB$11:$CB$1309,MATCH("9967-GY-37",'SKU明细'!$A$11:$A$1309,0)),INDEX('SKU明细'!$CB$11:$CB$1309,MATCH("9967-GY-38B",'SKU明细'!$A$11:$A$1309,0)),INDEX('SKU明细'!$CB$11:$CB$1309,MATCH("9967-GY-39B",'SKU明细'!$A$11:$A$1309,0)),INDEX('SKU明细'!$CB$11:$CB$1309,MATCH("9967-GY-40B",'SKU明细'!$A$11:$A$1309,0)),INDEX('SKU明细'!$CB$11:$CB$1309,MATCH("9967-GY-41",'SKU明细'!$A$11:$A$1309,0)),INDEX('SKU明细'!$CB$11:$CB$1309,MATCH("9967-GY-42",'SKU明细'!$A$11:$A$1309,0))),"待核")</x:f>
        <x:v>1.117524041807456</x:v>
      </x:c>
      <x:c r="AB180" s="11" t="n">
        <x:f>INDEX('SKU明细'!$CC$11:$CC$1309,MATCH("9967-GY-37",'SKU明细'!$A$11:$A$1309,0))</x:f>
        <x:v>4.058791976082533</x:v>
      </x:c>
      <x:c r="AC180" s="13" t="n">
        <x:f>IF(COUNT(INDEX('SKU明细'!$CE$11:$CE$1309,MATCH("9967-GY-37",'SKU明细'!$A$11:$A$1309,0)),INDEX('SKU明细'!$CE$11:$CE$1309,MATCH("9967-GY-38B",'SKU明细'!$A$11:$A$1309,0)),INDEX('SKU明细'!$CE$11:$CE$1309,MATCH("9967-GY-39B",'SKU明细'!$A$11:$A$1309,0)),INDEX('SKU明细'!$CE$11:$CE$1309,MATCH("9967-GY-40B",'SKU明细'!$A$11:$A$1309,0)),INDEX('SKU明细'!$CE$11:$CE$1309,MATCH("9967-GY-41",'SKU明细'!$A$11:$A$1309,0)),INDEX('SKU明细'!$CE$11:$CE$1309,MATCH("9967-GY-42",'SKU明细'!$A$11:$A$1309,0)))=6,SUM(INDEX('SKU明细'!$CE$11:$CE$1309,MATCH("9967-GY-37",'SKU明细'!$A$11:$A$1309,0)),INDEX('SKU明细'!$CE$11:$CE$1309,MATCH("9967-GY-38B",'SKU明细'!$A$11:$A$1309,0)),INDEX('SKU明细'!$CE$11:$CE$1309,MATCH("9967-GY-39B",'SKU明细'!$A$11:$A$1309,0)),INDEX('SKU明细'!$CE$11:$CE$1309,MATCH("9967-GY-40B",'SKU明细'!$A$11:$A$1309,0)),INDEX('SKU明细'!$CE$11:$CE$1309,MATCH("9967-GY-41",'SKU明细'!$A$11:$A$1309,0)),INDEX('SKU明细'!$CE$11:$CE$1309,MATCH("9967-GY-42",'SKU明细'!$A$11:$A$1309,0))),"待核")</x:f>
        <x:v>2.311024938831782</x:v>
      </x:c>
      <x:c r="AD180" s="11" t="n">
        <x:f>INDEX('SKU明细'!$CF$11:$CF$1309,MATCH("9967-GY-37",'SKU明细'!$A$11:$A$1309,0))</x:f>
        <x:v>3.3923340385719465</x:v>
      </x:c>
      <x:c r="AE180" s="13" t="n">
        <x:f>IF(COUNT(INDEX('SKU明细'!$CH$11:$CH$1309,MATCH("9967-GY-37",'SKU明细'!$A$11:$A$1309,0)),INDEX('SKU明细'!$CH$11:$CH$1309,MATCH("9967-GY-38B",'SKU明细'!$A$11:$A$1309,0)),INDEX('SKU明细'!$CH$11:$CH$1309,MATCH("9967-GY-39B",'SKU明细'!$A$11:$A$1309,0)),INDEX('SKU明细'!$CH$11:$CH$1309,MATCH("9967-GY-40B",'SKU明细'!$A$11:$A$1309,0)),INDEX('SKU明细'!$CH$11:$CH$1309,MATCH("9967-GY-41",'SKU明细'!$A$11:$A$1309,0)),INDEX('SKU明细'!$CH$11:$CH$1309,MATCH("9967-GY-42",'SKU明细'!$A$11:$A$1309,0)))=6,SUM(INDEX('SKU明细'!$CH$11:$CH$1309,MATCH("9967-GY-37",'SKU明细'!$A$11:$A$1309,0)),INDEX('SKU明细'!$CH$11:$CH$1309,MATCH("9967-GY-38B",'SKU明细'!$A$11:$A$1309,0)),INDEX('SKU明细'!$CH$11:$CH$1309,MATCH("9967-GY-39B",'SKU明细'!$A$11:$A$1309,0)),INDEX('SKU明细'!$CH$11:$CH$1309,MATCH("9967-GY-40B",'SKU明细'!$A$11:$A$1309,0)),INDEX('SKU明细'!$CH$11:$CH$1309,MATCH("9967-GY-41",'SKU明细'!$A$11:$A$1309,0)),INDEX('SKU明细'!$CH$11:$CH$1309,MATCH("9967-GY-42",'SKU明细'!$A$11:$A$1309,0))),"待核")</x:f>
        <x:v>1.059238302312881</x:v>
      </x:c>
      <x:c r="AF180" s="13" t="n">
        <x:f>IF(COUNT(INDEX('SKU明细'!$CI$11:$CI$1309,MATCH("9967-GY-37",'SKU明细'!$A$11:$A$1309,0)),INDEX('SKU明细'!$CI$11:$CI$1309,MATCH("9967-GY-38B",'SKU明细'!$A$11:$A$1309,0)),INDEX('SKU明细'!$CI$11:$CI$1309,MATCH("9967-GY-39B",'SKU明细'!$A$11:$A$1309,0)),INDEX('SKU明细'!$CI$11:$CI$1309,MATCH("9967-GY-40B",'SKU明细'!$A$11:$A$1309,0)),INDEX('SKU明细'!$CI$11:$CI$1309,MATCH("9967-GY-41",'SKU明细'!$A$11:$A$1309,0)),INDEX('SKU明细'!$CI$11:$CI$1309,MATCH("9967-GY-42",'SKU明细'!$A$11:$A$1309,0)))=6,SUM(INDEX('SKU明细'!$CI$11:$CI$1309,MATCH("9967-GY-37",'SKU明细'!$A$11:$A$1309,0)),INDEX('SKU明细'!$CI$11:$CI$1309,MATCH("9967-GY-38B",'SKU明细'!$A$11:$A$1309,0)),INDEX('SKU明细'!$CI$11:$CI$1309,MATCH("9967-GY-39B",'SKU明细'!$A$11:$A$1309,0)),INDEX('SKU明细'!$CI$11:$CI$1309,MATCH("9967-GY-40B",'SKU明细'!$A$11:$A$1309,0)),INDEX('SKU明细'!$CI$11:$CI$1309,MATCH("9967-GY-41",'SKU明细'!$A$11:$A$1309,0)),INDEX('SKU明细'!$CI$11:$CI$1309,MATCH("9967-GY-42",'SKU明细'!$A$11:$A$1309,0))),"待核")</x:f>
        <x:v>4.62544582954198</x:v>
      </x:c>
    </x:row>
    <x:row r="181" ht="40" customHeight="1">
      <x:c r="A181" s="37" t="str">
        <x:v>2311062</x:v>
      </x:c>
      <x:c r="B181" s="37" t="str">
        <x:v>陈晨</x:v>
      </x:c>
      <x:c r="C181" s="37" t="str">
        <x:v>黑色 PU</x:v>
      </x:c>
      <x:c r="D181" s="37" t="str">
        <x:v>BK-P</x:v>
      </x:c>
      <x:c r="E181" s="37" t="str">
        <x:v>2311062-BK-P-O</x:v>
      </x:c>
      <x:c r="F181" s="37"/>
      <x:c r="G181" s="38" t="str">
        <x:f>"—"</x:f>
        <x:v>—</x:v>
      </x:c>
      <x:c r="H181" s="38" t="n">
        <x:f>IF(COUNT(INDEX('SKU明细'!$D$11:$D$1309,MATCH("2311062-BK-P-O-6",'SKU明细'!$A$11:$A$1309,0)))=0,"待核",IF(COUNT(INDEX('SKU明细'!$D$11:$D$1309,MATCH("2311062-BK-P-O-6",'SKU明细'!$A$11:$A$1309,0)))&lt;1,SUM(INDEX('SKU明细'!$D$11:$D$1309,MATCH("2311062-BK-P-O-6",'SKU明细'!$A$11:$A$1309,0)))&amp;" + 待核",SUM(INDEX('SKU明细'!$D$11:$D$1309,MATCH("2311062-BK-P-O-6",'SKU明细'!$A$11:$A$1309,0)))))</x:f>
        <x:v>0</x:v>
      </x:c>
      <x:c r="I181" s="38" t="str">
        <x:f>"—"</x:f>
        <x:v>—</x:v>
      </x:c>
      <x:c r="J181" s="38" t="n">
        <x:f>IF(COUNT(INDEX('SKU明细'!$D$11:$D$1309,MATCH("2311062-BK-P-O-7",'SKU明细'!$A$11:$A$1309,0)))=0,"待核",IF(COUNT(INDEX('SKU明细'!$D$11:$D$1309,MATCH("2311062-BK-P-O-7",'SKU明细'!$A$11:$A$1309,0)))&lt;1,SUM(INDEX('SKU明细'!$D$11:$D$1309,MATCH("2311062-BK-P-O-7",'SKU明细'!$A$11:$A$1309,0)))&amp;" + 待核",SUM(INDEX('SKU明细'!$D$11:$D$1309,MATCH("2311062-BK-P-O-7",'SKU明细'!$A$11:$A$1309,0)))))</x:f>
        <x:v>0</x:v>
      </x:c>
      <x:c r="K181" s="38" t="str">
        <x:f>"—"</x:f>
        <x:v>—</x:v>
      </x:c>
      <x:c r="L181" s="38" t="n">
        <x:f>IF(COUNT(INDEX('SKU明细'!$D$11:$D$1309,MATCH("2311062-BK-P-O-8",'SKU明细'!$A$11:$A$1309,0)))=0,"待核",IF(COUNT(INDEX('SKU明细'!$D$11:$D$1309,MATCH("2311062-BK-P-O-8",'SKU明细'!$A$11:$A$1309,0)))&lt;1,SUM(INDEX('SKU明细'!$D$11:$D$1309,MATCH("2311062-BK-P-O-8",'SKU明细'!$A$11:$A$1309,0)))&amp;" + 待核",SUM(INDEX('SKU明细'!$D$11:$D$1309,MATCH("2311062-BK-P-O-8",'SKU明细'!$A$11:$A$1309,0)))))</x:f>
        <x:v>0</x:v>
      </x:c>
      <x:c r="M181" s="38" t="str">
        <x:f>"—"</x:f>
        <x:v>—</x:v>
      </x:c>
      <x:c r="N181" s="38" t="n">
        <x:f>IF(COUNT(INDEX('SKU明细'!$D$11:$D$1309,MATCH("2311062-BK-P-O-9",'SKU明细'!$A$11:$A$1309,0)))=0,"待核",IF(COUNT(INDEX('SKU明细'!$D$11:$D$1309,MATCH("2311062-BK-P-O-9",'SKU明细'!$A$11:$A$1309,0)))&lt;1,SUM(INDEX('SKU明细'!$D$11:$D$1309,MATCH("2311062-BK-P-O-9",'SKU明细'!$A$11:$A$1309,0)))&amp;" + 待核",SUM(INDEX('SKU明细'!$D$11:$D$1309,MATCH("2311062-BK-P-O-9",'SKU明细'!$A$11:$A$1309,0)))))</x:f>
        <x:v>0</x:v>
      </x:c>
      <x:c r="O181" s="38" t="str">
        <x:f>"—"</x:f>
        <x:v>—</x:v>
      </x:c>
      <x:c r="P181" s="38" t="n">
        <x:f>IF(COUNT(INDEX('SKU明细'!$D$11:$D$1309,MATCH("2311062-BK-P-O-10",'SKU明细'!$A$11:$A$1309,0)))=0,"待核",IF(COUNT(INDEX('SKU明细'!$D$11:$D$1309,MATCH("2311062-BK-P-O-10",'SKU明细'!$A$11:$A$1309,0)))&lt;1,SUM(INDEX('SKU明细'!$D$11:$D$1309,MATCH("2311062-BK-P-O-10",'SKU明细'!$A$11:$A$1309,0)))&amp;" + 待核",SUM(INDEX('SKU明细'!$D$11:$D$1309,MATCH("2311062-BK-P-O-10",'SKU明细'!$A$11:$A$1309,0)))))</x:f>
        <x:v>0</x:v>
      </x:c>
      <x:c r="Q181" s="38" t="str">
        <x:f>"—"</x:f>
        <x:v>—</x:v>
      </x:c>
      <x:c r="R181" s="38" t="n">
        <x:f>IF(COUNT(INDEX('SKU明细'!$D$11:$D$1309,MATCH("2311062-BK-P-O-11",'SKU明细'!$A$11:$A$1309,0)))=0,"待核",IF(COUNT(INDEX('SKU明细'!$D$11:$D$1309,MATCH("2311062-BK-P-O-11",'SKU明细'!$A$11:$A$1309,0)))&lt;1,SUM(INDEX('SKU明细'!$D$11:$D$1309,MATCH("2311062-BK-P-O-11",'SKU明细'!$A$11:$A$1309,0)))&amp;" + 待核",SUM(INDEX('SKU明细'!$D$11:$D$1309,MATCH("2311062-BK-P-O-11",'SKU明细'!$A$11:$A$1309,0)))))</x:f>
        <x:v>0</x:v>
      </x:c>
      <x:c r="S181" s="38" t="n">
        <x:f>IF(COUNT(INDEX('SKU明细'!$D$11:$D$1309,MATCH("2311062-BK-P-O-6",'SKU明细'!$A$11:$A$1309,0)),INDEX('SKU明细'!$D$11:$D$1309,MATCH("2311062-BK-P-O-7",'SKU明细'!$A$11:$A$1309,0)),INDEX('SKU明细'!$D$11:$D$1309,MATCH("2311062-BK-P-O-8",'SKU明细'!$A$11:$A$1309,0)),INDEX('SKU明细'!$D$11:$D$1309,MATCH("2311062-BK-P-O-9",'SKU明细'!$A$11:$A$1309,0)),INDEX('SKU明细'!$D$11:$D$1309,MATCH("2311062-BK-P-O-10",'SKU明细'!$A$11:$A$1309,0)),INDEX('SKU明细'!$D$11:$D$1309,MATCH("2311062-BK-P-O-11",'SKU明细'!$A$11:$A$1309,0)))=0,"待核",SUM(INDEX('SKU明细'!$D$11:$D$1309,MATCH("2311062-BK-P-O-6",'SKU明细'!$A$11:$A$1309,0)),INDEX('SKU明细'!$D$11:$D$1309,MATCH("2311062-BK-P-O-7",'SKU明细'!$A$11:$A$1309,0)),INDEX('SKU明细'!$D$11:$D$1309,MATCH("2311062-BK-P-O-8",'SKU明细'!$A$11:$A$1309,0)),INDEX('SKU明细'!$D$11:$D$1309,MATCH("2311062-BK-P-O-9",'SKU明细'!$A$11:$A$1309,0)),INDEX('SKU明细'!$D$11:$D$1309,MATCH("2311062-BK-P-O-10",'SKU明细'!$A$11:$A$1309,0)),INDEX('SKU明细'!$D$11:$D$1309,MATCH("2311062-BK-P-O-11",'SKU明细'!$A$11:$A$1309,0))))</x:f>
        <x:v>0</x:v>
      </x:c>
      <x:c r="T181" s="38" t="n">
        <x:f>IF(COUNTIFS($A$9:$A$191,A181,$U$9:$U$191,"&lt;&gt;待核")=0,"待核",SUMIF($A$9:$A$191,A181,$S$9:$S$191))</x:f>
        <x:v>0</x:v>
      </x:c>
      <x:c r="U181" s="37" t="str">
        <x:f>IF(COUNT(INDEX('SKU明细'!$D$11:$D$1309,MATCH("2311062-BK-P-O-6",'SKU明细'!$A$11:$A$1309,0)),INDEX('SKU明细'!$D$11:$D$1309,MATCH("2311062-BK-P-O-7",'SKU明细'!$A$11:$A$1309,0)),INDEX('SKU明细'!$D$11:$D$1309,MATCH("2311062-BK-P-O-8",'SKU明细'!$A$11:$A$1309,0)),INDEX('SKU明细'!$D$11:$D$1309,MATCH("2311062-BK-P-O-9",'SKU明细'!$A$11:$A$1309,0)),INDEX('SKU明细'!$D$11:$D$1309,MATCH("2311062-BK-P-O-10",'SKU明细'!$A$11:$A$1309,0)),INDEX('SKU明细'!$D$11:$D$1309,MATCH("2311062-BK-P-O-11",'SKU明细'!$A$11:$A$1309,0)))=0,"待核",IF(COUNT(INDEX('SKU明细'!$D$11:$D$1309,MATCH("2311062-BK-P-O-6",'SKU明细'!$A$11:$A$1309,0)),INDEX('SKU明细'!$D$11:$D$1309,MATCH("2311062-BK-P-O-7",'SKU明细'!$A$11:$A$1309,0)),INDEX('SKU明细'!$D$11:$D$1309,MATCH("2311062-BK-P-O-8",'SKU明细'!$A$11:$A$1309,0)),INDEX('SKU明细'!$D$11:$D$1309,MATCH("2311062-BK-P-O-9",'SKU明细'!$A$11:$A$1309,0)),INDEX('SKU明细'!$D$11:$D$1309,MATCH("2311062-BK-P-O-10",'SKU明细'!$A$11:$A$1309,0)),INDEX('SKU明细'!$D$11:$D$1309,MATCH("2311062-BK-P-O-11",'SKU明细'!$A$11:$A$1309,0)))&lt;6,"另有待核","已核"))</x:f>
        <x:v>已核</x:v>
      </x:c>
      <x:c r="V181" s="37" t="str">
        <x:v>在售</x:v>
      </x:c>
      <x:c r="W181" s="11" t="n">
        <x:f>IF(COUNT(INDEX('SKU明细'!$BV$11:$BV$1309,MATCH("2311062-BK-P-O-6",'SKU明细'!$A$11:$A$1309,0)),INDEX('SKU明细'!$BV$11:$BV$1309,MATCH("2311062-BK-P-O-7",'SKU明细'!$A$11:$A$1309,0)),INDEX('SKU明细'!$BV$11:$BV$1309,MATCH("2311062-BK-P-O-8",'SKU明细'!$A$11:$A$1309,0)),INDEX('SKU明细'!$BV$11:$BV$1309,MATCH("2311062-BK-P-O-9",'SKU明细'!$A$11:$A$1309,0)),INDEX('SKU明细'!$BV$11:$BV$1309,MATCH("2311062-BK-P-O-10",'SKU明细'!$A$11:$A$1309,0)),INDEX('SKU明细'!$BV$11:$BV$1309,MATCH("2311062-BK-P-O-11",'SKU明细'!$A$11:$A$1309,0)))=6,SUM(INDEX('SKU明细'!$BV$11:$BV$1309,MATCH("2311062-BK-P-O-6",'SKU明细'!$A$11:$A$1309,0)),INDEX('SKU明细'!$BV$11:$BV$1309,MATCH("2311062-BK-P-O-7",'SKU明细'!$A$11:$A$1309,0)),INDEX('SKU明细'!$BV$11:$BV$1309,MATCH("2311062-BK-P-O-8",'SKU明细'!$A$11:$A$1309,0)),INDEX('SKU明细'!$BV$11:$BV$1309,MATCH("2311062-BK-P-O-9",'SKU明细'!$A$11:$A$1309,0)),INDEX('SKU明细'!$BV$11:$BV$1309,MATCH("2311062-BK-P-O-10",'SKU明细'!$A$11:$A$1309,0)),INDEX('SKU明细'!$BV$11:$BV$1309,MATCH("2311062-BK-P-O-11",'SKU明细'!$A$11:$A$1309,0))),"待核")</x:f>
        <x:v>4.756690693909693</x:v>
      </x:c>
      <x:c r="X181" s="11" t="n">
        <x:f>INDEX('SKU明细'!$BW$11:$BW$1309,MATCH("2311062-BK-P-O-6",'SKU明细'!$A$11:$A$1309,0))</x:f>
        <x:v>1.4758912429949873</x:v>
      </x:c>
      <x:c r="Y181" s="13" t="n">
        <x:f>IF(COUNT(INDEX('SKU明细'!$BY$11:$BY$1309,MATCH("2311062-BK-P-O-6",'SKU明细'!$A$11:$A$1309,0)),INDEX('SKU明细'!$BY$11:$BY$1309,MATCH("2311062-BK-P-O-7",'SKU明细'!$A$11:$A$1309,0)),INDEX('SKU明细'!$BY$11:$BY$1309,MATCH("2311062-BK-P-O-8",'SKU明细'!$A$11:$A$1309,0)),INDEX('SKU明细'!$BY$11:$BY$1309,MATCH("2311062-BK-P-O-9",'SKU明细'!$A$11:$A$1309,0)),INDEX('SKU明细'!$BY$11:$BY$1309,MATCH("2311062-BK-P-O-10",'SKU明细'!$A$11:$A$1309,0)),INDEX('SKU明细'!$BY$11:$BY$1309,MATCH("2311062-BK-P-O-11",'SKU明细'!$A$11:$A$1309,0)))=6,SUM(INDEX('SKU明细'!$BY$11:$BY$1309,MATCH("2311062-BK-P-O-6",'SKU明细'!$A$11:$A$1309,0)),INDEX('SKU明细'!$BY$11:$BY$1309,MATCH("2311062-BK-P-O-7",'SKU明细'!$A$11:$A$1309,0)),INDEX('SKU明细'!$BY$11:$BY$1309,MATCH("2311062-BK-P-O-8",'SKU明细'!$A$11:$A$1309,0)),INDEX('SKU明细'!$BY$11:$BY$1309,MATCH("2311062-BK-P-O-9",'SKU明细'!$A$11:$A$1309,0)),INDEX('SKU明细'!$BY$11:$BY$1309,MATCH("2311062-BK-P-O-10",'SKU明细'!$A$11:$A$1309,0)),INDEX('SKU明细'!$BY$11:$BY$1309,MATCH("2311062-BK-P-O-11",'SKU明细'!$A$11:$A$1309,0))),"待核")</x:f>
        <x:v>84.24429768932478</x:v>
      </x:c>
      <x:c r="Z181" s="11" t="n">
        <x:f>INDEX('SKU明细'!$BZ$11:$BZ$1309,MATCH("2311062-BK-P-O-6",'SKU明细'!$A$11:$A$1309,0))</x:f>
        <x:v>0.906602681585801</x:v>
      </x:c>
      <x:c r="AA181" s="13" t="n">
        <x:f>IF(COUNT(INDEX('SKU明细'!$CB$11:$CB$1309,MATCH("2311062-BK-P-O-6",'SKU明细'!$A$11:$A$1309,0)),INDEX('SKU明细'!$CB$11:$CB$1309,MATCH("2311062-BK-P-O-7",'SKU明细'!$A$11:$A$1309,0)),INDEX('SKU明细'!$CB$11:$CB$1309,MATCH("2311062-BK-P-O-8",'SKU明细'!$A$11:$A$1309,0)),INDEX('SKU明细'!$CB$11:$CB$1309,MATCH("2311062-BK-P-O-9",'SKU明细'!$A$11:$A$1309,0)),INDEX('SKU明细'!$CB$11:$CB$1309,MATCH("2311062-BK-P-O-10",'SKU明细'!$A$11:$A$1309,0)),INDEX('SKU明细'!$CB$11:$CB$1309,MATCH("2311062-BK-P-O-11",'SKU明细'!$A$11:$A$1309,0)))=6,SUM(INDEX('SKU明细'!$CB$11:$CB$1309,MATCH("2311062-BK-P-O-6",'SKU明细'!$A$11:$A$1309,0)),INDEX('SKU明细'!$CB$11:$CB$1309,MATCH("2311062-BK-P-O-7",'SKU明细'!$A$11:$A$1309,0)),INDEX('SKU明细'!$CB$11:$CB$1309,MATCH("2311062-BK-P-O-8",'SKU明细'!$A$11:$A$1309,0)),INDEX('SKU明细'!$CB$11:$CB$1309,MATCH("2311062-BK-P-O-9",'SKU明细'!$A$11:$A$1309,0)),INDEX('SKU明细'!$CB$11:$CB$1309,MATCH("2311062-BK-P-O-10",'SKU明细'!$A$11:$A$1309,0)),INDEX('SKU明细'!$CB$11:$CB$1309,MATCH("2311062-BK-P-O-11",'SKU明细'!$A$11:$A$1309,0))),"待核")</x:f>
        <x:v>129.37285615718255</x:v>
      </x:c>
      <x:c r="AB181" s="11" t="n">
        <x:f>INDEX('SKU明细'!$CC$11:$CC$1309,MATCH("2311062-BK-P-O-6",'SKU明细'!$A$11:$A$1309,0))</x:f>
        <x:v>0.6189770892129804</x:v>
      </x:c>
      <x:c r="AC181" s="13" t="n">
        <x:f>IF(COUNT(INDEX('SKU明细'!$CE$11:$CE$1309,MATCH("2311062-BK-P-O-6",'SKU明细'!$A$11:$A$1309,0)),INDEX('SKU明细'!$CE$11:$CE$1309,MATCH("2311062-BK-P-O-7",'SKU明细'!$A$11:$A$1309,0)),INDEX('SKU明细'!$CE$11:$CE$1309,MATCH("2311062-BK-P-O-8",'SKU明细'!$A$11:$A$1309,0)),INDEX('SKU明细'!$CE$11:$CE$1309,MATCH("2311062-BK-P-O-9",'SKU明细'!$A$11:$A$1309,0)),INDEX('SKU明细'!$CE$11:$CE$1309,MATCH("2311062-BK-P-O-10",'SKU明细'!$A$11:$A$1309,0)),INDEX('SKU明细'!$CE$11:$CE$1309,MATCH("2311062-BK-P-O-11",'SKU明细'!$A$11:$A$1309,0)))=6,SUM(INDEX('SKU明细'!$CE$11:$CE$1309,MATCH("2311062-BK-P-O-6",'SKU明细'!$A$11:$A$1309,0)),INDEX('SKU明细'!$CE$11:$CE$1309,MATCH("2311062-BK-P-O-7",'SKU明细'!$A$11:$A$1309,0)),INDEX('SKU明细'!$CE$11:$CE$1309,MATCH("2311062-BK-P-O-8",'SKU明细'!$A$11:$A$1309,0)),INDEX('SKU明细'!$CE$11:$CE$1309,MATCH("2311062-BK-P-O-9",'SKU明细'!$A$11:$A$1309,0)),INDEX('SKU明细'!$CE$11:$CE$1309,MATCH("2311062-BK-P-O-10",'SKU明细'!$A$11:$A$1309,0)),INDEX('SKU明细'!$CE$11:$CE$1309,MATCH("2311062-BK-P-O-11",'SKU明细'!$A$11:$A$1309,0))),"待核")</x:f>
        <x:v>91.27275936008351</x:v>
      </x:c>
      <x:c r="AD181" s="11" t="n">
        <x:f>INDEX('SKU明细'!$CF$11:$CF$1309,MATCH("2311062-BK-P-O-6",'SKU明细'!$A$11:$A$1309,0))</x:f>
        <x:v>1.1595882717182624</x:v>
      </x:c>
      <x:c r="AE181" s="13" t="n">
        <x:f>IF(COUNT(INDEX('SKU明细'!$CH$11:$CH$1309,MATCH("2311062-BK-P-O-6",'SKU明细'!$A$11:$A$1309,0)),INDEX('SKU明细'!$CH$11:$CH$1309,MATCH("2311062-BK-P-O-7",'SKU明细'!$A$11:$A$1309,0)),INDEX('SKU明细'!$CH$11:$CH$1309,MATCH("2311062-BK-P-O-8",'SKU明细'!$A$11:$A$1309,0)),INDEX('SKU明细'!$CH$11:$CH$1309,MATCH("2311062-BK-P-O-9",'SKU明细'!$A$11:$A$1309,0)),INDEX('SKU明细'!$CH$11:$CH$1309,MATCH("2311062-BK-P-O-10",'SKU明细'!$A$11:$A$1309,0)),INDEX('SKU明细'!$CH$11:$CH$1309,MATCH("2311062-BK-P-O-11",'SKU明细'!$A$11:$A$1309,0)))=6,SUM(INDEX('SKU明细'!$CH$11:$CH$1309,MATCH("2311062-BK-P-O-6",'SKU明细'!$A$11:$A$1309,0)),INDEX('SKU明细'!$CH$11:$CH$1309,MATCH("2311062-BK-P-O-7",'SKU明细'!$A$11:$A$1309,0)),INDEX('SKU明细'!$CH$11:$CH$1309,MATCH("2311062-BK-P-O-8",'SKU明细'!$A$11:$A$1309,0)),INDEX('SKU明细'!$CH$11:$CH$1309,MATCH("2311062-BK-P-O-9",'SKU明细'!$A$11:$A$1309,0)),INDEX('SKU明细'!$CH$11:$CH$1309,MATCH("2311062-BK-P-O-10",'SKU明细'!$A$11:$A$1309,0)),INDEX('SKU明细'!$CH$11:$CH$1309,MATCH("2311062-BK-P-O-11",'SKU明细'!$A$11:$A$1309,0))),"待核")</x:f>
        <x:v>93.76864659443441</x:v>
      </x:c>
      <x:c r="AF181" s="13" t="n">
        <x:f>IF(COUNT(INDEX('SKU明细'!$CI$11:$CI$1309,MATCH("2311062-BK-P-O-6",'SKU明细'!$A$11:$A$1309,0)),INDEX('SKU明细'!$CI$11:$CI$1309,MATCH("2311062-BK-P-O-7",'SKU明细'!$A$11:$A$1309,0)),INDEX('SKU明细'!$CI$11:$CI$1309,MATCH("2311062-BK-P-O-8",'SKU明细'!$A$11:$A$1309,0)),INDEX('SKU明细'!$CI$11:$CI$1309,MATCH("2311062-BK-P-O-9",'SKU明细'!$A$11:$A$1309,0)),INDEX('SKU明细'!$CI$11:$CI$1309,MATCH("2311062-BK-P-O-10",'SKU明细'!$A$11:$A$1309,0)),INDEX('SKU明细'!$CI$11:$CI$1309,MATCH("2311062-BK-P-O-11",'SKU明细'!$A$11:$A$1309,0)))=6,SUM(INDEX('SKU明细'!$CI$11:$CI$1309,MATCH("2311062-BK-P-O-6",'SKU明细'!$A$11:$A$1309,0)),INDEX('SKU明细'!$CI$11:$CI$1309,MATCH("2311062-BK-P-O-7",'SKU明细'!$A$11:$A$1309,0)),INDEX('SKU明细'!$CI$11:$CI$1309,MATCH("2311062-BK-P-O-8",'SKU明细'!$A$11:$A$1309,0)),INDEX('SKU明细'!$CI$11:$CI$1309,MATCH("2311062-BK-P-O-9",'SKU明细'!$A$11:$A$1309,0)),INDEX('SKU明细'!$CI$11:$CI$1309,MATCH("2311062-BK-P-O-10",'SKU明细'!$A$11:$A$1309,0)),INDEX('SKU明细'!$CI$11:$CI$1309,MATCH("2311062-BK-P-O-11",'SKU明细'!$A$11:$A$1309,0))),"待核")</x:f>
        <x:v>398.65855980102526</x:v>
      </x:c>
    </x:row>
    <x:row r="182" ht="40" customHeight="1">
      <x:c r="A182" s="37" t="str">
        <x:v>2311062</x:v>
      </x:c>
      <x:c r="B182" s="37" t="str">
        <x:v>陈晨</x:v>
      </x:c>
      <x:c r="C182" s="37" t="str">
        <x:v>棕色锦纶</x:v>
      </x:c>
      <x:c r="D182" s="37" t="str">
        <x:v>BR-V</x:v>
      </x:c>
      <x:c r="E182" s="37" t="str">
        <x:v>2311062-BR-V-O</x:v>
      </x:c>
      <x:c r="F182" s="37"/>
      <x:c r="G182" s="38" t="str">
        <x:f>"—"</x:f>
        <x:v>—</x:v>
      </x:c>
      <x:c r="H182" s="38" t="n">
        <x:f>IF(COUNT(INDEX('SKU明细'!$D$11:$D$1309,MATCH("2311062-BR-V-O-6",'SKU明细'!$A$11:$A$1309,0)))=0,"待核",IF(COUNT(INDEX('SKU明细'!$D$11:$D$1309,MATCH("2311062-BR-V-O-6",'SKU明细'!$A$11:$A$1309,0)))&lt;1,SUM(INDEX('SKU明细'!$D$11:$D$1309,MATCH("2311062-BR-V-O-6",'SKU明细'!$A$11:$A$1309,0)))&amp;" + 待核",SUM(INDEX('SKU明细'!$D$11:$D$1309,MATCH("2311062-BR-V-O-6",'SKU明细'!$A$11:$A$1309,0)))))</x:f>
        <x:v>0</x:v>
      </x:c>
      <x:c r="I182" s="38" t="str">
        <x:f>"—"</x:f>
        <x:v>—</x:v>
      </x:c>
      <x:c r="J182" s="38" t="n">
        <x:f>IF(COUNT(INDEX('SKU明细'!$D$11:$D$1309,MATCH("2311062-BR-V-O-7",'SKU明细'!$A$11:$A$1309,0)))=0,"待核",IF(COUNT(INDEX('SKU明细'!$D$11:$D$1309,MATCH("2311062-BR-V-O-7",'SKU明细'!$A$11:$A$1309,0)))&lt;1,SUM(INDEX('SKU明细'!$D$11:$D$1309,MATCH("2311062-BR-V-O-7",'SKU明细'!$A$11:$A$1309,0)))&amp;" + 待核",SUM(INDEX('SKU明细'!$D$11:$D$1309,MATCH("2311062-BR-V-O-7",'SKU明细'!$A$11:$A$1309,0)))))</x:f>
        <x:v>0</x:v>
      </x:c>
      <x:c r="K182" s="38" t="str">
        <x:f>"—"</x:f>
        <x:v>—</x:v>
      </x:c>
      <x:c r="L182" s="38" t="n">
        <x:f>IF(COUNT(INDEX('SKU明细'!$D$11:$D$1309,MATCH("2311062-BR-V-O-8",'SKU明细'!$A$11:$A$1309,0)))=0,"待核",IF(COUNT(INDEX('SKU明细'!$D$11:$D$1309,MATCH("2311062-BR-V-O-8",'SKU明细'!$A$11:$A$1309,0)))&lt;1,SUM(INDEX('SKU明细'!$D$11:$D$1309,MATCH("2311062-BR-V-O-8",'SKU明细'!$A$11:$A$1309,0)))&amp;" + 待核",SUM(INDEX('SKU明细'!$D$11:$D$1309,MATCH("2311062-BR-V-O-8",'SKU明细'!$A$11:$A$1309,0)))))</x:f>
        <x:v>0</x:v>
      </x:c>
      <x:c r="M182" s="38" t="str">
        <x:f>"—"</x:f>
        <x:v>—</x:v>
      </x:c>
      <x:c r="N182" s="38" t="n">
        <x:f>IF(COUNT(INDEX('SKU明细'!$D$11:$D$1309,MATCH("2311062-BR-V-O-9",'SKU明细'!$A$11:$A$1309,0)))=0,"待核",IF(COUNT(INDEX('SKU明细'!$D$11:$D$1309,MATCH("2311062-BR-V-O-9",'SKU明细'!$A$11:$A$1309,0)))&lt;1,SUM(INDEX('SKU明细'!$D$11:$D$1309,MATCH("2311062-BR-V-O-9",'SKU明细'!$A$11:$A$1309,0)))&amp;" + 待核",SUM(INDEX('SKU明细'!$D$11:$D$1309,MATCH("2311062-BR-V-O-9",'SKU明细'!$A$11:$A$1309,0)))))</x:f>
        <x:v>0</x:v>
      </x:c>
      <x:c r="O182" s="38" t="str">
        <x:f>"—"</x:f>
        <x:v>—</x:v>
      </x:c>
      <x:c r="P182" s="38" t="n">
        <x:f>IF(COUNT(INDEX('SKU明细'!$D$11:$D$1309,MATCH("2311062-BR-V-O-10",'SKU明细'!$A$11:$A$1309,0)))=0,"待核",IF(COUNT(INDEX('SKU明细'!$D$11:$D$1309,MATCH("2311062-BR-V-O-10",'SKU明细'!$A$11:$A$1309,0)))&lt;1,SUM(INDEX('SKU明细'!$D$11:$D$1309,MATCH("2311062-BR-V-O-10",'SKU明细'!$A$11:$A$1309,0)))&amp;" + 待核",SUM(INDEX('SKU明细'!$D$11:$D$1309,MATCH("2311062-BR-V-O-10",'SKU明细'!$A$11:$A$1309,0)))))</x:f>
        <x:v>0</x:v>
      </x:c>
      <x:c r="Q182" s="38" t="str">
        <x:f>"—"</x:f>
        <x:v>—</x:v>
      </x:c>
      <x:c r="R182" s="38" t="n">
        <x:f>IF(COUNT(INDEX('SKU明细'!$D$11:$D$1309,MATCH("2311062-BR-V-O-11",'SKU明细'!$A$11:$A$1309,0)))=0,"待核",IF(COUNT(INDEX('SKU明细'!$D$11:$D$1309,MATCH("2311062-BR-V-O-11",'SKU明细'!$A$11:$A$1309,0)))&lt;1,SUM(INDEX('SKU明细'!$D$11:$D$1309,MATCH("2311062-BR-V-O-11",'SKU明细'!$A$11:$A$1309,0)))&amp;" + 待核",SUM(INDEX('SKU明细'!$D$11:$D$1309,MATCH("2311062-BR-V-O-11",'SKU明细'!$A$11:$A$1309,0)))))</x:f>
        <x:v>0</x:v>
      </x:c>
      <x:c r="S182" s="38" t="n">
        <x:f>IF(COUNT(INDEX('SKU明细'!$D$11:$D$1309,MATCH("2311062-BR-V-O-6",'SKU明细'!$A$11:$A$1309,0)),INDEX('SKU明细'!$D$11:$D$1309,MATCH("2311062-BR-V-O-7",'SKU明细'!$A$11:$A$1309,0)),INDEX('SKU明细'!$D$11:$D$1309,MATCH("2311062-BR-V-O-8",'SKU明细'!$A$11:$A$1309,0)),INDEX('SKU明细'!$D$11:$D$1309,MATCH("2311062-BR-V-O-9",'SKU明细'!$A$11:$A$1309,0)),INDEX('SKU明细'!$D$11:$D$1309,MATCH("2311062-BR-V-O-10",'SKU明细'!$A$11:$A$1309,0)),INDEX('SKU明细'!$D$11:$D$1309,MATCH("2311062-BR-V-O-11",'SKU明细'!$A$11:$A$1309,0)))=0,"待核",SUM(INDEX('SKU明细'!$D$11:$D$1309,MATCH("2311062-BR-V-O-6",'SKU明细'!$A$11:$A$1309,0)),INDEX('SKU明细'!$D$11:$D$1309,MATCH("2311062-BR-V-O-7",'SKU明细'!$A$11:$A$1309,0)),INDEX('SKU明细'!$D$11:$D$1309,MATCH("2311062-BR-V-O-8",'SKU明细'!$A$11:$A$1309,0)),INDEX('SKU明细'!$D$11:$D$1309,MATCH("2311062-BR-V-O-9",'SKU明细'!$A$11:$A$1309,0)),INDEX('SKU明细'!$D$11:$D$1309,MATCH("2311062-BR-V-O-10",'SKU明细'!$A$11:$A$1309,0)),INDEX('SKU明细'!$D$11:$D$1309,MATCH("2311062-BR-V-O-11",'SKU明细'!$A$11:$A$1309,0))))</x:f>
        <x:v>0</x:v>
      </x:c>
      <x:c r="T182" s="38" t="n">
        <x:f>IF(COUNTIFS($A$9:$A$191,A182,$U$9:$U$191,"&lt;&gt;待核")=0,"待核",SUMIF($A$9:$A$191,A182,$S$9:$S$191))</x:f>
        <x:v>0</x:v>
      </x:c>
      <x:c r="U182" s="37" t="str">
        <x:f>IF(COUNT(INDEX('SKU明细'!$D$11:$D$1309,MATCH("2311062-BR-V-O-6",'SKU明细'!$A$11:$A$1309,0)),INDEX('SKU明细'!$D$11:$D$1309,MATCH("2311062-BR-V-O-7",'SKU明细'!$A$11:$A$1309,0)),INDEX('SKU明细'!$D$11:$D$1309,MATCH("2311062-BR-V-O-8",'SKU明细'!$A$11:$A$1309,0)),INDEX('SKU明细'!$D$11:$D$1309,MATCH("2311062-BR-V-O-9",'SKU明细'!$A$11:$A$1309,0)),INDEX('SKU明细'!$D$11:$D$1309,MATCH("2311062-BR-V-O-10",'SKU明细'!$A$11:$A$1309,0)),INDEX('SKU明细'!$D$11:$D$1309,MATCH("2311062-BR-V-O-11",'SKU明细'!$A$11:$A$1309,0)))=0,"待核",IF(COUNT(INDEX('SKU明细'!$D$11:$D$1309,MATCH("2311062-BR-V-O-6",'SKU明细'!$A$11:$A$1309,0)),INDEX('SKU明细'!$D$11:$D$1309,MATCH("2311062-BR-V-O-7",'SKU明细'!$A$11:$A$1309,0)),INDEX('SKU明细'!$D$11:$D$1309,MATCH("2311062-BR-V-O-8",'SKU明细'!$A$11:$A$1309,0)),INDEX('SKU明细'!$D$11:$D$1309,MATCH("2311062-BR-V-O-9",'SKU明细'!$A$11:$A$1309,0)),INDEX('SKU明细'!$D$11:$D$1309,MATCH("2311062-BR-V-O-10",'SKU明细'!$A$11:$A$1309,0)),INDEX('SKU明细'!$D$11:$D$1309,MATCH("2311062-BR-V-O-11",'SKU明细'!$A$11:$A$1309,0)))&lt;6,"另有待核","已核"))</x:f>
        <x:v>已核</x:v>
      </x:c>
      <x:c r="V182" s="37" t="str">
        <x:v>在售</x:v>
      </x:c>
      <x:c r="W182" s="11" t="n">
        <x:f>IF(COUNT(INDEX('SKU明细'!$BV$11:$BV$1309,MATCH("2311062-BR-V-O-6",'SKU明细'!$A$11:$A$1309,0)),INDEX('SKU明细'!$BV$11:$BV$1309,MATCH("2311062-BR-V-O-7",'SKU明细'!$A$11:$A$1309,0)),INDEX('SKU明细'!$BV$11:$BV$1309,MATCH("2311062-BR-V-O-8",'SKU明细'!$A$11:$A$1309,0)),INDEX('SKU明细'!$BV$11:$BV$1309,MATCH("2311062-BR-V-O-9",'SKU明细'!$A$11:$A$1309,0)),INDEX('SKU明细'!$BV$11:$BV$1309,MATCH("2311062-BR-V-O-10",'SKU明细'!$A$11:$A$1309,0)),INDEX('SKU明细'!$BV$11:$BV$1309,MATCH("2311062-BR-V-O-11",'SKU明细'!$A$11:$A$1309,0)))=6,SUM(INDEX('SKU明细'!$BV$11:$BV$1309,MATCH("2311062-BR-V-O-6",'SKU明细'!$A$11:$A$1309,0)),INDEX('SKU明细'!$BV$11:$BV$1309,MATCH("2311062-BR-V-O-7",'SKU明细'!$A$11:$A$1309,0)),INDEX('SKU明细'!$BV$11:$BV$1309,MATCH("2311062-BR-V-O-8",'SKU明细'!$A$11:$A$1309,0)),INDEX('SKU明细'!$BV$11:$BV$1309,MATCH("2311062-BR-V-O-9",'SKU明细'!$A$11:$A$1309,0)),INDEX('SKU明细'!$BV$11:$BV$1309,MATCH("2311062-BR-V-O-10",'SKU明细'!$A$11:$A$1309,0)),INDEX('SKU明细'!$BV$11:$BV$1309,MATCH("2311062-BR-V-O-11",'SKU明细'!$A$11:$A$1309,0))),"待核")</x:f>
        <x:v>0.21066970442512042</x:v>
      </x:c>
      <x:c r="X182" s="11" t="n">
        <x:f>INDEX('SKU明细'!$BW$11:$BW$1309,MATCH("2311062-BR-V-O-6",'SKU明细'!$A$11:$A$1309,0))</x:f>
        <x:v>1.4758912429949873</x:v>
      </x:c>
      <x:c r="Y182" s="13" t="n">
        <x:f>IF(COUNT(INDEX('SKU明细'!$BY$11:$BY$1309,MATCH("2311062-BR-V-O-6",'SKU明细'!$A$11:$A$1309,0)),INDEX('SKU明细'!$BY$11:$BY$1309,MATCH("2311062-BR-V-O-7",'SKU明细'!$A$11:$A$1309,0)),INDEX('SKU明细'!$BY$11:$BY$1309,MATCH("2311062-BR-V-O-8",'SKU明细'!$A$11:$A$1309,0)),INDEX('SKU明细'!$BY$11:$BY$1309,MATCH("2311062-BR-V-O-9",'SKU明细'!$A$11:$A$1309,0)),INDEX('SKU明细'!$BY$11:$BY$1309,MATCH("2311062-BR-V-O-10",'SKU明细'!$A$11:$A$1309,0)),INDEX('SKU明细'!$BY$11:$BY$1309,MATCH("2311062-BR-V-O-11",'SKU明细'!$A$11:$A$1309,0)))=6,SUM(INDEX('SKU明细'!$BY$11:$BY$1309,MATCH("2311062-BR-V-O-6",'SKU明细'!$A$11:$A$1309,0)),INDEX('SKU明细'!$BY$11:$BY$1309,MATCH("2311062-BR-V-O-7",'SKU明细'!$A$11:$A$1309,0)),INDEX('SKU明细'!$BY$11:$BY$1309,MATCH("2311062-BR-V-O-8",'SKU明细'!$A$11:$A$1309,0)),INDEX('SKU明细'!$BY$11:$BY$1309,MATCH("2311062-BR-V-O-9",'SKU明细'!$A$11:$A$1309,0)),INDEX('SKU明细'!$BY$11:$BY$1309,MATCH("2311062-BR-V-O-10",'SKU明细'!$A$11:$A$1309,0)),INDEX('SKU明细'!$BY$11:$BY$1309,MATCH("2311062-BR-V-O-11",'SKU明细'!$A$11:$A$1309,0))),"待核")</x:f>
        <x:v>3.731106863104531</x:v>
      </x:c>
      <x:c r="Z182" s="11" t="n">
        <x:f>INDEX('SKU明细'!$BZ$11:$BZ$1309,MATCH("2311062-BR-V-O-6",'SKU明细'!$A$11:$A$1309,0))</x:f>
        <x:v>0.906602681585801</x:v>
      </x:c>
      <x:c r="AA182" s="13" t="n">
        <x:f>IF(COUNT(INDEX('SKU明细'!$CB$11:$CB$1309,MATCH("2311062-BR-V-O-6",'SKU明细'!$A$11:$A$1309,0)),INDEX('SKU明细'!$CB$11:$CB$1309,MATCH("2311062-BR-V-O-7",'SKU明细'!$A$11:$A$1309,0)),INDEX('SKU明细'!$CB$11:$CB$1309,MATCH("2311062-BR-V-O-8",'SKU明细'!$A$11:$A$1309,0)),INDEX('SKU明细'!$CB$11:$CB$1309,MATCH("2311062-BR-V-O-9",'SKU明细'!$A$11:$A$1309,0)),INDEX('SKU明细'!$CB$11:$CB$1309,MATCH("2311062-BR-V-O-10",'SKU明细'!$A$11:$A$1309,0)),INDEX('SKU明细'!$CB$11:$CB$1309,MATCH("2311062-BR-V-O-11",'SKU明细'!$A$11:$A$1309,0)))=6,SUM(INDEX('SKU明细'!$CB$11:$CB$1309,MATCH("2311062-BR-V-O-6",'SKU明细'!$A$11:$A$1309,0)),INDEX('SKU明细'!$CB$11:$CB$1309,MATCH("2311062-BR-V-O-7",'SKU明细'!$A$11:$A$1309,0)),INDEX('SKU明细'!$CB$11:$CB$1309,MATCH("2311062-BR-V-O-8",'SKU明细'!$A$11:$A$1309,0)),INDEX('SKU明细'!$CB$11:$CB$1309,MATCH("2311062-BR-V-O-9",'SKU明细'!$A$11:$A$1309,0)),INDEX('SKU明细'!$CB$11:$CB$1309,MATCH("2311062-BR-V-O-10",'SKU明细'!$A$11:$A$1309,0)),INDEX('SKU明细'!$CB$11:$CB$1309,MATCH("2311062-BR-V-O-11",'SKU明细'!$A$11:$A$1309,0))),"待核")</x:f>
        <x:v>5.729811568821068</x:v>
      </x:c>
      <x:c r="AB182" s="11" t="n">
        <x:f>INDEX('SKU明细'!$CC$11:$CC$1309,MATCH("2311062-BR-V-O-6",'SKU明细'!$A$11:$A$1309,0))</x:f>
        <x:v>0.6189770892129804</x:v>
      </x:c>
      <x:c r="AC182" s="13" t="n">
        <x:f>IF(COUNT(INDEX('SKU明细'!$CE$11:$CE$1309,MATCH("2311062-BR-V-O-6",'SKU明细'!$A$11:$A$1309,0)),INDEX('SKU明细'!$CE$11:$CE$1309,MATCH("2311062-BR-V-O-7",'SKU明细'!$A$11:$A$1309,0)),INDEX('SKU明细'!$CE$11:$CE$1309,MATCH("2311062-BR-V-O-8",'SKU明细'!$A$11:$A$1309,0)),INDEX('SKU明细'!$CE$11:$CE$1309,MATCH("2311062-BR-V-O-9",'SKU明细'!$A$11:$A$1309,0)),INDEX('SKU明细'!$CE$11:$CE$1309,MATCH("2311062-BR-V-O-10",'SKU明细'!$A$11:$A$1309,0)),INDEX('SKU明细'!$CE$11:$CE$1309,MATCH("2311062-BR-V-O-11",'SKU明细'!$A$11:$A$1309,0)))=6,SUM(INDEX('SKU明细'!$CE$11:$CE$1309,MATCH("2311062-BR-V-O-6",'SKU明细'!$A$11:$A$1309,0)),INDEX('SKU明细'!$CE$11:$CE$1309,MATCH("2311062-BR-V-O-7",'SKU明细'!$A$11:$A$1309,0)),INDEX('SKU明细'!$CE$11:$CE$1309,MATCH("2311062-BR-V-O-8",'SKU明细'!$A$11:$A$1309,0)),INDEX('SKU明细'!$CE$11:$CE$1309,MATCH("2311062-BR-V-O-9",'SKU明细'!$A$11:$A$1309,0)),INDEX('SKU明细'!$CE$11:$CE$1309,MATCH("2311062-BR-V-O-10",'SKU明细'!$A$11:$A$1309,0)),INDEX('SKU明细'!$CE$11:$CE$1309,MATCH("2311062-BR-V-O-11",'SKU明细'!$A$11:$A$1309,0))),"待核")</x:f>
        <x:v>4.04239133334302</x:v>
      </x:c>
      <x:c r="AD182" s="11" t="n">
        <x:f>INDEX('SKU明细'!$CF$11:$CF$1309,MATCH("2311062-BR-V-O-6",'SKU明细'!$A$11:$A$1309,0))</x:f>
        <x:v>1.1595882717182624</x:v>
      </x:c>
      <x:c r="AE182" s="13" t="n">
        <x:f>IF(COUNT(INDEX('SKU明细'!$CH$11:$CH$1309,MATCH("2311062-BR-V-O-6",'SKU明细'!$A$11:$A$1309,0)),INDEX('SKU明细'!$CH$11:$CH$1309,MATCH("2311062-BR-V-O-7",'SKU明细'!$A$11:$A$1309,0)),INDEX('SKU明细'!$CH$11:$CH$1309,MATCH("2311062-BR-V-O-8",'SKU明细'!$A$11:$A$1309,0)),INDEX('SKU明细'!$CH$11:$CH$1309,MATCH("2311062-BR-V-O-9",'SKU明细'!$A$11:$A$1309,0)),INDEX('SKU明细'!$CH$11:$CH$1309,MATCH("2311062-BR-V-O-10",'SKU明细'!$A$11:$A$1309,0)),INDEX('SKU明细'!$CH$11:$CH$1309,MATCH("2311062-BR-V-O-11",'SKU明细'!$A$11:$A$1309,0)))=6,SUM(INDEX('SKU明细'!$CH$11:$CH$1309,MATCH("2311062-BR-V-O-6",'SKU明细'!$A$11:$A$1309,0)),INDEX('SKU明细'!$CH$11:$CH$1309,MATCH("2311062-BR-V-O-7",'SKU明细'!$A$11:$A$1309,0)),INDEX('SKU明细'!$CH$11:$CH$1309,MATCH("2311062-BR-V-O-8",'SKU明细'!$A$11:$A$1309,0)),INDEX('SKU明细'!$CH$11:$CH$1309,MATCH("2311062-BR-V-O-9",'SKU明细'!$A$11:$A$1309,0)),INDEX('SKU明细'!$CH$11:$CH$1309,MATCH("2311062-BR-V-O-10",'SKU明细'!$A$11:$A$1309,0)),INDEX('SKU明细'!$CH$11:$CH$1309,MATCH("2311062-BR-V-O-11",'SKU明细'!$A$11:$A$1309,0))),"待核")</x:f>
        <x:v>4.152932013781284</x:v>
      </x:c>
      <x:c r="AF182" s="13" t="n">
        <x:f>IF(COUNT(INDEX('SKU明细'!$CI$11:$CI$1309,MATCH("2311062-BR-V-O-6",'SKU明细'!$A$11:$A$1309,0)),INDEX('SKU明细'!$CI$11:$CI$1309,MATCH("2311062-BR-V-O-7",'SKU明细'!$A$11:$A$1309,0)),INDEX('SKU明细'!$CI$11:$CI$1309,MATCH("2311062-BR-V-O-8",'SKU明细'!$A$11:$A$1309,0)),INDEX('SKU明细'!$CI$11:$CI$1309,MATCH("2311062-BR-V-O-9",'SKU明细'!$A$11:$A$1309,0)),INDEX('SKU明细'!$CI$11:$CI$1309,MATCH("2311062-BR-V-O-10",'SKU明细'!$A$11:$A$1309,0)),INDEX('SKU明细'!$CI$11:$CI$1309,MATCH("2311062-BR-V-O-11",'SKU明细'!$A$11:$A$1309,0)))=6,SUM(INDEX('SKU明细'!$CI$11:$CI$1309,MATCH("2311062-BR-V-O-6",'SKU明细'!$A$11:$A$1309,0)),INDEX('SKU明细'!$CI$11:$CI$1309,MATCH("2311062-BR-V-O-7",'SKU明细'!$A$11:$A$1309,0)),INDEX('SKU明细'!$CI$11:$CI$1309,MATCH("2311062-BR-V-O-8",'SKU明细'!$A$11:$A$1309,0)),INDEX('SKU明细'!$CI$11:$CI$1309,MATCH("2311062-BR-V-O-9",'SKU明细'!$A$11:$A$1309,0)),INDEX('SKU明细'!$CI$11:$CI$1309,MATCH("2311062-BR-V-O-10",'SKU明细'!$A$11:$A$1309,0)),INDEX('SKU明细'!$CI$11:$CI$1309,MATCH("2311062-BR-V-O-11",'SKU明细'!$A$11:$A$1309,0))),"待核")</x:f>
        <x:v>17.656241779049903</x:v>
      </x:c>
    </x:row>
    <x:row r="183" ht="40" customHeight="1">
      <x:c r="A183" s="37" t="str">
        <x:v>2311062</x:v>
      </x:c>
      <x:c r="B183" s="37" t="str">
        <x:v>陈晨</x:v>
      </x:c>
      <x:c r="C183" s="37" t="str">
        <x:v>金色 PU</x:v>
      </x:c>
      <x:c r="D183" s="37" t="str">
        <x:v>GD-P</x:v>
      </x:c>
      <x:c r="E183" s="37" t="str">
        <x:v>2311062-GD-P-O</x:v>
      </x:c>
      <x:c r="F183" s="37"/>
      <x:c r="G183" s="38" t="str">
        <x:f>"—"</x:f>
        <x:v>—</x:v>
      </x:c>
      <x:c r="H183" s="38" t="n">
        <x:f>IF(COUNT(INDEX('SKU明细'!$D$11:$D$1309,MATCH("2311062-GD-P-O-6",'SKU明细'!$A$11:$A$1309,0)))=0,"待核",IF(COUNT(INDEX('SKU明细'!$D$11:$D$1309,MATCH("2311062-GD-P-O-6",'SKU明细'!$A$11:$A$1309,0)))&lt;1,SUM(INDEX('SKU明细'!$D$11:$D$1309,MATCH("2311062-GD-P-O-6",'SKU明细'!$A$11:$A$1309,0)))&amp;" + 待核",SUM(INDEX('SKU明细'!$D$11:$D$1309,MATCH("2311062-GD-P-O-6",'SKU明细'!$A$11:$A$1309,0)))))</x:f>
        <x:v>0</x:v>
      </x:c>
      <x:c r="I183" s="38" t="str">
        <x:f>"—"</x:f>
        <x:v>—</x:v>
      </x:c>
      <x:c r="J183" s="38" t="n">
        <x:f>IF(COUNT(INDEX('SKU明细'!$D$11:$D$1309,MATCH("2311062-GD-P-O-7",'SKU明细'!$A$11:$A$1309,0)))=0,"待核",IF(COUNT(INDEX('SKU明细'!$D$11:$D$1309,MATCH("2311062-GD-P-O-7",'SKU明细'!$A$11:$A$1309,0)))&lt;1,SUM(INDEX('SKU明细'!$D$11:$D$1309,MATCH("2311062-GD-P-O-7",'SKU明细'!$A$11:$A$1309,0)))&amp;" + 待核",SUM(INDEX('SKU明细'!$D$11:$D$1309,MATCH("2311062-GD-P-O-7",'SKU明细'!$A$11:$A$1309,0)))))</x:f>
        <x:v>0</x:v>
      </x:c>
      <x:c r="K183" s="38" t="str">
        <x:f>"—"</x:f>
        <x:v>—</x:v>
      </x:c>
      <x:c r="L183" s="38" t="n">
        <x:f>IF(COUNT(INDEX('SKU明细'!$D$11:$D$1309,MATCH("2311062-GD-P-O-8",'SKU明细'!$A$11:$A$1309,0)))=0,"待核",IF(COUNT(INDEX('SKU明细'!$D$11:$D$1309,MATCH("2311062-GD-P-O-8",'SKU明细'!$A$11:$A$1309,0)))&lt;1,SUM(INDEX('SKU明细'!$D$11:$D$1309,MATCH("2311062-GD-P-O-8",'SKU明细'!$A$11:$A$1309,0)))&amp;" + 待核",SUM(INDEX('SKU明细'!$D$11:$D$1309,MATCH("2311062-GD-P-O-8",'SKU明细'!$A$11:$A$1309,0)))))</x:f>
        <x:v>0</x:v>
      </x:c>
      <x:c r="M183" s="38" t="str">
        <x:f>"—"</x:f>
        <x:v>—</x:v>
      </x:c>
      <x:c r="N183" s="38" t="n">
        <x:f>IF(COUNT(INDEX('SKU明细'!$D$11:$D$1309,MATCH("2311062-GD-P-O-9",'SKU明细'!$A$11:$A$1309,0)))=0,"待核",IF(COUNT(INDEX('SKU明细'!$D$11:$D$1309,MATCH("2311062-GD-P-O-9",'SKU明细'!$A$11:$A$1309,0)))&lt;1,SUM(INDEX('SKU明细'!$D$11:$D$1309,MATCH("2311062-GD-P-O-9",'SKU明细'!$A$11:$A$1309,0)))&amp;" + 待核",SUM(INDEX('SKU明细'!$D$11:$D$1309,MATCH("2311062-GD-P-O-9",'SKU明细'!$A$11:$A$1309,0)))))</x:f>
        <x:v>0</x:v>
      </x:c>
      <x:c r="O183" s="38" t="str">
        <x:f>"—"</x:f>
        <x:v>—</x:v>
      </x:c>
      <x:c r="P183" s="38" t="n">
        <x:f>IF(COUNT(INDEX('SKU明细'!$D$11:$D$1309,MATCH("2311062-GD-P-O-10",'SKU明细'!$A$11:$A$1309,0)))=0,"待核",IF(COUNT(INDEX('SKU明细'!$D$11:$D$1309,MATCH("2311062-GD-P-O-10",'SKU明细'!$A$11:$A$1309,0)))&lt;1,SUM(INDEX('SKU明细'!$D$11:$D$1309,MATCH("2311062-GD-P-O-10",'SKU明细'!$A$11:$A$1309,0)))&amp;" + 待核",SUM(INDEX('SKU明细'!$D$11:$D$1309,MATCH("2311062-GD-P-O-10",'SKU明细'!$A$11:$A$1309,0)))))</x:f>
        <x:v>0</x:v>
      </x:c>
      <x:c r="Q183" s="38" t="str">
        <x:f>"—"</x:f>
        <x:v>—</x:v>
      </x:c>
      <x:c r="R183" s="38" t="n">
        <x:f>IF(COUNT(INDEX('SKU明细'!$D$11:$D$1309,MATCH("2311062-GD-P-O-11",'SKU明细'!$A$11:$A$1309,0)))=0,"待核",IF(COUNT(INDEX('SKU明细'!$D$11:$D$1309,MATCH("2311062-GD-P-O-11",'SKU明细'!$A$11:$A$1309,0)))&lt;1,SUM(INDEX('SKU明细'!$D$11:$D$1309,MATCH("2311062-GD-P-O-11",'SKU明细'!$A$11:$A$1309,0)))&amp;" + 待核",SUM(INDEX('SKU明细'!$D$11:$D$1309,MATCH("2311062-GD-P-O-11",'SKU明细'!$A$11:$A$1309,0)))))</x:f>
        <x:v>0</x:v>
      </x:c>
      <x:c r="S183" s="38" t="n">
        <x:f>IF(COUNT(INDEX('SKU明细'!$D$11:$D$1309,MATCH("2311062-GD-P-O-6",'SKU明细'!$A$11:$A$1309,0)),INDEX('SKU明细'!$D$11:$D$1309,MATCH("2311062-GD-P-O-7",'SKU明细'!$A$11:$A$1309,0)),INDEX('SKU明细'!$D$11:$D$1309,MATCH("2311062-GD-P-O-8",'SKU明细'!$A$11:$A$1309,0)),INDEX('SKU明细'!$D$11:$D$1309,MATCH("2311062-GD-P-O-9",'SKU明细'!$A$11:$A$1309,0)),INDEX('SKU明细'!$D$11:$D$1309,MATCH("2311062-GD-P-O-10",'SKU明细'!$A$11:$A$1309,0)),INDEX('SKU明细'!$D$11:$D$1309,MATCH("2311062-GD-P-O-11",'SKU明细'!$A$11:$A$1309,0)))=0,"待核",SUM(INDEX('SKU明细'!$D$11:$D$1309,MATCH("2311062-GD-P-O-6",'SKU明细'!$A$11:$A$1309,0)),INDEX('SKU明细'!$D$11:$D$1309,MATCH("2311062-GD-P-O-7",'SKU明细'!$A$11:$A$1309,0)),INDEX('SKU明细'!$D$11:$D$1309,MATCH("2311062-GD-P-O-8",'SKU明细'!$A$11:$A$1309,0)),INDEX('SKU明细'!$D$11:$D$1309,MATCH("2311062-GD-P-O-9",'SKU明细'!$A$11:$A$1309,0)),INDEX('SKU明细'!$D$11:$D$1309,MATCH("2311062-GD-P-O-10",'SKU明细'!$A$11:$A$1309,0)),INDEX('SKU明细'!$D$11:$D$1309,MATCH("2311062-GD-P-O-11",'SKU明细'!$A$11:$A$1309,0))))</x:f>
        <x:v>0</x:v>
      </x:c>
      <x:c r="T183" s="38" t="n">
        <x:f>IF(COUNTIFS($A$9:$A$191,A183,$U$9:$U$191,"&lt;&gt;待核")=0,"待核",SUMIF($A$9:$A$191,A183,$S$9:$S$191))</x:f>
        <x:v>0</x:v>
      </x:c>
      <x:c r="U183" s="37" t="str">
        <x:f>IF(COUNT(INDEX('SKU明细'!$D$11:$D$1309,MATCH("2311062-GD-P-O-6",'SKU明细'!$A$11:$A$1309,0)),INDEX('SKU明细'!$D$11:$D$1309,MATCH("2311062-GD-P-O-7",'SKU明细'!$A$11:$A$1309,0)),INDEX('SKU明细'!$D$11:$D$1309,MATCH("2311062-GD-P-O-8",'SKU明细'!$A$11:$A$1309,0)),INDEX('SKU明细'!$D$11:$D$1309,MATCH("2311062-GD-P-O-9",'SKU明细'!$A$11:$A$1309,0)),INDEX('SKU明细'!$D$11:$D$1309,MATCH("2311062-GD-P-O-10",'SKU明细'!$A$11:$A$1309,0)),INDEX('SKU明细'!$D$11:$D$1309,MATCH("2311062-GD-P-O-11",'SKU明细'!$A$11:$A$1309,0)))=0,"待核",IF(COUNT(INDEX('SKU明细'!$D$11:$D$1309,MATCH("2311062-GD-P-O-6",'SKU明细'!$A$11:$A$1309,0)),INDEX('SKU明细'!$D$11:$D$1309,MATCH("2311062-GD-P-O-7",'SKU明细'!$A$11:$A$1309,0)),INDEX('SKU明细'!$D$11:$D$1309,MATCH("2311062-GD-P-O-8",'SKU明细'!$A$11:$A$1309,0)),INDEX('SKU明细'!$D$11:$D$1309,MATCH("2311062-GD-P-O-9",'SKU明细'!$A$11:$A$1309,0)),INDEX('SKU明细'!$D$11:$D$1309,MATCH("2311062-GD-P-O-10",'SKU明细'!$A$11:$A$1309,0)),INDEX('SKU明细'!$D$11:$D$1309,MATCH("2311062-GD-P-O-11",'SKU明细'!$A$11:$A$1309,0)))&lt;6,"另有待核","已核"))</x:f>
        <x:v>已核</x:v>
      </x:c>
      <x:c r="V183" s="37" t="str">
        <x:v>在售</x:v>
      </x:c>
      <x:c r="W183" s="11" t="n">
        <x:f>IF(COUNT(INDEX('SKU明细'!$BV$11:$BV$1309,MATCH("2311062-GD-P-O-6",'SKU明细'!$A$11:$A$1309,0)),INDEX('SKU明细'!$BV$11:$BV$1309,MATCH("2311062-GD-P-O-7",'SKU明细'!$A$11:$A$1309,0)),INDEX('SKU明细'!$BV$11:$BV$1309,MATCH("2311062-GD-P-O-8",'SKU明细'!$A$11:$A$1309,0)),INDEX('SKU明细'!$BV$11:$BV$1309,MATCH("2311062-GD-P-O-9",'SKU明细'!$A$11:$A$1309,0)),INDEX('SKU明细'!$BV$11:$BV$1309,MATCH("2311062-GD-P-O-10",'SKU明细'!$A$11:$A$1309,0)),INDEX('SKU明细'!$BV$11:$BV$1309,MATCH("2311062-GD-P-O-11",'SKU明细'!$A$11:$A$1309,0)))=6,SUM(INDEX('SKU明细'!$BV$11:$BV$1309,MATCH("2311062-GD-P-O-6",'SKU明细'!$A$11:$A$1309,0)),INDEX('SKU明细'!$BV$11:$BV$1309,MATCH("2311062-GD-P-O-7",'SKU明细'!$A$11:$A$1309,0)),INDEX('SKU明细'!$BV$11:$BV$1309,MATCH("2311062-GD-P-O-8",'SKU明细'!$A$11:$A$1309,0)),INDEX('SKU明细'!$BV$11:$BV$1309,MATCH("2311062-GD-P-O-9",'SKU明细'!$A$11:$A$1309,0)),INDEX('SKU明细'!$BV$11:$BV$1309,MATCH("2311062-GD-P-O-10",'SKU明细'!$A$11:$A$1309,0)),INDEX('SKU明细'!$BV$11:$BV$1309,MATCH("2311062-GD-P-O-11",'SKU明细'!$A$11:$A$1309,0))),"待核")</x:f>
        <x:v>7.109878982257538</x:v>
      </x:c>
      <x:c r="X183" s="11" t="n">
        <x:f>INDEX('SKU明细'!$BW$11:$BW$1309,MATCH("2311062-GD-P-O-6",'SKU明细'!$A$11:$A$1309,0))</x:f>
        <x:v>1.4758912429949873</x:v>
      </x:c>
      <x:c r="Y183" s="13" t="n">
        <x:f>IF(COUNT(INDEX('SKU明细'!$BY$11:$BY$1309,MATCH("2311062-GD-P-O-6",'SKU明细'!$A$11:$A$1309,0)),INDEX('SKU明细'!$BY$11:$BY$1309,MATCH("2311062-GD-P-O-7",'SKU明细'!$A$11:$A$1309,0)),INDEX('SKU明细'!$BY$11:$BY$1309,MATCH("2311062-GD-P-O-8",'SKU明细'!$A$11:$A$1309,0)),INDEX('SKU明细'!$BY$11:$BY$1309,MATCH("2311062-GD-P-O-9",'SKU明细'!$A$11:$A$1309,0)),INDEX('SKU明细'!$BY$11:$BY$1309,MATCH("2311062-GD-P-O-10",'SKU明细'!$A$11:$A$1309,0)),INDEX('SKU明细'!$BY$11:$BY$1309,MATCH("2311062-GD-P-O-11",'SKU明细'!$A$11:$A$1309,0)))=6,SUM(INDEX('SKU明细'!$BY$11:$BY$1309,MATCH("2311062-GD-P-O-6",'SKU明细'!$A$11:$A$1309,0)),INDEX('SKU明细'!$BY$11:$BY$1309,MATCH("2311062-GD-P-O-7",'SKU明细'!$A$11:$A$1309,0)),INDEX('SKU明细'!$BY$11:$BY$1309,MATCH("2311062-GD-P-O-8",'SKU明细'!$A$11:$A$1309,0)),INDEX('SKU明细'!$BY$11:$BY$1309,MATCH("2311062-GD-P-O-9",'SKU明细'!$A$11:$A$1309,0)),INDEX('SKU明细'!$BY$11:$BY$1309,MATCH("2311062-GD-P-O-10",'SKU明细'!$A$11:$A$1309,0)),INDEX('SKU明细'!$BY$11:$BY$1309,MATCH("2311062-GD-P-O-11",'SKU明细'!$A$11:$A$1309,0))),"待核")</x:f>
        <x:v>125.92089754401617</x:v>
      </x:c>
      <x:c r="Z183" s="11" t="n">
        <x:f>INDEX('SKU明细'!$BZ$11:$BZ$1309,MATCH("2311062-GD-P-O-6",'SKU明细'!$A$11:$A$1309,0))</x:f>
        <x:v>0.906602681585801</x:v>
      </x:c>
      <x:c r="AA183" s="13" t="n">
        <x:f>IF(COUNT(INDEX('SKU明细'!$CB$11:$CB$1309,MATCH("2311062-GD-P-O-6",'SKU明细'!$A$11:$A$1309,0)),INDEX('SKU明细'!$CB$11:$CB$1309,MATCH("2311062-GD-P-O-7",'SKU明细'!$A$11:$A$1309,0)),INDEX('SKU明细'!$CB$11:$CB$1309,MATCH("2311062-GD-P-O-8",'SKU明细'!$A$11:$A$1309,0)),INDEX('SKU明细'!$CB$11:$CB$1309,MATCH("2311062-GD-P-O-9",'SKU明细'!$A$11:$A$1309,0)),INDEX('SKU明细'!$CB$11:$CB$1309,MATCH("2311062-GD-P-O-10",'SKU明细'!$A$11:$A$1309,0)),INDEX('SKU明细'!$CB$11:$CB$1309,MATCH("2311062-GD-P-O-11",'SKU明细'!$A$11:$A$1309,0)))=6,SUM(INDEX('SKU明细'!$CB$11:$CB$1309,MATCH("2311062-GD-P-O-6",'SKU明细'!$A$11:$A$1309,0)),INDEX('SKU明细'!$CB$11:$CB$1309,MATCH("2311062-GD-P-O-7",'SKU明细'!$A$11:$A$1309,0)),INDEX('SKU明细'!$CB$11:$CB$1309,MATCH("2311062-GD-P-O-8",'SKU明细'!$A$11:$A$1309,0)),INDEX('SKU明细'!$CB$11:$CB$1309,MATCH("2311062-GD-P-O-9",'SKU明细'!$A$11:$A$1309,0)),INDEX('SKU明细'!$CB$11:$CB$1309,MATCH("2311062-GD-P-O-10",'SKU明细'!$A$11:$A$1309,0)),INDEX('SKU明细'!$CB$11:$CB$1309,MATCH("2311062-GD-P-O-11",'SKU明细'!$A$11:$A$1309,0))),"待核")</x:f>
        <x:v>193.3750605319563</x:v>
      </x:c>
      <x:c r="AB183" s="11" t="n">
        <x:f>INDEX('SKU明细'!$CC$11:$CC$1309,MATCH("2311062-GD-P-O-6",'SKU明细'!$A$11:$A$1309,0))</x:f>
        <x:v>0.6189770892129804</x:v>
      </x:c>
      <x:c r="AC183" s="13" t="n">
        <x:f>IF(COUNT(INDEX('SKU明细'!$CE$11:$CE$1309,MATCH("2311062-GD-P-O-6",'SKU明细'!$A$11:$A$1309,0)),INDEX('SKU明细'!$CE$11:$CE$1309,MATCH("2311062-GD-P-O-7",'SKU明细'!$A$11:$A$1309,0)),INDEX('SKU明细'!$CE$11:$CE$1309,MATCH("2311062-GD-P-O-8",'SKU明细'!$A$11:$A$1309,0)),INDEX('SKU明细'!$CE$11:$CE$1309,MATCH("2311062-GD-P-O-9",'SKU明细'!$A$11:$A$1309,0)),INDEX('SKU明细'!$CE$11:$CE$1309,MATCH("2311062-GD-P-O-10",'SKU明细'!$A$11:$A$1309,0)),INDEX('SKU明细'!$CE$11:$CE$1309,MATCH("2311062-GD-P-O-11",'SKU明细'!$A$11:$A$1309,0)))=6,SUM(INDEX('SKU明细'!$CE$11:$CE$1309,MATCH("2311062-GD-P-O-6",'SKU明细'!$A$11:$A$1309,0)),INDEX('SKU明细'!$CE$11:$CE$1309,MATCH("2311062-GD-P-O-7",'SKU明细'!$A$11:$A$1309,0)),INDEX('SKU明细'!$CE$11:$CE$1309,MATCH("2311062-GD-P-O-8",'SKU明细'!$A$11:$A$1309,0)),INDEX('SKU明细'!$CE$11:$CE$1309,MATCH("2311062-GD-P-O-9",'SKU明细'!$A$11:$A$1309,0)),INDEX('SKU明细'!$CE$11:$CE$1309,MATCH("2311062-GD-P-O-10",'SKU明细'!$A$11:$A$1309,0)),INDEX('SKU明细'!$CE$11:$CE$1309,MATCH("2311062-GD-P-O-11",'SKU明细'!$A$11:$A$1309,0))),"待核")</x:f>
        <x:v>136.42641810992387</x:v>
      </x:c>
      <x:c r="AD183" s="11" t="n">
        <x:f>INDEX('SKU明细'!$CF$11:$CF$1309,MATCH("2311062-GD-P-O-6",'SKU明细'!$A$11:$A$1309,0))</x:f>
        <x:v>1.1595882717182624</x:v>
      </x:c>
      <x:c r="AE183" s="13" t="n">
        <x:f>IF(COUNT(INDEX('SKU明细'!$CH$11:$CH$1309,MATCH("2311062-GD-P-O-6",'SKU明细'!$A$11:$A$1309,0)),INDEX('SKU明细'!$CH$11:$CH$1309,MATCH("2311062-GD-P-O-7",'SKU明细'!$A$11:$A$1309,0)),INDEX('SKU明细'!$CH$11:$CH$1309,MATCH("2311062-GD-P-O-8",'SKU明细'!$A$11:$A$1309,0)),INDEX('SKU明细'!$CH$11:$CH$1309,MATCH("2311062-GD-P-O-9",'SKU明细'!$A$11:$A$1309,0)),INDEX('SKU明细'!$CH$11:$CH$1309,MATCH("2311062-GD-P-O-10",'SKU明细'!$A$11:$A$1309,0)),INDEX('SKU明细'!$CH$11:$CH$1309,MATCH("2311062-GD-P-O-11",'SKU明细'!$A$11:$A$1309,0)))=6,SUM(INDEX('SKU明细'!$CH$11:$CH$1309,MATCH("2311062-GD-P-O-6",'SKU明细'!$A$11:$A$1309,0)),INDEX('SKU明细'!$CH$11:$CH$1309,MATCH("2311062-GD-P-O-7",'SKU明细'!$A$11:$A$1309,0)),INDEX('SKU明细'!$CH$11:$CH$1309,MATCH("2311062-GD-P-O-8",'SKU明细'!$A$11:$A$1309,0)),INDEX('SKU明细'!$CH$11:$CH$1309,MATCH("2311062-GD-P-O-9",'SKU明细'!$A$11:$A$1309,0)),INDEX('SKU明细'!$CH$11:$CH$1309,MATCH("2311062-GD-P-O-10",'SKU明细'!$A$11:$A$1309,0)),INDEX('SKU明细'!$CH$11:$CH$1309,MATCH("2311062-GD-P-O-11",'SKU明细'!$A$11:$A$1309,0))),"待核")</x:f>
        <x:v>140.1570487797543</x:v>
      </x:c>
      <x:c r="AF183" s="13" t="n">
        <x:f>IF(COUNT(INDEX('SKU明细'!$CI$11:$CI$1309,MATCH("2311062-GD-P-O-6",'SKU明细'!$A$11:$A$1309,0)),INDEX('SKU明细'!$CI$11:$CI$1309,MATCH("2311062-GD-P-O-7",'SKU明细'!$A$11:$A$1309,0)),INDEX('SKU明细'!$CI$11:$CI$1309,MATCH("2311062-GD-P-O-8",'SKU明细'!$A$11:$A$1309,0)),INDEX('SKU明细'!$CI$11:$CI$1309,MATCH("2311062-GD-P-O-9",'SKU明细'!$A$11:$A$1309,0)),INDEX('SKU明细'!$CI$11:$CI$1309,MATCH("2311062-GD-P-O-10",'SKU明细'!$A$11:$A$1309,0)),INDEX('SKU明细'!$CI$11:$CI$1309,MATCH("2311062-GD-P-O-11",'SKU明细'!$A$11:$A$1309,0)))=6,SUM(INDEX('SKU明细'!$CI$11:$CI$1309,MATCH("2311062-GD-P-O-6",'SKU明细'!$A$11:$A$1309,0)),INDEX('SKU明细'!$CI$11:$CI$1309,MATCH("2311062-GD-P-O-7",'SKU明细'!$A$11:$A$1309,0)),INDEX('SKU明细'!$CI$11:$CI$1309,MATCH("2311062-GD-P-O-8",'SKU明细'!$A$11:$A$1309,0)),INDEX('SKU明细'!$CI$11:$CI$1309,MATCH("2311062-GD-P-O-9",'SKU明细'!$A$11:$A$1309,0)),INDEX('SKU明细'!$CI$11:$CI$1309,MATCH("2311062-GD-P-O-10",'SKU明细'!$A$11:$A$1309,0)),INDEX('SKU明细'!$CI$11:$CI$1309,MATCH("2311062-GD-P-O-11",'SKU明细'!$A$11:$A$1309,0))),"待核")</x:f>
        <x:v>595.8794249656506</x:v>
      </x:c>
    </x:row>
    <x:row r="184" ht="40" customHeight="1">
      <x:c r="A184" s="37" t="str">
        <x:v>2311062</x:v>
      </x:c>
      <x:c r="B184" s="37" t="str">
        <x:v>陈晨</x:v>
      </x:c>
      <x:c r="C184" s="37" t="str">
        <x:v>裸色 PU</x:v>
      </x:c>
      <x:c r="D184" s="37" t="str">
        <x:v>ND-P</x:v>
      </x:c>
      <x:c r="E184" s="37" t="str">
        <x:v>2311062-ND-P-O</x:v>
      </x:c>
      <x:c r="F184" s="37"/>
      <x:c r="G184" s="38" t="str">
        <x:f>"—"</x:f>
        <x:v>—</x:v>
      </x:c>
      <x:c r="H184" s="38" t="n">
        <x:f>IF(COUNT(INDEX('SKU明细'!$D$11:$D$1309,MATCH("2311062-ND-P-O-6",'SKU明细'!$A$11:$A$1309,0)))=0,"待核",IF(COUNT(INDEX('SKU明细'!$D$11:$D$1309,MATCH("2311062-ND-P-O-6",'SKU明细'!$A$11:$A$1309,0)))&lt;1,SUM(INDEX('SKU明细'!$D$11:$D$1309,MATCH("2311062-ND-P-O-6",'SKU明细'!$A$11:$A$1309,0)))&amp;" + 待核",SUM(INDEX('SKU明细'!$D$11:$D$1309,MATCH("2311062-ND-P-O-6",'SKU明细'!$A$11:$A$1309,0)))))</x:f>
        <x:v>0</x:v>
      </x:c>
      <x:c r="I184" s="38" t="str">
        <x:f>"—"</x:f>
        <x:v>—</x:v>
      </x:c>
      <x:c r="J184" s="38" t="n">
        <x:f>IF(COUNT(INDEX('SKU明细'!$D$11:$D$1309,MATCH("2311062-ND-P-O-7",'SKU明细'!$A$11:$A$1309,0)))=0,"待核",IF(COUNT(INDEX('SKU明细'!$D$11:$D$1309,MATCH("2311062-ND-P-O-7",'SKU明细'!$A$11:$A$1309,0)))&lt;1,SUM(INDEX('SKU明细'!$D$11:$D$1309,MATCH("2311062-ND-P-O-7",'SKU明细'!$A$11:$A$1309,0)))&amp;" + 待核",SUM(INDEX('SKU明细'!$D$11:$D$1309,MATCH("2311062-ND-P-O-7",'SKU明细'!$A$11:$A$1309,0)))))</x:f>
        <x:v>0</x:v>
      </x:c>
      <x:c r="K184" s="38" t="str">
        <x:f>"—"</x:f>
        <x:v>—</x:v>
      </x:c>
      <x:c r="L184" s="38" t="n">
        <x:f>IF(COUNT(INDEX('SKU明细'!$D$11:$D$1309,MATCH("2311062-ND-P-O-8",'SKU明细'!$A$11:$A$1309,0)))=0,"待核",IF(COUNT(INDEX('SKU明细'!$D$11:$D$1309,MATCH("2311062-ND-P-O-8",'SKU明细'!$A$11:$A$1309,0)))&lt;1,SUM(INDEX('SKU明细'!$D$11:$D$1309,MATCH("2311062-ND-P-O-8",'SKU明细'!$A$11:$A$1309,0)))&amp;" + 待核",SUM(INDEX('SKU明细'!$D$11:$D$1309,MATCH("2311062-ND-P-O-8",'SKU明细'!$A$11:$A$1309,0)))))</x:f>
        <x:v>0</x:v>
      </x:c>
      <x:c r="M184" s="38" t="str">
        <x:f>"—"</x:f>
        <x:v>—</x:v>
      </x:c>
      <x:c r="N184" s="38" t="n">
        <x:f>IF(COUNT(INDEX('SKU明细'!$D$11:$D$1309,MATCH("2311062-ND-P-O-9",'SKU明细'!$A$11:$A$1309,0)))=0,"待核",IF(COUNT(INDEX('SKU明细'!$D$11:$D$1309,MATCH("2311062-ND-P-O-9",'SKU明细'!$A$11:$A$1309,0)))&lt;1,SUM(INDEX('SKU明细'!$D$11:$D$1309,MATCH("2311062-ND-P-O-9",'SKU明细'!$A$11:$A$1309,0)))&amp;" + 待核",SUM(INDEX('SKU明细'!$D$11:$D$1309,MATCH("2311062-ND-P-O-9",'SKU明细'!$A$11:$A$1309,0)))))</x:f>
        <x:v>0</x:v>
      </x:c>
      <x:c r="O184" s="38" t="str">
        <x:f>"—"</x:f>
        <x:v>—</x:v>
      </x:c>
      <x:c r="P184" s="38" t="n">
        <x:f>IF(COUNT(INDEX('SKU明细'!$D$11:$D$1309,MATCH("2311062-ND-P-O-10",'SKU明细'!$A$11:$A$1309,0)))=0,"待核",IF(COUNT(INDEX('SKU明细'!$D$11:$D$1309,MATCH("2311062-ND-P-O-10",'SKU明细'!$A$11:$A$1309,0)))&lt;1,SUM(INDEX('SKU明细'!$D$11:$D$1309,MATCH("2311062-ND-P-O-10",'SKU明细'!$A$11:$A$1309,0)))&amp;" + 待核",SUM(INDEX('SKU明细'!$D$11:$D$1309,MATCH("2311062-ND-P-O-10",'SKU明细'!$A$11:$A$1309,0)))))</x:f>
        <x:v>0</x:v>
      </x:c>
      <x:c r="Q184" s="38" t="str">
        <x:f>"—"</x:f>
        <x:v>—</x:v>
      </x:c>
      <x:c r="R184" s="38" t="n">
        <x:f>IF(COUNT(INDEX('SKU明细'!$D$11:$D$1309,MATCH("2311062-ND-P-O-11",'SKU明细'!$A$11:$A$1309,0)))=0,"待核",IF(COUNT(INDEX('SKU明细'!$D$11:$D$1309,MATCH("2311062-ND-P-O-11",'SKU明细'!$A$11:$A$1309,0)))&lt;1,SUM(INDEX('SKU明细'!$D$11:$D$1309,MATCH("2311062-ND-P-O-11",'SKU明细'!$A$11:$A$1309,0)))&amp;" + 待核",SUM(INDEX('SKU明细'!$D$11:$D$1309,MATCH("2311062-ND-P-O-11",'SKU明细'!$A$11:$A$1309,0)))))</x:f>
        <x:v>0</x:v>
      </x:c>
      <x:c r="S184" s="38" t="n">
        <x:f>IF(COUNT(INDEX('SKU明细'!$D$11:$D$1309,MATCH("2311062-ND-P-O-6",'SKU明细'!$A$11:$A$1309,0)),INDEX('SKU明细'!$D$11:$D$1309,MATCH("2311062-ND-P-O-7",'SKU明细'!$A$11:$A$1309,0)),INDEX('SKU明细'!$D$11:$D$1309,MATCH("2311062-ND-P-O-8",'SKU明细'!$A$11:$A$1309,0)),INDEX('SKU明细'!$D$11:$D$1309,MATCH("2311062-ND-P-O-9",'SKU明细'!$A$11:$A$1309,0)),INDEX('SKU明细'!$D$11:$D$1309,MATCH("2311062-ND-P-O-10",'SKU明细'!$A$11:$A$1309,0)),INDEX('SKU明细'!$D$11:$D$1309,MATCH("2311062-ND-P-O-11",'SKU明细'!$A$11:$A$1309,0)))=0,"待核",SUM(INDEX('SKU明细'!$D$11:$D$1309,MATCH("2311062-ND-P-O-6",'SKU明细'!$A$11:$A$1309,0)),INDEX('SKU明细'!$D$11:$D$1309,MATCH("2311062-ND-P-O-7",'SKU明细'!$A$11:$A$1309,0)),INDEX('SKU明细'!$D$11:$D$1309,MATCH("2311062-ND-P-O-8",'SKU明细'!$A$11:$A$1309,0)),INDEX('SKU明细'!$D$11:$D$1309,MATCH("2311062-ND-P-O-9",'SKU明细'!$A$11:$A$1309,0)),INDEX('SKU明细'!$D$11:$D$1309,MATCH("2311062-ND-P-O-10",'SKU明细'!$A$11:$A$1309,0)),INDEX('SKU明细'!$D$11:$D$1309,MATCH("2311062-ND-P-O-11",'SKU明细'!$A$11:$A$1309,0))))</x:f>
        <x:v>0</x:v>
      </x:c>
      <x:c r="T184" s="38" t="n">
        <x:f>IF(COUNTIFS($A$9:$A$191,A184,$U$9:$U$191,"&lt;&gt;待核")=0,"待核",SUMIF($A$9:$A$191,A184,$S$9:$S$191))</x:f>
        <x:v>0</x:v>
      </x:c>
      <x:c r="U184" s="37" t="str">
        <x:f>IF(COUNT(INDEX('SKU明细'!$D$11:$D$1309,MATCH("2311062-ND-P-O-6",'SKU明细'!$A$11:$A$1309,0)),INDEX('SKU明细'!$D$11:$D$1309,MATCH("2311062-ND-P-O-7",'SKU明细'!$A$11:$A$1309,0)),INDEX('SKU明细'!$D$11:$D$1309,MATCH("2311062-ND-P-O-8",'SKU明细'!$A$11:$A$1309,0)),INDEX('SKU明细'!$D$11:$D$1309,MATCH("2311062-ND-P-O-9",'SKU明细'!$A$11:$A$1309,0)),INDEX('SKU明细'!$D$11:$D$1309,MATCH("2311062-ND-P-O-10",'SKU明细'!$A$11:$A$1309,0)),INDEX('SKU明细'!$D$11:$D$1309,MATCH("2311062-ND-P-O-11",'SKU明细'!$A$11:$A$1309,0)))=0,"待核",IF(COUNT(INDEX('SKU明细'!$D$11:$D$1309,MATCH("2311062-ND-P-O-6",'SKU明细'!$A$11:$A$1309,0)),INDEX('SKU明细'!$D$11:$D$1309,MATCH("2311062-ND-P-O-7",'SKU明细'!$A$11:$A$1309,0)),INDEX('SKU明细'!$D$11:$D$1309,MATCH("2311062-ND-P-O-8",'SKU明细'!$A$11:$A$1309,0)),INDEX('SKU明细'!$D$11:$D$1309,MATCH("2311062-ND-P-O-9",'SKU明细'!$A$11:$A$1309,0)),INDEX('SKU明细'!$D$11:$D$1309,MATCH("2311062-ND-P-O-10",'SKU明细'!$A$11:$A$1309,0)),INDEX('SKU明细'!$D$11:$D$1309,MATCH("2311062-ND-P-O-11",'SKU明细'!$A$11:$A$1309,0)))&lt;6,"另有待核","已核"))</x:f>
        <x:v>已核</x:v>
      </x:c>
      <x:c r="V184" s="37" t="str">
        <x:v>在售</x:v>
      </x:c>
      <x:c r="W184" s="11" t="n">
        <x:f>IF(COUNT(INDEX('SKU明细'!$BV$11:$BV$1309,MATCH("2311062-ND-P-O-6",'SKU明细'!$A$11:$A$1309,0)),INDEX('SKU明细'!$BV$11:$BV$1309,MATCH("2311062-ND-P-O-7",'SKU明细'!$A$11:$A$1309,0)),INDEX('SKU明细'!$BV$11:$BV$1309,MATCH("2311062-ND-P-O-8",'SKU明细'!$A$11:$A$1309,0)),INDEX('SKU明细'!$BV$11:$BV$1309,MATCH("2311062-ND-P-O-9",'SKU明细'!$A$11:$A$1309,0)),INDEX('SKU明细'!$BV$11:$BV$1309,MATCH("2311062-ND-P-O-10",'SKU明细'!$A$11:$A$1309,0)),INDEX('SKU明细'!$BV$11:$BV$1309,MATCH("2311062-ND-P-O-11",'SKU明细'!$A$11:$A$1309,0)))=6,SUM(INDEX('SKU明细'!$BV$11:$BV$1309,MATCH("2311062-ND-P-O-6",'SKU明细'!$A$11:$A$1309,0)),INDEX('SKU明细'!$BV$11:$BV$1309,MATCH("2311062-ND-P-O-7",'SKU明细'!$A$11:$A$1309,0)),INDEX('SKU明细'!$BV$11:$BV$1309,MATCH("2311062-ND-P-O-8",'SKU明细'!$A$11:$A$1309,0)),INDEX('SKU明细'!$BV$11:$BV$1309,MATCH("2311062-ND-P-O-9",'SKU明细'!$A$11:$A$1309,0)),INDEX('SKU明细'!$BV$11:$BV$1309,MATCH("2311062-ND-P-O-10",'SKU明细'!$A$11:$A$1309,0)),INDEX('SKU明细'!$BV$11:$BV$1309,MATCH("2311062-ND-P-O-11",'SKU明细'!$A$11:$A$1309,0))),"待核")</x:f>
        <x:v>3.2078963345581304</x:v>
      </x:c>
      <x:c r="X184" s="11" t="n">
        <x:f>INDEX('SKU明细'!$BW$11:$BW$1309,MATCH("2311062-ND-P-O-6",'SKU明细'!$A$11:$A$1309,0))</x:f>
        <x:v>1.4758912429949873</x:v>
      </x:c>
      <x:c r="Y184" s="13" t="n">
        <x:f>IF(COUNT(INDEX('SKU明细'!$BY$11:$BY$1309,MATCH("2311062-ND-P-O-6",'SKU明细'!$A$11:$A$1309,0)),INDEX('SKU明细'!$BY$11:$BY$1309,MATCH("2311062-ND-P-O-7",'SKU明细'!$A$11:$A$1309,0)),INDEX('SKU明细'!$BY$11:$BY$1309,MATCH("2311062-ND-P-O-8",'SKU明细'!$A$11:$A$1309,0)),INDEX('SKU明细'!$BY$11:$BY$1309,MATCH("2311062-ND-P-O-9",'SKU明细'!$A$11:$A$1309,0)),INDEX('SKU明细'!$BY$11:$BY$1309,MATCH("2311062-ND-P-O-10",'SKU明细'!$A$11:$A$1309,0)),INDEX('SKU明细'!$BY$11:$BY$1309,MATCH("2311062-ND-P-O-11",'SKU明细'!$A$11:$A$1309,0)))=6,SUM(INDEX('SKU明细'!$BY$11:$BY$1309,MATCH("2311062-ND-P-O-6",'SKU明细'!$A$11:$A$1309,0)),INDEX('SKU明细'!$BY$11:$BY$1309,MATCH("2311062-ND-P-O-7",'SKU明细'!$A$11:$A$1309,0)),INDEX('SKU明细'!$BY$11:$BY$1309,MATCH("2311062-ND-P-O-8",'SKU明细'!$A$11:$A$1309,0)),INDEX('SKU明细'!$BY$11:$BY$1309,MATCH("2311062-ND-P-O-9",'SKU明细'!$A$11:$A$1309,0)),INDEX('SKU明细'!$BY$11:$BY$1309,MATCH("2311062-ND-P-O-10",'SKU明细'!$A$11:$A$1309,0)),INDEX('SKU明细'!$BY$11:$BY$1309,MATCH("2311062-ND-P-O-11",'SKU明细'!$A$11:$A$1309,0))),"待核")</x:f>
        <x:v>56.814073303320754</x:v>
      </x:c>
      <x:c r="Z184" s="11" t="n">
        <x:f>INDEX('SKU明细'!$BZ$11:$BZ$1309,MATCH("2311062-ND-P-O-6",'SKU明细'!$A$11:$A$1309,0))</x:f>
        <x:v>0.906602681585801</x:v>
      </x:c>
      <x:c r="AA184" s="13" t="n">
        <x:f>IF(COUNT(INDEX('SKU明细'!$CB$11:$CB$1309,MATCH("2311062-ND-P-O-6",'SKU明细'!$A$11:$A$1309,0)),INDEX('SKU明细'!$CB$11:$CB$1309,MATCH("2311062-ND-P-O-7",'SKU明细'!$A$11:$A$1309,0)),INDEX('SKU明细'!$CB$11:$CB$1309,MATCH("2311062-ND-P-O-8",'SKU明细'!$A$11:$A$1309,0)),INDEX('SKU明细'!$CB$11:$CB$1309,MATCH("2311062-ND-P-O-9",'SKU明细'!$A$11:$A$1309,0)),INDEX('SKU明细'!$CB$11:$CB$1309,MATCH("2311062-ND-P-O-10",'SKU明细'!$A$11:$A$1309,0)),INDEX('SKU明细'!$CB$11:$CB$1309,MATCH("2311062-ND-P-O-11",'SKU明细'!$A$11:$A$1309,0)))=6,SUM(INDEX('SKU明细'!$CB$11:$CB$1309,MATCH("2311062-ND-P-O-6",'SKU明细'!$A$11:$A$1309,0)),INDEX('SKU明细'!$CB$11:$CB$1309,MATCH("2311062-ND-P-O-7",'SKU明细'!$A$11:$A$1309,0)),INDEX('SKU明细'!$CB$11:$CB$1309,MATCH("2311062-ND-P-O-8",'SKU明细'!$A$11:$A$1309,0)),INDEX('SKU明细'!$CB$11:$CB$1309,MATCH("2311062-ND-P-O-9",'SKU明细'!$A$11:$A$1309,0)),INDEX('SKU明细'!$CB$11:$CB$1309,MATCH("2311062-ND-P-O-10",'SKU明细'!$A$11:$A$1309,0)),INDEX('SKU明细'!$CB$11:$CB$1309,MATCH("2311062-ND-P-O-11",'SKU明细'!$A$11:$A$1309,0))),"待核")</x:f>
        <x:v>87.24862257478989</x:v>
      </x:c>
      <x:c r="AB184" s="11" t="n">
        <x:f>INDEX('SKU明细'!$CC$11:$CC$1309,MATCH("2311062-ND-P-O-6",'SKU明细'!$A$11:$A$1309,0))</x:f>
        <x:v>0.6189770892129804</x:v>
      </x:c>
      <x:c r="AC184" s="13" t="n">
        <x:f>IF(COUNT(INDEX('SKU明细'!$CE$11:$CE$1309,MATCH("2311062-ND-P-O-6",'SKU明细'!$A$11:$A$1309,0)),INDEX('SKU明细'!$CE$11:$CE$1309,MATCH("2311062-ND-P-O-7",'SKU明细'!$A$11:$A$1309,0)),INDEX('SKU明细'!$CE$11:$CE$1309,MATCH("2311062-ND-P-O-8",'SKU明细'!$A$11:$A$1309,0)),INDEX('SKU明细'!$CE$11:$CE$1309,MATCH("2311062-ND-P-O-9",'SKU明细'!$A$11:$A$1309,0)),INDEX('SKU明细'!$CE$11:$CE$1309,MATCH("2311062-ND-P-O-10",'SKU明细'!$A$11:$A$1309,0)),INDEX('SKU明细'!$CE$11:$CE$1309,MATCH("2311062-ND-P-O-11",'SKU明细'!$A$11:$A$1309,0)))=6,SUM(INDEX('SKU明细'!$CE$11:$CE$1309,MATCH("2311062-ND-P-O-6",'SKU明细'!$A$11:$A$1309,0)),INDEX('SKU明细'!$CE$11:$CE$1309,MATCH("2311062-ND-P-O-7",'SKU明细'!$A$11:$A$1309,0)),INDEX('SKU明细'!$CE$11:$CE$1309,MATCH("2311062-ND-P-O-8",'SKU明细'!$A$11:$A$1309,0)),INDEX('SKU明细'!$CE$11:$CE$1309,MATCH("2311062-ND-P-O-9",'SKU明细'!$A$11:$A$1309,0)),INDEX('SKU明细'!$CE$11:$CE$1309,MATCH("2311062-ND-P-O-10",'SKU明细'!$A$11:$A$1309,0)),INDEX('SKU明细'!$CE$11:$CE$1309,MATCH("2311062-ND-P-O-11",'SKU明细'!$A$11:$A$1309,0))),"待核")</x:f>
        <x:v>61.55404440551521</x:v>
      </x:c>
      <x:c r="AD184" s="11" t="n">
        <x:f>INDEX('SKU明细'!$CF$11:$CF$1309,MATCH("2311062-ND-P-O-6",'SKU明细'!$A$11:$A$1309,0))</x:f>
        <x:v>1.1595882717182624</x:v>
      </x:c>
      <x:c r="AE184" s="13" t="n">
        <x:f>IF(COUNT(INDEX('SKU明细'!$CH$11:$CH$1309,MATCH("2311062-ND-P-O-6",'SKU明细'!$A$11:$A$1309,0)),INDEX('SKU明细'!$CH$11:$CH$1309,MATCH("2311062-ND-P-O-7",'SKU明细'!$A$11:$A$1309,0)),INDEX('SKU明细'!$CH$11:$CH$1309,MATCH("2311062-ND-P-O-8",'SKU明细'!$A$11:$A$1309,0)),INDEX('SKU明细'!$CH$11:$CH$1309,MATCH("2311062-ND-P-O-9",'SKU明细'!$A$11:$A$1309,0)),INDEX('SKU明细'!$CH$11:$CH$1309,MATCH("2311062-ND-P-O-10",'SKU明细'!$A$11:$A$1309,0)),INDEX('SKU明细'!$CH$11:$CH$1309,MATCH("2311062-ND-P-O-11",'SKU明细'!$A$11:$A$1309,0)))=6,SUM(INDEX('SKU明细'!$CH$11:$CH$1309,MATCH("2311062-ND-P-O-6",'SKU明细'!$A$11:$A$1309,0)),INDEX('SKU明细'!$CH$11:$CH$1309,MATCH("2311062-ND-P-O-7",'SKU明细'!$A$11:$A$1309,0)),INDEX('SKU明细'!$CH$11:$CH$1309,MATCH("2311062-ND-P-O-8",'SKU明细'!$A$11:$A$1309,0)),INDEX('SKU明细'!$CH$11:$CH$1309,MATCH("2311062-ND-P-O-9",'SKU明细'!$A$11:$A$1309,0)),INDEX('SKU明细'!$CH$11:$CH$1309,MATCH("2311062-ND-P-O-10",'SKU明细'!$A$11:$A$1309,0)),INDEX('SKU明细'!$CH$11:$CH$1309,MATCH("2311062-ND-P-O-11",'SKU明细'!$A$11:$A$1309,0))),"待核")</x:f>
        <x:v>63.237262429507396</x:v>
      </x:c>
      <x:c r="AF184" s="13" t="n">
        <x:f>IF(COUNT(INDEX('SKU明细'!$CI$11:$CI$1309,MATCH("2311062-ND-P-O-6",'SKU明细'!$A$11:$A$1309,0)),INDEX('SKU明细'!$CI$11:$CI$1309,MATCH("2311062-ND-P-O-7",'SKU明细'!$A$11:$A$1309,0)),INDEX('SKU明细'!$CI$11:$CI$1309,MATCH("2311062-ND-P-O-8",'SKU明细'!$A$11:$A$1309,0)),INDEX('SKU明细'!$CI$11:$CI$1309,MATCH("2311062-ND-P-O-9",'SKU明细'!$A$11:$A$1309,0)),INDEX('SKU明细'!$CI$11:$CI$1309,MATCH("2311062-ND-P-O-10",'SKU明细'!$A$11:$A$1309,0)),INDEX('SKU明细'!$CI$11:$CI$1309,MATCH("2311062-ND-P-O-11",'SKU明细'!$A$11:$A$1309,0)))=6,SUM(INDEX('SKU明细'!$CI$11:$CI$1309,MATCH("2311062-ND-P-O-6",'SKU明细'!$A$11:$A$1309,0)),INDEX('SKU明细'!$CI$11:$CI$1309,MATCH("2311062-ND-P-O-7",'SKU明细'!$A$11:$A$1309,0)),INDEX('SKU明细'!$CI$11:$CI$1309,MATCH("2311062-ND-P-O-8",'SKU明细'!$A$11:$A$1309,0)),INDEX('SKU明细'!$CI$11:$CI$1309,MATCH("2311062-ND-P-O-9",'SKU明细'!$A$11:$A$1309,0)),INDEX('SKU明细'!$CI$11:$CI$1309,MATCH("2311062-ND-P-O-10",'SKU明细'!$A$11:$A$1309,0)),INDEX('SKU明细'!$CI$11:$CI$1309,MATCH("2311062-ND-P-O-11",'SKU明细'!$A$11:$A$1309,0))),"待核")</x:f>
        <x:v>268.85400271313324</x:v>
      </x:c>
    </x:row>
    <x:row r="185" ht="40" customHeight="1">
      <x:c r="A185" s="37" t="str">
        <x:v>2311062</x:v>
      </x:c>
      <x:c r="B185" s="37" t="str">
        <x:v>陈晨</x:v>
      </x:c>
      <x:c r="C185" s="37" t="str">
        <x:v>酒红 PU</x:v>
      </x:c>
      <x:c r="D185" s="37" t="str">
        <x:v>RD-P</x:v>
      </x:c>
      <x:c r="E185" s="37" t="str">
        <x:v>2311062-RD-P-O</x:v>
      </x:c>
      <x:c r="F185" s="37"/>
      <x:c r="G185" s="38" t="str">
        <x:f>"—"</x:f>
        <x:v>—</x:v>
      </x:c>
      <x:c r="H185" s="38" t="str">
        <x:f>"—"</x:f>
        <x:v>—</x:v>
      </x:c>
      <x:c r="I185" s="38" t="str">
        <x:f>"—"</x:f>
        <x:v>—</x:v>
      </x:c>
      <x:c r="J185" s="38" t="str">
        <x:f>IF(COUNT(INDEX('SKU明细'!$D$11:$D$1309,MATCH("2311062-RD-P-O-7",'SKU明细'!$A$11:$A$1309,0)))=0,"待核",IF(COUNT(INDEX('SKU明细'!$D$11:$D$1309,MATCH("2311062-RD-P-O-7",'SKU明细'!$A$11:$A$1309,0)))&lt;1,SUM(INDEX('SKU明细'!$D$11:$D$1309,MATCH("2311062-RD-P-O-7",'SKU明细'!$A$11:$A$1309,0)))&amp;" + 待核",SUM(INDEX('SKU明细'!$D$11:$D$1309,MATCH("2311062-RD-P-O-7",'SKU明细'!$A$11:$A$1309,0)))))</x:f>
        <x:v>待核</x:v>
      </x:c>
      <x:c r="K185" s="38" t="str">
        <x:f>"—"</x:f>
        <x:v>—</x:v>
      </x:c>
      <x:c r="L185" s="38" t="str">
        <x:f>IF(COUNT(INDEX('SKU明细'!$D$11:$D$1309,MATCH("2311062-RD-P-O-8",'SKU明细'!$A$11:$A$1309,0)))=0,"待核",IF(COUNT(INDEX('SKU明细'!$D$11:$D$1309,MATCH("2311062-RD-P-O-8",'SKU明细'!$A$11:$A$1309,0)))&lt;1,SUM(INDEX('SKU明细'!$D$11:$D$1309,MATCH("2311062-RD-P-O-8",'SKU明细'!$A$11:$A$1309,0)))&amp;" + 待核",SUM(INDEX('SKU明细'!$D$11:$D$1309,MATCH("2311062-RD-P-O-8",'SKU明细'!$A$11:$A$1309,0)))))</x:f>
        <x:v>待核</x:v>
      </x:c>
      <x:c r="M185" s="38" t="str">
        <x:f>"—"</x:f>
        <x:v>—</x:v>
      </x:c>
      <x:c r="N185" s="38" t="str">
        <x:f>IF(COUNT(INDEX('SKU明细'!$D$11:$D$1309,MATCH("2311062-RD-P-O-9",'SKU明细'!$A$11:$A$1309,0)))=0,"待核",IF(COUNT(INDEX('SKU明细'!$D$11:$D$1309,MATCH("2311062-RD-P-O-9",'SKU明细'!$A$11:$A$1309,0)))&lt;1,SUM(INDEX('SKU明细'!$D$11:$D$1309,MATCH("2311062-RD-P-O-9",'SKU明细'!$A$11:$A$1309,0)))&amp;" + 待核",SUM(INDEX('SKU明细'!$D$11:$D$1309,MATCH("2311062-RD-P-O-9",'SKU明细'!$A$11:$A$1309,0)))))</x:f>
        <x:v>待核</x:v>
      </x:c>
      <x:c r="O185" s="38" t="str">
        <x:f>"—"</x:f>
        <x:v>—</x:v>
      </x:c>
      <x:c r="P185" s="38" t="str">
        <x:f>"—"</x:f>
        <x:v>—</x:v>
      </x:c>
      <x:c r="Q185" s="38" t="str">
        <x:f>"—"</x:f>
        <x:v>—</x:v>
      </x:c>
      <x:c r="R185" s="38" t="str">
        <x:f>"—"</x:f>
        <x:v>—</x:v>
      </x:c>
      <x:c r="S185" s="38" t="str">
        <x:f>IF(COUNT(INDEX('SKU明细'!$D$11:$D$1309,MATCH("2311062-RD-P-O-7",'SKU明细'!$A$11:$A$1309,0)),INDEX('SKU明细'!$D$11:$D$1309,MATCH("2311062-RD-P-O-8",'SKU明细'!$A$11:$A$1309,0)),INDEX('SKU明细'!$D$11:$D$1309,MATCH("2311062-RD-P-O-9",'SKU明细'!$A$11:$A$1309,0)))=0,"待核",SUM(INDEX('SKU明细'!$D$11:$D$1309,MATCH("2311062-RD-P-O-7",'SKU明细'!$A$11:$A$1309,0)),INDEX('SKU明细'!$D$11:$D$1309,MATCH("2311062-RD-P-O-8",'SKU明细'!$A$11:$A$1309,0)),INDEX('SKU明细'!$D$11:$D$1309,MATCH("2311062-RD-P-O-9",'SKU明细'!$A$11:$A$1309,0))))</x:f>
        <x:v>待核</x:v>
      </x:c>
      <x:c r="T185" s="38" t="n">
        <x:f>IF(COUNTIFS($A$9:$A$191,A185,$U$9:$U$191,"&lt;&gt;待核")=0,"待核",SUMIF($A$9:$A$191,A185,$S$9:$S$191))</x:f>
        <x:v>0</x:v>
      </x:c>
      <x:c r="U185" s="37" t="str">
        <x:f>IF(COUNT(INDEX('SKU明细'!$D$11:$D$1309,MATCH("2311062-RD-P-O-7",'SKU明细'!$A$11:$A$1309,0)),INDEX('SKU明细'!$D$11:$D$1309,MATCH("2311062-RD-P-O-8",'SKU明细'!$A$11:$A$1309,0)),INDEX('SKU明细'!$D$11:$D$1309,MATCH("2311062-RD-P-O-9",'SKU明细'!$A$11:$A$1309,0)))=0,"待核",IF(COUNT(INDEX('SKU明细'!$D$11:$D$1309,MATCH("2311062-RD-P-O-7",'SKU明细'!$A$11:$A$1309,0)),INDEX('SKU明细'!$D$11:$D$1309,MATCH("2311062-RD-P-O-8",'SKU明细'!$A$11:$A$1309,0)),INDEX('SKU明细'!$D$11:$D$1309,MATCH("2311062-RD-P-O-9",'SKU明细'!$A$11:$A$1309,0)))&lt;3,"另有待核","已核"))</x:f>
        <x:v>待核</x:v>
      </x:c>
      <x:c r="V185" s="37" t="str">
        <x:v>在售</x:v>
      </x:c>
      <x:c r="W185" s="11" t="str">
        <x:f>IF(COUNT(INDEX('SKU明细'!$BV$11:$BV$1309,MATCH("2311062-RD-P-O-7",'SKU明细'!$A$11:$A$1309,0)),INDEX('SKU明细'!$BV$11:$BV$1309,MATCH("2311062-RD-P-O-8",'SKU明细'!$A$11:$A$1309,0)),INDEX('SKU明细'!$BV$11:$BV$1309,MATCH("2311062-RD-P-O-9",'SKU明细'!$A$11:$A$1309,0)))=3,SUM(INDEX('SKU明细'!$BV$11:$BV$1309,MATCH("2311062-RD-P-O-7",'SKU明细'!$A$11:$A$1309,0)),INDEX('SKU明细'!$BV$11:$BV$1309,MATCH("2311062-RD-P-O-8",'SKU明细'!$A$11:$A$1309,0)),INDEX('SKU明细'!$BV$11:$BV$1309,MATCH("2311062-RD-P-O-9",'SKU明细'!$A$11:$A$1309,0))),"待核")</x:f>
        <x:v>待核</x:v>
      </x:c>
      <x:c r="X185" s="11" t="n">
        <x:f>INDEX('SKU明细'!$BW$11:$BW$1309,MATCH("2311062-RD-P-O-7",'SKU明细'!$A$11:$A$1309,0))</x:f>
        <x:v>1.4758912429949873</x:v>
      </x:c>
      <x:c r="Y185" s="13" t="str">
        <x:f>IF(COUNT(INDEX('SKU明细'!$BY$11:$BY$1309,MATCH("2311062-RD-P-O-7",'SKU明细'!$A$11:$A$1309,0)),INDEX('SKU明细'!$BY$11:$BY$1309,MATCH("2311062-RD-P-O-8",'SKU明细'!$A$11:$A$1309,0)),INDEX('SKU明细'!$BY$11:$BY$1309,MATCH("2311062-RD-P-O-9",'SKU明细'!$A$11:$A$1309,0)))=3,SUM(INDEX('SKU明细'!$BY$11:$BY$1309,MATCH("2311062-RD-P-O-7",'SKU明细'!$A$11:$A$1309,0)),INDEX('SKU明细'!$BY$11:$BY$1309,MATCH("2311062-RD-P-O-8",'SKU明细'!$A$11:$A$1309,0)),INDEX('SKU明细'!$BY$11:$BY$1309,MATCH("2311062-RD-P-O-9",'SKU明细'!$A$11:$A$1309,0))),"待核")</x:f>
        <x:v>待核</x:v>
      </x:c>
      <x:c r="Z185" s="11" t="n">
        <x:f>INDEX('SKU明细'!$BZ$11:$BZ$1309,MATCH("2311062-RD-P-O-7",'SKU明细'!$A$11:$A$1309,0))</x:f>
        <x:v>0.906602681585801</x:v>
      </x:c>
      <x:c r="AA185" s="13" t="str">
        <x:f>IF(COUNT(INDEX('SKU明细'!$CB$11:$CB$1309,MATCH("2311062-RD-P-O-7",'SKU明细'!$A$11:$A$1309,0)),INDEX('SKU明细'!$CB$11:$CB$1309,MATCH("2311062-RD-P-O-8",'SKU明细'!$A$11:$A$1309,0)),INDEX('SKU明细'!$CB$11:$CB$1309,MATCH("2311062-RD-P-O-9",'SKU明细'!$A$11:$A$1309,0)))=3,SUM(INDEX('SKU明细'!$CB$11:$CB$1309,MATCH("2311062-RD-P-O-7",'SKU明细'!$A$11:$A$1309,0)),INDEX('SKU明细'!$CB$11:$CB$1309,MATCH("2311062-RD-P-O-8",'SKU明细'!$A$11:$A$1309,0)),INDEX('SKU明细'!$CB$11:$CB$1309,MATCH("2311062-RD-P-O-9",'SKU明细'!$A$11:$A$1309,0))),"待核")</x:f>
        <x:v>待核</x:v>
      </x:c>
      <x:c r="AB185" s="11" t="n">
        <x:f>INDEX('SKU明细'!$CC$11:$CC$1309,MATCH("2311062-RD-P-O-7",'SKU明细'!$A$11:$A$1309,0))</x:f>
        <x:v>0.6189770892129804</x:v>
      </x:c>
      <x:c r="AC185" s="13" t="str">
        <x:f>IF(COUNT(INDEX('SKU明细'!$CE$11:$CE$1309,MATCH("2311062-RD-P-O-7",'SKU明细'!$A$11:$A$1309,0)),INDEX('SKU明细'!$CE$11:$CE$1309,MATCH("2311062-RD-P-O-8",'SKU明细'!$A$11:$A$1309,0)),INDEX('SKU明细'!$CE$11:$CE$1309,MATCH("2311062-RD-P-O-9",'SKU明细'!$A$11:$A$1309,0)))=3,SUM(INDEX('SKU明细'!$CE$11:$CE$1309,MATCH("2311062-RD-P-O-7",'SKU明细'!$A$11:$A$1309,0)),INDEX('SKU明细'!$CE$11:$CE$1309,MATCH("2311062-RD-P-O-8",'SKU明细'!$A$11:$A$1309,0)),INDEX('SKU明细'!$CE$11:$CE$1309,MATCH("2311062-RD-P-O-9",'SKU明细'!$A$11:$A$1309,0))),"待核")</x:f>
        <x:v>待核</x:v>
      </x:c>
      <x:c r="AD185" s="11" t="n">
        <x:f>INDEX('SKU明细'!$CF$11:$CF$1309,MATCH("2311062-RD-P-O-7",'SKU明细'!$A$11:$A$1309,0))</x:f>
        <x:v>1.1595882717182624</x:v>
      </x:c>
      <x:c r="AE185" s="13" t="str">
        <x:f>IF(COUNT(INDEX('SKU明细'!$CH$11:$CH$1309,MATCH("2311062-RD-P-O-7",'SKU明细'!$A$11:$A$1309,0)),INDEX('SKU明细'!$CH$11:$CH$1309,MATCH("2311062-RD-P-O-8",'SKU明细'!$A$11:$A$1309,0)),INDEX('SKU明细'!$CH$11:$CH$1309,MATCH("2311062-RD-P-O-9",'SKU明细'!$A$11:$A$1309,0)))=3,SUM(INDEX('SKU明细'!$CH$11:$CH$1309,MATCH("2311062-RD-P-O-7",'SKU明细'!$A$11:$A$1309,0)),INDEX('SKU明细'!$CH$11:$CH$1309,MATCH("2311062-RD-P-O-8",'SKU明细'!$A$11:$A$1309,0)),INDEX('SKU明细'!$CH$11:$CH$1309,MATCH("2311062-RD-P-O-9",'SKU明细'!$A$11:$A$1309,0))),"待核")</x:f>
        <x:v>待核</x:v>
      </x:c>
      <x:c r="AF185" s="13" t="str">
        <x:f>IF(COUNT(INDEX('SKU明细'!$CI$11:$CI$1309,MATCH("2311062-RD-P-O-7",'SKU明细'!$A$11:$A$1309,0)),INDEX('SKU明细'!$CI$11:$CI$1309,MATCH("2311062-RD-P-O-8",'SKU明细'!$A$11:$A$1309,0)),INDEX('SKU明细'!$CI$11:$CI$1309,MATCH("2311062-RD-P-O-9",'SKU明细'!$A$11:$A$1309,0)))=3,SUM(INDEX('SKU明细'!$CI$11:$CI$1309,MATCH("2311062-RD-P-O-7",'SKU明细'!$A$11:$A$1309,0)),INDEX('SKU明细'!$CI$11:$CI$1309,MATCH("2311062-RD-P-O-8",'SKU明细'!$A$11:$A$1309,0)),INDEX('SKU明细'!$CI$11:$CI$1309,MATCH("2311062-RD-P-O-9",'SKU明细'!$A$11:$A$1309,0))),"待核")</x:f>
        <x:v>待核</x:v>
      </x:c>
    </x:row>
    <x:row r="186" ht="40" customHeight="1">
      <x:c r="A186" s="37" t="str">
        <x:v>2311062</x:v>
      </x:c>
      <x:c r="B186" s="37" t="str">
        <x:v>陈晨</x:v>
      </x:c>
      <x:c r="C186" s="37" t="str">
        <x:v>酒红 PU</x:v>
      </x:c>
      <x:c r="D186" s="37" t="str">
        <x:v>RD-P-O</x:v>
      </x:c>
      <x:c r="E186" s="37" t="str">
        <x:v>2311062-RD-P-O</x:v>
      </x:c>
      <x:c r="F186" s="37"/>
      <x:c r="G186" s="38" t="str">
        <x:f>"—"</x:f>
        <x:v>—</x:v>
      </x:c>
      <x:c r="H186" s="38" t="str">
        <x:f>IF(COUNT(INDEX('SKU明细'!$D$11:$D$1309,MATCH("2311062-RD-P-O-6",'SKU明细'!$A$11:$A$1309,0)))=0,"待核",IF(COUNT(INDEX('SKU明细'!$D$11:$D$1309,MATCH("2311062-RD-P-O-6",'SKU明细'!$A$11:$A$1309,0)))&lt;1,SUM(INDEX('SKU明细'!$D$11:$D$1309,MATCH("2311062-RD-P-O-6",'SKU明细'!$A$11:$A$1309,0)))&amp;" + 待核",SUM(INDEX('SKU明细'!$D$11:$D$1309,MATCH("2311062-RD-P-O-6",'SKU明细'!$A$11:$A$1309,0)))))</x:f>
        <x:v>待核</x:v>
      </x:c>
      <x:c r="I186" s="38" t="str">
        <x:f>"—"</x:f>
        <x:v>—</x:v>
      </x:c>
      <x:c r="J186" s="38" t="str">
        <x:f>"—"</x:f>
        <x:v>—</x:v>
      </x:c>
      <x:c r="K186" s="38" t="str">
        <x:f>"—"</x:f>
        <x:v>—</x:v>
      </x:c>
      <x:c r="L186" s="38" t="str">
        <x:f>"—"</x:f>
        <x:v>—</x:v>
      </x:c>
      <x:c r="M186" s="38" t="str">
        <x:f>"—"</x:f>
        <x:v>—</x:v>
      </x:c>
      <x:c r="N186" s="38" t="str">
        <x:f>"—"</x:f>
        <x:v>—</x:v>
      </x:c>
      <x:c r="O186" s="38" t="str">
        <x:f>"—"</x:f>
        <x:v>—</x:v>
      </x:c>
      <x:c r="P186" s="38" t="str">
        <x:f>IF(COUNT(INDEX('SKU明细'!$D$11:$D$1309,MATCH("2311062-RD-P-O-10",'SKU明细'!$A$11:$A$1309,0)))=0,"待核",IF(COUNT(INDEX('SKU明细'!$D$11:$D$1309,MATCH("2311062-RD-P-O-10",'SKU明细'!$A$11:$A$1309,0)))&lt;1,SUM(INDEX('SKU明细'!$D$11:$D$1309,MATCH("2311062-RD-P-O-10",'SKU明细'!$A$11:$A$1309,0)))&amp;" + 待核",SUM(INDEX('SKU明细'!$D$11:$D$1309,MATCH("2311062-RD-P-O-10",'SKU明细'!$A$11:$A$1309,0)))))</x:f>
        <x:v>待核</x:v>
      </x:c>
      <x:c r="Q186" s="38" t="str">
        <x:f>"—"</x:f>
        <x:v>—</x:v>
      </x:c>
      <x:c r="R186" s="38" t="str">
        <x:f>IF(COUNT(INDEX('SKU明细'!$D$11:$D$1309,MATCH("2311062-RD-P-O-11",'SKU明细'!$A$11:$A$1309,0)))=0,"待核",IF(COUNT(INDEX('SKU明细'!$D$11:$D$1309,MATCH("2311062-RD-P-O-11",'SKU明细'!$A$11:$A$1309,0)))&lt;1,SUM(INDEX('SKU明细'!$D$11:$D$1309,MATCH("2311062-RD-P-O-11",'SKU明细'!$A$11:$A$1309,0)))&amp;" + 待核",SUM(INDEX('SKU明细'!$D$11:$D$1309,MATCH("2311062-RD-P-O-11",'SKU明细'!$A$11:$A$1309,0)))))</x:f>
        <x:v>待核</x:v>
      </x:c>
      <x:c r="S186" s="38" t="str">
        <x:f>IF(COUNT(INDEX('SKU明细'!$D$11:$D$1309,MATCH("2311062-RD-P-O-6",'SKU明细'!$A$11:$A$1309,0)),INDEX('SKU明细'!$D$11:$D$1309,MATCH("2311062-RD-P-O-10",'SKU明细'!$A$11:$A$1309,0)),INDEX('SKU明细'!$D$11:$D$1309,MATCH("2311062-RD-P-O-11",'SKU明细'!$A$11:$A$1309,0)))=0,"待核",SUM(INDEX('SKU明细'!$D$11:$D$1309,MATCH("2311062-RD-P-O-6",'SKU明细'!$A$11:$A$1309,0)),INDEX('SKU明细'!$D$11:$D$1309,MATCH("2311062-RD-P-O-10",'SKU明细'!$A$11:$A$1309,0)),INDEX('SKU明细'!$D$11:$D$1309,MATCH("2311062-RD-P-O-11",'SKU明细'!$A$11:$A$1309,0))))</x:f>
        <x:v>待核</x:v>
      </x:c>
      <x:c r="T186" s="38" t="n">
        <x:f>IF(COUNTIFS($A$9:$A$191,A186,$U$9:$U$191,"&lt;&gt;待核")=0,"待核",SUMIF($A$9:$A$191,A186,$S$9:$S$191))</x:f>
        <x:v>0</x:v>
      </x:c>
      <x:c r="U186" s="37" t="str">
        <x:f>IF(COUNT(INDEX('SKU明细'!$D$11:$D$1309,MATCH("2311062-RD-P-O-6",'SKU明细'!$A$11:$A$1309,0)),INDEX('SKU明细'!$D$11:$D$1309,MATCH("2311062-RD-P-O-10",'SKU明细'!$A$11:$A$1309,0)),INDEX('SKU明细'!$D$11:$D$1309,MATCH("2311062-RD-P-O-11",'SKU明细'!$A$11:$A$1309,0)))=0,"待核",IF(COUNT(INDEX('SKU明细'!$D$11:$D$1309,MATCH("2311062-RD-P-O-6",'SKU明细'!$A$11:$A$1309,0)),INDEX('SKU明细'!$D$11:$D$1309,MATCH("2311062-RD-P-O-10",'SKU明细'!$A$11:$A$1309,0)),INDEX('SKU明细'!$D$11:$D$1309,MATCH("2311062-RD-P-O-11",'SKU明细'!$A$11:$A$1309,0)))&lt;3,"另有待核","已核"))</x:f>
        <x:v>待核</x:v>
      </x:c>
      <x:c r="V186" s="37" t="str">
        <x:v>停售、未匹配Listing</x:v>
      </x:c>
      <x:c r="W186" s="11" t="str">
        <x:f>IF(COUNT(INDEX('SKU明细'!$BV$11:$BV$1309,MATCH("2311062-RD-P-O-6",'SKU明细'!$A$11:$A$1309,0)),INDEX('SKU明细'!$BV$11:$BV$1309,MATCH("2311062-RD-P-O-10",'SKU明细'!$A$11:$A$1309,0)),INDEX('SKU明细'!$BV$11:$BV$1309,MATCH("2311062-RD-P-O-11",'SKU明细'!$A$11:$A$1309,0)))=3,SUM(INDEX('SKU明细'!$BV$11:$BV$1309,MATCH("2311062-RD-P-O-6",'SKU明细'!$A$11:$A$1309,0)),INDEX('SKU明细'!$BV$11:$BV$1309,MATCH("2311062-RD-P-O-10",'SKU明细'!$A$11:$A$1309,0)),INDEX('SKU明细'!$BV$11:$BV$1309,MATCH("2311062-RD-P-O-11",'SKU明细'!$A$11:$A$1309,0))),"待核")</x:f>
        <x:v>待核</x:v>
      </x:c>
      <x:c r="X186" s="11" t="n">
        <x:f>INDEX('SKU明细'!$BW$11:$BW$1309,MATCH("2311062-RD-P-O-6",'SKU明细'!$A$11:$A$1309,0))</x:f>
        <x:v>1.4758912429949873</x:v>
      </x:c>
      <x:c r="Y186" s="13" t="str">
        <x:f>IF(COUNT(INDEX('SKU明细'!$BY$11:$BY$1309,MATCH("2311062-RD-P-O-6",'SKU明细'!$A$11:$A$1309,0)),INDEX('SKU明细'!$BY$11:$BY$1309,MATCH("2311062-RD-P-O-10",'SKU明细'!$A$11:$A$1309,0)),INDEX('SKU明细'!$BY$11:$BY$1309,MATCH("2311062-RD-P-O-11",'SKU明细'!$A$11:$A$1309,0)))=3,SUM(INDEX('SKU明细'!$BY$11:$BY$1309,MATCH("2311062-RD-P-O-6",'SKU明细'!$A$11:$A$1309,0)),INDEX('SKU明细'!$BY$11:$BY$1309,MATCH("2311062-RD-P-O-10",'SKU明细'!$A$11:$A$1309,0)),INDEX('SKU明细'!$BY$11:$BY$1309,MATCH("2311062-RD-P-O-11",'SKU明细'!$A$11:$A$1309,0))),"待核")</x:f>
        <x:v>待核</x:v>
      </x:c>
      <x:c r="Z186" s="11" t="n">
        <x:f>INDEX('SKU明细'!$BZ$11:$BZ$1309,MATCH("2311062-RD-P-O-6",'SKU明细'!$A$11:$A$1309,0))</x:f>
        <x:v>0.906602681585801</x:v>
      </x:c>
      <x:c r="AA186" s="13" t="str">
        <x:f>IF(COUNT(INDEX('SKU明细'!$CB$11:$CB$1309,MATCH("2311062-RD-P-O-6",'SKU明细'!$A$11:$A$1309,0)),INDEX('SKU明细'!$CB$11:$CB$1309,MATCH("2311062-RD-P-O-10",'SKU明细'!$A$11:$A$1309,0)),INDEX('SKU明细'!$CB$11:$CB$1309,MATCH("2311062-RD-P-O-11",'SKU明细'!$A$11:$A$1309,0)))=3,SUM(INDEX('SKU明细'!$CB$11:$CB$1309,MATCH("2311062-RD-P-O-6",'SKU明细'!$A$11:$A$1309,0)),INDEX('SKU明细'!$CB$11:$CB$1309,MATCH("2311062-RD-P-O-10",'SKU明细'!$A$11:$A$1309,0)),INDEX('SKU明细'!$CB$11:$CB$1309,MATCH("2311062-RD-P-O-11",'SKU明细'!$A$11:$A$1309,0))),"待核")</x:f>
        <x:v>待核</x:v>
      </x:c>
      <x:c r="AB186" s="11" t="n">
        <x:f>INDEX('SKU明细'!$CC$11:$CC$1309,MATCH("2311062-RD-P-O-6",'SKU明细'!$A$11:$A$1309,0))</x:f>
        <x:v>0.6189770892129804</x:v>
      </x:c>
      <x:c r="AC186" s="13" t="str">
        <x:f>IF(COUNT(INDEX('SKU明细'!$CE$11:$CE$1309,MATCH("2311062-RD-P-O-6",'SKU明细'!$A$11:$A$1309,0)),INDEX('SKU明细'!$CE$11:$CE$1309,MATCH("2311062-RD-P-O-10",'SKU明细'!$A$11:$A$1309,0)),INDEX('SKU明细'!$CE$11:$CE$1309,MATCH("2311062-RD-P-O-11",'SKU明细'!$A$11:$A$1309,0)))=3,SUM(INDEX('SKU明细'!$CE$11:$CE$1309,MATCH("2311062-RD-P-O-6",'SKU明细'!$A$11:$A$1309,0)),INDEX('SKU明细'!$CE$11:$CE$1309,MATCH("2311062-RD-P-O-10",'SKU明细'!$A$11:$A$1309,0)),INDEX('SKU明细'!$CE$11:$CE$1309,MATCH("2311062-RD-P-O-11",'SKU明细'!$A$11:$A$1309,0))),"待核")</x:f>
        <x:v>待核</x:v>
      </x:c>
      <x:c r="AD186" s="11" t="n">
        <x:f>INDEX('SKU明细'!$CF$11:$CF$1309,MATCH("2311062-RD-P-O-6",'SKU明细'!$A$11:$A$1309,0))</x:f>
        <x:v>1.1595882717182624</x:v>
      </x:c>
      <x:c r="AE186" s="13" t="str">
        <x:f>IF(COUNT(INDEX('SKU明细'!$CH$11:$CH$1309,MATCH("2311062-RD-P-O-6",'SKU明细'!$A$11:$A$1309,0)),INDEX('SKU明细'!$CH$11:$CH$1309,MATCH("2311062-RD-P-O-10",'SKU明细'!$A$11:$A$1309,0)),INDEX('SKU明细'!$CH$11:$CH$1309,MATCH("2311062-RD-P-O-11",'SKU明细'!$A$11:$A$1309,0)))=3,SUM(INDEX('SKU明细'!$CH$11:$CH$1309,MATCH("2311062-RD-P-O-6",'SKU明细'!$A$11:$A$1309,0)),INDEX('SKU明细'!$CH$11:$CH$1309,MATCH("2311062-RD-P-O-10",'SKU明细'!$A$11:$A$1309,0)),INDEX('SKU明细'!$CH$11:$CH$1309,MATCH("2311062-RD-P-O-11",'SKU明细'!$A$11:$A$1309,0))),"待核")</x:f>
        <x:v>待核</x:v>
      </x:c>
      <x:c r="AF186" s="13" t="str">
        <x:f>IF(COUNT(INDEX('SKU明细'!$CI$11:$CI$1309,MATCH("2311062-RD-P-O-6",'SKU明细'!$A$11:$A$1309,0)),INDEX('SKU明细'!$CI$11:$CI$1309,MATCH("2311062-RD-P-O-10",'SKU明细'!$A$11:$A$1309,0)),INDEX('SKU明细'!$CI$11:$CI$1309,MATCH("2311062-RD-P-O-11",'SKU明细'!$A$11:$A$1309,0)))=3,SUM(INDEX('SKU明细'!$CI$11:$CI$1309,MATCH("2311062-RD-P-O-6",'SKU明细'!$A$11:$A$1309,0)),INDEX('SKU明细'!$CI$11:$CI$1309,MATCH("2311062-RD-P-O-10",'SKU明细'!$A$11:$A$1309,0)),INDEX('SKU明细'!$CI$11:$CI$1309,MATCH("2311062-RD-P-O-11",'SKU明细'!$A$11:$A$1309,0))),"待核")</x:f>
        <x:v>待核</x:v>
      </x:c>
    </x:row>
    <x:row r="187" ht="40" customHeight="1">
      <x:c r="A187" s="37" t="str">
        <x:v>2311062</x:v>
      </x:c>
      <x:c r="B187" s="37" t="str">
        <x:v>陈晨</x:v>
      </x:c>
      <x:c r="C187" s="37" t="str">
        <x:v>酒红锦纶</x:v>
      </x:c>
      <x:c r="D187" s="37" t="str">
        <x:v>RD-V</x:v>
      </x:c>
      <x:c r="E187" s="37" t="str">
        <x:v>2311062-RD-V-O</x:v>
      </x:c>
      <x:c r="F187" s="37"/>
      <x:c r="G187" s="38" t="str">
        <x:f>"—"</x:f>
        <x:v>—</x:v>
      </x:c>
      <x:c r="H187" s="38" t="n">
        <x:f>IF(COUNT(INDEX('SKU明细'!$D$11:$D$1309,MATCH("2311062-RD-V-O-6",'SKU明细'!$A$11:$A$1309,0)))=0,"待核",IF(COUNT(INDEX('SKU明细'!$D$11:$D$1309,MATCH("2311062-RD-V-O-6",'SKU明细'!$A$11:$A$1309,0)))&lt;1,SUM(INDEX('SKU明细'!$D$11:$D$1309,MATCH("2311062-RD-V-O-6",'SKU明细'!$A$11:$A$1309,0)))&amp;" + 待核",SUM(INDEX('SKU明细'!$D$11:$D$1309,MATCH("2311062-RD-V-O-6",'SKU明细'!$A$11:$A$1309,0)))))</x:f>
        <x:v>0</x:v>
      </x:c>
      <x:c r="I187" s="38" t="str">
        <x:f>"—"</x:f>
        <x:v>—</x:v>
      </x:c>
      <x:c r="J187" s="38" t="n">
        <x:f>IF(COUNT(INDEX('SKU明细'!$D$11:$D$1309,MATCH("2311062-RD-V-O-7",'SKU明细'!$A$11:$A$1309,0)))=0,"待核",IF(COUNT(INDEX('SKU明细'!$D$11:$D$1309,MATCH("2311062-RD-V-O-7",'SKU明细'!$A$11:$A$1309,0)))&lt;1,SUM(INDEX('SKU明细'!$D$11:$D$1309,MATCH("2311062-RD-V-O-7",'SKU明细'!$A$11:$A$1309,0)))&amp;" + 待核",SUM(INDEX('SKU明细'!$D$11:$D$1309,MATCH("2311062-RD-V-O-7",'SKU明细'!$A$11:$A$1309,0)))))</x:f>
        <x:v>0</x:v>
      </x:c>
      <x:c r="K187" s="38" t="str">
        <x:f>"—"</x:f>
        <x:v>—</x:v>
      </x:c>
      <x:c r="L187" s="38" t="n">
        <x:f>IF(COUNT(INDEX('SKU明细'!$D$11:$D$1309,MATCH("2311062-RD-V-O-8",'SKU明细'!$A$11:$A$1309,0)))=0,"待核",IF(COUNT(INDEX('SKU明细'!$D$11:$D$1309,MATCH("2311062-RD-V-O-8",'SKU明细'!$A$11:$A$1309,0)))&lt;1,SUM(INDEX('SKU明细'!$D$11:$D$1309,MATCH("2311062-RD-V-O-8",'SKU明细'!$A$11:$A$1309,0)))&amp;" + 待核",SUM(INDEX('SKU明细'!$D$11:$D$1309,MATCH("2311062-RD-V-O-8",'SKU明细'!$A$11:$A$1309,0)))))</x:f>
        <x:v>0</x:v>
      </x:c>
      <x:c r="M187" s="38" t="str">
        <x:f>"—"</x:f>
        <x:v>—</x:v>
      </x:c>
      <x:c r="N187" s="38" t="n">
        <x:f>IF(COUNT(INDEX('SKU明细'!$D$11:$D$1309,MATCH("2311062-RD-V-O-9",'SKU明细'!$A$11:$A$1309,0)))=0,"待核",IF(COUNT(INDEX('SKU明细'!$D$11:$D$1309,MATCH("2311062-RD-V-O-9",'SKU明细'!$A$11:$A$1309,0)))&lt;1,SUM(INDEX('SKU明细'!$D$11:$D$1309,MATCH("2311062-RD-V-O-9",'SKU明细'!$A$11:$A$1309,0)))&amp;" + 待核",SUM(INDEX('SKU明细'!$D$11:$D$1309,MATCH("2311062-RD-V-O-9",'SKU明细'!$A$11:$A$1309,0)))))</x:f>
        <x:v>0</x:v>
      </x:c>
      <x:c r="O187" s="38" t="str">
        <x:f>"—"</x:f>
        <x:v>—</x:v>
      </x:c>
      <x:c r="P187" s="38" t="n">
        <x:f>IF(COUNT(INDEX('SKU明细'!$D$11:$D$1309,MATCH("2311062-RD-V-O-10",'SKU明细'!$A$11:$A$1309,0)))=0,"待核",IF(COUNT(INDEX('SKU明细'!$D$11:$D$1309,MATCH("2311062-RD-V-O-10",'SKU明细'!$A$11:$A$1309,0)))&lt;1,SUM(INDEX('SKU明细'!$D$11:$D$1309,MATCH("2311062-RD-V-O-10",'SKU明细'!$A$11:$A$1309,0)))&amp;" + 待核",SUM(INDEX('SKU明细'!$D$11:$D$1309,MATCH("2311062-RD-V-O-10",'SKU明细'!$A$11:$A$1309,0)))))</x:f>
        <x:v>0</x:v>
      </x:c>
      <x:c r="Q187" s="38" t="str">
        <x:f>"—"</x:f>
        <x:v>—</x:v>
      </x:c>
      <x:c r="R187" s="38" t="n">
        <x:f>IF(COUNT(INDEX('SKU明细'!$D$11:$D$1309,MATCH("2311062-RD-V-O-11",'SKU明细'!$A$11:$A$1309,0)))=0,"待核",IF(COUNT(INDEX('SKU明细'!$D$11:$D$1309,MATCH("2311062-RD-V-O-11",'SKU明细'!$A$11:$A$1309,0)))&lt;1,SUM(INDEX('SKU明细'!$D$11:$D$1309,MATCH("2311062-RD-V-O-11",'SKU明细'!$A$11:$A$1309,0)))&amp;" + 待核",SUM(INDEX('SKU明细'!$D$11:$D$1309,MATCH("2311062-RD-V-O-11",'SKU明细'!$A$11:$A$1309,0)))))</x:f>
        <x:v>0</x:v>
      </x:c>
      <x:c r="S187" s="38" t="n">
        <x:f>IF(COUNT(INDEX('SKU明细'!$D$11:$D$1309,MATCH("2311062-RD-V-O-6",'SKU明细'!$A$11:$A$1309,0)),INDEX('SKU明细'!$D$11:$D$1309,MATCH("2311062-RD-V-O-7",'SKU明细'!$A$11:$A$1309,0)),INDEX('SKU明细'!$D$11:$D$1309,MATCH("2311062-RD-V-O-8",'SKU明细'!$A$11:$A$1309,0)),INDEX('SKU明细'!$D$11:$D$1309,MATCH("2311062-RD-V-O-9",'SKU明细'!$A$11:$A$1309,0)),INDEX('SKU明细'!$D$11:$D$1309,MATCH("2311062-RD-V-O-10",'SKU明细'!$A$11:$A$1309,0)),INDEX('SKU明细'!$D$11:$D$1309,MATCH("2311062-RD-V-O-11",'SKU明细'!$A$11:$A$1309,0)))=0,"待核",SUM(INDEX('SKU明细'!$D$11:$D$1309,MATCH("2311062-RD-V-O-6",'SKU明细'!$A$11:$A$1309,0)),INDEX('SKU明细'!$D$11:$D$1309,MATCH("2311062-RD-V-O-7",'SKU明细'!$A$11:$A$1309,0)),INDEX('SKU明细'!$D$11:$D$1309,MATCH("2311062-RD-V-O-8",'SKU明细'!$A$11:$A$1309,0)),INDEX('SKU明细'!$D$11:$D$1309,MATCH("2311062-RD-V-O-9",'SKU明细'!$A$11:$A$1309,0)),INDEX('SKU明细'!$D$11:$D$1309,MATCH("2311062-RD-V-O-10",'SKU明细'!$A$11:$A$1309,0)),INDEX('SKU明细'!$D$11:$D$1309,MATCH("2311062-RD-V-O-11",'SKU明细'!$A$11:$A$1309,0))))</x:f>
        <x:v>0</x:v>
      </x:c>
      <x:c r="T187" s="38" t="n">
        <x:f>IF(COUNTIFS($A$9:$A$191,A187,$U$9:$U$191,"&lt;&gt;待核")=0,"待核",SUMIF($A$9:$A$191,A187,$S$9:$S$191))</x:f>
        <x:v>0</x:v>
      </x:c>
      <x:c r="U187" s="37" t="str">
        <x:f>IF(COUNT(INDEX('SKU明细'!$D$11:$D$1309,MATCH("2311062-RD-V-O-6",'SKU明细'!$A$11:$A$1309,0)),INDEX('SKU明细'!$D$11:$D$1309,MATCH("2311062-RD-V-O-7",'SKU明细'!$A$11:$A$1309,0)),INDEX('SKU明细'!$D$11:$D$1309,MATCH("2311062-RD-V-O-8",'SKU明细'!$A$11:$A$1309,0)),INDEX('SKU明细'!$D$11:$D$1309,MATCH("2311062-RD-V-O-9",'SKU明细'!$A$11:$A$1309,0)),INDEX('SKU明细'!$D$11:$D$1309,MATCH("2311062-RD-V-O-10",'SKU明细'!$A$11:$A$1309,0)),INDEX('SKU明细'!$D$11:$D$1309,MATCH("2311062-RD-V-O-11",'SKU明细'!$A$11:$A$1309,0)))=0,"待核",IF(COUNT(INDEX('SKU明细'!$D$11:$D$1309,MATCH("2311062-RD-V-O-6",'SKU明细'!$A$11:$A$1309,0)),INDEX('SKU明细'!$D$11:$D$1309,MATCH("2311062-RD-V-O-7",'SKU明细'!$A$11:$A$1309,0)),INDEX('SKU明细'!$D$11:$D$1309,MATCH("2311062-RD-V-O-8",'SKU明细'!$A$11:$A$1309,0)),INDEX('SKU明细'!$D$11:$D$1309,MATCH("2311062-RD-V-O-9",'SKU明细'!$A$11:$A$1309,0)),INDEX('SKU明细'!$D$11:$D$1309,MATCH("2311062-RD-V-O-10",'SKU明细'!$A$11:$A$1309,0)),INDEX('SKU明细'!$D$11:$D$1309,MATCH("2311062-RD-V-O-11",'SKU明细'!$A$11:$A$1309,0)))&lt;6,"另有待核","已核"))</x:f>
        <x:v>已核</x:v>
      </x:c>
      <x:c r="V187" s="37" t="str">
        <x:v>在售</x:v>
      </x:c>
      <x:c r="W187" s="11" t="n">
        <x:f>IF(COUNT(INDEX('SKU明细'!$BV$11:$BV$1309,MATCH("2311062-RD-V-O-6",'SKU明细'!$A$11:$A$1309,0)),INDEX('SKU明细'!$BV$11:$BV$1309,MATCH("2311062-RD-V-O-7",'SKU明细'!$A$11:$A$1309,0)),INDEX('SKU明细'!$BV$11:$BV$1309,MATCH("2311062-RD-V-O-8",'SKU明细'!$A$11:$A$1309,0)),INDEX('SKU明细'!$BV$11:$BV$1309,MATCH("2311062-RD-V-O-9",'SKU明细'!$A$11:$A$1309,0)),INDEX('SKU明细'!$BV$11:$BV$1309,MATCH("2311062-RD-V-O-10",'SKU明细'!$A$11:$A$1309,0)),INDEX('SKU明细'!$BV$11:$BV$1309,MATCH("2311062-RD-V-O-11",'SKU明细'!$A$11:$A$1309,0)))=6,SUM(INDEX('SKU明细'!$BV$11:$BV$1309,MATCH("2311062-RD-V-O-6",'SKU明细'!$A$11:$A$1309,0)),INDEX('SKU明细'!$BV$11:$BV$1309,MATCH("2311062-RD-V-O-7",'SKU明细'!$A$11:$A$1309,0)),INDEX('SKU明细'!$BV$11:$BV$1309,MATCH("2311062-RD-V-O-8",'SKU明细'!$A$11:$A$1309,0)),INDEX('SKU明细'!$BV$11:$BV$1309,MATCH("2311062-RD-V-O-9",'SKU明细'!$A$11:$A$1309,0)),INDEX('SKU明细'!$BV$11:$BV$1309,MATCH("2311062-RD-V-O-10",'SKU明细'!$A$11:$A$1309,0)),INDEX('SKU明细'!$BV$11:$BV$1309,MATCH("2311062-RD-V-O-11",'SKU明细'!$A$11:$A$1309,0))),"待核")</x:f>
        <x:v>0.5680878634444062</x:v>
      </x:c>
      <x:c r="X187" s="11" t="n">
        <x:f>INDEX('SKU明细'!$BW$11:$BW$1309,MATCH("2311062-RD-V-O-6",'SKU明细'!$A$11:$A$1309,0))</x:f>
        <x:v>1.4758912429949873</x:v>
      </x:c>
      <x:c r="Y187" s="13" t="n">
        <x:f>IF(COUNT(INDEX('SKU明细'!$BY$11:$BY$1309,MATCH("2311062-RD-V-O-6",'SKU明细'!$A$11:$A$1309,0)),INDEX('SKU明细'!$BY$11:$BY$1309,MATCH("2311062-RD-V-O-7",'SKU明细'!$A$11:$A$1309,0)),INDEX('SKU明细'!$BY$11:$BY$1309,MATCH("2311062-RD-V-O-8",'SKU明细'!$A$11:$A$1309,0)),INDEX('SKU明细'!$BY$11:$BY$1309,MATCH("2311062-RD-V-O-9",'SKU明细'!$A$11:$A$1309,0)),INDEX('SKU明细'!$BY$11:$BY$1309,MATCH("2311062-RD-V-O-10",'SKU明细'!$A$11:$A$1309,0)),INDEX('SKU明细'!$BY$11:$BY$1309,MATCH("2311062-RD-V-O-11",'SKU明细'!$A$11:$A$1309,0)))=6,SUM(INDEX('SKU明细'!$BY$11:$BY$1309,MATCH("2311062-RD-V-O-6",'SKU明细'!$A$11:$A$1309,0)),INDEX('SKU明细'!$BY$11:$BY$1309,MATCH("2311062-RD-V-O-7",'SKU明细'!$A$11:$A$1309,0)),INDEX('SKU明细'!$BY$11:$BY$1309,MATCH("2311062-RD-V-O-8",'SKU明细'!$A$11:$A$1309,0)),INDEX('SKU明细'!$BY$11:$BY$1309,MATCH("2311062-RD-V-O-9",'SKU明细'!$A$11:$A$1309,0)),INDEX('SKU明细'!$BY$11:$BY$1309,MATCH("2311062-RD-V-O-10",'SKU明细'!$A$11:$A$1309,0)),INDEX('SKU明细'!$BY$11:$BY$1309,MATCH("2311062-RD-V-O-11",'SKU明细'!$A$11:$A$1309,0))),"待核")</x:f>
        <x:v>10.061230834911978</x:v>
      </x:c>
      <x:c r="Z187" s="11" t="n">
        <x:f>INDEX('SKU明细'!$BZ$11:$BZ$1309,MATCH("2311062-RD-V-O-6",'SKU明细'!$A$11:$A$1309,0))</x:f>
        <x:v>0.906602681585801</x:v>
      </x:c>
      <x:c r="AA187" s="13" t="n">
        <x:f>IF(COUNT(INDEX('SKU明细'!$CB$11:$CB$1309,MATCH("2311062-RD-V-O-6",'SKU明细'!$A$11:$A$1309,0)),INDEX('SKU明细'!$CB$11:$CB$1309,MATCH("2311062-RD-V-O-7",'SKU明细'!$A$11:$A$1309,0)),INDEX('SKU明细'!$CB$11:$CB$1309,MATCH("2311062-RD-V-O-8",'SKU明细'!$A$11:$A$1309,0)),INDEX('SKU明细'!$CB$11:$CB$1309,MATCH("2311062-RD-V-O-9",'SKU明细'!$A$11:$A$1309,0)),INDEX('SKU明细'!$CB$11:$CB$1309,MATCH("2311062-RD-V-O-10",'SKU明细'!$A$11:$A$1309,0)),INDEX('SKU明细'!$CB$11:$CB$1309,MATCH("2311062-RD-V-O-11",'SKU明细'!$A$11:$A$1309,0)))=6,SUM(INDEX('SKU明细'!$CB$11:$CB$1309,MATCH("2311062-RD-V-O-6",'SKU明细'!$A$11:$A$1309,0)),INDEX('SKU明细'!$CB$11:$CB$1309,MATCH("2311062-RD-V-O-7",'SKU明细'!$A$11:$A$1309,0)),INDEX('SKU明细'!$CB$11:$CB$1309,MATCH("2311062-RD-V-O-8",'SKU明细'!$A$11:$A$1309,0)),INDEX('SKU明细'!$CB$11:$CB$1309,MATCH("2311062-RD-V-O-9",'SKU明细'!$A$11:$A$1309,0)),INDEX('SKU明细'!$CB$11:$CB$1309,MATCH("2311062-RD-V-O-10",'SKU明细'!$A$11:$A$1309,0)),INDEX('SKU明细'!$CB$11:$CB$1309,MATCH("2311062-RD-V-O-11",'SKU明细'!$A$11:$A$1309,0))),"待核")</x:f>
        <x:v>15.45089941125141</x:v>
      </x:c>
      <x:c r="AB187" s="11" t="n">
        <x:f>INDEX('SKU明细'!$CC$11:$CC$1309,MATCH("2311062-RD-V-O-6",'SKU明细'!$A$11:$A$1309,0))</x:f>
        <x:v>0.6189770892129804</x:v>
      </x:c>
      <x:c r="AC187" s="13" t="n">
        <x:f>IF(COUNT(INDEX('SKU明细'!$CE$11:$CE$1309,MATCH("2311062-RD-V-O-6",'SKU明细'!$A$11:$A$1309,0)),INDEX('SKU明细'!$CE$11:$CE$1309,MATCH("2311062-RD-V-O-7",'SKU明细'!$A$11:$A$1309,0)),INDEX('SKU明细'!$CE$11:$CE$1309,MATCH("2311062-RD-V-O-8",'SKU明细'!$A$11:$A$1309,0)),INDEX('SKU明细'!$CE$11:$CE$1309,MATCH("2311062-RD-V-O-9",'SKU明细'!$A$11:$A$1309,0)),INDEX('SKU明细'!$CE$11:$CE$1309,MATCH("2311062-RD-V-O-10",'SKU明细'!$A$11:$A$1309,0)),INDEX('SKU明细'!$CE$11:$CE$1309,MATCH("2311062-RD-V-O-11",'SKU明细'!$A$11:$A$1309,0)))=6,SUM(INDEX('SKU明细'!$CE$11:$CE$1309,MATCH("2311062-RD-V-O-6",'SKU明细'!$A$11:$A$1309,0)),INDEX('SKU明细'!$CE$11:$CE$1309,MATCH("2311062-RD-V-O-7",'SKU明细'!$A$11:$A$1309,0)),INDEX('SKU明细'!$CE$11:$CE$1309,MATCH("2311062-RD-V-O-8",'SKU明细'!$A$11:$A$1309,0)),INDEX('SKU明细'!$CE$11:$CE$1309,MATCH("2311062-RD-V-O-9",'SKU明细'!$A$11:$A$1309,0)),INDEX('SKU明细'!$CE$11:$CE$1309,MATCH("2311062-RD-V-O-10",'SKU明细'!$A$11:$A$1309,0)),INDEX('SKU明细'!$CE$11:$CE$1309,MATCH("2311062-RD-V-O-11",'SKU明细'!$A$11:$A$1309,0))),"待核")</x:f>
        <x:v>10.900634536093229</x:v>
      </x:c>
      <x:c r="AD187" s="11" t="n">
        <x:f>INDEX('SKU明细'!$CF$11:$CF$1309,MATCH("2311062-RD-V-O-6",'SKU明细'!$A$11:$A$1309,0))</x:f>
        <x:v>1.1595882717182624</x:v>
      </x:c>
      <x:c r="AE187" s="13" t="n">
        <x:f>IF(COUNT(INDEX('SKU明细'!$CH$11:$CH$1309,MATCH("2311062-RD-V-O-6",'SKU明细'!$A$11:$A$1309,0)),INDEX('SKU明细'!$CH$11:$CH$1309,MATCH("2311062-RD-V-O-7",'SKU明细'!$A$11:$A$1309,0)),INDEX('SKU明细'!$CH$11:$CH$1309,MATCH("2311062-RD-V-O-8",'SKU明细'!$A$11:$A$1309,0)),INDEX('SKU明细'!$CH$11:$CH$1309,MATCH("2311062-RD-V-O-9",'SKU明细'!$A$11:$A$1309,0)),INDEX('SKU明细'!$CH$11:$CH$1309,MATCH("2311062-RD-V-O-10",'SKU明细'!$A$11:$A$1309,0)),INDEX('SKU明细'!$CH$11:$CH$1309,MATCH("2311062-RD-V-O-11",'SKU明细'!$A$11:$A$1309,0)))=6,SUM(INDEX('SKU明细'!$CH$11:$CH$1309,MATCH("2311062-RD-V-O-6",'SKU明细'!$A$11:$A$1309,0)),INDEX('SKU明细'!$CH$11:$CH$1309,MATCH("2311062-RD-V-O-7",'SKU明细'!$A$11:$A$1309,0)),INDEX('SKU明细'!$CH$11:$CH$1309,MATCH("2311062-RD-V-O-8",'SKU明细'!$A$11:$A$1309,0)),INDEX('SKU明细'!$CH$11:$CH$1309,MATCH("2311062-RD-V-O-9",'SKU明细'!$A$11:$A$1309,0)),INDEX('SKU明细'!$CH$11:$CH$1309,MATCH("2311062-RD-V-O-10",'SKU明细'!$A$11:$A$1309,0)),INDEX('SKU明细'!$CH$11:$CH$1309,MATCH("2311062-RD-V-O-11",'SKU明细'!$A$11:$A$1309,0))),"待核")</x:f>
        <x:v>11.198716403845527</x:v>
      </x:c>
      <x:c r="AF187" s="13" t="n">
        <x:f>IF(COUNT(INDEX('SKU明细'!$CI$11:$CI$1309,MATCH("2311062-RD-V-O-6",'SKU明细'!$A$11:$A$1309,0)),INDEX('SKU明细'!$CI$11:$CI$1309,MATCH("2311062-RD-V-O-7",'SKU明细'!$A$11:$A$1309,0)),INDEX('SKU明细'!$CI$11:$CI$1309,MATCH("2311062-RD-V-O-8",'SKU明细'!$A$11:$A$1309,0)),INDEX('SKU明细'!$CI$11:$CI$1309,MATCH("2311062-RD-V-O-9",'SKU明细'!$A$11:$A$1309,0)),INDEX('SKU明细'!$CI$11:$CI$1309,MATCH("2311062-RD-V-O-10",'SKU明细'!$A$11:$A$1309,0)),INDEX('SKU明细'!$CI$11:$CI$1309,MATCH("2311062-RD-V-O-11",'SKU明细'!$A$11:$A$1309,0)))=6,SUM(INDEX('SKU明细'!$CI$11:$CI$1309,MATCH("2311062-RD-V-O-6",'SKU明细'!$A$11:$A$1309,0)),INDEX('SKU明细'!$CI$11:$CI$1309,MATCH("2311062-RD-V-O-7",'SKU明细'!$A$11:$A$1309,0)),INDEX('SKU明细'!$CI$11:$CI$1309,MATCH("2311062-RD-V-O-8",'SKU明细'!$A$11:$A$1309,0)),INDEX('SKU明细'!$CI$11:$CI$1309,MATCH("2311062-RD-V-O-9",'SKU明细'!$A$11:$A$1309,0)),INDEX('SKU明细'!$CI$11:$CI$1309,MATCH("2311062-RD-V-O-10",'SKU明细'!$A$11:$A$1309,0)),INDEX('SKU明细'!$CI$11:$CI$1309,MATCH("2311062-RD-V-O-11",'SKU明细'!$A$11:$A$1309,0))),"待核")</x:f>
        <x:v>47.61148118610214</x:v>
      </x:c>
    </x:row>
    <x:row r="188" ht="40" customHeight="1">
      <x:c r="A188" s="37" t="str">
        <x:v>2311062</x:v>
      </x:c>
      <x:c r="B188" s="37" t="str">
        <x:v>陈晨</x:v>
      </x:c>
      <x:c r="C188" s="37" t="str">
        <x:v>银色 PU</x:v>
      </x:c>
      <x:c r="D188" s="37" t="str">
        <x:v>SL-P</x:v>
      </x:c>
      <x:c r="E188" s="37" t="str">
        <x:v>2311062-SL-P-O</x:v>
      </x:c>
      <x:c r="F188" s="37"/>
      <x:c r="G188" s="38" t="str">
        <x:f>"—"</x:f>
        <x:v>—</x:v>
      </x:c>
      <x:c r="H188" s="38" t="n">
        <x:f>IF(COUNT(INDEX('SKU明细'!$D$11:$D$1309,MATCH("2311062-SL-P-O-6",'SKU明细'!$A$11:$A$1309,0)))=0,"待核",IF(COUNT(INDEX('SKU明细'!$D$11:$D$1309,MATCH("2311062-SL-P-O-6",'SKU明细'!$A$11:$A$1309,0)))&lt;1,SUM(INDEX('SKU明细'!$D$11:$D$1309,MATCH("2311062-SL-P-O-6",'SKU明细'!$A$11:$A$1309,0)))&amp;" + 待核",SUM(INDEX('SKU明细'!$D$11:$D$1309,MATCH("2311062-SL-P-O-6",'SKU明细'!$A$11:$A$1309,0)))))</x:f>
        <x:v>0</x:v>
      </x:c>
      <x:c r="I188" s="38" t="str">
        <x:f>"—"</x:f>
        <x:v>—</x:v>
      </x:c>
      <x:c r="J188" s="38" t="n">
        <x:f>IF(COUNT(INDEX('SKU明细'!$D$11:$D$1309,MATCH("2311062-SL-P-O-7",'SKU明细'!$A$11:$A$1309,0)))=0,"待核",IF(COUNT(INDEX('SKU明细'!$D$11:$D$1309,MATCH("2311062-SL-P-O-7",'SKU明细'!$A$11:$A$1309,0)))&lt;1,SUM(INDEX('SKU明细'!$D$11:$D$1309,MATCH("2311062-SL-P-O-7",'SKU明细'!$A$11:$A$1309,0)))&amp;" + 待核",SUM(INDEX('SKU明细'!$D$11:$D$1309,MATCH("2311062-SL-P-O-7",'SKU明细'!$A$11:$A$1309,0)))))</x:f>
        <x:v>0</x:v>
      </x:c>
      <x:c r="K188" s="38" t="str">
        <x:f>"—"</x:f>
        <x:v>—</x:v>
      </x:c>
      <x:c r="L188" s="38" t="n">
        <x:f>IF(COUNT(INDEX('SKU明细'!$D$11:$D$1309,MATCH("2311062-SL-P-O-8",'SKU明细'!$A$11:$A$1309,0)))=0,"待核",IF(COUNT(INDEX('SKU明细'!$D$11:$D$1309,MATCH("2311062-SL-P-O-8",'SKU明细'!$A$11:$A$1309,0)))&lt;1,SUM(INDEX('SKU明细'!$D$11:$D$1309,MATCH("2311062-SL-P-O-8",'SKU明细'!$A$11:$A$1309,0)))&amp;" + 待核",SUM(INDEX('SKU明细'!$D$11:$D$1309,MATCH("2311062-SL-P-O-8",'SKU明细'!$A$11:$A$1309,0)))))</x:f>
        <x:v>0</x:v>
      </x:c>
      <x:c r="M188" s="38" t="str">
        <x:f>"—"</x:f>
        <x:v>—</x:v>
      </x:c>
      <x:c r="N188" s="38" t="n">
        <x:f>IF(COUNT(INDEX('SKU明细'!$D$11:$D$1309,MATCH("2311062-SL-P-O-9",'SKU明细'!$A$11:$A$1309,0)))=0,"待核",IF(COUNT(INDEX('SKU明细'!$D$11:$D$1309,MATCH("2311062-SL-P-O-9",'SKU明细'!$A$11:$A$1309,0)))&lt;1,SUM(INDEX('SKU明细'!$D$11:$D$1309,MATCH("2311062-SL-P-O-9",'SKU明细'!$A$11:$A$1309,0)))&amp;" + 待核",SUM(INDEX('SKU明细'!$D$11:$D$1309,MATCH("2311062-SL-P-O-9",'SKU明细'!$A$11:$A$1309,0)))))</x:f>
        <x:v>0</x:v>
      </x:c>
      <x:c r="O188" s="38" t="str">
        <x:f>"—"</x:f>
        <x:v>—</x:v>
      </x:c>
      <x:c r="P188" s="38" t="n">
        <x:f>IF(COUNT(INDEX('SKU明细'!$D$11:$D$1309,MATCH("2311062-SL-P-O-10",'SKU明细'!$A$11:$A$1309,0)))=0,"待核",IF(COUNT(INDEX('SKU明细'!$D$11:$D$1309,MATCH("2311062-SL-P-O-10",'SKU明细'!$A$11:$A$1309,0)))&lt;1,SUM(INDEX('SKU明细'!$D$11:$D$1309,MATCH("2311062-SL-P-O-10",'SKU明细'!$A$11:$A$1309,0)))&amp;" + 待核",SUM(INDEX('SKU明细'!$D$11:$D$1309,MATCH("2311062-SL-P-O-10",'SKU明细'!$A$11:$A$1309,0)))))</x:f>
        <x:v>0</x:v>
      </x:c>
      <x:c r="Q188" s="38" t="str">
        <x:f>"—"</x:f>
        <x:v>—</x:v>
      </x:c>
      <x:c r="R188" s="38" t="n">
        <x:f>IF(COUNT(INDEX('SKU明细'!$D$11:$D$1309,MATCH("2311062-SL-P-O-11",'SKU明细'!$A$11:$A$1309,0)))=0,"待核",IF(COUNT(INDEX('SKU明细'!$D$11:$D$1309,MATCH("2311062-SL-P-O-11",'SKU明细'!$A$11:$A$1309,0)))&lt;1,SUM(INDEX('SKU明细'!$D$11:$D$1309,MATCH("2311062-SL-P-O-11",'SKU明细'!$A$11:$A$1309,0)))&amp;" + 待核",SUM(INDEX('SKU明细'!$D$11:$D$1309,MATCH("2311062-SL-P-O-11",'SKU明细'!$A$11:$A$1309,0)))))</x:f>
        <x:v>0</x:v>
      </x:c>
      <x:c r="S188" s="38" t="n">
        <x:f>IF(COUNT(INDEX('SKU明细'!$D$11:$D$1309,MATCH("2311062-SL-P-O-6",'SKU明细'!$A$11:$A$1309,0)),INDEX('SKU明细'!$D$11:$D$1309,MATCH("2311062-SL-P-O-7",'SKU明细'!$A$11:$A$1309,0)),INDEX('SKU明细'!$D$11:$D$1309,MATCH("2311062-SL-P-O-8",'SKU明细'!$A$11:$A$1309,0)),INDEX('SKU明细'!$D$11:$D$1309,MATCH("2311062-SL-P-O-9",'SKU明细'!$A$11:$A$1309,0)),INDEX('SKU明细'!$D$11:$D$1309,MATCH("2311062-SL-P-O-10",'SKU明细'!$A$11:$A$1309,0)),INDEX('SKU明细'!$D$11:$D$1309,MATCH("2311062-SL-P-O-11",'SKU明细'!$A$11:$A$1309,0)))=0,"待核",SUM(INDEX('SKU明细'!$D$11:$D$1309,MATCH("2311062-SL-P-O-6",'SKU明细'!$A$11:$A$1309,0)),INDEX('SKU明细'!$D$11:$D$1309,MATCH("2311062-SL-P-O-7",'SKU明细'!$A$11:$A$1309,0)),INDEX('SKU明细'!$D$11:$D$1309,MATCH("2311062-SL-P-O-8",'SKU明细'!$A$11:$A$1309,0)),INDEX('SKU明细'!$D$11:$D$1309,MATCH("2311062-SL-P-O-9",'SKU明细'!$A$11:$A$1309,0)),INDEX('SKU明细'!$D$11:$D$1309,MATCH("2311062-SL-P-O-10",'SKU明细'!$A$11:$A$1309,0)),INDEX('SKU明细'!$D$11:$D$1309,MATCH("2311062-SL-P-O-11",'SKU明细'!$A$11:$A$1309,0))))</x:f>
        <x:v>0</x:v>
      </x:c>
      <x:c r="T188" s="38" t="n">
        <x:f>IF(COUNTIFS($A$9:$A$191,A188,$U$9:$U$191,"&lt;&gt;待核")=0,"待核",SUMIF($A$9:$A$191,A188,$S$9:$S$191))</x:f>
        <x:v>0</x:v>
      </x:c>
      <x:c r="U188" s="37" t="str">
        <x:f>IF(COUNT(INDEX('SKU明细'!$D$11:$D$1309,MATCH("2311062-SL-P-O-6",'SKU明细'!$A$11:$A$1309,0)),INDEX('SKU明细'!$D$11:$D$1309,MATCH("2311062-SL-P-O-7",'SKU明细'!$A$11:$A$1309,0)),INDEX('SKU明细'!$D$11:$D$1309,MATCH("2311062-SL-P-O-8",'SKU明细'!$A$11:$A$1309,0)),INDEX('SKU明细'!$D$11:$D$1309,MATCH("2311062-SL-P-O-9",'SKU明细'!$A$11:$A$1309,0)),INDEX('SKU明细'!$D$11:$D$1309,MATCH("2311062-SL-P-O-10",'SKU明细'!$A$11:$A$1309,0)),INDEX('SKU明细'!$D$11:$D$1309,MATCH("2311062-SL-P-O-11",'SKU明细'!$A$11:$A$1309,0)))=0,"待核",IF(COUNT(INDEX('SKU明细'!$D$11:$D$1309,MATCH("2311062-SL-P-O-6",'SKU明细'!$A$11:$A$1309,0)),INDEX('SKU明细'!$D$11:$D$1309,MATCH("2311062-SL-P-O-7",'SKU明细'!$A$11:$A$1309,0)),INDEX('SKU明细'!$D$11:$D$1309,MATCH("2311062-SL-P-O-8",'SKU明细'!$A$11:$A$1309,0)),INDEX('SKU明细'!$D$11:$D$1309,MATCH("2311062-SL-P-O-9",'SKU明细'!$A$11:$A$1309,0)),INDEX('SKU明细'!$D$11:$D$1309,MATCH("2311062-SL-P-O-10",'SKU明细'!$A$11:$A$1309,0)),INDEX('SKU明细'!$D$11:$D$1309,MATCH("2311062-SL-P-O-11",'SKU明细'!$A$11:$A$1309,0)))&lt;6,"另有待核","已核"))</x:f>
        <x:v>已核</x:v>
      </x:c>
      <x:c r="V188" s="37" t="str">
        <x:v>在售</x:v>
      </x:c>
      <x:c r="W188" s="11" t="n">
        <x:f>IF(COUNT(INDEX('SKU明细'!$BV$11:$BV$1309,MATCH("2311062-SL-P-O-6",'SKU明细'!$A$11:$A$1309,0)),INDEX('SKU明细'!$BV$11:$BV$1309,MATCH("2311062-SL-P-O-7",'SKU明细'!$A$11:$A$1309,0)),INDEX('SKU明细'!$BV$11:$BV$1309,MATCH("2311062-SL-P-O-8",'SKU明细'!$A$11:$A$1309,0)),INDEX('SKU明细'!$BV$11:$BV$1309,MATCH("2311062-SL-P-O-9",'SKU明细'!$A$11:$A$1309,0)),INDEX('SKU明细'!$BV$11:$BV$1309,MATCH("2311062-SL-P-O-10",'SKU明细'!$A$11:$A$1309,0)),INDEX('SKU明细'!$BV$11:$BV$1309,MATCH("2311062-SL-P-O-11",'SKU明细'!$A$11:$A$1309,0)))=6,SUM(INDEX('SKU明细'!$BV$11:$BV$1309,MATCH("2311062-SL-P-O-6",'SKU明细'!$A$11:$A$1309,0)),INDEX('SKU明细'!$BV$11:$BV$1309,MATCH("2311062-SL-P-O-7",'SKU明细'!$A$11:$A$1309,0)),INDEX('SKU明细'!$BV$11:$BV$1309,MATCH("2311062-SL-P-O-8",'SKU明细'!$A$11:$A$1309,0)),INDEX('SKU明细'!$BV$11:$BV$1309,MATCH("2311062-SL-P-O-9",'SKU明细'!$A$11:$A$1309,0)),INDEX('SKU明细'!$BV$11:$BV$1309,MATCH("2311062-SL-P-O-10",'SKU明细'!$A$11:$A$1309,0)),INDEX('SKU明细'!$BV$11:$BV$1309,MATCH("2311062-SL-P-O-11",'SKU明细'!$A$11:$A$1309,0))),"待核")</x:f>
        <x:v>0.7889162518162782</x:v>
      </x:c>
      <x:c r="X188" s="11" t="n">
        <x:f>INDEX('SKU明细'!$BW$11:$BW$1309,MATCH("2311062-SL-P-O-6",'SKU明细'!$A$11:$A$1309,0))</x:f>
        <x:v>1.4758912429949873</x:v>
      </x:c>
      <x:c r="Y188" s="13" t="n">
        <x:f>IF(COUNT(INDEX('SKU明细'!$BY$11:$BY$1309,MATCH("2311062-SL-P-O-6",'SKU明细'!$A$11:$A$1309,0)),INDEX('SKU明细'!$BY$11:$BY$1309,MATCH("2311062-SL-P-O-7",'SKU明细'!$A$11:$A$1309,0)),INDEX('SKU明细'!$BY$11:$BY$1309,MATCH("2311062-SL-P-O-8",'SKU明细'!$A$11:$A$1309,0)),INDEX('SKU明细'!$BY$11:$BY$1309,MATCH("2311062-SL-P-O-9",'SKU明细'!$A$11:$A$1309,0)),INDEX('SKU明细'!$BY$11:$BY$1309,MATCH("2311062-SL-P-O-10",'SKU明细'!$A$11:$A$1309,0)),INDEX('SKU明细'!$BY$11:$BY$1309,MATCH("2311062-SL-P-O-11",'SKU明细'!$A$11:$A$1309,0)))=6,SUM(INDEX('SKU明细'!$BY$11:$BY$1309,MATCH("2311062-SL-P-O-6",'SKU明细'!$A$11:$A$1309,0)),INDEX('SKU明细'!$BY$11:$BY$1309,MATCH("2311062-SL-P-O-7",'SKU明细'!$A$11:$A$1309,0)),INDEX('SKU明细'!$BY$11:$BY$1309,MATCH("2311062-SL-P-O-8",'SKU明细'!$A$11:$A$1309,0)),INDEX('SKU明细'!$BY$11:$BY$1309,MATCH("2311062-SL-P-O-9",'SKU明细'!$A$11:$A$1309,0)),INDEX('SKU明细'!$BY$11:$BY$1309,MATCH("2311062-SL-P-O-10",'SKU明细'!$A$11:$A$1309,0)),INDEX('SKU明细'!$BY$11:$BY$1309,MATCH("2311062-SL-P-O-11",'SKU明细'!$A$11:$A$1309,0))),"待核")</x:f>
        <x:v>13.97225505014488</x:v>
      </x:c>
      <x:c r="Z188" s="11" t="n">
        <x:f>INDEX('SKU明细'!$BZ$11:$BZ$1309,MATCH("2311062-SL-P-O-6",'SKU明细'!$A$11:$A$1309,0))</x:f>
        <x:v>0.906602681585801</x:v>
      </x:c>
      <x:c r="AA188" s="13" t="n">
        <x:f>IF(COUNT(INDEX('SKU明细'!$CB$11:$CB$1309,MATCH("2311062-SL-P-O-6",'SKU明细'!$A$11:$A$1309,0)),INDEX('SKU明细'!$CB$11:$CB$1309,MATCH("2311062-SL-P-O-7",'SKU明细'!$A$11:$A$1309,0)),INDEX('SKU明细'!$CB$11:$CB$1309,MATCH("2311062-SL-P-O-8",'SKU明细'!$A$11:$A$1309,0)),INDEX('SKU明细'!$CB$11:$CB$1309,MATCH("2311062-SL-P-O-9",'SKU明细'!$A$11:$A$1309,0)),INDEX('SKU明细'!$CB$11:$CB$1309,MATCH("2311062-SL-P-O-10",'SKU明细'!$A$11:$A$1309,0)),INDEX('SKU明细'!$CB$11:$CB$1309,MATCH("2311062-SL-P-O-11",'SKU明细'!$A$11:$A$1309,0)))=6,SUM(INDEX('SKU明细'!$CB$11:$CB$1309,MATCH("2311062-SL-P-O-6",'SKU明细'!$A$11:$A$1309,0)),INDEX('SKU明细'!$CB$11:$CB$1309,MATCH("2311062-SL-P-O-7",'SKU明细'!$A$11:$A$1309,0)),INDEX('SKU明细'!$CB$11:$CB$1309,MATCH("2311062-SL-P-O-8",'SKU明细'!$A$11:$A$1309,0)),INDEX('SKU明细'!$CB$11:$CB$1309,MATCH("2311062-SL-P-O-9",'SKU明细'!$A$11:$A$1309,0)),INDEX('SKU明细'!$CB$11:$CB$1309,MATCH("2311062-SL-P-O-10",'SKU明细'!$A$11:$A$1309,0)),INDEX('SKU明细'!$CB$11:$CB$1309,MATCH("2311062-SL-P-O-11",'SKU明细'!$A$11:$A$1309,0))),"待核")</x:f>
        <x:v>21.457007683297707</x:v>
      </x:c>
      <x:c r="AB188" s="11" t="n">
        <x:f>INDEX('SKU明细'!$CC$11:$CC$1309,MATCH("2311062-SL-P-O-6",'SKU明细'!$A$11:$A$1309,0))</x:f>
        <x:v>0.6189770892129804</x:v>
      </x:c>
      <x:c r="AC188" s="13" t="n">
        <x:f>IF(COUNT(INDEX('SKU明细'!$CE$11:$CE$1309,MATCH("2311062-SL-P-O-6",'SKU明细'!$A$11:$A$1309,0)),INDEX('SKU明细'!$CE$11:$CE$1309,MATCH("2311062-SL-P-O-7",'SKU明细'!$A$11:$A$1309,0)),INDEX('SKU明细'!$CE$11:$CE$1309,MATCH("2311062-SL-P-O-8",'SKU明细'!$A$11:$A$1309,0)),INDEX('SKU明细'!$CE$11:$CE$1309,MATCH("2311062-SL-P-O-9",'SKU明细'!$A$11:$A$1309,0)),INDEX('SKU明细'!$CE$11:$CE$1309,MATCH("2311062-SL-P-O-10",'SKU明细'!$A$11:$A$1309,0)),INDEX('SKU明细'!$CE$11:$CE$1309,MATCH("2311062-SL-P-O-11",'SKU明细'!$A$11:$A$1309,0)))=6,SUM(INDEX('SKU明细'!$CE$11:$CE$1309,MATCH("2311062-SL-P-O-6",'SKU明细'!$A$11:$A$1309,0)),INDEX('SKU明细'!$CE$11:$CE$1309,MATCH("2311062-SL-P-O-7",'SKU明细'!$A$11:$A$1309,0)),INDEX('SKU明细'!$CE$11:$CE$1309,MATCH("2311062-SL-P-O-8",'SKU明细'!$A$11:$A$1309,0)),INDEX('SKU明细'!$CE$11:$CE$1309,MATCH("2311062-SL-P-O-9",'SKU明细'!$A$11:$A$1309,0)),INDEX('SKU明细'!$CE$11:$CE$1309,MATCH("2311062-SL-P-O-10",'SKU明细'!$A$11:$A$1309,0)),INDEX('SKU明细'!$CE$11:$CE$1309,MATCH("2311062-SL-P-O-11",'SKU明细'!$A$11:$A$1309,0))),"待核")</x:f>
        <x:v>15.137953640643694</x:v>
      </x:c>
      <x:c r="AD188" s="11" t="n">
        <x:f>INDEX('SKU明细'!$CF$11:$CF$1309,MATCH("2311062-SL-P-O-6",'SKU明细'!$A$11:$A$1309,0))</x:f>
        <x:v>1.1595882717182624</x:v>
      </x:c>
      <x:c r="AE188" s="13" t="n">
        <x:f>IF(COUNT(INDEX('SKU明细'!$CH$11:$CH$1309,MATCH("2311062-SL-P-O-6",'SKU明细'!$A$11:$A$1309,0)),INDEX('SKU明细'!$CH$11:$CH$1309,MATCH("2311062-SL-P-O-7",'SKU明细'!$A$11:$A$1309,0)),INDEX('SKU明细'!$CH$11:$CH$1309,MATCH("2311062-SL-P-O-8",'SKU明细'!$A$11:$A$1309,0)),INDEX('SKU明细'!$CH$11:$CH$1309,MATCH("2311062-SL-P-O-9",'SKU明细'!$A$11:$A$1309,0)),INDEX('SKU明细'!$CH$11:$CH$1309,MATCH("2311062-SL-P-O-10",'SKU明细'!$A$11:$A$1309,0)),INDEX('SKU明细'!$CH$11:$CH$1309,MATCH("2311062-SL-P-O-11",'SKU明细'!$A$11:$A$1309,0)))=6,SUM(INDEX('SKU明细'!$CH$11:$CH$1309,MATCH("2311062-SL-P-O-6",'SKU明细'!$A$11:$A$1309,0)),INDEX('SKU明细'!$CH$11:$CH$1309,MATCH("2311062-SL-P-O-7",'SKU明细'!$A$11:$A$1309,0)),INDEX('SKU明细'!$CH$11:$CH$1309,MATCH("2311062-SL-P-O-8",'SKU明细'!$A$11:$A$1309,0)),INDEX('SKU明细'!$CH$11:$CH$1309,MATCH("2311062-SL-P-O-9",'SKU明细'!$A$11:$A$1309,0)),INDEX('SKU明细'!$CH$11:$CH$1309,MATCH("2311062-SL-P-O-10",'SKU明细'!$A$11:$A$1309,0)),INDEX('SKU明细'!$CH$11:$CH$1309,MATCH("2311062-SL-P-O-11",'SKU明细'!$A$11:$A$1309,0))),"待核")</x:f>
        <x:v>15.55190656055949</x:v>
      </x:c>
      <x:c r="AF188" s="13" t="n">
        <x:f>IF(COUNT(INDEX('SKU明细'!$CI$11:$CI$1309,MATCH("2311062-SL-P-O-6",'SKU明细'!$A$11:$A$1309,0)),INDEX('SKU明细'!$CI$11:$CI$1309,MATCH("2311062-SL-P-O-7",'SKU明细'!$A$11:$A$1309,0)),INDEX('SKU明细'!$CI$11:$CI$1309,MATCH("2311062-SL-P-O-8",'SKU明细'!$A$11:$A$1309,0)),INDEX('SKU明细'!$CI$11:$CI$1309,MATCH("2311062-SL-P-O-9",'SKU明细'!$A$11:$A$1309,0)),INDEX('SKU明细'!$CI$11:$CI$1309,MATCH("2311062-SL-P-O-10",'SKU明细'!$A$11:$A$1309,0)),INDEX('SKU明细'!$CI$11:$CI$1309,MATCH("2311062-SL-P-O-11",'SKU明细'!$A$11:$A$1309,0)))=6,SUM(INDEX('SKU明细'!$CI$11:$CI$1309,MATCH("2311062-SL-P-O-6",'SKU明细'!$A$11:$A$1309,0)),INDEX('SKU明细'!$CI$11:$CI$1309,MATCH("2311062-SL-P-O-7",'SKU明细'!$A$11:$A$1309,0)),INDEX('SKU明细'!$CI$11:$CI$1309,MATCH("2311062-SL-P-O-8",'SKU明细'!$A$11:$A$1309,0)),INDEX('SKU明细'!$CI$11:$CI$1309,MATCH("2311062-SL-P-O-9",'SKU明细'!$A$11:$A$1309,0)),INDEX('SKU明细'!$CI$11:$CI$1309,MATCH("2311062-SL-P-O-10",'SKU明细'!$A$11:$A$1309,0)),INDEX('SKU明细'!$CI$11:$CI$1309,MATCH("2311062-SL-P-O-11",'SKU明细'!$A$11:$A$1309,0))),"待核")</x:f>
        <x:v>66.11912293464577</x:v>
      </x:c>
    </x:row>
    <x:row r="189" ht="40" customHeight="1">
      <x:c r="A189" s="37" t="str">
        <x:v>2311062</x:v>
      </x:c>
      <x:c r="B189" s="37" t="str">
        <x:v>陈晨</x:v>
      </x:c>
      <x:c r="C189" s="37" t="str">
        <x:v>驼色 PU</x:v>
      </x:c>
      <x:c r="D189" s="37" t="str">
        <x:v>TN-P</x:v>
      </x:c>
      <x:c r="E189" s="37" t="str">
        <x:v>2311062-TN-P-O</x:v>
      </x:c>
      <x:c r="F189" s="37"/>
      <x:c r="G189" s="38" t="str">
        <x:f>"—"</x:f>
        <x:v>—</x:v>
      </x:c>
      <x:c r="H189" s="38" t="str">
        <x:f>"—"</x:f>
        <x:v>—</x:v>
      </x:c>
      <x:c r="I189" s="38" t="str">
        <x:f>"—"</x:f>
        <x:v>—</x:v>
      </x:c>
      <x:c r="J189" s="38" t="str">
        <x:f>IF(COUNT(INDEX('SKU明细'!$D$11:$D$1309,MATCH("2311062-TN-P-O-7",'SKU明细'!$A$11:$A$1309,0)))=0,"待核",IF(COUNT(INDEX('SKU明细'!$D$11:$D$1309,MATCH("2311062-TN-P-O-7",'SKU明细'!$A$11:$A$1309,0)))&lt;1,SUM(INDEX('SKU明细'!$D$11:$D$1309,MATCH("2311062-TN-P-O-7",'SKU明细'!$A$11:$A$1309,0)))&amp;" + 待核",SUM(INDEX('SKU明细'!$D$11:$D$1309,MATCH("2311062-TN-P-O-7",'SKU明细'!$A$11:$A$1309,0)))))</x:f>
        <x:v>待核</x:v>
      </x:c>
      <x:c r="K189" s="38" t="str">
        <x:f>"—"</x:f>
        <x:v>—</x:v>
      </x:c>
      <x:c r="L189" s="38" t="str">
        <x:f>IF(COUNT(INDEX('SKU明细'!$D$11:$D$1309,MATCH("2311062-TN-P-O-8",'SKU明细'!$A$11:$A$1309,0)))=0,"待核",IF(COUNT(INDEX('SKU明细'!$D$11:$D$1309,MATCH("2311062-TN-P-O-8",'SKU明细'!$A$11:$A$1309,0)))&lt;1,SUM(INDEX('SKU明细'!$D$11:$D$1309,MATCH("2311062-TN-P-O-8",'SKU明细'!$A$11:$A$1309,0)))&amp;" + 待核",SUM(INDEX('SKU明细'!$D$11:$D$1309,MATCH("2311062-TN-P-O-8",'SKU明细'!$A$11:$A$1309,0)))))</x:f>
        <x:v>待核</x:v>
      </x:c>
      <x:c r="M189" s="38" t="str">
        <x:f>"—"</x:f>
        <x:v>—</x:v>
      </x:c>
      <x:c r="N189" s="38" t="str">
        <x:f>IF(COUNT(INDEX('SKU明细'!$D$11:$D$1309,MATCH("2311062-TN-P-O-9",'SKU明细'!$A$11:$A$1309,0)))=0,"待核",IF(COUNT(INDEX('SKU明细'!$D$11:$D$1309,MATCH("2311062-TN-P-O-9",'SKU明细'!$A$11:$A$1309,0)))&lt;1,SUM(INDEX('SKU明细'!$D$11:$D$1309,MATCH("2311062-TN-P-O-9",'SKU明细'!$A$11:$A$1309,0)))&amp;" + 待核",SUM(INDEX('SKU明细'!$D$11:$D$1309,MATCH("2311062-TN-P-O-9",'SKU明细'!$A$11:$A$1309,0)))))</x:f>
        <x:v>待核</x:v>
      </x:c>
      <x:c r="O189" s="38" t="str">
        <x:f>"—"</x:f>
        <x:v>—</x:v>
      </x:c>
      <x:c r="P189" s="38" t="str">
        <x:f>"—"</x:f>
        <x:v>—</x:v>
      </x:c>
      <x:c r="Q189" s="38" t="str">
        <x:f>"—"</x:f>
        <x:v>—</x:v>
      </x:c>
      <x:c r="R189" s="38" t="str">
        <x:f>"—"</x:f>
        <x:v>—</x:v>
      </x:c>
      <x:c r="S189" s="38" t="str">
        <x:f>IF(COUNT(INDEX('SKU明细'!$D$11:$D$1309,MATCH("2311062-TN-P-O-7",'SKU明细'!$A$11:$A$1309,0)),INDEX('SKU明细'!$D$11:$D$1309,MATCH("2311062-TN-P-O-8",'SKU明细'!$A$11:$A$1309,0)),INDEX('SKU明细'!$D$11:$D$1309,MATCH("2311062-TN-P-O-9",'SKU明细'!$A$11:$A$1309,0)))=0,"待核",SUM(INDEX('SKU明细'!$D$11:$D$1309,MATCH("2311062-TN-P-O-7",'SKU明细'!$A$11:$A$1309,0)),INDEX('SKU明细'!$D$11:$D$1309,MATCH("2311062-TN-P-O-8",'SKU明细'!$A$11:$A$1309,0)),INDEX('SKU明细'!$D$11:$D$1309,MATCH("2311062-TN-P-O-9",'SKU明细'!$A$11:$A$1309,0))))</x:f>
        <x:v>待核</x:v>
      </x:c>
      <x:c r="T189" s="38" t="n">
        <x:f>IF(COUNTIFS($A$9:$A$191,A189,$U$9:$U$191,"&lt;&gt;待核")=0,"待核",SUMIF($A$9:$A$191,A189,$S$9:$S$191))</x:f>
        <x:v>0</x:v>
      </x:c>
      <x:c r="U189" s="37" t="str">
        <x:f>IF(COUNT(INDEX('SKU明细'!$D$11:$D$1309,MATCH("2311062-TN-P-O-7",'SKU明细'!$A$11:$A$1309,0)),INDEX('SKU明细'!$D$11:$D$1309,MATCH("2311062-TN-P-O-8",'SKU明细'!$A$11:$A$1309,0)),INDEX('SKU明细'!$D$11:$D$1309,MATCH("2311062-TN-P-O-9",'SKU明细'!$A$11:$A$1309,0)))=0,"待核",IF(COUNT(INDEX('SKU明细'!$D$11:$D$1309,MATCH("2311062-TN-P-O-7",'SKU明细'!$A$11:$A$1309,0)),INDEX('SKU明细'!$D$11:$D$1309,MATCH("2311062-TN-P-O-8",'SKU明细'!$A$11:$A$1309,0)),INDEX('SKU明细'!$D$11:$D$1309,MATCH("2311062-TN-P-O-9",'SKU明细'!$A$11:$A$1309,0)))&lt;3,"另有待核","已核"))</x:f>
        <x:v>待核</x:v>
      </x:c>
      <x:c r="V189" s="37" t="str">
        <x:v>在售</x:v>
      </x:c>
      <x:c r="W189" s="11" t="str">
        <x:f>IF(COUNT(INDEX('SKU明细'!$BV$11:$BV$1309,MATCH("2311062-TN-P-O-7",'SKU明细'!$A$11:$A$1309,0)),INDEX('SKU明细'!$BV$11:$BV$1309,MATCH("2311062-TN-P-O-8",'SKU明细'!$A$11:$A$1309,0)),INDEX('SKU明细'!$BV$11:$BV$1309,MATCH("2311062-TN-P-O-9",'SKU明细'!$A$11:$A$1309,0)))=3,SUM(INDEX('SKU明细'!$BV$11:$BV$1309,MATCH("2311062-TN-P-O-7",'SKU明细'!$A$11:$A$1309,0)),INDEX('SKU明细'!$BV$11:$BV$1309,MATCH("2311062-TN-P-O-8",'SKU明细'!$A$11:$A$1309,0)),INDEX('SKU明细'!$BV$11:$BV$1309,MATCH("2311062-TN-P-O-9",'SKU明细'!$A$11:$A$1309,0))),"待核")</x:f>
        <x:v>待核</x:v>
      </x:c>
      <x:c r="X189" s="11" t="n">
        <x:f>INDEX('SKU明细'!$BW$11:$BW$1309,MATCH("2311062-TN-P-O-7",'SKU明细'!$A$11:$A$1309,0))</x:f>
        <x:v>1.4758912429949873</x:v>
      </x:c>
      <x:c r="Y189" s="13" t="str">
        <x:f>IF(COUNT(INDEX('SKU明细'!$BY$11:$BY$1309,MATCH("2311062-TN-P-O-7",'SKU明细'!$A$11:$A$1309,0)),INDEX('SKU明细'!$BY$11:$BY$1309,MATCH("2311062-TN-P-O-8",'SKU明细'!$A$11:$A$1309,0)),INDEX('SKU明细'!$BY$11:$BY$1309,MATCH("2311062-TN-P-O-9",'SKU明细'!$A$11:$A$1309,0)))=3,SUM(INDEX('SKU明细'!$BY$11:$BY$1309,MATCH("2311062-TN-P-O-7",'SKU明细'!$A$11:$A$1309,0)),INDEX('SKU明细'!$BY$11:$BY$1309,MATCH("2311062-TN-P-O-8",'SKU明细'!$A$11:$A$1309,0)),INDEX('SKU明细'!$BY$11:$BY$1309,MATCH("2311062-TN-P-O-9",'SKU明细'!$A$11:$A$1309,0))),"待核")</x:f>
        <x:v>待核</x:v>
      </x:c>
      <x:c r="Z189" s="11" t="n">
        <x:f>INDEX('SKU明细'!$BZ$11:$BZ$1309,MATCH("2311062-TN-P-O-7",'SKU明细'!$A$11:$A$1309,0))</x:f>
        <x:v>0.906602681585801</x:v>
      </x:c>
      <x:c r="AA189" s="13" t="str">
        <x:f>IF(COUNT(INDEX('SKU明细'!$CB$11:$CB$1309,MATCH("2311062-TN-P-O-7",'SKU明细'!$A$11:$A$1309,0)),INDEX('SKU明细'!$CB$11:$CB$1309,MATCH("2311062-TN-P-O-8",'SKU明细'!$A$11:$A$1309,0)),INDEX('SKU明细'!$CB$11:$CB$1309,MATCH("2311062-TN-P-O-9",'SKU明细'!$A$11:$A$1309,0)))=3,SUM(INDEX('SKU明细'!$CB$11:$CB$1309,MATCH("2311062-TN-P-O-7",'SKU明细'!$A$11:$A$1309,0)),INDEX('SKU明细'!$CB$11:$CB$1309,MATCH("2311062-TN-P-O-8",'SKU明细'!$A$11:$A$1309,0)),INDEX('SKU明细'!$CB$11:$CB$1309,MATCH("2311062-TN-P-O-9",'SKU明细'!$A$11:$A$1309,0))),"待核")</x:f>
        <x:v>待核</x:v>
      </x:c>
      <x:c r="AB189" s="11" t="n">
        <x:f>INDEX('SKU明细'!$CC$11:$CC$1309,MATCH("2311062-TN-P-O-7",'SKU明细'!$A$11:$A$1309,0))</x:f>
        <x:v>0.6189770892129804</x:v>
      </x:c>
      <x:c r="AC189" s="13" t="str">
        <x:f>IF(COUNT(INDEX('SKU明细'!$CE$11:$CE$1309,MATCH("2311062-TN-P-O-7",'SKU明细'!$A$11:$A$1309,0)),INDEX('SKU明细'!$CE$11:$CE$1309,MATCH("2311062-TN-P-O-8",'SKU明细'!$A$11:$A$1309,0)),INDEX('SKU明细'!$CE$11:$CE$1309,MATCH("2311062-TN-P-O-9",'SKU明细'!$A$11:$A$1309,0)))=3,SUM(INDEX('SKU明细'!$CE$11:$CE$1309,MATCH("2311062-TN-P-O-7",'SKU明细'!$A$11:$A$1309,0)),INDEX('SKU明细'!$CE$11:$CE$1309,MATCH("2311062-TN-P-O-8",'SKU明细'!$A$11:$A$1309,0)),INDEX('SKU明细'!$CE$11:$CE$1309,MATCH("2311062-TN-P-O-9",'SKU明细'!$A$11:$A$1309,0))),"待核")</x:f>
        <x:v>待核</x:v>
      </x:c>
      <x:c r="AD189" s="11" t="n">
        <x:f>INDEX('SKU明细'!$CF$11:$CF$1309,MATCH("2311062-TN-P-O-7",'SKU明细'!$A$11:$A$1309,0))</x:f>
        <x:v>1.1595882717182624</x:v>
      </x:c>
      <x:c r="AE189" s="13" t="str">
        <x:f>IF(COUNT(INDEX('SKU明细'!$CH$11:$CH$1309,MATCH("2311062-TN-P-O-7",'SKU明细'!$A$11:$A$1309,0)),INDEX('SKU明细'!$CH$11:$CH$1309,MATCH("2311062-TN-P-O-8",'SKU明细'!$A$11:$A$1309,0)),INDEX('SKU明细'!$CH$11:$CH$1309,MATCH("2311062-TN-P-O-9",'SKU明细'!$A$11:$A$1309,0)))=3,SUM(INDEX('SKU明细'!$CH$11:$CH$1309,MATCH("2311062-TN-P-O-7",'SKU明细'!$A$11:$A$1309,0)),INDEX('SKU明细'!$CH$11:$CH$1309,MATCH("2311062-TN-P-O-8",'SKU明细'!$A$11:$A$1309,0)),INDEX('SKU明细'!$CH$11:$CH$1309,MATCH("2311062-TN-P-O-9",'SKU明细'!$A$11:$A$1309,0))),"待核")</x:f>
        <x:v>待核</x:v>
      </x:c>
      <x:c r="AF189" s="13" t="str">
        <x:f>IF(COUNT(INDEX('SKU明细'!$CI$11:$CI$1309,MATCH("2311062-TN-P-O-7",'SKU明细'!$A$11:$A$1309,0)),INDEX('SKU明细'!$CI$11:$CI$1309,MATCH("2311062-TN-P-O-8",'SKU明细'!$A$11:$A$1309,0)),INDEX('SKU明细'!$CI$11:$CI$1309,MATCH("2311062-TN-P-O-9",'SKU明细'!$A$11:$A$1309,0)))=3,SUM(INDEX('SKU明细'!$CI$11:$CI$1309,MATCH("2311062-TN-P-O-7",'SKU明细'!$A$11:$A$1309,0)),INDEX('SKU明细'!$CI$11:$CI$1309,MATCH("2311062-TN-P-O-8",'SKU明细'!$A$11:$A$1309,0)),INDEX('SKU明细'!$CI$11:$CI$1309,MATCH("2311062-TN-P-O-9",'SKU明细'!$A$11:$A$1309,0))),"待核")</x:f>
        <x:v>待核</x:v>
      </x:c>
    </x:row>
    <x:row r="190" ht="40" customHeight="1">
      <x:c r="A190" s="37" t="str">
        <x:v>2311062</x:v>
      </x:c>
      <x:c r="B190" s="37" t="str">
        <x:v>陈晨</x:v>
      </x:c>
      <x:c r="C190" s="37" t="str">
        <x:v>驼色 PU</x:v>
      </x:c>
      <x:c r="D190" s="37" t="str">
        <x:v>TN-P-O</x:v>
      </x:c>
      <x:c r="E190" s="37" t="str">
        <x:v>2311062-TN-P-O</x:v>
      </x:c>
      <x:c r="F190" s="37"/>
      <x:c r="G190" s="38" t="str">
        <x:f>"—"</x:f>
        <x:v>—</x:v>
      </x:c>
      <x:c r="H190" s="38" t="str">
        <x:f>IF(COUNT(INDEX('SKU明细'!$D$11:$D$1309,MATCH("2311062-TN-P-O-6",'SKU明细'!$A$11:$A$1309,0)))=0,"待核",IF(COUNT(INDEX('SKU明细'!$D$11:$D$1309,MATCH("2311062-TN-P-O-6",'SKU明细'!$A$11:$A$1309,0)))&lt;1,SUM(INDEX('SKU明细'!$D$11:$D$1309,MATCH("2311062-TN-P-O-6",'SKU明细'!$A$11:$A$1309,0)))&amp;" + 待核",SUM(INDEX('SKU明细'!$D$11:$D$1309,MATCH("2311062-TN-P-O-6",'SKU明细'!$A$11:$A$1309,0)))))</x:f>
        <x:v>待核</x:v>
      </x:c>
      <x:c r="I190" s="38" t="str">
        <x:f>"—"</x:f>
        <x:v>—</x:v>
      </x:c>
      <x:c r="J190" s="38" t="str">
        <x:f>"—"</x:f>
        <x:v>—</x:v>
      </x:c>
      <x:c r="K190" s="38" t="str">
        <x:f>"—"</x:f>
        <x:v>—</x:v>
      </x:c>
      <x:c r="L190" s="38" t="str">
        <x:f>"—"</x:f>
        <x:v>—</x:v>
      </x:c>
      <x:c r="M190" s="38" t="str">
        <x:f>"—"</x:f>
        <x:v>—</x:v>
      </x:c>
      <x:c r="N190" s="38" t="str">
        <x:f>"—"</x:f>
        <x:v>—</x:v>
      </x:c>
      <x:c r="O190" s="38" t="str">
        <x:f>"—"</x:f>
        <x:v>—</x:v>
      </x:c>
      <x:c r="P190" s="38" t="str">
        <x:f>IF(COUNT(INDEX('SKU明细'!$D$11:$D$1309,MATCH("2311062-TN-P-O-10",'SKU明细'!$A$11:$A$1309,0)))=0,"待核",IF(COUNT(INDEX('SKU明细'!$D$11:$D$1309,MATCH("2311062-TN-P-O-10",'SKU明细'!$A$11:$A$1309,0)))&lt;1,SUM(INDEX('SKU明细'!$D$11:$D$1309,MATCH("2311062-TN-P-O-10",'SKU明细'!$A$11:$A$1309,0)))&amp;" + 待核",SUM(INDEX('SKU明细'!$D$11:$D$1309,MATCH("2311062-TN-P-O-10",'SKU明细'!$A$11:$A$1309,0)))))</x:f>
        <x:v>待核</x:v>
      </x:c>
      <x:c r="Q190" s="38" t="str">
        <x:f>"—"</x:f>
        <x:v>—</x:v>
      </x:c>
      <x:c r="R190" s="38" t="str">
        <x:f>IF(COUNT(INDEX('SKU明细'!$D$11:$D$1309,MATCH("2311062-TN-P-O-11",'SKU明细'!$A$11:$A$1309,0)))=0,"待核",IF(COUNT(INDEX('SKU明细'!$D$11:$D$1309,MATCH("2311062-TN-P-O-11",'SKU明细'!$A$11:$A$1309,0)))&lt;1,SUM(INDEX('SKU明细'!$D$11:$D$1309,MATCH("2311062-TN-P-O-11",'SKU明细'!$A$11:$A$1309,0)))&amp;" + 待核",SUM(INDEX('SKU明细'!$D$11:$D$1309,MATCH("2311062-TN-P-O-11",'SKU明细'!$A$11:$A$1309,0)))))</x:f>
        <x:v>待核</x:v>
      </x:c>
      <x:c r="S190" s="38" t="str">
        <x:f>IF(COUNT(INDEX('SKU明细'!$D$11:$D$1309,MATCH("2311062-TN-P-O-6",'SKU明细'!$A$11:$A$1309,0)),INDEX('SKU明细'!$D$11:$D$1309,MATCH("2311062-TN-P-O-10",'SKU明细'!$A$11:$A$1309,0)),INDEX('SKU明细'!$D$11:$D$1309,MATCH("2311062-TN-P-O-11",'SKU明细'!$A$11:$A$1309,0)))=0,"待核",SUM(INDEX('SKU明细'!$D$11:$D$1309,MATCH("2311062-TN-P-O-6",'SKU明细'!$A$11:$A$1309,0)),INDEX('SKU明细'!$D$11:$D$1309,MATCH("2311062-TN-P-O-10",'SKU明细'!$A$11:$A$1309,0)),INDEX('SKU明细'!$D$11:$D$1309,MATCH("2311062-TN-P-O-11",'SKU明细'!$A$11:$A$1309,0))))</x:f>
        <x:v>待核</x:v>
      </x:c>
      <x:c r="T190" s="38" t="n">
        <x:f>IF(COUNTIFS($A$9:$A$191,A190,$U$9:$U$191,"&lt;&gt;待核")=0,"待核",SUMIF($A$9:$A$191,A190,$S$9:$S$191))</x:f>
        <x:v>0</x:v>
      </x:c>
      <x:c r="U190" s="37" t="str">
        <x:f>IF(COUNT(INDEX('SKU明细'!$D$11:$D$1309,MATCH("2311062-TN-P-O-6",'SKU明细'!$A$11:$A$1309,0)),INDEX('SKU明细'!$D$11:$D$1309,MATCH("2311062-TN-P-O-10",'SKU明细'!$A$11:$A$1309,0)),INDEX('SKU明细'!$D$11:$D$1309,MATCH("2311062-TN-P-O-11",'SKU明细'!$A$11:$A$1309,0)))=0,"待核",IF(COUNT(INDEX('SKU明细'!$D$11:$D$1309,MATCH("2311062-TN-P-O-6",'SKU明细'!$A$11:$A$1309,0)),INDEX('SKU明细'!$D$11:$D$1309,MATCH("2311062-TN-P-O-10",'SKU明细'!$A$11:$A$1309,0)),INDEX('SKU明细'!$D$11:$D$1309,MATCH("2311062-TN-P-O-11",'SKU明细'!$A$11:$A$1309,0)))&lt;3,"另有待核","已核"))</x:f>
        <x:v>待核</x:v>
      </x:c>
      <x:c r="V190" s="37" t="str">
        <x:v>停售、未匹配Listing</x:v>
      </x:c>
      <x:c r="W190" s="11" t="str">
        <x:f>IF(COUNT(INDEX('SKU明细'!$BV$11:$BV$1309,MATCH("2311062-TN-P-O-6",'SKU明细'!$A$11:$A$1309,0)),INDEX('SKU明细'!$BV$11:$BV$1309,MATCH("2311062-TN-P-O-10",'SKU明细'!$A$11:$A$1309,0)),INDEX('SKU明细'!$BV$11:$BV$1309,MATCH("2311062-TN-P-O-11",'SKU明细'!$A$11:$A$1309,0)))=3,SUM(INDEX('SKU明细'!$BV$11:$BV$1309,MATCH("2311062-TN-P-O-6",'SKU明细'!$A$11:$A$1309,0)),INDEX('SKU明细'!$BV$11:$BV$1309,MATCH("2311062-TN-P-O-10",'SKU明细'!$A$11:$A$1309,0)),INDEX('SKU明细'!$BV$11:$BV$1309,MATCH("2311062-TN-P-O-11",'SKU明细'!$A$11:$A$1309,0))),"待核")</x:f>
        <x:v>待核</x:v>
      </x:c>
      <x:c r="X190" s="11" t="n">
        <x:f>INDEX('SKU明细'!$BW$11:$BW$1309,MATCH("2311062-TN-P-O-6",'SKU明细'!$A$11:$A$1309,0))</x:f>
        <x:v>1.4758912429949873</x:v>
      </x:c>
      <x:c r="Y190" s="13" t="str">
        <x:f>IF(COUNT(INDEX('SKU明细'!$BY$11:$BY$1309,MATCH("2311062-TN-P-O-6",'SKU明细'!$A$11:$A$1309,0)),INDEX('SKU明细'!$BY$11:$BY$1309,MATCH("2311062-TN-P-O-10",'SKU明细'!$A$11:$A$1309,0)),INDEX('SKU明细'!$BY$11:$BY$1309,MATCH("2311062-TN-P-O-11",'SKU明细'!$A$11:$A$1309,0)))=3,SUM(INDEX('SKU明细'!$BY$11:$BY$1309,MATCH("2311062-TN-P-O-6",'SKU明细'!$A$11:$A$1309,0)),INDEX('SKU明细'!$BY$11:$BY$1309,MATCH("2311062-TN-P-O-10",'SKU明细'!$A$11:$A$1309,0)),INDEX('SKU明细'!$BY$11:$BY$1309,MATCH("2311062-TN-P-O-11",'SKU明细'!$A$11:$A$1309,0))),"待核")</x:f>
        <x:v>待核</x:v>
      </x:c>
      <x:c r="Z190" s="11" t="n">
        <x:f>INDEX('SKU明细'!$BZ$11:$BZ$1309,MATCH("2311062-TN-P-O-6",'SKU明细'!$A$11:$A$1309,0))</x:f>
        <x:v>0.906602681585801</x:v>
      </x:c>
      <x:c r="AA190" s="13" t="str">
        <x:f>IF(COUNT(INDEX('SKU明细'!$CB$11:$CB$1309,MATCH("2311062-TN-P-O-6",'SKU明细'!$A$11:$A$1309,0)),INDEX('SKU明细'!$CB$11:$CB$1309,MATCH("2311062-TN-P-O-10",'SKU明细'!$A$11:$A$1309,0)),INDEX('SKU明细'!$CB$11:$CB$1309,MATCH("2311062-TN-P-O-11",'SKU明细'!$A$11:$A$1309,0)))=3,SUM(INDEX('SKU明细'!$CB$11:$CB$1309,MATCH("2311062-TN-P-O-6",'SKU明细'!$A$11:$A$1309,0)),INDEX('SKU明细'!$CB$11:$CB$1309,MATCH("2311062-TN-P-O-10",'SKU明细'!$A$11:$A$1309,0)),INDEX('SKU明细'!$CB$11:$CB$1309,MATCH("2311062-TN-P-O-11",'SKU明细'!$A$11:$A$1309,0))),"待核")</x:f>
        <x:v>待核</x:v>
      </x:c>
      <x:c r="AB190" s="11" t="n">
        <x:f>INDEX('SKU明细'!$CC$11:$CC$1309,MATCH("2311062-TN-P-O-6",'SKU明细'!$A$11:$A$1309,0))</x:f>
        <x:v>0.6189770892129804</x:v>
      </x:c>
      <x:c r="AC190" s="13" t="str">
        <x:f>IF(COUNT(INDEX('SKU明细'!$CE$11:$CE$1309,MATCH("2311062-TN-P-O-6",'SKU明细'!$A$11:$A$1309,0)),INDEX('SKU明细'!$CE$11:$CE$1309,MATCH("2311062-TN-P-O-10",'SKU明细'!$A$11:$A$1309,0)),INDEX('SKU明细'!$CE$11:$CE$1309,MATCH("2311062-TN-P-O-11",'SKU明细'!$A$11:$A$1309,0)))=3,SUM(INDEX('SKU明细'!$CE$11:$CE$1309,MATCH("2311062-TN-P-O-6",'SKU明细'!$A$11:$A$1309,0)),INDEX('SKU明细'!$CE$11:$CE$1309,MATCH("2311062-TN-P-O-10",'SKU明细'!$A$11:$A$1309,0)),INDEX('SKU明细'!$CE$11:$CE$1309,MATCH("2311062-TN-P-O-11",'SKU明细'!$A$11:$A$1309,0))),"待核")</x:f>
        <x:v>待核</x:v>
      </x:c>
      <x:c r="AD190" s="11" t="n">
        <x:f>INDEX('SKU明细'!$CF$11:$CF$1309,MATCH("2311062-TN-P-O-6",'SKU明细'!$A$11:$A$1309,0))</x:f>
        <x:v>1.1595882717182624</x:v>
      </x:c>
      <x:c r="AE190" s="13" t="str">
        <x:f>IF(COUNT(INDEX('SKU明细'!$CH$11:$CH$1309,MATCH("2311062-TN-P-O-6",'SKU明细'!$A$11:$A$1309,0)),INDEX('SKU明细'!$CH$11:$CH$1309,MATCH("2311062-TN-P-O-10",'SKU明细'!$A$11:$A$1309,0)),INDEX('SKU明细'!$CH$11:$CH$1309,MATCH("2311062-TN-P-O-11",'SKU明细'!$A$11:$A$1309,0)))=3,SUM(INDEX('SKU明细'!$CH$11:$CH$1309,MATCH("2311062-TN-P-O-6",'SKU明细'!$A$11:$A$1309,0)),INDEX('SKU明细'!$CH$11:$CH$1309,MATCH("2311062-TN-P-O-10",'SKU明细'!$A$11:$A$1309,0)),INDEX('SKU明细'!$CH$11:$CH$1309,MATCH("2311062-TN-P-O-11",'SKU明细'!$A$11:$A$1309,0))),"待核")</x:f>
        <x:v>待核</x:v>
      </x:c>
      <x:c r="AF190" s="13" t="str">
        <x:f>IF(COUNT(INDEX('SKU明细'!$CI$11:$CI$1309,MATCH("2311062-TN-P-O-6",'SKU明细'!$A$11:$A$1309,0)),INDEX('SKU明细'!$CI$11:$CI$1309,MATCH("2311062-TN-P-O-10",'SKU明细'!$A$11:$A$1309,0)),INDEX('SKU明细'!$CI$11:$CI$1309,MATCH("2311062-TN-P-O-11",'SKU明细'!$A$11:$A$1309,0)))=3,SUM(INDEX('SKU明细'!$CI$11:$CI$1309,MATCH("2311062-TN-P-O-6",'SKU明细'!$A$11:$A$1309,0)),INDEX('SKU明细'!$CI$11:$CI$1309,MATCH("2311062-TN-P-O-10",'SKU明细'!$A$11:$A$1309,0)),INDEX('SKU明细'!$CI$11:$CI$1309,MATCH("2311062-TN-P-O-11",'SKU明细'!$A$11:$A$1309,0))),"待核")</x:f>
        <x:v>待核</x:v>
      </x:c>
    </x:row>
    <x:row r="191" ht="40" customHeight="1">
      <x:c r="A191" s="37" t="str">
        <x:v>2311062</x:v>
      </x:c>
      <x:c r="B191" s="37" t="str">
        <x:v>陈晨</x:v>
      </x:c>
      <x:c r="C191" s="37" t="str">
        <x:v>白色 PU</x:v>
      </x:c>
      <x:c r="D191" s="37" t="str">
        <x:v>WT-P</x:v>
      </x:c>
      <x:c r="E191" s="37" t="str">
        <x:v>2311062-WT-P-O</x:v>
      </x:c>
      <x:c r="F191" s="37"/>
      <x:c r="G191" s="38" t="str">
        <x:f>"—"</x:f>
        <x:v>—</x:v>
      </x:c>
      <x:c r="H191" s="38" t="n">
        <x:f>IF(COUNT(INDEX('SKU明细'!$D$11:$D$1309,MATCH("2311062-WT-P-O-6",'SKU明细'!$A$11:$A$1309,0)))=0,"待核",IF(COUNT(INDEX('SKU明细'!$D$11:$D$1309,MATCH("2311062-WT-P-O-6",'SKU明细'!$A$11:$A$1309,0)))&lt;1,SUM(INDEX('SKU明细'!$D$11:$D$1309,MATCH("2311062-WT-P-O-6",'SKU明细'!$A$11:$A$1309,0)))&amp;" + 待核",SUM(INDEX('SKU明细'!$D$11:$D$1309,MATCH("2311062-WT-P-O-6",'SKU明细'!$A$11:$A$1309,0)))))</x:f>
        <x:v>0</x:v>
      </x:c>
      <x:c r="I191" s="38" t="str">
        <x:f>"—"</x:f>
        <x:v>—</x:v>
      </x:c>
      <x:c r="J191" s="38" t="n">
        <x:f>IF(COUNT(INDEX('SKU明细'!$D$11:$D$1309,MATCH("2311062-WT-P-O-7",'SKU明细'!$A$11:$A$1309,0)))=0,"待核",IF(COUNT(INDEX('SKU明细'!$D$11:$D$1309,MATCH("2311062-WT-P-O-7",'SKU明细'!$A$11:$A$1309,0)))&lt;1,SUM(INDEX('SKU明细'!$D$11:$D$1309,MATCH("2311062-WT-P-O-7",'SKU明细'!$A$11:$A$1309,0)))&amp;" + 待核",SUM(INDEX('SKU明细'!$D$11:$D$1309,MATCH("2311062-WT-P-O-7",'SKU明细'!$A$11:$A$1309,0)))))</x:f>
        <x:v>0</x:v>
      </x:c>
      <x:c r="K191" s="38" t="str">
        <x:f>"—"</x:f>
        <x:v>—</x:v>
      </x:c>
      <x:c r="L191" s="38" t="n">
        <x:f>IF(COUNT(INDEX('SKU明细'!$D$11:$D$1309,MATCH("2311062-WT-P-O-8",'SKU明细'!$A$11:$A$1309,0)))=0,"待核",IF(COUNT(INDEX('SKU明细'!$D$11:$D$1309,MATCH("2311062-WT-P-O-8",'SKU明细'!$A$11:$A$1309,0)))&lt;1,SUM(INDEX('SKU明细'!$D$11:$D$1309,MATCH("2311062-WT-P-O-8",'SKU明细'!$A$11:$A$1309,0)))&amp;" + 待核",SUM(INDEX('SKU明细'!$D$11:$D$1309,MATCH("2311062-WT-P-O-8",'SKU明细'!$A$11:$A$1309,0)))))</x:f>
        <x:v>0</x:v>
      </x:c>
      <x:c r="M191" s="38" t="str">
        <x:f>"—"</x:f>
        <x:v>—</x:v>
      </x:c>
      <x:c r="N191" s="38" t="n">
        <x:f>IF(COUNT(INDEX('SKU明细'!$D$11:$D$1309,MATCH("2311062-WT-P-O-9",'SKU明细'!$A$11:$A$1309,0)))=0,"待核",IF(COUNT(INDEX('SKU明细'!$D$11:$D$1309,MATCH("2311062-WT-P-O-9",'SKU明细'!$A$11:$A$1309,0)))&lt;1,SUM(INDEX('SKU明细'!$D$11:$D$1309,MATCH("2311062-WT-P-O-9",'SKU明细'!$A$11:$A$1309,0)))&amp;" + 待核",SUM(INDEX('SKU明细'!$D$11:$D$1309,MATCH("2311062-WT-P-O-9",'SKU明细'!$A$11:$A$1309,0)))))</x:f>
        <x:v>0</x:v>
      </x:c>
      <x:c r="O191" s="38" t="str">
        <x:f>"—"</x:f>
        <x:v>—</x:v>
      </x:c>
      <x:c r="P191" s="38" t="n">
        <x:f>IF(COUNT(INDEX('SKU明细'!$D$11:$D$1309,MATCH("2311062-WT-P-O-10",'SKU明细'!$A$11:$A$1309,0)))=0,"待核",IF(COUNT(INDEX('SKU明细'!$D$11:$D$1309,MATCH("2311062-WT-P-O-10",'SKU明细'!$A$11:$A$1309,0)))&lt;1,SUM(INDEX('SKU明细'!$D$11:$D$1309,MATCH("2311062-WT-P-O-10",'SKU明细'!$A$11:$A$1309,0)))&amp;" + 待核",SUM(INDEX('SKU明细'!$D$11:$D$1309,MATCH("2311062-WT-P-O-10",'SKU明细'!$A$11:$A$1309,0)))))</x:f>
        <x:v>0</x:v>
      </x:c>
      <x:c r="Q191" s="38" t="str">
        <x:f>"—"</x:f>
        <x:v>—</x:v>
      </x:c>
      <x:c r="R191" s="38" t="n">
        <x:f>IF(COUNT(INDEX('SKU明细'!$D$11:$D$1309,MATCH("2311062-WT-P-O-11",'SKU明细'!$A$11:$A$1309,0)))=0,"待核",IF(COUNT(INDEX('SKU明细'!$D$11:$D$1309,MATCH("2311062-WT-P-O-11",'SKU明细'!$A$11:$A$1309,0)))&lt;1,SUM(INDEX('SKU明细'!$D$11:$D$1309,MATCH("2311062-WT-P-O-11",'SKU明细'!$A$11:$A$1309,0)))&amp;" + 待核",SUM(INDEX('SKU明细'!$D$11:$D$1309,MATCH("2311062-WT-P-O-11",'SKU明细'!$A$11:$A$1309,0)))))</x:f>
        <x:v>0</x:v>
      </x:c>
      <x:c r="S191" s="38" t="n">
        <x:f>IF(COUNT(INDEX('SKU明细'!$D$11:$D$1309,MATCH("2311062-WT-P-O-6",'SKU明细'!$A$11:$A$1309,0)),INDEX('SKU明细'!$D$11:$D$1309,MATCH("2311062-WT-P-O-7",'SKU明细'!$A$11:$A$1309,0)),INDEX('SKU明细'!$D$11:$D$1309,MATCH("2311062-WT-P-O-8",'SKU明细'!$A$11:$A$1309,0)),INDEX('SKU明细'!$D$11:$D$1309,MATCH("2311062-WT-P-O-9",'SKU明细'!$A$11:$A$1309,0)),INDEX('SKU明细'!$D$11:$D$1309,MATCH("2311062-WT-P-O-10",'SKU明细'!$A$11:$A$1309,0)),INDEX('SKU明细'!$D$11:$D$1309,MATCH("2311062-WT-P-O-11",'SKU明细'!$A$11:$A$1309,0)))=0,"待核",SUM(INDEX('SKU明细'!$D$11:$D$1309,MATCH("2311062-WT-P-O-6",'SKU明细'!$A$11:$A$1309,0)),INDEX('SKU明细'!$D$11:$D$1309,MATCH("2311062-WT-P-O-7",'SKU明细'!$A$11:$A$1309,0)),INDEX('SKU明细'!$D$11:$D$1309,MATCH("2311062-WT-P-O-8",'SKU明细'!$A$11:$A$1309,0)),INDEX('SKU明细'!$D$11:$D$1309,MATCH("2311062-WT-P-O-9",'SKU明细'!$A$11:$A$1309,0)),INDEX('SKU明细'!$D$11:$D$1309,MATCH("2311062-WT-P-O-10",'SKU明细'!$A$11:$A$1309,0)),INDEX('SKU明细'!$D$11:$D$1309,MATCH("2311062-WT-P-O-11",'SKU明细'!$A$11:$A$1309,0))))</x:f>
        <x:v>0</x:v>
      </x:c>
      <x:c r="T191" s="38" t="n">
        <x:f>IF(COUNTIFS($A$9:$A$191,A191,$U$9:$U$191,"&lt;&gt;待核")=0,"待核",SUMIF($A$9:$A$191,A191,$S$9:$S$191))</x:f>
        <x:v>0</x:v>
      </x:c>
      <x:c r="U191" s="37" t="str">
        <x:f>IF(COUNT(INDEX('SKU明细'!$D$11:$D$1309,MATCH("2311062-WT-P-O-6",'SKU明细'!$A$11:$A$1309,0)),INDEX('SKU明细'!$D$11:$D$1309,MATCH("2311062-WT-P-O-7",'SKU明细'!$A$11:$A$1309,0)),INDEX('SKU明细'!$D$11:$D$1309,MATCH("2311062-WT-P-O-8",'SKU明细'!$A$11:$A$1309,0)),INDEX('SKU明细'!$D$11:$D$1309,MATCH("2311062-WT-P-O-9",'SKU明细'!$A$11:$A$1309,0)),INDEX('SKU明细'!$D$11:$D$1309,MATCH("2311062-WT-P-O-10",'SKU明细'!$A$11:$A$1309,0)),INDEX('SKU明细'!$D$11:$D$1309,MATCH("2311062-WT-P-O-11",'SKU明细'!$A$11:$A$1309,0)))=0,"待核",IF(COUNT(INDEX('SKU明细'!$D$11:$D$1309,MATCH("2311062-WT-P-O-6",'SKU明细'!$A$11:$A$1309,0)),INDEX('SKU明细'!$D$11:$D$1309,MATCH("2311062-WT-P-O-7",'SKU明细'!$A$11:$A$1309,0)),INDEX('SKU明细'!$D$11:$D$1309,MATCH("2311062-WT-P-O-8",'SKU明细'!$A$11:$A$1309,0)),INDEX('SKU明细'!$D$11:$D$1309,MATCH("2311062-WT-P-O-9",'SKU明细'!$A$11:$A$1309,0)),INDEX('SKU明细'!$D$11:$D$1309,MATCH("2311062-WT-P-O-10",'SKU明细'!$A$11:$A$1309,0)),INDEX('SKU明细'!$D$11:$D$1309,MATCH("2311062-WT-P-O-11",'SKU明细'!$A$11:$A$1309,0)))&lt;6,"另有待核","已核"))</x:f>
        <x:v>已核</x:v>
      </x:c>
      <x:c r="V191" s="37" t="str">
        <x:v>在售</x:v>
      </x:c>
      <x:c r="W191" s="11" t="n">
        <x:f>IF(COUNT(INDEX('SKU明细'!$BV$11:$BV$1309,MATCH("2311062-WT-P-O-6",'SKU明细'!$A$11:$A$1309,0)),INDEX('SKU明细'!$BV$11:$BV$1309,MATCH("2311062-WT-P-O-7",'SKU明细'!$A$11:$A$1309,0)),INDEX('SKU明细'!$BV$11:$BV$1309,MATCH("2311062-WT-P-O-8",'SKU明细'!$A$11:$A$1309,0)),INDEX('SKU明细'!$BV$11:$BV$1309,MATCH("2311062-WT-P-O-9",'SKU明细'!$A$11:$A$1309,0)),INDEX('SKU明细'!$BV$11:$BV$1309,MATCH("2311062-WT-P-O-10",'SKU明细'!$A$11:$A$1309,0)),INDEX('SKU明细'!$BV$11:$BV$1309,MATCH("2311062-WT-P-O-11",'SKU明细'!$A$11:$A$1309,0)))=6,SUM(INDEX('SKU明细'!$BV$11:$BV$1309,MATCH("2311062-WT-P-O-6",'SKU明细'!$A$11:$A$1309,0)),INDEX('SKU明细'!$BV$11:$BV$1309,MATCH("2311062-WT-P-O-7",'SKU明细'!$A$11:$A$1309,0)),INDEX('SKU明细'!$BV$11:$BV$1309,MATCH("2311062-WT-P-O-8",'SKU明细'!$A$11:$A$1309,0)),INDEX('SKU明细'!$BV$11:$BV$1309,MATCH("2311062-WT-P-O-9",'SKU明细'!$A$11:$A$1309,0)),INDEX('SKU明细'!$BV$11:$BV$1309,MATCH("2311062-WT-P-O-10",'SKU明细'!$A$11:$A$1309,0)),INDEX('SKU明细'!$BV$11:$BV$1309,MATCH("2311062-WT-P-O-11",'SKU明细'!$A$11:$A$1309,0))),"待核")</x:f>
        <x:v>2.344108035070539</x:v>
      </x:c>
      <x:c r="X191" s="11" t="n">
        <x:f>INDEX('SKU明细'!$BW$11:$BW$1309,MATCH("2311062-WT-P-O-6",'SKU明细'!$A$11:$A$1309,0))</x:f>
        <x:v>1.4758912429949873</x:v>
      </x:c>
      <x:c r="Y191" s="13" t="n">
        <x:f>IF(COUNT(INDEX('SKU明细'!$BY$11:$BY$1309,MATCH("2311062-WT-P-O-6",'SKU明细'!$A$11:$A$1309,0)),INDEX('SKU明细'!$BY$11:$BY$1309,MATCH("2311062-WT-P-O-7",'SKU明细'!$A$11:$A$1309,0)),INDEX('SKU明细'!$BY$11:$BY$1309,MATCH("2311062-WT-P-O-8",'SKU明细'!$A$11:$A$1309,0)),INDEX('SKU明细'!$BY$11:$BY$1309,MATCH("2311062-WT-P-O-9",'SKU明细'!$A$11:$A$1309,0)),INDEX('SKU明细'!$BY$11:$BY$1309,MATCH("2311062-WT-P-O-10",'SKU明细'!$A$11:$A$1309,0)),INDEX('SKU明细'!$BY$11:$BY$1309,MATCH("2311062-WT-P-O-11",'SKU明细'!$A$11:$A$1309,0)))=6,SUM(INDEX('SKU明细'!$BY$11:$BY$1309,MATCH("2311062-WT-P-O-6",'SKU明细'!$A$11:$A$1309,0)),INDEX('SKU明细'!$BY$11:$BY$1309,MATCH("2311062-WT-P-O-7",'SKU明细'!$A$11:$A$1309,0)),INDEX('SKU明细'!$BY$11:$BY$1309,MATCH("2311062-WT-P-O-8",'SKU明细'!$A$11:$A$1309,0)),INDEX('SKU明细'!$BY$11:$BY$1309,MATCH("2311062-WT-P-O-9",'SKU明细'!$A$11:$A$1309,0)),INDEX('SKU明细'!$BY$11:$BY$1309,MATCH("2311062-WT-P-O-10",'SKU明细'!$A$11:$A$1309,0)),INDEX('SKU明细'!$BY$11:$BY$1309,MATCH("2311062-WT-P-O-11",'SKU明细'!$A$11:$A$1309,0))),"待核")</x:f>
        <x:v>41.51578225913754</x:v>
      </x:c>
      <x:c r="Z191" s="11" t="n">
        <x:f>INDEX('SKU明细'!$BZ$11:$BZ$1309,MATCH("2311062-WT-P-O-6",'SKU明细'!$A$11:$A$1309,0))</x:f>
        <x:v>0.906602681585801</x:v>
      </x:c>
      <x:c r="AA191" s="13" t="n">
        <x:f>IF(COUNT(INDEX('SKU明细'!$CB$11:$CB$1309,MATCH("2311062-WT-P-O-6",'SKU明细'!$A$11:$A$1309,0)),INDEX('SKU明细'!$CB$11:$CB$1309,MATCH("2311062-WT-P-O-7",'SKU明细'!$A$11:$A$1309,0)),INDEX('SKU明细'!$CB$11:$CB$1309,MATCH("2311062-WT-P-O-8",'SKU明细'!$A$11:$A$1309,0)),INDEX('SKU明细'!$CB$11:$CB$1309,MATCH("2311062-WT-P-O-9",'SKU明细'!$A$11:$A$1309,0)),INDEX('SKU明细'!$CB$11:$CB$1309,MATCH("2311062-WT-P-O-10",'SKU明细'!$A$11:$A$1309,0)),INDEX('SKU明细'!$CB$11:$CB$1309,MATCH("2311062-WT-P-O-11",'SKU明细'!$A$11:$A$1309,0)))=6,SUM(INDEX('SKU明细'!$CB$11:$CB$1309,MATCH("2311062-WT-P-O-6",'SKU明细'!$A$11:$A$1309,0)),INDEX('SKU明细'!$CB$11:$CB$1309,MATCH("2311062-WT-P-O-7",'SKU明细'!$A$11:$A$1309,0)),INDEX('SKU明细'!$CB$11:$CB$1309,MATCH("2311062-WT-P-O-8",'SKU明细'!$A$11:$A$1309,0)),INDEX('SKU明细'!$CB$11:$CB$1309,MATCH("2311062-WT-P-O-9",'SKU明细'!$A$11:$A$1309,0)),INDEX('SKU明细'!$CB$11:$CB$1309,MATCH("2311062-WT-P-O-10",'SKU明细'!$A$11:$A$1309,0)),INDEX('SKU明细'!$CB$11:$CB$1309,MATCH("2311062-WT-P-O-11",'SKU明细'!$A$11:$A$1309,0))),"待核")</x:f>
        <x:v>63.755238915653216</x:v>
      </x:c>
      <x:c r="AB191" s="11" t="n">
        <x:f>INDEX('SKU明细'!$CC$11:$CC$1309,MATCH("2311062-WT-P-O-6",'SKU明细'!$A$11:$A$1309,0))</x:f>
        <x:v>0.6189770892129804</x:v>
      </x:c>
      <x:c r="AC191" s="13" t="n">
        <x:f>IF(COUNT(INDEX('SKU明细'!$CE$11:$CE$1309,MATCH("2311062-WT-P-O-6",'SKU明细'!$A$11:$A$1309,0)),INDEX('SKU明细'!$CE$11:$CE$1309,MATCH("2311062-WT-P-O-7",'SKU明细'!$A$11:$A$1309,0)),INDEX('SKU明细'!$CE$11:$CE$1309,MATCH("2311062-WT-P-O-8",'SKU明细'!$A$11:$A$1309,0)),INDEX('SKU明细'!$CE$11:$CE$1309,MATCH("2311062-WT-P-O-9",'SKU明细'!$A$11:$A$1309,0)),INDEX('SKU明细'!$CE$11:$CE$1309,MATCH("2311062-WT-P-O-10",'SKU明细'!$A$11:$A$1309,0)),INDEX('SKU明细'!$CE$11:$CE$1309,MATCH("2311062-WT-P-O-11",'SKU明细'!$A$11:$A$1309,0)))=6,SUM(INDEX('SKU明细'!$CE$11:$CE$1309,MATCH("2311062-WT-P-O-6",'SKU明细'!$A$11:$A$1309,0)),INDEX('SKU明细'!$CE$11:$CE$1309,MATCH("2311062-WT-P-O-7",'SKU明细'!$A$11:$A$1309,0)),INDEX('SKU明细'!$CE$11:$CE$1309,MATCH("2311062-WT-P-O-8",'SKU明细'!$A$11:$A$1309,0)),INDEX('SKU明细'!$CE$11:$CE$1309,MATCH("2311062-WT-P-O-9",'SKU明细'!$A$11:$A$1309,0)),INDEX('SKU明细'!$CE$11:$CE$1309,MATCH("2311062-WT-P-O-10",'SKU明细'!$A$11:$A$1309,0)),INDEX('SKU明细'!$CE$11:$CE$1309,MATCH("2311062-WT-P-O-11",'SKU明细'!$A$11:$A$1309,0))),"待核")</x:f>
        <x:v>44.979424218810365</x:v>
      </x:c>
      <x:c r="AD191" s="11" t="n">
        <x:f>INDEX('SKU明细'!$CF$11:$CF$1309,MATCH("2311062-WT-P-O-6",'SKU明细'!$A$11:$A$1309,0))</x:f>
        <x:v>1.1595882717182624</x:v>
      </x:c>
      <x:c r="AE191" s="13" t="n">
        <x:f>IF(COUNT(INDEX('SKU明细'!$CH$11:$CH$1309,MATCH("2311062-WT-P-O-6",'SKU明细'!$A$11:$A$1309,0)),INDEX('SKU明细'!$CH$11:$CH$1309,MATCH("2311062-WT-P-O-7",'SKU明细'!$A$11:$A$1309,0)),INDEX('SKU明细'!$CH$11:$CH$1309,MATCH("2311062-WT-P-O-8",'SKU明细'!$A$11:$A$1309,0)),INDEX('SKU明细'!$CH$11:$CH$1309,MATCH("2311062-WT-P-O-9",'SKU明细'!$A$11:$A$1309,0)),INDEX('SKU明细'!$CH$11:$CH$1309,MATCH("2311062-WT-P-O-10",'SKU明细'!$A$11:$A$1309,0)),INDEX('SKU明细'!$CH$11:$CH$1309,MATCH("2311062-WT-P-O-11",'SKU明细'!$A$11:$A$1309,0)))=6,SUM(INDEX('SKU明细'!$CH$11:$CH$1309,MATCH("2311062-WT-P-O-6",'SKU明细'!$A$11:$A$1309,0)),INDEX('SKU明细'!$CH$11:$CH$1309,MATCH("2311062-WT-P-O-7",'SKU明细'!$A$11:$A$1309,0)),INDEX('SKU明细'!$CH$11:$CH$1309,MATCH("2311062-WT-P-O-8",'SKU明细'!$A$11:$A$1309,0)),INDEX('SKU明细'!$CH$11:$CH$1309,MATCH("2311062-WT-P-O-9",'SKU明细'!$A$11:$A$1309,0)),INDEX('SKU明细'!$CH$11:$CH$1309,MATCH("2311062-WT-P-O-10",'SKU明细'!$A$11:$A$1309,0)),INDEX('SKU明细'!$CH$11:$CH$1309,MATCH("2311062-WT-P-O-11",'SKU明细'!$A$11:$A$1309,0))),"待核")</x:f>
        <x:v>46.20940314684175</x:v>
      </x:c>
      <x:c r="AF191" s="13" t="n">
        <x:f>IF(COUNT(INDEX('SKU明细'!$CI$11:$CI$1309,MATCH("2311062-WT-P-O-6",'SKU明细'!$A$11:$A$1309,0)),INDEX('SKU明细'!$CI$11:$CI$1309,MATCH("2311062-WT-P-O-7",'SKU明细'!$A$11:$A$1309,0)),INDEX('SKU明细'!$CI$11:$CI$1309,MATCH("2311062-WT-P-O-8",'SKU明细'!$A$11:$A$1309,0)),INDEX('SKU明细'!$CI$11:$CI$1309,MATCH("2311062-WT-P-O-9",'SKU明细'!$A$11:$A$1309,0)),INDEX('SKU明细'!$CI$11:$CI$1309,MATCH("2311062-WT-P-O-10",'SKU明细'!$A$11:$A$1309,0)),INDEX('SKU明细'!$CI$11:$CI$1309,MATCH("2311062-WT-P-O-11",'SKU明细'!$A$11:$A$1309,0)))=6,SUM(INDEX('SKU明细'!$CI$11:$CI$1309,MATCH("2311062-WT-P-O-6",'SKU明细'!$A$11:$A$1309,0)),INDEX('SKU明细'!$CI$11:$CI$1309,MATCH("2311062-WT-P-O-7",'SKU明细'!$A$11:$A$1309,0)),INDEX('SKU明细'!$CI$11:$CI$1309,MATCH("2311062-WT-P-O-8",'SKU明细'!$A$11:$A$1309,0)),INDEX('SKU明细'!$CI$11:$CI$1309,MATCH("2311062-WT-P-O-9",'SKU明细'!$A$11:$A$1309,0)),INDEX('SKU明细'!$CI$11:$CI$1309,MATCH("2311062-WT-P-O-10",'SKU明细'!$A$11:$A$1309,0)),INDEX('SKU明细'!$CI$11:$CI$1309,MATCH("2311062-WT-P-O-11",'SKU明细'!$A$11:$A$1309,0))),"待核")</x:f>
        <x:v>196.45984854044286</x:v>
      </x:c>
    </x:row>
  </x:sheetData>
  <x:conditionalFormatting sqref="U9:U191">
    <x:cfRule type="expression" dxfId="0" priority="1">
      <x:formula>U9&lt;&gt;"已核"</x:formula>
    </x:cfRule>
  </x:conditionalFormatting>
  <x:pageMargins left="0.7" right="0.7" top="0.75" bottom="0.75" header="0.3" footer="0.3"/>
  <x:drawing xmlns:r="http://schemas.openxmlformats.org/officeDocument/2006/relationships" r:id="R3fea86494a4f4957"/>
  <x:tableParts count="1">
    <x:tablePart xmlns:r="http://schemas.openxmlformats.org/officeDocument/2006/relationships" r:id="R0aa7c01983a74a62"/>
  </x:tableParts>
</x:worksheet>
</file>

<file path=xl/worksheets/sheet2.xml><?xml version="1.0" encoding="utf-8"?>
<worksheet xmlns="http://schemas.openxmlformats.org/spreadsheetml/2006/main" xmlns:ns1="http://schemas.openxmlformats.org/officeDocument/2006/relationships">
  <sheetPr>
    <outlinePr summaryRight="1" showOutlineSymbols="1"/>
  </sheetPr>
  <sheetViews>
    <sheetView showGridLines="0" workbookViewId="0">
      <pane xSplit="1" ySplit="10" topLeftCell="B11" activePane="bottomRight" state="frozen"/>
    </sheetView>
  </sheetViews>
  <sheetFormatPr defaultRowHeight="15" outlineLevelCol="1"/>
  <cols>
    <col min="1" max="1" width="29" hidden="0" customWidth="1"/>
    <col min="2" max="2" width="23" hidden="0" customWidth="1"/>
    <col min="3" max="3" width="12" hidden="0" customWidth="1"/>
    <col min="4" max="4" width="20" hidden="0" customWidth="1"/>
    <col min="5" max="5" width="15" hidden="0" customWidth="1"/>
    <col min="6" max="6" width="16" hidden="0" customWidth="1"/>
    <col min="7" max="7" width="16" hidden="0" customWidth="1"/>
    <col min="8" max="8" width="27" hidden="0" customWidth="1"/>
    <col min="9" max="9" width="14" hidden="1" customWidth="1" outlineLevel="1"/>
    <col min="10" max="10" width="14" hidden="1" customWidth="1" outlineLevel="1"/>
    <col min="11" max="11" width="14" hidden="1" customWidth="1" outlineLevel="1"/>
    <col min="12" max="12" width="16" hidden="1" customWidth="1" outlineLevel="1"/>
    <col min="13" max="13" width="18" hidden="1" customWidth="1" outlineLevel="1"/>
    <col min="14" max="14" width="16" hidden="1" customWidth="1" outlineLevel="1"/>
    <col min="15" max="15" width="18" hidden="1" customWidth="1" outlineLevel="1"/>
    <col min="16" max="16" width="18" hidden="1" customWidth="1" outlineLevel="1"/>
    <col min="17" max="17" width="45" hidden="1" customWidth="1" outlineLevel="1"/>
    <col min="18" max="18" width="22" hidden="1" customWidth="1" outlineLevel="1"/>
    <col min="19" max="19" width="22" hidden="1" customWidth="1" outlineLevel="1"/>
    <col min="41" max="41" width="48" hidden="1" customWidth="1" outlineLevel="1"/>
    <col min="42" max="42" width="21" hidden="1" customWidth="1" outlineLevel="1"/>
    <col min="43" max="43" width="21" hidden="1" customWidth="1" outlineLevel="1"/>
    <col min="44" max="44" width="21" hidden="1" customWidth="1" outlineLevel="1"/>
    <col min="45" max="45" width="21" hidden="1" customWidth="1" outlineLevel="1"/>
    <col min="46" max="46" width="21" hidden="1" customWidth="1" outlineLevel="1"/>
    <col min="47" max="47" width="21" hidden="1" customWidth="1" outlineLevel="1"/>
    <col min="48" max="48" width="21" hidden="1" customWidth="1" outlineLevel="1"/>
    <col min="49" max="49" width="21" hidden="1" customWidth="1" outlineLevel="1"/>
    <col min="50" max="50" width="21" hidden="1" customWidth="1" outlineLevel="1"/>
    <col min="51" max="51" width="21" hidden="1" customWidth="1" outlineLevel="1"/>
    <col min="52" max="52" width="21" hidden="1" customWidth="1" outlineLevel="1"/>
    <col min="53" max="53" width="21" hidden="1" customWidth="1" outlineLevel="1"/>
    <col min="54" max="54" width="21" hidden="1" customWidth="1" outlineLevel="1"/>
    <col min="55" max="55" width="21" hidden="1" customWidth="1" outlineLevel="1"/>
    <col min="56" max="56" width="21" hidden="1" customWidth="1" outlineLevel="1"/>
    <col min="57" max="57" width="21" hidden="1" customWidth="1" outlineLevel="1"/>
    <col min="58" max="58" width="21" hidden="1" customWidth="1" outlineLevel="1"/>
    <col min="59" max="59" width="21" hidden="1" customWidth="1" outlineLevel="1"/>
    <col min="60" max="60" width="21" hidden="1" customWidth="1" outlineLevel="1"/>
    <col min="61" max="61" width="21" hidden="1" customWidth="1" outlineLevel="1"/>
    <col min="62" max="62" width="48" hidden="1" customWidth="1" outlineLevel="1"/>
    <col min="63" max="63" width="48" hidden="1" customWidth="1" outlineLevel="1"/>
    <col min="64" max="64" width="48" hidden="1" customWidth="1" outlineLevel="1"/>
    <col min="65" max="65" width="48" hidden="1" customWidth="1" outlineLevel="1"/>
    <col min="66" max="66" width="21" hidden="1" customWidth="1" outlineLevel="1"/>
    <col min="67" max="67" width="21" hidden="1" customWidth="1" outlineLevel="1"/>
    <col min="68" max="68" width="21" hidden="1" customWidth="1" outlineLevel="1"/>
    <col min="69" max="69" width="21" hidden="1" customWidth="1" outlineLevel="1"/>
    <col min="70" max="70" width="21" hidden="1" customWidth="1" outlineLevel="1"/>
    <col min="71" max="71" width="21" hidden="1" customWidth="1" outlineLevel="1"/>
    <col min="72" max="72" width="21" hidden="1" customWidth="1" outlineLevel="1"/>
    <col min="73" max="73" width="21" hidden="1" customWidth="1" outlineLevel="1"/>
    <col min="74" max="74" width="19" hidden="0" customWidth="1" collapsed="1"/>
    <col min="75" max="75" width="19" hidden="0" customWidth="1"/>
    <col min="76" max="76" width="19" hidden="0" customWidth="1"/>
    <col min="77" max="77" width="19" hidden="0" customWidth="1"/>
    <col min="78" max="78" width="19" hidden="0" customWidth="1"/>
    <col min="79" max="79" width="19" hidden="0" customWidth="1"/>
    <col min="80" max="80" width="19" hidden="0" customWidth="1"/>
    <col min="81" max="81" width="19" hidden="0" customWidth="1"/>
    <col min="82" max="82" width="19" hidden="0" customWidth="1"/>
    <col min="83" max="83" width="19" hidden="0" customWidth="1"/>
    <col min="84" max="84" width="19" hidden="0" customWidth="1"/>
    <col min="85" max="85" width="19" hidden="0" customWidth="1"/>
    <col min="86" max="86" width="19" hidden="0" customWidth="1"/>
    <col min="87" max="87" width="19" hidden="0" customWidth="1"/>
    <col min="20" max="20" width="18" hidden="1" customWidth="1" outlineLevel="1"/>
    <col min="21" max="21" width="18" hidden="1" customWidth="1" outlineLevel="1"/>
    <col min="22" max="22" width="18" hidden="1" customWidth="1" outlineLevel="1"/>
    <col min="23" max="23" width="30" hidden="1" customWidth="1" outlineLevel="1"/>
    <col min="24" max="24" width="64" hidden="1" customWidth="1" outlineLevel="1"/>
    <col min="25" max="25" width="45" hidden="1" customWidth="1" outlineLevel="1"/>
    <col min="26" max="26" width="20" hidden="1" customWidth="1" outlineLevel="1"/>
    <col min="27" max="27" width="20" hidden="1" customWidth="1" outlineLevel="1"/>
    <col min="28" max="28" width="20" hidden="1" customWidth="1" outlineLevel="1"/>
    <col min="29" max="29" width="30" hidden="1" customWidth="1" outlineLevel="1"/>
    <col min="30" max="30" width="64" hidden="1" customWidth="1" outlineLevel="1"/>
    <col min="31" max="31" width="45" hidden="1" customWidth="1" outlineLevel="1"/>
    <col min="32" max="32" width="20" hidden="1" customWidth="1" outlineLevel="1"/>
    <col min="33" max="33" width="20" hidden="1" customWidth="1" outlineLevel="1"/>
    <col min="34" max="34" width="20" hidden="1" customWidth="1" outlineLevel="1"/>
    <col min="35" max="35" width="30" hidden="1" customWidth="1" outlineLevel="1"/>
    <col min="36" max="36" width="64" hidden="1" customWidth="1" outlineLevel="1"/>
    <col min="37" max="37" width="45" hidden="1" customWidth="1" outlineLevel="1"/>
    <col min="38" max="38" width="20" hidden="1" customWidth="1" outlineLevel="1"/>
    <col min="39" max="39" width="20" hidden="1" customWidth="1" outlineLevel="1"/>
    <col min="40" max="40" width="20" hidden="1" customWidth="1" outlineLevel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4" customHeight="1">
      <c r="A2" s="3" t="str">
        <v>杉迪 · 本批出货计划</v>
      </c>
      <c r="B2" s="2"/>
      <c r="C2" s="2"/>
      <c r="D2" s="2"/>
      <c r="E2" s="2"/>
      <c r="F2" s="2"/>
      <c r="G2" s="2"/>
      <c r="H2" s="2"/>
      <c r="I2" s="2"/>
      <c r="J2" s="2" t="str">
        <v>销量截至2026-10-17（美国站点）；库存获取2026-10-19T11:04:15+08:00</v>
      </c>
      <c r="K2" s="2"/>
      <c r="L2" s="2"/>
      <c r="M2" s="2"/>
      <c r="N2" s="2"/>
      <c r="O2" s="2"/>
      <c r="P2" s="2"/>
      <c r="Q2" s="2"/>
      <c r="R2" s="2"/>
      <c r="S2" s="2"/>
    </row>
    <row r="3" ht="24" customHeight="1">
      <c r="A3" s="2"/>
      <c r="B3" s="2"/>
      <c r="C3" s="2"/>
      <c r="D3" s="2"/>
      <c r="E3" s="2"/>
      <c r="F3" s="2"/>
      <c r="G3" s="2"/>
      <c r="H3" s="2"/>
      <c r="I3" s="2"/>
      <c r="J3" s="2" t="str">
        <v>国内库存：2026-10-19；来源：领星仓库库存：环新路仓库、默认仓库，按完整SKU汇总可用量。</v>
      </c>
      <c r="K3" s="2"/>
      <c r="L3" s="2"/>
      <c r="M3" s="2"/>
      <c r="N3" s="2"/>
      <c r="O3" s="2"/>
      <c r="P3" s="2"/>
      <c r="Q3" s="2"/>
      <c r="R3" s="2"/>
      <c r="S3" s="2"/>
    </row>
    <row r="4" ht="24" customHeight="1">
      <c r="A4" s="2" t="str">
        <v>本批建议发货 / 双</v>
      </c>
      <c r="B4" s="2"/>
      <c r="C4" s="2"/>
      <c r="D4" s="2" t="str">
        <v>本批发货SKU数</v>
      </c>
      <c r="E4" s="2"/>
      <c r="F4" s="2"/>
      <c r="G4" s="2" t="str">
        <v>国内库存待补</v>
      </c>
      <c r="H4" s="2"/>
      <c r="I4" s="2"/>
      <c r="J4" s="2" t="str">
        <v>剔除10月6、7日大促及有记录的停售日；按SKU向前补足7／14／30个有效日。</v>
      </c>
      <c r="K4" s="2"/>
      <c r="L4" s="2"/>
      <c r="M4" s="2"/>
      <c r="N4" s="2"/>
      <c r="O4" s="2"/>
      <c r="P4" s="2"/>
      <c r="Q4" s="2"/>
      <c r="R4" s="2"/>
      <c r="S4" s="2"/>
    </row>
    <row r="5" ht="24" customHeight="1">
      <c r="A5" s="5" t="n">
        <f>SUM(D11:D1309)</f>
        <v>5707</v>
      </c>
      <c r="B5" s="2"/>
      <c r="C5" s="2"/>
      <c r="D5" s="5" t="n">
        <f>COUNTIF(D11:D1309,"&gt;0")</f>
        <v>210</v>
      </c>
      <c r="E5" s="2"/>
      <c r="F5" s="2"/>
      <c r="G5" s="5" t="n">
        <f>COUNTIF(H11:H1309,"国内库存待补")</f>
        <v>24</v>
      </c>
      <c r="H5" s="2"/>
      <c r="I5" s="2"/>
      <c r="J5" s="2" t="str">
        <v>近7/14/30天季节还原后按5:3:2加权；90/180天尺码占比按70%/30%分配。</v>
      </c>
      <c r="K5" s="2"/>
      <c r="L5" s="2"/>
      <c r="M5" s="2"/>
      <c r="N5" s="2"/>
      <c r="O5" s="2"/>
      <c r="P5" s="2"/>
      <c r="Q5" s="2"/>
      <c r="R5" s="2"/>
      <c r="S5" s="2"/>
    </row>
    <row r="6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24" customHeight="1">
      <c r="A7" s="2" t="str">
        <v>口径：预测未来90天款色需求，分配至SKU后扣海外库存；建议发货以国内净可用量封顶。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24" customHeight="1">
      <c r="A8" s="2" t="str">
        <v>本批已确认无领星外已安排出货量，不另扣减。空白数量为待补，0表示本批不发；全量导出，统计和来源口径见第3张表。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24" customHeight="1">
      <c r="A9" s="2" t="str">
        <v>按月预测见BV–CI列；I–BU列为计算依据，默认折叠，点击上方“+”展开。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ht="44" customHeight="1">
      <c r="A10" s="19" t="str">
        <v>SKU</v>
      </c>
      <c r="B10" s="19" t="str">
        <v>店铺</v>
      </c>
      <c r="C10" s="19" t="str">
        <v>运营</v>
      </c>
      <c r="D10" s="19" t="str">
        <v>本批建议发货/双</v>
      </c>
      <c r="E10" s="19" t="str">
        <v>实际需补/双</v>
      </c>
      <c r="F10" s="19" t="str">
        <v>国内可用/双</v>
      </c>
      <c r="G10" s="19" t="str">
        <v>未满足/双</v>
      </c>
      <c r="H10" s="19" t="str">
        <v>安排</v>
      </c>
      <c r="I10" s="19" t="str">
        <v>有效7天销量</v>
      </c>
      <c r="J10" s="19" t="str">
        <v>有效14天销量</v>
      </c>
      <c r="K10" s="19" t="str">
        <v>有效30天销量</v>
      </c>
      <c r="L10" s="19" t="str">
        <v>未来90天日均需求</v>
      </c>
      <c r="M10" s="19" t="str">
        <v>FBA可用库存</v>
      </c>
      <c r="N10" s="19" t="str">
        <v>FBA入库中</v>
      </c>
      <c r="O10" s="19" t="str">
        <v>FBA实际在途</v>
      </c>
      <c r="P10" s="19" t="str">
        <v>海外覆盖/天</v>
      </c>
      <c r="Q10" s="19" t="str">
        <v>匹配说明</v>
      </c>
      <c r="R10" s="19" t="str">
        <v>国内数据状态</v>
      </c>
      <c r="S10" s="19" t="str">
        <v>Listing销售状态</v>
      </c>
      <c r="T10" s="19" t="str">
        <v>SPU</v>
      </c>
      <c r="U10" s="19" t="str">
        <v>颜色</v>
      </c>
      <c r="V10" s="19" t="str">
        <v>尺寸</v>
      </c>
      <c r="W10" s="10" t="str">
        <v>7有效日：日期范围</v>
      </c>
      <c r="X10" s="10" t="str">
        <v>7有效日：实际日期</v>
      </c>
      <c r="Y10" s="10" t="str">
        <v>7有效日：排除日期及原因</v>
      </c>
      <c r="Z10" s="10" t="str">
        <v>7有效日：原始区间销量</v>
      </c>
      <c r="AA10" s="10" t="str">
        <v>7有效日：剔除销量</v>
      </c>
      <c r="AB10" s="10" t="str">
        <v>7有效日：有效天数</v>
      </c>
      <c r="AC10" s="10" t="str">
        <v>14有效日：日期范围</v>
      </c>
      <c r="AD10" s="10" t="str">
        <v>14有效日：实际日期</v>
      </c>
      <c r="AE10" s="10" t="str">
        <v>14有效日：排除日期及原因</v>
      </c>
      <c r="AF10" s="10" t="str">
        <v>14有效日：原始区间销量</v>
      </c>
      <c r="AG10" s="10" t="str">
        <v>14有效日：剔除销量</v>
      </c>
      <c r="AH10" s="10" t="str">
        <v>14有效日：有效天数</v>
      </c>
      <c r="AI10" s="10" t="str">
        <v>30有效日：日期范围</v>
      </c>
      <c r="AJ10" s="10" t="str">
        <v>30有效日：实际日期</v>
      </c>
      <c r="AK10" s="10" t="str">
        <v>30有效日：排除日期及原因</v>
      </c>
      <c r="AL10" s="10" t="str">
        <v>30有效日：原始区间销量</v>
      </c>
      <c r="AM10" s="10" t="str">
        <v>30有效日：剔除销量</v>
      </c>
      <c r="AN10" s="10" t="str">
        <v>30有效日：有效天数</v>
      </c>
      <c r="AO10" s="10" t="str">
        <v>店铺 / SPU / 款色材质分组</v>
      </c>
      <c r="AP10" s="10" t="str">
        <v>7有效日平均季节系数</v>
      </c>
      <c r="AQ10" s="10" t="str">
        <v>14有效日平均季节系数</v>
      </c>
      <c r="AR10" s="10" t="str">
        <v>30有效日平均季节系数</v>
      </c>
      <c r="AS10" s="10" t="str">
        <v>SKU季节还原日销</v>
      </c>
      <c r="AT10" s="10" t="str">
        <v>90自然日原始销量</v>
      </c>
      <c r="AU10" s="10" t="str">
        <v>90自然日剔除销量</v>
      </c>
      <c r="AV10" s="10" t="str">
        <v>90自然日有效天数</v>
      </c>
      <c r="AW10" s="10" t="str">
        <v>90天有效日均</v>
      </c>
      <c r="AX10" s="10" t="str">
        <v>180自然日原始销量</v>
      </c>
      <c r="AY10" s="10" t="str">
        <v>180自然日剔除销量</v>
      </c>
      <c r="AZ10" s="10" t="str">
        <v>180自然日有效天数</v>
      </c>
      <c r="BA10" s="10" t="str">
        <v>180天有效日均</v>
      </c>
      <c r="BB10" s="10" t="str">
        <v>本SKU预测输入完整</v>
      </c>
      <c r="BC10" s="10" t="str">
        <v>款色基准日销</v>
      </c>
      <c r="BD10" s="10" t="str">
        <v>款色90天日均合计</v>
      </c>
      <c r="BE10" s="10" t="str">
        <v>款色180天日均合计</v>
      </c>
      <c r="BF10" s="10" t="str">
        <v>尺码分配占比</v>
      </c>
      <c r="BG10" s="10" t="str">
        <v>未来季节加权天数</v>
      </c>
      <c r="BH10" s="10" t="str">
        <v>款色未来90天需求</v>
      </c>
      <c r="BI10" s="10" t="str">
        <v>SKU未来90天需求</v>
      </c>
      <c r="BJ10" s="10" t="str">
        <v>待核及低销提醒</v>
      </c>
      <c r="BK10" s="10" t="str">
        <v>90/180自然日范围</v>
      </c>
      <c r="BL10" s="10" t="str">
        <v>90/180排除日</v>
      </c>
      <c r="BM10" s="10" t="str">
        <v>预测月份天数与系数</v>
      </c>
      <c r="BN10" s="10" t="str">
        <v>2026-10季节系数</v>
      </c>
      <c r="BO10" s="10" t="str">
        <v>2026-11季节系数</v>
      </c>
      <c r="BP10" s="10" t="str">
        <v>2026-12季节系数</v>
      </c>
      <c r="BQ10" s="10" t="str">
        <v>2027-01季节系数</v>
      </c>
      <c r="BR10" s="10" t="str">
        <v>2026-10预测天数</v>
      </c>
      <c r="BS10" s="10" t="str">
        <v>2026-11预测天数</v>
      </c>
      <c r="BT10" s="10" t="str">
        <v>2026-12预测天数</v>
      </c>
      <c r="BU10" s="10" t="str">
        <v>2027-01预测天数</v>
      </c>
      <c r="BV10" s="10" t="str">
        <v>本SKU基础日销</v>
      </c>
      <c r="BW10" s="10" t="str">
        <v>2026-10月度系数</v>
      </c>
      <c r="BX10" s="10" t="str">
        <v>2026-10覆盖天数</v>
      </c>
      <c r="BY10" s="10" t="str">
        <v>2026-10预测/双</v>
      </c>
      <c r="BZ10" s="10" t="str">
        <v>2026-11月度系数</v>
      </c>
      <c r="CA10" s="10" t="str">
        <v>2026-11覆盖天数</v>
      </c>
      <c r="CB10" s="10" t="str">
        <v>2026-11预测/双</v>
      </c>
      <c r="CC10" s="10" t="str">
        <v>2026-12月度系数</v>
      </c>
      <c r="CD10" s="10" t="str">
        <v>2026-12覆盖天数</v>
      </c>
      <c r="CE10" s="10" t="str">
        <v>2026-12预测/双</v>
      </c>
      <c r="CF10" s="10" t="str">
        <v>2027-01月度系数</v>
      </c>
      <c r="CG10" s="10" t="str">
        <v>2027-01覆盖天数</v>
      </c>
      <c r="CH10" s="10" t="str">
        <v>2027-01预测/双</v>
      </c>
      <c r="CI10" s="10" t="str">
        <v>本期预测总需求/双</v>
      </c>
    </row>
    <row r="11" ht="72" customHeight="1">
      <c r="A11" s="16" t="str">
        <v>S02-BK-39</v>
      </c>
      <c r="B11" s="16" t="str">
        <v>3店-SANDIEX-US</v>
      </c>
      <c r="C11" s="16" t="str">
        <v>陈晨</v>
      </c>
      <c r="D11" s="26" t="n">
        <f>IF(NOT(ISNUMBER(E11)),"",IF(OR(E11&lt;=0,L11=0),0,IF(OR(NOT(ISNUMBER(F11)),F11&lt;0),"",MIN(E11,INT(F11)))))</f>
        <v>537</v>
      </c>
      <c r="E11" s="27" t="n">
        <f>IF(OR(NOT(ISNUMBER(L11)),COUNT(M11:O11)&lt;&gt;3,MIN(M11:O11)&lt;0),"",ROUNDUP(ROUND(BI11-SUM(M11:O11),10),0))</f>
        <v>537</v>
      </c>
      <c r="F11" s="28" t="n">
        <v>833</v>
      </c>
      <c r="G11" s="28" t="n">
        <f>IF(AND(ISNUMBER(D11),ISNUMBER(E11)),IF(OR(E11&lt;=0,L11=0),0,E11-D11),"")</f>
        <v>0</v>
      </c>
      <c r="H11" s="16" t="str">
        <f>IF(NOT(ISNUMBER(E11)),"销量或海外库存待补",IF(OR(E11&lt;=0,L11=0),IF(L11=0,"零日销，本批不发","本批无需补货"),IF(NOT(ISNUMBER(D11)),"国内库存待补",IF(D11=0,"国内无可用库存",IF(G11&gt;0,"先发国内现货","按建议量发货")))))</f>
        <v>按建议量发货</v>
      </c>
      <c r="I11" s="28" t="n">
        <f>IF(AND(COUNT(Z11,AA11,AB11)=3,Z11&gt;=AA11,AA11&gt;=0,AB11=7),Z11-AA11,"")</f>
        <v>47</v>
      </c>
      <c r="J11" s="28" t="n">
        <f>IF(AND(COUNT(AF11,AG11,AH11)=3,AF11&gt;=AG11,AG11&gt;=0,AH11=14),AF11-AG11,"")</f>
        <v>133</v>
      </c>
      <c r="K11" s="28" t="n">
        <f>IF(AND(COUNT(AL11,AM11,AN11)=3,AL11&gt;=AM11,AM11&gt;=0,AN11=30),AL11-AM11,"")</f>
        <v>290</v>
      </c>
      <c r="L11" s="29" t="n">
        <f>IF(ISNUMBER(BI11),BI11/90,"")</f>
        <v>8.493839403397166</v>
      </c>
      <c r="M11" s="28" t="n">
        <v>125</v>
      </c>
      <c r="N11" s="28" t="n">
        <v>0</v>
      </c>
      <c r="O11" s="28" t="n">
        <v>103</v>
      </c>
      <c r="P11" s="30" t="n">
        <f>IF(AND(ISNUMBER(L11),L11&gt;0,COUNT(M11:O11)=3,MIN(M11:O11)&gt;=0),SUM(M11:O11)/L11,"")</f>
        <v>26.842984564649285</v>
      </c>
      <c r="Q11" s="16" t="str">
        <v>沿用原计划SKU店铺</v>
      </c>
      <c r="R11" s="16" t="str">
        <v>已匹配</v>
      </c>
      <c r="S11" s="16" t="str">
        <v>在售</v>
      </c>
      <c r="T11" s="16" t="str">
        <v>S02</v>
      </c>
      <c r="U11" s="16" t="str">
        <v>黑色</v>
      </c>
      <c r="V11" s="16" t="n">
        <v>8</v>
      </c>
      <c r="W11" s="8" t="str">
        <v>2026-10-11 至 2026-10-17</v>
      </c>
      <c r="X11" s="8" t="str">
        <v>2026-10-11、2026-10-12、2026-10-13、2026-10-14、2026-10-15、2026-10-16、2026-10-17</v>
      </c>
      <c r="Y11" s="8" t="str">
        <v>无</v>
      </c>
      <c r="Z11" s="8" t="n">
        <v>47</v>
      </c>
      <c r="AA11" s="8" t="n">
        <v>0</v>
      </c>
      <c r="AB11" s="8" t="n">
        <v>7</v>
      </c>
      <c r="AC11" s="8" t="str">
        <v>2026-10-02 至 2026-10-17</v>
      </c>
      <c r="AD11" s="8" t="str">
        <v>2026-10-02、2026-10-03、2026-10-04、2026-10-05、2026-10-08、2026-10-09、2026-10-10、2026-10-11、2026-10-12、2026-10-13、2026-10-14、2026-10-15、2026-10-16、2026-10-17</v>
      </c>
      <c r="AE11" s="8" t="str">
        <v>2026-10-06 大促；2026-10-07 大促</v>
      </c>
      <c r="AF11" s="8" t="n">
        <v>186</v>
      </c>
      <c r="AG11" s="8" t="n">
        <v>53</v>
      </c>
      <c r="AH11" s="8" t="n">
        <v>14</v>
      </c>
      <c r="AI11" s="8" t="str">
        <v>2026-09-16 至 2026-10-17</v>
      </c>
      <c r="AJ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" s="8" t="str">
        <v>2026-10-06 大促；2026-10-07 大促</v>
      </c>
      <c r="AL11" s="8" t="n">
        <v>343</v>
      </c>
      <c r="AM11" s="8" t="n">
        <v>53</v>
      </c>
      <c r="AN11" s="8" t="n">
        <v>30</v>
      </c>
      <c r="AO11" s="8" t="str">
        <v>S02 / 黑色 / 6574</v>
      </c>
      <c r="AP11" s="11" t="n">
        <v>0.9634503791704667</v>
      </c>
      <c r="AQ11" s="11" t="n">
        <v>0.9634503791704667</v>
      </c>
      <c r="AR11" s="11" t="n">
        <v>0.902244307144596</v>
      </c>
      <c r="AS11" s="11" t="n">
        <f>IF(AND(COUNT(I11:K11,AP11:AR11)=6,MIN(AP11:AR11)&gt;0),I11/7/AP11*0.5+J11/14/AQ11*0.3+K11/30/AR11*0.2,"")</f>
        <v>8.585422796576896</v>
      </c>
      <c r="AT11" s="8" t="n">
        <v>543</v>
      </c>
      <c r="AU11" s="8" t="n">
        <v>53</v>
      </c>
      <c r="AV11" s="8" t="n">
        <v>88</v>
      </c>
      <c r="AW11" s="11" t="n">
        <f>IF(AND(COUNT(AT11:AV11)=3,AT11&gt;=AU11,AU11&gt;=0,AV11&gt;0),(AT11-AU11)/AV11,"")</f>
        <v>5.568181818181818</v>
      </c>
      <c r="AX11" s="8" t="n">
        <v>704</v>
      </c>
      <c r="AY11" s="8" t="n">
        <v>53</v>
      </c>
      <c r="AZ11" s="8" t="n">
        <v>178</v>
      </c>
      <c r="BA11" s="11" t="n">
        <f>IF(AND(COUNT(AX11:AZ11)=3,AX11&gt;=AY11,AY11&gt;=0,AZ11&gt;0),(AX11-AY11)/AZ11,"")</f>
        <v>3.657303370786517</v>
      </c>
      <c r="BB11" s="8" t="n">
        <f>IF(COUNT(AS11,AW11,BA11)=3,1,0)</f>
        <v>1</v>
      </c>
      <c r="BC11" s="11" t="n">
        <f>IF(SUMIF($AO$11:$AO$1309,AO11,$BB$11:$BB$1309)=COUNTIF($AO$11:$AO$1309,AO11),SUMIF($AO$11:$AO$1309,AO11,$AS$11:$AS$1309),"")</f>
        <v>24.832695374544848</v>
      </c>
      <c r="BD11" s="11" t="n">
        <f>IF(SUMIF($AO$11:$AO$1309,AO11,$BB$11:$BB$1309)=COUNTIF($AO$11:$AO$1309,AO11),SUMIF($AO$11:$AO$1309,AO11,$AW$11:$AW$1309),"")</f>
        <v>14.125</v>
      </c>
      <c r="BE11" s="11" t="n">
        <f>IF(SUMIF($AO$11:$AO$1309,AO11,$BB$11:$BB$1309)=COUNTIF($AO$11:$AO$1309,AO11),SUMIF($AO$11:$AO$1309,AO11,$BA$11:$BA$1309),"")</f>
        <v>9.584269662921349</v>
      </c>
      <c r="BF11" s="12" t="n">
        <f>IF(COUNT(BD11:BE11)&lt;&gt;2,"",IF(AND(BD11&gt;0,BE11&gt;0),0.7*AW11/BD11+0.3*BA11/BE11,IF(BD11&gt;0,AW11/BD11,IF(BE11&gt;0,BA11/BE11,IF(AND(ISNUMBER(BH11),BH11=0),0,"")))))</f>
        <v>0.3904236054849714</v>
      </c>
      <c r="BG11" s="11" t="n">
        <f>IF(AND(COUNT(BN11:BU11)=8,MIN(BN11:BU11)&gt;=0),SUMPRODUCT(BN11:BQ11,BR11:BU11),"")</f>
        <v>78.84726365280937</v>
      </c>
      <c r="BH11" s="11" t="n">
        <f>IF(COUNT(BC11,BG11)=2,BC11*BG11,"")</f>
        <v>1957.9900794066375</v>
      </c>
      <c r="BI11" s="11" t="n">
        <f>IF(ISNUMBER(CI11),CI11,"")</f>
        <v>764.445546305745</v>
      </c>
      <c r="BJ11" s="8" t="str"/>
      <c r="BK11" s="8" t="str">
        <v>90天：2026-07-20 至 2026-10-17；180天：2026-04-21 至 2026-10-17</v>
      </c>
      <c r="BL11" s="8" t="str">
        <v>90天：2026-10-06、2026-10-07；180天：2026-10-06、2026-10-07</v>
      </c>
      <c r="BM11" s="8" t="str">
        <v>2026-10：12天 × 0.9634503791704667；2026-11：30天 × 0.8585031562320637；2026-12：31天 × 0.7896606554092485；2027-01：17天 × 1.0030167116538329</v>
      </c>
      <c r="BN11" s="11" t="n">
        <v>0.9634503791704667</v>
      </c>
      <c r="BO11" s="11" t="n">
        <v>0.8585031562320637</v>
      </c>
      <c r="BP11" s="11" t="n">
        <v>0.7896606554092485</v>
      </c>
      <c r="BQ11" s="11" t="n">
        <v>1.0030167116538329</v>
      </c>
      <c r="BR11" s="8" t="n">
        <v>12</v>
      </c>
      <c r="BS11" s="8" t="n">
        <v>30</v>
      </c>
      <c r="BT11" s="8" t="n">
        <v>31</v>
      </c>
      <c r="BU11" s="8" t="n">
        <v>17</v>
      </c>
      <c r="BV11" s="11" t="n">
        <f>IF(COUNT(BC11,BF11)=2,BC11*BF11,"")</f>
        <v>9.695270462039772</v>
      </c>
      <c r="BW11" s="11" t="n">
        <f>IF(ISNUMBER(BN11),BN11,"")</f>
        <v>0.9634503791704667</v>
      </c>
      <c r="BX11" s="14" t="n">
        <f>IF(ISNUMBER(BR11),BR11,"")</f>
        <v>12</v>
      </c>
      <c r="BY11" s="13" t="n">
        <f>IF(AND(COUNT(BV11,BW11,BX11)=3,MIN(BV11,BW11,BX11)&gt;=0),BV11*BW11*BX11,"")</f>
        <v>112.09094403374934</v>
      </c>
      <c r="BZ11" s="11" t="n">
        <f>IF(ISNUMBER(BO11),BO11,"")</f>
        <v>0.8585031562320637</v>
      </c>
      <c r="CA11" s="14" t="n">
        <f>IF(ISNUMBER(BS11),BS11,"")</f>
        <v>30</v>
      </c>
      <c r="CB11" s="13" t="n">
        <f>IF(AND(COUNT(BV11,BZ11,CA11)=3,MIN(BV11,BZ11,CA11)&gt;=0),BV11*BZ11*CA11,"")</f>
        <v>249.7026087655393</v>
      </c>
      <c r="CC11" s="11" t="n">
        <f>IF(ISNUMBER(BP11),BP11,"")</f>
        <v>0.7896606554092485</v>
      </c>
      <c r="CD11" s="14" t="n">
        <f>IF(ISNUMBER(BT11),BT11,"")</f>
        <v>31</v>
      </c>
      <c r="CE11" s="13" t="n">
        <f>IF(AND(COUNT(BV11,CC11,CD11)=3,MIN(BV11,CC11,CD11)&gt;=0),BV11*CC11*CD11,"")</f>
        <v>237.33518245015188</v>
      </c>
      <c r="CF11" s="11" t="n">
        <f>IF(ISNUMBER(BQ11),BQ11,"")</f>
        <v>1.0030167116538329</v>
      </c>
      <c r="CG11" s="14" t="n">
        <f>IF(ISNUMBER(BU11),BU11,"")</f>
        <v>17</v>
      </c>
      <c r="CH11" s="13" t="n">
        <f>IF(AND(COUNT(BV11,CF11,CG11)=3,MIN(BV11,CF11,CG11)&gt;=0),BV11*CF11*CG11,"")</f>
        <v>165.3168110563044</v>
      </c>
      <c r="CI11" s="13" t="n">
        <f>IF(COUNT(BY11,CB11,CE11,CH11)=4,SUM(BY11,CB11,CE11,CH11),"")</f>
        <v>764.445546305745</v>
      </c>
    </row>
    <row r="12" ht="72" customHeight="1">
      <c r="A12" s="16" t="str">
        <v>S02-BK-40</v>
      </c>
      <c r="B12" s="16" t="str">
        <v>3店-SANDIEX-US</v>
      </c>
      <c r="C12" s="16" t="str">
        <v>陈晨</v>
      </c>
      <c r="D12" s="26" t="n">
        <f>IF(NOT(ISNUMBER(E12)),"",IF(OR(E12&lt;=0,L12=0),0,IF(OR(NOT(ISNUMBER(F12)),F12&lt;0),"",MIN(E12,INT(F12)))))</f>
        <v>438</v>
      </c>
      <c r="E12" s="27" t="n">
        <f>IF(OR(NOT(ISNUMBER(L12)),COUNT(M12:O12)&lt;&gt;3,MIN(M12:O12)&lt;0),"",ROUNDUP(ROUND(BI12-SUM(M12:O12),10),0))</f>
        <v>438</v>
      </c>
      <c r="F12" s="28" t="n">
        <v>654</v>
      </c>
      <c r="G12" s="28" t="n">
        <f>IF(AND(ISNUMBER(D12),ISNUMBER(E12)),IF(OR(E12&lt;=0,L12=0),0,E12-D12),"")</f>
        <v>0</v>
      </c>
      <c r="H12" s="16" t="str">
        <f>IF(NOT(ISNUMBER(E12)),"销量或海外库存待补",IF(OR(E12&lt;=0,L12=0),IF(L12=0,"零日销，本批不发","本批无需补货"),IF(NOT(ISNUMBER(D12)),"国内库存待补",IF(D12=0,"国内无可用库存",IF(G12&gt;0,"先发国内现货","按建议量发货")))))</f>
        <v>按建议量发货</v>
      </c>
      <c r="I12" s="28" t="n">
        <f>IF(AND(COUNT(Z12,AA12,AB12)=3,Z12&gt;=AA12,AA12&gt;=0,AB12=7),Z12-AA12,"")</f>
        <v>32</v>
      </c>
      <c r="J12" s="28" t="n">
        <f>IF(AND(COUNT(AF12,AG12,AH12)=3,AF12&gt;=AG12,AG12&gt;=0,AH12=14),AF12-AG12,"")</f>
        <v>86</v>
      </c>
      <c r="K12" s="28" t="n">
        <f>IF(AND(COUNT(AL12,AM12,AN12)=3,AL12&gt;=AM12,AM12&gt;=0,AN12=30),AL12-AM12,"")</f>
        <v>184</v>
      </c>
      <c r="L12" s="29" t="n">
        <f>IF(ISNUMBER(BI12),BI12/90,"")</f>
        <v>5.780639724737797</v>
      </c>
      <c r="M12" s="28" t="n">
        <v>73</v>
      </c>
      <c r="N12" s="28" t="n">
        <v>0</v>
      </c>
      <c r="O12" s="28" t="n">
        <v>10</v>
      </c>
      <c r="P12" s="30" t="n">
        <f>IF(AND(ISNUMBER(L12),L12&gt;0,COUNT(M12:O12)=3,MIN(M12:O12)&gt;=0),SUM(M12:O12)/L12,"")</f>
        <v>14.35827243216836</v>
      </c>
      <c r="Q12" s="16" t="str">
        <v>沿用原计划SKU店铺</v>
      </c>
      <c r="R12" s="16" t="str">
        <v>已匹配</v>
      </c>
      <c r="S12" s="16" t="str">
        <v>在售</v>
      </c>
      <c r="T12" s="16" t="str">
        <v>S02</v>
      </c>
      <c r="U12" s="16" t="str">
        <v>黑色</v>
      </c>
      <c r="V12" s="16" t="n">
        <v>9</v>
      </c>
      <c r="W12" s="8" t="str">
        <v>2026-10-11 至 2026-10-17</v>
      </c>
      <c r="X12" s="8" t="str">
        <v>2026-10-11、2026-10-12、2026-10-13、2026-10-14、2026-10-15、2026-10-16、2026-10-17</v>
      </c>
      <c r="Y12" s="8" t="str">
        <v>无</v>
      </c>
      <c r="Z12" s="8" t="n">
        <v>32</v>
      </c>
      <c r="AA12" s="8" t="n">
        <v>0</v>
      </c>
      <c r="AB12" s="8" t="n">
        <v>7</v>
      </c>
      <c r="AC12" s="8" t="str">
        <v>2026-10-02 至 2026-10-17</v>
      </c>
      <c r="AD12" s="8" t="str">
        <v>2026-10-02、2026-10-03、2026-10-04、2026-10-05、2026-10-08、2026-10-09、2026-10-10、2026-10-11、2026-10-12、2026-10-13、2026-10-14、2026-10-15、2026-10-16、2026-10-17</v>
      </c>
      <c r="AE12" s="8" t="str">
        <v>2026-10-06 大促；2026-10-07 大促</v>
      </c>
      <c r="AF12" s="8" t="n">
        <v>147</v>
      </c>
      <c r="AG12" s="8" t="n">
        <v>61</v>
      </c>
      <c r="AH12" s="8" t="n">
        <v>14</v>
      </c>
      <c r="AI12" s="8" t="str">
        <v>2026-09-16 至 2026-10-17</v>
      </c>
      <c r="AJ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" s="8" t="str">
        <v>2026-10-06 大促；2026-10-07 大促</v>
      </c>
      <c r="AL12" s="8" t="n">
        <v>245</v>
      </c>
      <c r="AM12" s="8" t="n">
        <v>61</v>
      </c>
      <c r="AN12" s="8" t="n">
        <v>30</v>
      </c>
      <c r="AO12" s="8" t="str">
        <v>S02 / 黑色 / 6574</v>
      </c>
      <c r="AP12" s="11" t="n">
        <v>0.9634503791704667</v>
      </c>
      <c r="AQ12" s="11" t="n">
        <v>0.9634503791704667</v>
      </c>
      <c r="AR12" s="11" t="n">
        <v>0.902244307144596</v>
      </c>
      <c r="AS12" s="11" t="n">
        <f>IF(AND(COUNT(I12:K12,AP12:AR12)=6,MIN(AP12:AR12)&gt;0),I12/7/AP12*0.5+J12/14/AQ12*0.3+K12/30/AR12*0.2,"")</f>
        <v>5.6447662621829995</v>
      </c>
      <c r="AT12" s="8" t="n">
        <v>387</v>
      </c>
      <c r="AU12" s="8" t="n">
        <v>61</v>
      </c>
      <c r="AV12" s="8" t="n">
        <v>88</v>
      </c>
      <c r="AW12" s="11" t="n">
        <f>IF(AND(COUNT(AT12:AV12)=3,AT12&gt;=AU12,AU12&gt;=0,AV12&gt;0),(AT12-AU12)/AV12,"")</f>
        <v>3.7045454545454546</v>
      </c>
      <c r="AX12" s="8" t="n">
        <v>528</v>
      </c>
      <c r="AY12" s="8" t="n">
        <v>61</v>
      </c>
      <c r="AZ12" s="8" t="n">
        <v>178</v>
      </c>
      <c r="BA12" s="11" t="n">
        <f>IF(AND(COUNT(AX12:AZ12)=3,AX12&gt;=AY12,AY12&gt;=0,AZ12&gt;0),(AX12-AY12)/AZ12,"")</f>
        <v>2.6235955056179776</v>
      </c>
      <c r="BB12" s="8" t="n">
        <f>IF(COUNT(AS12,AW12,BA12)=3,1,0)</f>
        <v>1</v>
      </c>
      <c r="BC12" s="11" t="n">
        <f>IF(SUMIF($AO$11:$AO$1309,AO12,$BB$11:$BB$1309)=COUNTIF($AO$11:$AO$1309,AO12),SUMIF($AO$11:$AO$1309,AO12,$AS$11:$AS$1309),"")</f>
        <v>24.832695374544848</v>
      </c>
      <c r="BD12" s="11" t="n">
        <f>IF(SUMIF($AO$11:$AO$1309,AO12,$BB$11:$BB$1309)=COUNTIF($AO$11:$AO$1309,AO12),SUMIF($AO$11:$AO$1309,AO12,$AW$11:$AW$1309),"")</f>
        <v>14.125</v>
      </c>
      <c r="BE12" s="11" t="n">
        <f>IF(SUMIF($AO$11:$AO$1309,AO12,$BB$11:$BB$1309)=COUNTIF($AO$11:$AO$1309,AO12),SUMIF($AO$11:$AO$1309,AO12,$BA$11:$BA$1309),"")</f>
        <v>9.584269662921349</v>
      </c>
      <c r="BF12" s="12" t="n">
        <f>IF(COUNT(BD12:BE12)&lt;&gt;2,"",IF(AND(BD12&gt;0,BE12&gt;0),0.7*AW12/BD12+0.3*BA12/BE12,IF(BD12&gt;0,AW12/BD12,IF(BE12&gt;0,BA12/BE12,IF(AND(ISNUMBER(BH12),BH12=0),0,"")))))</f>
        <v>0.2657100159486324</v>
      </c>
      <c r="BG12" s="11" t="n">
        <f>IF(AND(COUNT(BN12:BU12)=8,MIN(BN12:BU12)&gt;=0),SUMPRODUCT(BN12:BQ12,BR12:BU12),"")</f>
        <v>78.84726365280937</v>
      </c>
      <c r="BH12" s="11" t="n">
        <f>IF(COUNT(BC12,BG12)=2,BC12*BG12,"")</f>
        <v>1957.9900794066375</v>
      </c>
      <c r="BI12" s="11" t="n">
        <f>IF(ISNUMBER(CI12),CI12,"")</f>
        <v>520.2575752264017</v>
      </c>
      <c r="BJ12" s="8" t="str"/>
      <c r="BK12" s="8" t="str">
        <v>90天：2026-07-20 至 2026-10-17；180天：2026-04-21 至 2026-10-17</v>
      </c>
      <c r="BL12" s="8" t="str">
        <v>90天：2026-10-06、2026-10-07；180天：2026-10-06、2026-10-07</v>
      </c>
      <c r="BM12" s="8" t="str">
        <v>2026-10：12天 × 0.9634503791704667；2026-11：30天 × 0.8585031562320637；2026-12：31天 × 0.7896606554092485；2027-01：17天 × 1.0030167116538329</v>
      </c>
      <c r="BN12" s="11" t="n">
        <v>0.9634503791704667</v>
      </c>
      <c r="BO12" s="11" t="n">
        <v>0.8585031562320637</v>
      </c>
      <c r="BP12" s="11" t="n">
        <v>0.7896606554092485</v>
      </c>
      <c r="BQ12" s="11" t="n">
        <v>1.0030167116538329</v>
      </c>
      <c r="BR12" s="8" t="n">
        <v>12</v>
      </c>
      <c r="BS12" s="8" t="n">
        <v>30</v>
      </c>
      <c r="BT12" s="8" t="n">
        <v>31</v>
      </c>
      <c r="BU12" s="8" t="n">
        <v>17</v>
      </c>
      <c r="BV12" s="11" t="n">
        <f>IF(COUNT(BC12,BF12)=2,BC12*BF12,"")</f>
        <v>6.598295884017842</v>
      </c>
      <c r="BW12" s="11" t="n">
        <f>IF(ISNUMBER(BN12),BN12,"")</f>
        <v>0.9634503791704667</v>
      </c>
      <c r="BX12" s="14" t="n">
        <f>IF(ISNUMBER(BR12),BR12,"")</f>
        <v>12</v>
      </c>
      <c r="BY12" s="13" t="n">
        <f>IF(AND(COUNT(BV12,BW12,BX12)=3,MIN(BV12,BW12,BX12)&gt;=0),BV12*BW12*BX12,"")</f>
        <v>76.28556805603104</v>
      </c>
      <c r="BZ12" s="11" t="n">
        <f>IF(ISNUMBER(BO12),BO12,"")</f>
        <v>0.8585031562320637</v>
      </c>
      <c r="CA12" s="14" t="n">
        <f>IF(ISNUMBER(BS12),BS12,"")</f>
        <v>30</v>
      </c>
      <c r="CB12" s="13" t="n">
        <f>IF(AND(COUNT(BV12,BZ12,CA12)=3,MIN(BV12,BZ12,CA12)&gt;=0),BV12*BZ12*CA12,"")</f>
        <v>169.9397352654706</v>
      </c>
      <c r="CC12" s="11" t="n">
        <f>IF(ISNUMBER(BP12),BP12,"")</f>
        <v>0.7896606554092485</v>
      </c>
      <c r="CD12" s="14" t="n">
        <f>IF(ISNUMBER(BT12),BT12,"")</f>
        <v>31</v>
      </c>
      <c r="CE12" s="13" t="n">
        <f>IF(AND(COUNT(BV12,CC12,CD12)=3,MIN(BV12,CC12,CD12)&gt;=0),BV12*CC12*CD12,"")</f>
        <v>161.52285422308793</v>
      </c>
      <c r="CF12" s="11" t="n">
        <f>IF(ISNUMBER(BQ12),BQ12,"")</f>
        <v>1.0030167116538329</v>
      </c>
      <c r="CG12" s="14" t="n">
        <f>IF(ISNUMBER(BU12),BU12,"")</f>
        <v>17</v>
      </c>
      <c r="CH12" s="13" t="n">
        <f>IF(AND(COUNT(BV12,CF12,CG12)=3,MIN(BV12,CF12,CG12)&gt;=0),BV12*CF12*CG12,"")</f>
        <v>112.50941768181214</v>
      </c>
      <c r="CI12" s="13" t="n">
        <f>IF(COUNT(BY12,CB12,CE12,CH12)=4,SUM(BY12,CB12,CE12,CH12),"")</f>
        <v>520.2575752264017</v>
      </c>
    </row>
    <row r="13" ht="72" customHeight="1">
      <c r="A13" s="16" t="str">
        <v>S02-BK-38</v>
      </c>
      <c r="B13" s="16" t="str">
        <v>3店-SANDIEX-US</v>
      </c>
      <c r="C13" s="16" t="str">
        <v>陈晨</v>
      </c>
      <c r="D13" s="26" t="n">
        <f>IF(NOT(ISNUMBER(E13)),"",IF(OR(E13&lt;=0,L13=0),0,IF(OR(NOT(ISNUMBER(F13)),F13&lt;0),"",MIN(E13,INT(F13)))))</f>
        <v>205</v>
      </c>
      <c r="E13" s="27" t="n">
        <f>IF(OR(NOT(ISNUMBER(L13)),COUNT(M13:O13)&lt;&gt;3,MIN(M13:O13)&lt;0),"",ROUNDUP(ROUND(BI13-SUM(M13:O13),10),0))</f>
        <v>205</v>
      </c>
      <c r="F13" s="28" t="n">
        <v>291</v>
      </c>
      <c r="G13" s="28" t="n">
        <f>IF(AND(ISNUMBER(D13),ISNUMBER(E13)),IF(OR(E13&lt;=0,L13=0),0,E13-D13),"")</f>
        <v>0</v>
      </c>
      <c r="H13" s="16" t="str">
        <f>IF(NOT(ISNUMBER(E13)),"销量或海外库存待补",IF(OR(E13&lt;=0,L13=0),IF(L13=0,"零日销，本批不发","本批无需补货"),IF(NOT(ISNUMBER(D13)),"国内库存待补",IF(D13=0,"国内无可用库存",IF(G13&gt;0,"先发国内现货","按建议量发货")))))</f>
        <v>按建议量发货</v>
      </c>
      <c r="I13" s="28" t="n">
        <f>IF(AND(COUNT(Z13,AA13,AB13)=3,Z13&gt;=AA13,AA13&gt;=0,AB13=7),Z13-AA13,"")</f>
        <v>23</v>
      </c>
      <c r="J13" s="28" t="n">
        <f>IF(AND(COUNT(AF13,AG13,AH13)=3,AF13&gt;=AG13,AG13&gt;=0,AH13=14),AF13-AG13,"")</f>
        <v>63</v>
      </c>
      <c r="K13" s="28" t="n">
        <f>IF(AND(COUNT(AL13,AM13,AN13)=3,AL13&gt;=AM13,AM13&gt;=0,AN13=30),AL13-AM13,"")</f>
        <v>124</v>
      </c>
      <c r="L13" s="29" t="n">
        <f>IF(ISNUMBER(BI13),BI13/90,"")</f>
        <v>3.28801709495612</v>
      </c>
      <c r="M13" s="28" t="n">
        <v>85</v>
      </c>
      <c r="N13" s="28" t="n">
        <v>0</v>
      </c>
      <c r="O13" s="28" t="n">
        <v>6</v>
      </c>
      <c r="P13" s="30" t="n">
        <f>IF(AND(ISNUMBER(L13),L13&gt;0,COUNT(M13:O13)=3,MIN(M13:O13)&gt;=0),SUM(M13:O13)/L13,"")</f>
        <v>27.67625513249177</v>
      </c>
      <c r="Q13" s="16" t="str">
        <v>沿用原计划SKU店铺</v>
      </c>
      <c r="R13" s="16" t="str">
        <v>已匹配</v>
      </c>
      <c r="S13" s="16" t="str">
        <v>在售</v>
      </c>
      <c r="T13" s="16" t="str">
        <v>S02</v>
      </c>
      <c r="U13" s="16" t="str">
        <v>黑色</v>
      </c>
      <c r="V13" s="16" t="n">
        <v>7</v>
      </c>
      <c r="W13" s="8" t="str">
        <v>2026-10-11 至 2026-10-17</v>
      </c>
      <c r="X13" s="8" t="str">
        <v>2026-10-11、2026-10-12、2026-10-13、2026-10-14、2026-10-15、2026-10-16、2026-10-17</v>
      </c>
      <c r="Y13" s="8" t="str">
        <v>无</v>
      </c>
      <c r="Z13" s="8" t="n">
        <v>23</v>
      </c>
      <c r="AA13" s="8" t="n">
        <v>0</v>
      </c>
      <c r="AB13" s="8" t="n">
        <v>7</v>
      </c>
      <c r="AC13" s="8" t="str">
        <v>2026-10-02 至 2026-10-17</v>
      </c>
      <c r="AD13" s="8" t="str">
        <v>2026-10-02、2026-10-03、2026-10-04、2026-10-05、2026-10-08、2026-10-09、2026-10-10、2026-10-11、2026-10-12、2026-10-13、2026-10-14、2026-10-15、2026-10-16、2026-10-17</v>
      </c>
      <c r="AE13" s="8" t="str">
        <v>2026-10-06 大促；2026-10-07 大促</v>
      </c>
      <c r="AF13" s="8" t="n">
        <v>90</v>
      </c>
      <c r="AG13" s="8" t="n">
        <v>27</v>
      </c>
      <c r="AH13" s="8" t="n">
        <v>14</v>
      </c>
      <c r="AI13" s="8" t="str">
        <v>2026-09-16 至 2026-10-17</v>
      </c>
      <c r="AJ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" s="8" t="str">
        <v>2026-10-06 大促；2026-10-07 大促</v>
      </c>
      <c r="AL13" s="8" t="n">
        <v>151</v>
      </c>
      <c r="AM13" s="8" t="n">
        <v>27</v>
      </c>
      <c r="AN13" s="8" t="n">
        <v>30</v>
      </c>
      <c r="AO13" s="8" t="str">
        <v>S02 / 黑色 / 6574</v>
      </c>
      <c r="AP13" s="11" t="n">
        <v>0.9634503791704667</v>
      </c>
      <c r="AQ13" s="11" t="n">
        <v>0.9634503791704667</v>
      </c>
      <c r="AR13" s="11" t="n">
        <v>0.902244307144596</v>
      </c>
      <c r="AS13" s="11" t="n">
        <f>IF(AND(COUNT(I13:K13,AP13:AR13)=6,MIN(AP13:AR13)&gt;0),I13/7/AP13*0.5+J13/14/AQ13*0.3+K13/30/AR13*0.2,"")</f>
        <v>4.022628420692891</v>
      </c>
      <c r="AT13" s="8" t="n">
        <v>212</v>
      </c>
      <c r="AU13" s="8" t="n">
        <v>27</v>
      </c>
      <c r="AV13" s="8" t="n">
        <v>88</v>
      </c>
      <c r="AW13" s="11" t="n">
        <f>IF(AND(COUNT(AT13:AV13)=3,AT13&gt;=AU13,AU13&gt;=0,AV13&gt;0),(AT13-AU13)/AV13,"")</f>
        <v>2.102272727272727</v>
      </c>
      <c r="AX13" s="8" t="n">
        <v>294</v>
      </c>
      <c r="AY13" s="8" t="n">
        <v>27</v>
      </c>
      <c r="AZ13" s="8" t="n">
        <v>178</v>
      </c>
      <c r="BA13" s="11" t="n">
        <f>IF(AND(COUNT(AX13:AZ13)=3,AX13&gt;=AY13,AY13&gt;=0,AZ13&gt;0),(AX13-AY13)/AZ13,"")</f>
        <v>1.5</v>
      </c>
      <c r="BB13" s="8" t="n">
        <f>IF(COUNT(AS13,AW13,BA13)=3,1,0)</f>
        <v>1</v>
      </c>
      <c r="BC13" s="11" t="n">
        <f>IF(SUMIF($AO$11:$AO$1309,AO13,$BB$11:$BB$1309)=COUNTIF($AO$11:$AO$1309,AO13),SUMIF($AO$11:$AO$1309,AO13,$AS$11:$AS$1309),"")</f>
        <v>24.832695374544848</v>
      </c>
      <c r="BD13" s="11" t="n">
        <f>IF(SUMIF($AO$11:$AO$1309,AO13,$BB$11:$BB$1309)=COUNTIF($AO$11:$AO$1309,AO13),SUMIF($AO$11:$AO$1309,AO13,$AW$11:$AW$1309),"")</f>
        <v>14.125</v>
      </c>
      <c r="BE13" s="11" t="n">
        <f>IF(SUMIF($AO$11:$AO$1309,AO13,$BB$11:$BB$1309)=COUNTIF($AO$11:$AO$1309,AO13),SUMIF($AO$11:$AO$1309,AO13,$BA$11:$BA$1309),"")</f>
        <v>9.584269662921349</v>
      </c>
      <c r="BF13" s="12" t="n">
        <f>IF(COUNT(BD13:BE13)&lt;&gt;2,"",IF(AND(BD13&gt;0,BE13&gt;0),0.7*AW13/BD13+0.3*BA13/BE13,IF(BD13&gt;0,AW13/BD13,IF(BE13&gt;0,BA13/BE13,IF(AND(ISNUMBER(BH13),BH13=0),0,"")))))</f>
        <v>0.15113536154163196</v>
      </c>
      <c r="BG13" s="11" t="n">
        <f>IF(AND(COUNT(BN13:BU13)=8,MIN(BN13:BU13)&gt;=0),SUMPRODUCT(BN13:BQ13,BR13:BU13),"")</f>
        <v>78.84726365280937</v>
      </c>
      <c r="BH13" s="11" t="n">
        <f>IF(COUNT(BC13,BG13)=2,BC13*BG13,"")</f>
        <v>1957.9900794066375</v>
      </c>
      <c r="BI13" s="11" t="n">
        <f>IF(ISNUMBER(CI13),CI13,"")</f>
        <v>295.9215385460508</v>
      </c>
      <c r="BJ13" s="8" t="str"/>
      <c r="BK13" s="8" t="str">
        <v>90天：2026-07-20 至 2026-10-17；180天：2026-04-21 至 2026-10-17</v>
      </c>
      <c r="BL13" s="8" t="str">
        <v>90天：2026-10-06、2026-10-07；180天：2026-10-06、2026-10-07</v>
      </c>
      <c r="BM13" s="8" t="str">
        <v>2026-10：12天 × 0.9634503791704667；2026-11：30天 × 0.8585031562320637；2026-12：31天 × 0.7896606554092485；2027-01：17天 × 1.0030167116538329</v>
      </c>
      <c r="BN13" s="11" t="n">
        <v>0.9634503791704667</v>
      </c>
      <c r="BO13" s="11" t="n">
        <v>0.8585031562320637</v>
      </c>
      <c r="BP13" s="11" t="n">
        <v>0.7896606554092485</v>
      </c>
      <c r="BQ13" s="11" t="n">
        <v>1.0030167116538329</v>
      </c>
      <c r="BR13" s="8" t="n">
        <v>12</v>
      </c>
      <c r="BS13" s="8" t="n">
        <v>30</v>
      </c>
      <c r="BT13" s="8" t="n">
        <v>31</v>
      </c>
      <c r="BU13" s="8" t="n">
        <v>17</v>
      </c>
      <c r="BV13" s="11" t="n">
        <f>IF(COUNT(BC13,BF13)=2,BC13*BF13,"")</f>
        <v>3.7530983934850473</v>
      </c>
      <c r="BW13" s="11" t="n">
        <f>IF(ISNUMBER(BN13),BN13,"")</f>
        <v>0.9634503791704667</v>
      </c>
      <c r="BX13" s="14" t="n">
        <f>IF(ISNUMBER(BR13),BR13,"")</f>
        <v>12</v>
      </c>
      <c r="BY13" s="13" t="n">
        <f>IF(AND(COUNT(BV13,BW13,BX13)=3,MIN(BV13,BW13,BX13)&gt;=0),BV13*BW13*BX13,"")</f>
        <v>43.39108884320686</v>
      </c>
      <c r="BZ13" s="11" t="n">
        <f>IF(ISNUMBER(BO13),BO13,"")</f>
        <v>0.8585031562320637</v>
      </c>
      <c r="CA13" s="14" t="n">
        <f>IF(ISNUMBER(BS13),BS13,"")</f>
        <v>30</v>
      </c>
      <c r="CB13" s="13" t="n">
        <f>IF(AND(COUNT(BV13,BZ13,CA13)=3,MIN(BV13,BZ13,CA13)&gt;=0),BV13*BZ13*CA13,"")</f>
        <v>96.66140449369203</v>
      </c>
      <c r="CC13" s="11" t="n">
        <f>IF(ISNUMBER(BP13),BP13,"")</f>
        <v>0.7896606554092485</v>
      </c>
      <c r="CD13" s="14" t="n">
        <f>IF(ISNUMBER(BT13),BT13,"")</f>
        <v>31</v>
      </c>
      <c r="CE13" s="13" t="n">
        <f>IF(AND(COUNT(BV13,CC13,CD13)=3,MIN(BV13,CC13,CD13)&gt;=0),BV13*CC13*CD13,"")</f>
        <v>91.8738982536588</v>
      </c>
      <c r="CF13" s="11" t="n">
        <f>IF(ISNUMBER(BQ13),BQ13,"")</f>
        <v>1.0030167116538329</v>
      </c>
      <c r="CG13" s="14" t="n">
        <f>IF(ISNUMBER(BU13),BU13,"")</f>
        <v>17</v>
      </c>
      <c r="CH13" s="13" t="n">
        <f>IF(AND(COUNT(BV13,CF13,CG13)=3,MIN(BV13,CF13,CG13)&gt;=0),BV13*CF13*CG13,"")</f>
        <v>63.995146955493134</v>
      </c>
      <c r="CI13" s="13" t="n">
        <f>IF(COUNT(BY13,CB13,CE13,CH13)=4,SUM(BY13,CB13,CE13,CH13),"")</f>
        <v>295.9215385460508</v>
      </c>
    </row>
    <row r="14" ht="72" customHeight="1">
      <c r="A14" s="16" t="str">
        <v>S02-BG-39</v>
      </c>
      <c r="B14" s="16" t="str">
        <v>3店-SANDIEX-US</v>
      </c>
      <c r="C14" s="16" t="str">
        <v>陈晨</v>
      </c>
      <c r="D14" s="26" t="n">
        <f>IF(NOT(ISNUMBER(E14)),"",IF(OR(E14&lt;=0,L14=0),0,IF(OR(NOT(ISNUMBER(F14)),F14&lt;0),"",MIN(E14,INT(F14)))))</f>
        <v>198</v>
      </c>
      <c r="E14" s="27" t="n">
        <f>IF(OR(NOT(ISNUMBER(L14)),COUNT(M14:O14)&lt;&gt;3,MIN(M14:O14)&lt;0),"",ROUNDUP(ROUND(BI14-SUM(M14:O14),10),0))</f>
        <v>198</v>
      </c>
      <c r="F14" s="28" t="n">
        <v>398</v>
      </c>
      <c r="G14" s="28" t="n">
        <f>IF(AND(ISNUMBER(D14),ISNUMBER(E14)),IF(OR(E14&lt;=0,L14=0),0,E14-D14),"")</f>
        <v>0</v>
      </c>
      <c r="H14" s="16" t="str">
        <f>IF(NOT(ISNUMBER(E14)),"销量或海外库存待补",IF(OR(E14&lt;=0,L14=0),IF(L14=0,"零日销，本批不发","本批无需补货"),IF(NOT(ISNUMBER(D14)),"国内库存待补",IF(D14=0,"国内无可用库存",IF(G14&gt;0,"先发国内现货","按建议量发货")))))</f>
        <v>按建议量发货</v>
      </c>
      <c r="I14" s="28" t="n">
        <f>IF(AND(COUNT(Z14,AA14,AB14)=3,Z14&gt;=AA14,AA14&gt;=0,AB14=7),Z14-AA14,"")</f>
        <v>30</v>
      </c>
      <c r="J14" s="28" t="n">
        <f>IF(AND(COUNT(AF14,AG14,AH14)=3,AF14&gt;=AG14,AG14&gt;=0,AH14=14),AF14-AG14,"")</f>
        <v>71</v>
      </c>
      <c r="K14" s="28" t="n">
        <f>IF(AND(COUNT(AL14,AM14,AN14)=3,AL14&gt;=AM14,AM14&gt;=0,AN14=30),AL14-AM14,"")</f>
        <v>142</v>
      </c>
      <c r="L14" s="29" t="n">
        <f>IF(ISNUMBER(BI14),BI14/90,"")</f>
        <v>3.7453420505737722</v>
      </c>
      <c r="M14" s="28" t="n">
        <v>111</v>
      </c>
      <c r="N14" s="28" t="n">
        <v>0</v>
      </c>
      <c r="O14" s="28" t="n">
        <v>29</v>
      </c>
      <c r="P14" s="30" t="n">
        <f>IF(AND(ISNUMBER(L14),L14&gt;0,COUNT(M14:O14)=3,MIN(M14:O14)&gt;=0),SUM(M14:O14)/L14,"")</f>
        <v>37.379763479427076</v>
      </c>
      <c r="Q14" s="16" t="str">
        <v>沿用原计划SKU店铺</v>
      </c>
      <c r="R14" s="16" t="str">
        <v>已匹配</v>
      </c>
      <c r="S14" s="16" t="str">
        <v>在售</v>
      </c>
      <c r="T14" s="16" t="str">
        <v>S02</v>
      </c>
      <c r="U14" s="16" t="str">
        <v>裸色</v>
      </c>
      <c r="V14" s="16" t="n">
        <v>8</v>
      </c>
      <c r="W14" s="8" t="str">
        <v>2026-10-11 至 2026-10-17</v>
      </c>
      <c r="X14" s="8" t="str">
        <v>2026-10-11、2026-10-12、2026-10-13、2026-10-14、2026-10-15、2026-10-16、2026-10-17</v>
      </c>
      <c r="Y14" s="8" t="str">
        <v>无</v>
      </c>
      <c r="Z14" s="8" t="n">
        <v>30</v>
      </c>
      <c r="AA14" s="8" t="n">
        <v>0</v>
      </c>
      <c r="AB14" s="8" t="n">
        <v>7</v>
      </c>
      <c r="AC14" s="8" t="str">
        <v>2026-10-02 至 2026-10-17</v>
      </c>
      <c r="AD14" s="8" t="str">
        <v>2026-10-02、2026-10-03、2026-10-04、2026-10-05、2026-10-08、2026-10-09、2026-10-10、2026-10-11、2026-10-12、2026-10-13、2026-10-14、2026-10-15、2026-10-16、2026-10-17</v>
      </c>
      <c r="AE14" s="8" t="str">
        <v>2026-10-06 大促；2026-10-07 大促</v>
      </c>
      <c r="AF14" s="8" t="n">
        <v>98</v>
      </c>
      <c r="AG14" s="8" t="n">
        <v>27</v>
      </c>
      <c r="AH14" s="8" t="n">
        <v>14</v>
      </c>
      <c r="AI14" s="8" t="str">
        <v>2026-09-16 至 2026-10-17</v>
      </c>
      <c r="AJ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" s="8" t="str">
        <v>2026-10-06 大促；2026-10-07 大促</v>
      </c>
      <c r="AL14" s="8" t="n">
        <v>169</v>
      </c>
      <c r="AM14" s="8" t="n">
        <v>27</v>
      </c>
      <c r="AN14" s="8" t="n">
        <v>30</v>
      </c>
      <c r="AO14" s="8" t="str">
        <v>S02 / 裸色 / 6574</v>
      </c>
      <c r="AP14" s="11" t="n">
        <v>0.9634503791704667</v>
      </c>
      <c r="AQ14" s="11" t="n">
        <v>0.9634503791704667</v>
      </c>
      <c r="AR14" s="11" t="n">
        <v>0.902244307144596</v>
      </c>
      <c r="AS14" s="11" t="n">
        <f>IF(AND(COUNT(I14:K14,AP14:AR14)=6,MIN(AP14:AR14)&gt;0),I14/7/AP14*0.5+J14/14/AQ14*0.3+K14/30/AR14*0.2,"")</f>
        <v>4.85253009340575</v>
      </c>
      <c r="AT14" s="8" t="n">
        <v>277</v>
      </c>
      <c r="AU14" s="8" t="n">
        <v>27</v>
      </c>
      <c r="AV14" s="8" t="n">
        <v>88</v>
      </c>
      <c r="AW14" s="11" t="n">
        <f>IF(AND(COUNT(AT14:AV14)=3,AT14&gt;=AU14,AU14&gt;=0,AV14&gt;0),(AT14-AU14)/AV14,"")</f>
        <v>2.840909090909091</v>
      </c>
      <c r="AX14" s="8" t="n">
        <v>476</v>
      </c>
      <c r="AY14" s="8" t="n">
        <v>27</v>
      </c>
      <c r="AZ14" s="8" t="n">
        <v>178</v>
      </c>
      <c r="BA14" s="11" t="n">
        <f>IF(AND(COUNT(AX14:AZ14)=3,AX14&gt;=AY14,AY14&gt;=0,AZ14&gt;0),(AX14-AY14)/AZ14,"")</f>
        <v>2.5224719101123596</v>
      </c>
      <c r="BB14" s="8" t="n">
        <f>IF(COUNT(AS14,AW14,BA14)=3,1,0)</f>
        <v>1</v>
      </c>
      <c r="BC14" s="11" t="n">
        <f>IF(SUMIF($AO$11:$AO$1309,AO14,$BB$11:$BB$1309)=COUNTIF($AO$11:$AO$1309,AO14),SUMIF($AO$11:$AO$1309,AO14,$AS$11:$AS$1309),"")</f>
        <v>13.209043546268767</v>
      </c>
      <c r="BD14" s="11" t="n">
        <f>IF(SUMIF($AO$11:$AO$1309,AO14,$BB$11:$BB$1309)=COUNTIF($AO$11:$AO$1309,AO14),SUMIF($AO$11:$AO$1309,AO14,$AW$11:$AW$1309),"")</f>
        <v>8.681818181818183</v>
      </c>
      <c r="BE14" s="11" t="n">
        <f>IF(SUMIF($AO$11:$AO$1309,AO14,$BB$11:$BB$1309)=COUNTIF($AO$11:$AO$1309,AO14),SUMIF($AO$11:$AO$1309,AO14,$BA$11:$BA$1309),"")</f>
        <v>8</v>
      </c>
      <c r="BF14" s="12" t="n">
        <f>IF(COUNT(BD14:BE14)&lt;&gt;2,"",IF(AND(BD14&gt;0,BE14&gt;0),0.7*AW14/BD14+0.3*BA14/BE14,IF(BD14&gt;0,AW14/BD14,IF(BE14&gt;0,BA14/BE14,IF(AND(ISNUMBER(BH14),BH14=0),0,"")))))</f>
        <v>0.32365028825225006</v>
      </c>
      <c r="BG14" s="11" t="n">
        <f>IF(AND(COUNT(BN14:BU14)=8,MIN(BN14:BU14)&gt;=0),SUMPRODUCT(BN14:BQ14,BR14:BU14),"")</f>
        <v>78.84726365280937</v>
      </c>
      <c r="BH14" s="11" t="n">
        <f>IF(COUNT(BC14,BG14)=2,BC14*BG14,"")</f>
        <v>1041.4969390940935</v>
      </c>
      <c r="BI14" s="11" t="n">
        <f>IF(ISNUMBER(CI14),CI14,"")</f>
        <v>337.0807845516395</v>
      </c>
      <c r="BJ14" s="8" t="str"/>
      <c r="BK14" s="8" t="str">
        <v>90天：2026-07-20 至 2026-10-17；180天：2026-04-21 至 2026-10-17</v>
      </c>
      <c r="BL14" s="8" t="str">
        <v>90天：2026-10-06、2026-10-07；180天：2026-10-06、2026-10-07</v>
      </c>
      <c r="BM14" s="8" t="str">
        <v>2026-10：12天 × 0.9634503791704667；2026-11：30天 × 0.8585031562320637；2026-12：31天 × 0.7896606554092485；2027-01：17天 × 1.0030167116538329</v>
      </c>
      <c r="BN14" s="11" t="n">
        <v>0.9634503791704667</v>
      </c>
      <c r="BO14" s="11" t="n">
        <v>0.8585031562320637</v>
      </c>
      <c r="BP14" s="11" t="n">
        <v>0.7896606554092485</v>
      </c>
      <c r="BQ14" s="11" t="n">
        <v>1.0030167116538329</v>
      </c>
      <c r="BR14" s="8" t="n">
        <v>12</v>
      </c>
      <c r="BS14" s="8" t="n">
        <v>30</v>
      </c>
      <c r="BT14" s="8" t="n">
        <v>31</v>
      </c>
      <c r="BU14" s="8" t="n">
        <v>17</v>
      </c>
      <c r="BV14" s="11" t="n">
        <f>IF(COUNT(BC14,BF14)=2,BC14*BF14,"")</f>
        <v>4.27511075128641</v>
      </c>
      <c r="BW14" s="11" t="n">
        <f>IF(ISNUMBER(BN14),BN14,"")</f>
        <v>0.9634503791704667</v>
      </c>
      <c r="BX14" s="14" t="n">
        <f>IF(ISNUMBER(BR14),BR14,"")</f>
        <v>12</v>
      </c>
      <c r="BY14" s="13" t="n">
        <f>IF(AND(COUNT(BV14,BW14,BX14)=3,MIN(BV14,BW14,BX14)&gt;=0),BV14*BW14*BX14,"")</f>
        <v>49.42628489187156</v>
      </c>
      <c r="BZ14" s="11" t="n">
        <f>IF(ISNUMBER(BO14),BO14,"")</f>
        <v>0.8585031562320637</v>
      </c>
      <c r="CA14" s="14" t="n">
        <f>IF(ISNUMBER(BS14),BS14,"")</f>
        <v>30</v>
      </c>
      <c r="CB14" s="13" t="n">
        <f>IF(AND(COUNT(BV14,BZ14,CA14)=3,MIN(BV14,BZ14,CA14)&gt;=0),BV14*BZ14*CA14,"")</f>
        <v>110.10588219663036</v>
      </c>
      <c r="CC14" s="11" t="n">
        <f>IF(ISNUMBER(BP14),BP14,"")</f>
        <v>0.7896606554092485</v>
      </c>
      <c r="CD14" s="14" t="n">
        <f>IF(ISNUMBER(BT14),BT14,"")</f>
        <v>31</v>
      </c>
      <c r="CE14" s="13" t="n">
        <f>IF(AND(COUNT(BV14,CC14,CD14)=3,MIN(BV14,CC14,CD14)&gt;=0),BV14*CC14*CD14,"")</f>
        <v>104.65248949204648</v>
      </c>
      <c r="CF14" s="11" t="n">
        <f>IF(ISNUMBER(BQ14),BQ14,"")</f>
        <v>1.0030167116538329</v>
      </c>
      <c r="CG14" s="14" t="n">
        <f>IF(ISNUMBER(BU14),BU14,"")</f>
        <v>17</v>
      </c>
      <c r="CH14" s="13" t="n">
        <f>IF(AND(COUNT(BV14,CF14,CG14)=3,MIN(BV14,CF14,CG14)&gt;=0),BV14*CF14*CG14,"")</f>
        <v>72.8961279710911</v>
      </c>
      <c r="CI14" s="13" t="n">
        <f>IF(COUNT(BY14,CB14,CE14,CH14)=4,SUM(BY14,CB14,CE14,CH14),"")</f>
        <v>337.0807845516395</v>
      </c>
    </row>
    <row r="15" ht="72" customHeight="1">
      <c r="A15" s="16" t="str">
        <v>S02-BK-41</v>
      </c>
      <c r="B15" s="16" t="str">
        <v>3店-SANDIEX-US</v>
      </c>
      <c r="C15" s="16" t="str">
        <v>陈晨</v>
      </c>
      <c r="D15" s="26" t="n">
        <f>IF(NOT(ISNUMBER(E15)),"",IF(OR(E15&lt;=0,L15=0),0,IF(OR(NOT(ISNUMBER(F15)),F15&lt;0),"",MIN(E15,INT(F15)))))</f>
        <v>185</v>
      </c>
      <c r="E15" s="27" t="n">
        <f>IF(OR(NOT(ISNUMBER(L15)),COUNT(M15:O15)&lt;&gt;3,MIN(M15:O15)&lt;0),"",ROUNDUP(ROUND(BI15-SUM(M15:O15),10),0))</f>
        <v>185</v>
      </c>
      <c r="F15" s="28" t="n">
        <v>239</v>
      </c>
      <c r="G15" s="28" t="n">
        <f>IF(AND(ISNUMBER(D15),ISNUMBER(E15)),IF(OR(E15&lt;=0,L15=0),0,E15-D15),"")</f>
        <v>0</v>
      </c>
      <c r="H15" s="16" t="str">
        <f>IF(NOT(ISNUMBER(E15)),"销量或海外库存待补",IF(OR(E15&lt;=0,L15=0),IF(L15=0,"零日销，本批不发","本批无需补货"),IF(NOT(ISNUMBER(D15)),"国内库存待补",IF(D15=0,"国内无可用库存",IF(G15&gt;0,"先发国内现货","按建议量发货")))))</f>
        <v>按建议量发货</v>
      </c>
      <c r="I15" s="28" t="n">
        <f>IF(AND(COUNT(Z15,AA15,AB15)=3,Z15&gt;=AA15,AA15&gt;=0,AB15=7),Z15-AA15,"")</f>
        <v>37</v>
      </c>
      <c r="J15" s="28" t="n">
        <f>IF(AND(COUNT(AF15,AG15,AH15)=3,AF15&gt;=AG15,AG15&gt;=0,AH15=14),AF15-AG15,"")</f>
        <v>73</v>
      </c>
      <c r="K15" s="28" t="n">
        <f>IF(AND(COUNT(AL15,AM15,AN15)=3,AL15&gt;=AM15,AM15&gt;=0,AN15=30),AL15-AM15,"")</f>
        <v>90</v>
      </c>
      <c r="L15" s="29" t="n">
        <f>IF(ISNUMBER(BI15),BI15/90,"")</f>
        <v>2.507972597713639</v>
      </c>
      <c r="M15" s="28" t="n">
        <v>41</v>
      </c>
      <c r="N15" s="28" t="n">
        <v>0</v>
      </c>
      <c r="O15" s="28" t="n">
        <v>0</v>
      </c>
      <c r="P15" s="30" t="n">
        <f>IF(AND(ISNUMBER(L15),L15&gt;0,COUNT(M15:O15)=3,MIN(M15:O15)&gt;=0),SUM(M15:O15)/L15,"")</f>
        <v>16.347866016310196</v>
      </c>
      <c r="Q15" s="16" t="str">
        <v>沿用原计划SKU店铺</v>
      </c>
      <c r="R15" s="16" t="str">
        <v>已匹配</v>
      </c>
      <c r="S15" s="16" t="str">
        <v>在售</v>
      </c>
      <c r="T15" s="16" t="str">
        <v>S02</v>
      </c>
      <c r="U15" s="16" t="str">
        <v>黑色</v>
      </c>
      <c r="V15" s="16" t="n">
        <v>10</v>
      </c>
      <c r="W15" s="8" t="str">
        <v>2026-10-11 至 2026-10-17</v>
      </c>
      <c r="X15" s="8" t="str">
        <v>2026-10-11、2026-10-12、2026-10-13、2026-10-14、2026-10-15、2026-10-16、2026-10-17</v>
      </c>
      <c r="Y15" s="8" t="str">
        <v>无</v>
      </c>
      <c r="Z15" s="8" t="n">
        <v>37</v>
      </c>
      <c r="AA15" s="8" t="n">
        <v>0</v>
      </c>
      <c r="AB15" s="8" t="n">
        <v>7</v>
      </c>
      <c r="AC15" s="8" t="str">
        <v>2026-10-02 至 2026-10-17</v>
      </c>
      <c r="AD15" s="8" t="str">
        <v>2026-10-02、2026-10-03、2026-10-04、2026-10-05、2026-10-08、2026-10-09、2026-10-10、2026-10-11、2026-10-12、2026-10-13、2026-10-14、2026-10-15、2026-10-16、2026-10-17</v>
      </c>
      <c r="AE15" s="8" t="str">
        <v>2026-10-06 大促；2026-10-07 大促</v>
      </c>
      <c r="AF15" s="8" t="n">
        <v>114</v>
      </c>
      <c r="AG15" s="8" t="n">
        <v>41</v>
      </c>
      <c r="AH15" s="8" t="n">
        <v>14</v>
      </c>
      <c r="AI15" s="8" t="str">
        <v>2026-09-16 至 2026-10-17</v>
      </c>
      <c r="AJ1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" s="8" t="str">
        <v>2026-10-06 大促；2026-10-07 大促</v>
      </c>
      <c r="AL15" s="8" t="n">
        <v>131</v>
      </c>
      <c r="AM15" s="8" t="n">
        <v>41</v>
      </c>
      <c r="AN15" s="8" t="n">
        <v>30</v>
      </c>
      <c r="AO15" s="8" t="str">
        <v>S02 / 黑色 / 6574</v>
      </c>
      <c r="AP15" s="11" t="n">
        <v>0.9634503791704667</v>
      </c>
      <c r="AQ15" s="11" t="n">
        <v>0.9634503791704667</v>
      </c>
      <c r="AR15" s="11" t="n">
        <v>0.902244307144596</v>
      </c>
      <c r="AS15" s="11" t="n">
        <f>IF(AND(COUNT(I15:K15,AP15:AR15)=6,MIN(AP15:AR15)&gt;0),I15/7/AP15*0.5+J15/14/AQ15*0.3+K15/30/AR15*0.2,"")</f>
        <v>5.031754111115767</v>
      </c>
      <c r="AT15" s="8" t="n">
        <v>187</v>
      </c>
      <c r="AU15" s="8" t="n">
        <v>41</v>
      </c>
      <c r="AV15" s="8" t="n">
        <v>88</v>
      </c>
      <c r="AW15" s="11" t="n">
        <f>IF(AND(COUNT(AT15:AV15)=3,AT15&gt;=AU15,AU15&gt;=0,AV15&gt;0),(AT15-AU15)/AV15,"")</f>
        <v>1.6590909090909092</v>
      </c>
      <c r="AX15" s="8" t="n">
        <v>229</v>
      </c>
      <c r="AY15" s="8" t="n">
        <v>41</v>
      </c>
      <c r="AZ15" s="8" t="n">
        <v>178</v>
      </c>
      <c r="BA15" s="11" t="n">
        <f>IF(AND(COUNT(AX15:AZ15)=3,AX15&gt;=AY15,AY15&gt;=0,AZ15&gt;0),(AX15-AY15)/AZ15,"")</f>
        <v>1.0561797752808988</v>
      </c>
      <c r="BB15" s="8" t="n">
        <f>IF(COUNT(AS15,AW15,BA15)=3,1,0)</f>
        <v>1</v>
      </c>
      <c r="BC15" s="11" t="n">
        <f>IF(SUMIF($AO$11:$AO$1309,AO15,$BB$11:$BB$1309)=COUNTIF($AO$11:$AO$1309,AO15),SUMIF($AO$11:$AO$1309,AO15,$AS$11:$AS$1309),"")</f>
        <v>24.832695374544848</v>
      </c>
      <c r="BD15" s="11" t="n">
        <f>IF(SUMIF($AO$11:$AO$1309,AO15,$BB$11:$BB$1309)=COUNTIF($AO$11:$AO$1309,AO15),SUMIF($AO$11:$AO$1309,AO15,$AW$11:$AW$1309),"")</f>
        <v>14.125</v>
      </c>
      <c r="BE15" s="11" t="n">
        <f>IF(SUMIF($AO$11:$AO$1309,AO15,$BB$11:$BB$1309)=COUNTIF($AO$11:$AO$1309,AO15),SUMIF($AO$11:$AO$1309,AO15,$BA$11:$BA$1309),"")</f>
        <v>9.584269662921349</v>
      </c>
      <c r="BF15" s="12" t="n">
        <f>IF(COUNT(BD15:BE15)&lt;&gt;2,"",IF(AND(BD15&gt;0,BE15&gt;0),0.7*AW15/BD15+0.3*BA15/BE15,IF(BD15&gt;0,AW15/BD15,IF(BE15&gt;0,BA15/BE15,IF(AND(ISNUMBER(BH15),BH15=0),0,"")))))</f>
        <v>0.11528022341289415</v>
      </c>
      <c r="BG15" s="11" t="n">
        <f>IF(AND(COUNT(BN15:BU15)=8,MIN(BN15:BU15)&gt;=0),SUMPRODUCT(BN15:BQ15,BR15:BU15),"")</f>
        <v>78.84726365280937</v>
      </c>
      <c r="BH15" s="11" t="n">
        <f>IF(COUNT(BC15,BG15)=2,BC15*BG15,"")</f>
        <v>1957.9900794066375</v>
      </c>
      <c r="BI15" s="11" t="n">
        <f>IF(ISNUMBER(CI15),CI15,"")</f>
        <v>225.71753379422753</v>
      </c>
      <c r="BJ15" s="8" t="str"/>
      <c r="BK15" s="8" t="str">
        <v>90天：2026-07-20 至 2026-10-17；180天：2026-04-21 至 2026-10-17</v>
      </c>
      <c r="BL15" s="8" t="str">
        <v>90天：2026-10-06、2026-10-07；180天：2026-10-06、2026-10-07</v>
      </c>
      <c r="BM15" s="8" t="str">
        <v>2026-10：12天 × 0.9634503791704667；2026-11：30天 × 0.8585031562320637；2026-12：31天 × 0.7896606554092485；2027-01：17天 × 1.0030167116538329</v>
      </c>
      <c r="BN15" s="11" t="n">
        <v>0.9634503791704667</v>
      </c>
      <c r="BO15" s="11" t="n">
        <v>0.8585031562320637</v>
      </c>
      <c r="BP15" s="11" t="n">
        <v>0.7896606554092485</v>
      </c>
      <c r="BQ15" s="11" t="n">
        <v>1.0030167116538329</v>
      </c>
      <c r="BR15" s="8" t="n">
        <v>12</v>
      </c>
      <c r="BS15" s="8" t="n">
        <v>30</v>
      </c>
      <c r="BT15" s="8" t="n">
        <v>31</v>
      </c>
      <c r="BU15" s="8" t="n">
        <v>17</v>
      </c>
      <c r="BV15" s="11" t="n">
        <f>IF(COUNT(BC15,BF15)=2,BC15*BF15,"")</f>
        <v>2.8627186707218732</v>
      </c>
      <c r="BW15" s="11" t="n">
        <f>IF(ISNUMBER(BN15),BN15,"")</f>
        <v>0.9634503791704667</v>
      </c>
      <c r="BX15" s="14" t="n">
        <f>IF(ISNUMBER(BR15),BR15,"")</f>
        <v>12</v>
      </c>
      <c r="BY15" s="13" t="n">
        <f>IF(AND(COUNT(BV15,BW15,BX15)=3,MIN(BV15,BW15,BX15)&gt;=0),BV15*BW15*BX15,"")</f>
        <v>33.09704866518436</v>
      </c>
      <c r="BZ15" s="11" t="n">
        <f>IF(ISNUMBER(BO15),BO15,"")</f>
        <v>0.8585031562320637</v>
      </c>
      <c r="CA15" s="14" t="n">
        <f>IF(ISNUMBER(BS15),BS15,"")</f>
        <v>30</v>
      </c>
      <c r="CB15" s="13" t="n">
        <f>IF(AND(COUNT(BV15,BZ15,CA15)=3,MIN(BV15,BZ15,CA15)&gt;=0),BV15*BZ15*CA15,"")</f>
        <v>73.72959042657558</v>
      </c>
      <c r="CC15" s="11" t="n">
        <f>IF(ISNUMBER(BP15),BP15,"")</f>
        <v>0.7896606554092485</v>
      </c>
      <c r="CD15" s="14" t="n">
        <f>IF(ISNUMBER(BT15),BT15,"")</f>
        <v>31</v>
      </c>
      <c r="CE15" s="13" t="n">
        <f>IF(AND(COUNT(BV15,CC15,CD15)=3,MIN(BV15,CC15,CD15)&gt;=0),BV15*CC15*CD15,"")</f>
        <v>70.07786535501035</v>
      </c>
      <c r="CF15" s="11" t="n">
        <f>IF(ISNUMBER(BQ15),BQ15,"")</f>
        <v>1.0030167116538329</v>
      </c>
      <c r="CG15" s="14" t="n">
        <f>IF(ISNUMBER(BU15),BU15,"")</f>
        <v>17</v>
      </c>
      <c r="CH15" s="13" t="n">
        <f>IF(AND(COUNT(BV15,CF15,CG15)=3,MIN(BV15,CF15,CG15)&gt;=0),BV15*CF15*CG15,"")</f>
        <v>48.813029347457245</v>
      </c>
      <c r="CI15" s="13" t="n">
        <f>IF(COUNT(BY15,CB15,CE15,CH15)=4,SUM(BY15,CB15,CE15,CH15),"")</f>
        <v>225.71753379422753</v>
      </c>
    </row>
    <row r="16" ht="72" customHeight="1">
      <c r="A16" s="16" t="str">
        <v>S02-BKP-40</v>
      </c>
      <c r="B16" s="16" t="str">
        <v>3店-SANDIEX-US</v>
      </c>
      <c r="C16" s="16" t="str">
        <v>陈晨</v>
      </c>
      <c r="D16" s="26" t="n">
        <f>IF(NOT(ISNUMBER(E16)),"",IF(OR(E16&lt;=0,L16=0),0,IF(OR(NOT(ISNUMBER(F16)),F16&lt;0),"",MIN(E16,INT(F16)))))</f>
        <v>131</v>
      </c>
      <c r="E16" s="27" t="n">
        <f>IF(OR(NOT(ISNUMBER(L16)),COUNT(M16:O16)&lt;&gt;3,MIN(M16:O16)&lt;0),"",ROUNDUP(ROUND(BI16-SUM(M16:O16),10),0))</f>
        <v>131</v>
      </c>
      <c r="F16" s="28" t="n">
        <v>154</v>
      </c>
      <c r="G16" s="28" t="n">
        <f>IF(AND(ISNUMBER(D16),ISNUMBER(E16)),IF(OR(E16&lt;=0,L16=0),0,E16-D16),"")</f>
        <v>0</v>
      </c>
      <c r="H16" s="16" t="str">
        <f>IF(NOT(ISNUMBER(E16)),"销量或海外库存待补",IF(OR(E16&lt;=0,L16=0),IF(L16=0,"零日销，本批不发","本批无需补货"),IF(NOT(ISNUMBER(D16)),"国内库存待补",IF(D16=0,"国内无可用库存",IF(G16&gt;0,"先发国内现货","按建议量发货")))))</f>
        <v>按建议量发货</v>
      </c>
      <c r="I16" s="28" t="n">
        <f>IF(AND(COUNT(Z16,AA16,AB16)=3,Z16&gt;=AA16,AA16&gt;=0,AB16=7),Z16-AA16,"")</f>
        <v>19</v>
      </c>
      <c r="J16" s="28" t="n">
        <f>IF(AND(COUNT(AF16,AG16,AH16)=3,AF16&gt;=AG16,AG16&gt;=0,AH16=14),AF16-AG16,"")</f>
        <v>41</v>
      </c>
      <c r="K16" s="28" t="n">
        <f>IF(AND(COUNT(AL16,AM16,AN16)=3,AL16&gt;=AM16,AM16&gt;=0,AN16=30),AL16-AM16,"")</f>
        <v>65</v>
      </c>
      <c r="L16" s="29" t="n">
        <f>IF(ISNUMBER(BI16),BI16/90,"")</f>
        <v>1.866351462253041</v>
      </c>
      <c r="M16" s="28" t="n">
        <v>37</v>
      </c>
      <c r="N16" s="28" t="n">
        <v>0</v>
      </c>
      <c r="O16" s="28" t="n">
        <v>0</v>
      </c>
      <c r="P16" s="30" t="n">
        <f>IF(AND(ISNUMBER(L16),L16&gt;0,COUNT(M16:O16)=3,MIN(M16:O16)&gt;=0),SUM(M16:O16)/L16,"")</f>
        <v>19.824776173365528</v>
      </c>
      <c r="Q16" s="16" t="str">
        <v>沿用原计划SKU店铺</v>
      </c>
      <c r="R16" s="16" t="str">
        <v>已匹配</v>
      </c>
      <c r="S16" s="16" t="str">
        <v>在售</v>
      </c>
      <c r="T16" s="16" t="str">
        <v>S02</v>
      </c>
      <c r="U16" s="16" t="str">
        <v>黑色PU</v>
      </c>
      <c r="V16" s="16" t="n">
        <v>9</v>
      </c>
      <c r="W16" s="8" t="str">
        <v>2026-10-11 至 2026-10-17</v>
      </c>
      <c r="X16" s="8" t="str">
        <v>2026-10-11、2026-10-12、2026-10-13、2026-10-14、2026-10-15、2026-10-16、2026-10-17</v>
      </c>
      <c r="Y16" s="8" t="str">
        <v>无</v>
      </c>
      <c r="Z16" s="8" t="n">
        <v>19</v>
      </c>
      <c r="AA16" s="8" t="n">
        <v>0</v>
      </c>
      <c r="AB16" s="8" t="n">
        <v>7</v>
      </c>
      <c r="AC16" s="8" t="str">
        <v>2026-10-02 至 2026-10-17</v>
      </c>
      <c r="AD16" s="8" t="str">
        <v>2026-10-02、2026-10-03、2026-10-04、2026-10-05、2026-10-08、2026-10-09、2026-10-10、2026-10-11、2026-10-12、2026-10-13、2026-10-14、2026-10-15、2026-10-16、2026-10-17</v>
      </c>
      <c r="AE16" s="8" t="str">
        <v>2026-10-06 大促；2026-10-07 大促</v>
      </c>
      <c r="AF16" s="8" t="n">
        <v>57</v>
      </c>
      <c r="AG16" s="8" t="n">
        <v>16</v>
      </c>
      <c r="AH16" s="8" t="n">
        <v>14</v>
      </c>
      <c r="AI16" s="8" t="str">
        <v>2026-09-16 至 2026-10-17</v>
      </c>
      <c r="AJ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" s="8" t="str">
        <v>2026-10-06 大促；2026-10-07 大促</v>
      </c>
      <c r="AL16" s="8" t="n">
        <v>81</v>
      </c>
      <c r="AM16" s="8" t="n">
        <v>16</v>
      </c>
      <c r="AN16" s="8" t="n">
        <v>30</v>
      </c>
      <c r="AO16" s="8" t="str">
        <v>S02 / 黑色PU / 6574</v>
      </c>
      <c r="AP16" s="11" t="n">
        <v>0.9634503791704667</v>
      </c>
      <c r="AQ16" s="11" t="n">
        <v>0.9634503791704667</v>
      </c>
      <c r="AR16" s="11" t="n">
        <v>0.902244307144596</v>
      </c>
      <c r="AS16" s="11" t="n">
        <f>IF(AND(COUNT(I16:K16,AP16:AR16)=6,MIN(AP16:AR16)&gt;0),I16/7/AP16*0.5+J16/14/AQ16*0.3+K16/30/AR16*0.2,"")</f>
        <v>2.8008125408961053</v>
      </c>
      <c r="AT16" s="8" t="n">
        <v>138</v>
      </c>
      <c r="AU16" s="8" t="n">
        <v>16</v>
      </c>
      <c r="AV16" s="8" t="n">
        <v>88</v>
      </c>
      <c r="AW16" s="11" t="n">
        <f>IF(AND(COUNT(AT16:AV16)=3,AT16&gt;=AU16,AU16&gt;=0,AV16&gt;0),(AT16-AU16)/AV16,"")</f>
        <v>1.3863636363636365</v>
      </c>
      <c r="AX16" s="8" t="n">
        <v>210</v>
      </c>
      <c r="AY16" s="8" t="n">
        <v>16</v>
      </c>
      <c r="AZ16" s="8" t="n">
        <v>178</v>
      </c>
      <c r="BA16" s="11" t="n">
        <f>IF(AND(COUNT(AX16:AZ16)=3,AX16&gt;=AY16,AY16&gt;=0,AZ16&gt;0),(AX16-AY16)/AZ16,"")</f>
        <v>1.0898876404494382</v>
      </c>
      <c r="BB16" s="8" t="n">
        <f>IF(COUNT(AS16,AW16,BA16)=3,1,0)</f>
        <v>1</v>
      </c>
      <c r="BC16" s="11" t="n">
        <f>IF(SUMIF($AO$11:$AO$1309,AO16,$BB$11:$BB$1309)=COUNTIF($AO$11:$AO$1309,AO16),SUMIF($AO$11:$AO$1309,AO16,$AS$11:$AS$1309),"")</f>
        <v>6.467825611843374</v>
      </c>
      <c r="BD16" s="11" t="n">
        <f>IF(SUMIF($AO$11:$AO$1309,AO16,$BB$11:$BB$1309)=COUNTIF($AO$11:$AO$1309,AO16),SUMIF($AO$11:$AO$1309,AO16,$AW$11:$AW$1309),"")</f>
        <v>4.170454545454546</v>
      </c>
      <c r="BE16" s="11" t="n">
        <f>IF(SUMIF($AO$11:$AO$1309,AO16,$BB$11:$BB$1309)=COUNTIF($AO$11:$AO$1309,AO16),SUMIF($AO$11:$AO$1309,AO16,$BA$11:$BA$1309),"")</f>
        <v>3.3820224719101124</v>
      </c>
      <c r="BF16" s="12" t="n">
        <f>IF(COUNT(BD16:BE16)&lt;&gt;2,"",IF(AND(BD16&gt;0,BE16&gt;0),0.7*AW16/BD16+0.3*BA16/BE16,IF(BD16&gt;0,AW16/BD16,IF(BE16&gt;0,BA16/BE16,IF(AND(ISNUMBER(BH16),BH16=0),0,"")))))</f>
        <v>0.32937528854771103</v>
      </c>
      <c r="BG16" s="11" t="n">
        <f>IF(AND(COUNT(BN16:BU16)=8,MIN(BN16:BU16)&gt;=0),SUMPRODUCT(BN16:BQ16,BR16:BU16),"")</f>
        <v>78.84726365280937</v>
      </c>
      <c r="BH16" s="11" t="n">
        <f>IF(COUNT(BC16,BG16)=2,BC16*BG16,"")</f>
        <v>509.9703512774076</v>
      </c>
      <c r="BI16" s="11" t="n">
        <f>IF(ISNUMBER(CI16),CI16,"")</f>
        <v>167.9716316027737</v>
      </c>
      <c r="BJ16" s="8" t="str"/>
      <c r="BK16" s="8" t="str">
        <v>90天：2026-07-20 至 2026-10-17；180天：2026-04-21 至 2026-10-17</v>
      </c>
      <c r="BL16" s="8" t="str">
        <v>90天：2026-10-06、2026-10-07；180天：2026-10-06、2026-10-07</v>
      </c>
      <c r="BM16" s="8" t="str">
        <v>2026-10：12天 × 0.9634503791704667；2026-11：30天 × 0.8585031562320637；2026-12：31天 × 0.7896606554092485；2027-01：17天 × 1.0030167116538329</v>
      </c>
      <c r="BN16" s="11" t="n">
        <v>0.9634503791704667</v>
      </c>
      <c r="BO16" s="11" t="n">
        <v>0.8585031562320637</v>
      </c>
      <c r="BP16" s="11" t="n">
        <v>0.7896606554092485</v>
      </c>
      <c r="BQ16" s="11" t="n">
        <v>1.0030167116538329</v>
      </c>
      <c r="BR16" s="8" t="n">
        <v>12</v>
      </c>
      <c r="BS16" s="8" t="n">
        <v>30</v>
      </c>
      <c r="BT16" s="8" t="n">
        <v>31</v>
      </c>
      <c r="BU16" s="8" t="n">
        <v>17</v>
      </c>
      <c r="BV16" s="11" t="n">
        <f>IF(COUNT(BC16,BF16)=2,BC16*BF16,"")</f>
        <v>2.130341927177187</v>
      </c>
      <c r="BW16" s="11" t="n">
        <f>IF(ISNUMBER(BN16),BN16,"")</f>
        <v>0.9634503791704667</v>
      </c>
      <c r="BX16" s="14" t="n">
        <f>IF(ISNUMBER(BR16),BR16,"")</f>
        <v>12</v>
      </c>
      <c r="BY16" s="13" t="n">
        <f>IF(AND(COUNT(BV16,BW16,BX16)=3,MIN(BV16,BW16,BX16)&gt;=0),BV16*BW16*BX16,"")</f>
        <v>24.629744850019243</v>
      </c>
      <c r="BZ16" s="11" t="n">
        <f>IF(ISNUMBER(BO16),BO16,"")</f>
        <v>0.8585031562320637</v>
      </c>
      <c r="CA16" s="14" t="n">
        <f>IF(ISNUMBER(BS16),BS16,"")</f>
        <v>30</v>
      </c>
      <c r="CB16" s="13" t="n">
        <f>IF(AND(COUNT(BV16,BZ16,CA16)=3,MIN(BV16,BZ16,CA16)&gt;=0),BV16*BZ16*CA16,"")</f>
        <v>54.86715805005337</v>
      </c>
      <c r="CC16" s="11" t="n">
        <f>IF(ISNUMBER(BP16),BP16,"")</f>
        <v>0.7896606554092485</v>
      </c>
      <c r="CD16" s="14" t="n">
        <f>IF(ISNUMBER(BT16),BT16,"")</f>
        <v>31</v>
      </c>
      <c r="CE16" s="13" t="n">
        <f>IF(AND(COUNT(BV16,CC16,CD16)=3,MIN(BV16,CC16,CD16)&gt;=0),BV16*CC16*CD16,"")</f>
        <v>52.14966327627671</v>
      </c>
      <c r="CF16" s="11" t="n">
        <f>IF(ISNUMBER(BQ16),BQ16,"")</f>
        <v>1.0030167116538329</v>
      </c>
      <c r="CG16" s="14" t="n">
        <f>IF(ISNUMBER(BU16),BU16,"")</f>
        <v>17</v>
      </c>
      <c r="CH16" s="13" t="n">
        <f>IF(AND(COUNT(BV16,CF16,CG16)=3,MIN(BV16,CF16,CG16)&gt;=0),BV16*CF16*CG16,"")</f>
        <v>36.32506542642437</v>
      </c>
      <c r="CI16" s="13" t="n">
        <f>IF(COUNT(BY16,CB16,CE16,CH16)=4,SUM(BY16,CB16,CE16,CH16),"")</f>
        <v>167.9716316027737</v>
      </c>
    </row>
    <row r="17" ht="72" customHeight="1">
      <c r="A17" s="16" t="str">
        <v>B06-LP-39-N</v>
      </c>
      <c r="B17" s="16" t="str">
        <v>1店-MUSSHOE-US</v>
      </c>
      <c r="C17" s="16" t="str">
        <v>艾年</v>
      </c>
      <c r="D17" s="26" t="n">
        <f>IF(NOT(ISNUMBER(E17)),"",IF(OR(E17&lt;=0,L17=0),0,IF(OR(NOT(ISNUMBER(F17)),F17&lt;0),"",MIN(E17,INT(F17)))))</f>
        <v>112</v>
      </c>
      <c r="E17" s="27" t="n">
        <f>IF(OR(NOT(ISNUMBER(L17)),COUNT(M17:O17)&lt;&gt;3,MIN(M17:O17)&lt;0),"",ROUNDUP(ROUND(BI17-SUM(M17:O17),10),0))</f>
        <v>112</v>
      </c>
      <c r="F17" s="28" t="n">
        <v>136</v>
      </c>
      <c r="G17" s="28" t="n">
        <f>IF(AND(ISNUMBER(D17),ISNUMBER(E17)),IF(OR(E17&lt;=0,L17=0),0,E17-D17),"")</f>
        <v>0</v>
      </c>
      <c r="H17" s="16" t="str">
        <f>IF(NOT(ISNUMBER(E17)),"销量或海外库存待补",IF(OR(E17&lt;=0,L17=0),IF(L17=0,"零日销，本批不发","本批无需补货"),IF(NOT(ISNUMBER(D17)),"国内库存待补",IF(D17=0,"国内无可用库存",IF(G17&gt;0,"先发国内现货","按建议量发货")))))</f>
        <v>按建议量发货</v>
      </c>
      <c r="I17" s="28" t="n">
        <f>IF(AND(COUNT(Z17,AA17,AB17)=3,Z17&gt;=AA17,AA17&gt;=0,AB17=7),Z17-AA17,"")</f>
        <v>16</v>
      </c>
      <c r="J17" s="28" t="n">
        <f>IF(AND(COUNT(AF17,AG17,AH17)=3,AF17&gt;=AG17,AG17&gt;=0,AH17=14),AF17-AG17,"")</f>
        <v>26</v>
      </c>
      <c r="K17" s="28" t="n">
        <f>IF(AND(COUNT(AL17,AM17,AN17)=3,AL17&gt;=AM17,AM17&gt;=0,AN17=30),AL17-AM17,"")</f>
        <v>47</v>
      </c>
      <c r="L17" s="29" t="n">
        <f>IF(ISNUMBER(BI17),BI17/90,"")</f>
        <v>1.4236718329748577</v>
      </c>
      <c r="M17" s="28" t="n">
        <v>17</v>
      </c>
      <c r="N17" s="28" t="n">
        <v>0</v>
      </c>
      <c r="O17" s="28" t="n">
        <v>0</v>
      </c>
      <c r="P17" s="30" t="n">
        <f>IF(AND(ISNUMBER(L17),L17&gt;0,COUNT(M17:O17)=3,MIN(M17:O17)&gt;=0),SUM(M17:O17)/L17,"")</f>
        <v>11.940954092262514</v>
      </c>
      <c r="Q17" s="16" t="str">
        <v>沿用原计划SKU店铺</v>
      </c>
      <c r="R17" s="16" t="str">
        <v>已匹配</v>
      </c>
      <c r="S17" s="16" t="str">
        <v>在售</v>
      </c>
      <c r="T17" s="16" t="str">
        <v>B06</v>
      </c>
      <c r="U17" s="16" t="str">
        <v>豹纹羊京绒</v>
      </c>
      <c r="V17" s="16" t="n">
        <v>8</v>
      </c>
      <c r="W17" s="8" t="str">
        <v>2026-10-11 至 2026-10-17</v>
      </c>
      <c r="X17" s="8" t="str">
        <v>2026-10-11、2026-10-12、2026-10-13、2026-10-14、2026-10-15、2026-10-16、2026-10-17</v>
      </c>
      <c r="Y17" s="8" t="str">
        <v>无</v>
      </c>
      <c r="Z17" s="8" t="n">
        <v>16</v>
      </c>
      <c r="AA17" s="8" t="n">
        <v>0</v>
      </c>
      <c r="AB17" s="8" t="n">
        <v>7</v>
      </c>
      <c r="AC17" s="8" t="str">
        <v>2026-10-02 至 2026-10-17</v>
      </c>
      <c r="AD17" s="8" t="str">
        <v>2026-10-02、2026-10-03、2026-10-04、2026-10-05、2026-10-08、2026-10-09、2026-10-10、2026-10-11、2026-10-12、2026-10-13、2026-10-14、2026-10-15、2026-10-16、2026-10-17</v>
      </c>
      <c r="AE17" s="8" t="str">
        <v>2026-10-06 大促；2026-10-07 大促</v>
      </c>
      <c r="AF17" s="8" t="n">
        <v>31</v>
      </c>
      <c r="AG17" s="8" t="n">
        <v>5</v>
      </c>
      <c r="AH17" s="8" t="n">
        <v>14</v>
      </c>
      <c r="AI17" s="8" t="str">
        <v>2026-09-16 至 2026-10-17</v>
      </c>
      <c r="AJ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" s="8" t="str">
        <v>2026-10-06 大促；2026-10-07 大促</v>
      </c>
      <c r="AL17" s="8" t="n">
        <v>52</v>
      </c>
      <c r="AM17" s="8" t="n">
        <v>5</v>
      </c>
      <c r="AN17" s="8" t="n">
        <v>30</v>
      </c>
      <c r="AO17" s="8" t="str">
        <v>B06 / 豹纹羊京绒 / 13120</v>
      </c>
      <c r="AP17" s="11" t="n">
        <v>1.2247029157699902</v>
      </c>
      <c r="AQ17" s="11" t="n">
        <v>1.2247029157699902</v>
      </c>
      <c r="AR17" s="11" t="n">
        <v>1.1136940657346173</v>
      </c>
      <c r="AS17" s="11" t="n">
        <f>IF(AND(COUNT(I17:K17,AP17:AR17)=6,MIN(AP17:AR17)&gt;0),I17/7/AP17*0.5+J17/14/AQ17*0.3+K17/30/AR17*0.2,"")</f>
        <v>1.6694377054320326</v>
      </c>
      <c r="AT17" s="8" t="n">
        <v>105</v>
      </c>
      <c r="AU17" s="8" t="n">
        <v>5</v>
      </c>
      <c r="AV17" s="8" t="n">
        <v>88</v>
      </c>
      <c r="AW17" s="11" t="n">
        <f>IF(AND(COUNT(AT17:AV17)=3,AT17&gt;=AU17,AU17&gt;=0,AV17&gt;0),(AT17-AU17)/AV17,"")</f>
        <v>1.1363636363636365</v>
      </c>
      <c r="AX17" s="8" t="n">
        <v>150</v>
      </c>
      <c r="AY17" s="8" t="n">
        <v>5</v>
      </c>
      <c r="AZ17" s="8" t="n">
        <v>178</v>
      </c>
      <c r="BA17" s="11" t="n">
        <f>IF(AND(COUNT(AX17:AZ17)=3,AX17&gt;=AY17,AY17&gt;=0,AZ17&gt;0),(AX17-AY17)/AZ17,"")</f>
        <v>0.8146067415730337</v>
      </c>
      <c r="BB17" s="8" t="n">
        <f>IF(COUNT(AS17,AW17,BA17)=3,1,0)</f>
        <v>1</v>
      </c>
      <c r="BC17" s="11" t="n">
        <f>IF(SUMIF($AO$11:$AO$1309,AO17,$BB$11:$BB$1309)=COUNTIF($AO$11:$AO$1309,AO17),SUMIF($AO$11:$AO$1309,AO17,$AS$11:$AS$1309),"")</f>
        <v>10.232422007128712</v>
      </c>
      <c r="BD17" s="11" t="n">
        <f>IF(SUMIF($AO$11:$AO$1309,AO17,$BB$11:$BB$1309)=COUNTIF($AO$11:$AO$1309,AO17),SUMIF($AO$11:$AO$1309,AO17,$AW$11:$AW$1309),"")</f>
        <v>6.3522727272727275</v>
      </c>
      <c r="BE17" s="11" t="n">
        <f>IF(SUMIF($AO$11:$AO$1309,AO17,$BB$11:$BB$1309)=COUNTIF($AO$11:$AO$1309,AO17),SUMIF($AO$11:$AO$1309,AO17,$BA$11:$BA$1309),"")</f>
        <v>5.5</v>
      </c>
      <c r="BF17" s="12" t="n">
        <f>IF(COUNT(BD17:BE17)&lt;&gt;2,"",IF(AND(BD17&gt;0,BE17&gt;0),0.7*AW17/BD17+0.3*BA17/BE17,IF(BD17&gt;0,AW17/BD17,IF(BE17&gt;0,BA17/BE17,IF(AND(ISNUMBER(BH17),BH17=0),0,"")))))</f>
        <v>0.1696567085905994</v>
      </c>
      <c r="BG17" s="11" t="n">
        <f>IF(AND(COUNT(BN17:BU17)=8,MIN(BN17:BU17)&gt;=0),SUMPRODUCT(BN17:BQ17,BR17:BU17),"")</f>
        <v>73.80791239847399</v>
      </c>
      <c r="BH17" s="11" t="n">
        <f>IF(COUNT(BC17,BG17)=2,BC17*BG17,"")</f>
        <v>755.2337071263734</v>
      </c>
      <c r="BI17" s="11" t="n">
        <f>IF(ISNUMBER(CI17),CI17,"")</f>
        <v>128.1304649677372</v>
      </c>
      <c r="BJ17" s="8" t="str">
        <v>低销提醒依据不完整</v>
      </c>
      <c r="BK17" s="8" t="str">
        <v>90天：2026-07-20 至 2026-10-17；180天：2026-04-21 至 2026-10-17</v>
      </c>
      <c r="BL17" s="8" t="str">
        <v>90天：2026-10-06、2026-10-07；180天：2026-10-06、2026-10-07</v>
      </c>
      <c r="BM17" s="8" t="str">
        <v>2026-10：12天 × 1.2247029157699902；2026-11：30天 × 0.8332682139098497；2026-12：31天 × 0.5511018253564084；2027-01：17天 × 1.0017220238758797</v>
      </c>
      <c r="BN17" s="11" t="n">
        <v>1.2247029157699902</v>
      </c>
      <c r="BO17" s="11" t="n">
        <v>0.8332682139098497</v>
      </c>
      <c r="BP17" s="11" t="n">
        <v>0.5511018253564084</v>
      </c>
      <c r="BQ17" s="11" t="n">
        <v>1.0017220238758797</v>
      </c>
      <c r="BR17" s="8" t="n">
        <v>12</v>
      </c>
      <c r="BS17" s="8" t="n">
        <v>30</v>
      </c>
      <c r="BT17" s="8" t="n">
        <v>31</v>
      </c>
      <c r="BU17" s="8" t="n">
        <v>17</v>
      </c>
      <c r="BV17" s="11" t="n">
        <f>IF(COUNT(BC17,BF17)=2,BC17*BF17,"")</f>
        <v>1.735999038639472</v>
      </c>
      <c r="BW17" s="11" t="n">
        <f>IF(ISNUMBER(BN17),BN17,"")</f>
        <v>1.2247029157699902</v>
      </c>
      <c r="BX17" s="14" t="n">
        <f>IF(ISNUMBER(BR17),BR17,"")</f>
        <v>12</v>
      </c>
      <c r="BY17" s="13" t="n">
        <f>IF(AND(COUNT(BV17,BW17,BX17)=3,MIN(BV17,BW17,BX17)&gt;=0),BV17*BW17*BX17,"")</f>
        <v>25.51299701274793</v>
      </c>
      <c r="BZ17" s="11" t="n">
        <f>IF(ISNUMBER(BO17),BO17,"")</f>
        <v>0.8332682139098497</v>
      </c>
      <c r="CA17" s="14" t="n">
        <f>IF(ISNUMBER(BS17),BS17,"")</f>
        <v>30</v>
      </c>
      <c r="CB17" s="13" t="n">
        <f>IF(AND(COUNT(BV17,BZ17,CA17)=3,MIN(BV17,BZ17,CA17)&gt;=0),BV17*BZ17*CA17,"")</f>
        <v>43.396584548289866</v>
      </c>
      <c r="CC17" s="11" t="n">
        <f>IF(ISNUMBER(BP17),BP17,"")</f>
        <v>0.5511018253564084</v>
      </c>
      <c r="CD17" s="14" t="n">
        <f>IF(ISNUMBER(BT17),BT17,"")</f>
        <v>31</v>
      </c>
      <c r="CE17" s="13" t="n">
        <f>IF(AND(COUNT(BV17,CC17,CD17)=3,MIN(BV17,CC17,CD17)&gt;=0),BV17*CC17*CD17,"")</f>
        <v>29.658079409346676</v>
      </c>
      <c r="CF17" s="11" t="n">
        <f>IF(ISNUMBER(BQ17),BQ17,"")</f>
        <v>1.0017220238758797</v>
      </c>
      <c r="CG17" s="14" t="n">
        <f>IF(ISNUMBER(BU17),BU17,"")</f>
        <v>17</v>
      </c>
      <c r="CH17" s="13" t="n">
        <f>IF(AND(COUNT(BV17,CF17,CG17)=3,MIN(BV17,CF17,CG17)&gt;=0),BV17*CF17*CG17,"")</f>
        <v>29.562803997352727</v>
      </c>
      <c r="CI17" s="13" t="n">
        <f>IF(COUNT(BY17,CB17,CE17,CH17)=4,SUM(BY17,CB17,CE17,CH17),"")</f>
        <v>128.1304649677372</v>
      </c>
    </row>
    <row r="18" ht="72" customHeight="1">
      <c r="A18" s="16" t="str">
        <v>S02-BG-40</v>
      </c>
      <c r="B18" s="16" t="str">
        <v>3店-SANDIEX-US</v>
      </c>
      <c r="C18" s="16" t="str">
        <v>陈晨</v>
      </c>
      <c r="D18" s="26" t="n">
        <f>IF(NOT(ISNUMBER(E18)),"",IF(OR(E18&lt;=0,L18=0),0,IF(OR(NOT(ISNUMBER(F18)),F18&lt;0),"",MIN(E18,INT(F18)))))</f>
        <v>111</v>
      </c>
      <c r="E18" s="27" t="n">
        <f>IF(OR(NOT(ISNUMBER(L18)),COUNT(M18:O18)&lt;&gt;3,MIN(M18:O18)&lt;0),"",ROUNDUP(ROUND(BI18-SUM(M18:O18),10),0))</f>
        <v>111</v>
      </c>
      <c r="F18" s="28" t="n">
        <v>328</v>
      </c>
      <c r="G18" s="28" t="n">
        <f>IF(AND(ISNUMBER(D18),ISNUMBER(E18)),IF(OR(E18&lt;=0,L18=0),0,E18-D18),"")</f>
        <v>0</v>
      </c>
      <c r="H18" s="16" t="str">
        <f>IF(NOT(ISNUMBER(E18)),"销量或海外库存待补",IF(OR(E18&lt;=0,L18=0),IF(L18=0,"零日销，本批不发","本批无需补货"),IF(NOT(ISNUMBER(D18)),"国内库存待补",IF(D18=0,"国内无可用库存",IF(G18&gt;0,"先发国内现货","按建议量发货")))))</f>
        <v>按建议量发货</v>
      </c>
      <c r="I18" s="28" t="n">
        <f>IF(AND(COUNT(Z18,AA18,AB18)=3,Z18&gt;=AA18,AA18&gt;=0,AB18=7),Z18-AA18,"")</f>
        <v>27</v>
      </c>
      <c r="J18" s="28" t="n">
        <f>IF(AND(COUNT(AF18,AG18,AH18)=3,AF18&gt;=AG18,AG18&gt;=0,AH18=14),AF18-AG18,"")</f>
        <v>56</v>
      </c>
      <c r="K18" s="28" t="n">
        <f>IF(AND(COUNT(AL18,AM18,AN18)=3,AL18&gt;=AM18,AM18&gt;=0,AN18=30),AL18-AM18,"")</f>
        <v>114</v>
      </c>
      <c r="L18" s="29" t="n">
        <f>IF(ISNUMBER(BI18),BI18/90,"")</f>
        <v>2.8875499402787996</v>
      </c>
      <c r="M18" s="28" t="n">
        <v>140</v>
      </c>
      <c r="N18" s="28" t="n">
        <v>0</v>
      </c>
      <c r="O18" s="28" t="n">
        <v>9</v>
      </c>
      <c r="P18" s="30" t="n">
        <f>IF(AND(ISNUMBER(L18),L18&gt;0,COUNT(M18:O18)=3,MIN(M18:O18)&gt;=0),SUM(M18:O18)/L18,"")</f>
        <v>51.60083914795036</v>
      </c>
      <c r="Q18" s="16" t="str">
        <v>沿用原计划SKU店铺</v>
      </c>
      <c r="R18" s="16" t="str">
        <v>已匹配</v>
      </c>
      <c r="S18" s="16" t="str">
        <v>在售</v>
      </c>
      <c r="T18" s="16" t="str">
        <v>S02</v>
      </c>
      <c r="U18" s="16" t="str">
        <v>裸色</v>
      </c>
      <c r="V18" s="16" t="n">
        <v>9</v>
      </c>
      <c r="W18" s="8" t="str">
        <v>2026-10-11 至 2026-10-17</v>
      </c>
      <c r="X18" s="8" t="str">
        <v>2026-10-11、2026-10-12、2026-10-13、2026-10-14、2026-10-15、2026-10-16、2026-10-17</v>
      </c>
      <c r="Y18" s="8" t="str">
        <v>无</v>
      </c>
      <c r="Z18" s="8" t="n">
        <v>27</v>
      </c>
      <c r="AA18" s="8" t="n">
        <v>0</v>
      </c>
      <c r="AB18" s="8" t="n">
        <v>7</v>
      </c>
      <c r="AC18" s="8" t="str">
        <v>2026-10-02 至 2026-10-17</v>
      </c>
      <c r="AD18" s="8" t="str">
        <v>2026-10-02、2026-10-03、2026-10-04、2026-10-05、2026-10-08、2026-10-09、2026-10-10、2026-10-11、2026-10-12、2026-10-13、2026-10-14、2026-10-15、2026-10-16、2026-10-17</v>
      </c>
      <c r="AE18" s="8" t="str">
        <v>2026-10-06 大促；2026-10-07 大促</v>
      </c>
      <c r="AF18" s="8" t="n">
        <v>93</v>
      </c>
      <c r="AG18" s="8" t="n">
        <v>37</v>
      </c>
      <c r="AH18" s="8" t="n">
        <v>14</v>
      </c>
      <c r="AI18" s="8" t="str">
        <v>2026-09-16 至 2026-10-17</v>
      </c>
      <c r="AJ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" s="8" t="str">
        <v>2026-10-06 大促；2026-10-07 大促</v>
      </c>
      <c r="AL18" s="8" t="n">
        <v>151</v>
      </c>
      <c r="AM18" s="8" t="n">
        <v>37</v>
      </c>
      <c r="AN18" s="8" t="n">
        <v>30</v>
      </c>
      <c r="AO18" s="8" t="str">
        <v>S02 / 裸色 / 6574</v>
      </c>
      <c r="AP18" s="11" t="n">
        <v>0.9634503791704667</v>
      </c>
      <c r="AQ18" s="11" t="n">
        <v>0.9634503791704667</v>
      </c>
      <c r="AR18" s="11" t="n">
        <v>0.902244307144596</v>
      </c>
      <c r="AS18" s="11" t="n">
        <f>IF(AND(COUNT(I18:K18,AP18:AR18)=6,MIN(AP18:AR18)&gt;0),I18/7/AP18*0.5+J18/14/AQ18*0.3+K18/30/AR18*0.2,"")</f>
        <v>4.089601370194614</v>
      </c>
      <c r="AT18" s="8" t="n">
        <v>233</v>
      </c>
      <c r="AU18" s="8" t="n">
        <v>37</v>
      </c>
      <c r="AV18" s="8" t="n">
        <v>88</v>
      </c>
      <c r="AW18" s="11" t="n">
        <f>IF(AND(COUNT(AT18:AV18)=3,AT18&gt;=AU18,AU18&gt;=0,AV18&gt;0),(AT18-AU18)/AV18,"")</f>
        <v>2.227272727272727</v>
      </c>
      <c r="AX18" s="8" t="n">
        <v>369</v>
      </c>
      <c r="AY18" s="8" t="n">
        <v>37</v>
      </c>
      <c r="AZ18" s="8" t="n">
        <v>178</v>
      </c>
      <c r="BA18" s="11" t="n">
        <f>IF(AND(COUNT(AX18:AZ18)=3,AX18&gt;=AY18,AY18&gt;=0,AZ18&gt;0),(AX18-AY18)/AZ18,"")</f>
        <v>1.8651685393258426</v>
      </c>
      <c r="BB18" s="8" t="n">
        <f>IF(COUNT(AS18,AW18,BA18)=3,1,0)</f>
        <v>1</v>
      </c>
      <c r="BC18" s="11" t="n">
        <f>IF(SUMIF($AO$11:$AO$1309,AO18,$BB$11:$BB$1309)=COUNTIF($AO$11:$AO$1309,AO18),SUMIF($AO$11:$AO$1309,AO18,$AS$11:$AS$1309),"")</f>
        <v>13.209043546268767</v>
      </c>
      <c r="BD18" s="11" t="n">
        <f>IF(SUMIF($AO$11:$AO$1309,AO18,$BB$11:$BB$1309)=COUNTIF($AO$11:$AO$1309,AO18),SUMIF($AO$11:$AO$1309,AO18,$AW$11:$AW$1309),"")</f>
        <v>8.681818181818183</v>
      </c>
      <c r="BE18" s="11" t="n">
        <f>IF(SUMIF($AO$11:$AO$1309,AO18,$BB$11:$BB$1309)=COUNTIF($AO$11:$AO$1309,AO18),SUMIF($AO$11:$AO$1309,AO18,$BA$11:$BA$1309),"")</f>
        <v>8</v>
      </c>
      <c r="BF18" s="12" t="n">
        <f>IF(COUNT(BD18:BE18)&lt;&gt;2,"",IF(AND(BD18&gt;0,BE18&gt;0),0.7*AW18/BD18+0.3*BA18/BE18,IF(BD18&gt;0,AW18/BD18,IF(BE18&gt;0,BA18/BE18,IF(AND(ISNUMBER(BH18),BH18=0),0,"")))))</f>
        <v>0.24952497205717977</v>
      </c>
      <c r="BG18" s="11" t="n">
        <f>IF(AND(COUNT(BN18:BU18)=8,MIN(BN18:BU18)&gt;=0),SUMPRODUCT(BN18:BQ18,BR18:BU18),"")</f>
        <v>78.84726365280937</v>
      </c>
      <c r="BH18" s="11" t="n">
        <f>IF(COUNT(BC18,BG18)=2,BC18*BG18,"")</f>
        <v>1041.4969390940935</v>
      </c>
      <c r="BI18" s="11" t="n">
        <f>IF(ISNUMBER(CI18),CI18,"")</f>
        <v>259.879494625092</v>
      </c>
      <c r="BJ18" s="8" t="str"/>
      <c r="BK18" s="8" t="str">
        <v>90天：2026-07-20 至 2026-10-17；180天：2026-04-21 至 2026-10-17</v>
      </c>
      <c r="BL18" s="8" t="str">
        <v>90天：2026-10-06、2026-10-07；180天：2026-10-06、2026-10-07</v>
      </c>
      <c r="BM18" s="8" t="str">
        <v>2026-10：12天 × 0.9634503791704667；2026-11：30天 × 0.8585031562320637；2026-12：31天 × 0.7896606554092485；2027-01：17天 × 1.0030167116538329</v>
      </c>
      <c r="BN18" s="11" t="n">
        <v>0.9634503791704667</v>
      </c>
      <c r="BO18" s="11" t="n">
        <v>0.8585031562320637</v>
      </c>
      <c r="BP18" s="11" t="n">
        <v>0.7896606554092485</v>
      </c>
      <c r="BQ18" s="11" t="n">
        <v>1.0030167116538329</v>
      </c>
      <c r="BR18" s="8" t="n">
        <v>12</v>
      </c>
      <c r="BS18" s="8" t="n">
        <v>30</v>
      </c>
      <c r="BT18" s="8" t="n">
        <v>31</v>
      </c>
      <c r="BU18" s="8" t="n">
        <v>17</v>
      </c>
      <c r="BV18" s="11" t="n">
        <f>IF(COUNT(BC18,BF18)=2,BC18*BF18,"")</f>
        <v>3.295986221784785</v>
      </c>
      <c r="BW18" s="11" t="n">
        <f>IF(ISNUMBER(BN18),BN18,"")</f>
        <v>0.9634503791704667</v>
      </c>
      <c r="BX18" s="14" t="n">
        <f>IF(ISNUMBER(BR18),BR18,"")</f>
        <v>12</v>
      </c>
      <c r="BY18" s="13" t="n">
        <f>IF(AND(COUNT(BV18,BW18,BX18)=3,MIN(BV18,BW18,BX18)&gt;=0),BV18*BW18*BX18,"")</f>
        <v>38.10623010143022</v>
      </c>
      <c r="BZ18" s="11" t="n">
        <f>IF(ISNUMBER(BO18),BO18,"")</f>
        <v>0.8585031562320637</v>
      </c>
      <c r="CA18" s="14" t="n">
        <f>IF(ISNUMBER(BS18),BS18,"")</f>
        <v>30</v>
      </c>
      <c r="CB18" s="13" t="n">
        <f>IF(AND(COUNT(BV18,BZ18,CA18)=3,MIN(BV18,BZ18,CA18)&gt;=0),BV18*BZ18*CA18,"")</f>
        <v>84.88843722898898</v>
      </c>
      <c r="CC18" s="11" t="n">
        <f>IF(ISNUMBER(BP18),BP18,"")</f>
        <v>0.7896606554092485</v>
      </c>
      <c r="CD18" s="14" t="n">
        <f>IF(ISNUMBER(BT18),BT18,"")</f>
        <v>31</v>
      </c>
      <c r="CE18" s="13" t="n">
        <f>IF(AND(COUNT(BV18,CC18,CD18)=3,MIN(BV18,CC18,CD18)&gt;=0),BV18*CC18*CD18,"")</f>
        <v>80.6840298435472</v>
      </c>
      <c r="CF18" s="11" t="n">
        <f>IF(ISNUMBER(BQ18),BQ18,"")</f>
        <v>1.0030167116538329</v>
      </c>
      <c r="CG18" s="14" t="n">
        <f>IF(ISNUMBER(BU18),BU18,"")</f>
        <v>17</v>
      </c>
      <c r="CH18" s="13" t="n">
        <f>IF(AND(COUNT(BV18,CF18,CG18)=3,MIN(BV18,CF18,CG18)&gt;=0),BV18*CF18*CG18,"")</f>
        <v>56.20079745112557</v>
      </c>
      <c r="CI18" s="13" t="n">
        <f>IF(COUNT(BY18,CB18,CE18,CH18)=4,SUM(BY18,CB18,CE18,CH18),"")</f>
        <v>259.879494625092</v>
      </c>
    </row>
    <row r="19" ht="72" customHeight="1">
      <c r="A19" s="16" t="str">
        <v>S02-BK-42</v>
      </c>
      <c r="B19" s="16" t="str">
        <v>3店-SANDIEX-US</v>
      </c>
      <c r="C19" s="16" t="str">
        <v>陈晨</v>
      </c>
      <c r="D19" s="26" t="n">
        <f>IF(NOT(ISNUMBER(E19)),"",IF(OR(E19&lt;=0,L19=0),0,IF(OR(NOT(ISNUMBER(F19)),F19&lt;0),"",MIN(E19,INT(F19)))))</f>
        <v>102</v>
      </c>
      <c r="E19" s="27" t="n">
        <f>IF(OR(NOT(ISNUMBER(L19)),COUNT(M19:O19)&lt;&gt;3,MIN(M19:O19)&lt;0),"",ROUNDUP(ROUND(BI19-SUM(M19:O19),10),0))</f>
        <v>102</v>
      </c>
      <c r="F19" s="28" t="n">
        <v>139</v>
      </c>
      <c r="G19" s="28" t="n">
        <f>IF(AND(ISNUMBER(D19),ISNUMBER(E19)),IF(OR(E19&lt;=0,L19=0),0,E19-D19),"")</f>
        <v>0</v>
      </c>
      <c r="H19" s="16" t="str">
        <f>IF(NOT(ISNUMBER(E19)),"销量或海外库存待补",IF(OR(E19&lt;=0,L19=0),IF(L19=0,"零日销，本批不发","本批无需补货"),IF(NOT(ISNUMBER(D19)),"国内库存待补",IF(D19=0,"国内无可用库存",IF(G19&gt;0,"先发国内现货","按建议量发货")))))</f>
        <v>按建议量发货</v>
      </c>
      <c r="I19" s="28" t="n">
        <f>IF(AND(COUNT(Z19,AA19,AB19)=3,Z19&gt;=AA19,AA19&gt;=0,AB19=7),Z19-AA19,"")</f>
        <v>1</v>
      </c>
      <c r="J19" s="28" t="n">
        <f>IF(AND(COUNT(AF19,AG19,AH19)=3,AF19&gt;=AG19,AG19&gt;=0,AH19=14),AF19-AG19,"")</f>
        <v>11</v>
      </c>
      <c r="K19" s="28" t="n">
        <f>IF(AND(COUNT(AL19,AM19,AN19)=3,AL19&gt;=AM19,AM19&gt;=0,AN19=30),AL19-AM19,"")</f>
        <v>35</v>
      </c>
      <c r="L19" s="29" t="n">
        <f>IF(ISNUMBER(BI19),BI19/90,"")</f>
        <v>1.201153970385203</v>
      </c>
      <c r="M19" s="28" t="n">
        <v>7</v>
      </c>
      <c r="N19" s="28" t="n">
        <v>0</v>
      </c>
      <c r="O19" s="28" t="n">
        <v>0</v>
      </c>
      <c r="P19" s="30" t="n">
        <f>IF(AND(ISNUMBER(L19),L19&gt;0,COUNT(M19:O19)=3,MIN(M19:O19)&gt;=0),SUM(M19:O19)/L19,"")</f>
        <v>5.827729144295415</v>
      </c>
      <c r="Q19" s="16" t="str">
        <v>沿用原计划SKU店铺</v>
      </c>
      <c r="R19" s="16" t="str">
        <v>已匹配</v>
      </c>
      <c r="S19" s="16" t="str">
        <v>在售</v>
      </c>
      <c r="T19" s="16" t="str">
        <v>S02</v>
      </c>
      <c r="U19" s="16" t="str">
        <v>黑色</v>
      </c>
      <c r="V19" s="16" t="n">
        <v>11</v>
      </c>
      <c r="W19" s="8" t="str">
        <v>2026-10-11 至 2026-10-17</v>
      </c>
      <c r="X19" s="8" t="str">
        <v>2026-10-11、2026-10-12、2026-10-13、2026-10-14、2026-10-15、2026-10-16、2026-10-17</v>
      </c>
      <c r="Y19" s="8" t="str">
        <v>无</v>
      </c>
      <c r="Z19" s="8" t="n">
        <v>1</v>
      </c>
      <c r="AA19" s="8" t="n">
        <v>0</v>
      </c>
      <c r="AB19" s="8" t="n">
        <v>7</v>
      </c>
      <c r="AC19" s="8" t="str">
        <v>2026-10-02 至 2026-10-17</v>
      </c>
      <c r="AD19" s="8" t="str">
        <v>2026-10-02、2026-10-03、2026-10-04、2026-10-05、2026-10-08、2026-10-09、2026-10-10、2026-10-11、2026-10-12、2026-10-13、2026-10-14、2026-10-15、2026-10-16、2026-10-17</v>
      </c>
      <c r="AE19" s="8" t="str">
        <v>2026-10-06 大促；2026-10-07 大促</v>
      </c>
      <c r="AF19" s="8" t="n">
        <v>12</v>
      </c>
      <c r="AG19" s="8" t="n">
        <v>1</v>
      </c>
      <c r="AH19" s="8" t="n">
        <v>14</v>
      </c>
      <c r="AI19" s="8" t="str">
        <v>2026-09-16 至 2026-10-17</v>
      </c>
      <c r="AJ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" s="8" t="str">
        <v>2026-10-06 大促；2026-10-07 大促</v>
      </c>
      <c r="AL19" s="8" t="n">
        <v>36</v>
      </c>
      <c r="AM19" s="8" t="n">
        <v>1</v>
      </c>
      <c r="AN19" s="8" t="n">
        <v>30</v>
      </c>
      <c r="AO19" s="8" t="str">
        <v>S02 / 黑色 / 6574</v>
      </c>
      <c r="AP19" s="11" t="n">
        <v>0.9634503791704667</v>
      </c>
      <c r="AQ19" s="11" t="n">
        <v>0.9634503791704667</v>
      </c>
      <c r="AR19" s="11" t="n">
        <v>0.902244307144596</v>
      </c>
      <c r="AS19" s="11" t="n">
        <f>IF(AND(COUNT(I19:K19,AP19:AR19)=6,MIN(AP19:AR19)&gt;0),I19/7/AP19*0.5+J19/14/AQ19*0.3+K19/30/AR19*0.2,"")</f>
        <v>0.5774090410875562</v>
      </c>
      <c r="AT19" s="8" t="n">
        <v>70</v>
      </c>
      <c r="AU19" s="8" t="n">
        <v>1</v>
      </c>
      <c r="AV19" s="8" t="n">
        <v>88</v>
      </c>
      <c r="AW19" s="11" t="n">
        <f>IF(AND(COUNT(AT19:AV19)=3,AT19&gt;=AU19,AU19&gt;=0,AV19&gt;0),(AT19-AU19)/AV19,"")</f>
        <v>0.7840909090909091</v>
      </c>
      <c r="AX19" s="8" t="n">
        <v>94</v>
      </c>
      <c r="AY19" s="8" t="n">
        <v>1</v>
      </c>
      <c r="AZ19" s="8" t="n">
        <v>178</v>
      </c>
      <c r="BA19" s="11" t="n">
        <f>IF(AND(COUNT(AX19:AZ19)=3,AX19&gt;=AY19,AY19&gt;=0,AZ19&gt;0),(AX19-AY19)/AZ19,"")</f>
        <v>0.5224719101123596</v>
      </c>
      <c r="BB19" s="8" t="n">
        <f>IF(COUNT(AS19,AW19,BA19)=3,1,0)</f>
        <v>1</v>
      </c>
      <c r="BC19" s="11" t="n">
        <f>IF(SUMIF($AO$11:$AO$1309,AO19,$BB$11:$BB$1309)=COUNTIF($AO$11:$AO$1309,AO19),SUMIF($AO$11:$AO$1309,AO19,$AS$11:$AS$1309),"")</f>
        <v>24.832695374544848</v>
      </c>
      <c r="BD19" s="11" t="n">
        <f>IF(SUMIF($AO$11:$AO$1309,AO19,$BB$11:$BB$1309)=COUNTIF($AO$11:$AO$1309,AO19),SUMIF($AO$11:$AO$1309,AO19,$AW$11:$AW$1309),"")</f>
        <v>14.125</v>
      </c>
      <c r="BE19" s="11" t="n">
        <f>IF(SUMIF($AO$11:$AO$1309,AO19,$BB$11:$BB$1309)=COUNTIF($AO$11:$AO$1309,AO19),SUMIF($AO$11:$AO$1309,AO19,$BA$11:$BA$1309),"")</f>
        <v>9.584269662921349</v>
      </c>
      <c r="BF19" s="12" t="n">
        <f>IF(COUNT(BD19:BE19)&lt;&gt;2,"",IF(AND(BD19&gt;0,BE19&gt;0),0.7*AW19/BD19+0.3*BA19/BE19,IF(BD19&gt;0,AW19/BD19,IF(BE19&gt;0,BA19/BE19,IF(AND(ISNUMBER(BH19),BH19=0),0,"")))))</f>
        <v>0.05521164712306855</v>
      </c>
      <c r="BG19" s="11" t="n">
        <f>IF(AND(COUNT(BN19:BU19)=8,MIN(BN19:BU19)&gt;=0),SUMPRODUCT(BN19:BQ19,BR19:BU19),"")</f>
        <v>78.84726365280937</v>
      </c>
      <c r="BH19" s="11" t="n">
        <f>IF(COUNT(BC19,BG19)=2,BC19*BG19,"")</f>
        <v>1957.9900794066375</v>
      </c>
      <c r="BI19" s="11" t="n">
        <f>IF(ISNUMBER(CI19),CI19,"")</f>
        <v>108.10385733466826</v>
      </c>
      <c r="BJ19" s="8" t="str"/>
      <c r="BK19" s="8" t="str">
        <v>90天：2026-07-20 至 2026-10-17；180天：2026-04-21 至 2026-10-17</v>
      </c>
      <c r="BL19" s="8" t="str">
        <v>90天：2026-10-06、2026-10-07；180天：2026-10-06、2026-10-07</v>
      </c>
      <c r="BM19" s="8" t="str">
        <v>2026-10：12天 × 0.9634503791704667；2026-11：30天 × 0.8585031562320637；2026-12：31天 × 0.7896606554092485；2027-01：17天 × 1.0030167116538329</v>
      </c>
      <c r="BN19" s="11" t="n">
        <v>0.9634503791704667</v>
      </c>
      <c r="BO19" s="11" t="n">
        <v>0.8585031562320637</v>
      </c>
      <c r="BP19" s="11" t="n">
        <v>0.7896606554092485</v>
      </c>
      <c r="BQ19" s="11" t="n">
        <v>1.0030167116538329</v>
      </c>
      <c r="BR19" s="8" t="n">
        <v>12</v>
      </c>
      <c r="BS19" s="8" t="n">
        <v>30</v>
      </c>
      <c r="BT19" s="8" t="n">
        <v>31</v>
      </c>
      <c r="BU19" s="8" t="n">
        <v>17</v>
      </c>
      <c r="BV19" s="11" t="n">
        <f>IF(COUNT(BC19,BF19)=2,BC19*BF19,"")</f>
        <v>1.3710540141340268</v>
      </c>
      <c r="BW19" s="11" t="n">
        <f>IF(ISNUMBER(BN19),BN19,"")</f>
        <v>0.9634503791704667</v>
      </c>
      <c r="BX19" s="14" t="n">
        <f>IF(ISNUMBER(BR19),BR19,"")</f>
        <v>12</v>
      </c>
      <c r="BY19" s="13" t="n">
        <f>IF(AND(COUNT(BV19,BW19,BX19)=3,MIN(BV19,BW19,BX19)&gt;=0),BV19*BW19*BX19,"")</f>
        <v>15.851310117367424</v>
      </c>
      <c r="BZ19" s="11" t="n">
        <f>IF(ISNUMBER(BO19),BO19,"")</f>
        <v>0.8585031562320637</v>
      </c>
      <c r="CA19" s="14" t="n">
        <f>IF(ISNUMBER(BS19),BS19,"")</f>
        <v>30</v>
      </c>
      <c r="CB19" s="13" t="n">
        <f>IF(AND(COUNT(BV19,BZ19,CA19)=3,MIN(BV19,BZ19,CA19)&gt;=0),BV19*BZ19*CA19,"")</f>
        <v>35.31162595496108</v>
      </c>
      <c r="CC19" s="11" t="n">
        <f>IF(ISNUMBER(BP19),BP19,"")</f>
        <v>0.7896606554092485</v>
      </c>
      <c r="CD19" s="14" t="n">
        <f>IF(ISNUMBER(BT19),BT19,"")</f>
        <v>31</v>
      </c>
      <c r="CE19" s="13" t="n">
        <f>IF(AND(COUNT(BV19,CC19,CD19)=3,MIN(BV19,CC19,CD19)&gt;=0),BV19*CC19*CD19,"")</f>
        <v>33.56268975347926</v>
      </c>
      <c r="CF19" s="11" t="n">
        <f>IF(ISNUMBER(BQ19),BQ19,"")</f>
        <v>1.0030167116538329</v>
      </c>
      <c r="CG19" s="14" t="n">
        <f>IF(ISNUMBER(BU19),BU19,"")</f>
        <v>17</v>
      </c>
      <c r="CH19" s="13" t="n">
        <f>IF(AND(COUNT(BV19,CF19,CG19)=3,MIN(BV19,CF19,CG19)&gt;=0),BV19*CF19*CG19,"")</f>
        <v>23.37823150886049</v>
      </c>
      <c r="CI19" s="13" t="n">
        <f>IF(COUNT(BY19,CB19,CE19,CH19)=4,SUM(BY19,CB19,CE19,CH19),"")</f>
        <v>108.10385733466826</v>
      </c>
    </row>
    <row r="20" ht="72" customHeight="1">
      <c r="A20" s="16" t="str">
        <v>S02-BG-41</v>
      </c>
      <c r="B20" s="16" t="str">
        <v>3店-SANDIEX-US</v>
      </c>
      <c r="C20" s="16" t="str">
        <v>陈晨</v>
      </c>
      <c r="D20" s="26" t="n">
        <f>IF(NOT(ISNUMBER(E20)),"",IF(OR(E20&lt;=0,L20=0),0,IF(OR(NOT(ISNUMBER(F20)),F20&lt;0),"",MIN(E20,INT(F20)))))</f>
        <v>97</v>
      </c>
      <c r="E20" s="27" t="n">
        <f>IF(OR(NOT(ISNUMBER(L20)),COUNT(M20:O20)&lt;&gt;3,MIN(M20:O20)&lt;0),"",ROUNDUP(ROUND(BI20-SUM(M20:O20),10),0))</f>
        <v>111</v>
      </c>
      <c r="F20" s="28" t="n">
        <v>97</v>
      </c>
      <c r="G20" s="28" t="n">
        <f>IF(AND(ISNUMBER(D20),ISNUMBER(E20)),IF(OR(E20&lt;=0,L20=0),0,E20-D20),"")</f>
        <v>14</v>
      </c>
      <c r="H20" s="16" t="str">
        <f>IF(NOT(ISNUMBER(E20)),"销量或海外库存待补",IF(OR(E20&lt;=0,L20=0),IF(L20=0,"零日销，本批不发","本批无需补货"),IF(NOT(ISNUMBER(D20)),"国内库存待补",IF(D20=0,"国内无可用库存",IF(G20&gt;0,"先发国内现货","按建议量发货")))))</f>
        <v>先发国内现货</v>
      </c>
      <c r="I20" s="28" t="n">
        <f>IF(AND(COUNT(Z20,AA20,AB20)=3,Z20&gt;=AA20,AA20&gt;=0,AB20=7),Z20-AA20,"")</f>
        <v>7</v>
      </c>
      <c r="J20" s="28" t="n">
        <f>IF(AND(COUNT(AF20,AG20,AH20)=3,AF20&gt;=AG20,AG20&gt;=0,AH20=14),AF20-AG20,"")</f>
        <v>15</v>
      </c>
      <c r="K20" s="28" t="n">
        <f>IF(AND(COUNT(AL20,AM20,AN20)=3,AL20&gt;=AM20,AM20&gt;=0,AN20=30),AL20-AM20,"")</f>
        <v>35</v>
      </c>
      <c r="L20" s="29" t="n">
        <f>IF(ISNUMBER(BI20),BI20/90,"")</f>
        <v>1.3492008041664687</v>
      </c>
      <c r="M20" s="28" t="n">
        <v>11</v>
      </c>
      <c r="N20" s="28" t="n">
        <v>0</v>
      </c>
      <c r="O20" s="28" t="n">
        <v>0</v>
      </c>
      <c r="P20" s="30" t="n">
        <f>IF(AND(ISNUMBER(L20),L20&gt;0,COUNT(M20:O20)=3,MIN(M20:O20)&gt;=0),SUM(M20:O20)/L20,"")</f>
        <v>8.15297468399877</v>
      </c>
      <c r="Q20" s="16" t="str">
        <v>沿用原计划SKU店铺</v>
      </c>
      <c r="R20" s="16" t="str">
        <v>已匹配</v>
      </c>
      <c r="S20" s="16" t="str">
        <v>在售</v>
      </c>
      <c r="T20" s="16" t="str">
        <v>S02</v>
      </c>
      <c r="U20" s="16" t="str">
        <v>裸色</v>
      </c>
      <c r="V20" s="16" t="n">
        <v>10</v>
      </c>
      <c r="W20" s="8" t="str">
        <v>2026-10-11 至 2026-10-17</v>
      </c>
      <c r="X20" s="8" t="str">
        <v>2026-10-11、2026-10-12、2026-10-13、2026-10-14、2026-10-15、2026-10-16、2026-10-17</v>
      </c>
      <c r="Y20" s="8" t="str">
        <v>无</v>
      </c>
      <c r="Z20" s="8" t="n">
        <v>7</v>
      </c>
      <c r="AA20" s="8" t="n">
        <v>0</v>
      </c>
      <c r="AB20" s="8" t="n">
        <v>7</v>
      </c>
      <c r="AC20" s="8" t="str">
        <v>2026-10-02 至 2026-10-17</v>
      </c>
      <c r="AD20" s="8" t="str">
        <v>2026-10-02、2026-10-03、2026-10-04、2026-10-05、2026-10-08、2026-10-09、2026-10-10、2026-10-11、2026-10-12、2026-10-13、2026-10-14、2026-10-15、2026-10-16、2026-10-17</v>
      </c>
      <c r="AE20" s="8" t="str">
        <v>2026-10-06 大促；2026-10-07 大促</v>
      </c>
      <c r="AF20" s="8" t="n">
        <v>17</v>
      </c>
      <c r="AG20" s="8" t="n">
        <v>2</v>
      </c>
      <c r="AH20" s="8" t="n">
        <v>14</v>
      </c>
      <c r="AI20" s="8" t="str">
        <v>2026-09-16 至 2026-10-17</v>
      </c>
      <c r="AJ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" s="8" t="str">
        <v>2026-10-06 大促；2026-10-07 大促</v>
      </c>
      <c r="AL20" s="8" t="n">
        <v>37</v>
      </c>
      <c r="AM20" s="8" t="n">
        <v>2</v>
      </c>
      <c r="AN20" s="8" t="n">
        <v>30</v>
      </c>
      <c r="AO20" s="8" t="str">
        <v>S02 / 裸色 / 6574</v>
      </c>
      <c r="AP20" s="11" t="n">
        <v>0.9634503791704667</v>
      </c>
      <c r="AQ20" s="11" t="n">
        <v>0.9634503791704667</v>
      </c>
      <c r="AR20" s="11" t="n">
        <v>0.902244307144596</v>
      </c>
      <c r="AS20" s="11" t="n">
        <f>IF(AND(COUNT(I20:K20,AP20:AR20)=6,MIN(AP20:AR20)&gt;0),I20/7/AP20*0.5+J20/14/AQ20*0.3+K20/30/AR20*0.2,"")</f>
        <v>1.111204787505255</v>
      </c>
      <c r="AT20" s="8" t="n">
        <v>92</v>
      </c>
      <c r="AU20" s="8" t="n">
        <v>2</v>
      </c>
      <c r="AV20" s="8" t="n">
        <v>88</v>
      </c>
      <c r="AW20" s="11" t="n">
        <f>IF(AND(COUNT(AT20:AV20)=3,AT20&gt;=AU20,AU20&gt;=0,AV20&gt;0),(AT20-AU20)/AV20,"")</f>
        <v>1.0227272727272727</v>
      </c>
      <c r="AX20" s="8" t="n">
        <v>164</v>
      </c>
      <c r="AY20" s="8" t="n">
        <v>2</v>
      </c>
      <c r="AZ20" s="8" t="n">
        <v>178</v>
      </c>
      <c r="BA20" s="11" t="n">
        <f>IF(AND(COUNT(AX20:AZ20)=3,AX20&gt;=AY20,AY20&gt;=0,AZ20&gt;0),(AX20-AY20)/AZ20,"")</f>
        <v>0.9101123595505618</v>
      </c>
      <c r="BB20" s="8" t="n">
        <f>IF(COUNT(AS20,AW20,BA20)=3,1,0)</f>
        <v>1</v>
      </c>
      <c r="BC20" s="11" t="n">
        <f>IF(SUMIF($AO$11:$AO$1309,AO20,$BB$11:$BB$1309)=COUNTIF($AO$11:$AO$1309,AO20),SUMIF($AO$11:$AO$1309,AO20,$AS$11:$AS$1309),"")</f>
        <v>13.209043546268767</v>
      </c>
      <c r="BD20" s="11" t="n">
        <f>IF(SUMIF($AO$11:$AO$1309,AO20,$BB$11:$BB$1309)=COUNTIF($AO$11:$AO$1309,AO20),SUMIF($AO$11:$AO$1309,AO20,$AW$11:$AW$1309),"")</f>
        <v>8.681818181818183</v>
      </c>
      <c r="BE20" s="11" t="n">
        <f>IF(SUMIF($AO$11:$AO$1309,AO20,$BB$11:$BB$1309)=COUNTIF($AO$11:$AO$1309,AO20),SUMIF($AO$11:$AO$1309,AO20,$BA$11:$BA$1309),"")</f>
        <v>8</v>
      </c>
      <c r="BF20" s="12" t="n">
        <f>IF(COUNT(BD20:BE20)&lt;&gt;2,"",IF(AND(BD20&gt;0,BE20&gt;0),0.7*AW20/BD20+0.3*BA20/BE20,IF(BD20&gt;0,AW20/BD20,IF(BE20&gt;0,BA20/BE20,IF(AND(ISNUMBER(BH20),BH20=0),0,"")))))</f>
        <v>0.11658994646743923</v>
      </c>
      <c r="BG20" s="11" t="n">
        <f>IF(AND(COUNT(BN20:BU20)=8,MIN(BN20:BU20)&gt;=0),SUMPRODUCT(BN20:BQ20,BR20:BU20),"")</f>
        <v>78.84726365280937</v>
      </c>
      <c r="BH20" s="11" t="n">
        <f>IF(COUNT(BC20,BG20)=2,BC20*BG20,"")</f>
        <v>1041.4969390940935</v>
      </c>
      <c r="BI20" s="11" t="n">
        <f>IF(ISNUMBER(CI20),CI20,"")</f>
        <v>121.42807237498218</v>
      </c>
      <c r="BJ20" s="8" t="str"/>
      <c r="BK20" s="8" t="str">
        <v>90天：2026-07-20 至 2026-10-17；180天：2026-04-21 至 2026-10-17</v>
      </c>
      <c r="BL20" s="8" t="str">
        <v>90天：2026-10-06、2026-10-07；180天：2026-10-06、2026-10-07</v>
      </c>
      <c r="BM20" s="8" t="str">
        <v>2026-10：12天 × 0.9634503791704667；2026-11：30天 × 0.8585031562320637；2026-12：31天 × 0.7896606554092485；2027-01：17天 × 1.0030167116538329</v>
      </c>
      <c r="BN20" s="11" t="n">
        <v>0.9634503791704667</v>
      </c>
      <c r="BO20" s="11" t="n">
        <v>0.8585031562320637</v>
      </c>
      <c r="BP20" s="11" t="n">
        <v>0.7896606554092485</v>
      </c>
      <c r="BQ20" s="11" t="n">
        <v>1.0030167116538329</v>
      </c>
      <c r="BR20" s="8" t="n">
        <v>12</v>
      </c>
      <c r="BS20" s="8" t="n">
        <v>30</v>
      </c>
      <c r="BT20" s="8" t="n">
        <v>31</v>
      </c>
      <c r="BU20" s="8" t="n">
        <v>17</v>
      </c>
      <c r="BV20" s="11" t="n">
        <f>IF(COUNT(BC20,BF20)=2,BC20*BF20,"")</f>
        <v>1.5400416799455492</v>
      </c>
      <c r="BW20" s="11" t="n">
        <f>IF(ISNUMBER(BN20),BN20,"")</f>
        <v>0.9634503791704667</v>
      </c>
      <c r="BX20" s="14" t="n">
        <f>IF(ISNUMBER(BR20),BR20,"")</f>
        <v>12</v>
      </c>
      <c r="BY20" s="13" t="n">
        <f>IF(AND(COUNT(BV20,BW20,BX20)=3,MIN(BV20,BW20,BX20)&gt;=0),BV20*BW20*BX20,"")</f>
        <v>17.805044885782344</v>
      </c>
      <c r="BZ20" s="11" t="n">
        <f>IF(ISNUMBER(BO20),BO20,"")</f>
        <v>0.8585031562320637</v>
      </c>
      <c r="CA20" s="14" t="n">
        <f>IF(ISNUMBER(BS20),BS20,"")</f>
        <v>30</v>
      </c>
      <c r="CB20" s="13" t="n">
        <f>IF(AND(COUNT(BV20,BZ20,CA20)=3,MIN(BV20,BZ20,CA20)&gt;=0),BV20*BZ20*CA20,"")</f>
        <v>39.663919288865515</v>
      </c>
      <c r="CC20" s="11" t="n">
        <f>IF(ISNUMBER(BP20),BP20,"")</f>
        <v>0.7896606554092485</v>
      </c>
      <c r="CD20" s="14" t="n">
        <f>IF(ISNUMBER(BT20),BT20,"")</f>
        <v>31</v>
      </c>
      <c r="CE20" s="13" t="n">
        <f>IF(AND(COUNT(BV20,CC20,CD20)=3,MIN(BV20,CC20,CD20)&gt;=0),BV20*CC20*CD20,"")</f>
        <v>37.69941999264424</v>
      </c>
      <c r="CF20" s="11" t="n">
        <f>IF(ISNUMBER(BQ20),BQ20,"")</f>
        <v>1.0030167116538329</v>
      </c>
      <c r="CG20" s="14" t="n">
        <f>IF(ISNUMBER(BU20),BU20,"")</f>
        <v>17</v>
      </c>
      <c r="CH20" s="13" t="n">
        <f>IF(AND(COUNT(BV20,CF20,CG20)=3,MIN(BV20,CF20,CG20)&gt;=0),BV20*CF20*CG20,"")</f>
        <v>26.259688207690097</v>
      </c>
      <c r="CI20" s="13" t="n">
        <f>IF(COUNT(BY20,CB20,CE20,CH20)=4,SUM(BY20,CB20,CE20,CH20),"")</f>
        <v>121.42807237498218</v>
      </c>
    </row>
    <row r="21" ht="72" customHeight="1">
      <c r="A21" s="16" t="str">
        <v>S02a-TN-39</v>
      </c>
      <c r="B21" s="16" t="str">
        <v>3店-SANDIEX-US</v>
      </c>
      <c r="C21" s="16" t="str">
        <v>陈晨</v>
      </c>
      <c r="D21" s="26" t="n">
        <f>IF(NOT(ISNUMBER(E21)),"",IF(OR(E21&lt;=0,L21=0),0,IF(OR(NOT(ISNUMBER(F21)),F21&lt;0),"",MIN(E21,INT(F21)))))</f>
        <v>97</v>
      </c>
      <c r="E21" s="27" t="n">
        <f>IF(OR(NOT(ISNUMBER(L21)),COUNT(M21:O21)&lt;&gt;3,MIN(M21:O21)&lt;0),"",ROUNDUP(ROUND(BI21-SUM(M21:O21),10),0))</f>
        <v>97</v>
      </c>
      <c r="F21" s="28" t="n">
        <v>99</v>
      </c>
      <c r="G21" s="28" t="n">
        <f>IF(AND(ISNUMBER(D21),ISNUMBER(E21)),IF(OR(E21&lt;=0,L21=0),0,E21-D21),"")</f>
        <v>0</v>
      </c>
      <c r="H21" s="16" t="str">
        <f>IF(NOT(ISNUMBER(E21)),"销量或海外库存待补",IF(OR(E21&lt;=0,L21=0),IF(L21=0,"零日销，本批不发","本批无需补货"),IF(NOT(ISNUMBER(D21)),"国内库存待补",IF(D21=0,"国内无可用库存",IF(G21&gt;0,"先发国内现货","按建议量发货")))))</f>
        <v>按建议量发货</v>
      </c>
      <c r="I21" s="28" t="n">
        <f>IF(AND(COUNT(Z21,AA21,AB21)=3,Z21&gt;=AA21,AA21&gt;=0,AB21=7),Z21-AA21,"")</f>
        <v>5</v>
      </c>
      <c r="J21" s="28" t="n">
        <f>IF(AND(COUNT(AF21,AG21,AH21)=3,AF21&gt;=AG21,AG21&gt;=0,AH21=14),AF21-AG21,"")</f>
        <v>10</v>
      </c>
      <c r="K21" s="28" t="n">
        <f>IF(AND(COUNT(AL21,AM21,AN21)=3,AL21&gt;=AM21,AM21&gt;=0,AN21=30),AL21-AM21,"")</f>
        <v>19</v>
      </c>
      <c r="L21" s="29" t="n">
        <f>IF(ISNUMBER(BI21),BI21/90,"")</f>
        <v>1.7329677240533963</v>
      </c>
      <c r="M21" s="28" t="n">
        <v>39</v>
      </c>
      <c r="N21" s="28" t="n">
        <v>0</v>
      </c>
      <c r="O21" s="28" t="n">
        <v>20</v>
      </c>
      <c r="P21" s="30" t="n">
        <f>IF(AND(ISNUMBER(L21),L21&gt;0,COUNT(M21:O21)=3,MIN(M21:O21)&gt;=0),SUM(M21:O21)/L21,"")</f>
        <v>34.045642732456386</v>
      </c>
      <c r="Q21" s="16" t="str">
        <v>沿用原计划SKU店铺</v>
      </c>
      <c r="R21" s="16" t="str">
        <v>已匹配</v>
      </c>
      <c r="S21" s="16" t="str">
        <v>在售</v>
      </c>
      <c r="T21" s="16" t="str">
        <v>S02a</v>
      </c>
      <c r="U21" s="16" t="str">
        <v>驼色</v>
      </c>
      <c r="V21" s="16" t="n">
        <v>8</v>
      </c>
      <c r="W21" s="8" t="str">
        <v>2026-10-11 至 2026-10-17</v>
      </c>
      <c r="X21" s="8" t="str">
        <v>2026-10-11、2026-10-12、2026-10-13、2026-10-14、2026-10-15、2026-10-16、2026-10-17</v>
      </c>
      <c r="Y21" s="8" t="str">
        <v>无</v>
      </c>
      <c r="Z21" s="8" t="n">
        <v>5</v>
      </c>
      <c r="AA21" s="8" t="n">
        <v>0</v>
      </c>
      <c r="AB21" s="8" t="n">
        <v>7</v>
      </c>
      <c r="AC21" s="8" t="str">
        <v>2026-10-02 至 2026-10-17</v>
      </c>
      <c r="AD21" s="8" t="str">
        <v>2026-10-02、2026-10-03、2026-10-04、2026-10-05、2026-10-08、2026-10-09、2026-10-10、2026-10-11、2026-10-12、2026-10-13、2026-10-14、2026-10-15、2026-10-16、2026-10-17</v>
      </c>
      <c r="AE21" s="8" t="str">
        <v>2026-10-06 大促；2026-10-07 大促</v>
      </c>
      <c r="AF21" s="8" t="n">
        <v>12</v>
      </c>
      <c r="AG21" s="8" t="n">
        <v>2</v>
      </c>
      <c r="AH21" s="8" t="n">
        <v>14</v>
      </c>
      <c r="AI21" s="8" t="str">
        <v>2026-09-16 至 2026-10-17</v>
      </c>
      <c r="AJ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" s="8" t="str">
        <v>2026-10-06 大促；2026-10-07 大促</v>
      </c>
      <c r="AL21" s="8" t="n">
        <v>21</v>
      </c>
      <c r="AM21" s="8" t="n">
        <v>2</v>
      </c>
      <c r="AN21" s="8" t="n">
        <v>30</v>
      </c>
      <c r="AO21" s="8" t="str">
        <v>S02a / 驼色 / 6574</v>
      </c>
      <c r="AP21" s="11" t="n">
        <v>0.7647664488148722</v>
      </c>
      <c r="AQ21" s="11" t="n">
        <v>0.7647664488148722</v>
      </c>
      <c r="AR21" s="11" t="n">
        <v>0.8066052567225582</v>
      </c>
      <c r="AS21" s="11" t="n">
        <f>IF(AND(COUNT(I21:K21,AP21:AR21)=6,MIN(AP21:AR21)&gt;0),I21/7/AP21*0.5+J21/14/AQ21*0.3+K21/30/AR21*0.2,"")</f>
        <v>0.9042303160930396</v>
      </c>
      <c r="AT21" s="8" t="n">
        <v>52</v>
      </c>
      <c r="AU21" s="8" t="n">
        <v>2</v>
      </c>
      <c r="AV21" s="8" t="n">
        <v>88</v>
      </c>
      <c r="AW21" s="11" t="n">
        <f>IF(AND(COUNT(AT21:AV21)=3,AT21&gt;=AU21,AU21&gt;=0,AV21&gt;0),(AT21-AU21)/AV21,"")</f>
        <v>0.5681818181818182</v>
      </c>
      <c r="AX21" s="8" t="n">
        <v>92</v>
      </c>
      <c r="AY21" s="8" t="n">
        <v>2</v>
      </c>
      <c r="AZ21" s="8" t="n">
        <v>178</v>
      </c>
      <c r="BA21" s="11" t="n">
        <f>IF(AND(COUNT(AX21:AZ21)=3,AX21&gt;=AY21,AY21&gt;=0,AZ21&gt;0),(AX21-AY21)/AZ21,"")</f>
        <v>0.5056179775280899</v>
      </c>
      <c r="BB21" s="8" t="n">
        <f>IF(COUNT(AS21,AW21,BA21)=3,1,0)</f>
        <v>1</v>
      </c>
      <c r="BC21" s="11" t="n">
        <f>IF(SUMIF($AO$11:$AO$1309,AO21,$BB$11:$BB$1309)=COUNTIF($AO$11:$AO$1309,AO21),SUMIF($AO$11:$AO$1309,AO21,$AS$11:$AS$1309),"")</f>
        <v>4.646128546626029</v>
      </c>
      <c r="BD21" s="11" t="n">
        <f>IF(SUMIF($AO$11:$AO$1309,AO21,$BB$11:$BB$1309)=COUNTIF($AO$11:$AO$1309,AO21),SUMIF($AO$11:$AO$1309,AO21,$AW$11:$AW$1309),"")</f>
        <v>1.9772727272727275</v>
      </c>
      <c r="BE21" s="11" t="n">
        <f>IF(SUMIF($AO$11:$AO$1309,AO21,$BB$11:$BB$1309)=COUNTIF($AO$11:$AO$1309,AO21),SUMIF($AO$11:$AO$1309,AO21,$BA$11:$BA$1309),"")</f>
        <v>1.6629213483146066</v>
      </c>
      <c r="BF21" s="12" t="n">
        <f>IF(COUNT(BD21:BE21)&lt;&gt;2,"",IF(AND(BD21&gt;0,BE21&gt;0),0.7*AW21/BD21+0.3*BA21/BE21,IF(BD21&gt;0,AW21/BD21,IF(BE21&gt;0,BA21/BE21,IF(AND(ISNUMBER(BH21),BH21=0),0,"")))))</f>
        <v>0.2923656415035726</v>
      </c>
      <c r="BG21" s="11" t="n">
        <f>IF(AND(COUNT(BN21:BU21)=8,MIN(BN21:BU21)&gt;=0),SUMPRODUCT(BN21:BQ21,BR21:BU21),"")</f>
        <v>114.81944114457707</v>
      </c>
      <c r="BH21" s="11" t="n">
        <f>IF(COUNT(BC21,BG21)=2,BC21*BG21,"")</f>
        <v>533.4658832094667</v>
      </c>
      <c r="BI21" s="11" t="n">
        <f>IF(ISNUMBER(CI21),CI21,"")</f>
        <v>155.96709516480567</v>
      </c>
      <c r="BJ21" s="8" t="str"/>
      <c r="BK21" s="8" t="str">
        <v>90天：2026-07-20 至 2026-10-17；180天：2026-04-21 至 2026-10-17</v>
      </c>
      <c r="BL21" s="8" t="str">
        <v>90天：2026-10-06、2026-10-07；180天：2026-10-06、2026-10-07</v>
      </c>
      <c r="BM21" s="8" t="str">
        <v>2026-10：12天 × 0.7647664488148722；2026-11：30天 × 1.5248287781391903；2026-12：31天 × 1.2288250057360348；2027-01：17天 × 1.2825767786356366</v>
      </c>
      <c r="BN21" s="11" t="n">
        <v>0.7647664488148722</v>
      </c>
      <c r="BO21" s="11" t="n">
        <v>1.5248287781391903</v>
      </c>
      <c r="BP21" s="11" t="n">
        <v>1.2288250057360348</v>
      </c>
      <c r="BQ21" s="11" t="n">
        <v>1.2825767786356366</v>
      </c>
      <c r="BR21" s="8" t="n">
        <v>12</v>
      </c>
      <c r="BS21" s="8" t="n">
        <v>30</v>
      </c>
      <c r="BT21" s="8" t="n">
        <v>31</v>
      </c>
      <c r="BU21" s="8" t="n">
        <v>17</v>
      </c>
      <c r="BV21" s="11" t="n">
        <f>IF(COUNT(BC21,BF21)=2,BC21*BF21,"")</f>
        <v>1.3583683530423802</v>
      </c>
      <c r="BW21" s="11" t="n">
        <f>IF(ISNUMBER(BN21),BN21,"")</f>
        <v>0.7647664488148722</v>
      </c>
      <c r="BX21" s="14" t="n">
        <f>IF(ISNUMBER(BR21),BR21,"")</f>
        <v>12</v>
      </c>
      <c r="BY21" s="13" t="n">
        <f>IF(AND(COUNT(BV21,BW21,BX21)=3,MIN(BV21,BW21,BX21)&gt;=0),BV21*BW21*BX21,"")</f>
        <v>12.466014498464732</v>
      </c>
      <c r="BZ21" s="11" t="n">
        <f>IF(ISNUMBER(BO21),BO21,"")</f>
        <v>1.5248287781391903</v>
      </c>
      <c r="CA21" s="14" t="n">
        <f>IF(ISNUMBER(BS21),BS21,"")</f>
        <v>30</v>
      </c>
      <c r="CB21" s="13" t="n">
        <f>IF(AND(COUNT(BV21,BZ21,CA21)=3,MIN(BV21,BZ21,CA21)&gt;=0),BV21*BZ21*CA21,"")</f>
        <v>62.1383746809767</v>
      </c>
      <c r="CC21" s="11" t="n">
        <f>IF(ISNUMBER(BP21),BP21,"")</f>
        <v>1.2288250057360348</v>
      </c>
      <c r="CD21" s="14" t="n">
        <f>IF(ISNUMBER(BT21),BT21,"")</f>
        <v>31</v>
      </c>
      <c r="CE21" s="13" t="n">
        <f>IF(AND(COUNT(BV21,CC21,CD21)=3,MIN(BV21,CC21,CD21)&gt;=0),BV21*CC21*CD21,"")</f>
        <v>51.74510697578748</v>
      </c>
      <c r="CF21" s="11" t="n">
        <f>IF(ISNUMBER(BQ21),BQ21,"")</f>
        <v>1.2825767786356366</v>
      </c>
      <c r="CG21" s="14" t="n">
        <f>IF(ISNUMBER(BU21),BU21,"")</f>
        <v>17</v>
      </c>
      <c r="CH21" s="13" t="n">
        <f>IF(AND(COUNT(BV21,CF21,CG21)=3,MIN(BV21,CF21,CG21)&gt;=0),BV21*CF21*CG21,"")</f>
        <v>29.61759900957675</v>
      </c>
      <c r="CI21" s="13" t="n">
        <f>IF(COUNT(BY21,CB21,CE21,CH21)=4,SUM(BY21,CB21,CE21,CH21),"")</f>
        <v>155.96709516480567</v>
      </c>
    </row>
    <row r="22" ht="72" customHeight="1">
      <c r="A22" s="16" t="str">
        <v>2302153-BK-S-Z-7</v>
      </c>
      <c r="B22" s="16" t="str">
        <v>3店-SANDIEX-US</v>
      </c>
      <c r="C22" s="16" t="str">
        <v>徐新怡</v>
      </c>
      <c r="D22" s="26" t="n">
        <f>IF(NOT(ISNUMBER(E22)),"",IF(OR(E22&lt;=0,L22=0),0,IF(OR(NOT(ISNUMBER(F22)),F22&lt;0),"",MIN(E22,INT(F22)))))</f>
        <v>95</v>
      </c>
      <c r="E22" s="27" t="n">
        <f>IF(OR(NOT(ISNUMBER(L22)),COUNT(M22:O22)&lt;&gt;3,MIN(M22:O22)&lt;0),"",ROUNDUP(ROUND(BI22-SUM(M22:O22),10),0))</f>
        <v>105</v>
      </c>
      <c r="F22" s="28" t="n">
        <v>95</v>
      </c>
      <c r="G22" s="28" t="n">
        <f>IF(AND(ISNUMBER(D22),ISNUMBER(E22)),IF(OR(E22&lt;=0,L22=0),0,E22-D22),"")</f>
        <v>10</v>
      </c>
      <c r="H22" s="16" t="str">
        <f>IF(NOT(ISNUMBER(E22)),"销量或海外库存待补",IF(OR(E22&lt;=0,L22=0),IF(L22=0,"零日销，本批不发","本批无需补货"),IF(NOT(ISNUMBER(D22)),"国内库存待补",IF(D22=0,"国内无可用库存",IF(G22&gt;0,"先发国内现货","按建议量发货")))))</f>
        <v>先发国内现货</v>
      </c>
      <c r="I22" s="28" t="n">
        <f>IF(AND(COUNT(Z22,AA22,AB22)=3,Z22&gt;=AA22,AA22&gt;=0,AB22=7),Z22-AA22,"")</f>
        <v>26</v>
      </c>
      <c r="J22" s="28" t="n">
        <f>IF(AND(COUNT(AF22,AG22,AH22)=3,AF22&gt;=AG22,AG22&gt;=0,AH22=14),AF22-AG22,"")</f>
        <v>47</v>
      </c>
      <c r="K22" s="28" t="n">
        <f>IF(AND(COUNT(AL22,AM22,AN22)=3,AL22&gt;=AM22,AM22&gt;=0,AN22=30),AL22-AM22,"")</f>
        <v>74</v>
      </c>
      <c r="L22" s="29" t="n">
        <f>IF(ISNUMBER(BI22),BI22/90,"")</f>
        <v>1.8024333851782233</v>
      </c>
      <c r="M22" s="28" t="n">
        <v>20</v>
      </c>
      <c r="N22" s="28" t="n">
        <v>3</v>
      </c>
      <c r="O22" s="28" t="n">
        <v>35</v>
      </c>
      <c r="P22" s="30" t="n">
        <f>IF(AND(ISNUMBER(L22),L22&gt;0,COUNT(M22:O22)=3,MIN(M22:O22)&gt;=0),SUM(M22:O22)/L22,"")</f>
        <v>32.17872043258065</v>
      </c>
      <c r="Q22" s="16" t="str">
        <v>沿用原计划SKU店铺</v>
      </c>
      <c r="R22" s="16" t="str">
        <v>已匹配</v>
      </c>
      <c r="S22" s="16" t="str">
        <v>在售</v>
      </c>
      <c r="T22" s="16" t="str">
        <v>2302153</v>
      </c>
      <c r="U22" s="16" t="str">
        <v>黑色</v>
      </c>
      <c r="V22" s="16" t="n">
        <v>7</v>
      </c>
      <c r="W22" s="8" t="str">
        <v>2026-10-11 至 2026-10-17</v>
      </c>
      <c r="X22" s="8" t="str">
        <v>2026-10-11、2026-10-12、2026-10-13、2026-10-14、2026-10-15、2026-10-16、2026-10-17</v>
      </c>
      <c r="Y22" s="8" t="str">
        <v>无</v>
      </c>
      <c r="Z22" s="8" t="n">
        <v>26</v>
      </c>
      <c r="AA22" s="8" t="n">
        <v>0</v>
      </c>
      <c r="AB22" s="8" t="n">
        <v>7</v>
      </c>
      <c r="AC22" s="8" t="str">
        <v>2026-10-02 至 2026-10-17</v>
      </c>
      <c r="AD22" s="8" t="str">
        <v>2026-10-02、2026-10-03、2026-10-04、2026-10-05、2026-10-08、2026-10-09、2026-10-10、2026-10-11、2026-10-12、2026-10-13、2026-10-14、2026-10-15、2026-10-16、2026-10-17</v>
      </c>
      <c r="AE22" s="8" t="str">
        <v>2026-10-06 大促；2026-10-07 大促</v>
      </c>
      <c r="AF22" s="8" t="n">
        <v>57</v>
      </c>
      <c r="AG22" s="8" t="n">
        <v>10</v>
      </c>
      <c r="AH22" s="8" t="n">
        <v>14</v>
      </c>
      <c r="AI22" s="8" t="str">
        <v>2026-09-16 至 2026-10-17</v>
      </c>
      <c r="AJ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" s="8" t="str">
        <v>2026-10-06 大促；2026-10-07 大促</v>
      </c>
      <c r="AL22" s="8" t="n">
        <v>84</v>
      </c>
      <c r="AM22" s="8" t="n">
        <v>10</v>
      </c>
      <c r="AN22" s="8" t="n">
        <v>30</v>
      </c>
      <c r="AO22" s="8" t="str">
        <v>2302153 / 黑色羊京绒 / 6574</v>
      </c>
      <c r="AP22" s="11" t="n">
        <v>1.7391279184229513</v>
      </c>
      <c r="AQ22" s="11" t="n">
        <v>1.7391279184229513</v>
      </c>
      <c r="AR22" s="11" t="n">
        <v>1.5731892896917212</v>
      </c>
      <c r="AS22" s="11" t="n">
        <f>IF(AND(COUNT(I22:K22,AP22:AR22)=6,MIN(AP22:AR22)&gt;0),I22/7/AP22*0.5+J22/14/AQ22*0.3+K22/30/AR22*0.2,"")</f>
        <v>1.9605547007313702</v>
      </c>
      <c r="AT22" s="8" t="n">
        <v>157</v>
      </c>
      <c r="AU22" s="8" t="n">
        <v>10</v>
      </c>
      <c r="AV22" s="8" t="n">
        <v>88</v>
      </c>
      <c r="AW22" s="11" t="n">
        <f>IF(AND(COUNT(AT22:AV22)=3,AT22&gt;=AU22,AU22&gt;=0,AV22&gt;0),(AT22-AU22)/AV22,"")</f>
        <v>1.6704545454545454</v>
      </c>
      <c r="AX22" s="8" t="n">
        <v>228</v>
      </c>
      <c r="AY22" s="8" t="n">
        <v>10</v>
      </c>
      <c r="AZ22" s="8" t="n">
        <v>178</v>
      </c>
      <c r="BA22" s="11" t="n">
        <f>IF(AND(COUNT(AX22:AZ22)=3,AX22&gt;=AY22,AY22&gt;=0,AZ22&gt;0),(AX22-AY22)/AZ22,"")</f>
        <v>1.2247191011235956</v>
      </c>
      <c r="BB22" s="8" t="n">
        <f>IF(COUNT(AS22,AW22,BA22)=3,1,0)</f>
        <v>1</v>
      </c>
      <c r="BC22" s="11" t="n">
        <f>IF(SUMIF($AO$11:$AO$1309,AO22,$BB$11:$BB$1309)=COUNTIF($AO$11:$AO$1309,AO22),SUMIF($AO$11:$AO$1309,AO22,$AS$11:$AS$1309),"")</f>
        <v>14.203593194271557</v>
      </c>
      <c r="BD22" s="11" t="n">
        <f>IF(SUMIF($AO$11:$AO$1309,AO22,$BB$11:$BB$1309)=COUNTIF($AO$11:$AO$1309,AO22),SUMIF($AO$11:$AO$1309,AO22,$AW$11:$AW$1309),"")</f>
        <v>15.818181818181818</v>
      </c>
      <c r="BE22" s="11" t="n">
        <f>IF(SUMIF($AO$11:$AO$1309,AO22,$BB$11:$BB$1309)=COUNTIF($AO$11:$AO$1309,AO22),SUMIF($AO$11:$AO$1309,AO22,$BA$11:$BA$1309),"")</f>
        <v>12.07865168539326</v>
      </c>
      <c r="BF22" s="12" t="n">
        <f>IF(COUNT(BD22:BE22)&lt;&gt;2,"",IF(AND(BD22&gt;0,BE22&gt;0),0.7*AW22/BD22+0.3*BA22/BE22,IF(BD22&gt;0,AW22/BD22,IF(BE22&gt;0,BA22/BE22,IF(AND(ISNUMBER(BH22),BH22=0),0,"")))))</f>
        <v>0.10434101844426623</v>
      </c>
      <c r="BG22" s="11" t="n">
        <f>IF(AND(COUNT(BN22:BU22)=8,MIN(BN22:BU22)&gt;=0),SUMPRODUCT(BN22:BQ22,BR22:BU22),"")</f>
        <v>109.4582336985339</v>
      </c>
      <c r="BH22" s="11" t="n">
        <f>IF(COUNT(BC22,BG22)=2,BC22*BG22,"")</f>
        <v>1554.7002232174816</v>
      </c>
      <c r="BI22" s="11" t="n">
        <f>IF(ISNUMBER(CI22),CI22,"")</f>
        <v>162.2190046660401</v>
      </c>
      <c r="BJ22" s="8" t="str"/>
      <c r="BK22" s="8" t="str">
        <v>90天：2026-07-20 至 2026-10-17；180天：2026-04-21 至 2026-10-17</v>
      </c>
      <c r="BL22" s="8" t="str">
        <v>90天：2026-10-06、2026-10-07；180天：2026-10-06、2026-10-07</v>
      </c>
      <c r="BM22" s="8" t="str">
        <v>2026-10：12天 × 1.7391279184229513；2026-11：30天 × 1.4002077845513243；2026-12：31天 × 1.079339935625147；2027-01：17天 × 0.7719368903846591</v>
      </c>
      <c r="BN22" s="11" t="n">
        <v>1.7391279184229513</v>
      </c>
      <c r="BO22" s="11" t="n">
        <v>1.4002077845513243</v>
      </c>
      <c r="BP22" s="11" t="n">
        <v>1.079339935625147</v>
      </c>
      <c r="BQ22" s="11" t="n">
        <v>0.7719368903846591</v>
      </c>
      <c r="BR22" s="8" t="n">
        <v>12</v>
      </c>
      <c r="BS22" s="8" t="n">
        <v>30</v>
      </c>
      <c r="BT22" s="8" t="n">
        <v>31</v>
      </c>
      <c r="BU22" s="8" t="n">
        <v>17</v>
      </c>
      <c r="BV22" s="11" t="n">
        <f>IF(COUNT(BC22,BF22)=2,BC22*BF22,"")</f>
        <v>1.4820173794583429</v>
      </c>
      <c r="BW22" s="11" t="n">
        <f>IF(ISNUMBER(BN22),BN22,"")</f>
        <v>1.7391279184229513</v>
      </c>
      <c r="BX22" s="14" t="n">
        <f>IF(ISNUMBER(BR22),BR22,"")</f>
        <v>12</v>
      </c>
      <c r="BY22" s="13" t="n">
        <f>IF(AND(COUNT(BV22,BW22,BX22)=3,MIN(BV22,BW22,BX22)&gt;=0),BV22*BW22*BX22,"")</f>
        <v>30.9290136024483</v>
      </c>
      <c r="BZ22" s="11" t="n">
        <f>IF(ISNUMBER(BO22),BO22,"")</f>
        <v>1.4002077845513243</v>
      </c>
      <c r="CA22" s="14" t="n">
        <f>IF(ISNUMBER(BS22),BS22,"")</f>
        <v>30</v>
      </c>
      <c r="CB22" s="13" t="n">
        <f>IF(AND(COUNT(BV22,BZ22,CA22)=3,MIN(BV22,BZ22,CA22)&gt;=0),BV22*BZ22*CA22,"")</f>
        <v>62.25396814673776</v>
      </c>
      <c r="CC22" s="11" t="n">
        <f>IF(ISNUMBER(BP22),BP22,"")</f>
        <v>1.079339935625147</v>
      </c>
      <c r="CD22" s="14" t="n">
        <f>IF(ISNUMBER(BT22),BT22,"")</f>
        <v>31</v>
      </c>
      <c r="CE22" s="13" t="n">
        <f>IF(AND(COUNT(BV22,CC22,CD22)=3,MIN(BV22,CC22,CD22)&gt;=0),BV22*CC22*CD22,"")</f>
        <v>49.58761683113742</v>
      </c>
      <c r="CF22" s="11" t="n">
        <f>IF(ISNUMBER(BQ22),BQ22,"")</f>
        <v>0.7719368903846591</v>
      </c>
      <c r="CG22" s="14" t="n">
        <f>IF(ISNUMBER(BU22),BU22,"")</f>
        <v>17</v>
      </c>
      <c r="CH22" s="13" t="n">
        <f>IF(AND(COUNT(BV22,CF22,CG22)=3,MIN(BV22,CF22,CG22)&gt;=0),BV22*CF22*CG22,"")</f>
        <v>19.448406085716606</v>
      </c>
      <c r="CI22" s="13" t="n">
        <f>IF(COUNT(BY22,CB22,CE22,CH22)=4,SUM(BY22,CB22,CE22,CH22),"")</f>
        <v>162.2190046660401</v>
      </c>
    </row>
    <row r="23" ht="72" customHeight="1">
      <c r="A23" s="16" t="str">
        <v>B06-LP-40</v>
      </c>
      <c r="B23" s="16" t="str">
        <v>1店-MUSSHOE-US</v>
      </c>
      <c r="C23" s="16" t="str">
        <v>艾年</v>
      </c>
      <c r="D23" s="26" t="n">
        <f>IF(NOT(ISNUMBER(E23)),"",IF(OR(E23&lt;=0,L23=0),0,IF(OR(NOT(ISNUMBER(F23)),F23&lt;0),"",MIN(E23,INT(F23)))))</f>
        <v>95</v>
      </c>
      <c r="E23" s="27" t="n">
        <f>IF(OR(NOT(ISNUMBER(L23)),COUNT(M23:O23)&lt;&gt;3,MIN(M23:O23)&lt;0),"",ROUNDUP(ROUND(BI23-SUM(M23:O23),10),0))</f>
        <v>95</v>
      </c>
      <c r="F23" s="28" t="n">
        <v>267</v>
      </c>
      <c r="G23" s="28" t="n">
        <f>IF(AND(ISNUMBER(D23),ISNUMBER(E23)),IF(OR(E23&lt;=0,L23=0),0,E23-D23),"")</f>
        <v>0</v>
      </c>
      <c r="H23" s="16" t="str">
        <f>IF(NOT(ISNUMBER(E23)),"销量或海外库存待补",IF(OR(E23&lt;=0,L23=0),IF(L23=0,"零日销，本批不发","本批无需补货"),IF(NOT(ISNUMBER(D23)),"国内库存待补",IF(D23=0,"国内无可用库存",IF(G23&gt;0,"先发国内现货","按建议量发货")))))</f>
        <v>按建议量发货</v>
      </c>
      <c r="I23" s="28" t="n">
        <f>IF(AND(COUNT(Z23,AA23,AB23)=3,Z23&gt;=AA23,AA23&gt;=0,AB23=7),Z23-AA23,"")</f>
        <v>15</v>
      </c>
      <c r="J23" s="28" t="n">
        <f>IF(AND(COUNT(AF23,AG23,AH23)=3,AF23&gt;=AG23,AG23&gt;=0,AH23=14),AF23-AG23,"")</f>
        <v>28</v>
      </c>
      <c r="K23" s="28" t="n">
        <f>IF(AND(COUNT(AL23,AM23,AN23)=3,AL23&gt;=AM23,AM23&gt;=0,AN23=30),AL23-AM23,"")</f>
        <v>52</v>
      </c>
      <c r="L23" s="29" t="n">
        <f>IF(ISNUMBER(BI23),BI23/90,"")</f>
        <v>1.333796956543161</v>
      </c>
      <c r="M23" s="28" t="n">
        <v>26</v>
      </c>
      <c r="N23" s="28" t="n">
        <v>0</v>
      </c>
      <c r="O23" s="28" t="n">
        <v>0</v>
      </c>
      <c r="P23" s="30" t="n">
        <f>IF(AND(ISNUMBER(L23),L23&gt;0,COUNT(M23:O23)=3,MIN(M23:O23)&gt;=0),SUM(M23:O23)/L23,"")</f>
        <v>19.493221867430954</v>
      </c>
      <c r="Q23" s="16" t="str">
        <v>沿用原计划SKU店铺</v>
      </c>
      <c r="R23" s="16" t="str">
        <v>已匹配</v>
      </c>
      <c r="S23" s="16" t="str">
        <v>在售</v>
      </c>
      <c r="T23" s="16" t="str">
        <v>B06</v>
      </c>
      <c r="U23" s="16" t="str">
        <v>豹纹羊京绒</v>
      </c>
      <c r="V23" s="16" t="n">
        <v>9</v>
      </c>
      <c r="W23" s="8" t="str">
        <v>2026-10-11 至 2026-10-17</v>
      </c>
      <c r="X23" s="8" t="str">
        <v>2026-10-11、2026-10-12、2026-10-13、2026-10-14、2026-10-15、2026-10-16、2026-10-17</v>
      </c>
      <c r="Y23" s="8" t="str">
        <v>无</v>
      </c>
      <c r="Z23" s="8" t="n">
        <v>15</v>
      </c>
      <c r="AA23" s="8" t="n">
        <v>0</v>
      </c>
      <c r="AB23" s="8" t="n">
        <v>7</v>
      </c>
      <c r="AC23" s="8" t="str">
        <v>2026-10-02 至 2026-10-17</v>
      </c>
      <c r="AD23" s="8" t="str">
        <v>2026-10-02、2026-10-03、2026-10-04、2026-10-05、2026-10-08、2026-10-09、2026-10-10、2026-10-11、2026-10-12、2026-10-13、2026-10-14、2026-10-15、2026-10-16、2026-10-17</v>
      </c>
      <c r="AE23" s="8" t="str">
        <v>2026-10-06 大促；2026-10-07 大促</v>
      </c>
      <c r="AF23" s="8" t="n">
        <v>37</v>
      </c>
      <c r="AG23" s="8" t="n">
        <v>9</v>
      </c>
      <c r="AH23" s="8" t="n">
        <v>14</v>
      </c>
      <c r="AI23" s="8" t="str">
        <v>2026-09-16 至 2026-10-17</v>
      </c>
      <c r="AJ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" s="8" t="str">
        <v>2026-10-06 大促；2026-10-07 大促</v>
      </c>
      <c r="AL23" s="8" t="n">
        <v>61</v>
      </c>
      <c r="AM23" s="8" t="n">
        <v>9</v>
      </c>
      <c r="AN23" s="8" t="n">
        <v>30</v>
      </c>
      <c r="AO23" s="8" t="str">
        <v>B06 / 豹纹羊京绒 / 13120</v>
      </c>
      <c r="AP23" s="11" t="n">
        <v>1.2247029157699902</v>
      </c>
      <c r="AQ23" s="11" t="n">
        <v>1.2247029157699902</v>
      </c>
      <c r="AR23" s="11" t="n">
        <v>1.1136940657346173</v>
      </c>
      <c r="AS23" s="11" t="n">
        <f>IF(AND(COUNT(I23:K23,AP23:AR23)=6,MIN(AP23:AR23)&gt;0),I23/7/AP23*0.5+J23/14/AQ23*0.3+K23/30/AR23*0.2,"")</f>
        <v>1.6760388544795353</v>
      </c>
      <c r="AT23" s="8" t="n">
        <v>98</v>
      </c>
      <c r="AU23" s="8" t="n">
        <v>9</v>
      </c>
      <c r="AV23" s="8" t="n">
        <v>88</v>
      </c>
      <c r="AW23" s="11" t="n">
        <f>IF(AND(COUNT(AT23:AV23)=3,AT23&gt;=AU23,AU23&gt;=0,AV23&gt;0),(AT23-AU23)/AV23,"")</f>
        <v>1.0113636363636365</v>
      </c>
      <c r="AX23" s="8" t="n">
        <v>164</v>
      </c>
      <c r="AY23" s="8" t="n">
        <v>9</v>
      </c>
      <c r="AZ23" s="8" t="n">
        <v>178</v>
      </c>
      <c r="BA23" s="11" t="n">
        <f>IF(AND(COUNT(AX23:AZ23)=3,AX23&gt;=AY23,AY23&gt;=0,AZ23&gt;0),(AX23-AY23)/AZ23,"")</f>
        <v>0.8707865168539326</v>
      </c>
      <c r="BB23" s="8" t="n">
        <f>IF(COUNT(AS23,AW23,BA23)=3,1,0)</f>
        <v>1</v>
      </c>
      <c r="BC23" s="11" t="n">
        <f>IF(SUMIF($AO$11:$AO$1309,AO23,$BB$11:$BB$1309)=COUNTIF($AO$11:$AO$1309,AO23),SUMIF($AO$11:$AO$1309,AO23,$AS$11:$AS$1309),"")</f>
        <v>10.232422007128712</v>
      </c>
      <c r="BD23" s="11" t="n">
        <f>IF(SUMIF($AO$11:$AO$1309,AO23,$BB$11:$BB$1309)=COUNTIF($AO$11:$AO$1309,AO23),SUMIF($AO$11:$AO$1309,AO23,$AW$11:$AW$1309),"")</f>
        <v>6.3522727272727275</v>
      </c>
      <c r="BE23" s="11" t="n">
        <f>IF(SUMIF($AO$11:$AO$1309,AO23,$BB$11:$BB$1309)=COUNTIF($AO$11:$AO$1309,AO23),SUMIF($AO$11:$AO$1309,AO23,$BA$11:$BA$1309),"")</f>
        <v>5.5</v>
      </c>
      <c r="BF23" s="12" t="n">
        <f>IF(COUNT(BD23:BE23)&lt;&gt;2,"",IF(AND(BD23&gt;0,BE23&gt;0),0.7*AW23/BD23+0.3*BA23/BE23,IF(BD23&gt;0,AW23/BD23,IF(BE23&gt;0,BA23/BE23,IF(AND(ISNUMBER(BH23),BH23=0),0,"")))))</f>
        <v>0.15894646247402977</v>
      </c>
      <c r="BG23" s="11" t="n">
        <f>IF(AND(COUNT(BN23:BU23)=8,MIN(BN23:BU23)&gt;=0),SUMPRODUCT(BN23:BQ23,BR23:BU23),"")</f>
        <v>73.80791239847399</v>
      </c>
      <c r="BH23" s="11" t="n">
        <f>IF(COUNT(BC23,BG23)=2,BC23*BG23,"")</f>
        <v>755.2337071263734</v>
      </c>
      <c r="BI23" s="11" t="n">
        <f>IF(ISNUMBER(CI23),CI23,"")</f>
        <v>120.0417260888845</v>
      </c>
      <c r="BJ23" s="8" t="str">
        <v>低销提醒依据不完整</v>
      </c>
      <c r="BK23" s="8" t="str">
        <v>90天：2026-07-20 至 2026-10-17；180天：2026-04-21 至 2026-10-17</v>
      </c>
      <c r="BL23" s="8" t="str">
        <v>90天：2026-10-06、2026-10-07；180天：2026-10-06、2026-10-07</v>
      </c>
      <c r="BM23" s="8" t="str">
        <v>2026-10：12天 × 1.2247029157699902；2026-11：30天 × 0.8332682139098497；2026-12：31天 × 0.5511018253564084；2027-01：17天 × 1.0017220238758797</v>
      </c>
      <c r="BN23" s="11" t="n">
        <v>1.2247029157699902</v>
      </c>
      <c r="BO23" s="11" t="n">
        <v>0.8332682139098497</v>
      </c>
      <c r="BP23" s="11" t="n">
        <v>0.5511018253564084</v>
      </c>
      <c r="BQ23" s="11" t="n">
        <v>1.0017220238758797</v>
      </c>
      <c r="BR23" s="8" t="n">
        <v>12</v>
      </c>
      <c r="BS23" s="8" t="n">
        <v>30</v>
      </c>
      <c r="BT23" s="8" t="n">
        <v>31</v>
      </c>
      <c r="BU23" s="8" t="n">
        <v>17</v>
      </c>
      <c r="BV23" s="11" t="n">
        <f>IF(COUNT(BC23,BF23)=2,BC23*BF23,"")</f>
        <v>1.6264072805745202</v>
      </c>
      <c r="BW23" s="11" t="n">
        <f>IF(ISNUMBER(BN23),BN23,"")</f>
        <v>1.2247029157699902</v>
      </c>
      <c r="BX23" s="14" t="n">
        <f>IF(ISNUMBER(BR23),BR23,"")</f>
        <v>12</v>
      </c>
      <c r="BY23" s="13" t="n">
        <f>IF(AND(COUNT(BV23,BW23,BX23)=3,MIN(BV23,BW23,BX23)&gt;=0),BV23*BW23*BX23,"")</f>
        <v>23.902388864989867</v>
      </c>
      <c r="BZ23" s="11" t="n">
        <f>IF(ISNUMBER(BO23),BO23,"")</f>
        <v>0.8332682139098497</v>
      </c>
      <c r="CA23" s="14" t="n">
        <f>IF(ISNUMBER(BS23),BS23,"")</f>
        <v>30</v>
      </c>
      <c r="CB23" s="13" t="n">
        <f>IF(AND(COUNT(BV23,BZ23,CA23)=3,MIN(BV23,BZ23,CA23)&gt;=0),BV23*BZ23*CA23,"")</f>
        <v>40.65700469322919</v>
      </c>
      <c r="CC23" s="11" t="n">
        <f>IF(ISNUMBER(BP23),BP23,"")</f>
        <v>0.5511018253564084</v>
      </c>
      <c r="CD23" s="14" t="n">
        <f>IF(ISNUMBER(BT23),BT23,"")</f>
        <v>31</v>
      </c>
      <c r="CE23" s="13" t="n">
        <f>IF(AND(COUNT(BV23,CC23,CD23)=3,MIN(BV23,CC23,CD23)&gt;=0),BV23*CC23*CD23,"")</f>
        <v>27.785796654024683</v>
      </c>
      <c r="CF23" s="11" t="n">
        <f>IF(ISNUMBER(BQ23),BQ23,"")</f>
        <v>1.0017220238758797</v>
      </c>
      <c r="CG23" s="14" t="n">
        <f>IF(ISNUMBER(BU23),BU23,"")</f>
        <v>17</v>
      </c>
      <c r="CH23" s="13" t="n">
        <f>IF(AND(COUNT(BV23,CF23,CG23)=3,MIN(BV23,CF23,CG23)&gt;=0),BV23*CF23*CG23,"")</f>
        <v>27.69653587664076</v>
      </c>
      <c r="CI23" s="13" t="n">
        <f>IF(COUNT(BY23,CB23,CE23,CH23)=4,SUM(BY23,CB23,CE23,CH23),"")</f>
        <v>120.0417260888845</v>
      </c>
    </row>
    <row r="24" ht="72" customHeight="1">
      <c r="A24" s="16" t="str">
        <v>S02-LP-39</v>
      </c>
      <c r="B24" s="16" t="str">
        <v>3店-SANDIEX-US</v>
      </c>
      <c r="C24" s="16" t="str">
        <v>陈晨</v>
      </c>
      <c r="D24" s="26" t="n">
        <f>IF(NOT(ISNUMBER(E24)),"",IF(OR(E24&lt;=0,L24=0),0,IF(OR(NOT(ISNUMBER(F24)),F24&lt;0),"",MIN(E24,INT(F24)))))</f>
        <v>91</v>
      </c>
      <c r="E24" s="27" t="n">
        <f>IF(OR(NOT(ISNUMBER(L24)),COUNT(M24:O24)&lt;&gt;3,MIN(M24:O24)&lt;0),"",ROUNDUP(ROUND(BI24-SUM(M24:O24),10),0))</f>
        <v>91</v>
      </c>
      <c r="F24" s="28" t="n">
        <v>99</v>
      </c>
      <c r="G24" s="28" t="n">
        <f>IF(AND(ISNUMBER(D24),ISNUMBER(E24)),IF(OR(E24&lt;=0,L24=0),0,E24-D24),"")</f>
        <v>0</v>
      </c>
      <c r="H24" s="16" t="str">
        <f>IF(NOT(ISNUMBER(E24)),"销量或海外库存待补",IF(OR(E24&lt;=0,L24=0),IF(L24=0,"零日销，本批不发","本批无需补货"),IF(NOT(ISNUMBER(D24)),"国内库存待补",IF(D24=0,"国内无可用库存",IF(G24&gt;0,"先发国内现货","按建议量发货")))))</f>
        <v>按建议量发货</v>
      </c>
      <c r="I24" s="28" t="n">
        <f>IF(AND(COUNT(Z24,AA24,AB24)=3,Z24&gt;=AA24,AA24&gt;=0,AB24=7),Z24-AA24,"")</f>
        <v>12</v>
      </c>
      <c r="J24" s="28" t="n">
        <f>IF(AND(COUNT(AF24,AG24,AH24)=3,AF24&gt;=AG24,AG24&gt;=0,AH24=14),AF24-AG24,"")</f>
        <v>30</v>
      </c>
      <c r="K24" s="28" t="n">
        <f>IF(AND(COUNT(AL24,AM24,AN24)=3,AL24&gt;=AM24,AM24&gt;=0,AN24=30),AL24-AM24,"")</f>
        <v>75</v>
      </c>
      <c r="L24" s="29" t="n">
        <f>IF(ISNUMBER(BI24),BI24/90,"")</f>
        <v>1.892672885510676</v>
      </c>
      <c r="M24" s="28" t="n">
        <v>69</v>
      </c>
      <c r="N24" s="28" t="n">
        <v>0</v>
      </c>
      <c r="O24" s="28" t="n">
        <v>11</v>
      </c>
      <c r="P24" s="30" t="n">
        <f>IF(AND(ISNUMBER(L24),L24&gt;0,COUNT(M24:O24)=3,MIN(M24:O24)&gt;=0),SUM(M24:O24)/L24,"")</f>
        <v>42.26826548445777</v>
      </c>
      <c r="Q24" s="16" t="str">
        <v>沿用原计划SKU店铺</v>
      </c>
      <c r="R24" s="16" t="str">
        <v>已匹配</v>
      </c>
      <c r="S24" s="16" t="str">
        <v>在售</v>
      </c>
      <c r="T24" s="16" t="str">
        <v>S02</v>
      </c>
      <c r="U24" s="16" t="str">
        <v>豹纹</v>
      </c>
      <c r="V24" s="16" t="n">
        <v>8</v>
      </c>
      <c r="W24" s="8" t="str">
        <v>2026-10-11 至 2026-10-17</v>
      </c>
      <c r="X24" s="8" t="str">
        <v>2026-10-11、2026-10-12、2026-10-13、2026-10-14、2026-10-15、2026-10-16、2026-10-17</v>
      </c>
      <c r="Y24" s="8" t="str">
        <v>无</v>
      </c>
      <c r="Z24" s="8" t="n">
        <v>12</v>
      </c>
      <c r="AA24" s="8" t="n">
        <v>0</v>
      </c>
      <c r="AB24" s="8" t="n">
        <v>7</v>
      </c>
      <c r="AC24" s="8" t="str">
        <v>2026-10-02 至 2026-10-17</v>
      </c>
      <c r="AD24" s="8" t="str">
        <v>2026-10-02、2026-10-03、2026-10-04、2026-10-05、2026-10-08、2026-10-09、2026-10-10、2026-10-11、2026-10-12、2026-10-13、2026-10-14、2026-10-15、2026-10-16、2026-10-17</v>
      </c>
      <c r="AE24" s="8" t="str">
        <v>2026-10-06 大促；2026-10-07 大促</v>
      </c>
      <c r="AF24" s="8" t="n">
        <v>38</v>
      </c>
      <c r="AG24" s="8" t="n">
        <v>8</v>
      </c>
      <c r="AH24" s="8" t="n">
        <v>14</v>
      </c>
      <c r="AI24" s="8" t="str">
        <v>2026-09-16 至 2026-10-17</v>
      </c>
      <c r="AJ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" s="8" t="str">
        <v>2026-10-06 大促；2026-10-07 大促</v>
      </c>
      <c r="AL24" s="8" t="n">
        <v>83</v>
      </c>
      <c r="AM24" s="8" t="n">
        <v>8</v>
      </c>
      <c r="AN24" s="8" t="n">
        <v>30</v>
      </c>
      <c r="AO24" s="8" t="str">
        <v>S02 / 豹纹 / 6574</v>
      </c>
      <c r="AP24" s="11" t="n">
        <v>0.9634503791704667</v>
      </c>
      <c r="AQ24" s="11" t="n">
        <v>0.9634503791704667</v>
      </c>
      <c r="AR24" s="11" t="n">
        <v>0.902244307144596</v>
      </c>
      <c r="AS24" s="11" t="n">
        <f>IF(AND(COUNT(I24:K24,AP24:AR24)=6,MIN(AP24:AR24)&gt;0),I24/7/AP24*0.5+J24/14/AQ24*0.3+K24/30/AR24*0.2,"")</f>
        <v>2.111077887240401</v>
      </c>
      <c r="AT24" s="8" t="n">
        <v>130</v>
      </c>
      <c r="AU24" s="8" t="n">
        <v>8</v>
      </c>
      <c r="AV24" s="8" t="n">
        <v>88</v>
      </c>
      <c r="AW24" s="11" t="n">
        <f>IF(AND(COUNT(AT24:AV24)=3,AT24&gt;=AU24,AU24&gt;=0,AV24&gt;0),(AT24-AU24)/AV24,"")</f>
        <v>1.3863636363636365</v>
      </c>
      <c r="AX24" s="8" t="n">
        <v>186</v>
      </c>
      <c r="AY24" s="8" t="n">
        <v>8</v>
      </c>
      <c r="AZ24" s="8" t="n">
        <v>178</v>
      </c>
      <c r="BA24" s="11" t="n">
        <f>IF(AND(COUNT(AX24:AZ24)=3,AX24&gt;=AY24,AY24&gt;=0,AZ24&gt;0),(AX24-AY24)/AZ24,"")</f>
        <v>1</v>
      </c>
      <c r="BB24" s="8" t="n">
        <f>IF(COUNT(AS24,AW24,BA24)=3,1,0)</f>
        <v>1</v>
      </c>
      <c r="BC24" s="11" t="n">
        <f>IF(SUMIF($AO$11:$AO$1309,AO24,$BB$11:$BB$1309)=COUNTIF($AO$11:$AO$1309,AO24),SUMIF($AO$11:$AO$1309,AO24,$AS$11:$AS$1309),"")</f>
        <v>7.640117517669702</v>
      </c>
      <c r="BD24" s="11" t="n">
        <f>IF(SUMIF($AO$11:$AO$1309,AO24,$BB$11:$BB$1309)=COUNTIF($AO$11:$AO$1309,AO24),SUMIF($AO$11:$AO$1309,AO24,$AW$11:$AW$1309),"")</f>
        <v>4.92970401691332</v>
      </c>
      <c r="BE24" s="11" t="n">
        <f>IF(SUMIF($AO$11:$AO$1309,AO24,$BB$11:$BB$1309)=COUNTIF($AO$11:$AO$1309,AO24),SUMIF($AO$11:$AO$1309,AO24,$BA$11:$BA$1309),"")</f>
        <v>3.492019918283964</v>
      </c>
      <c r="BF24" s="12" t="n">
        <f>IF(COUNT(BD24:BE24)&lt;&gt;2,"",IF(AND(BD24&gt;0,BE24&gt;0),0.7*AW24/BD24+0.3*BA24/BE24,IF(BD24&gt;0,AW24/BD24,IF(BE24&gt;0,BA24/BE24,IF(AND(ISNUMBER(BH24),BH24=0),0,"")))))</f>
        <v>0.28276874550108844</v>
      </c>
      <c r="BG24" s="11" t="n">
        <f>IF(AND(COUNT(BN24:BU24)=8,MIN(BN24:BU24)&gt;=0),SUMPRODUCT(BN24:BQ24,BR24:BU24),"")</f>
        <v>78.84726365280937</v>
      </c>
      <c r="BH24" s="11" t="n">
        <f>IF(COUNT(BC24,BG24)=2,BC24*BG24,"")</f>
        <v>602.4023602541505</v>
      </c>
      <c r="BI24" s="11" t="n">
        <f>IF(ISNUMBER(CI24),CI24,"")</f>
        <v>170.34055969596085</v>
      </c>
      <c r="BJ24" s="8" t="str"/>
      <c r="BK24" s="8" t="str">
        <v>90天：2026-07-20 至 2026-10-17；180天：2026-04-21 至 2026-10-17</v>
      </c>
      <c r="BL24" s="8" t="str">
        <v>90天：2026-10-06、2026-10-07；180天：2026-10-06、2026-10-07</v>
      </c>
      <c r="BM24" s="8" t="str">
        <v>2026-10：12天 × 0.9634503791704667；2026-11：30天 × 0.8585031562320637；2026-12：31天 × 0.7896606554092485；2027-01：17天 × 1.0030167116538329</v>
      </c>
      <c r="BN24" s="11" t="n">
        <v>0.9634503791704667</v>
      </c>
      <c r="BO24" s="11" t="n">
        <v>0.8585031562320637</v>
      </c>
      <c r="BP24" s="11" t="n">
        <v>0.7896606554092485</v>
      </c>
      <c r="BQ24" s="11" t="n">
        <v>1.0030167116538329</v>
      </c>
      <c r="BR24" s="8" t="n">
        <v>12</v>
      </c>
      <c r="BS24" s="8" t="n">
        <v>30</v>
      </c>
      <c r="BT24" s="8" t="n">
        <v>31</v>
      </c>
      <c r="BU24" s="8" t="n">
        <v>17</v>
      </c>
      <c r="BV24" s="11" t="n">
        <f>IF(COUNT(BC24,BF24)=2,BC24*BF24,"")</f>
        <v>2.1603864459523514</v>
      </c>
      <c r="BW24" s="11" t="n">
        <f>IF(ISNUMBER(BN24),BN24,"")</f>
        <v>0.9634503791704667</v>
      </c>
      <c r="BX24" s="14" t="n">
        <f>IF(ISNUMBER(BR24),BR24,"")</f>
        <v>12</v>
      </c>
      <c r="BY24" s="13" t="n">
        <f>IF(AND(COUNT(BV24,BW24,BX24)=3,MIN(BV24,BW24,BX24)&gt;=0),BV24*BW24*BX24,"")</f>
        <v>24.977101686090357</v>
      </c>
      <c r="BZ24" s="11" t="n">
        <f>IF(ISNUMBER(BO24),BO24,"")</f>
        <v>0.8585031562320637</v>
      </c>
      <c r="CA24" s="14" t="n">
        <f>IF(ISNUMBER(BS24),BS24,"")</f>
        <v>30</v>
      </c>
      <c r="CB24" s="13" t="n">
        <f>IF(AND(COUNT(BV24,BZ24,CA24)=3,MIN(BV24,BZ24,CA24)&gt;=0),BV24*BZ24*CA24,"")</f>
        <v>55.640957475931934</v>
      </c>
      <c r="CC24" s="11" t="n">
        <f>IF(ISNUMBER(BP24),BP24,"")</f>
        <v>0.7896606554092485</v>
      </c>
      <c r="CD24" s="14" t="n">
        <f>IF(ISNUMBER(BT24),BT24,"")</f>
        <v>31</v>
      </c>
      <c r="CE24" s="13" t="n">
        <f>IF(AND(COUNT(BV24,CC24,CD24)=3,MIN(BV24,CC24,CD24)&gt;=0),BV24*CC24*CD24,"")</f>
        <v>52.88513748228771</v>
      </c>
      <c r="CF24" s="11" t="n">
        <f>IF(ISNUMBER(BQ24),BQ24,"")</f>
        <v>1.0030167116538329</v>
      </c>
      <c r="CG24" s="14" t="n">
        <f>IF(ISNUMBER(BU24),BU24,"")</f>
        <v>17</v>
      </c>
      <c r="CH24" s="13" t="n">
        <f>IF(AND(COUNT(BV24,CF24,CG24)=3,MIN(BV24,CF24,CG24)&gt;=0),BV24*CF24*CG24,"")</f>
        <v>36.837363051650854</v>
      </c>
      <c r="CI24" s="13" t="n">
        <f>IF(COUNT(BY24,CB24,CE24,CH24)=4,SUM(BY24,CB24,CE24,CH24),"")</f>
        <v>170.34055969596085</v>
      </c>
    </row>
    <row r="25" ht="72" customHeight="1">
      <c r="A25" s="16" t="str">
        <v>B07-LP1-40-by</v>
      </c>
      <c r="B25" s="16" t="str">
        <v>4店-彬郁-US</v>
      </c>
      <c r="C25" s="16" t="str">
        <v>艾年</v>
      </c>
      <c r="D25" s="26" t="n">
        <f>IF(NOT(ISNUMBER(E25)),"",IF(OR(E25&lt;=0,L25=0),0,IF(OR(NOT(ISNUMBER(F25)),F25&lt;0),"",MIN(E25,INT(F25)))))</f>
        <v>86</v>
      </c>
      <c r="E25" s="27" t="n">
        <f>IF(OR(NOT(ISNUMBER(L25)),COUNT(M25:O25)&lt;&gt;3,MIN(M25:O25)&lt;0),"",ROUNDUP(ROUND(BI25-SUM(M25:O25),10),0))</f>
        <v>86</v>
      </c>
      <c r="F25" s="28" t="n">
        <v>167</v>
      </c>
      <c r="G25" s="28" t="n">
        <f>IF(AND(ISNUMBER(D25),ISNUMBER(E25)),IF(OR(E25&lt;=0,L25=0),0,E25-D25),"")</f>
        <v>0</v>
      </c>
      <c r="H25" s="16" t="str">
        <f>IF(NOT(ISNUMBER(E25)),"销量或海外库存待补",IF(OR(E25&lt;=0,L25=0),IF(L25=0,"零日销，本批不发","本批无需补货"),IF(NOT(ISNUMBER(D25)),"国内库存待补",IF(D25=0,"国内无可用库存",IF(G25&gt;0,"先发国内现货","按建议量发货")))))</f>
        <v>按建议量发货</v>
      </c>
      <c r="I25" s="28" t="n">
        <f>IF(AND(COUNT(Z25,AA25,AB25)=3,Z25&gt;=AA25,AA25&gt;=0,AB25=7),Z25-AA25,"")</f>
        <v>1</v>
      </c>
      <c r="J25" s="28" t="n">
        <f>IF(AND(COUNT(AF25,AG25,AH25)=3,AF25&gt;=AG25,AG25&gt;=0,AH25=14),AF25-AG25,"")</f>
        <v>8</v>
      </c>
      <c r="K25" s="28" t="n">
        <f>IF(AND(COUNT(AL25,AM25,AN25)=3,AL25&gt;=AM25,AM25&gt;=0,AN25=30),AL25-AM25,"")</f>
        <v>23</v>
      </c>
      <c r="L25" s="29" t="n">
        <f>IF(ISNUMBER(BI25),BI25/90,"")</f>
        <v>1.0339901190083074</v>
      </c>
      <c r="M25" s="28" t="n">
        <v>8</v>
      </c>
      <c r="N25" s="28" t="n">
        <v>0</v>
      </c>
      <c r="O25" s="28" t="n">
        <v>0</v>
      </c>
      <c r="P25" s="30" t="n">
        <f>IF(AND(ISNUMBER(L25),L25&gt;0,COUNT(M25:O25)=3,MIN(M25:O25)&gt;=0),SUM(M25:O25)/L25,"")</f>
        <v>7.737017842755348</v>
      </c>
      <c r="Q25" s="16" t="str">
        <v>沿用原计划SKU店铺</v>
      </c>
      <c r="R25" s="16" t="str">
        <v>已匹配</v>
      </c>
      <c r="S25" s="16" t="str">
        <v>在售</v>
      </c>
      <c r="T25" s="16" t="str">
        <v>B07</v>
      </c>
      <c r="U25" s="16" t="str">
        <v>豹纹羊京绒</v>
      </c>
      <c r="V25" s="16" t="n">
        <v>9</v>
      </c>
      <c r="W25" s="8" t="str">
        <v>2026-10-11 至 2026-10-17</v>
      </c>
      <c r="X25" s="8" t="str">
        <v>2026-10-11、2026-10-12、2026-10-13、2026-10-14、2026-10-15、2026-10-16、2026-10-17</v>
      </c>
      <c r="Y25" s="8" t="str">
        <v>无</v>
      </c>
      <c r="Z25" s="8" t="n">
        <v>1</v>
      </c>
      <c r="AA25" s="8" t="n">
        <v>0</v>
      </c>
      <c r="AB25" s="8" t="n">
        <v>7</v>
      </c>
      <c r="AC25" s="8" t="str">
        <v>2026-10-02 至 2026-10-17</v>
      </c>
      <c r="AD25" s="8" t="str">
        <v>2026-10-02、2026-10-03、2026-10-04、2026-10-05、2026-10-08、2026-10-09、2026-10-10、2026-10-11、2026-10-12、2026-10-13、2026-10-14、2026-10-15、2026-10-16、2026-10-17</v>
      </c>
      <c r="AE25" s="8" t="str">
        <v>2026-10-06 大促；2026-10-07 大促</v>
      </c>
      <c r="AF25" s="8" t="n">
        <v>11</v>
      </c>
      <c r="AG25" s="8" t="n">
        <v>3</v>
      </c>
      <c r="AH25" s="8" t="n">
        <v>14</v>
      </c>
      <c r="AI25" s="8" t="str">
        <v>2026-09-16 至 2026-10-17</v>
      </c>
      <c r="AJ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" s="8" t="str">
        <v>2026-10-06 大促；2026-10-07 大促</v>
      </c>
      <c r="AL25" s="8" t="n">
        <v>26</v>
      </c>
      <c r="AM25" s="8" t="n">
        <v>3</v>
      </c>
      <c r="AN25" s="8" t="n">
        <v>30</v>
      </c>
      <c r="AO25" s="8" t="str">
        <v>B07 / 豹纹羊京绒 / 13306</v>
      </c>
      <c r="AP25" s="11" t="n">
        <v>0.7307750238224848</v>
      </c>
      <c r="AQ25" s="11" t="n">
        <v>0.7307750238224848</v>
      </c>
      <c r="AR25" s="11" t="n">
        <v>0.7449809054134506</v>
      </c>
      <c r="AS25" s="11" t="n">
        <f>IF(AND(COUNT(I25:K25,AP25:AR25)=6,MIN(AP25:AR25)&gt;0),I25/7/AP25*0.5+J25/14/AQ25*0.3+K25/30/AR25*0.2,"")</f>
        <v>0.5381500226791139</v>
      </c>
      <c r="AT25" s="8" t="n">
        <v>72</v>
      </c>
      <c r="AU25" s="8" t="n">
        <v>3</v>
      </c>
      <c r="AV25" s="8" t="n">
        <v>88</v>
      </c>
      <c r="AW25" s="11" t="n">
        <f>IF(AND(COUNT(AT25:AV25)=3,AT25&gt;=AU25,AU25&gt;=0,AV25&gt;0),(AT25-AU25)/AV25,"")</f>
        <v>0.7840909090909091</v>
      </c>
      <c r="AX25" s="8" t="n">
        <v>116</v>
      </c>
      <c r="AY25" s="8" t="n">
        <v>3</v>
      </c>
      <c r="AZ25" s="8" t="n">
        <v>178</v>
      </c>
      <c r="BA25" s="11" t="n">
        <f>IF(AND(COUNT(AX25:AZ25)=3,AX25&gt;=AY25,AY25&gt;=0,AZ25&gt;0),(AX25-AY25)/AZ25,"")</f>
        <v>0.6348314606741573</v>
      </c>
      <c r="BB25" s="8" t="n">
        <f>IF(COUNT(AS25,AW25,BA25)=3,1,0)</f>
        <v>1</v>
      </c>
      <c r="BC25" s="11" t="n">
        <f>IF(SUMIF($AO$11:$AO$1309,AO25,$BB$11:$BB$1309)=COUNTIF($AO$11:$AO$1309,AO25),SUMIF($AO$11:$AO$1309,AO25,$AS$11:$AS$1309),"")</f>
        <v>6.767888169262786</v>
      </c>
      <c r="BD25" s="11" t="n">
        <f>IF(SUMIF($AO$11:$AO$1309,AO25,$BB$11:$BB$1309)=COUNTIF($AO$11:$AO$1309,AO25),SUMIF($AO$11:$AO$1309,AO25,$AW$11:$AW$1309),"")</f>
        <v>4.467607105538139</v>
      </c>
      <c r="BE25" s="11" t="n">
        <f>IF(SUMIF($AO$11:$AO$1309,AO25,$BB$11:$BB$1309)=COUNTIF($AO$11:$AO$1309,AO25),SUMIF($AO$11:$AO$1309,AO25,$BA$11:$BA$1309),"")</f>
        <v>3.6192153875452298</v>
      </c>
      <c r="BF25" s="12" t="n">
        <f>IF(COUNT(BD25:BE25)&lt;&gt;2,"",IF(AND(BD25&gt;0,BE25&gt;0),0.7*AW25/BD25+0.3*BA25/BE25,IF(BD25&gt;0,AW25/BD25,IF(BE25&gt;0,BA25/BE25,IF(AND(ISNUMBER(BH25),BH25=0),0,"")))))</f>
        <v>0.17547579963850218</v>
      </c>
      <c r="BG25" s="11" t="n">
        <f>IF(AND(COUNT(BN25:BU25)=8,MIN(BN25:BU25)&gt;=0),SUMPRODUCT(BN25:BQ25,BR25:BU25),"")</f>
        <v>78.35892944347341</v>
      </c>
      <c r="BH25" s="11" t="n">
        <f>IF(COUNT(BC25,BG25)=2,BC25*BG25,"")</f>
        <v>530.3244715365811</v>
      </c>
      <c r="BI25" s="11" t="n">
        <f>IF(ISNUMBER(CI25),CI25,"")</f>
        <v>93.05911071074766</v>
      </c>
      <c r="BJ25" s="8" t="str"/>
      <c r="BK25" s="8" t="str">
        <v>90天：2026-07-20 至 2026-10-17；180天：2026-04-21 至 2026-10-17</v>
      </c>
      <c r="BL25" s="8" t="str">
        <v>90天：2026-10-06、2026-10-07；180天：2026-10-06、2026-10-07</v>
      </c>
      <c r="BM25" s="8" t="str">
        <v>2026-10：12天 × 0.7307750238224848；2026-11：30天 × 0.9523018155490097；2026-12：31天 × 0.5958545198749097；2027-01：17天 × 1.3264167397065354</v>
      </c>
      <c r="BN25" s="11" t="n">
        <v>0.7307750238224848</v>
      </c>
      <c r="BO25" s="11" t="n">
        <v>0.9523018155490097</v>
      </c>
      <c r="BP25" s="11" t="n">
        <v>0.5958545198749097</v>
      </c>
      <c r="BQ25" s="11" t="n">
        <v>1.3264167397065354</v>
      </c>
      <c r="BR25" s="8" t="n">
        <v>12</v>
      </c>
      <c r="BS25" s="8" t="n">
        <v>30</v>
      </c>
      <c r="BT25" s="8" t="n">
        <v>31</v>
      </c>
      <c r="BU25" s="8" t="n">
        <v>17</v>
      </c>
      <c r="BV25" s="11" t="n">
        <f>IF(COUNT(BC25,BF25)=2,BC25*BF25,"")</f>
        <v>1.187600588365346</v>
      </c>
      <c r="BW25" s="11" t="n">
        <f>IF(ISNUMBER(BN25),BN25,"")</f>
        <v>0.7307750238224848</v>
      </c>
      <c r="BX25" s="14" t="n">
        <f>IF(ISNUMBER(BR25),BR25,"")</f>
        <v>12</v>
      </c>
      <c r="BY25" s="13" t="n">
        <f>IF(AND(COUNT(BV25,BW25,BX25)=3,MIN(BV25,BW25,BX25)&gt;=0),BV25*BW25*BX25,"")</f>
        <v>10.414426179051393</v>
      </c>
      <c r="BZ25" s="11" t="n">
        <f>IF(ISNUMBER(BO25),BO25,"")</f>
        <v>0.9523018155490097</v>
      </c>
      <c r="CA25" s="14" t="n">
        <f>IF(ISNUMBER(BS25),BS25,"")</f>
        <v>30</v>
      </c>
      <c r="CB25" s="13" t="n">
        <f>IF(AND(COUNT(BV25,BZ25,CA25)=3,MIN(BV25,BZ25,CA25)&gt;=0),BV25*BZ25*CA25,"")</f>
        <v>33.92862589342173</v>
      </c>
      <c r="CC25" s="11" t="n">
        <f>IF(ISNUMBER(BP25),BP25,"")</f>
        <v>0.5958545198749097</v>
      </c>
      <c r="CD25" s="14" t="n">
        <f>IF(ISNUMBER(BT25),BT25,"")</f>
        <v>31</v>
      </c>
      <c r="CE25" s="13" t="n">
        <f>IF(AND(COUNT(BV25,CC25,CD25)=3,MIN(BV25,CC25,CD25)&gt;=0),BV25*CC25*CD25,"")</f>
        <v>21.9367525298914</v>
      </c>
      <c r="CF25" s="11" t="n">
        <f>IF(ISNUMBER(BQ25),BQ25,"")</f>
        <v>1.3264167397065354</v>
      </c>
      <c r="CG25" s="14" t="n">
        <f>IF(ISNUMBER(BU25),BU25,"")</f>
        <v>17</v>
      </c>
      <c r="CH25" s="13" t="n">
        <f>IF(AND(COUNT(BV25,CF25,CG25)=3,MIN(BV25,CF25,CG25)&gt;=0),BV25*CF25*CG25,"")</f>
        <v>26.779306108383132</v>
      </c>
      <c r="CI25" s="13" t="n">
        <f>IF(COUNT(BY25,CB25,CE25,CH25)=4,SUM(BY25,CB25,CE25,CH25),"")</f>
        <v>93.05911071074766</v>
      </c>
    </row>
    <row r="26" ht="72" customHeight="1">
      <c r="A26" s="16" t="str">
        <v>2302153-BK-S-Z-9</v>
      </c>
      <c r="B26" s="16" t="str">
        <v>3店-SANDIEX-US</v>
      </c>
      <c r="C26" s="16" t="str">
        <v>徐新怡</v>
      </c>
      <c r="D26" s="26" t="n">
        <f>IF(NOT(ISNUMBER(E26)),"",IF(OR(E26&lt;=0,L26=0),0,IF(OR(NOT(ISNUMBER(F26)),F26&lt;0),"",MIN(E26,INT(F26)))))</f>
        <v>83</v>
      </c>
      <c r="E26" s="27" t="n">
        <f>IF(OR(NOT(ISNUMBER(L26)),COUNT(M26:O26)&lt;&gt;3,MIN(M26:O26)&lt;0),"",ROUNDUP(ROUND(BI26-SUM(M26:O26),10),0))</f>
        <v>83</v>
      </c>
      <c r="F26" s="28" t="n">
        <v>187</v>
      </c>
      <c r="G26" s="28" t="n">
        <f>IF(AND(ISNUMBER(D26),ISNUMBER(E26)),IF(OR(E26&lt;=0,L26=0),0,E26-D26),"")</f>
        <v>0</v>
      </c>
      <c r="H26" s="16" t="str">
        <f>IF(NOT(ISNUMBER(E26)),"销量或海外库存待补",IF(OR(E26&lt;=0,L26=0),IF(L26=0,"零日销，本批不发","本批无需补货"),IF(NOT(ISNUMBER(D26)),"国内库存待补",IF(D26=0,"国内无可用库存",IF(G26&gt;0,"先发国内现货","按建议量发货")))))</f>
        <v>按建议量发货</v>
      </c>
      <c r="I26" s="28" t="n">
        <f>IF(AND(COUNT(Z26,AA26,AB26)=3,Z26&gt;=AA26,AA26&gt;=0,AB26=7),Z26-AA26,"")</f>
        <v>27</v>
      </c>
      <c r="J26" s="28" t="n">
        <f>IF(AND(COUNT(AF26,AG26,AH26)=3,AF26&gt;=AG26,AG26&gt;=0,AH26=14),AF26-AG26,"")</f>
        <v>43</v>
      </c>
      <c r="K26" s="28" t="n">
        <f>IF(AND(COUNT(AL26,AM26,AN26)=3,AL26&gt;=AM26,AM26&gt;=0,AN26=30),AL26-AM26,"")</f>
        <v>92</v>
      </c>
      <c r="L26" s="29" t="n">
        <f>IF(ISNUMBER(BI26),BI26/90,"")</f>
        <v>2.282932908486371</v>
      </c>
      <c r="M26" s="28" t="n">
        <v>111</v>
      </c>
      <c r="N26" s="28" t="n">
        <v>2</v>
      </c>
      <c r="O26" s="28" t="n">
        <v>10</v>
      </c>
      <c r="P26" s="30" t="n">
        <f>IF(AND(ISNUMBER(L26),L26&gt;0,COUNT(M26:O26)=3,MIN(M26:O26)&gt;=0),SUM(M26:O26)/L26,"")</f>
        <v>53.87806165602623</v>
      </c>
      <c r="Q26" s="16" t="str">
        <v>沿用原计划SKU店铺</v>
      </c>
      <c r="R26" s="16" t="str">
        <v>已匹配</v>
      </c>
      <c r="S26" s="16" t="str">
        <v>在售</v>
      </c>
      <c r="T26" s="16" t="str">
        <v>2302153</v>
      </c>
      <c r="U26" s="16" t="str">
        <v>黑色</v>
      </c>
      <c r="V26" s="16" t="n">
        <v>9</v>
      </c>
      <c r="W26" s="8" t="str">
        <v>2026-10-11 至 2026-10-17</v>
      </c>
      <c r="X26" s="8" t="str">
        <v>2026-10-11、2026-10-12、2026-10-13、2026-10-14、2026-10-15、2026-10-16、2026-10-17</v>
      </c>
      <c r="Y26" s="8" t="str">
        <v>无</v>
      </c>
      <c r="Z26" s="8" t="n">
        <v>27</v>
      </c>
      <c r="AA26" s="8" t="n">
        <v>0</v>
      </c>
      <c r="AB26" s="8" t="n">
        <v>7</v>
      </c>
      <c r="AC26" s="8" t="str">
        <v>2026-10-02 至 2026-10-17</v>
      </c>
      <c r="AD26" s="8" t="str">
        <v>2026-10-02、2026-10-03、2026-10-04、2026-10-05、2026-10-08、2026-10-09、2026-10-10、2026-10-11、2026-10-12、2026-10-13、2026-10-14、2026-10-15、2026-10-16、2026-10-17</v>
      </c>
      <c r="AE26" s="8" t="str">
        <v>2026-10-06 大促；2026-10-07 大促</v>
      </c>
      <c r="AF26" s="8" t="n">
        <v>52</v>
      </c>
      <c r="AG26" s="8" t="n">
        <v>9</v>
      </c>
      <c r="AH26" s="8" t="n">
        <v>14</v>
      </c>
      <c r="AI26" s="8" t="str">
        <v>2026-09-16 至 2026-10-17</v>
      </c>
      <c r="AJ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" s="8" t="str">
        <v>2026-10-06 大促；2026-10-07 大促</v>
      </c>
      <c r="AL26" s="8" t="n">
        <v>101</v>
      </c>
      <c r="AM26" s="8" t="n">
        <v>9</v>
      </c>
      <c r="AN26" s="8" t="n">
        <v>30</v>
      </c>
      <c r="AO26" s="8" t="str">
        <v>2302153 / 黑色羊京绒 / 6574</v>
      </c>
      <c r="AP26" s="11" t="n">
        <v>1.7391279184229513</v>
      </c>
      <c r="AQ26" s="11" t="n">
        <v>1.7391279184229513</v>
      </c>
      <c r="AR26" s="11" t="n">
        <v>1.5731892896917212</v>
      </c>
      <c r="AS26" s="11" t="n">
        <f>IF(AND(COUNT(I26:K26,AP26:AR26)=6,MIN(AP26:AR26)&gt;0),I26/7/AP26*0.5+J26/14/AQ26*0.3+K26/30/AR26*0.2,"")</f>
        <v>2.028618573080093</v>
      </c>
      <c r="AT26" s="8" t="n">
        <v>193</v>
      </c>
      <c r="AU26" s="8" t="n">
        <v>9</v>
      </c>
      <c r="AV26" s="8" t="n">
        <v>88</v>
      </c>
      <c r="AW26" s="11" t="n">
        <f>IF(AND(COUNT(AT26:AV26)=3,AT26&gt;=AU26,AU26&gt;=0,AV26&gt;0),(AT26-AU26)/AV26,"")</f>
        <v>2.090909090909091</v>
      </c>
      <c r="AX26" s="8" t="n">
        <v>293</v>
      </c>
      <c r="AY26" s="8" t="n">
        <v>9</v>
      </c>
      <c r="AZ26" s="8" t="n">
        <v>178</v>
      </c>
      <c r="BA26" s="11" t="n">
        <f>IF(AND(COUNT(AX26:AZ26)=3,AX26&gt;=AY26,AY26&gt;=0,AZ26&gt;0),(AX26-AY26)/AZ26,"")</f>
        <v>1.595505617977528</v>
      </c>
      <c r="BB26" s="8" t="n">
        <f>IF(COUNT(AS26,AW26,BA26)=3,1,0)</f>
        <v>1</v>
      </c>
      <c r="BC26" s="11" t="n">
        <f>IF(SUMIF($AO$11:$AO$1309,AO26,$BB$11:$BB$1309)=COUNTIF($AO$11:$AO$1309,AO26),SUMIF($AO$11:$AO$1309,AO26,$AS$11:$AS$1309),"")</f>
        <v>14.203593194271557</v>
      </c>
      <c r="BD26" s="11" t="n">
        <f>IF(SUMIF($AO$11:$AO$1309,AO26,$BB$11:$BB$1309)=COUNTIF($AO$11:$AO$1309,AO26),SUMIF($AO$11:$AO$1309,AO26,$AW$11:$AW$1309),"")</f>
        <v>15.818181818181818</v>
      </c>
      <c r="BE26" s="11" t="n">
        <f>IF(SUMIF($AO$11:$AO$1309,AO26,$BB$11:$BB$1309)=COUNTIF($AO$11:$AO$1309,AO26),SUMIF($AO$11:$AO$1309,AO26,$BA$11:$BA$1309),"")</f>
        <v>12.07865168539326</v>
      </c>
      <c r="BF26" s="12" t="n">
        <f>IF(COUNT(BD26:BE26)&lt;&gt;2,"",IF(AND(BD26&gt;0,BE26&gt;0),0.7*AW26/BD26+0.3*BA26/BE26,IF(BD26&gt;0,AW26/BD26,IF(BE26&gt;0,BA26/BE26,IF(AND(ISNUMBER(BH26),BH26=0),0,"")))))</f>
        <v>0.13215664260892807</v>
      </c>
      <c r="BG26" s="11" t="n">
        <f>IF(AND(COUNT(BN26:BU26)=8,MIN(BN26:BU26)&gt;=0),SUMPRODUCT(BN26:BQ26,BR26:BU26),"")</f>
        <v>109.4582336985339</v>
      </c>
      <c r="BH26" s="11" t="n">
        <f>IF(COUNT(BC26,BG26)=2,BC26*BG26,"")</f>
        <v>1554.7002232174816</v>
      </c>
      <c r="BI26" s="11" t="n">
        <f>IF(ISNUMBER(CI26),CI26,"")</f>
        <v>205.4639617637734</v>
      </c>
      <c r="BJ26" s="8" t="str"/>
      <c r="BK26" s="8" t="str">
        <v>90天：2026-07-20 至 2026-10-17；180天：2026-04-21 至 2026-10-17</v>
      </c>
      <c r="BL26" s="8" t="str">
        <v>90天：2026-10-06、2026-10-07；180天：2026-10-06、2026-10-07</v>
      </c>
      <c r="BM26" s="8" t="str">
        <v>2026-10：12天 × 1.7391279184229513；2026-11：30天 × 1.4002077845513243；2026-12：31天 × 1.079339935625147；2027-01：17天 × 0.7719368903846591</v>
      </c>
      <c r="BN26" s="11" t="n">
        <v>1.7391279184229513</v>
      </c>
      <c r="BO26" s="11" t="n">
        <v>1.4002077845513243</v>
      </c>
      <c r="BP26" s="11" t="n">
        <v>1.079339935625147</v>
      </c>
      <c r="BQ26" s="11" t="n">
        <v>0.7719368903846591</v>
      </c>
      <c r="BR26" s="8" t="n">
        <v>12</v>
      </c>
      <c r="BS26" s="8" t="n">
        <v>30</v>
      </c>
      <c r="BT26" s="8" t="n">
        <v>31</v>
      </c>
      <c r="BU26" s="8" t="n">
        <v>17</v>
      </c>
      <c r="BV26" s="11" t="n">
        <f>IF(COUNT(BC26,BF26)=2,BC26*BF26,"")</f>
        <v>1.8770991895379492</v>
      </c>
      <c r="BW26" s="11" t="n">
        <f>IF(ISNUMBER(BN26),BN26,"")</f>
        <v>1.7391279184229513</v>
      </c>
      <c r="BX26" s="14" t="n">
        <f>IF(ISNUMBER(BR26),BR26,"")</f>
        <v>12</v>
      </c>
      <c r="BY26" s="13" t="n">
        <f>IF(AND(COUNT(BV26,BW26,BX26)=3,MIN(BV26,BW26,BX26)&gt;=0),BV26*BW26*BX26,"")</f>
        <v>39.17418727409451</v>
      </c>
      <c r="BZ26" s="11" t="n">
        <f>IF(ISNUMBER(BO26),BO26,"")</f>
        <v>1.4002077845513243</v>
      </c>
      <c r="CA26" s="14" t="n">
        <f>IF(ISNUMBER(BS26),BS26,"")</f>
        <v>30</v>
      </c>
      <c r="CB26" s="13" t="n">
        <f>IF(AND(COUNT(BV26,BZ26,CA26)=3,MIN(BV26,BZ26,CA26)&gt;=0),BV26*BZ26*CA26,"")</f>
        <v>78.84986692698054</v>
      </c>
      <c r="CC26" s="11" t="n">
        <f>IF(ISNUMBER(BP26),BP26,"")</f>
        <v>1.079339935625147</v>
      </c>
      <c r="CD26" s="14" t="n">
        <f>IF(ISNUMBER(BT26),BT26,"")</f>
        <v>31</v>
      </c>
      <c r="CE26" s="13" t="n">
        <f>IF(AND(COUNT(BV26,CC26,CD26)=3,MIN(BV26,CC26,CD26)&gt;=0),BV26*CC26*CD26,"")</f>
        <v>62.80687167033507</v>
      </c>
      <c r="CF26" s="11" t="n">
        <f>IF(ISNUMBER(BQ26),BQ26,"")</f>
        <v>0.7719368903846591</v>
      </c>
      <c r="CG26" s="14" t="n">
        <f>IF(ISNUMBER(BU26),BU26,"")</f>
        <v>17</v>
      </c>
      <c r="CH26" s="13" t="n">
        <f>IF(AND(COUNT(BV26,CF26,CG26)=3,MIN(BV26,CF26,CG26)&gt;=0),BV26*CF26*CG26,"")</f>
        <v>24.6330358923633</v>
      </c>
      <c r="CI26" s="13" t="n">
        <f>IF(COUNT(BY26,CB26,CE26,CH26)=4,SUM(BY26,CB26,CE26,CH26),"")</f>
        <v>205.4639617637734</v>
      </c>
    </row>
    <row r="27" ht="72" customHeight="1">
      <c r="A27" s="16" t="str">
        <v>B06-LP-39.5</v>
      </c>
      <c r="B27" s="16" t="str">
        <v>1店-MUSSHOE-US</v>
      </c>
      <c r="C27" s="16" t="str">
        <v>艾年</v>
      </c>
      <c r="D27" s="26" t="n">
        <f>IF(NOT(ISNUMBER(E27)),"",IF(OR(E27&lt;=0,L27=0),0,IF(OR(NOT(ISNUMBER(F27)),F27&lt;0),"",MIN(E27,INT(F27)))))</f>
        <v>80</v>
      </c>
      <c r="E27" s="27" t="n">
        <f>IF(OR(NOT(ISNUMBER(L27)),COUNT(M27:O27)&lt;&gt;3,MIN(M27:O27)&lt;0),"",ROUNDUP(ROUND(BI27-SUM(M27:O27),10),0))</f>
        <v>81</v>
      </c>
      <c r="F27" s="28" t="n">
        <v>80</v>
      </c>
      <c r="G27" s="28" t="n">
        <f>IF(AND(ISNUMBER(D27),ISNUMBER(E27)),IF(OR(E27&lt;=0,L27=0),0,E27-D27),"")</f>
        <v>1</v>
      </c>
      <c r="H27" s="16" t="str">
        <f>IF(NOT(ISNUMBER(E27)),"销量或海外库存待补",IF(OR(E27&lt;=0,L27=0),IF(L27=0,"零日销，本批不发","本批无需补货"),IF(NOT(ISNUMBER(D27)),"国内库存待补",IF(D27=0,"国内无可用库存",IF(G27&gt;0,"先发国内现货","按建议量发货")))))</f>
        <v>先发国内现货</v>
      </c>
      <c r="I27" s="28" t="n">
        <f>IF(AND(COUNT(Z27,AA27,AB27)=3,Z27&gt;=AA27,AA27&gt;=0,AB27=7),Z27-AA27,"")</f>
        <v>7</v>
      </c>
      <c r="J27" s="28" t="n">
        <f>IF(AND(COUNT(AF27,AG27,AH27)=3,AF27&gt;=AG27,AG27&gt;=0,AH27=14),AF27-AG27,"")</f>
        <v>14</v>
      </c>
      <c r="K27" s="28" t="n">
        <f>IF(AND(COUNT(AL27,AM27,AN27)=3,AL27&gt;=AM27,AM27&gt;=0,AN27=30),AL27-AM27,"")</f>
        <v>30</v>
      </c>
      <c r="L27" s="29" t="n">
        <f>IF(ISNUMBER(BI27),BI27/90,"")</f>
        <v>0.9532520738688528</v>
      </c>
      <c r="M27" s="28" t="n">
        <v>5</v>
      </c>
      <c r="N27" s="28" t="n">
        <v>0</v>
      </c>
      <c r="O27" s="28" t="n">
        <v>0</v>
      </c>
      <c r="P27" s="30" t="n">
        <f>IF(AND(ISNUMBER(L27),L27&gt;0,COUNT(M27:O27)=3,MIN(M27:O27)&gt;=0),SUM(M27:O27)/L27,"")</f>
        <v>5.245202331118026</v>
      </c>
      <c r="Q27" s="16" t="str">
        <v>沿用原计划SKU店铺</v>
      </c>
      <c r="R27" s="16" t="str">
        <v>已匹配</v>
      </c>
      <c r="S27" s="16" t="str">
        <v>在售</v>
      </c>
      <c r="T27" s="16" t="str">
        <v>B06</v>
      </c>
      <c r="U27" s="16" t="str">
        <v>豹纹羊京绒</v>
      </c>
      <c r="V27" s="16" t="n">
        <v>8.5</v>
      </c>
      <c r="W27" s="8" t="str">
        <v>2026-10-11 至 2026-10-17</v>
      </c>
      <c r="X27" s="8" t="str">
        <v>2026-10-11、2026-10-12、2026-10-13、2026-10-14、2026-10-15、2026-10-16、2026-10-17</v>
      </c>
      <c r="Y27" s="8" t="str">
        <v>无</v>
      </c>
      <c r="Z27" s="8" t="n">
        <v>7</v>
      </c>
      <c r="AA27" s="8" t="n">
        <v>0</v>
      </c>
      <c r="AB27" s="8" t="n">
        <v>7</v>
      </c>
      <c r="AC27" s="8" t="str">
        <v>2026-10-02 至 2026-10-17</v>
      </c>
      <c r="AD27" s="8" t="str">
        <v>2026-10-02、2026-10-03、2026-10-04、2026-10-05、2026-10-08、2026-10-09、2026-10-10、2026-10-11、2026-10-12、2026-10-13、2026-10-14、2026-10-15、2026-10-16、2026-10-17</v>
      </c>
      <c r="AE27" s="8" t="str">
        <v>2026-10-06 大促；2026-10-07 大促</v>
      </c>
      <c r="AF27" s="8" t="n">
        <v>17</v>
      </c>
      <c r="AG27" s="8" t="n">
        <v>3</v>
      </c>
      <c r="AH27" s="8" t="n">
        <v>14</v>
      </c>
      <c r="AI27" s="8" t="str">
        <v>2026-09-16 至 2026-10-17</v>
      </c>
      <c r="AJ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" s="8" t="str">
        <v>2026-10-06 大促；2026-10-07 大促</v>
      </c>
      <c r="AL27" s="8" t="n">
        <v>33</v>
      </c>
      <c r="AM27" s="8" t="n">
        <v>3</v>
      </c>
      <c r="AN27" s="8" t="n">
        <v>30</v>
      </c>
      <c r="AO27" s="8" t="str">
        <v>B06 / 豹纹羊京绒 / 13120</v>
      </c>
      <c r="AP27" s="11" t="n">
        <v>1.2247029157699902</v>
      </c>
      <c r="AQ27" s="11" t="n">
        <v>1.2247029157699902</v>
      </c>
      <c r="AR27" s="11" t="n">
        <v>1.1136940657346173</v>
      </c>
      <c r="AS27" s="11" t="n">
        <f>IF(AND(COUNT(I27:K27,AP27:AR27)=6,MIN(AP27:AR27)&gt;0),I27/7/AP27*0.5+J27/14/AQ27*0.3+K27/30/AR27*0.2,"")</f>
        <v>0.8328021736624799</v>
      </c>
      <c r="AT27" s="8" t="n">
        <v>69</v>
      </c>
      <c r="AU27" s="8" t="n">
        <v>3</v>
      </c>
      <c r="AV27" s="8" t="n">
        <v>88</v>
      </c>
      <c r="AW27" s="11" t="n">
        <f>IF(AND(COUNT(AT27:AV27)=3,AT27&gt;=AU27,AU27&gt;=0,AV27&gt;0),(AT27-AU27)/AV27,"")</f>
        <v>0.75</v>
      </c>
      <c r="AX27" s="8" t="n">
        <v>104</v>
      </c>
      <c r="AY27" s="8" t="n">
        <v>3</v>
      </c>
      <c r="AZ27" s="8" t="n">
        <v>178</v>
      </c>
      <c r="BA27" s="11" t="n">
        <f>IF(AND(COUNT(AX27:AZ27)=3,AX27&gt;=AY27,AY27&gt;=0,AZ27&gt;0),(AX27-AY27)/AZ27,"")</f>
        <v>0.5674157303370787</v>
      </c>
      <c r="BB27" s="8" t="n">
        <f>IF(COUNT(AS27,AW27,BA27)=3,1,0)</f>
        <v>1</v>
      </c>
      <c r="BC27" s="11" t="n">
        <f>IF(SUMIF($AO$11:$AO$1309,AO27,$BB$11:$BB$1309)=COUNTIF($AO$11:$AO$1309,AO27),SUMIF($AO$11:$AO$1309,AO27,$AS$11:$AS$1309),"")</f>
        <v>10.232422007128712</v>
      </c>
      <c r="BD27" s="11" t="n">
        <f>IF(SUMIF($AO$11:$AO$1309,AO27,$BB$11:$BB$1309)=COUNTIF($AO$11:$AO$1309,AO27),SUMIF($AO$11:$AO$1309,AO27,$AW$11:$AW$1309),"")</f>
        <v>6.3522727272727275</v>
      </c>
      <c r="BE27" s="11" t="n">
        <f>IF(SUMIF($AO$11:$AO$1309,AO27,$BB$11:$BB$1309)=COUNTIF($AO$11:$AO$1309,AO27),SUMIF($AO$11:$AO$1309,AO27,$BA$11:$BA$1309),"")</f>
        <v>5.5</v>
      </c>
      <c r="BF27" s="12" t="n">
        <f>IF(COUNT(BD27:BE27)&lt;&gt;2,"",IF(AND(BD27&gt;0,BE27&gt;0),0.7*AW27/BD27+0.3*BA27/BE27,IF(BD27&gt;0,AW27/BD27,IF(BE27&gt;0,BA27/BE27,IF(AND(ISNUMBER(BH27),BH27=0),0,"")))))</f>
        <v>0.11359753390064337</v>
      </c>
      <c r="BG27" s="11" t="n">
        <f>IF(AND(COUNT(BN27:BU27)=8,MIN(BN27:BU27)&gt;=0),SUMPRODUCT(BN27:BQ27,BR27:BU27),"")</f>
        <v>73.80791239847399</v>
      </c>
      <c r="BH27" s="11" t="n">
        <f>IF(COUNT(BC27,BG27)=2,BC27*BG27,"")</f>
        <v>755.2337071263734</v>
      </c>
      <c r="BI27" s="11" t="n">
        <f>IF(ISNUMBER(CI27),CI27,"")</f>
        <v>85.79268664819675</v>
      </c>
      <c r="BJ27" s="8" t="str">
        <v>低销提醒依据不完整</v>
      </c>
      <c r="BK27" s="8" t="str">
        <v>90天：2026-07-20 至 2026-10-17；180天：2026-04-21 至 2026-10-17</v>
      </c>
      <c r="BL27" s="8" t="str">
        <v>90天：2026-10-06、2026-10-07；180天：2026-10-06、2026-10-07</v>
      </c>
      <c r="BM27" s="8" t="str">
        <v>2026-10：12天 × 1.2247029157699902；2026-11：30天 × 0.8332682139098497；2026-12：31天 × 0.5511018253564084；2027-01：17天 × 1.0017220238758797</v>
      </c>
      <c r="BN27" s="11" t="n">
        <v>1.2247029157699902</v>
      </c>
      <c r="BO27" s="11" t="n">
        <v>0.8332682139098497</v>
      </c>
      <c r="BP27" s="11" t="n">
        <v>0.5511018253564084</v>
      </c>
      <c r="BQ27" s="11" t="n">
        <v>1.0017220238758797</v>
      </c>
      <c r="BR27" s="8" t="n">
        <v>12</v>
      </c>
      <c r="BS27" s="8" t="n">
        <v>30</v>
      </c>
      <c r="BT27" s="8" t="n">
        <v>31</v>
      </c>
      <c r="BU27" s="8" t="n">
        <v>17</v>
      </c>
      <c r="BV27" s="11" t="n">
        <f>IF(COUNT(BC27,BF27)=2,BC27*BF27,"")</f>
        <v>1.162377905840493</v>
      </c>
      <c r="BW27" s="11" t="n">
        <f>IF(ISNUMBER(BN27),BN27,"")</f>
        <v>1.2247029157699902</v>
      </c>
      <c r="BX27" s="14" t="n">
        <f>IF(ISNUMBER(BR27),BR27,"")</f>
        <v>12</v>
      </c>
      <c r="BY27" s="13" t="n">
        <f>IF(AND(COUNT(BV27,BW27,BX27)=3,MIN(BV27,BW27,BX27)&gt;=0),BV27*BW27*BX27,"")</f>
        <v>17.082811326113603</v>
      </c>
      <c r="BZ27" s="11" t="n">
        <f>IF(ISNUMBER(BO27),BO27,"")</f>
        <v>0.8332682139098497</v>
      </c>
      <c r="CA27" s="14" t="n">
        <f>IF(ISNUMBER(BS27),BS27,"")</f>
        <v>30</v>
      </c>
      <c r="CB27" s="13" t="n">
        <f>IF(AND(COUNT(BV27,BZ27,CA27)=3,MIN(BV27,BZ27,CA27)&gt;=0),BV27*BZ27*CA27,"")</f>
        <v>29.057176844639372</v>
      </c>
      <c r="CC27" s="11" t="n">
        <f>IF(ISNUMBER(BP27),BP27,"")</f>
        <v>0.5511018253564084</v>
      </c>
      <c r="CD27" s="14" t="n">
        <f>IF(ISNUMBER(BT27),BT27,"")</f>
        <v>31</v>
      </c>
      <c r="CE27" s="13" t="n">
        <f>IF(AND(COUNT(BV27,CC27,CD27)=3,MIN(BV27,CC27,CD27)&gt;=0),BV27*CC27*CD27,"")</f>
        <v>19.858246155542307</v>
      </c>
      <c r="CF27" s="11" t="n">
        <f>IF(ISNUMBER(BQ27),BQ27,"")</f>
        <v>1.0017220238758797</v>
      </c>
      <c r="CG27" s="14" t="n">
        <f>IF(ISNUMBER(BU27),BU27,"")</f>
        <v>17</v>
      </c>
      <c r="CH27" s="13" t="n">
        <f>IF(AND(COUNT(BV27,CF27,CG27)=3,MIN(BV27,CF27,CG27)&gt;=0),BV27*CF27*CG27,"")</f>
        <v>19.794452321901474</v>
      </c>
      <c r="CI27" s="13" t="n">
        <f>IF(COUNT(BY27,CB27,CE27,CH27)=4,SUM(BY27,CB27,CE27,CH27),"")</f>
        <v>85.79268664819675</v>
      </c>
    </row>
    <row r="28" ht="72" customHeight="1">
      <c r="A28" s="16" t="str">
        <v>S02b-LP-40</v>
      </c>
      <c r="B28" s="16" t="str">
        <v>3店-SANDIEX-US</v>
      </c>
      <c r="C28" s="16" t="str">
        <v>陈晨</v>
      </c>
      <c r="D28" s="26" t="n">
        <f>IF(NOT(ISNUMBER(E28)),"",IF(OR(E28&lt;=0,L28=0),0,IF(OR(NOT(ISNUMBER(F28)),F28&lt;0),"",MIN(E28,INT(F28)))))</f>
        <v>74</v>
      </c>
      <c r="E28" s="27" t="n">
        <f>IF(OR(NOT(ISNUMBER(L28)),COUNT(M28:O28)&lt;&gt;3,MIN(M28:O28)&lt;0),"",ROUNDUP(ROUND(BI28-SUM(M28:O28),10),0))</f>
        <v>74</v>
      </c>
      <c r="F28" s="28" t="n">
        <v>117</v>
      </c>
      <c r="G28" s="28" t="n">
        <f>IF(AND(ISNUMBER(D28),ISNUMBER(E28)),IF(OR(E28&lt;=0,L28=0),0,E28-D28),"")</f>
        <v>0</v>
      </c>
      <c r="H28" s="16" t="str">
        <f>IF(NOT(ISNUMBER(E28)),"销量或海外库存待补",IF(OR(E28&lt;=0,L28=0),IF(L28=0,"零日销，本批不发","本批无需补货"),IF(NOT(ISNUMBER(D28)),"国内库存待补",IF(D28=0,"国内无可用库存",IF(G28&gt;0,"先发国内现货","按建议量发货")))))</f>
        <v>按建议量发货</v>
      </c>
      <c r="I28" s="28" t="n">
        <f>IF(AND(COUNT(Z28,AA28,AB28)=3,Z28&gt;=AA28,AA28&gt;=0,AB28=7),Z28-AA28,"")</f>
        <v>8</v>
      </c>
      <c r="J28" s="28" t="n">
        <f>IF(AND(COUNT(AF28,AG28,AH28)=3,AF28&gt;=AG28,AG28&gt;=0,AH28=14),AF28-AG28,"")</f>
        <v>24</v>
      </c>
      <c r="K28" s="28" t="n">
        <f>IF(AND(COUNT(AL28,AM28,AN28)=3,AL28&gt;=AM28,AM28&gt;=0,AN28=30),AL28-AM28,"")</f>
        <v>43</v>
      </c>
      <c r="L28" s="29" t="n">
        <f>IF(ISNUMBER(BI28),BI28/90,"")</f>
        <v>2.1419112022690325</v>
      </c>
      <c r="M28" s="28" t="n">
        <v>115</v>
      </c>
      <c r="N28" s="28" t="n">
        <v>0</v>
      </c>
      <c r="O28" s="28" t="n">
        <v>4</v>
      </c>
      <c r="P28" s="30" t="n">
        <f>IF(AND(ISNUMBER(L28),L28&gt;0,COUNT(M28:O28)=3,MIN(M28:O28)&gt;=0),SUM(M28:O28)/L28,"")</f>
        <v>55.5578587356644</v>
      </c>
      <c r="Q28" s="16" t="str">
        <v>沿用原计划SKU店铺</v>
      </c>
      <c r="R28" s="16" t="str">
        <v>已匹配</v>
      </c>
      <c r="S28" s="16" t="str">
        <v>在售</v>
      </c>
      <c r="T28" s="16" t="str">
        <v>S02b</v>
      </c>
      <c r="U28" s="16" t="str">
        <v>豹纹</v>
      </c>
      <c r="V28" s="16" t="n">
        <v>9</v>
      </c>
      <c r="W28" s="8" t="str">
        <v>2026-10-11 至 2026-10-17</v>
      </c>
      <c r="X28" s="8" t="str">
        <v>2026-10-11、2026-10-12、2026-10-13、2026-10-14、2026-10-15、2026-10-16、2026-10-17</v>
      </c>
      <c r="Y28" s="8" t="str">
        <v>无</v>
      </c>
      <c r="Z28" s="8" t="n">
        <v>8</v>
      </c>
      <c r="AA28" s="8" t="n">
        <v>0</v>
      </c>
      <c r="AB28" s="8" t="n">
        <v>7</v>
      </c>
      <c r="AC28" s="8" t="str">
        <v>2026-10-02 至 2026-10-17</v>
      </c>
      <c r="AD28" s="8" t="str">
        <v>2026-10-02、2026-10-03、2026-10-04、2026-10-05、2026-10-08、2026-10-09、2026-10-10、2026-10-11、2026-10-12、2026-10-13、2026-10-14、2026-10-15、2026-10-16、2026-10-17</v>
      </c>
      <c r="AE28" s="8" t="str">
        <v>2026-10-06 大促；2026-10-07 大促</v>
      </c>
      <c r="AF28" s="8" t="n">
        <v>39</v>
      </c>
      <c r="AG28" s="8" t="n">
        <v>15</v>
      </c>
      <c r="AH28" s="8" t="n">
        <v>14</v>
      </c>
      <c r="AI28" s="8" t="str">
        <v>2026-09-16 至 2026-10-17</v>
      </c>
      <c r="AJ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" s="8" t="str">
        <v>2026-10-06 大促；2026-10-07 大促</v>
      </c>
      <c r="AL28" s="8" t="n">
        <v>58</v>
      </c>
      <c r="AM28" s="8" t="n">
        <v>15</v>
      </c>
      <c r="AN28" s="8" t="n">
        <v>30</v>
      </c>
      <c r="AO28" s="8" t="str">
        <v>S02b / 豹纹 / 6574</v>
      </c>
      <c r="AP28" s="11" t="n">
        <v>0.9658602967882928</v>
      </c>
      <c r="AQ28" s="11" t="n">
        <v>0.9658602967882928</v>
      </c>
      <c r="AR28" s="11" t="n">
        <v>0.9166270540270348</v>
      </c>
      <c r="AS28" s="11" t="n">
        <f>IF(AND(COUNT(I28:K28,AP28:AR28)=6,MIN(AP28:AR28)&gt;0),I28/7/AP28*0.5+J28/14/AQ28*0.3+K28/30/AR28*0.2,"")</f>
        <v>1.4368311857367897</v>
      </c>
      <c r="AT28" s="8" t="n">
        <v>129</v>
      </c>
      <c r="AU28" s="8" t="n">
        <v>15</v>
      </c>
      <c r="AV28" s="8" t="n">
        <v>88</v>
      </c>
      <c r="AW28" s="11" t="n">
        <f>IF(AND(COUNT(AT28:AV28)=3,AT28&gt;=AU28,AU28&gt;=0,AV28&gt;0),(AT28-AU28)/AV28,"")</f>
        <v>1.2954545454545454</v>
      </c>
      <c r="AX28" s="8" t="n">
        <v>199</v>
      </c>
      <c r="AY28" s="8" t="n">
        <v>15</v>
      </c>
      <c r="AZ28" s="8" t="n">
        <v>178</v>
      </c>
      <c r="BA28" s="11" t="n">
        <f>IF(AND(COUNT(AX28:AZ28)=3,AX28&gt;=AY28,AY28&gt;=0,AZ28&gt;0),(AX28-AY28)/AZ28,"")</f>
        <v>1.0337078651685394</v>
      </c>
      <c r="BB28" s="8" t="n">
        <f>IF(COUNT(AS28,AW28,BA28)=3,1,0)</f>
        <v>1</v>
      </c>
      <c r="BC28" s="11" t="n">
        <f>IF(SUMIF($AO$11:$AO$1309,AO28,$BB$11:$BB$1309)=COUNTIF($AO$11:$AO$1309,AO28),SUMIF($AO$11:$AO$1309,AO28,$AS$11:$AS$1309),"")</f>
        <v>7.593711834893618</v>
      </c>
      <c r="BD28" s="11" t="n">
        <f>IF(SUMIF($AO$11:$AO$1309,AO28,$BB$11:$BB$1309)=COUNTIF($AO$11:$AO$1309,AO28),SUMIF($AO$11:$AO$1309,AO28,$AW$11:$AW$1309),"")</f>
        <v>4.863636363636363</v>
      </c>
      <c r="BE28" s="11" t="n">
        <f>IF(SUMIF($AO$11:$AO$1309,AO28,$BB$11:$BB$1309)=COUNTIF($AO$11:$AO$1309,AO28),SUMIF($AO$11:$AO$1309,AO28,$BA$11:$BA$1309),"")</f>
        <v>3.7977528089887644</v>
      </c>
      <c r="BF28" s="12" t="n">
        <f>IF(COUNT(BD28:BE28)&lt;&gt;2,"",IF(AND(BD28&gt;0,BE28&gt;0),0.7*AW28/BD28+0.3*BA28/BE28,IF(BD28&gt;0,AW28/BD28,IF(BE28&gt;0,BA28/BE28,IF(AND(ISNUMBER(BH28),BH28=0),0,"")))))</f>
        <v>0.2681054028645689</v>
      </c>
      <c r="BG28" s="11" t="n">
        <f>IF(AND(COUNT(BN28:BU28)=8,MIN(BN28:BU28)&gt;=0),SUMPRODUCT(BN28:BQ28,BR28:BU28),"")</f>
        <v>94.68567795727022</v>
      </c>
      <c r="BH28" s="11" t="n">
        <f>IF(COUNT(BC28,BG28)=2,BC28*BG28,"")</f>
        <v>719.0157532990486</v>
      </c>
      <c r="BI28" s="11" t="n">
        <f>IF(ISNUMBER(CI28),CI28,"")</f>
        <v>192.7720082042129</v>
      </c>
      <c r="BJ28" s="8" t="str"/>
      <c r="BK28" s="8" t="str">
        <v>90天：2026-07-20 至 2026-10-17；180天：2026-04-21 至 2026-10-17</v>
      </c>
      <c r="BL28" s="8" t="str">
        <v>90天：2026-10-06、2026-10-07；180天：2026-10-06、2026-10-07</v>
      </c>
      <c r="BM28" s="8" t="str">
        <v>2026-10：12天 × 0.9658602967882928；2026-11：30天 × 1.1727174450092641；2026-12：31天 × 0.8763339075184018；2027-01：17天 × 1.2204399948507247</v>
      </c>
      <c r="BN28" s="11" t="n">
        <v>0.9658602967882928</v>
      </c>
      <c r="BO28" s="11" t="n">
        <v>1.1727174450092641</v>
      </c>
      <c r="BP28" s="11" t="n">
        <v>0.8763339075184018</v>
      </c>
      <c r="BQ28" s="11" t="n">
        <v>1.2204399948507247</v>
      </c>
      <c r="BR28" s="8" t="n">
        <v>12</v>
      </c>
      <c r="BS28" s="8" t="n">
        <v>30</v>
      </c>
      <c r="BT28" s="8" t="n">
        <v>31</v>
      </c>
      <c r="BU28" s="8" t="n">
        <v>17</v>
      </c>
      <c r="BV28" s="11" t="n">
        <f>IF(COUNT(BC28,BF28)=2,BC28*BF28,"")</f>
        <v>2.0359151707315983</v>
      </c>
      <c r="BW28" s="11" t="n">
        <f>IF(ISNUMBER(BN28),BN28,"")</f>
        <v>0.9658602967882928</v>
      </c>
      <c r="BX28" s="14" t="n">
        <f>IF(ISNUMBER(BR28),BR28,"")</f>
        <v>12</v>
      </c>
      <c r="BY28" s="13" t="n">
        <f>IF(AND(COUNT(BV28,BW28,BX28)=3,MIN(BV28,BW28,BX28)&gt;=0),BV28*BW28*BX28,"")</f>
        <v>23.59691557246331</v>
      </c>
      <c r="BZ28" s="11" t="n">
        <f>IF(ISNUMBER(BO28),BO28,"")</f>
        <v>1.1727174450092641</v>
      </c>
      <c r="CA28" s="14" t="n">
        <f>IF(ISNUMBER(BS28),BS28,"")</f>
        <v>30</v>
      </c>
      <c r="CB28" s="13" t="n">
        <f>IF(AND(COUNT(BV28,BZ28,CA28)=3,MIN(BV28,BZ28,CA28)&gt;=0),BV28*BZ28*CA28,"")</f>
        <v>71.6265971182788</v>
      </c>
      <c r="CC28" s="11" t="n">
        <f>IF(ISNUMBER(BP28),BP28,"")</f>
        <v>0.8763339075184018</v>
      </c>
      <c r="CD28" s="14" t="n">
        <f>IF(ISNUMBER(BT28),BT28,"")</f>
        <v>31</v>
      </c>
      <c r="CE28" s="13" t="n">
        <f>IF(AND(COUNT(BV28,CC28,CD28)=3,MIN(BV28,CC28,CD28)&gt;=0),BV28*CC28*CD28,"")</f>
        <v>55.30838640523969</v>
      </c>
      <c r="CF28" s="11" t="n">
        <f>IF(ISNUMBER(BQ28),BQ28,"")</f>
        <v>1.2204399948507247</v>
      </c>
      <c r="CG28" s="14" t="n">
        <f>IF(ISNUMBER(BU28),BU28,"")</f>
        <v>17</v>
      </c>
      <c r="CH28" s="13" t="n">
        <f>IF(AND(COUNT(BV28,CF28,CG28)=3,MIN(BV28,CF28,CG28)&gt;=0),BV28*CF28*CG28,"")</f>
        <v>42.24010910823113</v>
      </c>
      <c r="CI28" s="13" t="n">
        <f>IF(COUNT(BY28,CB28,CE28,CH28)=4,SUM(BY28,CB28,CE28,CH28),"")</f>
        <v>192.7720082042129</v>
      </c>
    </row>
    <row r="29" ht="72" customHeight="1">
      <c r="A29" s="16" t="str">
        <v>S02-BG-38</v>
      </c>
      <c r="B29" s="16" t="str">
        <v>3店-SANDIEX-US</v>
      </c>
      <c r="C29" s="16" t="str">
        <v>陈晨</v>
      </c>
      <c r="D29" s="26" t="n">
        <f>IF(NOT(ISNUMBER(E29)),"",IF(OR(E29&lt;=0,L29=0),0,IF(OR(NOT(ISNUMBER(F29)),F29&lt;0),"",MIN(E29,INT(F29)))))</f>
        <v>73</v>
      </c>
      <c r="E29" s="27" t="n">
        <f>IF(OR(NOT(ISNUMBER(L29)),COUNT(M29:O29)&lt;&gt;3,MIN(M29:O29)&lt;0),"",ROUNDUP(ROUND(BI29-SUM(M29:O29),10),0))</f>
        <v>73</v>
      </c>
      <c r="F29" s="28" t="n">
        <v>519</v>
      </c>
      <c r="G29" s="28" t="n">
        <f>IF(AND(ISNUMBER(D29),ISNUMBER(E29)),IF(OR(E29&lt;=0,L29=0),0,E29-D29),"")</f>
        <v>0</v>
      </c>
      <c r="H29" s="16" t="str">
        <f>IF(NOT(ISNUMBER(E29)),"销量或海外库存待补",IF(OR(E29&lt;=0,L29=0),IF(L29=0,"零日销，本批不发","本批无需补货"),IF(NOT(ISNUMBER(D29)),"国内库存待补",IF(D29=0,"国内无可用库存",IF(G29&gt;0,"先发国内现货","按建议量发货")))))</f>
        <v>按建议量发货</v>
      </c>
      <c r="I29" s="28" t="n">
        <f>IF(AND(COUNT(Z29,AA29,AB29)=3,Z29&gt;=AA29,AA29&gt;=0,AB29=7),Z29-AA29,"")</f>
        <v>9</v>
      </c>
      <c r="J29" s="28" t="n">
        <f>IF(AND(COUNT(AF29,AG29,AH29)=3,AF29&gt;=AG29,AG29&gt;=0,AH29=14),AF29-AG29,"")</f>
        <v>17</v>
      </c>
      <c r="K29" s="28" t="n">
        <f>IF(AND(COUNT(AL29,AM29,AN29)=3,AL29&gt;=AM29,AM29&gt;=0,AN29=30),AL29-AM29,"")</f>
        <v>37</v>
      </c>
      <c r="L29" s="29" t="n">
        <f>IF(ISNUMBER(BI29),BI29/90,"")</f>
        <v>1.1217811647288616</v>
      </c>
      <c r="M29" s="28" t="n">
        <v>12</v>
      </c>
      <c r="N29" s="28" t="n">
        <v>0</v>
      </c>
      <c r="O29" s="28" t="n">
        <v>16</v>
      </c>
      <c r="P29" s="30" t="n">
        <f>IF(AND(ISNUMBER(L29),L29&gt;0,COUNT(M29:O29)=3,MIN(M29:O29)&gt;=0),SUM(M29:O29)/L29,"")</f>
        <v>24.96030498672858</v>
      </c>
      <c r="Q29" s="16" t="str">
        <v>沿用原计划SKU店铺</v>
      </c>
      <c r="R29" s="16" t="str">
        <v>已匹配</v>
      </c>
      <c r="S29" s="16" t="str">
        <v>在售</v>
      </c>
      <c r="T29" s="16" t="str">
        <v>S02</v>
      </c>
      <c r="U29" s="16" t="str">
        <v>裸色</v>
      </c>
      <c r="V29" s="16" t="n">
        <v>7</v>
      </c>
      <c r="W29" s="8" t="str">
        <v>2026-10-11 至 2026-10-17</v>
      </c>
      <c r="X29" s="8" t="str">
        <v>2026-10-11、2026-10-12、2026-10-13、2026-10-14、2026-10-15、2026-10-16、2026-10-17</v>
      </c>
      <c r="Y29" s="8" t="str">
        <v>无</v>
      </c>
      <c r="Z29" s="8" t="n">
        <v>9</v>
      </c>
      <c r="AA29" s="8" t="n">
        <v>0</v>
      </c>
      <c r="AB29" s="8" t="n">
        <v>7</v>
      </c>
      <c r="AC29" s="8" t="str">
        <v>2026-10-02 至 2026-10-17</v>
      </c>
      <c r="AD29" s="8" t="str">
        <v>2026-10-02、2026-10-03、2026-10-04、2026-10-05、2026-10-08、2026-10-09、2026-10-10、2026-10-11、2026-10-12、2026-10-13、2026-10-14、2026-10-15、2026-10-16、2026-10-17</v>
      </c>
      <c r="AE29" s="8" t="str">
        <v>2026-10-06 大促；2026-10-07 大促</v>
      </c>
      <c r="AF29" s="8" t="n">
        <v>24</v>
      </c>
      <c r="AG29" s="8" t="n">
        <v>7</v>
      </c>
      <c r="AH29" s="8" t="n">
        <v>14</v>
      </c>
      <c r="AI29" s="8" t="str">
        <v>2026-09-16 至 2026-10-17</v>
      </c>
      <c r="AJ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9" s="8" t="str">
        <v>2026-10-06 大促；2026-10-07 大促</v>
      </c>
      <c r="AL29" s="8" t="n">
        <v>44</v>
      </c>
      <c r="AM29" s="8" t="n">
        <v>7</v>
      </c>
      <c r="AN29" s="8" t="n">
        <v>30</v>
      </c>
      <c r="AO29" s="8" t="str">
        <v>S02 / 裸色 / 6574</v>
      </c>
      <c r="AP29" s="11" t="n">
        <v>0.9634503791704667</v>
      </c>
      <c r="AQ29" s="11" t="n">
        <v>0.9634503791704667</v>
      </c>
      <c r="AR29" s="11" t="n">
        <v>0.902244307144596</v>
      </c>
      <c r="AS29" s="11" t="n">
        <f>IF(AND(COUNT(I29:K29,AP29:AR29)=6,MIN(AP29:AR29)&gt;0),I29/7/AP29*0.5+J29/14/AQ29*0.3+K29/30/AR29*0.2,"")</f>
        <v>1.3187423259833473</v>
      </c>
      <c r="AT29" s="8" t="n">
        <v>79</v>
      </c>
      <c r="AU29" s="8" t="n">
        <v>7</v>
      </c>
      <c r="AV29" s="8" t="n">
        <v>88</v>
      </c>
      <c r="AW29" s="11" t="n">
        <f>IF(AND(COUNT(AT29:AV29)=3,AT29&gt;=AU29,AU29&gt;=0,AV29&gt;0),(AT29-AU29)/AV29,"")</f>
        <v>0.8181818181818182</v>
      </c>
      <c r="AX29" s="8" t="n">
        <v>154</v>
      </c>
      <c r="AY29" s="8" t="n">
        <v>7</v>
      </c>
      <c r="AZ29" s="8" t="n">
        <v>178</v>
      </c>
      <c r="BA29" s="11" t="n">
        <f>IF(AND(COUNT(AX29:AZ29)=3,AX29&gt;=AY29,AY29&gt;=0,AZ29&gt;0),(AX29-AY29)/AZ29,"")</f>
        <v>0.8258426966292135</v>
      </c>
      <c r="BB29" s="8" t="n">
        <f>IF(COUNT(AS29,AW29,BA29)=3,1,0)</f>
        <v>1</v>
      </c>
      <c r="BC29" s="11" t="n">
        <f>IF(SUMIF($AO$11:$AO$1309,AO29,$BB$11:$BB$1309)=COUNTIF($AO$11:$AO$1309,AO29),SUMIF($AO$11:$AO$1309,AO29,$AS$11:$AS$1309),"")</f>
        <v>13.209043546268767</v>
      </c>
      <c r="BD29" s="11" t="n">
        <f>IF(SUMIF($AO$11:$AO$1309,AO29,$BB$11:$BB$1309)=COUNTIF($AO$11:$AO$1309,AO29),SUMIF($AO$11:$AO$1309,AO29,$AW$11:$AW$1309),"")</f>
        <v>8.681818181818183</v>
      </c>
      <c r="BE29" s="11" t="n">
        <f>IF(SUMIF($AO$11:$AO$1309,AO29,$BB$11:$BB$1309)=COUNTIF($AO$11:$AO$1309,AO29),SUMIF($AO$11:$AO$1309,AO29,$BA$11:$BA$1309),"")</f>
        <v>8</v>
      </c>
      <c r="BF29" s="12" t="n">
        <f>IF(COUNT(BD29:BE29)&lt;&gt;2,"",IF(AND(BD29&gt;0,BE29&gt;0),0.7*AW29/BD29+0.3*BA29/BE29,IF(BD29&gt;0,AW29/BD29,IF(BE29&gt;0,BA29/BE29,IF(AND(ISNUMBER(BH29),BH29=0),0,"")))))</f>
        <v>0.09693768751103006</v>
      </c>
      <c r="BG29" s="11" t="n">
        <f>IF(AND(COUNT(BN29:BU29)=8,MIN(BN29:BU29)&gt;=0),SUMPRODUCT(BN29:BQ29,BR29:BU29),"")</f>
        <v>78.84726365280937</v>
      </c>
      <c r="BH29" s="11" t="n">
        <f>IF(COUNT(BC29,BG29)=2,BC29*BG29,"")</f>
        <v>1041.4969390940935</v>
      </c>
      <c r="BI29" s="11" t="n">
        <f>IF(ISNUMBER(CI29),CI29,"")</f>
        <v>100.96030482559755</v>
      </c>
      <c r="BJ29" s="8" t="str"/>
      <c r="BK29" s="8" t="str">
        <v>90天：2026-07-20 至 2026-10-17；180天：2026-04-21 至 2026-10-17</v>
      </c>
      <c r="BL29" s="8" t="str">
        <v>90天：2026-10-06、2026-10-07；180天：2026-10-06、2026-10-07</v>
      </c>
      <c r="BM29" s="8" t="str">
        <v>2026-10：12天 × 0.9634503791704667；2026-11：30天 × 0.8585031562320637；2026-12：31天 × 0.7896606554092485；2027-01：17天 × 1.0030167116538329</v>
      </c>
      <c r="BN29" s="11" t="n">
        <v>0.9634503791704667</v>
      </c>
      <c r="BO29" s="11" t="n">
        <v>0.8585031562320637</v>
      </c>
      <c r="BP29" s="11" t="n">
        <v>0.7896606554092485</v>
      </c>
      <c r="BQ29" s="11" t="n">
        <v>1.0030167116538329</v>
      </c>
      <c r="BR29" s="8" t="n">
        <v>12</v>
      </c>
      <c r="BS29" s="8" t="n">
        <v>30</v>
      </c>
      <c r="BT29" s="8" t="n">
        <v>31</v>
      </c>
      <c r="BU29" s="8" t="n">
        <v>17</v>
      </c>
      <c r="BV29" s="11" t="n">
        <f>IF(COUNT(BC29,BF29)=2,BC29*BF29,"")</f>
        <v>1.28045413560779</v>
      </c>
      <c r="BW29" s="11" t="n">
        <f>IF(ISNUMBER(BN29),BN29,"")</f>
        <v>0.9634503791704667</v>
      </c>
      <c r="BX29" s="14" t="n">
        <f>IF(ISNUMBER(BR29),BR29,"")</f>
        <v>12</v>
      </c>
      <c r="BY29" s="13" t="n">
        <f>IF(AND(COUNT(BV29,BW29,BX29)=3,MIN(BV29,BW29,BX29)&gt;=0),BV29*BW29*BX29,"")</f>
        <v>14.803848269540612</v>
      </c>
      <c r="BZ29" s="11" t="n">
        <f>IF(ISNUMBER(BO29),BO29,"")</f>
        <v>0.8585031562320637</v>
      </c>
      <c r="CA29" s="14" t="n">
        <f>IF(ISNUMBER(BS29),BS29,"")</f>
        <v>30</v>
      </c>
      <c r="CB29" s="13" t="n">
        <f>IF(AND(COUNT(BV29,BZ29,CA29)=3,MIN(BV29,BZ29,CA29)&gt;=0),BV29*BZ29*CA29,"")</f>
        <v>32.9782175048906</v>
      </c>
      <c r="CC29" s="11" t="n">
        <f>IF(ISNUMBER(BP29),BP29,"")</f>
        <v>0.7896606554092485</v>
      </c>
      <c r="CD29" s="14" t="n">
        <f>IF(ISNUMBER(BT29),BT29,"")</f>
        <v>31</v>
      </c>
      <c r="CE29" s="13" t="n">
        <f>IF(AND(COUNT(BV29,CC29,CD29)=3,MIN(BV29,CC29,CD29)&gt;=0),BV29*CC29*CD29,"")</f>
        <v>31.344851810311432</v>
      </c>
      <c r="CF29" s="11" t="n">
        <f>IF(ISNUMBER(BQ29),BQ29,"")</f>
        <v>1.0030167116538329</v>
      </c>
      <c r="CG29" s="14" t="n">
        <f>IF(ISNUMBER(BU29),BU29,"")</f>
        <v>17</v>
      </c>
      <c r="CH29" s="13" t="n">
        <f>IF(AND(COUNT(BV29,CF29,CG29)=3,MIN(BV29,CF29,CG29)&gt;=0),BV29*CF29*CG29,"")</f>
        <v>21.833387240854904</v>
      </c>
      <c r="CI29" s="13" t="n">
        <f>IF(COUNT(BY29,CB29,CE29,CH29)=4,SUM(BY29,CB29,CE29,CH29),"")</f>
        <v>100.96030482559755</v>
      </c>
    </row>
    <row r="30" ht="72" customHeight="1">
      <c r="A30" s="16" t="str">
        <v>2302153-BK-S-Z-7.5</v>
      </c>
      <c r="B30" s="16" t="str">
        <v>3店-SANDIEX-US</v>
      </c>
      <c r="C30" s="16" t="str">
        <v>徐新怡</v>
      </c>
      <c r="D30" s="26" t="n">
        <f>IF(NOT(ISNUMBER(E30)),"",IF(OR(E30&lt;=0,L30=0),0,IF(OR(NOT(ISNUMBER(F30)),F30&lt;0),"",MIN(E30,INT(F30)))))</f>
        <v>70</v>
      </c>
      <c r="E30" s="27" t="n">
        <f>IF(OR(NOT(ISNUMBER(L30)),COUNT(M30:O30)&lt;&gt;3,MIN(M30:O30)&lt;0),"",ROUNDUP(ROUND(BI30-SUM(M30:O30),10),0))</f>
        <v>70</v>
      </c>
      <c r="F30" s="28" t="n">
        <v>130</v>
      </c>
      <c r="G30" s="28" t="n">
        <f>IF(AND(ISNUMBER(D30),ISNUMBER(E30)),IF(OR(E30&lt;=0,L30=0),0,E30-D30),"")</f>
        <v>0</v>
      </c>
      <c r="H30" s="16" t="str">
        <f>IF(NOT(ISNUMBER(E30)),"销量或海外库存待补",IF(OR(E30&lt;=0,L30=0),IF(L30=0,"零日销，本批不发","本批无需补货"),IF(NOT(ISNUMBER(D30)),"国内库存待补",IF(D30=0,"国内无可用库存",IF(G30&gt;0,"先发国内现货","按建议量发货")))))</f>
        <v>按建议量发货</v>
      </c>
      <c r="I30" s="28" t="n">
        <f>IF(AND(COUNT(Z30,AA30,AB30)=3,Z30&gt;=AA30,AA30&gt;=0,AB30=7),Z30-AA30,"")</f>
        <v>18</v>
      </c>
      <c r="J30" s="28" t="n">
        <f>IF(AND(COUNT(AF30,AG30,AH30)=3,AF30&gt;=AG30,AG30&gt;=0,AH30=14),AF30-AG30,"")</f>
        <v>44</v>
      </c>
      <c r="K30" s="28" t="n">
        <f>IF(AND(COUNT(AL30,AM30,AN30)=3,AL30&gt;=AM30,AM30&gt;=0,AN30=30),AL30-AM30,"")</f>
        <v>88</v>
      </c>
      <c r="L30" s="29" t="n">
        <f>IF(ISNUMBER(BI30),BI30/90,"")</f>
        <v>2.26410348428243</v>
      </c>
      <c r="M30" s="28" t="n">
        <v>62</v>
      </c>
      <c r="N30" s="28" t="n">
        <v>2</v>
      </c>
      <c r="O30" s="28" t="n">
        <v>70</v>
      </c>
      <c r="P30" s="30" t="n">
        <f>IF(AND(ISNUMBER(L30),L30&gt;0,COUNT(M30:O30)=3,MIN(M30:O30)&gt;=0),SUM(M30:O30)/L30,"")</f>
        <v>59.18457390761406</v>
      </c>
      <c r="Q30" s="16" t="str">
        <v>沿用原计划SKU店铺</v>
      </c>
      <c r="R30" s="16" t="str">
        <v>已匹配</v>
      </c>
      <c r="S30" s="16" t="str">
        <v>在售</v>
      </c>
      <c r="T30" s="16" t="str">
        <v>2302153</v>
      </c>
      <c r="U30" s="16" t="str">
        <v>黑色</v>
      </c>
      <c r="V30" s="16" t="n">
        <v>7.5</v>
      </c>
      <c r="W30" s="8" t="str">
        <v>2026-10-11 至 2026-10-17</v>
      </c>
      <c r="X30" s="8" t="str">
        <v>2026-10-11、2026-10-12、2026-10-13、2026-10-14、2026-10-15、2026-10-16、2026-10-17</v>
      </c>
      <c r="Y30" s="8" t="str">
        <v>无</v>
      </c>
      <c r="Z30" s="8" t="n">
        <v>18</v>
      </c>
      <c r="AA30" s="8" t="n">
        <v>0</v>
      </c>
      <c r="AB30" s="8" t="n">
        <v>7</v>
      </c>
      <c r="AC30" s="8" t="str">
        <v>2026-10-02 至 2026-10-17</v>
      </c>
      <c r="AD30" s="8" t="str">
        <v>2026-10-02、2026-10-03、2026-10-04、2026-10-05、2026-10-08、2026-10-09、2026-10-10、2026-10-11、2026-10-12、2026-10-13、2026-10-14、2026-10-15、2026-10-16、2026-10-17</v>
      </c>
      <c r="AE30" s="8" t="str">
        <v>2026-10-06 大促；2026-10-07 大促</v>
      </c>
      <c r="AF30" s="8" t="n">
        <v>67</v>
      </c>
      <c r="AG30" s="8" t="n">
        <v>23</v>
      </c>
      <c r="AH30" s="8" t="n">
        <v>14</v>
      </c>
      <c r="AI30" s="8" t="str">
        <v>2026-09-16 至 2026-10-17</v>
      </c>
      <c r="AJ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" s="8" t="str">
        <v>2026-10-06 大促；2026-10-07 大促</v>
      </c>
      <c r="AL30" s="8" t="n">
        <v>111</v>
      </c>
      <c r="AM30" s="8" t="n">
        <v>23</v>
      </c>
      <c r="AN30" s="8" t="n">
        <v>30</v>
      </c>
      <c r="AO30" s="8" t="str">
        <v>2302153 / 黑色羊京绒 / 6574</v>
      </c>
      <c r="AP30" s="11" t="n">
        <v>1.7391279184229513</v>
      </c>
      <c r="AQ30" s="11" t="n">
        <v>1.7391279184229513</v>
      </c>
      <c r="AR30" s="11" t="n">
        <v>1.5731892896917212</v>
      </c>
      <c r="AS30" s="11" t="n">
        <f>IF(AND(COUNT(I30:K30,AP30:AR30)=6,MIN(AP30:AR30)&gt;0),I30/7/AP30*0.5+J30/14/AQ30*0.3+K30/30/AR30*0.2,"")</f>
        <v>1.6543459230641477</v>
      </c>
      <c r="AT30" s="8" t="n">
        <v>204</v>
      </c>
      <c r="AU30" s="8" t="n">
        <v>23</v>
      </c>
      <c r="AV30" s="8" t="n">
        <v>88</v>
      </c>
      <c r="AW30" s="11" t="n">
        <f>IF(AND(COUNT(AT30:AV30)=3,AT30&gt;=AU30,AU30&gt;=0,AV30&gt;0),(AT30-AU30)/AV30,"")</f>
        <v>2.0568181818181817</v>
      </c>
      <c r="AX30" s="8" t="n">
        <v>310</v>
      </c>
      <c r="AY30" s="8" t="n">
        <v>23</v>
      </c>
      <c r="AZ30" s="8" t="n">
        <v>178</v>
      </c>
      <c r="BA30" s="11" t="n">
        <f>IF(AND(COUNT(AX30:AZ30)=3,AX30&gt;=AY30,AY30&gt;=0,AZ30&gt;0),(AX30-AY30)/AZ30,"")</f>
        <v>1.6123595505617978</v>
      </c>
      <c r="BB30" s="8" t="n">
        <f>IF(COUNT(AS30,AW30,BA30)=3,1,0)</f>
        <v>1</v>
      </c>
      <c r="BC30" s="11" t="n">
        <f>IF(SUMIF($AO$11:$AO$1309,AO30,$BB$11:$BB$1309)=COUNTIF($AO$11:$AO$1309,AO30),SUMIF($AO$11:$AO$1309,AO30,$AS$11:$AS$1309),"")</f>
        <v>14.203593194271557</v>
      </c>
      <c r="BD30" s="11" t="n">
        <f>IF(SUMIF($AO$11:$AO$1309,AO30,$BB$11:$BB$1309)=COUNTIF($AO$11:$AO$1309,AO30),SUMIF($AO$11:$AO$1309,AO30,$AW$11:$AW$1309),"")</f>
        <v>15.818181818181818</v>
      </c>
      <c r="BE30" s="11" t="n">
        <f>IF(SUMIF($AO$11:$AO$1309,AO30,$BB$11:$BB$1309)=COUNTIF($AO$11:$AO$1309,AO30),SUMIF($AO$11:$AO$1309,AO30,$BA$11:$BA$1309),"")</f>
        <v>12.07865168539326</v>
      </c>
      <c r="BF30" s="12" t="n">
        <f>IF(COUNT(BD30:BE30)&lt;&gt;2,"",IF(AND(BD30&gt;0,BE30&gt;0),0.7*AW30/BD30+0.3*BA30/BE30,IF(BD30&gt;0,AW30/BD30,IF(BE30&gt;0,BA30/BE30,IF(AND(ISNUMBER(BH30),BH30=0),0,"")))))</f>
        <v>0.1310666265704357</v>
      </c>
      <c r="BG30" s="11" t="n">
        <f>IF(AND(COUNT(BN30:BU30)=8,MIN(BN30:BU30)&gt;=0),SUMPRODUCT(BN30:BQ30,BR30:BU30),"")</f>
        <v>109.4582336985339</v>
      </c>
      <c r="BH30" s="11" t="n">
        <f>IF(COUNT(BC30,BG30)=2,BC30*BG30,"")</f>
        <v>1554.7002232174816</v>
      </c>
      <c r="BI30" s="11" t="n">
        <f>IF(ISNUMBER(CI30),CI30,"")</f>
        <v>203.7693135854187</v>
      </c>
      <c r="BJ30" s="8" t="str"/>
      <c r="BK30" s="8" t="str">
        <v>90天：2026-07-20 至 2026-10-17；180天：2026-04-21 至 2026-10-17</v>
      </c>
      <c r="BL30" s="8" t="str">
        <v>90天：2026-10-06、2026-10-07；180天：2026-10-06、2026-10-07</v>
      </c>
      <c r="BM30" s="8" t="str">
        <v>2026-10：12天 × 1.7391279184229513；2026-11：30天 × 1.4002077845513243；2026-12：31天 × 1.079339935625147；2027-01：17天 × 0.7719368903846591</v>
      </c>
      <c r="BN30" s="11" t="n">
        <v>1.7391279184229513</v>
      </c>
      <c r="BO30" s="11" t="n">
        <v>1.4002077845513243</v>
      </c>
      <c r="BP30" s="11" t="n">
        <v>1.079339935625147</v>
      </c>
      <c r="BQ30" s="11" t="n">
        <v>0.7719368903846591</v>
      </c>
      <c r="BR30" s="8" t="n">
        <v>12</v>
      </c>
      <c r="BS30" s="8" t="n">
        <v>30</v>
      </c>
      <c r="BT30" s="8" t="n">
        <v>31</v>
      </c>
      <c r="BU30" s="8" t="n">
        <v>17</v>
      </c>
      <c r="BV30" s="11" t="n">
        <f>IF(COUNT(BC30,BF30)=2,BC30*BF30,"")</f>
        <v>1.861617045151972</v>
      </c>
      <c r="BW30" s="11" t="n">
        <f>IF(ISNUMBER(BN30),BN30,"")</f>
        <v>1.7391279184229513</v>
      </c>
      <c r="BX30" s="14" t="n">
        <f>IF(ISNUMBER(BR30),BR30,"")</f>
        <v>12</v>
      </c>
      <c r="BY30" s="13" t="n">
        <f>IF(AND(COUNT(BV30,BW30,BX30)=3,MIN(BV30,BW30,BX30)&gt;=0),BV30*BW30*BX30,"")</f>
        <v>38.851082119630014</v>
      </c>
      <c r="BZ30" s="11" t="n">
        <f>IF(ISNUMBER(BO30),BO30,"")</f>
        <v>1.4002077845513243</v>
      </c>
      <c r="CA30" s="14" t="n">
        <f>IF(ISNUMBER(BS30),BS30,"")</f>
        <v>30</v>
      </c>
      <c r="CB30" s="13" t="n">
        <f>IF(AND(COUNT(BV30,BZ30,CA30)=3,MIN(BV30,BZ30,CA30)&gt;=0),BV30*BZ30*CA30,"")</f>
        <v>78.19952035425676</v>
      </c>
      <c r="CC30" s="11" t="n">
        <f>IF(ISNUMBER(BP30),BP30,"")</f>
        <v>1.079339935625147</v>
      </c>
      <c r="CD30" s="14" t="n">
        <f>IF(ISNUMBER(BT30),BT30,"")</f>
        <v>31</v>
      </c>
      <c r="CE30" s="13" t="n">
        <f>IF(AND(COUNT(BV30,CC30,CD30)=3,MIN(BV30,CC30,CD30)&gt;=0),BV30*CC30*CD30,"")</f>
        <v>62.28884627186318</v>
      </c>
      <c r="CF30" s="11" t="n">
        <f>IF(ISNUMBER(BQ30),BQ30,"")</f>
        <v>0.7719368903846591</v>
      </c>
      <c r="CG30" s="14" t="n">
        <f>IF(ISNUMBER(BU30),BU30,"")</f>
        <v>17</v>
      </c>
      <c r="CH30" s="13" t="n">
        <f>IF(AND(COUNT(BV30,CF30,CG30)=3,MIN(BV30,CF30,CG30)&gt;=0),BV30*CF30*CG30,"")</f>
        <v>24.429864839668742</v>
      </c>
      <c r="CI30" s="13" t="n">
        <f>IF(COUNT(BY30,CB30,CE30,CH30)=4,SUM(BY30,CB30,CE30,CH30),"")</f>
        <v>203.7693135854187</v>
      </c>
    </row>
    <row r="31" ht="72" customHeight="1">
      <c r="A31" s="16" t="str">
        <v>S02-LP-40</v>
      </c>
      <c r="B31" s="16" t="str">
        <v>3店-SANDIEX-US</v>
      </c>
      <c r="C31" s="16" t="str">
        <v>陈晨</v>
      </c>
      <c r="D31" s="26" t="n">
        <f>IF(NOT(ISNUMBER(E31)),"",IF(OR(E31&lt;=0,L31=0),0,IF(OR(NOT(ISNUMBER(F31)),F31&lt;0),"",MIN(E31,INT(F31)))))</f>
        <v>69</v>
      </c>
      <c r="E31" s="27" t="n">
        <f>IF(OR(NOT(ISNUMBER(L31)),COUNT(M31:O31)&lt;&gt;3,MIN(M31:O31)&lt;0),"",ROUNDUP(ROUND(BI31-SUM(M31:O31),10),0))</f>
        <v>69</v>
      </c>
      <c r="F31" s="28" t="n">
        <v>80</v>
      </c>
      <c r="G31" s="28" t="n">
        <f>IF(AND(ISNUMBER(D31),ISNUMBER(E31)),IF(OR(E31&lt;=0,L31=0),0,E31-D31),"")</f>
        <v>0</v>
      </c>
      <c r="H31" s="16" t="str">
        <f>IF(NOT(ISNUMBER(E31)),"销量或海外库存待补",IF(OR(E31&lt;=0,L31=0),IF(L31=0,"零日销，本批不发","本批无需补货"),IF(NOT(ISNUMBER(D31)),"国内库存待补",IF(D31=0,"国内无可用库存",IF(G31&gt;0,"先发国内现货","按建议量发货")))))</f>
        <v>按建议量发货</v>
      </c>
      <c r="I31" s="28" t="n">
        <f>IF(AND(COUNT(Z31,AA31,AB31)=3,Z31&gt;=AA31,AA31&gt;=0,AB31=7),Z31-AA31,"")</f>
        <v>11</v>
      </c>
      <c r="J31" s="28" t="n">
        <f>IF(AND(COUNT(AF31,AG31,AH31)=3,AF31&gt;=AG31,AG31&gt;=0,AH31=14),AF31-AG31,"")</f>
        <v>32</v>
      </c>
      <c r="K31" s="28" t="n">
        <f>IF(AND(COUNT(AL31,AM31,AN31)=3,AL31&gt;=AM31,AM31&gt;=0,AN31=30),AL31-AM31,"")</f>
        <v>71</v>
      </c>
      <c r="L31" s="29" t="n">
        <f>IF(ISNUMBER(BI31),BI31/90,"")</f>
        <v>1.7017852719789857</v>
      </c>
      <c r="M31" s="28" t="n">
        <v>34</v>
      </c>
      <c r="N31" s="28" t="n">
        <v>0</v>
      </c>
      <c r="O31" s="28" t="n">
        <v>51</v>
      </c>
      <c r="P31" s="30" t="n">
        <f>IF(AND(ISNUMBER(L31),L31&gt;0,COUNT(M31:O31)=3,MIN(M31:O31)&gt;=0),SUM(M31:O31)/L31,"")</f>
        <v>49.947547084571084</v>
      </c>
      <c r="Q31" s="16" t="str">
        <v>沿用原计划SKU店铺</v>
      </c>
      <c r="R31" s="16" t="str">
        <v>已匹配</v>
      </c>
      <c r="S31" s="16" t="str">
        <v>在售</v>
      </c>
      <c r="T31" s="16" t="str">
        <v>S02</v>
      </c>
      <c r="U31" s="16" t="str">
        <v>豹纹</v>
      </c>
      <c r="V31" s="16" t="n">
        <v>9</v>
      </c>
      <c r="W31" s="8" t="str">
        <v>2026-10-11 至 2026-10-17</v>
      </c>
      <c r="X31" s="8" t="str">
        <v>2026-10-11、2026-10-12、2026-10-13、2026-10-14、2026-10-15、2026-10-16、2026-10-17</v>
      </c>
      <c r="Y31" s="8" t="str">
        <v>无</v>
      </c>
      <c r="Z31" s="8" t="n">
        <v>11</v>
      </c>
      <c r="AA31" s="8" t="n">
        <v>0</v>
      </c>
      <c r="AB31" s="8" t="n">
        <v>7</v>
      </c>
      <c r="AC31" s="8" t="str">
        <v>2026-10-02 至 2026-10-17</v>
      </c>
      <c r="AD31" s="8" t="str">
        <v>2026-10-02、2026-10-03、2026-10-04、2026-10-05、2026-10-08、2026-10-09、2026-10-10、2026-10-11、2026-10-12、2026-10-13、2026-10-14、2026-10-15、2026-10-16、2026-10-17</v>
      </c>
      <c r="AE31" s="8" t="str">
        <v>2026-10-06 大促；2026-10-07 大促</v>
      </c>
      <c r="AF31" s="8" t="n">
        <v>46</v>
      </c>
      <c r="AG31" s="8" t="n">
        <v>14</v>
      </c>
      <c r="AH31" s="8" t="n">
        <v>14</v>
      </c>
      <c r="AI31" s="8" t="str">
        <v>2026-09-16 至 2026-10-17</v>
      </c>
      <c r="AJ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1" s="8" t="str">
        <v>2026-10-06 大促；2026-10-07 大促</v>
      </c>
      <c r="AL31" s="8" t="n">
        <v>85</v>
      </c>
      <c r="AM31" s="8" t="n">
        <v>14</v>
      </c>
      <c r="AN31" s="8" t="n">
        <v>30</v>
      </c>
      <c r="AO31" s="8" t="str">
        <v>S02 / 豹纹 / 6574</v>
      </c>
      <c r="AP31" s="11" t="n">
        <v>0.9634503791704667</v>
      </c>
      <c r="AQ31" s="11" t="n">
        <v>0.9634503791704667</v>
      </c>
      <c r="AR31" s="11" t="n">
        <v>0.902244307144596</v>
      </c>
      <c r="AS31" s="11" t="n">
        <f>IF(AND(COUNT(I31:K31,AP31:AR31)=6,MIN(AP31:AR31)&gt;0),I31/7/AP31*0.5+J31/14/AQ31*0.3+K31/30/AR31*0.2,"")</f>
        <v>2.05186664122935</v>
      </c>
      <c r="AT31" s="8" t="n">
        <v>127</v>
      </c>
      <c r="AU31" s="8" t="n">
        <v>14</v>
      </c>
      <c r="AV31" s="8" t="n">
        <v>88</v>
      </c>
      <c r="AW31" s="11" t="n">
        <f>IF(AND(COUNT(AT31:AV31)=3,AT31&gt;=AU31,AU31&gt;=0,AV31&gt;0),(AT31-AU31)/AV31,"")</f>
        <v>1.2840909090909092</v>
      </c>
      <c r="AX31" s="8" t="n">
        <v>163</v>
      </c>
      <c r="AY31" s="8" t="n">
        <v>14</v>
      </c>
      <c r="AZ31" s="8" t="n">
        <v>178</v>
      </c>
      <c r="BA31" s="11" t="n">
        <f>IF(AND(COUNT(AX31:AZ31)=3,AX31&gt;=AY31,AY31&gt;=0,AZ31&gt;0),(AX31-AY31)/AZ31,"")</f>
        <v>0.8370786516853933</v>
      </c>
      <c r="BB31" s="8" t="n">
        <f>IF(COUNT(AS31,AW31,BA31)=3,1,0)</f>
        <v>1</v>
      </c>
      <c r="BC31" s="11" t="n">
        <f>IF(SUMIF($AO$11:$AO$1309,AO31,$BB$11:$BB$1309)=COUNTIF($AO$11:$AO$1309,AO31),SUMIF($AO$11:$AO$1309,AO31,$AS$11:$AS$1309),"")</f>
        <v>7.640117517669702</v>
      </c>
      <c r="BD31" s="11" t="n">
        <f>IF(SUMIF($AO$11:$AO$1309,AO31,$BB$11:$BB$1309)=COUNTIF($AO$11:$AO$1309,AO31),SUMIF($AO$11:$AO$1309,AO31,$AW$11:$AW$1309),"")</f>
        <v>4.92970401691332</v>
      </c>
      <c r="BE31" s="11" t="n">
        <f>IF(SUMIF($AO$11:$AO$1309,AO31,$BB$11:$BB$1309)=COUNTIF($AO$11:$AO$1309,AO31),SUMIF($AO$11:$AO$1309,AO31,$BA$11:$BA$1309),"")</f>
        <v>3.492019918283964</v>
      </c>
      <c r="BF31" s="12" t="n">
        <f>IF(COUNT(BD31:BE31)&lt;&gt;2,"",IF(AND(BD31&gt;0,BE31&gt;0),0.7*AW31/BD31+0.3*BA31/BE31,IF(BD31&gt;0,AW31/BD31,IF(BE31&gt;0,BA31/BE31,IF(AND(ISNUMBER(BH31),BH31=0),0,"")))))</f>
        <v>0.25424979147407556</v>
      </c>
      <c r="BG31" s="11" t="n">
        <f>IF(AND(COUNT(BN31:BU31)=8,MIN(BN31:BU31)&gt;=0),SUMPRODUCT(BN31:BQ31,BR31:BU31),"")</f>
        <v>78.84726365280937</v>
      </c>
      <c r="BH31" s="11" t="n">
        <f>IF(COUNT(BC31,BG31)=2,BC31*BG31,"")</f>
        <v>602.4023602541505</v>
      </c>
      <c r="BI31" s="11" t="n">
        <f>IF(ISNUMBER(CI31),CI31,"")</f>
        <v>153.16067447810872</v>
      </c>
      <c r="BJ31" s="8" t="str"/>
      <c r="BK31" s="8" t="str">
        <v>90天：2026-07-20 至 2026-10-17；180天：2026-04-21 至 2026-10-17</v>
      </c>
      <c r="BL31" s="8" t="str">
        <v>90天：2026-10-06、2026-10-07；180天：2026-10-06、2026-10-07</v>
      </c>
      <c r="BM31" s="8" t="str">
        <v>2026-10：12天 × 0.9634503791704667；2026-11：30天 × 0.8585031562320637；2026-12：31天 × 0.7896606554092485；2027-01：17天 × 1.0030167116538329</v>
      </c>
      <c r="BN31" s="11" t="n">
        <v>0.9634503791704667</v>
      </c>
      <c r="BO31" s="11" t="n">
        <v>0.8585031562320637</v>
      </c>
      <c r="BP31" s="11" t="n">
        <v>0.7896606554092485</v>
      </c>
      <c r="BQ31" s="11" t="n">
        <v>1.0030167116538329</v>
      </c>
      <c r="BR31" s="8" t="n">
        <v>12</v>
      </c>
      <c r="BS31" s="8" t="n">
        <v>30</v>
      </c>
      <c r="BT31" s="8" t="n">
        <v>31</v>
      </c>
      <c r="BU31" s="8" t="n">
        <v>17</v>
      </c>
      <c r="BV31" s="11" t="n">
        <f>IF(COUNT(BC31,BF31)=2,BC31*BF31,"")</f>
        <v>1.9424982857049535</v>
      </c>
      <c r="BW31" s="11" t="n">
        <f>IF(ISNUMBER(BN31),BN31,"")</f>
        <v>0.9634503791704667</v>
      </c>
      <c r="BX31" s="14" t="n">
        <f>IF(ISNUMBER(BR31),BR31,"")</f>
        <v>12</v>
      </c>
      <c r="BY31" s="13" t="n">
        <f>IF(AND(COUNT(BV31,BW31,BX31)=3,MIN(BV31,BW31,BX31)&gt;=0),BV31*BW31*BX31,"")</f>
        <v>22.45800851880503</v>
      </c>
      <c r="BZ31" s="11" t="n">
        <f>IF(ISNUMBER(BO31),BO31,"")</f>
        <v>0.8585031562320637</v>
      </c>
      <c r="CA31" s="14" t="n">
        <f>IF(ISNUMBER(BS31),BS31,"")</f>
        <v>30</v>
      </c>
      <c r="CB31" s="13" t="n">
        <f>IF(AND(COUNT(BV31,BZ31,CA31)=3,MIN(BV31,BZ31,CA31)&gt;=0),BV31*BZ31*CA31,"")</f>
        <v>50.02922727759227</v>
      </c>
      <c r="CC31" s="11" t="n">
        <f>IF(ISNUMBER(BP31),BP31,"")</f>
        <v>0.7896606554092485</v>
      </c>
      <c r="CD31" s="14" t="n">
        <f>IF(ISNUMBER(BT31),BT31,"")</f>
        <v>31</v>
      </c>
      <c r="CE31" s="13" t="n">
        <f>IF(AND(COUNT(BV31,CC31,CD31)=3,MIN(BV31,CC31,CD31)&gt;=0),BV31*CC31*CD31,"")</f>
        <v>47.55134855205457</v>
      </c>
      <c r="CF31" s="11" t="n">
        <f>IF(ISNUMBER(BQ31),BQ31,"")</f>
        <v>1.0030167116538329</v>
      </c>
      <c r="CG31" s="14" t="n">
        <f>IF(ISNUMBER(BU31),BU31,"")</f>
        <v>17</v>
      </c>
      <c r="CH31" s="13" t="n">
        <f>IF(AND(COUNT(BV31,CF31,CG31)=3,MIN(BV31,CF31,CG31)&gt;=0),BV31*CF31*CG31,"")</f>
        <v>33.12209012965683</v>
      </c>
      <c r="CI31" s="13" t="n">
        <f>IF(COUNT(BY31,CB31,CE31,CH31)=4,SUM(BY31,CB31,CE31,CH31),"")</f>
        <v>153.16067447810872</v>
      </c>
    </row>
    <row r="32" ht="72" customHeight="1">
      <c r="A32" s="16" t="str">
        <v>2302153-BK-S-Z-8.5</v>
      </c>
      <c r="B32" s="16" t="str">
        <v>3店-SANDIEX-US</v>
      </c>
      <c r="C32" s="16" t="str">
        <v>徐新怡</v>
      </c>
      <c r="D32" s="26" t="n">
        <f>IF(NOT(ISNUMBER(E32)),"",IF(OR(E32&lt;=0,L32=0),0,IF(OR(NOT(ISNUMBER(F32)),F32&lt;0),"",MIN(E32,INT(F32)))))</f>
        <v>68</v>
      </c>
      <c r="E32" s="27" t="n">
        <f>IF(OR(NOT(ISNUMBER(L32)),COUNT(M32:O32)&lt;&gt;3,MIN(M32:O32)&lt;0),"",ROUNDUP(ROUND(BI32-SUM(M32:O32),10),0))</f>
        <v>68</v>
      </c>
      <c r="F32" s="28" t="n">
        <v>207</v>
      </c>
      <c r="G32" s="28" t="n">
        <f>IF(AND(ISNUMBER(D32),ISNUMBER(E32)),IF(OR(E32&lt;=0,L32=0),0,E32-D32),"")</f>
        <v>0</v>
      </c>
      <c r="H32" s="16" t="str">
        <f>IF(NOT(ISNUMBER(E32)),"销量或海外库存待补",IF(OR(E32&lt;=0,L32=0),IF(L32=0,"零日销，本批不发","本批无需补货"),IF(NOT(ISNUMBER(D32)),"国内库存待补",IF(D32=0,"国内无可用库存",IF(G32&gt;0,"先发国内现货","按建议量发货")))))</f>
        <v>按建议量发货</v>
      </c>
      <c r="I32" s="28" t="n">
        <f>IF(AND(COUNT(Z32,AA32,AB32)=3,Z32&gt;=AA32,AA32&gt;=0,AB32=7),Z32-AA32,"")</f>
        <v>29</v>
      </c>
      <c r="J32" s="28" t="n">
        <f>IF(AND(COUNT(AF32,AG32,AH32)=3,AF32&gt;=AG32,AG32&gt;=0,AH32=14),AF32-AG32,"")</f>
        <v>61</v>
      </c>
      <c r="K32" s="28" t="n">
        <f>IF(AND(COUNT(AL32,AM32,AN32)=3,AL32&gt;=AM32,AM32&gt;=0,AN32=30),AL32-AM32,"")</f>
        <v>112</v>
      </c>
      <c r="L32" s="29" t="n">
        <f>IF(ISNUMBER(BI32),BI32/90,"")</f>
        <v>2.6481401594570753</v>
      </c>
      <c r="M32" s="28" t="n">
        <v>158</v>
      </c>
      <c r="N32" s="28" t="n">
        <v>6</v>
      </c>
      <c r="O32" s="28" t="n">
        <v>7</v>
      </c>
      <c r="P32" s="30" t="n">
        <f>IF(AND(ISNUMBER(L32),L32&gt;0,COUNT(M32:O32)=3,MIN(M32:O32)&gt;=0),SUM(M32:O32)/L32,"")</f>
        <v>64.57362137322015</v>
      </c>
      <c r="Q32" s="16" t="str">
        <v>沿用原计划SKU店铺</v>
      </c>
      <c r="R32" s="16" t="str">
        <v>已匹配</v>
      </c>
      <c r="S32" s="16" t="str">
        <v>在售</v>
      </c>
      <c r="T32" s="16" t="str">
        <v>2302153</v>
      </c>
      <c r="U32" s="16" t="str">
        <v>黑色</v>
      </c>
      <c r="V32" s="16" t="n">
        <v>8.5</v>
      </c>
      <c r="W32" s="8" t="str">
        <v>2026-10-11 至 2026-10-17</v>
      </c>
      <c r="X32" s="8" t="str">
        <v>2026-10-11、2026-10-12、2026-10-13、2026-10-14、2026-10-15、2026-10-16、2026-10-17</v>
      </c>
      <c r="Y32" s="8" t="str">
        <v>无</v>
      </c>
      <c r="Z32" s="8" t="n">
        <v>29</v>
      </c>
      <c r="AA32" s="8" t="n">
        <v>0</v>
      </c>
      <c r="AB32" s="8" t="n">
        <v>7</v>
      </c>
      <c r="AC32" s="8" t="str">
        <v>2026-10-02 至 2026-10-17</v>
      </c>
      <c r="AD32" s="8" t="str">
        <v>2026-10-02、2026-10-03、2026-10-04、2026-10-05、2026-10-08、2026-10-09、2026-10-10、2026-10-11、2026-10-12、2026-10-13、2026-10-14、2026-10-15、2026-10-16、2026-10-17</v>
      </c>
      <c r="AE32" s="8" t="str">
        <v>2026-10-06 大促；2026-10-07 大促</v>
      </c>
      <c r="AF32" s="8" t="n">
        <v>79</v>
      </c>
      <c r="AG32" s="8" t="n">
        <v>18</v>
      </c>
      <c r="AH32" s="8" t="n">
        <v>14</v>
      </c>
      <c r="AI32" s="8" t="str">
        <v>2026-09-16 至 2026-10-17</v>
      </c>
      <c r="AJ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" s="8" t="str">
        <v>2026-10-06 大促；2026-10-07 大促</v>
      </c>
      <c r="AL32" s="8" t="n">
        <v>130</v>
      </c>
      <c r="AM32" s="8" t="n">
        <v>18</v>
      </c>
      <c r="AN32" s="8" t="n">
        <v>30</v>
      </c>
      <c r="AO32" s="8" t="str">
        <v>2302153 / 黑色羊京绒 / 6574</v>
      </c>
      <c r="AP32" s="11" t="n">
        <v>1.7391279184229513</v>
      </c>
      <c r="AQ32" s="11" t="n">
        <v>1.7391279184229513</v>
      </c>
      <c r="AR32" s="11" t="n">
        <v>1.5731892896917212</v>
      </c>
      <c r="AS32" s="11" t="n">
        <f>IF(AND(COUNT(I32:K32,AP32:AR32)=6,MIN(AP32:AR32)&gt;0),I32/7/AP32*0.5+J32/14/AQ32*0.3+K32/30/AR32*0.2,"")</f>
        <v>2.4173011064304313</v>
      </c>
      <c r="AT32" s="8" t="n">
        <v>231</v>
      </c>
      <c r="AU32" s="8" t="n">
        <v>18</v>
      </c>
      <c r="AV32" s="8" t="n">
        <v>88</v>
      </c>
      <c r="AW32" s="11" t="n">
        <f>IF(AND(COUNT(AT32:AV32)=3,AT32&gt;=AU32,AU32&gt;=0,AV32&gt;0),(AT32-AU32)/AV32,"")</f>
        <v>2.4204545454545454</v>
      </c>
      <c r="AX32" s="8" t="n">
        <v>349</v>
      </c>
      <c r="AY32" s="8" t="n">
        <v>18</v>
      </c>
      <c r="AZ32" s="8" t="n">
        <v>178</v>
      </c>
      <c r="BA32" s="11" t="n">
        <f>IF(AND(COUNT(AX32:AZ32)=3,AX32&gt;=AY32,AY32&gt;=0,AZ32&gt;0),(AX32-AY32)/AZ32,"")</f>
        <v>1.8595505617977528</v>
      </c>
      <c r="BB32" s="8" t="n">
        <f>IF(COUNT(AS32,AW32,BA32)=3,1,0)</f>
        <v>1</v>
      </c>
      <c r="BC32" s="11" t="n">
        <f>IF(SUMIF($AO$11:$AO$1309,AO32,$BB$11:$BB$1309)=COUNTIF($AO$11:$AO$1309,AO32),SUMIF($AO$11:$AO$1309,AO32,$AS$11:$AS$1309),"")</f>
        <v>14.203593194271557</v>
      </c>
      <c r="BD32" s="11" t="n">
        <f>IF(SUMIF($AO$11:$AO$1309,AO32,$BB$11:$BB$1309)=COUNTIF($AO$11:$AO$1309,AO32),SUMIF($AO$11:$AO$1309,AO32,$AW$11:$AW$1309),"")</f>
        <v>15.818181818181818</v>
      </c>
      <c r="BE32" s="11" t="n">
        <f>IF(SUMIF($AO$11:$AO$1309,AO32,$BB$11:$BB$1309)=COUNTIF($AO$11:$AO$1309,AO32),SUMIF($AO$11:$AO$1309,AO32,$BA$11:$BA$1309),"")</f>
        <v>12.07865168539326</v>
      </c>
      <c r="BF32" s="12" t="n">
        <f>IF(COUNT(BD32:BE32)&lt;&gt;2,"",IF(AND(BD32&gt;0,BE32&gt;0),0.7*AW32/BD32+0.3*BA32/BE32,IF(BD32&gt;0,AW32/BD32,IF(BE32&gt;0,BA32/BE32,IF(AND(ISNUMBER(BH32),BH32=0),0,"")))))</f>
        <v>0.1532981154771451</v>
      </c>
      <c r="BG32" s="11" t="n">
        <f>IF(AND(COUNT(BN32:BU32)=8,MIN(BN32:BU32)&gt;=0),SUMPRODUCT(BN32:BQ32,BR32:BU32),"")</f>
        <v>109.4582336985339</v>
      </c>
      <c r="BH32" s="11" t="n">
        <f>IF(COUNT(BC32,BG32)=2,BC32*BG32,"")</f>
        <v>1554.7002232174816</v>
      </c>
      <c r="BI32" s="11" t="n">
        <f>IF(ISNUMBER(CI32),CI32,"")</f>
        <v>238.33261435113678</v>
      </c>
      <c r="BJ32" s="8" t="str"/>
      <c r="BK32" s="8" t="str">
        <v>90天：2026-07-20 至 2026-10-17；180天：2026-04-21 至 2026-10-17</v>
      </c>
      <c r="BL32" s="8" t="str">
        <v>90天：2026-10-06、2026-10-07；180天：2026-10-06、2026-10-07</v>
      </c>
      <c r="BM32" s="8" t="str">
        <v>2026-10：12天 × 1.7391279184229513；2026-11：30天 × 1.4002077845513243；2026-12：31天 × 1.079339935625147；2027-01：17天 × 0.7719368903846591</v>
      </c>
      <c r="BN32" s="11" t="n">
        <v>1.7391279184229513</v>
      </c>
      <c r="BO32" s="11" t="n">
        <v>1.4002077845513243</v>
      </c>
      <c r="BP32" s="11" t="n">
        <v>1.079339935625147</v>
      </c>
      <c r="BQ32" s="11" t="n">
        <v>0.7719368903846591</v>
      </c>
      <c r="BR32" s="8" t="n">
        <v>12</v>
      </c>
      <c r="BS32" s="8" t="n">
        <v>30</v>
      </c>
      <c r="BT32" s="8" t="n">
        <v>31</v>
      </c>
      <c r="BU32" s="8" t="n">
        <v>17</v>
      </c>
      <c r="BV32" s="11" t="n">
        <f>IF(COUNT(BC32,BF32)=2,BC32*BF32,"")</f>
        <v>2.1773840696858335</v>
      </c>
      <c r="BW32" s="11" t="n">
        <f>IF(ISNUMBER(BN32),BN32,"")</f>
        <v>1.7391279184229513</v>
      </c>
      <c r="BX32" s="14" t="n">
        <f>IF(ISNUMBER(BR32),BR32,"")</f>
        <v>12</v>
      </c>
      <c r="BY32" s="13" t="n">
        <f>IF(AND(COUNT(BV32,BW32,BX32)=3,MIN(BV32,BW32,BX32)&gt;=0),BV32*BW32*BX32,"")</f>
        <v>45.44099309664022</v>
      </c>
      <c r="BZ32" s="11" t="n">
        <f>IF(ISNUMBER(BO32),BO32,"")</f>
        <v>1.4002077845513243</v>
      </c>
      <c r="CA32" s="14" t="n">
        <f>IF(ISNUMBER(BS32),BS32,"")</f>
        <v>30</v>
      </c>
      <c r="CB32" s="13" t="n">
        <f>IF(AND(COUNT(BV32,BZ32,CA32)=3,MIN(BV32,BZ32,CA32)&gt;=0),BV32*BZ32*CA32,"")</f>
        <v>91.46370372996442</v>
      </c>
      <c r="CC32" s="11" t="n">
        <f>IF(ISNUMBER(BP32),BP32,"")</f>
        <v>1.079339935625147</v>
      </c>
      <c r="CD32" s="14" t="n">
        <f>IF(ISNUMBER(BT32),BT32,"")</f>
        <v>31</v>
      </c>
      <c r="CE32" s="13" t="n">
        <f>IF(AND(COUNT(BV32,CC32,CD32)=3,MIN(BV32,CC32,CD32)&gt;=0),BV32*CC32*CD32,"")</f>
        <v>72.85426502978376</v>
      </c>
      <c r="CF32" s="11" t="n">
        <f>IF(ISNUMBER(BQ32),BQ32,"")</f>
        <v>0.7719368903846591</v>
      </c>
      <c r="CG32" s="14" t="n">
        <f>IF(ISNUMBER(BU32),BU32,"")</f>
        <v>17</v>
      </c>
      <c r="CH32" s="13" t="n">
        <f>IF(AND(COUNT(BV32,CF32,CG32)=3,MIN(BV32,CF32,CG32)&gt;=0),BV32*CF32*CG32,"")</f>
        <v>28.573652494748394</v>
      </c>
      <c r="CI32" s="13" t="n">
        <f>IF(COUNT(BY32,CB32,CE32,CH32)=4,SUM(BY32,CB32,CE32,CH32),"")</f>
        <v>238.33261435113678</v>
      </c>
    </row>
    <row r="33" ht="72" customHeight="1">
      <c r="A33" s="16" t="str">
        <v>B06-LP-41</v>
      </c>
      <c r="B33" s="16" t="str">
        <v>1店-MUSSHOE-US</v>
      </c>
      <c r="C33" s="16" t="str">
        <v>艾年</v>
      </c>
      <c r="D33" s="26" t="n">
        <f>IF(NOT(ISNUMBER(E33)),"",IF(OR(E33&lt;=0,L33=0),0,IF(OR(NOT(ISNUMBER(F33)),F33&lt;0),"",MIN(E33,INT(F33)))))</f>
        <v>59</v>
      </c>
      <c r="E33" s="27" t="n">
        <f>IF(OR(NOT(ISNUMBER(L33)),COUNT(M33:O33)&lt;&gt;3,MIN(M33:O33)&lt;0),"",ROUNDUP(ROUND(BI33-SUM(M33:O33),10),0))</f>
        <v>59</v>
      </c>
      <c r="F33" s="28" t="n">
        <v>93</v>
      </c>
      <c r="G33" s="28" t="n">
        <f>IF(AND(ISNUMBER(D33),ISNUMBER(E33)),IF(OR(E33&lt;=0,L33=0),0,E33-D33),"")</f>
        <v>0</v>
      </c>
      <c r="H33" s="16" t="str">
        <f>IF(NOT(ISNUMBER(E33)),"销量或海外库存待补",IF(OR(E33&lt;=0,L33=0),IF(L33=0,"零日销，本批不发","本批无需补货"),IF(NOT(ISNUMBER(D33)),"国内库存待补",IF(D33=0,"国内无可用库存",IF(G33&gt;0,"先发国内现货","按建议量发货")))))</f>
        <v>按建议量发货</v>
      </c>
      <c r="I33" s="28" t="n">
        <f>IF(AND(COUNT(Z33,AA33,AB33)=3,Z33&gt;=AA33,AA33&gt;=0,AB33=7),Z33-AA33,"")</f>
        <v>5</v>
      </c>
      <c r="J33" s="28" t="n">
        <f>IF(AND(COUNT(AF33,AG33,AH33)=3,AF33&gt;=AG33,AG33&gt;=0,AH33=14),AF33-AG33,"")</f>
        <v>8</v>
      </c>
      <c r="K33" s="28" t="n">
        <f>IF(AND(COUNT(AL33,AM33,AN33)=3,AL33&gt;=AM33,AM33&gt;=0,AN33=30),AL33-AM33,"")</f>
        <v>19</v>
      </c>
      <c r="L33" s="29" t="n">
        <f>IF(ISNUMBER(BI33),BI33/90,"")</f>
        <v>0.6940098305345397</v>
      </c>
      <c r="M33" s="28" t="n">
        <v>4</v>
      </c>
      <c r="N33" s="28" t="n">
        <v>0</v>
      </c>
      <c r="O33" s="28" t="n">
        <v>0</v>
      </c>
      <c r="P33" s="30" t="n">
        <f>IF(AND(ISNUMBER(L33),L33&gt;0,COUNT(M33:O33)=3,MIN(M33:O33)&gt;=0),SUM(M33:O33)/L33,"")</f>
        <v>5.763607119108275</v>
      </c>
      <c r="Q33" s="16" t="str">
        <v>沿用原计划SKU店铺</v>
      </c>
      <c r="R33" s="16" t="str">
        <v>已匹配</v>
      </c>
      <c r="S33" s="16" t="str">
        <v>在售</v>
      </c>
      <c r="T33" s="16" t="str">
        <v>B06</v>
      </c>
      <c r="U33" s="16" t="str">
        <v>豹纹羊京绒</v>
      </c>
      <c r="V33" s="16" t="n">
        <v>10</v>
      </c>
      <c r="W33" s="8" t="str">
        <v>2026-10-11 至 2026-10-17</v>
      </c>
      <c r="X33" s="8" t="str">
        <v>2026-10-11、2026-10-12、2026-10-13、2026-10-14、2026-10-15、2026-10-16、2026-10-17</v>
      </c>
      <c r="Y33" s="8" t="str">
        <v>无</v>
      </c>
      <c r="Z33" s="8" t="n">
        <v>5</v>
      </c>
      <c r="AA33" s="8" t="n">
        <v>0</v>
      </c>
      <c r="AB33" s="8" t="n">
        <v>7</v>
      </c>
      <c r="AC33" s="8" t="str">
        <v>2026-10-02 至 2026-10-17</v>
      </c>
      <c r="AD33" s="8" t="str">
        <v>2026-10-02、2026-10-03、2026-10-04、2026-10-05、2026-10-08、2026-10-09、2026-10-10、2026-10-11、2026-10-12、2026-10-13、2026-10-14、2026-10-15、2026-10-16、2026-10-17</v>
      </c>
      <c r="AE33" s="8" t="str">
        <v>2026-10-06 大促；2026-10-07 大促</v>
      </c>
      <c r="AF33" s="8" t="n">
        <v>14</v>
      </c>
      <c r="AG33" s="8" t="n">
        <v>6</v>
      </c>
      <c r="AH33" s="8" t="n">
        <v>14</v>
      </c>
      <c r="AI33" s="8" t="str">
        <v>2026-09-16 至 2026-10-17</v>
      </c>
      <c r="AJ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" s="8" t="str">
        <v>2026-10-06 大促；2026-10-07 大促</v>
      </c>
      <c r="AL33" s="8" t="n">
        <v>25</v>
      </c>
      <c r="AM33" s="8" t="n">
        <v>6</v>
      </c>
      <c r="AN33" s="8" t="n">
        <v>30</v>
      </c>
      <c r="AO33" s="8" t="str">
        <v>B06 / 豹纹羊京绒 / 13120</v>
      </c>
      <c r="AP33" s="11" t="n">
        <v>1.2247029157699902</v>
      </c>
      <c r="AQ33" s="11" t="n">
        <v>1.2247029157699902</v>
      </c>
      <c r="AR33" s="11" t="n">
        <v>1.1136940657346173</v>
      </c>
      <c r="AS33" s="11" t="n">
        <f>IF(AND(COUNT(I33:K33,AP33:AR33)=6,MIN(AP33:AR33)&gt;0),I33/7/AP33*0.5+J33/14/AQ33*0.3+K33/30/AR33*0.2,"")</f>
        <v>0.5453271525604351</v>
      </c>
      <c r="AT33" s="8" t="n">
        <v>51</v>
      </c>
      <c r="AU33" s="8" t="n">
        <v>6</v>
      </c>
      <c r="AV33" s="8" t="n">
        <v>88</v>
      </c>
      <c r="AW33" s="11" t="n">
        <f>IF(AND(COUNT(AT33:AV33)=3,AT33&gt;=AU33,AU33&gt;=0,AV33&gt;0),(AT33-AU33)/AV33,"")</f>
        <v>0.5113636363636364</v>
      </c>
      <c r="AX33" s="8" t="n">
        <v>92</v>
      </c>
      <c r="AY33" s="8" t="n">
        <v>6</v>
      </c>
      <c r="AZ33" s="8" t="n">
        <v>178</v>
      </c>
      <c r="BA33" s="11" t="n">
        <f>IF(AND(COUNT(AX33:AZ33)=3,AX33&gt;=AY33,AY33&gt;=0,AZ33&gt;0),(AX33-AY33)/AZ33,"")</f>
        <v>0.48314606741573035</v>
      </c>
      <c r="BB33" s="8" t="n">
        <f>IF(COUNT(AS33,AW33,BA33)=3,1,0)</f>
        <v>1</v>
      </c>
      <c r="BC33" s="11" t="n">
        <f>IF(SUMIF($AO$11:$AO$1309,AO33,$BB$11:$BB$1309)=COUNTIF($AO$11:$AO$1309,AO33),SUMIF($AO$11:$AO$1309,AO33,$AS$11:$AS$1309),"")</f>
        <v>10.232422007128712</v>
      </c>
      <c r="BD33" s="11" t="n">
        <f>IF(SUMIF($AO$11:$AO$1309,AO33,$BB$11:$BB$1309)=COUNTIF($AO$11:$AO$1309,AO33),SUMIF($AO$11:$AO$1309,AO33,$AW$11:$AW$1309),"")</f>
        <v>6.3522727272727275</v>
      </c>
      <c r="BE33" s="11" t="n">
        <f>IF(SUMIF($AO$11:$AO$1309,AO33,$BB$11:$BB$1309)=COUNTIF($AO$11:$AO$1309,AO33),SUMIF($AO$11:$AO$1309,AO33,$BA$11:$BA$1309),"")</f>
        <v>5.5</v>
      </c>
      <c r="BF33" s="12" t="n">
        <f>IF(COUNT(BD33:BE33)&lt;&gt;2,"",IF(AND(BD33&gt;0,BE33&gt;0),0.7*AW33/BD33+0.3*BA33/BE33,IF(BD33&gt;0,AW33/BD33,IF(BE33&gt;0,BA33/BE33,IF(AND(ISNUMBER(BH33),BH33=0),0,"")))))</f>
        <v>0.08270404797710781</v>
      </c>
      <c r="BG33" s="11" t="n">
        <f>IF(AND(COUNT(BN33:BU33)=8,MIN(BN33:BU33)&gt;=0),SUMPRODUCT(BN33:BQ33,BR33:BU33),"")</f>
        <v>73.80791239847399</v>
      </c>
      <c r="BH33" s="11" t="n">
        <f>IF(COUNT(BC33,BG33)=2,BC33*BG33,"")</f>
        <v>755.2337071263734</v>
      </c>
      <c r="BI33" s="11" t="n">
        <f>IF(ISNUMBER(CI33),CI33,"")</f>
        <v>62.46088474810857</v>
      </c>
      <c r="BJ33" s="8" t="str">
        <v>低销提醒依据不完整</v>
      </c>
      <c r="BK33" s="8" t="str">
        <v>90天：2026-07-20 至 2026-10-17；180天：2026-04-21 至 2026-10-17</v>
      </c>
      <c r="BL33" s="8" t="str">
        <v>90天：2026-10-06、2026-10-07；180天：2026-10-06、2026-10-07</v>
      </c>
      <c r="BM33" s="8" t="str">
        <v>2026-10：12天 × 1.2247029157699902；2026-11：30天 × 0.8332682139098497；2026-12：31天 × 0.5511018253564084；2027-01：17天 × 1.0017220238758797</v>
      </c>
      <c r="BN33" s="11" t="n">
        <v>1.2247029157699902</v>
      </c>
      <c r="BO33" s="11" t="n">
        <v>0.8332682139098497</v>
      </c>
      <c r="BP33" s="11" t="n">
        <v>0.5511018253564084</v>
      </c>
      <c r="BQ33" s="11" t="n">
        <v>1.0017220238758797</v>
      </c>
      <c r="BR33" s="8" t="n">
        <v>12</v>
      </c>
      <c r="BS33" s="8" t="n">
        <v>30</v>
      </c>
      <c r="BT33" s="8" t="n">
        <v>31</v>
      </c>
      <c r="BU33" s="8" t="n">
        <v>17</v>
      </c>
      <c r="BV33" s="11" t="n">
        <f>IF(COUNT(BC33,BF33)=2,BC33*BF33,"")</f>
        <v>0.8462627205995868</v>
      </c>
      <c r="BW33" s="11" t="n">
        <f>IF(ISNUMBER(BN33),BN33,"")</f>
        <v>1.2247029157699902</v>
      </c>
      <c r="BX33" s="14" t="n">
        <f>IF(ISNUMBER(BR33),BR33,"")</f>
        <v>12</v>
      </c>
      <c r="BY33" s="13" t="n">
        <f>IF(AND(COUNT(BV33,BW33,BX33)=3,MIN(BV33,BW33,BX33)&gt;=0),BV33*BW33*BX33,"")</f>
        <v>12.437045057109103</v>
      </c>
      <c r="BZ33" s="11" t="n">
        <f>IF(ISNUMBER(BO33),BO33,"")</f>
        <v>0.8332682139098497</v>
      </c>
      <c r="CA33" s="14" t="n">
        <f>IF(ISNUMBER(BS33),BS33,"")</f>
        <v>30</v>
      </c>
      <c r="CB33" s="13" t="n">
        <f>IF(AND(COUNT(BV33,BZ33,CA33)=3,MIN(BV33,BZ33,CA33)&gt;=0),BV33*BZ33*CA33,"")</f>
        <v>21.154914770775235</v>
      </c>
      <c r="CC33" s="11" t="n">
        <f>IF(ISNUMBER(BP33),BP33,"")</f>
        <v>0.5511018253564084</v>
      </c>
      <c r="CD33" s="14" t="n">
        <f>IF(ISNUMBER(BT33),BT33,"")</f>
        <v>31</v>
      </c>
      <c r="CE33" s="13" t="n">
        <f>IF(AND(COUNT(BV33,CC33,CD33)=3,MIN(BV33,CC33,CD33)&gt;=0),BV33*CC33*CD33,"")</f>
        <v>14.45768483165889</v>
      </c>
      <c r="CF33" s="11" t="n">
        <f>IF(ISNUMBER(BQ33),BQ33,"")</f>
        <v>1.0017220238758797</v>
      </c>
      <c r="CG33" s="14" t="n">
        <f>IF(ISNUMBER(BU33),BU33,"")</f>
        <v>17</v>
      </c>
      <c r="CH33" s="13" t="n">
        <f>IF(AND(COUNT(BV33,CF33,CG33)=3,MIN(BV33,CF33,CG33)&gt;=0),BV33*CF33*CG33,"")</f>
        <v>14.411240088565346</v>
      </c>
      <c r="CI33" s="13" t="n">
        <f>IF(COUNT(BY33,CB33,CE33,CH33)=4,SUM(BY33,CB33,CE33,CH33),"")</f>
        <v>62.46088474810857</v>
      </c>
    </row>
    <row r="34" ht="72" customHeight="1">
      <c r="A34" s="16" t="str">
        <v>1S01-LMN-40</v>
      </c>
      <c r="B34" s="16" t="str">
        <v>3店-SANDIEX-US</v>
      </c>
      <c r="C34" s="16" t="str">
        <v>徐新怡</v>
      </c>
      <c r="D34" s="26" t="n">
        <f>IF(NOT(ISNUMBER(E34)),"",IF(OR(E34&lt;=0,L34=0),0,IF(OR(NOT(ISNUMBER(F34)),F34&lt;0),"",MIN(E34,INT(F34)))))</f>
        <v>57</v>
      </c>
      <c r="E34" s="27" t="n">
        <f>IF(OR(NOT(ISNUMBER(L34)),COUNT(M34:O34)&lt;&gt;3,MIN(M34:O34)&lt;0),"",ROUNDUP(ROUND(BI34-SUM(M34:O34),10),0))</f>
        <v>57</v>
      </c>
      <c r="F34" s="28" t="n">
        <v>78</v>
      </c>
      <c r="G34" s="28" t="n">
        <f>IF(AND(ISNUMBER(D34),ISNUMBER(E34)),IF(OR(E34&lt;=0,L34=0),0,E34-D34),"")</f>
        <v>0</v>
      </c>
      <c r="H34" s="16" t="str">
        <f>IF(NOT(ISNUMBER(E34)),"销量或海外库存待补",IF(OR(E34&lt;=0,L34=0),IF(L34=0,"零日销，本批不发","本批无需补货"),IF(NOT(ISNUMBER(D34)),"国内库存待补",IF(D34=0,"国内无可用库存",IF(G34&gt;0,"先发国内现货","按建议量发货")))))</f>
        <v>按建议量发货</v>
      </c>
      <c r="I34" s="28" t="n">
        <f>IF(AND(COUNT(Z34,AA34,AB34)=3,Z34&gt;=AA34,AA34&gt;=0,AB34=7),Z34-AA34,"")</f>
        <v>8</v>
      </c>
      <c r="J34" s="28" t="n">
        <f>IF(AND(COUNT(AF34,AG34,AH34)=3,AF34&gt;=AG34,AG34&gt;=0,AH34=14),AF34-AG34,"")</f>
        <v>20</v>
      </c>
      <c r="K34" s="28" t="n">
        <f>IF(AND(COUNT(AL34,AM34,AN34)=3,AL34&gt;=AM34,AM34&gt;=0,AN34=30),AL34-AM34,"")</f>
        <v>34</v>
      </c>
      <c r="L34" s="29" t="n">
        <f>IF(ISNUMBER(BI34),BI34/90,"")</f>
        <v>0.7001210142279619</v>
      </c>
      <c r="M34" s="28" t="n">
        <v>7</v>
      </c>
      <c r="N34" s="28" t="n">
        <v>0</v>
      </c>
      <c r="O34" s="28" t="n">
        <v>0</v>
      </c>
      <c r="P34" s="30" t="n">
        <f>IF(AND(ISNUMBER(L34),L34&gt;0,COUNT(M34:O34)=3,MIN(M34:O34)&gt;=0),SUM(M34:O34)/L34,"")</f>
        <v>9.998271524129363</v>
      </c>
      <c r="Q34" s="16" t="str">
        <v>沿用原计划SKU店铺</v>
      </c>
      <c r="R34" s="16" t="str">
        <v>已匹配</v>
      </c>
      <c r="S34" s="16" t="str">
        <v>在售</v>
      </c>
      <c r="T34" s="16" t="str">
        <v>1S01</v>
      </c>
      <c r="U34" s="16" t="str">
        <v>豹纹</v>
      </c>
      <c r="V34" s="16" t="n">
        <v>9</v>
      </c>
      <c r="W34" s="8" t="str">
        <v>2026-10-11 至 2026-10-17</v>
      </c>
      <c r="X34" s="8" t="str">
        <v>2026-10-11、2026-10-12、2026-10-13、2026-10-14、2026-10-15、2026-10-16、2026-10-17</v>
      </c>
      <c r="Y34" s="8" t="str">
        <v>无</v>
      </c>
      <c r="Z34" s="8" t="n">
        <v>8</v>
      </c>
      <c r="AA34" s="8" t="n">
        <v>0</v>
      </c>
      <c r="AB34" s="8" t="n">
        <v>7</v>
      </c>
      <c r="AC34" s="8" t="str">
        <v>2026-10-02 至 2026-10-17</v>
      </c>
      <c r="AD34" s="8" t="str">
        <v>2026-10-02、2026-10-03、2026-10-04、2026-10-05、2026-10-08、2026-10-09、2026-10-10、2026-10-11、2026-10-12、2026-10-13、2026-10-14、2026-10-15、2026-10-16、2026-10-17</v>
      </c>
      <c r="AE34" s="8" t="str">
        <v>2026-10-06 大促；2026-10-07 大促</v>
      </c>
      <c r="AF34" s="8" t="n">
        <v>28</v>
      </c>
      <c r="AG34" s="8" t="n">
        <v>8</v>
      </c>
      <c r="AH34" s="8" t="n">
        <v>14</v>
      </c>
      <c r="AI34" s="8" t="str">
        <v>2026-09-16 至 2026-10-17</v>
      </c>
      <c r="AJ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" s="8" t="str">
        <v>2026-10-06 大促；2026-10-07 大促</v>
      </c>
      <c r="AL34" s="8" t="n">
        <v>42</v>
      </c>
      <c r="AM34" s="8" t="n">
        <v>8</v>
      </c>
      <c r="AN34" s="8" t="n">
        <v>30</v>
      </c>
      <c r="AO34" s="8" t="str">
        <v>1S01 / 豹纹羊京绒 / 6574</v>
      </c>
      <c r="AP34" s="11" t="n">
        <v>0.8729500662042875</v>
      </c>
      <c r="AQ34" s="11" t="n">
        <v>0.8729500662042875</v>
      </c>
      <c r="AR34" s="11" t="n">
        <v>1.0921363354767095</v>
      </c>
      <c r="AS34" s="11" t="n">
        <f>IF(AND(COUNT(I34:K34,AP34:AR34)=6,MIN(AP34:AR34)&gt;0),I34/7/AP34*0.5+J34/14/AQ34*0.3+K34/30/AR34*0.2,"")</f>
        <v>1.3530851906534598</v>
      </c>
      <c r="AT34" s="8" t="n">
        <v>58</v>
      </c>
      <c r="AU34" s="8" t="n">
        <v>8</v>
      </c>
      <c r="AV34" s="8" t="n">
        <v>88</v>
      </c>
      <c r="AW34" s="11" t="n">
        <f>IF(AND(COUNT(AT34:AV34)=3,AT34&gt;=AU34,AU34&gt;=0,AV34&gt;0),(AT34-AU34)/AV34,"")</f>
        <v>0.5681818181818182</v>
      </c>
      <c r="AX34" s="8" t="n">
        <v>81</v>
      </c>
      <c r="AY34" s="8" t="n">
        <v>8</v>
      </c>
      <c r="AZ34" s="8" t="n">
        <v>178</v>
      </c>
      <c r="BA34" s="11" t="n">
        <f>IF(AND(COUNT(AX34:AZ34)=3,AX34&gt;=AY34,AY34&gt;=0,AZ34&gt;0),(AX34-AY34)/AZ34,"")</f>
        <v>0.4101123595505618</v>
      </c>
      <c r="BB34" s="8" t="n">
        <f>IF(COUNT(AS34,AW34,BA34)=3,1,0)</f>
        <v>1</v>
      </c>
      <c r="BC34" s="11" t="n">
        <f>IF(SUMIF($AO$11:$AO$1309,AO34,$BB$11:$BB$1309)=COUNTIF($AO$11:$AO$1309,AO34),SUMIF($AO$11:$AO$1309,AO34,$AS$11:$AS$1309),"")</f>
        <v>2.9367051066815764</v>
      </c>
      <c r="BD34" s="11" t="n">
        <f>IF(SUMIF($AO$11:$AO$1309,AO34,$BB$11:$BB$1309)=COUNTIF($AO$11:$AO$1309,AO34),SUMIF($AO$11:$AO$1309,AO34,$AW$11:$AW$1309),"")</f>
        <v>1.6598930481283423</v>
      </c>
      <c r="BE34" s="11" t="n">
        <f>IF(SUMIF($AO$11:$AO$1309,AO34,$BB$11:$BB$1309)=COUNTIF($AO$11:$AO$1309,AO34),SUMIF($AO$11:$AO$1309,AO34,$BA$11:$BA$1309),"")</f>
        <v>1.2818619582664526</v>
      </c>
      <c r="BF34" s="12" t="n">
        <f>IF(COUNT(BD34:BE34)&lt;&gt;2,"",IF(AND(BD34&gt;0,BE34&gt;0),0.7*AW34/BD34+0.3*BA34/BE34,IF(BD34&gt;0,AW34/BD34,IF(BE34&gt;0,BA34/BE34,IF(AND(ISNUMBER(BH34),BH34=0),0,"")))))</f>
        <v>0.3355906462275477</v>
      </c>
      <c r="BG34" s="11" t="n">
        <f>IF(AND(COUNT(BN34:BU34)=8,MIN(BN34:BU34)&gt;=0),SUMPRODUCT(BN34:BQ34,BR34:BU34),"")</f>
        <v>63.935996265425516</v>
      </c>
      <c r="BH34" s="11" t="n">
        <f>IF(COUNT(BC34,BG34)=2,BC34*BG34,"")</f>
        <v>187.7611667334493</v>
      </c>
      <c r="BI34" s="11" t="n">
        <f>IF(ISNUMBER(CI34),CI34,"")</f>
        <v>63.010891280516574</v>
      </c>
      <c r="BJ34" s="8" t="str"/>
      <c r="BK34" s="8" t="str">
        <v>90天：2026-07-20 至 2026-10-17；180天：2026-04-21 至 2026-10-17</v>
      </c>
      <c r="BL34" s="8" t="str">
        <v>90天：2026-10-06、2026-10-07；180天：2026-10-06、2026-10-07</v>
      </c>
      <c r="BM34" s="8" t="str">
        <v>2026-10：12天 × 0.8729500662042875；2026-11：30天 × 0.8057375774163482；2026-12：31天 × 0.532550303142279；2027-01：17天 × 0.7517299265337036</v>
      </c>
      <c r="BN34" s="11" t="n">
        <v>0.8729500662042875</v>
      </c>
      <c r="BO34" s="11" t="n">
        <v>0.8057375774163482</v>
      </c>
      <c r="BP34" s="11" t="n">
        <v>0.532550303142279</v>
      </c>
      <c r="BQ34" s="11" t="n">
        <v>0.7517299265337036</v>
      </c>
      <c r="BR34" s="8" t="n">
        <v>12</v>
      </c>
      <c r="BS34" s="8" t="n">
        <v>30</v>
      </c>
      <c r="BT34" s="8" t="n">
        <v>31</v>
      </c>
      <c r="BU34" s="8" t="n">
        <v>17</v>
      </c>
      <c r="BV34" s="11" t="n">
        <f>IF(COUNT(BC34,BF34)=2,BC34*BF34,"")</f>
        <v>0.9855307645310096</v>
      </c>
      <c r="BW34" s="11" t="n">
        <f>IF(ISNUMBER(BN34),BN34,"")</f>
        <v>0.8729500662042875</v>
      </c>
      <c r="BX34" s="14" t="n">
        <f>IF(ISNUMBER(BR34),BR34,"")</f>
        <v>12</v>
      </c>
      <c r="BY34" s="13" t="n">
        <f>IF(AND(COUNT(BV34,BW34,BX34)=3,MIN(BV34,BW34,BX34)&gt;=0),BV34*BW34*BX34,"")</f>
        <v>10.323829753724484</v>
      </c>
      <c r="BZ34" s="11" t="n">
        <f>IF(ISNUMBER(BO34),BO34,"")</f>
        <v>0.8057375774163482</v>
      </c>
      <c r="CA34" s="14" t="n">
        <f>IF(ISNUMBER(BS34),BS34,"")</f>
        <v>30</v>
      </c>
      <c r="CB34" s="13" t="n">
        <f>IF(AND(COUNT(BV34,BZ34,CA34)=3,MIN(BV34,BZ34,CA34)&gt;=0),BV34*BZ34*CA34,"")</f>
        <v>23.822375120474916</v>
      </c>
      <c r="CC34" s="11" t="n">
        <f>IF(ISNUMBER(BP34),BP34,"")</f>
        <v>0.532550303142279</v>
      </c>
      <c r="CD34" s="14" t="n">
        <f>IF(ISNUMBER(BT34),BT34,"")</f>
        <v>31</v>
      </c>
      <c r="CE34" s="13" t="n">
        <f>IF(AND(COUNT(BV34,CC34,CD34)=3,MIN(BV34,CC34,CD34)&gt;=0),BV34*CC34*CD34,"")</f>
        <v>16.270185929617966</v>
      </c>
      <c r="CF34" s="11" t="n">
        <f>IF(ISNUMBER(BQ34),BQ34,"")</f>
        <v>0.7517299265337036</v>
      </c>
      <c r="CG34" s="14" t="n">
        <f>IF(ISNUMBER(BU34),BU34,"")</f>
        <v>17</v>
      </c>
      <c r="CH34" s="13" t="n">
        <f>IF(AND(COUNT(BV34,CF34,CG34)=3,MIN(BV34,CF34,CG34)&gt;=0),BV34*CF34*CG34,"")</f>
        <v>12.594500476699212</v>
      </c>
      <c r="CI34" s="13" t="n">
        <f>IF(COUNT(BY34,CB34,CE34,CH34)=4,SUM(BY34,CB34,CE34,CH34),"")</f>
        <v>63.010891280516574</v>
      </c>
    </row>
    <row r="35" ht="72" customHeight="1">
      <c r="A35" s="16" t="str">
        <v>S02-TN-39</v>
      </c>
      <c r="B35" s="16" t="str">
        <v>3店-SANDIEX-US</v>
      </c>
      <c r="C35" s="16" t="str">
        <v>陈晨</v>
      </c>
      <c r="D35" s="26" t="n">
        <f>IF(NOT(ISNUMBER(E35)),"",IF(OR(E35&lt;=0,L35=0),0,IF(OR(NOT(ISNUMBER(F35)),F35&lt;0),"",MIN(E35,INT(F35)))))</f>
        <v>55</v>
      </c>
      <c r="E35" s="27" t="n">
        <f>IF(OR(NOT(ISNUMBER(L35)),COUNT(M35:O35)&lt;&gt;3,MIN(M35:O35)&lt;0),"",ROUNDUP(ROUND(BI35-SUM(M35:O35),10),0))</f>
        <v>55</v>
      </c>
      <c r="F35" s="28" t="n">
        <v>55</v>
      </c>
      <c r="G35" s="28" t="n">
        <f>IF(AND(ISNUMBER(D35),ISNUMBER(E35)),IF(OR(E35&lt;=0,L35=0),0,E35-D35),"")</f>
        <v>0</v>
      </c>
      <c r="H35" s="16" t="str">
        <f>IF(NOT(ISNUMBER(E35)),"销量或海外库存待补",IF(OR(E35&lt;=0,L35=0),IF(L35=0,"零日销，本批不发","本批无需补货"),IF(NOT(ISNUMBER(D35)),"国内库存待补",IF(D35=0,"国内无可用库存",IF(G35&gt;0,"先发国内现货","按建议量发货")))))</f>
        <v>按建议量发货</v>
      </c>
      <c r="I35" s="28" t="n">
        <f>IF(AND(COUNT(Z35,AA35,AB35)=3,Z35&gt;=AA35,AA35&gt;=0,AB35=7),Z35-AA35,"")</f>
        <v>9</v>
      </c>
      <c r="J35" s="28" t="n">
        <f>IF(AND(COUNT(AF35,AG35,AH35)=3,AF35&gt;=AG35,AG35&gt;=0,AH35=14),AF35-AG35,"")</f>
        <v>21</v>
      </c>
      <c r="K35" s="28" t="n">
        <f>IF(AND(COUNT(AL35,AM35,AN35)=3,AL35&gt;=AM35,AM35&gt;=0,AN35=30),AL35-AM35,"")</f>
        <v>39</v>
      </c>
      <c r="L35" s="29" t="n">
        <f>IF(ISNUMBER(BI35),BI35/90,"")</f>
        <v>0.8589817506287605</v>
      </c>
      <c r="M35" s="28" t="n">
        <v>23</v>
      </c>
      <c r="N35" s="28" t="n">
        <v>0</v>
      </c>
      <c r="O35" s="28" t="n">
        <v>0</v>
      </c>
      <c r="P35" s="30" t="n">
        <f>IF(AND(ISNUMBER(L35),L35&gt;0,COUNT(M35:O35)=3,MIN(M35:O35)&gt;=0),SUM(M35:O35)/L35,"")</f>
        <v>26.775888990848035</v>
      </c>
      <c r="Q35" s="16" t="str">
        <v>沿用原计划SKU店铺</v>
      </c>
      <c r="R35" s="16" t="str">
        <v>已匹配</v>
      </c>
      <c r="S35" s="16" t="str">
        <v>在售</v>
      </c>
      <c r="T35" s="16" t="str">
        <v>S02</v>
      </c>
      <c r="U35" s="16" t="str">
        <v>驼色</v>
      </c>
      <c r="V35" s="16" t="n">
        <v>8</v>
      </c>
      <c r="W35" s="8" t="str">
        <v>2026-10-11 至 2026-10-17</v>
      </c>
      <c r="X35" s="8" t="str">
        <v>2026-10-11、2026-10-12、2026-10-13、2026-10-14、2026-10-15、2026-10-16、2026-10-17</v>
      </c>
      <c r="Y35" s="8" t="str">
        <v>无</v>
      </c>
      <c r="Z35" s="8" t="n">
        <v>9</v>
      </c>
      <c r="AA35" s="8" t="n">
        <v>0</v>
      </c>
      <c r="AB35" s="8" t="n">
        <v>7</v>
      </c>
      <c r="AC35" s="8" t="str">
        <v>2026-10-02 至 2026-10-17</v>
      </c>
      <c r="AD35" s="8" t="str">
        <v>2026-10-02、2026-10-03、2026-10-04、2026-10-05、2026-10-08、2026-10-09、2026-10-10、2026-10-11、2026-10-12、2026-10-13、2026-10-14、2026-10-15、2026-10-16、2026-10-17</v>
      </c>
      <c r="AE35" s="8" t="str">
        <v>2026-10-06 大促；2026-10-07 大促</v>
      </c>
      <c r="AF35" s="8" t="n">
        <v>31</v>
      </c>
      <c r="AG35" s="8" t="n">
        <v>10</v>
      </c>
      <c r="AH35" s="8" t="n">
        <v>14</v>
      </c>
      <c r="AI35" s="8" t="str">
        <v>2026-09-16 至 2026-10-17</v>
      </c>
      <c r="AJ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5" s="8" t="str">
        <v>2026-10-06 大促；2026-10-07 大促</v>
      </c>
      <c r="AL35" s="8" t="n">
        <v>49</v>
      </c>
      <c r="AM35" s="8" t="n">
        <v>10</v>
      </c>
      <c r="AN35" s="8" t="n">
        <v>30</v>
      </c>
      <c r="AO35" s="8" t="str">
        <v>S02 / 驼色 / 6574</v>
      </c>
      <c r="AP35" s="11" t="n">
        <v>0.9634503791704667</v>
      </c>
      <c r="AQ35" s="11" t="n">
        <v>0.9634503791704667</v>
      </c>
      <c r="AR35" s="11" t="n">
        <v>0.902244307144596</v>
      </c>
      <c r="AS35" s="11" t="n">
        <f>IF(AND(COUNT(I35:K35,AP35:AR35)=6,MIN(AP35:AR35)&gt;0),I35/7/AP35*0.5+J35/14/AQ35*0.3+K35/30/AR35*0.2,"")</f>
        <v>1.4224862471024422</v>
      </c>
      <c r="AT35" s="8" t="n">
        <v>64</v>
      </c>
      <c r="AU35" s="8" t="n">
        <v>10</v>
      </c>
      <c r="AV35" s="8" t="n">
        <v>88</v>
      </c>
      <c r="AW35" s="11" t="n">
        <f>IF(AND(COUNT(AT35:AV35)=3,AT35&gt;=AU35,AU35&gt;=0,AV35&gt;0),(AT35-AU35)/AV35,"")</f>
        <v>0.6136363636363636</v>
      </c>
      <c r="AX35" s="8" t="n">
        <v>84</v>
      </c>
      <c r="AY35" s="8" t="n">
        <v>10</v>
      </c>
      <c r="AZ35" s="8" t="n">
        <v>178</v>
      </c>
      <c r="BA35" s="11" t="n">
        <f>IF(AND(COUNT(AX35:AZ35)=3,AX35&gt;=AY35,AY35&gt;=0,AZ35&gt;0),(AX35-AY35)/AZ35,"")</f>
        <v>0.4157303370786517</v>
      </c>
      <c r="BB35" s="8" t="n">
        <f>IF(COUNT(AS35,AW35,BA35)=3,1,0)</f>
        <v>1</v>
      </c>
      <c r="BC35" s="11" t="n">
        <f>IF(SUMIF($AO$11:$AO$1309,AO35,$BB$11:$BB$1309)=COUNTIF($AO$11:$AO$1309,AO35),SUMIF($AO$11:$AO$1309,AO35,$AS$11:$AS$1309),"")</f>
        <v>2.6523136246811423</v>
      </c>
      <c r="BD35" s="11" t="n">
        <f>IF(SUMIF($AO$11:$AO$1309,AO35,$BB$11:$BB$1309)=COUNTIF($AO$11:$AO$1309,AO35),SUMIF($AO$11:$AO$1309,AO35,$AW$11:$AW$1309),"")</f>
        <v>1.5697492163009403</v>
      </c>
      <c r="BE35" s="11" t="n">
        <f>IF(SUMIF($AO$11:$AO$1309,AO35,$BB$11:$BB$1309)=COUNTIF($AO$11:$AO$1309,AO35),SUMIF($AO$11:$AO$1309,AO35,$BA$11:$BA$1309),"")</f>
        <v>1.2987367485558305</v>
      </c>
      <c r="BF35" s="12" t="n">
        <f>IF(COUNT(BD35:BE35)&lt;&gt;2,"",IF(AND(BD35&gt;0,BE35&gt;0),0.7*AW35/BD35+0.3*BA35/BE35,IF(BD35&gt;0,AW35/BD35,IF(BE35&gt;0,BA35/BE35,IF(AND(ISNUMBER(BH35),BH35=0),0,"")))))</f>
        <v>0.36967062725233724</v>
      </c>
      <c r="BG35" s="11" t="n">
        <f>IF(AND(COUNT(BN35:BU35)=8,MIN(BN35:BU35)&gt;=0),SUMPRODUCT(BN35:BQ35,BR35:BU35),"")</f>
        <v>78.84726365280937</v>
      </c>
      <c r="BH35" s="11" t="n">
        <f>IF(COUNT(BC35,BG35)=2,BC35*BG35,"")</f>
        <v>209.12767165517252</v>
      </c>
      <c r="BI35" s="11" t="n">
        <f>IF(ISNUMBER(CI35),CI35,"")</f>
        <v>77.30835755658845</v>
      </c>
      <c r="BJ35" s="8" t="str"/>
      <c r="BK35" s="8" t="str">
        <v>90天：2026-07-20 至 2026-10-17；180天：2026-04-21 至 2026-10-17</v>
      </c>
      <c r="BL35" s="8" t="str">
        <v>90天：2026-10-06、2026-10-07；180天：2026-10-06、2026-10-07</v>
      </c>
      <c r="BM35" s="8" t="str">
        <v>2026-10：12天 × 0.9634503791704667；2026-11：30天 × 0.8585031562320637；2026-12：31天 × 0.7896606554092485；2027-01：17天 × 1.0030167116538329</v>
      </c>
      <c r="BN35" s="11" t="n">
        <v>0.9634503791704667</v>
      </c>
      <c r="BO35" s="11" t="n">
        <v>0.8585031562320637</v>
      </c>
      <c r="BP35" s="11" t="n">
        <v>0.7896606554092485</v>
      </c>
      <c r="BQ35" s="11" t="n">
        <v>1.0030167116538329</v>
      </c>
      <c r="BR35" s="8" t="n">
        <v>12</v>
      </c>
      <c r="BS35" s="8" t="n">
        <v>30</v>
      </c>
      <c r="BT35" s="8" t="n">
        <v>31</v>
      </c>
      <c r="BU35" s="8" t="n">
        <v>17</v>
      </c>
      <c r="BV35" s="11" t="n">
        <f>IF(COUNT(BC35,BF35)=2,BC35*BF35,"")</f>
        <v>0.980482441305798</v>
      </c>
      <c r="BW35" s="11" t="n">
        <f>IF(ISNUMBER(BN35),BN35,"")</f>
        <v>0.9634503791704667</v>
      </c>
      <c r="BX35" s="14" t="n">
        <f>IF(ISNUMBER(BR35),BR35,"")</f>
        <v>12</v>
      </c>
      <c r="BY35" s="13" t="n">
        <f>IF(AND(COUNT(BV35,BW35,BX35)=3,MIN(BV35,BW35,BX35)&gt;=0),BV35*BW35*BX35,"")</f>
        <v>11.335754158152671</v>
      </c>
      <c r="BZ35" s="11" t="n">
        <f>IF(ISNUMBER(BO35),BO35,"")</f>
        <v>0.8585031562320637</v>
      </c>
      <c r="CA35" s="14" t="n">
        <f>IF(ISNUMBER(BS35),BS35,"")</f>
        <v>30</v>
      </c>
      <c r="CB35" s="13" t="n">
        <f>IF(AND(COUNT(BV35,BZ35,CA35)=3,MIN(BV35,BZ35,CA35)&gt;=0),BV35*BZ35*CA35,"")</f>
        <v>25.2524181147344</v>
      </c>
      <c r="CC35" s="11" t="n">
        <f>IF(ISNUMBER(BP35),BP35,"")</f>
        <v>0.7896606554092485</v>
      </c>
      <c r="CD35" s="14" t="n">
        <f>IF(ISNUMBER(BT35),BT35,"")</f>
        <v>31</v>
      </c>
      <c r="CE35" s="13" t="n">
        <f>IF(AND(COUNT(BV35,CC35,CD35)=3,MIN(BV35,CC35,CD35)&gt;=0),BV35*CC35*CD35,"")</f>
        <v>24.00170062378269</v>
      </c>
      <c r="CF35" s="11" t="n">
        <f>IF(ISNUMBER(BQ35),BQ35,"")</f>
        <v>1.0030167116538329</v>
      </c>
      <c r="CG35" s="14" t="n">
        <f>IF(ISNUMBER(BU35),BU35,"")</f>
        <v>17</v>
      </c>
      <c r="CH35" s="13" t="n">
        <f>IF(AND(COUNT(BV35,CF35,CG35)=3,MIN(BV35,CF35,CG35)&gt;=0),BV35*CF35*CG35,"")</f>
        <v>16.718484659918683</v>
      </c>
      <c r="CI35" s="13" t="n">
        <f>IF(COUNT(BY35,CB35,CE35,CH35)=4,SUM(BY35,CB35,CE35,CH35),"")</f>
        <v>77.30835755658845</v>
      </c>
    </row>
    <row r="36" ht="72" customHeight="1">
      <c r="A36" s="16" t="str">
        <v>8392-BK-39.5</v>
      </c>
      <c r="B36" s="16" t="str">
        <v>3店-SANDIEX-US</v>
      </c>
      <c r="C36" s="16" t="str">
        <v>徐新怡</v>
      </c>
      <c r="D36" s="26" t="n">
        <f>IF(NOT(ISNUMBER(E36)),"",IF(OR(E36&lt;=0,L36=0),0,IF(OR(NOT(ISNUMBER(F36)),F36&lt;0),"",MIN(E36,INT(F36)))))</f>
        <v>51</v>
      </c>
      <c r="E36" s="27" t="n">
        <f>IF(OR(NOT(ISNUMBER(L36)),COUNT(M36:O36)&lt;&gt;3,MIN(M36:O36)&lt;0),"",ROUNDUP(ROUND(BI36-SUM(M36:O36),10),0))</f>
        <v>51</v>
      </c>
      <c r="F36" s="28" t="n">
        <v>153</v>
      </c>
      <c r="G36" s="28" t="n">
        <f>IF(AND(ISNUMBER(D36),ISNUMBER(E36)),IF(OR(E36&lt;=0,L36=0),0,E36-D36),"")</f>
        <v>0</v>
      </c>
      <c r="H36" s="16" t="str">
        <f>IF(NOT(ISNUMBER(E36)),"销量或海外库存待补",IF(OR(E36&lt;=0,L36=0),IF(L36=0,"零日销，本批不发","本批无需补货"),IF(NOT(ISNUMBER(D36)),"国内库存待补",IF(D36=0,"国内无可用库存",IF(G36&gt;0,"先发国内现货","按建议量发货")))))</f>
        <v>按建议量发货</v>
      </c>
      <c r="I36" s="28" t="n">
        <f>IF(AND(COUNT(Z36,AA36,AB36)=3,Z36&gt;=AA36,AA36&gt;=0,AB36=7),Z36-AA36,"")</f>
        <v>18</v>
      </c>
      <c r="J36" s="28" t="n">
        <f>IF(AND(COUNT(AF36,AG36,AH36)=3,AF36&gt;=AG36,AG36&gt;=0,AH36=14),AF36-AG36,"")</f>
        <v>27</v>
      </c>
      <c r="K36" s="28" t="n">
        <f>IF(AND(COUNT(AL36,AM36,AN36)=3,AL36&gt;=AM36,AM36&gt;=0,AN36=30),AL36-AM36,"")</f>
        <v>39</v>
      </c>
      <c r="L36" s="29" t="n">
        <f>IF(ISNUMBER(BI36),BI36/90,"")</f>
        <v>1.2087299672373357</v>
      </c>
      <c r="M36" s="28" t="n">
        <v>58</v>
      </c>
      <c r="N36" s="28" t="n">
        <v>0</v>
      </c>
      <c r="O36" s="28" t="n">
        <v>0</v>
      </c>
      <c r="P36" s="30" t="n">
        <f>IF(AND(ISNUMBER(L36),L36&gt;0,COUNT(M36:O36)=3,MIN(M36:O36)&gt;=0),SUM(M36:O36)/L36,"")</f>
        <v>47.984249230259735</v>
      </c>
      <c r="Q36" s="16" t="str">
        <v>新增SPU唯一在售店铺</v>
      </c>
      <c r="R36" s="16" t="str">
        <v>已匹配</v>
      </c>
      <c r="S36" s="16" t="str">
        <v>在售</v>
      </c>
      <c r="T36" s="16" t="str">
        <v>8392</v>
      </c>
      <c r="U36" s="16" t="str">
        <v>黑色</v>
      </c>
      <c r="V36" s="16" t="n">
        <v>8.5</v>
      </c>
      <c r="W36" s="8" t="str">
        <v>2026-10-11 至 2026-10-17</v>
      </c>
      <c r="X36" s="8" t="str">
        <v>2026-10-11、2026-10-12、2026-10-13、2026-10-14、2026-10-15、2026-10-16、2026-10-17</v>
      </c>
      <c r="Y36" s="8" t="str">
        <v>无</v>
      </c>
      <c r="Z36" s="8" t="n">
        <v>18</v>
      </c>
      <c r="AA36" s="8" t="n">
        <v>0</v>
      </c>
      <c r="AB36" s="8" t="n">
        <v>7</v>
      </c>
      <c r="AC36" s="8" t="str">
        <v>2026-10-02 至 2026-10-17</v>
      </c>
      <c r="AD36" s="8" t="str">
        <v>2026-10-02、2026-10-03、2026-10-04、2026-10-05、2026-10-08、2026-10-09、2026-10-10、2026-10-11、2026-10-12、2026-10-13、2026-10-14、2026-10-15、2026-10-16、2026-10-17</v>
      </c>
      <c r="AE36" s="8" t="str">
        <v>2026-10-06 大促；2026-10-07 大促</v>
      </c>
      <c r="AF36" s="8" t="n">
        <v>33</v>
      </c>
      <c r="AG36" s="8" t="n">
        <v>6</v>
      </c>
      <c r="AH36" s="8" t="n">
        <v>14</v>
      </c>
      <c r="AI36" s="8" t="str">
        <v>2026-09-16 至 2026-10-17</v>
      </c>
      <c r="AJ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6" s="8" t="str">
        <v>2026-10-06 大促；2026-10-07 大促</v>
      </c>
      <c r="AL36" s="8" t="n">
        <v>45</v>
      </c>
      <c r="AM36" s="8" t="n">
        <v>6</v>
      </c>
      <c r="AN36" s="8" t="n">
        <v>30</v>
      </c>
      <c r="AO36" s="8" t="str">
        <v>8392 / 黑色羊京绒 / 6574</v>
      </c>
      <c r="AP36" s="11" t="n">
        <v>1.1743420411079069</v>
      </c>
      <c r="AQ36" s="11" t="n">
        <v>1.1743420411079069</v>
      </c>
      <c r="AR36" s="11" t="n">
        <v>1.144331424468921</v>
      </c>
      <c r="AS36" s="11" t="n">
        <f>IF(AND(COUNT(I36:K36,AP36:AR36)=6,MIN(AP36:AR36)&gt;0),I36/7/AP36*0.5+J36/14/AQ36*0.3+K36/30/AR36*0.2,"")</f>
        <v>1.8147219966391837</v>
      </c>
      <c r="AT36" s="8" t="n">
        <v>53</v>
      </c>
      <c r="AU36" s="8" t="n">
        <v>6</v>
      </c>
      <c r="AV36" s="8" t="n">
        <v>88</v>
      </c>
      <c r="AW36" s="11" t="n">
        <f>IF(AND(COUNT(AT36:AV36)=3,AT36&gt;=AU36,AU36&gt;=0,AV36&gt;0),(AT36-AU36)/AV36,"")</f>
        <v>0.5340909090909091</v>
      </c>
      <c r="AX36" s="8" t="n">
        <v>84</v>
      </c>
      <c r="AY36" s="8" t="n">
        <v>6</v>
      </c>
      <c r="AZ36" s="8" t="n">
        <v>178</v>
      </c>
      <c r="BA36" s="11" t="n">
        <f>IF(AND(COUNT(AX36:AZ36)=3,AX36&gt;=AY36,AY36&gt;=0,AZ36&gt;0),(AX36-AY36)/AZ36,"")</f>
        <v>0.43820224719101125</v>
      </c>
      <c r="BB36" s="8" t="n">
        <f>IF(COUNT(AS36,AW36,BA36)=3,1,0)</f>
        <v>1</v>
      </c>
      <c r="BC36" s="11" t="n">
        <f>IF(SUMIF($AO$11:$AO$1309,AO36,$BB$11:$BB$1309)=COUNTIF($AO$11:$AO$1309,AO36),SUMIF($AO$11:$AO$1309,AO36,$AS$11:$AS$1309),"")</f>
        <v>5.8206872914932575</v>
      </c>
      <c r="BD36" s="11" t="n">
        <f>IF(SUMIF($AO$11:$AO$1309,AO36,$BB$11:$BB$1309)=COUNTIF($AO$11:$AO$1309,AO36),SUMIF($AO$11:$AO$1309,AO36,$AW$11:$AW$1309),"")</f>
        <v>2.7613636363636367</v>
      </c>
      <c r="BE36" s="11" t="n">
        <f>IF(SUMIF($AO$11:$AO$1309,AO36,$BB$11:$BB$1309)=COUNTIF($AO$11:$AO$1309,AO36),SUMIF($AO$11:$AO$1309,AO36,$BA$11:$BA$1309),"")</f>
        <v>2.2696629213483144</v>
      </c>
      <c r="BF36" s="12" t="n">
        <f>IF(COUNT(BD36:BE36)&lt;&gt;2,"",IF(AND(BD36&gt;0,BE36&gt;0),0.7*AW36/BD36+0.3*BA36/BE36,IF(BD36&gt;0,AW36/BD36,IF(BE36&gt;0,BA36/BE36,IF(AND(ISNUMBER(BH36),BH36=0),0,"")))))</f>
        <v>0.19331173858126552</v>
      </c>
      <c r="BG36" s="11" t="n">
        <f>IF(AND(COUNT(BN36:BU36)=8,MIN(BN36:BU36)&gt;=0),SUMPRODUCT(BN36:BQ36,BR36:BU36),"")</f>
        <v>96.68059267618935</v>
      </c>
      <c r="BH36" s="11" t="n">
        <f>IF(COUNT(BC36,BG36)=2,BC36*BG36,"")</f>
        <v>562.7474971243314</v>
      </c>
      <c r="BI36" s="11" t="n">
        <f>IF(ISNUMBER(CI36),CI36,"")</f>
        <v>108.78569705136022</v>
      </c>
      <c r="BJ36" s="8" t="str"/>
      <c r="BK36" s="8" t="str">
        <v>90天：2026-07-20 至 2026-10-17；180天：2026-04-21 至 2026-10-17</v>
      </c>
      <c r="BL36" s="8" t="str">
        <v>90天：2026-10-06、2026-10-07；180天：2026-10-06、2026-10-07</v>
      </c>
      <c r="BM36" s="8" t="str">
        <v>2026-10：12天 × 1.1743420411079069；2026-11：30天 × 1.281694931279211；2026-12：31天 × 0.9007634642750235；2027-01：17天 × 0.9537631089407297</v>
      </c>
      <c r="BN36" s="11" t="n">
        <v>1.1743420411079069</v>
      </c>
      <c r="BO36" s="11" t="n">
        <v>1.281694931279211</v>
      </c>
      <c r="BP36" s="11" t="n">
        <v>0.9007634642750235</v>
      </c>
      <c r="BQ36" s="11" t="n">
        <v>0.9537631089407297</v>
      </c>
      <c r="BR36" s="8" t="n">
        <v>12</v>
      </c>
      <c r="BS36" s="8" t="n">
        <v>30</v>
      </c>
      <c r="BT36" s="8" t="n">
        <v>31</v>
      </c>
      <c r="BU36" s="8" t="n">
        <v>17</v>
      </c>
      <c r="BV36" s="11" t="n">
        <f>IF(COUNT(BC36,BF36)=2,BC36*BF36,"")</f>
        <v>1.125207180056439</v>
      </c>
      <c r="BW36" s="11" t="n">
        <f>IF(ISNUMBER(BN36),BN36,"")</f>
        <v>1.1743420411079069</v>
      </c>
      <c r="BX36" s="14" t="n">
        <f>IF(ISNUMBER(BR36),BR36,"")</f>
        <v>12</v>
      </c>
      <c r="BY36" s="13" t="n">
        <f>IF(AND(COUNT(BV36,BW36,BX36)=3,MIN(BV36,BW36,BX36)&gt;=0),BV36*BW36*BX36,"")</f>
        <v>15.856537157961007</v>
      </c>
      <c r="BZ36" s="11" t="n">
        <f>IF(ISNUMBER(BO36),BO36,"")</f>
        <v>1.281694931279211</v>
      </c>
      <c r="CA36" s="14" t="n">
        <f>IF(ISNUMBER(BS36),BS36,"")</f>
        <v>30</v>
      </c>
      <c r="CB36" s="13" t="n">
        <f>IF(AND(COUNT(BV36,BZ36,CA36)=3,MIN(BV36,BZ36,CA36)&gt;=0),BV36*BZ36*CA36,"")</f>
        <v>43.265170179519366</v>
      </c>
      <c r="CC36" s="11" t="n">
        <f>IF(ISNUMBER(BP36),BP36,"")</f>
        <v>0.9007634642750235</v>
      </c>
      <c r="CD36" s="14" t="n">
        <f>IF(ISNUMBER(BT36),BT36,"")</f>
        <v>31</v>
      </c>
      <c r="CE36" s="13" t="n">
        <f>IF(AND(COUNT(BV36,CC36,CD36)=3,MIN(BV36,CC36,CD36)&gt;=0),BV36*CC36*CD36,"")</f>
        <v>31.41991104357781</v>
      </c>
      <c r="CF36" s="11" t="n">
        <f>IF(ISNUMBER(BQ36),BQ36,"")</f>
        <v>0.9537631089407297</v>
      </c>
      <c r="CG36" s="14" t="n">
        <f>IF(ISNUMBER(BU36),BU36,"")</f>
        <v>17</v>
      </c>
      <c r="CH36" s="13" t="n">
        <f>IF(AND(COUNT(BV36,CF36,CG36)=3,MIN(BV36,CF36,CG36)&gt;=0),BV36*CF36*CG36,"")</f>
        <v>18.244078670302027</v>
      </c>
      <c r="CI36" s="13" t="n">
        <f>IF(COUNT(BY36,CB36,CE36,CH36)=4,SUM(BY36,CB36,CE36,CH36),"")</f>
        <v>108.78569705136022</v>
      </c>
    </row>
    <row r="37" ht="72" customHeight="1">
      <c r="A37" s="16" t="str">
        <v>S02-LP-41</v>
      </c>
      <c r="B37" s="16" t="str">
        <v>3店-SANDIEX-US</v>
      </c>
      <c r="C37" s="16" t="str">
        <v>陈晨</v>
      </c>
      <c r="D37" s="26" t="n">
        <f>IF(NOT(ISNUMBER(E37)),"",IF(OR(E37&lt;=0,L37=0),0,IF(OR(NOT(ISNUMBER(F37)),F37&lt;0),"",MIN(E37,INT(F37)))))</f>
        <v>50</v>
      </c>
      <c r="E37" s="27" t="n">
        <f>IF(OR(NOT(ISNUMBER(L37)),COUNT(M37:O37)&lt;&gt;3,MIN(M37:O37)&lt;0),"",ROUNDUP(ROUND(BI37-SUM(M37:O37),10),0))</f>
        <v>50</v>
      </c>
      <c r="F37" s="28" t="n">
        <v>120</v>
      </c>
      <c r="G37" s="28" t="n">
        <f>IF(AND(ISNUMBER(D37),ISNUMBER(E37)),IF(OR(E37&lt;=0,L37=0),0,E37-D37),"")</f>
        <v>0</v>
      </c>
      <c r="H37" s="16" t="str">
        <f>IF(NOT(ISNUMBER(E37)),"销量或海外库存待补",IF(OR(E37&lt;=0,L37=0),IF(L37=0,"零日销，本批不发","本批无需补货"),IF(NOT(ISNUMBER(D37)),"国内库存待补",IF(D37=0,"国内无可用库存",IF(G37&gt;0,"先发国内现货","按建议量发货")))))</f>
        <v>按建议量发货</v>
      </c>
      <c r="I37" s="28" t="n">
        <f>IF(AND(COUNT(Z37,AA37,AB37)=3,Z37&gt;=AA37,AA37&gt;=0,AB37=7),Z37-AA37,"")</f>
        <v>12</v>
      </c>
      <c r="J37" s="28" t="n">
        <f>IF(AND(COUNT(AF37,AG37,AH37)=3,AF37&gt;=AG37,AG37&gt;=0,AH37=14),AF37-AG37,"")</f>
        <v>18</v>
      </c>
      <c r="K37" s="28" t="n">
        <f>IF(AND(COUNT(AL37,AM37,AN37)=3,AL37&gt;=AM37,AM37&gt;=0,AN37=30),AL37-AM37,"")</f>
        <v>49</v>
      </c>
      <c r="L37" s="29" t="n">
        <f>IF(ISNUMBER(BI37),BI37/90,"")</f>
        <v>1.236645185365146</v>
      </c>
      <c r="M37" s="28" t="n">
        <v>26</v>
      </c>
      <c r="N37" s="28" t="n">
        <v>0</v>
      </c>
      <c r="O37" s="28" t="n">
        <v>36</v>
      </c>
      <c r="P37" s="30" t="n">
        <f>IF(AND(ISNUMBER(L37),L37&gt;0,COUNT(M37:O37)=3,MIN(M37:O37)&gt;=0),SUM(M37:O37)/L37,"")</f>
        <v>50.135641761863305</v>
      </c>
      <c r="Q37" s="16" t="str">
        <v>沿用原计划SKU店铺</v>
      </c>
      <c r="R37" s="16" t="str">
        <v>已匹配</v>
      </c>
      <c r="S37" s="16" t="str">
        <v>在售</v>
      </c>
      <c r="T37" s="16" t="str">
        <v>S02</v>
      </c>
      <c r="U37" s="16" t="str">
        <v>豹纹</v>
      </c>
      <c r="V37" s="16" t="n">
        <v>10</v>
      </c>
      <c r="W37" s="8" t="str">
        <v>2026-10-11 至 2026-10-17</v>
      </c>
      <c r="X37" s="8" t="str">
        <v>2026-10-11、2026-10-12、2026-10-13、2026-10-14、2026-10-15、2026-10-16、2026-10-17</v>
      </c>
      <c r="Y37" s="8" t="str">
        <v>无</v>
      </c>
      <c r="Z37" s="8" t="n">
        <v>12</v>
      </c>
      <c r="AA37" s="8" t="n">
        <v>0</v>
      </c>
      <c r="AB37" s="8" t="n">
        <v>7</v>
      </c>
      <c r="AC37" s="8" t="str">
        <v>2026-10-02 至 2026-10-17</v>
      </c>
      <c r="AD37" s="8" t="str">
        <v>2026-10-02、2026-10-03、2026-10-04、2026-10-05、2026-10-08、2026-10-09、2026-10-10、2026-10-11、2026-10-12、2026-10-13、2026-10-14、2026-10-15、2026-10-16、2026-10-17</v>
      </c>
      <c r="AE37" s="8" t="str">
        <v>2026-10-06 大促；2026-10-07 大促</v>
      </c>
      <c r="AF37" s="8" t="n">
        <v>21</v>
      </c>
      <c r="AG37" s="8" t="n">
        <v>3</v>
      </c>
      <c r="AH37" s="8" t="n">
        <v>14</v>
      </c>
      <c r="AI37" s="8" t="str">
        <v>2026-09-16 至 2026-10-17</v>
      </c>
      <c r="AJ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7" s="8" t="str">
        <v>2026-10-06 大促；2026-10-07 大促</v>
      </c>
      <c r="AL37" s="8" t="n">
        <v>52</v>
      </c>
      <c r="AM37" s="8" t="n">
        <v>3</v>
      </c>
      <c r="AN37" s="8" t="n">
        <v>30</v>
      </c>
      <c r="AO37" s="8" t="str">
        <v>S02 / 豹纹 / 6574</v>
      </c>
      <c r="AP37" s="11" t="n">
        <v>0.9634503791704667</v>
      </c>
      <c r="AQ37" s="11" t="n">
        <v>0.9634503791704667</v>
      </c>
      <c r="AR37" s="11" t="n">
        <v>0.902244307144596</v>
      </c>
      <c r="AS37" s="11" t="n">
        <f>IF(AND(COUNT(I37:K37,AP37:AR37)=6,MIN(AP37:AR37)&gt;0),I37/7/AP37*0.5+J37/14/AQ37*0.3+K37/30/AR37*0.2,"")</f>
        <v>1.652066490054997</v>
      </c>
      <c r="AT37" s="8" t="n">
        <v>84</v>
      </c>
      <c r="AU37" s="8" t="n">
        <v>3</v>
      </c>
      <c r="AV37" s="8" t="n">
        <v>88</v>
      </c>
      <c r="AW37" s="11" t="n">
        <f>IF(AND(COUNT(AT37:AV37)=3,AT37&gt;=AU37,AU37&gt;=0,AV37&gt;0),(AT37-AU37)/AV37,"")</f>
        <v>0.9204545454545454</v>
      </c>
      <c r="AX37" s="8" t="n">
        <v>115</v>
      </c>
      <c r="AY37" s="8" t="n">
        <v>3</v>
      </c>
      <c r="AZ37" s="8" t="n">
        <v>178</v>
      </c>
      <c r="BA37" s="11" t="n">
        <f>IF(AND(COUNT(AX37:AZ37)=3,AX37&gt;=AY37,AY37&gt;=0,AZ37&gt;0),(AX37-AY37)/AZ37,"")</f>
        <v>0.6292134831460674</v>
      </c>
      <c r="BB37" s="8" t="n">
        <f>IF(COUNT(AS37,AW37,BA37)=3,1,0)</f>
        <v>1</v>
      </c>
      <c r="BC37" s="11" t="n">
        <f>IF(SUMIF($AO$11:$AO$1309,AO37,$BB$11:$BB$1309)=COUNTIF($AO$11:$AO$1309,AO37),SUMIF($AO$11:$AO$1309,AO37,$AS$11:$AS$1309),"")</f>
        <v>7.640117517669702</v>
      </c>
      <c r="BD37" s="11" t="n">
        <f>IF(SUMIF($AO$11:$AO$1309,AO37,$BB$11:$BB$1309)=COUNTIF($AO$11:$AO$1309,AO37),SUMIF($AO$11:$AO$1309,AO37,$AW$11:$AW$1309),"")</f>
        <v>4.92970401691332</v>
      </c>
      <c r="BE37" s="11" t="n">
        <f>IF(SUMIF($AO$11:$AO$1309,AO37,$BB$11:$BB$1309)=COUNTIF($AO$11:$AO$1309,AO37),SUMIF($AO$11:$AO$1309,AO37,$BA$11:$BA$1309),"")</f>
        <v>3.492019918283964</v>
      </c>
      <c r="BF37" s="12" t="n">
        <f>IF(COUNT(BD37:BE37)&lt;&gt;2,"",IF(AND(BD37&gt;0,BE37&gt;0),0.7*AW37/BD37+0.3*BA37/BE37,IF(BD37&gt;0,AW37/BD37,IF(BE37&gt;0,BA37/BE37,IF(AND(ISNUMBER(BH37),BH37=0),0,"")))))</f>
        <v>0.18475702292385948</v>
      </c>
      <c r="BG37" s="11" t="n">
        <f>IF(AND(COUNT(BN37:BU37)=8,MIN(BN37:BU37)&gt;=0),SUMPRODUCT(BN37:BQ37,BR37:BU37),"")</f>
        <v>78.84726365280937</v>
      </c>
      <c r="BH37" s="11" t="n">
        <f>IF(COUNT(BC37,BG37)=2,BC37*BG37,"")</f>
        <v>602.4023602541505</v>
      </c>
      <c r="BI37" s="11" t="n">
        <f>IF(ISNUMBER(CI37),CI37,"")</f>
        <v>111.29806668286312</v>
      </c>
      <c r="BJ37" s="8" t="str"/>
      <c r="BK37" s="8" t="str">
        <v>90天：2026-07-20 至 2026-10-17；180天：2026-04-21 至 2026-10-17</v>
      </c>
      <c r="BL37" s="8" t="str">
        <v>90天：2026-10-06、2026-10-07；180天：2026-10-06、2026-10-07</v>
      </c>
      <c r="BM37" s="8" t="str">
        <v>2026-10：12天 × 0.9634503791704667；2026-11：30天 × 0.8585031562320637；2026-12：31天 × 0.7896606554092485；2027-01：17天 × 1.0030167116538329</v>
      </c>
      <c r="BN37" s="11" t="n">
        <v>0.9634503791704667</v>
      </c>
      <c r="BO37" s="11" t="n">
        <v>0.8585031562320637</v>
      </c>
      <c r="BP37" s="11" t="n">
        <v>0.7896606554092485</v>
      </c>
      <c r="BQ37" s="11" t="n">
        <v>1.0030167116538329</v>
      </c>
      <c r="BR37" s="8" t="n">
        <v>12</v>
      </c>
      <c r="BS37" s="8" t="n">
        <v>30</v>
      </c>
      <c r="BT37" s="8" t="n">
        <v>31</v>
      </c>
      <c r="BU37" s="8" t="n">
        <v>17</v>
      </c>
      <c r="BV37" s="11" t="n">
        <f>IF(COUNT(BC37,BF37)=2,BC37*BF37,"")</f>
        <v>1.4115653673530815</v>
      </c>
      <c r="BW37" s="11" t="n">
        <f>IF(ISNUMBER(BN37),BN37,"")</f>
        <v>0.9634503791704667</v>
      </c>
      <c r="BX37" s="14" t="n">
        <f>IF(ISNUMBER(BR37),BR37,"")</f>
        <v>12</v>
      </c>
      <c r="BY37" s="13" t="n">
        <f>IF(AND(COUNT(BV37,BW37,BX37)=3,MIN(BV37,BW37,BX37)&gt;=0),BV37*BW37*BX37,"")</f>
        <v>16.319678260802707</v>
      </c>
      <c r="BZ37" s="11" t="n">
        <f>IF(ISNUMBER(BO37),BO37,"")</f>
        <v>0.8585031562320637</v>
      </c>
      <c r="CA37" s="14" t="n">
        <f>IF(ISNUMBER(BS37),BS37,"")</f>
        <v>30</v>
      </c>
      <c r="CB37" s="13" t="n">
        <f>IF(AND(COUNT(BV37,BZ37,CA37)=3,MIN(BV37,BZ37,CA37)&gt;=0),BV37*BZ37*CA37,"")</f>
        <v>36.35499969301479</v>
      </c>
      <c r="CC37" s="11" t="n">
        <f>IF(ISNUMBER(BP37),BP37,"")</f>
        <v>0.7896606554092485</v>
      </c>
      <c r="CD37" s="14" t="n">
        <f>IF(ISNUMBER(BT37),BT37,"")</f>
        <v>31</v>
      </c>
      <c r="CE37" s="13" t="n">
        <f>IF(AND(COUNT(BV37,CC37,CD37)=3,MIN(BV37,CC37,CD37)&gt;=0),BV37*CC37*CD37,"")</f>
        <v>34.55438662724796</v>
      </c>
      <c r="CF37" s="11" t="n">
        <f>IF(ISNUMBER(BQ37),BQ37,"")</f>
        <v>1.0030167116538329</v>
      </c>
      <c r="CG37" s="14" t="n">
        <f>IF(ISNUMBER(BU37),BU37,"")</f>
        <v>17</v>
      </c>
      <c r="CH37" s="13" t="n">
        <f>IF(AND(COUNT(BV37,CF37,CG37)=3,MIN(BV37,CF37,CG37)&gt;=0),BV37*CF37*CG37,"")</f>
        <v>24.06900210179768</v>
      </c>
      <c r="CI37" s="13" t="n">
        <f>IF(COUNT(BY37,CB37,CE37,CH37)=4,SUM(BY37,CB37,CE37,CH37),"")</f>
        <v>111.29806668286312</v>
      </c>
    </row>
    <row r="38" ht="72" customHeight="1">
      <c r="A38" s="16" t="str">
        <v>230918-BK-S-Z-8</v>
      </c>
      <c r="B38" s="16" t="str">
        <v>1店-MUSSHOE-US</v>
      </c>
      <c r="C38" s="16" t="str">
        <v>艾年</v>
      </c>
      <c r="D38" s="26" t="n">
        <f>IF(NOT(ISNUMBER(E38)),"",IF(OR(E38&lt;=0,L38=0),0,IF(OR(NOT(ISNUMBER(F38)),F38&lt;0),"",MIN(E38,INT(F38)))))</f>
        <v>49</v>
      </c>
      <c r="E38" s="27" t="n">
        <f>IF(OR(NOT(ISNUMBER(L38)),COUNT(M38:O38)&lt;&gt;3,MIN(M38:O38)&lt;0),"",ROUNDUP(ROUND(BI38-SUM(M38:O38),10),0))</f>
        <v>49</v>
      </c>
      <c r="F38" s="28" t="n">
        <v>548</v>
      </c>
      <c r="G38" s="28" t="n">
        <f>IF(AND(ISNUMBER(D38),ISNUMBER(E38)),IF(OR(E38&lt;=0,L38=0),0,E38-D38),"")</f>
        <v>0</v>
      </c>
      <c r="H38" s="16" t="str">
        <f>IF(NOT(ISNUMBER(E38)),"销量或海外库存待补",IF(OR(E38&lt;=0,L38=0),IF(L38=0,"零日销，本批不发","本批无需补货"),IF(NOT(ISNUMBER(D38)),"国内库存待补",IF(D38=0,"国内无可用库存",IF(G38&gt;0,"先发国内现货","按建议量发货")))))</f>
        <v>按建议量发货</v>
      </c>
      <c r="I38" s="28" t="n">
        <f>IF(AND(COUNT(Z38,AA38,AB38)=3,Z38&gt;=AA38,AA38&gt;=0,AB38=7),Z38-AA38,"")</f>
        <v>39</v>
      </c>
      <c r="J38" s="28" t="n">
        <f>IF(AND(COUNT(AF38,AG38,AH38)=3,AF38&gt;=AG38,AG38&gt;=0,AH38=14),AF38-AG38,"")</f>
        <v>74</v>
      </c>
      <c r="K38" s="28" t="n">
        <f>IF(AND(COUNT(AL38,AM38,AN38)=3,AL38&gt;=AM38,AM38&gt;=0,AN38=30),AL38-AM38,"")</f>
        <v>141</v>
      </c>
      <c r="L38" s="29" t="n">
        <f>IF(ISNUMBER(BI38),BI38/90,"")</f>
        <v>4.125211343816118</v>
      </c>
      <c r="M38" s="28" t="n">
        <v>120</v>
      </c>
      <c r="N38" s="28" t="n">
        <v>0</v>
      </c>
      <c r="O38" s="28" t="n">
        <v>203</v>
      </c>
      <c r="P38" s="30" t="n">
        <f>IF(AND(ISNUMBER(L38),L38&gt;0,COUNT(M38:O38)=3,MIN(M38:O38)&gt;=0),SUM(M38:O38)/L38,"")</f>
        <v>78.29901866341754</v>
      </c>
      <c r="Q38" s="16" t="str">
        <v>沿用原计划SKU店铺</v>
      </c>
      <c r="R38" s="16" t="str">
        <v>已匹配</v>
      </c>
      <c r="S38" s="16" t="str">
        <v>在售</v>
      </c>
      <c r="T38" s="16" t="str">
        <v>230918</v>
      </c>
      <c r="U38" s="16" t="str">
        <v>黑色</v>
      </c>
      <c r="V38" s="16" t="n">
        <v>8</v>
      </c>
      <c r="W38" s="8" t="str">
        <v>2026-10-11 至 2026-10-17</v>
      </c>
      <c r="X38" s="8" t="str">
        <v>2026-10-11、2026-10-12、2026-10-13、2026-10-14、2026-10-15、2026-10-16、2026-10-17</v>
      </c>
      <c r="Y38" s="8" t="str">
        <v>无</v>
      </c>
      <c r="Z38" s="8" t="n">
        <v>39</v>
      </c>
      <c r="AA38" s="8" t="n">
        <v>0</v>
      </c>
      <c r="AB38" s="8" t="n">
        <v>7</v>
      </c>
      <c r="AC38" s="8" t="str">
        <v>2026-10-02 至 2026-10-17</v>
      </c>
      <c r="AD38" s="8" t="str">
        <v>2026-10-02、2026-10-03、2026-10-04、2026-10-05、2026-10-08、2026-10-09、2026-10-10、2026-10-11、2026-10-12、2026-10-13、2026-10-14、2026-10-15、2026-10-16、2026-10-17</v>
      </c>
      <c r="AE38" s="8" t="str">
        <v>2026-10-06 大促；2026-10-07 大促</v>
      </c>
      <c r="AF38" s="8" t="n">
        <v>105</v>
      </c>
      <c r="AG38" s="8" t="n">
        <v>31</v>
      </c>
      <c r="AH38" s="8" t="n">
        <v>14</v>
      </c>
      <c r="AI38" s="8" t="str">
        <v>2026-09-16 至 2026-10-17</v>
      </c>
      <c r="AJ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" s="8" t="str">
        <v>2026-10-06 大促；2026-10-07 大促</v>
      </c>
      <c r="AL38" s="8" t="n">
        <v>172</v>
      </c>
      <c r="AM38" s="8" t="n">
        <v>31</v>
      </c>
      <c r="AN38" s="8" t="n">
        <v>30</v>
      </c>
      <c r="AO38" s="8" t="str">
        <v>230918 / 黑色 / 13120</v>
      </c>
      <c r="AP38" s="11" t="n">
        <v>1.6747911769553039</v>
      </c>
      <c r="AQ38" s="11" t="n">
        <v>1.6747911769553039</v>
      </c>
      <c r="AR38" s="11" t="n">
        <v>1.7386907395039133</v>
      </c>
      <c r="AS38" s="11" t="n">
        <f>IF(AND(COUNT(I38:K38,AP38:AR38)=6,MIN(AP38:AR38)&gt;0),I38/7/AP38*0.5+J38/14/AQ38*0.3+K38/30/AR38*0.2,"")</f>
        <v>3.1507701952824654</v>
      </c>
      <c r="AT38" s="8" t="n">
        <v>372</v>
      </c>
      <c r="AU38" s="8" t="n">
        <v>31</v>
      </c>
      <c r="AV38" s="8" t="n">
        <v>88</v>
      </c>
      <c r="AW38" s="11" t="n">
        <f>IF(AND(COUNT(AT38:AV38)=3,AT38&gt;=AU38,AU38&gt;=0,AV38&gt;0),(AT38-AU38)/AV38,"")</f>
        <v>3.875</v>
      </c>
      <c r="AX38" s="8" t="n">
        <v>706</v>
      </c>
      <c r="AY38" s="8" t="n">
        <v>31</v>
      </c>
      <c r="AZ38" s="8" t="n">
        <v>178</v>
      </c>
      <c r="BA38" s="11" t="n">
        <f>IF(AND(COUNT(AX38:AZ38)=3,AX38&gt;=AY38,AY38&gt;=0,AZ38&gt;0),(AX38-AY38)/AZ38,"")</f>
        <v>3.792134831460674</v>
      </c>
      <c r="BB38" s="8" t="n">
        <f>IF(COUNT(AS38,AW38,BA38)=3,1,0)</f>
        <v>1</v>
      </c>
      <c r="BC38" s="11" t="n">
        <f>IF(SUMIF($AO$11:$AO$1309,AO38,$BB$11:$BB$1309)=COUNTIF($AO$11:$AO$1309,AO38),SUMIF($AO$11:$AO$1309,AO38,$AS$11:$AS$1309),"")</f>
        <v>11.342019976477065</v>
      </c>
      <c r="BD38" s="11" t="n">
        <f>IF(SUMIF($AO$11:$AO$1309,AO38,$BB$11:$BB$1309)=COUNTIF($AO$11:$AO$1309,AO38),SUMIF($AO$11:$AO$1309,AO38,$AW$11:$AW$1309),"")</f>
        <v>13.352272727272727</v>
      </c>
      <c r="BE38" s="11" t="n">
        <f>IF(SUMIF($AO$11:$AO$1309,AO38,$BB$11:$BB$1309)=COUNTIF($AO$11:$AO$1309,AO38),SUMIF($AO$11:$AO$1309,AO38,$BA$11:$BA$1309),"")</f>
        <v>12.707865168539326</v>
      </c>
      <c r="BF38" s="12" t="n">
        <f>IF(COUNT(BD38:BE38)&lt;&gt;2,"",IF(AND(BD38&gt;0,BE38&gt;0),0.7*AW38/BD38+0.3*BA38/BE38,IF(BD38&gt;0,AW38/BD38,IF(BE38&gt;0,BA38/BE38,IF(AND(ISNUMBER(BH38),BH38=0),0,"")))))</f>
        <v>0.2926714825893109</v>
      </c>
      <c r="BG38" s="11" t="n">
        <f>IF(AND(COUNT(BN38:BU38)=8,MIN(BN38:BU38)&gt;=0),SUMPRODUCT(BN38:BQ38,BR38:BU38),"")</f>
        <v>111.84534083910866</v>
      </c>
      <c r="BH38" s="11" t="n">
        <f>IF(COUNT(BC38,BG38)=2,BC38*BG38,"")</f>
        <v>1268.5520900730564</v>
      </c>
      <c r="BI38" s="11" t="n">
        <f>IF(ISNUMBER(CI38),CI38,"")</f>
        <v>371.2690209434506</v>
      </c>
      <c r="BJ38" s="8" t="str"/>
      <c r="BK38" s="8" t="str">
        <v>90天：2026-07-20 至 2026-10-17；180天：2026-04-21 至 2026-10-17</v>
      </c>
      <c r="BL38" s="8" t="str">
        <v>90天：2026-10-06、2026-10-07；180天：2026-10-06、2026-10-07</v>
      </c>
      <c r="BM38" s="8" t="str">
        <v>2026-10：12天 × 1.6747911769553037；2026-11：30天 × 1.5065205700457112；2026-12：31天 × 1.1492423388181006；2027-01：17天 × 0.6426892418183868</v>
      </c>
      <c r="BN38" s="11" t="n">
        <v>1.6747911769553037</v>
      </c>
      <c r="BO38" s="11" t="n">
        <v>1.5065205700457112</v>
      </c>
      <c r="BP38" s="11" t="n">
        <v>1.1492423388181006</v>
      </c>
      <c r="BQ38" s="11" t="n">
        <v>0.6426892418183868</v>
      </c>
      <c r="BR38" s="8" t="n">
        <v>12</v>
      </c>
      <c r="BS38" s="8" t="n">
        <v>30</v>
      </c>
      <c r="BT38" s="8" t="n">
        <v>31</v>
      </c>
      <c r="BU38" s="8" t="n">
        <v>17</v>
      </c>
      <c r="BV38" s="11" t="n">
        <f>IF(COUNT(BC38,BF38)=2,BC38*BF38,"")</f>
        <v>3.319485802073124</v>
      </c>
      <c r="BW38" s="11" t="n">
        <f>IF(ISNUMBER(BN38),BN38,"")</f>
        <v>1.6747911769553037</v>
      </c>
      <c r="BX38" s="14" t="n">
        <f>IF(ISNUMBER(BR38),BR38,"")</f>
        <v>12</v>
      </c>
      <c r="BY38" s="13" t="n">
        <f>IF(AND(COUNT(BV38,BW38,BX38)=3,MIN(BV38,BW38,BX38)&gt;=0),BV38*BW38*BX38,"")</f>
        <v>66.71334640008561</v>
      </c>
      <c r="BZ38" s="11" t="n">
        <f>IF(ISNUMBER(BO38),BO38,"")</f>
        <v>1.5065205700457112</v>
      </c>
      <c r="CA38" s="14" t="n">
        <f>IF(ISNUMBER(BS38),BS38,"")</f>
        <v>30</v>
      </c>
      <c r="CB38" s="13" t="n">
        <f>IF(AND(COUNT(BV38,BZ38,CA38)=3,MIN(BV38,BZ38,CA38)&gt;=0),BV38*BZ38*CA38,"")</f>
        <v>150.02620928393543</v>
      </c>
      <c r="CC38" s="11" t="n">
        <f>IF(ISNUMBER(BP38),BP38,"")</f>
        <v>1.1492423388181006</v>
      </c>
      <c r="CD38" s="14" t="n">
        <f>IF(ISNUMBER(BT38),BT38,"")</f>
        <v>31</v>
      </c>
      <c r="CE38" s="13" t="n">
        <f>IF(AND(COUNT(BV38,CC38,CD38)=3,MIN(BV38,CC38,CD38)&gt;=0),BV38*CC38*CD38,"")</f>
        <v>118.26170243228788</v>
      </c>
      <c r="CF38" s="11" t="n">
        <f>IF(ISNUMBER(BQ38),BQ38,"")</f>
        <v>0.6426892418183868</v>
      </c>
      <c r="CG38" s="14" t="n">
        <f>IF(ISNUMBER(BU38),BU38,"")</f>
        <v>17</v>
      </c>
      <c r="CH38" s="13" t="n">
        <f>IF(AND(COUNT(BV38,CF38,CG38)=3,MIN(BV38,CF38,CG38)&gt;=0),BV38*CF38*CG38,"")</f>
        <v>36.26776282714169</v>
      </c>
      <c r="CI38" s="13" t="n">
        <f>IF(COUNT(BY38,CB38,CE38,CH38)=4,SUM(BY38,CB38,CE38,CH38),"")</f>
        <v>371.2690209434506</v>
      </c>
    </row>
    <row r="39" ht="72" customHeight="1">
      <c r="A39" s="16" t="str">
        <v>S02-LP-42</v>
      </c>
      <c r="B39" s="16" t="str">
        <v>3店-SANDIEX-US</v>
      </c>
      <c r="C39" s="16" t="str">
        <v>陈晨</v>
      </c>
      <c r="D39" s="26" t="n">
        <f>IF(NOT(ISNUMBER(E39)),"",IF(OR(E39&lt;=0,L39=0),0,IF(OR(NOT(ISNUMBER(F39)),F39&lt;0),"",MIN(E39,INT(F39)))))</f>
        <v>49</v>
      </c>
      <c r="E39" s="27" t="n">
        <f>IF(OR(NOT(ISNUMBER(L39)),COUNT(M39:O39)&lt;&gt;3,MIN(M39:O39)&lt;0),"",ROUNDUP(ROUND(BI39-SUM(M39:O39),10),0))</f>
        <v>49</v>
      </c>
      <c r="F39" s="28" t="n">
        <v>50</v>
      </c>
      <c r="G39" s="28" t="n">
        <f>IF(AND(ISNUMBER(D39),ISNUMBER(E39)),IF(OR(E39&lt;=0,L39=0),0,E39-D39),"")</f>
        <v>0</v>
      </c>
      <c r="H39" s="16" t="str">
        <f>IF(NOT(ISNUMBER(E39)),"销量或海外库存待补",IF(OR(E39&lt;=0,L39=0),IF(L39=0,"零日销，本批不发","本批无需补货"),IF(NOT(ISNUMBER(D39)),"国内库存待补",IF(D39=0,"国内无可用库存",IF(G39&gt;0,"先发国内现货","按建议量发货")))))</f>
        <v>按建议量发货</v>
      </c>
      <c r="I39" s="28" t="n">
        <f>IF(AND(COUNT(Z39,AA39,AB39)=3,Z39&gt;=AA39,AA39&gt;=0,AB39=7),Z39-AA39,"")</f>
        <v>0</v>
      </c>
      <c r="J39" s="28" t="n">
        <f>IF(AND(COUNT(AF39,AG39,AH39)=3,AF39&gt;=AG39,AG39&gt;=0,AH39=14),AF39-AG39,"")</f>
        <v>9</v>
      </c>
      <c r="K39" s="28" t="n">
        <f>IF(AND(COUNT(AL39,AM39,AN39)=3,AL39&gt;=AM39,AM39&gt;=0,AN39=30),AL39-AM39,"")</f>
        <v>15</v>
      </c>
      <c r="L39" s="29" t="n">
        <f>IF(ISNUMBER(BI39),BI39/90,"")</f>
        <v>0.5534313074243181</v>
      </c>
      <c r="M39" s="28" t="n">
        <v>1</v>
      </c>
      <c r="N39" s="28" t="n">
        <v>0</v>
      </c>
      <c r="O39" s="28" t="n">
        <v>0</v>
      </c>
      <c r="P39" s="30" t="n">
        <f>IF(AND(ISNUMBER(L39),L39&gt;0,COUNT(M39:O39)=3,MIN(M39:O39)&gt;=0),SUM(M39:O39)/L39,"")</f>
        <v>1.8069089814488861</v>
      </c>
      <c r="Q39" s="16" t="str">
        <v>沿用原计划SKU店铺</v>
      </c>
      <c r="R39" s="16" t="str">
        <v>已匹配</v>
      </c>
      <c r="S39" s="16" t="str">
        <v>在售</v>
      </c>
      <c r="T39" s="16" t="str">
        <v>S02</v>
      </c>
      <c r="U39" s="16" t="str">
        <v>豹纹</v>
      </c>
      <c r="V39" s="16" t="n">
        <v>11</v>
      </c>
      <c r="W39" s="8" t="str">
        <v>2026-10-09 至 2026-10-17</v>
      </c>
      <c r="X39" s="8" t="str">
        <v>2026-10-09、2026-10-10、2026-10-11、2026-10-14、2026-10-15、2026-10-16、2026-10-17</v>
      </c>
      <c r="Y39" s="8" t="str">
        <v>2026-10-12 有记录的停售日；2026-10-13 有记录的停售日</v>
      </c>
      <c r="Z39" s="8" t="n">
        <v>0</v>
      </c>
      <c r="AA39" s="8" t="n">
        <v>0</v>
      </c>
      <c r="AB39" s="8" t="n">
        <v>7</v>
      </c>
      <c r="AC39" s="8" t="str">
        <v>2026-09-30 至 2026-10-17</v>
      </c>
      <c r="AD39" s="8" t="str">
        <v>2026-09-30、2026-10-01、2026-10-02、2026-10-03、2026-10-04、2026-10-05、2026-10-08、2026-10-09、2026-10-10、2026-10-11、2026-10-14、2026-10-15、2026-10-16、2026-10-17</v>
      </c>
      <c r="AE39" s="8" t="str">
        <v>2026-10-06 大促；2026-10-07 大促；2026-10-12 有记录的停售日；2026-10-13 有记录的停售日</v>
      </c>
      <c r="AF39" s="8" t="n">
        <v>10</v>
      </c>
      <c r="AG39" s="8" t="n">
        <v>1</v>
      </c>
      <c r="AH39" s="8" t="n">
        <v>14</v>
      </c>
      <c r="AI39" s="8" t="str">
        <v>2026-09-14 至 2026-10-17</v>
      </c>
      <c r="AJ39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39" s="8" t="str">
        <v>2026-10-06 大促；2026-10-07 大促；2026-10-12 有记录的停售日；2026-10-13 有记录的停售日</v>
      </c>
      <c r="AL39" s="8" t="n">
        <v>16</v>
      </c>
      <c r="AM39" s="8" t="n">
        <v>1</v>
      </c>
      <c r="AN39" s="8" t="n">
        <v>30</v>
      </c>
      <c r="AO39" s="8" t="str">
        <v>S02 / 豹纹 / 6574</v>
      </c>
      <c r="AP39" s="11" t="n">
        <v>0.9634503791704667</v>
      </c>
      <c r="AQ39" s="11" t="n">
        <v>0.9547066545953423</v>
      </c>
      <c r="AR39" s="11" t="n">
        <v>0.8940834975411466</v>
      </c>
      <c r="AS39" s="11" t="n">
        <f>IF(AND(COUNT(I39:K39,AP39:AR39)=6,MIN(AP39:AR39)&gt;0),I39/7/AP39*0.5+J39/14/AQ39*0.3+K39/30/AR39*0.2,"")</f>
        <v>0.3138530792658353</v>
      </c>
      <c r="AT39" s="8" t="n">
        <v>36</v>
      </c>
      <c r="AU39" s="8" t="n">
        <v>1</v>
      </c>
      <c r="AV39" s="8" t="n">
        <v>86</v>
      </c>
      <c r="AW39" s="11" t="n">
        <f>IF(AND(COUNT(AT39:AV39)=3,AT39&gt;=AU39,AU39&gt;=0,AV39&gt;0),(AT39-AU39)/AV39,"")</f>
        <v>0.4069767441860465</v>
      </c>
      <c r="AX39" s="8" t="n">
        <v>52</v>
      </c>
      <c r="AY39" s="8" t="n">
        <v>1</v>
      </c>
      <c r="AZ39" s="8" t="n">
        <v>176</v>
      </c>
      <c r="BA39" s="11" t="n">
        <f>IF(AND(COUNT(AX39:AZ39)=3,AX39&gt;=AY39,AY39&gt;=0,AZ39&gt;0),(AX39-AY39)/AZ39,"")</f>
        <v>0.2897727272727273</v>
      </c>
      <c r="BB39" s="8" t="n">
        <f>IF(COUNT(AS39,AW39,BA39)=3,1,0)</f>
        <v>1</v>
      </c>
      <c r="BC39" s="11" t="n">
        <f>IF(SUMIF($AO$11:$AO$1309,AO39,$BB$11:$BB$1309)=COUNTIF($AO$11:$AO$1309,AO39),SUMIF($AO$11:$AO$1309,AO39,$AS$11:$AS$1309),"")</f>
        <v>7.640117517669702</v>
      </c>
      <c r="BD39" s="11" t="n">
        <f>IF(SUMIF($AO$11:$AO$1309,AO39,$BB$11:$BB$1309)=COUNTIF($AO$11:$AO$1309,AO39),SUMIF($AO$11:$AO$1309,AO39,$AW$11:$AW$1309),"")</f>
        <v>4.92970401691332</v>
      </c>
      <c r="BE39" s="11" t="n">
        <f>IF(SUMIF($AO$11:$AO$1309,AO39,$BB$11:$BB$1309)=COUNTIF($AO$11:$AO$1309,AO39),SUMIF($AO$11:$AO$1309,AO39,$BA$11:$BA$1309),"")</f>
        <v>3.492019918283964</v>
      </c>
      <c r="BF39" s="12" t="n">
        <f>IF(COUNT(BD39:BE39)&lt;&gt;2,"",IF(AND(BD39&gt;0,BE39&gt;0),0.7*AW39/BD39+0.3*BA39/BE39,IF(BD39&gt;0,AW39/BD39,IF(BE39&gt;0,BA39/BE39,IF(AND(ISNUMBER(BH39),BH39=0),0,"")))))</f>
        <v>0.08268363631107711</v>
      </c>
      <c r="BG39" s="11" t="n">
        <f>IF(AND(COUNT(BN39:BU39)=8,MIN(BN39:BU39)&gt;=0),SUMPRODUCT(BN39:BQ39,BR39:BU39),"")</f>
        <v>78.84726365280937</v>
      </c>
      <c r="BH39" s="11" t="n">
        <f>IF(COUNT(BC39,BG39)=2,BC39*BG39,"")</f>
        <v>602.4023602541505</v>
      </c>
      <c r="BI39" s="11" t="n">
        <f>IF(ISNUMBER(CI39),CI39,"")</f>
        <v>49.80881766818863</v>
      </c>
      <c r="BJ39" s="8" t="str"/>
      <c r="BK39" s="8" t="str">
        <v>90天：2026-07-20 至 2026-10-17；180天：2026-04-21 至 2026-10-17</v>
      </c>
      <c r="BL39" s="8" t="str">
        <v>90天：2026-10-06、2026-10-07、2026-10-12、2026-10-13；180天：2026-10-06、2026-10-07、2026-10-12、2026-10-13</v>
      </c>
      <c r="BM39" s="8" t="str">
        <v>2026-10：12天 × 0.9634503791704667；2026-11：30天 × 0.8585031562320637；2026-12：31天 × 0.7896606554092485；2027-01：17天 × 1.0030167116538329</v>
      </c>
      <c r="BN39" s="11" t="n">
        <v>0.9634503791704667</v>
      </c>
      <c r="BO39" s="11" t="n">
        <v>0.8585031562320637</v>
      </c>
      <c r="BP39" s="11" t="n">
        <v>0.7896606554092485</v>
      </c>
      <c r="BQ39" s="11" t="n">
        <v>1.0030167116538329</v>
      </c>
      <c r="BR39" s="8" t="n">
        <v>12</v>
      </c>
      <c r="BS39" s="8" t="n">
        <v>30</v>
      </c>
      <c r="BT39" s="8" t="n">
        <v>31</v>
      </c>
      <c r="BU39" s="8" t="n">
        <v>17</v>
      </c>
      <c r="BV39" s="11" t="n">
        <f>IF(COUNT(BC39,BF39)=2,BC39*BF39,"")</f>
        <v>0.6317126982048908</v>
      </c>
      <c r="BW39" s="11" t="n">
        <f>IF(ISNUMBER(BN39),BN39,"")</f>
        <v>0.9634503791704667</v>
      </c>
      <c r="BX39" s="14" t="n">
        <f>IF(ISNUMBER(BR39),BR39,"")</f>
        <v>12</v>
      </c>
      <c r="BY39" s="13" t="n">
        <f>IF(AND(COUNT(BV39,BW39,BX39)=3,MIN(BV39,BW39,BX39)&gt;=0),BV39*BW39*BX39,"")</f>
        <v>7.303486063347609</v>
      </c>
      <c r="BZ39" s="11" t="n">
        <f>IF(ISNUMBER(BO39),BO39,"")</f>
        <v>0.8585031562320637</v>
      </c>
      <c r="CA39" s="14" t="n">
        <f>IF(ISNUMBER(BS39),BS39,"")</f>
        <v>30</v>
      </c>
      <c r="CB39" s="13" t="n">
        <f>IF(AND(COUNT(BV39,BZ39,CA39)=3,MIN(BV39,BZ39,CA39)&gt;=0),BV39*BZ39*CA39,"")</f>
        <v>16.26982035722316</v>
      </c>
      <c r="CC39" s="11" t="n">
        <f>IF(ISNUMBER(BP39),BP39,"")</f>
        <v>0.7896606554092485</v>
      </c>
      <c r="CD39" s="14" t="n">
        <f>IF(ISNUMBER(BT39),BT39,"")</f>
        <v>31</v>
      </c>
      <c r="CE39" s="13" t="n">
        <f>IF(AND(COUNT(BV39,CC39,CD39)=3,MIN(BV39,CC39,CD39)&gt;=0),BV39*CC39*CD39,"")</f>
        <v>15.463998562139384</v>
      </c>
      <c r="CF39" s="11" t="n">
        <f>IF(ISNUMBER(BQ39),BQ39,"")</f>
        <v>1.0030167116538329</v>
      </c>
      <c r="CG39" s="14" t="n">
        <f>IF(ISNUMBER(BU39),BU39,"")</f>
        <v>17</v>
      </c>
      <c r="CH39" s="13" t="n">
        <f>IF(AND(COUNT(BV39,CF39,CG39)=3,MIN(BV39,CF39,CG39)&gt;=0),BV39*CF39*CG39,"")</f>
        <v>10.771512685478475</v>
      </c>
      <c r="CI39" s="13" t="n">
        <f>IF(COUNT(BY39,CB39,CE39,CH39)=4,SUM(BY39,CB39,CE39,CH39),"")</f>
        <v>49.80881766818863</v>
      </c>
    </row>
    <row r="40" ht="72" customHeight="1">
      <c r="A40" s="16" t="str">
        <v>B07-LP1-40.5</v>
      </c>
      <c r="B40" s="16" t="str">
        <v>4店-彬郁-US</v>
      </c>
      <c r="C40" s="16" t="str">
        <v>艾年</v>
      </c>
      <c r="D40" s="26" t="n">
        <f>IF(NOT(ISNUMBER(E40)),"",IF(OR(E40&lt;=0,L40=0),0,IF(OR(NOT(ISNUMBER(F40)),F40&lt;0),"",MIN(E40,INT(F40)))))</f>
        <v>46</v>
      </c>
      <c r="E40" s="27" t="n">
        <f>IF(OR(NOT(ISNUMBER(L40)),COUNT(M40:O40)&lt;&gt;3,MIN(M40:O40)&lt;0),"",ROUNDUP(ROUND(BI40-SUM(M40:O40),10),0))</f>
        <v>46</v>
      </c>
      <c r="F40" s="28" t="n">
        <v>68</v>
      </c>
      <c r="G40" s="28" t="n">
        <f>IF(AND(ISNUMBER(D40),ISNUMBER(E40)),IF(OR(E40&lt;=0,L40=0),0,E40-D40),"")</f>
        <v>0</v>
      </c>
      <c r="H40" s="16" t="str">
        <f>IF(NOT(ISNUMBER(E40)),"销量或海外库存待补",IF(OR(E40&lt;=0,L40=0),IF(L40=0,"零日销，本批不发","本批无需补货"),IF(NOT(ISNUMBER(D40)),"国内库存待补",IF(D40=0,"国内无可用库存",IF(G40&gt;0,"先发国内现货","按建议量发货")))))</f>
        <v>按建议量发货</v>
      </c>
      <c r="I40" s="28" t="n">
        <f>IF(AND(COUNT(Z40,AA40,AB40)=3,Z40&gt;=AA40,AA40&gt;=0,AB40=7),Z40-AA40,"")</f>
        <v>3</v>
      </c>
      <c r="J40" s="28" t="n">
        <f>IF(AND(COUNT(AF40,AG40,AH40)=3,AF40&gt;=AG40,AG40&gt;=0,AH40=14),AF40-AG40,"")</f>
        <v>3</v>
      </c>
      <c r="K40" s="28" t="n">
        <f>IF(AND(COUNT(AL40,AM40,AN40)=3,AL40&gt;=AM40,AM40&gt;=0,AN40=30),AL40-AM40,"")</f>
        <v>8</v>
      </c>
      <c r="L40" s="29" t="n">
        <f>IF(ISNUMBER(BI40),BI40/90,"")</f>
        <v>0.5291008628820268</v>
      </c>
      <c r="M40" s="28" t="n">
        <v>2</v>
      </c>
      <c r="N40" s="28" t="n">
        <v>0</v>
      </c>
      <c r="O40" s="28" t="n">
        <v>0</v>
      </c>
      <c r="P40" s="30" t="n">
        <f>IF(AND(ISNUMBER(L40),L40&gt;0,COUNT(M40:O40)=3,MIN(M40:O40)&gt;=0),SUM(M40:O40)/L40,"")</f>
        <v>3.7799976153997283</v>
      </c>
      <c r="Q40" s="16" t="str">
        <v>沿用原计划SKU店铺</v>
      </c>
      <c r="R40" s="16" t="str">
        <v>已匹配</v>
      </c>
      <c r="S40" s="16" t="str">
        <v>在售</v>
      </c>
      <c r="T40" s="16" t="str">
        <v>B07</v>
      </c>
      <c r="U40" s="16" t="str">
        <v>豹纹羊京绒</v>
      </c>
      <c r="V40" s="16" t="n">
        <v>9.5</v>
      </c>
      <c r="W40" s="8" t="str">
        <v>2026-10-11 至 2026-10-17</v>
      </c>
      <c r="X40" s="8" t="str">
        <v>2026-10-11、2026-10-12、2026-10-13、2026-10-14、2026-10-15、2026-10-16、2026-10-17</v>
      </c>
      <c r="Y40" s="8" t="str">
        <v>无</v>
      </c>
      <c r="Z40" s="8" t="n">
        <v>3</v>
      </c>
      <c r="AA40" s="8" t="n">
        <v>0</v>
      </c>
      <c r="AB40" s="8" t="n">
        <v>7</v>
      </c>
      <c r="AC40" s="8" t="str">
        <v>2026-10-02 至 2026-10-17</v>
      </c>
      <c r="AD40" s="8" t="str">
        <v>2026-10-02、2026-10-03、2026-10-04、2026-10-05、2026-10-08、2026-10-09、2026-10-10、2026-10-11、2026-10-12、2026-10-13、2026-10-14、2026-10-15、2026-10-16、2026-10-17</v>
      </c>
      <c r="AE40" s="8" t="str">
        <v>2026-10-06 大促；2026-10-07 大促</v>
      </c>
      <c r="AF40" s="8" t="n">
        <v>3</v>
      </c>
      <c r="AG40" s="8" t="n">
        <v>0</v>
      </c>
      <c r="AH40" s="8" t="n">
        <v>14</v>
      </c>
      <c r="AI40" s="8" t="str">
        <v>2026-09-16 至 2026-10-17</v>
      </c>
      <c r="AJ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0" s="8" t="str">
        <v>2026-10-06 大促；2026-10-07 大促</v>
      </c>
      <c r="AL40" s="8" t="n">
        <v>8</v>
      </c>
      <c r="AM40" s="8" t="n">
        <v>0</v>
      </c>
      <c r="AN40" s="8" t="n">
        <v>30</v>
      </c>
      <c r="AO40" s="8" t="str">
        <v>B07 / 豹纹羊京绒 / 13306</v>
      </c>
      <c r="AP40" s="11" t="n">
        <v>0.7307750238224848</v>
      </c>
      <c r="AQ40" s="11" t="n">
        <v>0.7307750238224848</v>
      </c>
      <c r="AR40" s="11" t="n">
        <v>0.7449809054134506</v>
      </c>
      <c r="AS40" s="11" t="n">
        <f>IF(AND(COUNT(I40:K40,AP40:AR40)=6,MIN(AP40:AR40)&gt;0),I40/7/AP40*0.5+J40/14/AQ40*0.3+K40/30/AR40*0.2,"")</f>
        <v>0.4527901873883983</v>
      </c>
      <c r="AT40" s="8" t="n">
        <v>35</v>
      </c>
      <c r="AU40" s="8" t="n">
        <v>0</v>
      </c>
      <c r="AV40" s="8" t="n">
        <v>88</v>
      </c>
      <c r="AW40" s="11" t="n">
        <f>IF(AND(COUNT(AT40:AV40)=3,AT40&gt;=AU40,AU40&gt;=0,AV40&gt;0),(AT40-AU40)/AV40,"")</f>
        <v>0.3977272727272727</v>
      </c>
      <c r="AX40" s="8" t="n">
        <v>59</v>
      </c>
      <c r="AY40" s="8" t="n">
        <v>0</v>
      </c>
      <c r="AZ40" s="8" t="n">
        <v>178</v>
      </c>
      <c r="BA40" s="11" t="n">
        <f>IF(AND(COUNT(AX40:AZ40)=3,AX40&gt;=AY40,AY40&gt;=0,AZ40&gt;0),(AX40-AY40)/AZ40,"")</f>
        <v>0.33146067415730335</v>
      </c>
      <c r="BB40" s="8" t="n">
        <f>IF(COUNT(AS40,AW40,BA40)=3,1,0)</f>
        <v>1</v>
      </c>
      <c r="BC40" s="11" t="n">
        <f>IF(SUMIF($AO$11:$AO$1309,AO40,$BB$11:$BB$1309)=COUNTIF($AO$11:$AO$1309,AO40),SUMIF($AO$11:$AO$1309,AO40,$AS$11:$AS$1309),"")</f>
        <v>6.767888169262786</v>
      </c>
      <c r="BD40" s="11" t="n">
        <f>IF(SUMIF($AO$11:$AO$1309,AO40,$BB$11:$BB$1309)=COUNTIF($AO$11:$AO$1309,AO40),SUMIF($AO$11:$AO$1309,AO40,$AW$11:$AW$1309),"")</f>
        <v>4.467607105538139</v>
      </c>
      <c r="BE40" s="11" t="n">
        <f>IF(SUMIF($AO$11:$AO$1309,AO40,$BB$11:$BB$1309)=COUNTIF($AO$11:$AO$1309,AO40),SUMIF($AO$11:$AO$1309,AO40,$BA$11:$BA$1309),"")</f>
        <v>3.6192153875452298</v>
      </c>
      <c r="BF40" s="12" t="n">
        <f>IF(COUNT(BD40:BE40)&lt;&gt;2,"",IF(AND(BD40&gt;0,BE40&gt;0),0.7*AW40/BD40+0.3*BA40/BE40,IF(BD40&gt;0,AW40/BD40,IF(BE40&gt;0,BA40/BE40,IF(AND(ISNUMBER(BH40),BH40=0),0,"")))))</f>
        <v>0.08979234452713299</v>
      </c>
      <c r="BG40" s="11" t="n">
        <f>IF(AND(COUNT(BN40:BU40)=8,MIN(BN40:BU40)&gt;=0),SUMPRODUCT(BN40:BQ40,BR40:BU40),"")</f>
        <v>78.35892944347341</v>
      </c>
      <c r="BH40" s="11" t="n">
        <f>IF(COUNT(BC40,BG40)=2,BC40*BG40,"")</f>
        <v>530.3244715365811</v>
      </c>
      <c r="BI40" s="11" t="n">
        <f>IF(ISNUMBER(CI40),CI40,"")</f>
        <v>47.61907765938241</v>
      </c>
      <c r="BJ40" s="8" t="str"/>
      <c r="BK40" s="8" t="str">
        <v>90天：2026-07-20 至 2026-10-17；180天：2026-04-21 至 2026-10-17</v>
      </c>
      <c r="BL40" s="8" t="str">
        <v>90天：2026-10-06、2026-10-07；180天：2026-10-06、2026-10-07</v>
      </c>
      <c r="BM40" s="8" t="str">
        <v>2026-10：12天 × 0.7307750238224848；2026-11：30天 × 0.9523018155490097；2026-12：31天 × 0.5958545198749097；2027-01：17天 × 1.3264167397065354</v>
      </c>
      <c r="BN40" s="11" t="n">
        <v>0.7307750238224848</v>
      </c>
      <c r="BO40" s="11" t="n">
        <v>0.9523018155490097</v>
      </c>
      <c r="BP40" s="11" t="n">
        <v>0.5958545198749097</v>
      </c>
      <c r="BQ40" s="11" t="n">
        <v>1.3264167397065354</v>
      </c>
      <c r="BR40" s="8" t="n">
        <v>12</v>
      </c>
      <c r="BS40" s="8" t="n">
        <v>30</v>
      </c>
      <c r="BT40" s="8" t="n">
        <v>31</v>
      </c>
      <c r="BU40" s="8" t="n">
        <v>17</v>
      </c>
      <c r="BV40" s="11" t="n">
        <f>IF(COUNT(BC40,BF40)=2,BC40*BF40,"")</f>
        <v>0.6077045462155514</v>
      </c>
      <c r="BW40" s="11" t="n">
        <f>IF(ISNUMBER(BN40),BN40,"")</f>
        <v>0.7307750238224848</v>
      </c>
      <c r="BX40" s="14" t="n">
        <f>IF(ISNUMBER(BR40),BR40,"")</f>
        <v>12</v>
      </c>
      <c r="BY40" s="13" t="n">
        <f>IF(AND(COUNT(BV40,BW40,BX40)=3,MIN(BV40,BW40,BX40)&gt;=0),BV40*BW40*BX40,"")</f>
        <v>5.329143650852423</v>
      </c>
      <c r="BZ40" s="11" t="n">
        <f>IF(ISNUMBER(BO40),BO40,"")</f>
        <v>0.9523018155490097</v>
      </c>
      <c r="CA40" s="14" t="n">
        <f>IF(ISNUMBER(BS40),BS40,"")</f>
        <v>30</v>
      </c>
      <c r="CB40" s="13" t="n">
        <f>IF(AND(COUNT(BV40,BZ40,CA40)=3,MIN(BV40,BZ40,CA40)&gt;=0),BV40*BZ40*CA40,"")</f>
        <v>17.3615442803537</v>
      </c>
      <c r="CC40" s="11" t="n">
        <f>IF(ISNUMBER(BP40),BP40,"")</f>
        <v>0.5958545198749097</v>
      </c>
      <c r="CD40" s="14" t="n">
        <f>IF(ISNUMBER(BT40),BT40,"")</f>
        <v>31</v>
      </c>
      <c r="CE40" s="13" t="n">
        <f>IF(AND(COUNT(BV40,CC40,CD40)=3,MIN(BV40,CC40,CD40)&gt;=0),BV40*CC40*CD40,"")</f>
        <v>11.225208518943084</v>
      </c>
      <c r="CF40" s="11" t="n">
        <f>IF(ISNUMBER(BQ40),BQ40,"")</f>
        <v>1.3264167397065354</v>
      </c>
      <c r="CG40" s="14" t="n">
        <f>IF(ISNUMBER(BU40),BU40,"")</f>
        <v>17</v>
      </c>
      <c r="CH40" s="13" t="n">
        <f>IF(AND(COUNT(BV40,CF40,CG40)=3,MIN(BV40,CF40,CG40)&gt;=0),BV40*CF40*CG40,"")</f>
        <v>13.70318120923321</v>
      </c>
      <c r="CI40" s="13" t="n">
        <f>IF(COUNT(BY40,CB40,CE40,CH40)=4,SUM(BY40,CB40,CE40,CH40),"")</f>
        <v>47.61907765938241</v>
      </c>
    </row>
    <row r="41" ht="72" customHeight="1">
      <c r="A41" s="16" t="str">
        <v>S02-BG-37</v>
      </c>
      <c r="B41" s="16" t="str">
        <v>3店-SANDIEX-US</v>
      </c>
      <c r="C41" s="16" t="str">
        <v>陈晨</v>
      </c>
      <c r="D41" s="26" t="n">
        <f>IF(NOT(ISNUMBER(E41)),"",IF(OR(E41&lt;=0,L41=0),0,IF(OR(NOT(ISNUMBER(F41)),F41&lt;0),"",MIN(E41,INT(F41)))))</f>
        <v>44</v>
      </c>
      <c r="E41" s="27" t="n">
        <f>IF(OR(NOT(ISNUMBER(L41)),COUNT(M41:O41)&lt;&gt;3,MIN(M41:O41)&lt;0),"",ROUNDUP(ROUND(BI41-SUM(M41:O41),10),0))</f>
        <v>44</v>
      </c>
      <c r="F41" s="28" t="n">
        <v>71</v>
      </c>
      <c r="G41" s="28" t="n">
        <f>IF(AND(ISNUMBER(D41),ISNUMBER(E41)),IF(OR(E41&lt;=0,L41=0),0,E41-D41),"")</f>
        <v>0</v>
      </c>
      <c r="H41" s="16" t="str">
        <f>IF(NOT(ISNUMBER(E41)),"销量或海外库存待补",IF(OR(E41&lt;=0,L41=0),IF(L41=0,"零日销，本批不发","本批无需补货"),IF(NOT(ISNUMBER(D41)),"国内库存待补",IF(D41=0,"国内无可用库存",IF(G41&gt;0,"先发国内现货","按建议量发货")))))</f>
        <v>按建议量发货</v>
      </c>
      <c r="I41" s="28" t="n">
        <f>IF(AND(COUNT(Z41,AA41,AB41)=3,Z41&gt;=AA41,AA41&gt;=0,AB41=7),Z41-AA41,"")</f>
        <v>1</v>
      </c>
      <c r="J41" s="28" t="n">
        <f>IF(AND(COUNT(AF41,AG41,AH41)=3,AF41&gt;=AG41,AG41&gt;=0,AH41=14),AF41-AG41,"")</f>
        <v>4</v>
      </c>
      <c r="K41" s="28" t="n">
        <f>IF(AND(COUNT(AL41,AM41,AN41)=3,AL41&gt;=AM41,AM41&gt;=0,AN41=30),AL41-AM41,"")</f>
        <v>9</v>
      </c>
      <c r="L41" s="29" t="n">
        <f>IF(ISNUMBER(BI41),BI41/90,"")</f>
        <v>0.49849282138386475</v>
      </c>
      <c r="M41" s="28" t="n">
        <v>1</v>
      </c>
      <c r="N41" s="28" t="n">
        <v>0</v>
      </c>
      <c r="O41" s="28" t="n">
        <v>0</v>
      </c>
      <c r="P41" s="30" t="n">
        <f>IF(AND(ISNUMBER(L41),L41&gt;0,COUNT(M41:O41)=3,MIN(M41:O41)&gt;=0),SUM(M41:O41)/L41,"")</f>
        <v>2.006046942108218</v>
      </c>
      <c r="Q41" s="16" t="str">
        <v>沿用原计划SKU店铺</v>
      </c>
      <c r="R41" s="16" t="str">
        <v>已匹配</v>
      </c>
      <c r="S41" s="16" t="str">
        <v>在售</v>
      </c>
      <c r="T41" s="16" t="str">
        <v>S02</v>
      </c>
      <c r="U41" s="16" t="str">
        <v>裸色</v>
      </c>
      <c r="V41" s="16" t="n">
        <v>6</v>
      </c>
      <c r="W41" s="8" t="str">
        <v>2026-10-11 至 2026-10-17</v>
      </c>
      <c r="X41" s="8" t="str">
        <v>2026-10-11、2026-10-12、2026-10-13、2026-10-14、2026-10-15、2026-10-16、2026-10-17</v>
      </c>
      <c r="Y41" s="8" t="str">
        <v>无</v>
      </c>
      <c r="Z41" s="8" t="n">
        <v>1</v>
      </c>
      <c r="AA41" s="8" t="n">
        <v>0</v>
      </c>
      <c r="AB41" s="8" t="n">
        <v>7</v>
      </c>
      <c r="AC41" s="8" t="str">
        <v>2026-10-02 至 2026-10-17</v>
      </c>
      <c r="AD41" s="8" t="str">
        <v>2026-10-02、2026-10-03、2026-10-04、2026-10-05、2026-10-08、2026-10-09、2026-10-10、2026-10-11、2026-10-12、2026-10-13、2026-10-14、2026-10-15、2026-10-16、2026-10-17</v>
      </c>
      <c r="AE41" s="8" t="str">
        <v>2026-10-06 大促；2026-10-07 大促</v>
      </c>
      <c r="AF41" s="8" t="n">
        <v>4</v>
      </c>
      <c r="AG41" s="8" t="n">
        <v>0</v>
      </c>
      <c r="AH41" s="8" t="n">
        <v>14</v>
      </c>
      <c r="AI41" s="8" t="str">
        <v>2026-09-16 至 2026-10-17</v>
      </c>
      <c r="AJ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1" s="8" t="str">
        <v>2026-10-06 大促；2026-10-07 大促</v>
      </c>
      <c r="AL41" s="8" t="n">
        <v>9</v>
      </c>
      <c r="AM41" s="8" t="n">
        <v>0</v>
      </c>
      <c r="AN41" s="8" t="n">
        <v>30</v>
      </c>
      <c r="AO41" s="8" t="str">
        <v>S02 / 裸色 / 6574</v>
      </c>
      <c r="AP41" s="11" t="n">
        <v>0.9634503791704667</v>
      </c>
      <c r="AQ41" s="11" t="n">
        <v>0.9634503791704667</v>
      </c>
      <c r="AR41" s="11" t="n">
        <v>0.902244307144596</v>
      </c>
      <c r="AS41" s="11" t="n">
        <f>IF(AND(COUNT(I41:K41,AP41:AR41)=6,MIN(AP41:AR41)&gt;0),I41/7/AP41*0.5+J41/14/AQ41*0.3+K41/30/AR41*0.2,"")</f>
        <v>0.22960509107250598</v>
      </c>
      <c r="AT41" s="8" t="n">
        <v>30</v>
      </c>
      <c r="AU41" s="8" t="n">
        <v>0</v>
      </c>
      <c r="AV41" s="8" t="n">
        <v>88</v>
      </c>
      <c r="AW41" s="11" t="n">
        <f>IF(AND(COUNT(AT41:AV41)=3,AT41&gt;=AU41,AU41&gt;=0,AV41&gt;0),(AT41-AU41)/AV41,"")</f>
        <v>0.3409090909090909</v>
      </c>
      <c r="AX41" s="8" t="n">
        <v>74</v>
      </c>
      <c r="AY41" s="8" t="n">
        <v>0</v>
      </c>
      <c r="AZ41" s="8" t="n">
        <v>178</v>
      </c>
      <c r="BA41" s="11" t="n">
        <f>IF(AND(COUNT(AX41:AZ41)=3,AX41&gt;=AY41,AY41&gt;=0,AZ41&gt;0),(AX41-AY41)/AZ41,"")</f>
        <v>0.4157303370786517</v>
      </c>
      <c r="BB41" s="8" t="n">
        <f>IF(COUNT(AS41,AW41,BA41)=3,1,0)</f>
        <v>1</v>
      </c>
      <c r="BC41" s="11" t="n">
        <f>IF(SUMIF($AO$11:$AO$1309,AO41,$BB$11:$BB$1309)=COUNTIF($AO$11:$AO$1309,AO41),SUMIF($AO$11:$AO$1309,AO41,$AS$11:$AS$1309),"")</f>
        <v>13.209043546268767</v>
      </c>
      <c r="BD41" s="11" t="n">
        <f>IF(SUMIF($AO$11:$AO$1309,AO41,$BB$11:$BB$1309)=COUNTIF($AO$11:$AO$1309,AO41),SUMIF($AO$11:$AO$1309,AO41,$AW$11:$AW$1309),"")</f>
        <v>8.681818181818183</v>
      </c>
      <c r="BE41" s="11" t="n">
        <f>IF(SUMIF($AO$11:$AO$1309,AO41,$BB$11:$BB$1309)=COUNTIF($AO$11:$AO$1309,AO41),SUMIF($AO$11:$AO$1309,AO41,$BA$11:$BA$1309),"")</f>
        <v>8</v>
      </c>
      <c r="BF41" s="12" t="n">
        <f>IF(COUNT(BD41:BE41)&lt;&gt;2,"",IF(AND(BD41&gt;0,BE41&gt;0),0.7*AW41/BD41+0.3*BA41/BE41,IF(BD41&gt;0,AW41/BD41,IF(BE41&gt;0,BA41/BE41,IF(AND(ISNUMBER(BH41),BH41=0),0,"")))))</f>
        <v>0.043076798635213825</v>
      </c>
      <c r="BG41" s="11" t="n">
        <f>IF(AND(COUNT(BN41:BU41)=8,MIN(BN41:BU41)&gt;=0),SUMPRODUCT(BN41:BQ41,BR41:BU41),"")</f>
        <v>78.84726365280937</v>
      </c>
      <c r="BH41" s="11" t="n">
        <f>IF(COUNT(BC41,BG41)=2,BC41*BG41,"")</f>
        <v>1041.4969390940935</v>
      </c>
      <c r="BI41" s="11" t="n">
        <f>IF(ISNUMBER(CI41),CI41,"")</f>
        <v>44.86435392454783</v>
      </c>
      <c r="BJ41" s="8" t="str"/>
      <c r="BK41" s="8" t="str">
        <v>90天：2026-07-20 至 2026-10-17；180天：2026-04-21 至 2026-10-17</v>
      </c>
      <c r="BL41" s="8" t="str">
        <v>90天：2026-10-06、2026-10-07；180天：2026-10-06、2026-10-07</v>
      </c>
      <c r="BM41" s="8" t="str">
        <v>2026-10：12天 × 0.9634503791704667；2026-11：30天 × 0.8585031562320637；2026-12：31天 × 0.7896606554092485；2027-01：17天 × 1.0030167116538329</v>
      </c>
      <c r="BN41" s="11" t="n">
        <v>0.9634503791704667</v>
      </c>
      <c r="BO41" s="11" t="n">
        <v>0.8585031562320637</v>
      </c>
      <c r="BP41" s="11" t="n">
        <v>0.7896606554092485</v>
      </c>
      <c r="BQ41" s="11" t="n">
        <v>1.0030167116538329</v>
      </c>
      <c r="BR41" s="8" t="n">
        <v>12</v>
      </c>
      <c r="BS41" s="8" t="n">
        <v>30</v>
      </c>
      <c r="BT41" s="8" t="n">
        <v>31</v>
      </c>
      <c r="BU41" s="8" t="n">
        <v>17</v>
      </c>
      <c r="BV41" s="11" t="n">
        <f>IF(COUNT(BC41,BF41)=2,BC41*BF41,"")</f>
        <v>0.5690033090063904</v>
      </c>
      <c r="BW41" s="11" t="n">
        <f>IF(ISNUMBER(BN41),BN41,"")</f>
        <v>0.9634503791704667</v>
      </c>
      <c r="BX41" s="14" t="n">
        <f>IF(ISNUMBER(BR41),BR41,"")</f>
        <v>12</v>
      </c>
      <c r="BY41" s="13" t="n">
        <f>IF(AND(COUNT(BV41,BW41,BX41)=3,MIN(BV41,BW41,BX41)&gt;=0),BV41*BW41*BX41,"")</f>
        <v>6.578477445737485</v>
      </c>
      <c r="BZ41" s="11" t="n">
        <f>IF(ISNUMBER(BO41),BO41,"")</f>
        <v>0.8585031562320637</v>
      </c>
      <c r="CA41" s="14" t="n">
        <f>IF(ISNUMBER(BS41),BS41,"")</f>
        <v>30</v>
      </c>
      <c r="CB41" s="13" t="n">
        <f>IF(AND(COUNT(BV41,BZ41,CA41)=3,MIN(BV41,BZ41,CA41)&gt;=0),BV41*BZ41*CA41,"")</f>
        <v>14.654734100654233</v>
      </c>
      <c r="CC41" s="11" t="n">
        <f>IF(ISNUMBER(BP41),BP41,"")</f>
        <v>0.7896606554092485</v>
      </c>
      <c r="CD41" s="14" t="n">
        <f>IF(ISNUMBER(BT41),BT41,"")</f>
        <v>31</v>
      </c>
      <c r="CE41" s="13" t="n">
        <f>IF(AND(COUNT(BV41,CC41,CD41)=3,MIN(BV41,CC41,CD41)&gt;=0),BV41*CC41*CD41,"")</f>
        <v>13.928905303520539</v>
      </c>
      <c r="CF41" s="11" t="n">
        <f>IF(ISNUMBER(BQ41),BQ41,"")</f>
        <v>1.0030167116538329</v>
      </c>
      <c r="CG41" s="14" t="n">
        <f>IF(ISNUMBER(BU41),BU41,"")</f>
        <v>17</v>
      </c>
      <c r="CH41" s="13" t="n">
        <f>IF(AND(COUNT(BV41,CF41,CG41)=3,MIN(BV41,CF41,CG41)&gt;=0),BV41*CF41*CG41,"")</f>
        <v>9.702237074635569</v>
      </c>
      <c r="CI41" s="13" t="n">
        <f>IF(COUNT(BY41,CB41,CE41,CH41)=4,SUM(BY41,CB41,CE41,CH41),"")</f>
        <v>44.86435392454783</v>
      </c>
    </row>
    <row r="42" ht="72" customHeight="1">
      <c r="A42" s="16" t="str">
        <v>S02-LP-38</v>
      </c>
      <c r="B42" s="16" t="str">
        <v>3店-SANDIEX-US</v>
      </c>
      <c r="C42" s="16" t="str">
        <v>陈晨</v>
      </c>
      <c r="D42" s="26" t="n">
        <f>IF(NOT(ISNUMBER(E42)),"",IF(OR(E42&lt;=0,L42=0),0,IF(OR(NOT(ISNUMBER(F42)),F42&lt;0),"",MIN(E42,INT(F42)))))</f>
        <v>44</v>
      </c>
      <c r="E42" s="27" t="n">
        <f>IF(OR(NOT(ISNUMBER(L42)),COUNT(M42:O42)&lt;&gt;3,MIN(M42:O42)&lt;0),"",ROUNDUP(ROUND(BI42-SUM(M42:O42),10),0))</f>
        <v>44</v>
      </c>
      <c r="F42" s="28" t="n">
        <v>55</v>
      </c>
      <c r="G42" s="28" t="n">
        <f>IF(AND(ISNUMBER(D42),ISNUMBER(E42)),IF(OR(E42&lt;=0,L42=0),0,E42-D42),"")</f>
        <v>0</v>
      </c>
      <c r="H42" s="16" t="str">
        <f>IF(NOT(ISNUMBER(E42)),"销量或海外库存待补",IF(OR(E42&lt;=0,L42=0),IF(L42=0,"零日销，本批不发","本批无需补货"),IF(NOT(ISNUMBER(D42)),"国内库存待补",IF(D42=0,"国内无可用库存",IF(G42&gt;0,"先发国内现货","按建议量发货")))))</f>
        <v>按建议量发货</v>
      </c>
      <c r="I42" s="28" t="n">
        <f>IF(AND(COUNT(Z42,AA42,AB42)=3,Z42&gt;=AA42,AA42&gt;=0,AB42=7),Z42-AA42,"")</f>
        <v>6</v>
      </c>
      <c r="J42" s="28" t="n">
        <f>IF(AND(COUNT(AF42,AG42,AH42)=3,AF42&gt;=AG42,AG42&gt;=0,AH42=14),AF42-AG42,"")</f>
        <v>26</v>
      </c>
      <c r="K42" s="28" t="n">
        <f>IF(AND(COUNT(AL42,AM42,AN42)=3,AL42&gt;=AM42,AM42&gt;=0,AN42=30),AL42-AM42,"")</f>
        <v>35</v>
      </c>
      <c r="L42" s="29" t="n">
        <f>IF(ISNUMBER(BI42),BI42/90,"")</f>
        <v>0.9743019779330618</v>
      </c>
      <c r="M42" s="28" t="n">
        <v>44</v>
      </c>
      <c r="N42" s="28" t="n">
        <v>0</v>
      </c>
      <c r="O42" s="28" t="n">
        <v>0</v>
      </c>
      <c r="P42" s="30" t="n">
        <f>IF(AND(ISNUMBER(L42),L42&gt;0,COUNT(M42:O42)=3,MIN(M42:O42)&gt;=0),SUM(M42:O42)/L42,"")</f>
        <v>45.16053646256989</v>
      </c>
      <c r="Q42" s="16" t="str">
        <v>沿用原计划SKU店铺</v>
      </c>
      <c r="R42" s="16" t="str">
        <v>已匹配</v>
      </c>
      <c r="S42" s="16" t="str">
        <v>在售</v>
      </c>
      <c r="T42" s="16" t="str">
        <v>S02</v>
      </c>
      <c r="U42" s="16" t="str">
        <v>豹纹</v>
      </c>
      <c r="V42" s="16" t="n">
        <v>7</v>
      </c>
      <c r="W42" s="8" t="str">
        <v>2026-10-11 至 2026-10-17</v>
      </c>
      <c r="X42" s="8" t="str">
        <v>2026-10-11、2026-10-12、2026-10-13、2026-10-14、2026-10-15、2026-10-16、2026-10-17</v>
      </c>
      <c r="Y42" s="8" t="str">
        <v>无</v>
      </c>
      <c r="Z42" s="8" t="n">
        <v>6</v>
      </c>
      <c r="AA42" s="8" t="n">
        <v>0</v>
      </c>
      <c r="AB42" s="8" t="n">
        <v>7</v>
      </c>
      <c r="AC42" s="8" t="str">
        <v>2026-10-02 至 2026-10-17</v>
      </c>
      <c r="AD42" s="8" t="str">
        <v>2026-10-02、2026-10-03、2026-10-04、2026-10-05、2026-10-08、2026-10-09、2026-10-10、2026-10-11、2026-10-12、2026-10-13、2026-10-14、2026-10-15、2026-10-16、2026-10-17</v>
      </c>
      <c r="AE42" s="8" t="str">
        <v>2026-10-06 大促；2026-10-07 大促</v>
      </c>
      <c r="AF42" s="8" t="n">
        <v>31</v>
      </c>
      <c r="AG42" s="8" t="n">
        <v>5</v>
      </c>
      <c r="AH42" s="8" t="n">
        <v>14</v>
      </c>
      <c r="AI42" s="8" t="str">
        <v>2026-09-16 至 2026-10-17</v>
      </c>
      <c r="AJ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2" s="8" t="str">
        <v>2026-10-06 大促；2026-10-07 大促</v>
      </c>
      <c r="AL42" s="8" t="n">
        <v>40</v>
      </c>
      <c r="AM42" s="8" t="n">
        <v>5</v>
      </c>
      <c r="AN42" s="8" t="n">
        <v>30</v>
      </c>
      <c r="AO42" s="8" t="str">
        <v>S02 / 豹纹 / 6574</v>
      </c>
      <c r="AP42" s="11" t="n">
        <v>0.9634503791704667</v>
      </c>
      <c r="AQ42" s="11" t="n">
        <v>0.9634503791704667</v>
      </c>
      <c r="AR42" s="11" t="n">
        <v>0.902244307144596</v>
      </c>
      <c r="AS42" s="11" t="n">
        <f>IF(AND(COUNT(I42:K42,AP42:AR42)=6,MIN(AP42:AR42)&gt;0),I42/7/AP42*0.5+J42/14/AQ42*0.3+K42/30/AR42*0.2,"")</f>
        <v>1.2817228731664645</v>
      </c>
      <c r="AT42" s="8" t="n">
        <v>65</v>
      </c>
      <c r="AU42" s="8" t="n">
        <v>5</v>
      </c>
      <c r="AV42" s="8" t="n">
        <v>88</v>
      </c>
      <c r="AW42" s="11" t="n">
        <f>IF(AND(COUNT(AT42:AV42)=3,AT42&gt;=AU42,AU42&gt;=0,AV42&gt;0),(AT42-AU42)/AV42,"")</f>
        <v>0.6818181818181818</v>
      </c>
      <c r="AX42" s="8" t="n">
        <v>106</v>
      </c>
      <c r="AY42" s="8" t="n">
        <v>5</v>
      </c>
      <c r="AZ42" s="8" t="n">
        <v>178</v>
      </c>
      <c r="BA42" s="11" t="n">
        <f>IF(AND(COUNT(AX42:AZ42)=3,AX42&gt;=AY42,AY42&gt;=0,AZ42&gt;0),(AX42-AY42)/AZ42,"")</f>
        <v>0.5674157303370787</v>
      </c>
      <c r="BB42" s="8" t="n">
        <f>IF(COUNT(AS42,AW42,BA42)=3,1,0)</f>
        <v>1</v>
      </c>
      <c r="BC42" s="11" t="n">
        <f>IF(SUMIF($AO$11:$AO$1309,AO42,$BB$11:$BB$1309)=COUNTIF($AO$11:$AO$1309,AO42),SUMIF($AO$11:$AO$1309,AO42,$AS$11:$AS$1309),"")</f>
        <v>7.640117517669702</v>
      </c>
      <c r="BD42" s="11" t="n">
        <f>IF(SUMIF($AO$11:$AO$1309,AO42,$BB$11:$BB$1309)=COUNTIF($AO$11:$AO$1309,AO42),SUMIF($AO$11:$AO$1309,AO42,$AW$11:$AW$1309),"")</f>
        <v>4.92970401691332</v>
      </c>
      <c r="BE42" s="11" t="n">
        <f>IF(SUMIF($AO$11:$AO$1309,AO42,$BB$11:$BB$1309)=COUNTIF($AO$11:$AO$1309,AO42),SUMIF($AO$11:$AO$1309,AO42,$BA$11:$BA$1309),"")</f>
        <v>3.492019918283964</v>
      </c>
      <c r="BF42" s="12" t="n">
        <f>IF(COUNT(BD42:BE42)&lt;&gt;2,"",IF(AND(BD42&gt;0,BE42&gt;0),0.7*AW42/BD42+0.3*BA42/BE42,IF(BD42&gt;0,AW42/BD42,IF(BE42&gt;0,BA42/BE42,IF(AND(ISNUMBER(BH42),BH42=0),0,"")))))</f>
        <v>0.14556247418582624</v>
      </c>
      <c r="BG42" s="11" t="n">
        <f>IF(AND(COUNT(BN42:BU42)=8,MIN(BN42:BU42)&gt;=0),SUMPRODUCT(BN42:BQ42,BR42:BU42),"")</f>
        <v>78.84726365280937</v>
      </c>
      <c r="BH42" s="11" t="n">
        <f>IF(COUNT(BC42,BG42)=2,BC42*BG42,"")</f>
        <v>602.4023602541505</v>
      </c>
      <c r="BI42" s="11" t="n">
        <f>IF(ISNUMBER(CI42),CI42,"")</f>
        <v>87.68717801397557</v>
      </c>
      <c r="BJ42" s="8" t="str"/>
      <c r="BK42" s="8" t="str">
        <v>90天：2026-07-20 至 2026-10-17；180天：2026-04-21 至 2026-10-17</v>
      </c>
      <c r="BL42" s="8" t="str">
        <v>90天：2026-10-06、2026-10-07；180天：2026-10-06、2026-10-07</v>
      </c>
      <c r="BM42" s="8" t="str">
        <v>2026-10：12天 × 0.9634503791704667；2026-11：30天 × 0.8585031562320637；2026-12：31天 × 0.7896606554092485；2027-01：17天 × 1.0030167116538329</v>
      </c>
      <c r="BN42" s="11" t="n">
        <v>0.9634503791704667</v>
      </c>
      <c r="BO42" s="11" t="n">
        <v>0.8585031562320637</v>
      </c>
      <c r="BP42" s="11" t="n">
        <v>0.7896606554092485</v>
      </c>
      <c r="BQ42" s="11" t="n">
        <v>1.0030167116538329</v>
      </c>
      <c r="BR42" s="8" t="n">
        <v>12</v>
      </c>
      <c r="BS42" s="8" t="n">
        <v>30</v>
      </c>
      <c r="BT42" s="8" t="n">
        <v>31</v>
      </c>
      <c r="BU42" s="8" t="n">
        <v>17</v>
      </c>
      <c r="BV42" s="11" t="n">
        <f>IF(COUNT(BC42,BF42)=2,BC42*BF42,"")</f>
        <v>1.1121144089424748</v>
      </c>
      <c r="BW42" s="11" t="n">
        <f>IF(ISNUMBER(BN42),BN42,"")</f>
        <v>0.9634503791704667</v>
      </c>
      <c r="BX42" s="14" t="n">
        <f>IF(ISNUMBER(BR42),BR42,"")</f>
        <v>12</v>
      </c>
      <c r="BY42" s="13" t="n">
        <f>IF(AND(COUNT(BV42,BW42,BX42)=3,MIN(BV42,BW42,BX42)&gt;=0),BV42*BW42*BX42,"")</f>
        <v>12.8576045877188</v>
      </c>
      <c r="BZ42" s="11" t="n">
        <f>IF(ISNUMBER(BO42),BO42,"")</f>
        <v>0.8585031562320637</v>
      </c>
      <c r="CA42" s="14" t="n">
        <f>IF(ISNUMBER(BS42),BS42,"")</f>
        <v>30</v>
      </c>
      <c r="CB42" s="13" t="n">
        <f>IF(AND(COUNT(BV42,BZ42,CA42)=3,MIN(BV42,BZ42,CA42)&gt;=0),BV42*BZ42*CA42,"")</f>
        <v>28.64261190504812</v>
      </c>
      <c r="CC42" s="11" t="n">
        <f>IF(ISNUMBER(BP42),BP42,"")</f>
        <v>0.7896606554092485</v>
      </c>
      <c r="CD42" s="14" t="n">
        <f>IF(ISNUMBER(BT42),BT42,"")</f>
        <v>31</v>
      </c>
      <c r="CE42" s="13" t="n">
        <f>IF(AND(COUNT(BV42,CC42,CD42)=3,MIN(BV42,CC42,CD42)&gt;=0),BV42*CC42*CD42,"")</f>
        <v>27.22398278472309</v>
      </c>
      <c r="CF42" s="11" t="n">
        <f>IF(ISNUMBER(BQ42),BQ42,"")</f>
        <v>1.0030167116538329</v>
      </c>
      <c r="CG42" s="14" t="n">
        <f>IF(ISNUMBER(BU42),BU42,"")</f>
        <v>17</v>
      </c>
      <c r="CH42" s="13" t="n">
        <f>IF(AND(COUNT(BV42,CF42,CG42)=3,MIN(BV42,CF42,CG42)&gt;=0),BV42*CF42*CG42,"")</f>
        <v>18.96297873648556</v>
      </c>
      <c r="CI42" s="13" t="n">
        <f>IF(COUNT(BY42,CB42,CE42,CH42)=4,SUM(BY42,CB42,CE42,CH42),"")</f>
        <v>87.68717801397557</v>
      </c>
    </row>
    <row r="43" ht="72" customHeight="1">
      <c r="A43" s="16" t="str">
        <v>2302153-ND-S-Z-8</v>
      </c>
      <c r="B43" s="16" t="str">
        <v>3店-SANDIEX-US</v>
      </c>
      <c r="C43" s="16" t="str">
        <v>徐新怡</v>
      </c>
      <c r="D43" s="26" t="n">
        <f>IF(NOT(ISNUMBER(E43)),"",IF(OR(E43&lt;=0,L43=0),0,IF(OR(NOT(ISNUMBER(F43)),F43&lt;0),"",MIN(E43,INT(F43)))))</f>
        <v>43</v>
      </c>
      <c r="E43" s="27" t="n">
        <f>IF(OR(NOT(ISNUMBER(L43)),COUNT(M43:O43)&lt;&gt;3,MIN(M43:O43)&lt;0),"",ROUNDUP(ROUND(BI43-SUM(M43:O43),10),0))</f>
        <v>43</v>
      </c>
      <c r="F43" s="28" t="n">
        <v>452</v>
      </c>
      <c r="G43" s="28" t="n">
        <f>IF(AND(ISNUMBER(D43),ISNUMBER(E43)),IF(OR(E43&lt;=0,L43=0),0,E43-D43),"")</f>
        <v>0</v>
      </c>
      <c r="H43" s="16" t="str">
        <f>IF(NOT(ISNUMBER(E43)),"销量或海外库存待补",IF(OR(E43&lt;=0,L43=0),IF(L43=0,"零日销，本批不发","本批无需补货"),IF(NOT(ISNUMBER(D43)),"国内库存待补",IF(D43=0,"国内无可用库存",IF(G43&gt;0,"先发国内现货","按建议量发货")))))</f>
        <v>按建议量发货</v>
      </c>
      <c r="I43" s="28" t="n">
        <f>IF(AND(COUNT(Z43,AA43,AB43)=3,Z43&gt;=AA43,AA43&gt;=0,AB43=7),Z43-AA43,"")</f>
        <v>51</v>
      </c>
      <c r="J43" s="28" t="n">
        <f>IF(AND(COUNT(AF43,AG43,AH43)=3,AF43&gt;=AG43,AG43&gt;=0,AH43=14),AF43-AG43,"")</f>
        <v>116</v>
      </c>
      <c r="K43" s="28" t="n">
        <f>IF(AND(COUNT(AL43,AM43,AN43)=3,AL43&gt;=AM43,AM43&gt;=0,AN43=30),AL43-AM43,"")</f>
        <v>271</v>
      </c>
      <c r="L43" s="29" t="n">
        <f>IF(ISNUMBER(BI43),BI43/90,"")</f>
        <v>5.69066995402164</v>
      </c>
      <c r="M43" s="28" t="n">
        <v>134</v>
      </c>
      <c r="N43" s="28" t="n">
        <v>35</v>
      </c>
      <c r="O43" s="28" t="n">
        <v>301</v>
      </c>
      <c r="P43" s="30" t="n">
        <f>IF(AND(ISNUMBER(L43),L43&gt;0,COUNT(M43:O43)=3,MIN(M43:O43)&gt;=0),SUM(M43:O43)/L43,"")</f>
        <v>82.5913299835369</v>
      </c>
      <c r="Q43" s="16" t="str">
        <v>沿用原计划SKU店铺</v>
      </c>
      <c r="R43" s="16" t="str">
        <v>已匹配</v>
      </c>
      <c r="S43" s="16" t="str">
        <v>在售</v>
      </c>
      <c r="T43" s="16" t="str">
        <v>2302153</v>
      </c>
      <c r="U43" s="16" t="str">
        <v>裸色</v>
      </c>
      <c r="V43" s="16" t="n">
        <v>8</v>
      </c>
      <c r="W43" s="8" t="str">
        <v>2026-10-11 至 2026-10-17</v>
      </c>
      <c r="X43" s="8" t="str">
        <v>2026-10-11、2026-10-12、2026-10-13、2026-10-14、2026-10-15、2026-10-16、2026-10-17</v>
      </c>
      <c r="Y43" s="8" t="str">
        <v>无</v>
      </c>
      <c r="Z43" s="8" t="n">
        <v>51</v>
      </c>
      <c r="AA43" s="8" t="n">
        <v>0</v>
      </c>
      <c r="AB43" s="8" t="n">
        <v>7</v>
      </c>
      <c r="AC43" s="8" t="str">
        <v>2026-10-02 至 2026-10-17</v>
      </c>
      <c r="AD43" s="8" t="str">
        <v>2026-10-02、2026-10-03、2026-10-04、2026-10-05、2026-10-08、2026-10-09、2026-10-10、2026-10-11、2026-10-12、2026-10-13、2026-10-14、2026-10-15、2026-10-16、2026-10-17</v>
      </c>
      <c r="AE43" s="8" t="str">
        <v>2026-10-06 大促；2026-10-07 大促</v>
      </c>
      <c r="AF43" s="8" t="n">
        <v>166</v>
      </c>
      <c r="AG43" s="8" t="n">
        <v>50</v>
      </c>
      <c r="AH43" s="8" t="n">
        <v>14</v>
      </c>
      <c r="AI43" s="8" t="str">
        <v>2026-09-16 至 2026-10-17</v>
      </c>
      <c r="AJ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3" s="8" t="str">
        <v>2026-10-06 大促；2026-10-07 大促</v>
      </c>
      <c r="AL43" s="8" t="n">
        <v>321</v>
      </c>
      <c r="AM43" s="8" t="n">
        <v>50</v>
      </c>
      <c r="AN43" s="8" t="n">
        <v>30</v>
      </c>
      <c r="AO43" s="8" t="str">
        <v>2302153 / 裸色羊京绒 / 6574</v>
      </c>
      <c r="AP43" s="11" t="n">
        <v>1.7391279184229513</v>
      </c>
      <c r="AQ43" s="11" t="n">
        <v>1.7391279184229513</v>
      </c>
      <c r="AR43" s="11" t="n">
        <v>1.5731892896917212</v>
      </c>
      <c r="AS43" s="11" t="n">
        <f>IF(AND(COUNT(I43:K43,AP43:AR43)=6,MIN(AP43:AR43)&gt;0),I43/7/AP43*0.5+J43/14/AQ43*0.3+K43/30/AR43*0.2,"")</f>
        <v>4.672343895565385</v>
      </c>
      <c r="AT43" s="8" t="n">
        <v>663</v>
      </c>
      <c r="AU43" s="8" t="n">
        <v>50</v>
      </c>
      <c r="AV43" s="8" t="n">
        <v>88</v>
      </c>
      <c r="AW43" s="11" t="n">
        <f>IF(AND(COUNT(AT43:AV43)=3,AT43&gt;=AU43,AU43&gt;=0,AV43&gt;0),(AT43-AU43)/AV43,"")</f>
        <v>6.965909090909091</v>
      </c>
      <c r="AX43" s="8" t="n">
        <v>1230</v>
      </c>
      <c r="AY43" s="8" t="n">
        <v>50</v>
      </c>
      <c r="AZ43" s="8" t="n">
        <v>178</v>
      </c>
      <c r="BA43" s="11" t="n">
        <f>IF(AND(COUNT(AX43:AZ43)=3,AX43&gt;=AY43,AY43&gt;=0,AZ43&gt;0),(AX43-AY43)/AZ43,"")</f>
        <v>6.629213483146067</v>
      </c>
      <c r="BB43" s="8" t="n">
        <f>IF(COUNT(AS43,AW43,BA43)=3,1,0)</f>
        <v>1</v>
      </c>
      <c r="BC43" s="11" t="n">
        <f>IF(SUMIF($AO$11:$AO$1309,AO43,$BB$11:$BB$1309)=COUNTIF($AO$11:$AO$1309,AO43),SUMIF($AO$11:$AO$1309,AO43,$AS$11:$AS$1309),"")</f>
        <v>21.8107478678746</v>
      </c>
      <c r="BD43" s="11" t="n">
        <f>IF(SUMIF($AO$11:$AO$1309,AO43,$BB$11:$BB$1309)=COUNTIF($AO$11:$AO$1309,AO43),SUMIF($AO$11:$AO$1309,AO43,$AW$11:$AW$1309),"")</f>
        <v>32.32954545454545</v>
      </c>
      <c r="BE43" s="11" t="n">
        <f>IF(SUMIF($AO$11:$AO$1309,AO43,$BB$11:$BB$1309)=COUNTIF($AO$11:$AO$1309,AO43),SUMIF($AO$11:$AO$1309,AO43,$BA$11:$BA$1309),"")</f>
        <v>31.219101123595507</v>
      </c>
      <c r="BF43" s="12" t="n">
        <f>IF(COUNT(BD43:BE43)&lt;&gt;2,"",IF(AND(BD43&gt;0,BE43&gt;0),0.7*AW43/BD43+0.3*BA43/BE43,IF(BD43&gt;0,AW43/BD43,IF(BE43&gt;0,BA43/BE43,IF(AND(ISNUMBER(BH43),BH43=0),0,"")))))</f>
        <v>0.21452944765116783</v>
      </c>
      <c r="BG43" s="11" t="n">
        <f>IF(AND(COUNT(BN43:BU43)=8,MIN(BN43:BU43)&gt;=0),SUMPRODUCT(BN43:BQ43,BR43:BU43),"")</f>
        <v>109.4582336985339</v>
      </c>
      <c r="BH43" s="11" t="n">
        <f>IF(COUNT(BC43,BG43)=2,BC43*BG43,"")</f>
        <v>2387.365937261618</v>
      </c>
      <c r="BI43" s="11" t="n">
        <f>IF(ISNUMBER(CI43),CI43,"")</f>
        <v>512.1602958619476</v>
      </c>
      <c r="BJ43" s="8" t="str"/>
      <c r="BK43" s="8" t="str">
        <v>90天：2026-07-20 至 2026-10-17；180天：2026-04-21 至 2026-10-17</v>
      </c>
      <c r="BL43" s="8" t="str">
        <v>90天：2026-10-06、2026-10-07；180天：2026-10-06、2026-10-07</v>
      </c>
      <c r="BM43" s="8" t="str">
        <v>2026-10：12天 × 1.7391279184229513；2026-11：30天 × 1.4002077845513243；2026-12：31天 × 1.079339935625147；2027-01：17天 × 0.7719368903846591</v>
      </c>
      <c r="BN43" s="11" t="n">
        <v>1.7391279184229513</v>
      </c>
      <c r="BO43" s="11" t="n">
        <v>1.4002077845513243</v>
      </c>
      <c r="BP43" s="11" t="n">
        <v>1.079339935625147</v>
      </c>
      <c r="BQ43" s="11" t="n">
        <v>0.7719368903846591</v>
      </c>
      <c r="BR43" s="8" t="n">
        <v>12</v>
      </c>
      <c r="BS43" s="8" t="n">
        <v>30</v>
      </c>
      <c r="BT43" s="8" t="n">
        <v>31</v>
      </c>
      <c r="BU43" s="8" t="n">
        <v>17</v>
      </c>
      <c r="BV43" s="11" t="n">
        <f>IF(COUNT(BC43,BF43)=2,BC43*BF43,"")</f>
        <v>4.679047692954025</v>
      </c>
      <c r="BW43" s="11" t="n">
        <f>IF(ISNUMBER(BN43),BN43,"")</f>
        <v>1.7391279184229513</v>
      </c>
      <c r="BX43" s="14" t="n">
        <f>IF(ISNUMBER(BR43),BR43,"")</f>
        <v>12</v>
      </c>
      <c r="BY43" s="13" t="n">
        <f>IF(AND(COUNT(BV43,BW43,BX43)=3,MIN(BV43,BW43,BX43)&gt;=0),BV43*BW43*BX43,"")</f>
        <v>97.64954969338615</v>
      </c>
      <c r="BZ43" s="11" t="n">
        <f>IF(ISNUMBER(BO43),BO43,"")</f>
        <v>1.4002077845513243</v>
      </c>
      <c r="CA43" s="14" t="n">
        <f>IF(ISNUMBER(BS43),BS43,"")</f>
        <v>30</v>
      </c>
      <c r="CB43" s="13" t="n">
        <f>IF(AND(COUNT(BV43,BZ43,CA43)=3,MIN(BV43,BZ43,CA43)&gt;=0),BV43*BZ43*CA43,"")</f>
        <v>196.54917011883418</v>
      </c>
      <c r="CC43" s="11" t="n">
        <f>IF(ISNUMBER(BP43),BP43,"")</f>
        <v>1.079339935625147</v>
      </c>
      <c r="CD43" s="14" t="n">
        <f>IF(ISNUMBER(BT43),BT43,"")</f>
        <v>31</v>
      </c>
      <c r="CE43" s="13" t="n">
        <f>IF(AND(COUNT(BV43,CC43,CD43)=3,MIN(BV43,CC43,CD43)&gt;=0),BV43*CC43*CD43,"")</f>
        <v>156.55877410669967</v>
      </c>
      <c r="CF43" s="11" t="n">
        <f>IF(ISNUMBER(BQ43),BQ43,"")</f>
        <v>0.7719368903846591</v>
      </c>
      <c r="CG43" s="14" t="n">
        <f>IF(ISNUMBER(BU43),BU43,"")</f>
        <v>17</v>
      </c>
      <c r="CH43" s="13" t="n">
        <f>IF(AND(COUNT(BV43,CF43,CG43)=3,MIN(BV43,CF43,CG43)&gt;=0),BV43*CF43*CG43,"")</f>
        <v>61.40280194302753</v>
      </c>
      <c r="CI43" s="13" t="n">
        <f>IF(COUNT(BY43,CB43,CE43,CH43)=4,SUM(BY43,CB43,CE43,CH43),"")</f>
        <v>512.1602958619476</v>
      </c>
    </row>
    <row r="44" ht="72" customHeight="1">
      <c r="A44" s="16" t="str">
        <v>B06-LP-38</v>
      </c>
      <c r="B44" s="16" t="str">
        <v>1店-MUSSHOE-US</v>
      </c>
      <c r="C44" s="16" t="str">
        <v>艾年</v>
      </c>
      <c r="D44" s="26" t="n">
        <f>IF(NOT(ISNUMBER(E44)),"",IF(OR(E44&lt;=0,L44=0),0,IF(OR(NOT(ISNUMBER(F44)),F44&lt;0),"",MIN(E44,INT(F44)))))</f>
        <v>42</v>
      </c>
      <c r="E44" s="27" t="n">
        <f>IF(OR(NOT(ISNUMBER(L44)),COUNT(M44:O44)&lt;&gt;3,MIN(M44:O44)&lt;0),"",ROUNDUP(ROUND(BI44-SUM(M44:O44),10),0))</f>
        <v>42</v>
      </c>
      <c r="F44" s="28" t="n">
        <v>166</v>
      </c>
      <c r="G44" s="28" t="n">
        <f>IF(AND(ISNUMBER(D44),ISNUMBER(E44)),IF(OR(E44&lt;=0,L44=0),0,E44-D44),"")</f>
        <v>0</v>
      </c>
      <c r="H44" s="16" t="str">
        <f>IF(NOT(ISNUMBER(E44)),"销量或海外库存待补",IF(OR(E44&lt;=0,L44=0),IF(L44=0,"零日销，本批不发","本批无需补货"),IF(NOT(ISNUMBER(D44)),"国内库存待补",IF(D44=0,"国内无可用库存",IF(G44&gt;0,"先发国内现货","按建议量发货")))))</f>
        <v>按建议量发货</v>
      </c>
      <c r="I44" s="28" t="n">
        <f>IF(AND(COUNT(Z44,AA44,AB44)=3,Z44&gt;=AA44,AA44&gt;=0,AB44=7),Z44-AA44,"")</f>
        <v>13</v>
      </c>
      <c r="J44" s="28" t="n">
        <f>IF(AND(COUNT(AF44,AG44,AH44)=3,AF44&gt;=AG44,AG44&gt;=0,AH44=14),AF44-AG44,"")</f>
        <v>20</v>
      </c>
      <c r="K44" s="28" t="n">
        <f>IF(AND(COUNT(AL44,AM44,AN44)=3,AL44&gt;=AM44,AM44&gt;=0,AN44=30),AL44-AM44,"")</f>
        <v>36</v>
      </c>
      <c r="L44" s="29" t="n">
        <f>IF(ISNUMBER(BI44),BI44/90,"")</f>
        <v>0.8904256819074126</v>
      </c>
      <c r="M44" s="28" t="n">
        <v>39</v>
      </c>
      <c r="N44" s="28" t="n">
        <v>0</v>
      </c>
      <c r="O44" s="28" t="n">
        <v>0</v>
      </c>
      <c r="P44" s="30" t="n">
        <f>IF(AND(ISNUMBER(L44),L44&gt;0,COUNT(M44:O44)=3,MIN(M44:O44)&gt;=0),SUM(M44:O44)/L44,"")</f>
        <v>43.79927577611723</v>
      </c>
      <c r="Q44" s="16" t="str">
        <v>沿用原计划SKU店铺</v>
      </c>
      <c r="R44" s="16" t="str">
        <v>已匹配</v>
      </c>
      <c r="S44" s="16" t="str">
        <v>在售</v>
      </c>
      <c r="T44" s="16" t="str">
        <v>B06</v>
      </c>
      <c r="U44" s="16" t="str">
        <v>豹纹羊京绒</v>
      </c>
      <c r="V44" s="16" t="n">
        <v>7</v>
      </c>
      <c r="W44" s="8" t="str">
        <v>2026-10-11 至 2026-10-17</v>
      </c>
      <c r="X44" s="8" t="str">
        <v>2026-10-11、2026-10-12、2026-10-13、2026-10-14、2026-10-15、2026-10-16、2026-10-17</v>
      </c>
      <c r="Y44" s="8" t="str">
        <v>无</v>
      </c>
      <c r="Z44" s="8" t="n">
        <v>13</v>
      </c>
      <c r="AA44" s="8" t="n">
        <v>0</v>
      </c>
      <c r="AB44" s="8" t="n">
        <v>7</v>
      </c>
      <c r="AC44" s="8" t="str">
        <v>2026-10-02 至 2026-10-17</v>
      </c>
      <c r="AD44" s="8" t="str">
        <v>2026-10-02、2026-10-03、2026-10-04、2026-10-05、2026-10-08、2026-10-09、2026-10-10、2026-10-11、2026-10-12、2026-10-13、2026-10-14、2026-10-15、2026-10-16、2026-10-17</v>
      </c>
      <c r="AE44" s="8" t="str">
        <v>2026-10-06 大促；2026-10-07 大促</v>
      </c>
      <c r="AF44" s="8" t="n">
        <v>32</v>
      </c>
      <c r="AG44" s="8" t="n">
        <v>12</v>
      </c>
      <c r="AH44" s="8" t="n">
        <v>14</v>
      </c>
      <c r="AI44" s="8" t="str">
        <v>2026-09-16 至 2026-10-17</v>
      </c>
      <c r="AJ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" s="8" t="str">
        <v>2026-10-06 大促；2026-10-07 大促</v>
      </c>
      <c r="AL44" s="8" t="n">
        <v>48</v>
      </c>
      <c r="AM44" s="8" t="n">
        <v>12</v>
      </c>
      <c r="AN44" s="8" t="n">
        <v>30</v>
      </c>
      <c r="AO44" s="8" t="str">
        <v>B06 / 豹纹羊京绒 / 13120</v>
      </c>
      <c r="AP44" s="11" t="n">
        <v>1.2247029157699902</v>
      </c>
      <c r="AQ44" s="11" t="n">
        <v>1.2247029157699902</v>
      </c>
      <c r="AR44" s="11" t="n">
        <v>1.1136940657346173</v>
      </c>
      <c r="AS44" s="11" t="n">
        <f>IF(AND(COUNT(I44:K44,AP44:AR44)=6,MIN(AP44:AR44)&gt;0),I44/7/AP44*0.5+J44/14/AQ44*0.3+K44/30/AR44*0.2,"")</f>
        <v>1.3236395020228213</v>
      </c>
      <c r="AT44" s="8" t="n">
        <v>73</v>
      </c>
      <c r="AU44" s="8" t="n">
        <v>12</v>
      </c>
      <c r="AV44" s="8" t="n">
        <v>88</v>
      </c>
      <c r="AW44" s="11" t="n">
        <f>IF(AND(COUNT(AT44:AV44)=3,AT44&gt;=AU44,AU44&gt;=0,AV44&gt;0),(AT44-AU44)/AV44,"")</f>
        <v>0.6931818181818182</v>
      </c>
      <c r="AX44" s="8" t="n">
        <v>109</v>
      </c>
      <c r="AY44" s="8" t="n">
        <v>12</v>
      </c>
      <c r="AZ44" s="8" t="n">
        <v>178</v>
      </c>
      <c r="BA44" s="11" t="n">
        <f>IF(AND(COUNT(AX44:AZ44)=3,AX44&gt;=AY44,AY44&gt;=0,AZ44&gt;0),(AX44-AY44)/AZ44,"")</f>
        <v>0.5449438202247191</v>
      </c>
      <c r="BB44" s="8" t="n">
        <f>IF(COUNT(AS44,AW44,BA44)=3,1,0)</f>
        <v>1</v>
      </c>
      <c r="BC44" s="11" t="n">
        <f>IF(SUMIF($AO$11:$AO$1309,AO44,$BB$11:$BB$1309)=COUNTIF($AO$11:$AO$1309,AO44),SUMIF($AO$11:$AO$1309,AO44,$AS$11:$AS$1309),"")</f>
        <v>10.232422007128712</v>
      </c>
      <c r="BD44" s="11" t="n">
        <f>IF(SUMIF($AO$11:$AO$1309,AO44,$BB$11:$BB$1309)=COUNTIF($AO$11:$AO$1309,AO44),SUMIF($AO$11:$AO$1309,AO44,$AW$11:$AW$1309),"")</f>
        <v>6.3522727272727275</v>
      </c>
      <c r="BE44" s="11" t="n">
        <f>IF(SUMIF($AO$11:$AO$1309,AO44,$BB$11:$BB$1309)=COUNTIF($AO$11:$AO$1309,AO44),SUMIF($AO$11:$AO$1309,AO44,$BA$11:$BA$1309),"")</f>
        <v>5.5</v>
      </c>
      <c r="BF44" s="12" t="n">
        <f>IF(COUNT(BD44:BE44)&lt;&gt;2,"",IF(AND(BD44&gt;0,BE44&gt;0),0.7*AW44/BD44+0.3*BA44/BE44,IF(BD44&gt;0,AW44/BD44,IF(BE44&gt;0,BA44/BE44,IF(AND(ISNUMBER(BH44),BH44=0),0,"")))))</f>
        <v>0.1061106126692748</v>
      </c>
      <c r="BG44" s="11" t="n">
        <f>IF(AND(COUNT(BN44:BU44)=8,MIN(BN44:BU44)&gt;=0),SUMPRODUCT(BN44:BQ44,BR44:BU44),"")</f>
        <v>73.80791239847399</v>
      </c>
      <c r="BH44" s="11" t="n">
        <f>IF(COUNT(BC44,BG44)=2,BC44*BG44,"")</f>
        <v>755.2337071263734</v>
      </c>
      <c r="BI44" s="11" t="n">
        <f>IF(ISNUMBER(CI44),CI44,"")</f>
        <v>80.13831137166713</v>
      </c>
      <c r="BJ44" s="8" t="str">
        <v>低销提醒依据不完整</v>
      </c>
      <c r="BK44" s="8" t="str">
        <v>90天：2026-07-20 至 2026-10-17；180天：2026-04-21 至 2026-10-17</v>
      </c>
      <c r="BL44" s="8" t="str">
        <v>90天：2026-10-06、2026-10-07；180天：2026-10-06、2026-10-07</v>
      </c>
      <c r="BM44" s="8" t="str">
        <v>2026-10：12天 × 1.2247029157699902；2026-11：30天 × 0.8332682139098497；2026-12：31天 × 0.5511018253564084；2027-01：17天 × 1.0017220238758797</v>
      </c>
      <c r="BN44" s="11" t="n">
        <v>1.2247029157699902</v>
      </c>
      <c r="BO44" s="11" t="n">
        <v>0.8332682139098497</v>
      </c>
      <c r="BP44" s="11" t="n">
        <v>0.5511018253564084</v>
      </c>
      <c r="BQ44" s="11" t="n">
        <v>1.0017220238758797</v>
      </c>
      <c r="BR44" s="8" t="n">
        <v>12</v>
      </c>
      <c r="BS44" s="8" t="n">
        <v>30</v>
      </c>
      <c r="BT44" s="8" t="n">
        <v>31</v>
      </c>
      <c r="BU44" s="8" t="n">
        <v>17</v>
      </c>
      <c r="BV44" s="11" t="n">
        <f>IF(COUNT(BC44,BF44)=2,BC44*BF44,"")</f>
        <v>1.0857685682669982</v>
      </c>
      <c r="BW44" s="11" t="n">
        <f>IF(ISNUMBER(BN44),BN44,"")</f>
        <v>1.2247029157699902</v>
      </c>
      <c r="BX44" s="14" t="n">
        <f>IF(ISNUMBER(BR44),BR44,"")</f>
        <v>12</v>
      </c>
      <c r="BY44" s="13" t="n">
        <f>IF(AND(COUNT(BV44,BW44,BX44)=3,MIN(BV44,BW44,BX44)&gt;=0),BV44*BW44*BX44,"")</f>
        <v>15.956927176896006</v>
      </c>
      <c r="BZ44" s="11" t="n">
        <f>IF(ISNUMBER(BO44),BO44,"")</f>
        <v>0.8332682139098497</v>
      </c>
      <c r="CA44" s="14" t="n">
        <f>IF(ISNUMBER(BS44),BS44,"")</f>
        <v>30</v>
      </c>
      <c r="CB44" s="13" t="n">
        <f>IF(AND(COUNT(BV44,BZ44,CA44)=3,MIN(BV44,BZ44,CA44)&gt;=0),BV44*BZ44*CA44,"")</f>
        <v>27.142093067978887</v>
      </c>
      <c r="CC44" s="11" t="n">
        <f>IF(ISNUMBER(BP44),BP44,"")</f>
        <v>0.5511018253564084</v>
      </c>
      <c r="CD44" s="14" t="n">
        <f>IF(ISNUMBER(BT44),BT44,"")</f>
        <v>31</v>
      </c>
      <c r="CE44" s="13" t="n">
        <f>IF(AND(COUNT(BV44,CC44,CD44)=3,MIN(BV44,CC44,CD44)&gt;=0),BV44*CC44*CD44,"")</f>
        <v>18.549440236483264</v>
      </c>
      <c r="CF44" s="11" t="n">
        <f>IF(ISNUMBER(BQ44),BQ44,"")</f>
        <v>1.0017220238758797</v>
      </c>
      <c r="CG44" s="14" t="n">
        <f>IF(ISNUMBER(BU44),BU44,"")</f>
        <v>17</v>
      </c>
      <c r="CH44" s="13" t="n">
        <f>IF(AND(COUNT(BV44,CF44,CG44)=3,MIN(BV44,CF44,CG44)&gt;=0),BV44*CF44*CG44,"")</f>
        <v>18.489850890308972</v>
      </c>
      <c r="CI44" s="13" t="n">
        <f>IF(COUNT(BY44,CB44,CE44,CH44)=4,SUM(BY44,CB44,CE44,CH44),"")</f>
        <v>80.13831137166713</v>
      </c>
    </row>
    <row r="45" ht="72" customHeight="1">
      <c r="A45" s="16" t="str">
        <v>B07-BK-40-New</v>
      </c>
      <c r="B45" s="16" t="str">
        <v>4店-彬郁-US</v>
      </c>
      <c r="C45" s="16" t="str">
        <v>艾年</v>
      </c>
      <c r="D45" s="26" t="n">
        <f>IF(NOT(ISNUMBER(E45)),"",IF(OR(E45&lt;=0,L45=0),0,IF(OR(NOT(ISNUMBER(F45)),F45&lt;0),"",MIN(E45,INT(F45)))))</f>
        <v>41</v>
      </c>
      <c r="E45" s="27" t="n">
        <f>IF(OR(NOT(ISNUMBER(L45)),COUNT(M45:O45)&lt;&gt;3,MIN(M45:O45)&lt;0),"",ROUNDUP(ROUND(BI45-SUM(M45:O45),10),0))</f>
        <v>67</v>
      </c>
      <c r="F45" s="28" t="n">
        <v>41</v>
      </c>
      <c r="G45" s="28" t="n">
        <f>IF(AND(ISNUMBER(D45),ISNUMBER(E45)),IF(OR(E45&lt;=0,L45=0),0,E45-D45),"")</f>
        <v>26</v>
      </c>
      <c r="H45" s="16" t="str">
        <f>IF(NOT(ISNUMBER(E45)),"销量或海外库存待补",IF(OR(E45&lt;=0,L45=0),IF(L45=0,"零日销，本批不发","本批无需补货"),IF(NOT(ISNUMBER(D45)),"国内库存待补",IF(D45=0,"国内无可用库存",IF(G45&gt;0,"先发国内现货","按建议量发货")))))</f>
        <v>先发国内现货</v>
      </c>
      <c r="I45" s="28" t="n">
        <f>IF(AND(COUNT(Z45,AA45,AB45)=3,Z45&gt;=AA45,AA45&gt;=0,AB45=7),Z45-AA45,"")</f>
        <v>10</v>
      </c>
      <c r="J45" s="28" t="n">
        <f>IF(AND(COUNT(AF45,AG45,AH45)=3,AF45&gt;=AG45,AG45&gt;=0,AH45=14),AF45-AG45,"")</f>
        <v>13</v>
      </c>
      <c r="K45" s="28" t="n">
        <f>IF(AND(COUNT(AL45,AM45,AN45)=3,AL45&gt;=AM45,AM45&gt;=0,AN45=30),AL45-AM45,"")</f>
        <v>23</v>
      </c>
      <c r="L45" s="29" t="n">
        <f>IF(ISNUMBER(BI45),BI45/90,"")</f>
        <v>0.943713569554991</v>
      </c>
      <c r="M45" s="28" t="n">
        <v>10</v>
      </c>
      <c r="N45" s="28" t="n">
        <v>0</v>
      </c>
      <c r="O45" s="28" t="n">
        <v>8</v>
      </c>
      <c r="P45" s="30" t="n">
        <f>IF(AND(ISNUMBER(L45),L45&gt;0,COUNT(M45:O45)=3,MIN(M45:O45)&gt;=0),SUM(M45:O45)/L45,"")</f>
        <v>19.073583956716778</v>
      </c>
      <c r="Q45" s="16" t="str">
        <v>沿用原计划SKU店铺</v>
      </c>
      <c r="R45" s="16" t="str">
        <v>已匹配</v>
      </c>
      <c r="S45" s="16" t="str">
        <v>在售</v>
      </c>
      <c r="T45" s="16" t="str">
        <v>B07</v>
      </c>
      <c r="U45" s="16" t="str">
        <v>黑色羊京绒</v>
      </c>
      <c r="V45" s="16" t="n">
        <v>9</v>
      </c>
      <c r="W45" s="8" t="str">
        <v>2026-10-11 至 2026-10-17</v>
      </c>
      <c r="X45" s="8" t="str">
        <v>2026-10-11、2026-10-12、2026-10-13、2026-10-14、2026-10-15、2026-10-16、2026-10-17</v>
      </c>
      <c r="Y45" s="8" t="str">
        <v>无</v>
      </c>
      <c r="Z45" s="8" t="n">
        <v>10</v>
      </c>
      <c r="AA45" s="8" t="n">
        <v>0</v>
      </c>
      <c r="AB45" s="8" t="n">
        <v>7</v>
      </c>
      <c r="AC45" s="8" t="str">
        <v>2026-10-02 至 2026-10-17</v>
      </c>
      <c r="AD45" s="8" t="str">
        <v>2026-10-02、2026-10-03、2026-10-04、2026-10-05、2026-10-08、2026-10-09、2026-10-10、2026-10-11、2026-10-12、2026-10-13、2026-10-14、2026-10-15、2026-10-16、2026-10-17</v>
      </c>
      <c r="AE45" s="8" t="str">
        <v>2026-10-06 大促；2026-10-07 大促</v>
      </c>
      <c r="AF45" s="8" t="n">
        <v>19</v>
      </c>
      <c r="AG45" s="8" t="n">
        <v>6</v>
      </c>
      <c r="AH45" s="8" t="n">
        <v>14</v>
      </c>
      <c r="AI45" s="8" t="str">
        <v>2026-09-16 至 2026-10-17</v>
      </c>
      <c r="AJ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5" s="8" t="str">
        <v>2026-10-06 大促；2026-10-07 大促</v>
      </c>
      <c r="AL45" s="8" t="n">
        <v>29</v>
      </c>
      <c r="AM45" s="8" t="n">
        <v>6</v>
      </c>
      <c r="AN45" s="8" t="n">
        <v>30</v>
      </c>
      <c r="AO45" s="8" t="str">
        <v>B07 / 黑色天鹅绒 / 13306</v>
      </c>
      <c r="AP45" s="11" t="n">
        <v>0.7307750238224848</v>
      </c>
      <c r="AQ45" s="11" t="n">
        <v>0.7307750238224848</v>
      </c>
      <c r="AR45" s="11" t="n">
        <v>0.7449809054134506</v>
      </c>
      <c r="AS45" s="11" t="n">
        <f>IF(AND(COUNT(I45:K45,AP45:AR45)=6,MIN(AP45:AR45)&gt;0),I45/7/AP45*0.5+J45/14/AQ45*0.3+K45/30/AR45*0.2,"")</f>
        <v>1.564457676267156</v>
      </c>
      <c r="AT45" s="8" t="n">
        <v>53</v>
      </c>
      <c r="AU45" s="8" t="n">
        <v>6</v>
      </c>
      <c r="AV45" s="8" t="n">
        <v>88</v>
      </c>
      <c r="AW45" s="11" t="n">
        <f>IF(AND(COUNT(AT45:AV45)=3,AT45&gt;=AU45,AU45&gt;=0,AV45&gt;0),(AT45-AU45)/AV45,"")</f>
        <v>0.5340909090909091</v>
      </c>
      <c r="AX45" s="8" t="n">
        <v>89</v>
      </c>
      <c r="AY45" s="8" t="n">
        <v>6</v>
      </c>
      <c r="AZ45" s="8" t="n">
        <v>178</v>
      </c>
      <c r="BA45" s="11" t="n">
        <f>IF(AND(COUNT(AX45:AZ45)=3,AX45&gt;=AY45,AY45&gt;=0,AZ45&gt;0),(AX45-AY45)/AZ45,"")</f>
        <v>0.46629213483146065</v>
      </c>
      <c r="BB45" s="8" t="n">
        <f>IF(COUNT(AS45,AW45,BA45)=3,1,0)</f>
        <v>1</v>
      </c>
      <c r="BC45" s="11" t="n">
        <f>IF(SUMIF($AO$11:$AO$1309,AO45,$BB$11:$BB$1309)=COUNTIF($AO$11:$AO$1309,AO45),SUMIF($AO$11:$AO$1309,AO45,$AS$11:$AS$1309),"")</f>
        <v>11.92937132043239</v>
      </c>
      <c r="BD45" s="11" t="n">
        <f>IF(SUMIF($AO$11:$AO$1309,AO45,$BB$11:$BB$1309)=COUNTIF($AO$11:$AO$1309,AO45),SUMIF($AO$11:$AO$1309,AO45,$AW$11:$AW$1309),"")</f>
        <v>5.794919786096258</v>
      </c>
      <c r="BE45" s="11" t="n">
        <f>IF(SUMIF($AO$11:$AO$1309,AO45,$BB$11:$BB$1309)=COUNTIF($AO$11:$AO$1309,AO45),SUMIF($AO$11:$AO$1309,AO45,$BA$11:$BA$1309),"")</f>
        <v>5.3098234349919755</v>
      </c>
      <c r="BF45" s="12" t="n">
        <f>IF(COUNT(BD45:BE45)&lt;&gt;2,"",IF(AND(BD45&gt;0,BE45&gt;0),0.7*AW45/BD45+0.3*BA45/BE45,IF(BD45&gt;0,AW45/BD45,IF(BE45&gt;0,BA45/BE45,IF(AND(ISNUMBER(BH45),BH45=0),0,"")))))</f>
        <v>0.0908608213517883</v>
      </c>
      <c r="BG45" s="11" t="n">
        <f>IF(AND(COUNT(BN45:BU45)=8,MIN(BN45:BU45)&gt;=0),SUMPRODUCT(BN45:BQ45,BR45:BU45),"")</f>
        <v>78.35892944347341</v>
      </c>
      <c r="BH45" s="11" t="n">
        <f>IF(COUNT(BC45,BG45)=2,BC45*BG45,"")</f>
        <v>934.7727656027569</v>
      </c>
      <c r="BI45" s="11" t="n">
        <f>IF(ISNUMBER(CI45),CI45,"")</f>
        <v>84.93422125994918</v>
      </c>
      <c r="BJ45" s="8" t="str">
        <v>低销提醒依据不完整</v>
      </c>
      <c r="BK45" s="8" t="str">
        <v>90天：2026-07-20 至 2026-10-17；180天：2026-04-21 至 2026-10-17</v>
      </c>
      <c r="BL45" s="8" t="str">
        <v>90天：2026-10-06、2026-10-07；180天：2026-10-06、2026-10-07</v>
      </c>
      <c r="BM45" s="8" t="str">
        <v>2026-10：12天 × 0.7307750238224848；2026-11：30天 × 0.9523018155490097；2026-12：31天 × 0.5958545198749097；2027-01：17天 × 1.3264167397065354</v>
      </c>
      <c r="BN45" s="11" t="n">
        <v>0.7307750238224848</v>
      </c>
      <c r="BO45" s="11" t="n">
        <v>0.9523018155490097</v>
      </c>
      <c r="BP45" s="11" t="n">
        <v>0.5958545198749097</v>
      </c>
      <c r="BQ45" s="11" t="n">
        <v>1.3264167397065354</v>
      </c>
      <c r="BR45" s="8" t="n">
        <v>12</v>
      </c>
      <c r="BS45" s="8" t="n">
        <v>30</v>
      </c>
      <c r="BT45" s="8" t="n">
        <v>31</v>
      </c>
      <c r="BU45" s="8" t="n">
        <v>17</v>
      </c>
      <c r="BV45" s="11" t="n">
        <f>IF(COUNT(BC45,BF45)=2,BC45*BF45,"")</f>
        <v>1.0839124763849544</v>
      </c>
      <c r="BW45" s="11" t="n">
        <f>IF(ISNUMBER(BN45),BN45,"")</f>
        <v>0.7307750238224848</v>
      </c>
      <c r="BX45" s="14" t="n">
        <f>IF(ISNUMBER(BR45),BR45,"")</f>
        <v>12</v>
      </c>
      <c r="BY45" s="13" t="n">
        <f>IF(AND(COUNT(BV45,BW45,BX45)=3,MIN(BV45,BW45,BX45)&gt;=0),BV45*BW45*BX45,"")</f>
        <v>9.505153989020442</v>
      </c>
      <c r="BZ45" s="11" t="n">
        <f>IF(ISNUMBER(BO45),BO45,"")</f>
        <v>0.9523018155490097</v>
      </c>
      <c r="CA45" s="14" t="n">
        <f>IF(ISNUMBER(BS45),BS45,"")</f>
        <v>30</v>
      </c>
      <c r="CB45" s="13" t="n">
        <f>IF(AND(COUNT(BV45,BZ45,CA45)=3,MIN(BV45,BZ45,CA45)&gt;=0),BV45*BZ45*CA45,"")</f>
        <v>30.966354574728452</v>
      </c>
      <c r="CC45" s="11" t="n">
        <f>IF(ISNUMBER(BP45),BP45,"")</f>
        <v>0.5958545198749097</v>
      </c>
      <c r="CD45" s="14" t="n">
        <f>IF(ISNUMBER(BT45),BT45,"")</f>
        <v>31</v>
      </c>
      <c r="CE45" s="13" t="n">
        <f>IF(AND(COUNT(BV45,CC45,CD45)=3,MIN(BV45,CC45,CD45)&gt;=0),BV45*CC45*CD45,"")</f>
        <v>20.021478594286222</v>
      </c>
      <c r="CF45" s="11" t="n">
        <f>IF(ISNUMBER(BQ45),BQ45,"")</f>
        <v>1.3264167397065354</v>
      </c>
      <c r="CG45" s="14" t="n">
        <f>IF(ISNUMBER(BU45),BU45,"")</f>
        <v>17</v>
      </c>
      <c r="CH45" s="13" t="n">
        <f>IF(AND(COUNT(BV45,CF45,CG45)=3,MIN(BV45,CF45,CG45)&gt;=0),BV45*CF45*CG45,"")</f>
        <v>24.44123410191406</v>
      </c>
      <c r="CI45" s="13" t="n">
        <f>IF(COUNT(BY45,CB45,CE45,CH45)=4,SUM(BY45,CB45,CE45,CH45),"")</f>
        <v>84.93422125994918</v>
      </c>
    </row>
    <row r="46" ht="72" customHeight="1">
      <c r="A46" s="16" t="str">
        <v>S02-NY-40</v>
      </c>
      <c r="B46" s="16" t="str">
        <v>3店-SANDIEX-US</v>
      </c>
      <c r="C46" s="16" t="str">
        <v>陈晨</v>
      </c>
      <c r="D46" s="26" t="n">
        <f>IF(NOT(ISNUMBER(E46)),"",IF(OR(E46&lt;=0,L46=0),0,IF(OR(NOT(ISNUMBER(F46)),F46&lt;0),"",MIN(E46,INT(F46)))))</f>
        <v>39</v>
      </c>
      <c r="E46" s="27" t="n">
        <f>IF(OR(NOT(ISNUMBER(L46)),COUNT(M46:O46)&lt;&gt;3,MIN(M46:O46)&lt;0),"",ROUNDUP(ROUND(BI46-SUM(M46:O46),10),0))</f>
        <v>39</v>
      </c>
      <c r="F46" s="28" t="n">
        <v>108</v>
      </c>
      <c r="G46" s="28" t="n">
        <f>IF(AND(ISNUMBER(D46),ISNUMBER(E46)),IF(OR(E46&lt;=0,L46=0),0,E46-D46),"")</f>
        <v>0</v>
      </c>
      <c r="H46" s="16" t="str">
        <f>IF(NOT(ISNUMBER(E46)),"销量或海外库存待补",IF(OR(E46&lt;=0,L46=0),IF(L46=0,"零日销，本批不发","本批无需补货"),IF(NOT(ISNUMBER(D46)),"国内库存待补",IF(D46=0,"国内无可用库存",IF(G46&gt;0,"先发国内现货","按建议量发货")))))</f>
        <v>按建议量发货</v>
      </c>
      <c r="I46" s="28" t="n">
        <f>IF(AND(COUNT(Z46,AA46,AB46)=3,Z46&gt;=AA46,AA46&gt;=0,AB46=7),Z46-AA46,"")</f>
        <v>3</v>
      </c>
      <c r="J46" s="28" t="n">
        <f>IF(AND(COUNT(AF46,AG46,AH46)=3,AF46&gt;=AG46,AG46&gt;=0,AH46=14),AF46-AG46,"")</f>
        <v>9</v>
      </c>
      <c r="K46" s="28" t="n">
        <f>IF(AND(COUNT(AL46,AM46,AN46)=3,AL46&gt;=AM46,AM46&gt;=0,AN46=30),AL46-AM46,"")</f>
        <v>11</v>
      </c>
      <c r="L46" s="29" t="n">
        <f>IF(ISNUMBER(BI46),BI46/90,"")</f>
        <v>0.4414282434486271</v>
      </c>
      <c r="M46" s="28" t="n">
        <v>1</v>
      </c>
      <c r="N46" s="28" t="n">
        <v>0</v>
      </c>
      <c r="O46" s="28" t="n">
        <v>0</v>
      </c>
      <c r="P46" s="30" t="n">
        <f>IF(AND(ISNUMBER(L46),L46&gt;0,COUNT(M46:O46)=3,MIN(M46:O46)&gt;=0),SUM(M46:O46)/L46,"")</f>
        <v>2.265373851449944</v>
      </c>
      <c r="Q46" s="16" t="str">
        <v>沿用原计划SKU店铺</v>
      </c>
      <c r="R46" s="16" t="str">
        <v>已匹配</v>
      </c>
      <c r="S46" s="16" t="str">
        <v>在售</v>
      </c>
      <c r="T46" s="16" t="str">
        <v>S02</v>
      </c>
      <c r="U46" s="16" t="str">
        <v>藏青色</v>
      </c>
      <c r="V46" s="16" t="n">
        <v>9</v>
      </c>
      <c r="W46" s="8" t="str">
        <v>2026-10-11 至 2026-10-17</v>
      </c>
      <c r="X46" s="8" t="str">
        <v>2026-10-11、2026-10-12、2026-10-13、2026-10-14、2026-10-15、2026-10-16、2026-10-17</v>
      </c>
      <c r="Y46" s="8" t="str">
        <v>无</v>
      </c>
      <c r="Z46" s="8" t="n">
        <v>3</v>
      </c>
      <c r="AA46" s="8" t="n">
        <v>0</v>
      </c>
      <c r="AB46" s="8" t="n">
        <v>7</v>
      </c>
      <c r="AC46" s="8" t="str">
        <v>2026-10-02 至 2026-10-17</v>
      </c>
      <c r="AD46" s="8" t="str">
        <v>2026-10-02、2026-10-03、2026-10-04、2026-10-05、2026-10-08、2026-10-09、2026-10-10、2026-10-11、2026-10-12、2026-10-13、2026-10-14、2026-10-15、2026-10-16、2026-10-17</v>
      </c>
      <c r="AE46" s="8" t="str">
        <v>2026-10-06 大促；2026-10-07 大促</v>
      </c>
      <c r="AF46" s="8" t="n">
        <v>13</v>
      </c>
      <c r="AG46" s="8" t="n">
        <v>4</v>
      </c>
      <c r="AH46" s="8" t="n">
        <v>14</v>
      </c>
      <c r="AI46" s="8" t="str">
        <v>2026-09-16 至 2026-10-17</v>
      </c>
      <c r="AJ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" s="8" t="str">
        <v>2026-10-06 大促；2026-10-07 大促</v>
      </c>
      <c r="AL46" s="8" t="n">
        <v>15</v>
      </c>
      <c r="AM46" s="8" t="n">
        <v>4</v>
      </c>
      <c r="AN46" s="8" t="n">
        <v>30</v>
      </c>
      <c r="AO46" s="8" t="str">
        <v>S02 / 藏青色 / 6574</v>
      </c>
      <c r="AP46" s="11" t="n">
        <v>0.9634503791704667</v>
      </c>
      <c r="AQ46" s="11" t="n">
        <v>0.9634503791704667</v>
      </c>
      <c r="AR46" s="11" t="n">
        <v>0.902244307144596</v>
      </c>
      <c r="AS46" s="11" t="n">
        <f>IF(AND(COUNT(I46:K46,AP46:AR46)=6,MIN(AP46:AR46)&gt;0),I46/7/AP46*0.5+J46/14/AQ46*0.3+K46/30/AR46*0.2,"")</f>
        <v>0.5038670978528104</v>
      </c>
      <c r="AT46" s="8" t="n">
        <v>18</v>
      </c>
      <c r="AU46" s="8" t="n">
        <v>4</v>
      </c>
      <c r="AV46" s="8" t="n">
        <v>88</v>
      </c>
      <c r="AW46" s="11" t="n">
        <f>IF(AND(COUNT(AT46:AV46)=3,AT46&gt;=AU46,AU46&gt;=0,AV46&gt;0),(AT46-AU46)/AV46,"")</f>
        <v>0.1590909090909091</v>
      </c>
      <c r="AX46" s="8" t="n">
        <v>18</v>
      </c>
      <c r="AY46" s="8" t="n">
        <v>4</v>
      </c>
      <c r="AZ46" s="8" t="n">
        <v>178</v>
      </c>
      <c r="BA46" s="11" t="n">
        <f>IF(AND(COUNT(AX46:AZ46)=3,AX46&gt;=AY46,AY46&gt;=0,AZ46&gt;0),(AX46-AY46)/AZ46,"")</f>
        <v>0.07865168539325842</v>
      </c>
      <c r="BB46" s="8" t="n">
        <f>IF(COUNT(AS46,AW46,BA46)=3,1,0)</f>
        <v>1</v>
      </c>
      <c r="BC46" s="11" t="n">
        <f>IF(SUMIF($AO$11:$AO$1309,AO46,$BB$11:$BB$1309)=COUNTIF($AO$11:$AO$1309,AO46),SUMIF($AO$11:$AO$1309,AO46,$AS$11:$AS$1309),"")</f>
        <v>0.5038670978528104</v>
      </c>
      <c r="BD46" s="11" t="n">
        <f>IF(SUMIF($AO$11:$AO$1309,AO46,$BB$11:$BB$1309)=COUNTIF($AO$11:$AO$1309,AO46),SUMIF($AO$11:$AO$1309,AO46,$AW$11:$AW$1309),"")</f>
        <v>0.1590909090909091</v>
      </c>
      <c r="BE46" s="11" t="n">
        <f>IF(SUMIF($AO$11:$AO$1309,AO46,$BB$11:$BB$1309)=COUNTIF($AO$11:$AO$1309,AO46),SUMIF($AO$11:$AO$1309,AO46,$BA$11:$BA$1309),"")</f>
        <v>0.07865168539325842</v>
      </c>
      <c r="BF46" s="12" t="n">
        <f>IF(COUNT(BD46:BE46)&lt;&gt;2,"",IF(AND(BD46&gt;0,BE46&gt;0),0.7*AW46/BD46+0.3*BA46/BE46,IF(BD46&gt;0,AW46/BD46,IF(BE46&gt;0,BA46/BE46,IF(AND(ISNUMBER(BH46),BH46=0),0,"")))))</f>
        <v>1</v>
      </c>
      <c r="BG46" s="11" t="n">
        <f>IF(AND(COUNT(BN46:BU46)=8,MIN(BN46:BU46)&gt;=0),SUMPRODUCT(BN46:BQ46,BR46:BU46),"")</f>
        <v>78.84726365280937</v>
      </c>
      <c r="BH46" s="11" t="n">
        <f>IF(COUNT(BC46,BG46)=2,BC46*BG46,"")</f>
        <v>39.728541910376435</v>
      </c>
      <c r="BI46" s="11" t="n">
        <f>IF(ISNUMBER(CI46),CI46,"")</f>
        <v>39.728541910376435</v>
      </c>
      <c r="BJ46" s="8" t="str"/>
      <c r="BK46" s="8" t="str">
        <v>90天：2026-07-20 至 2026-10-17；180天：2026-04-21 至 2026-10-17</v>
      </c>
      <c r="BL46" s="8" t="str">
        <v>90天：2026-10-06、2026-10-07；180天：2026-10-06、2026-10-07</v>
      </c>
      <c r="BM46" s="8" t="str">
        <v>2026-10：12天 × 0.9634503791704667；2026-11：30天 × 0.8585031562320637；2026-12：31天 × 0.7896606554092485；2027-01：17天 × 1.0030167116538329</v>
      </c>
      <c r="BN46" s="11" t="n">
        <v>0.9634503791704667</v>
      </c>
      <c r="BO46" s="11" t="n">
        <v>0.8585031562320637</v>
      </c>
      <c r="BP46" s="11" t="n">
        <v>0.7896606554092485</v>
      </c>
      <c r="BQ46" s="11" t="n">
        <v>1.0030167116538329</v>
      </c>
      <c r="BR46" s="8" t="n">
        <v>12</v>
      </c>
      <c r="BS46" s="8" t="n">
        <v>30</v>
      </c>
      <c r="BT46" s="8" t="n">
        <v>31</v>
      </c>
      <c r="BU46" s="8" t="n">
        <v>17</v>
      </c>
      <c r="BV46" s="11" t="n">
        <f>IF(COUNT(BC46,BF46)=2,BC46*BF46,"")</f>
        <v>0.5038670978528104</v>
      </c>
      <c r="BW46" s="11" t="n">
        <f>IF(ISNUMBER(BN46),BN46,"")</f>
        <v>0.9634503791704667</v>
      </c>
      <c r="BX46" s="14" t="n">
        <f>IF(ISNUMBER(BR46),BR46,"")</f>
        <v>12</v>
      </c>
      <c r="BY46" s="13" t="n">
        <f>IF(AND(COUNT(BV46,BW46,BX46)=3,MIN(BV46,BW46,BX46)&gt;=0),BV46*BW46*BX46,"")</f>
        <v>5.825411357733754</v>
      </c>
      <c r="BZ46" s="11" t="n">
        <f>IF(ISNUMBER(BO46),BO46,"")</f>
        <v>0.8585031562320637</v>
      </c>
      <c r="CA46" s="14" t="n">
        <f>IF(ISNUMBER(BS46),BS46,"")</f>
        <v>30</v>
      </c>
      <c r="CB46" s="13" t="n">
        <f>IF(AND(COUNT(BV46,BZ46,CA46)=3,MIN(BV46,BZ46,CA46)&gt;=0),BV46*BZ46*CA46,"")</f>
        <v>12.977144814843834</v>
      </c>
      <c r="CC46" s="11" t="n">
        <f>IF(ISNUMBER(BP46),BP46,"")</f>
        <v>0.7896606554092485</v>
      </c>
      <c r="CD46" s="14" t="n">
        <f>IF(ISNUMBER(BT46),BT46,"")</f>
        <v>31</v>
      </c>
      <c r="CE46" s="13" t="n">
        <f>IF(AND(COUNT(BV46,CC46,CD46)=3,MIN(BV46,CC46,CD46)&gt;=0),BV46*CC46*CD46,"")</f>
        <v>12.334404704617791</v>
      </c>
      <c r="CF46" s="11" t="n">
        <f>IF(ISNUMBER(BQ46),BQ46,"")</f>
        <v>1.0030167116538329</v>
      </c>
      <c r="CG46" s="14" t="n">
        <f>IF(ISNUMBER(BU46),BU46,"")</f>
        <v>17</v>
      </c>
      <c r="CH46" s="13" t="n">
        <f>IF(AND(COUNT(BV46,CF46,CG46)=3,MIN(BV46,CF46,CG46)&gt;=0),BV46*CF46*CG46,"")</f>
        <v>8.591581033181061</v>
      </c>
      <c r="CI46" s="13" t="n">
        <f>IF(COUNT(BY46,CB46,CE46,CH46)=4,SUM(BY46,CB46,CE46,CH46),"")</f>
        <v>39.728541910376435</v>
      </c>
    </row>
    <row r="47" ht="72" customHeight="1">
      <c r="A47" s="16" t="str">
        <v>2302153-BG-P-Z-40</v>
      </c>
      <c r="B47" s="16" t="str">
        <v>3店-SANDIEX-US</v>
      </c>
      <c r="C47" s="16" t="str">
        <v>徐新怡</v>
      </c>
      <c r="D47" s="26" t="n">
        <f>IF(NOT(ISNUMBER(E47)),"",IF(OR(E47&lt;=0,L47=0),0,IF(OR(NOT(ISNUMBER(F47)),F47&lt;0),"",MIN(E47,INT(F47)))))</f>
        <v>38</v>
      </c>
      <c r="E47" s="27" t="n">
        <f>IF(OR(NOT(ISNUMBER(L47)),COUNT(M47:O47)&lt;&gt;3,MIN(M47:O47)&lt;0),"",ROUNDUP(ROUND(BI47-SUM(M47:O47),10),0))</f>
        <v>38</v>
      </c>
      <c r="F47" s="28" t="n">
        <v>99</v>
      </c>
      <c r="G47" s="28" t="n">
        <f>IF(AND(ISNUMBER(D47),ISNUMBER(E47)),IF(OR(E47&lt;=0,L47=0),0,E47-D47),"")</f>
        <v>0</v>
      </c>
      <c r="H47" s="16" t="str">
        <f>IF(NOT(ISNUMBER(E47)),"销量或海外库存待补",IF(OR(E47&lt;=0,L47=0),IF(L47=0,"零日销，本批不发","本批无需补货"),IF(NOT(ISNUMBER(D47)),"国内库存待补",IF(D47=0,"国内无可用库存",IF(G47&gt;0,"先发国内现货","按建议量发货")))))</f>
        <v>按建议量发货</v>
      </c>
      <c r="I47" s="28" t="n">
        <f>IF(AND(COUNT(Z47,AA47,AB47)=3,Z47&gt;=AA47,AA47&gt;=0,AB47=7),Z47-AA47,"")</f>
        <v>3</v>
      </c>
      <c r="J47" s="28" t="n">
        <f>IF(AND(COUNT(AF47,AG47,AH47)=3,AF47&gt;=AG47,AG47&gt;=0,AH47=14),AF47-AG47,"")</f>
        <v>11</v>
      </c>
      <c r="K47" s="28" t="n">
        <f>IF(AND(COUNT(AL47,AM47,AN47)=3,AL47&gt;=AM47,AM47&gt;=0,AN47=30),AL47-AM47,"")</f>
        <v>22</v>
      </c>
      <c r="L47" s="29" t="n">
        <f>IF(ISNUMBER(BI47),BI47/90,"")</f>
        <v>0.4441728123423872</v>
      </c>
      <c r="M47" s="28" t="n">
        <v>2</v>
      </c>
      <c r="N47" s="28" t="n">
        <v>0</v>
      </c>
      <c r="O47" s="28" t="n">
        <v>0</v>
      </c>
      <c r="P47" s="30" t="n">
        <f>IF(AND(ISNUMBER(L47),L47&gt;0,COUNT(M47:O47)=3,MIN(M47:O47)&gt;=0),SUM(M47:O47)/L47,"")</f>
        <v>4.502751956952997</v>
      </c>
      <c r="Q47" s="16" t="str">
        <v>沿用原计划SKU店铺</v>
      </c>
      <c r="R47" s="16" t="str">
        <v>已匹配</v>
      </c>
      <c r="S47" s="16" t="str">
        <v>在售</v>
      </c>
      <c r="T47" s="16" t="str">
        <v>2302153</v>
      </c>
      <c r="U47" s="16" t="str">
        <v>米白</v>
      </c>
      <c r="V47" s="16" t="n">
        <v>9</v>
      </c>
      <c r="W47" s="8" t="str">
        <v>2026-10-11 至 2026-10-17</v>
      </c>
      <c r="X47" s="8" t="str">
        <v>2026-10-11、2026-10-12、2026-10-13、2026-10-14、2026-10-15、2026-10-16、2026-10-17</v>
      </c>
      <c r="Y47" s="8" t="str">
        <v>无</v>
      </c>
      <c r="Z47" s="8" t="n">
        <v>3</v>
      </c>
      <c r="AA47" s="8" t="n">
        <v>0</v>
      </c>
      <c r="AB47" s="8" t="n">
        <v>7</v>
      </c>
      <c r="AC47" s="8" t="str">
        <v>2026-10-02 至 2026-10-17</v>
      </c>
      <c r="AD47" s="8" t="str">
        <v>2026-10-02、2026-10-03、2026-10-04、2026-10-05、2026-10-08、2026-10-09、2026-10-10、2026-10-11、2026-10-12、2026-10-13、2026-10-14、2026-10-15、2026-10-16、2026-10-17</v>
      </c>
      <c r="AE47" s="8" t="str">
        <v>2026-10-06 大促；2026-10-07 大促</v>
      </c>
      <c r="AF47" s="8" t="n">
        <v>15</v>
      </c>
      <c r="AG47" s="8" t="n">
        <v>4</v>
      </c>
      <c r="AH47" s="8" t="n">
        <v>14</v>
      </c>
      <c r="AI47" s="8" t="str">
        <v>2026-09-16 至 2026-10-17</v>
      </c>
      <c r="AJ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7" s="8" t="str">
        <v>2026-10-06 大促；2026-10-07 大促</v>
      </c>
      <c r="AL47" s="8" t="n">
        <v>26</v>
      </c>
      <c r="AM47" s="8" t="n">
        <v>4</v>
      </c>
      <c r="AN47" s="8" t="n">
        <v>30</v>
      </c>
      <c r="AO47" s="8" t="str">
        <v>2302153 / 米白PU / 6574</v>
      </c>
      <c r="AP47" s="11" t="n">
        <v>1.7391279184229513</v>
      </c>
      <c r="AQ47" s="11" t="n">
        <v>1.7391279184229513</v>
      </c>
      <c r="AR47" s="11" t="n">
        <v>1.5731892896917212</v>
      </c>
      <c r="AS47" s="11" t="n">
        <f>IF(AND(COUNT(I47:K47,AP47:AR47)=6,MIN(AP47:AR47)&gt;0),I47/7/AP47*0.5+J47/14/AQ47*0.3+K47/30/AR47*0.2,"")</f>
        <v>0.35197924876897096</v>
      </c>
      <c r="AT47" s="8" t="n">
        <v>46</v>
      </c>
      <c r="AU47" s="8" t="n">
        <v>4</v>
      </c>
      <c r="AV47" s="8" t="n">
        <v>88</v>
      </c>
      <c r="AW47" s="11" t="n">
        <f>IF(AND(COUNT(AT47:AV47)=3,AT47&gt;=AU47,AU47&gt;=0,AV47&gt;0),(AT47-AU47)/AV47,"")</f>
        <v>0.4772727272727273</v>
      </c>
      <c r="AX47" s="8" t="n">
        <v>46</v>
      </c>
      <c r="AY47" s="8" t="n">
        <v>4</v>
      </c>
      <c r="AZ47" s="8" t="n">
        <v>178</v>
      </c>
      <c r="BA47" s="11" t="n">
        <f>IF(AND(COUNT(AX47:AZ47)=3,AX47&gt;=AY47,AY47&gt;=0,AZ47&gt;0),(AX47-AY47)/AZ47,"")</f>
        <v>0.23595505617977527</v>
      </c>
      <c r="BB47" s="8" t="n">
        <f>IF(COUNT(AS47,AW47,BA47)=3,1,0)</f>
        <v>1</v>
      </c>
      <c r="BC47" s="11" t="n">
        <f>IF(SUMIF($AO$11:$AO$1309,AO47,$BB$11:$BB$1309)=COUNTIF($AO$11:$AO$1309,AO47),SUMIF($AO$11:$AO$1309,AO47,$AS$11:$AS$1309),"")</f>
        <v>2.0955365955321814</v>
      </c>
      <c r="BD47" s="11" t="n">
        <f>IF(SUMIF($AO$11:$AO$1309,AO47,$BB$11:$BB$1309)=COUNTIF($AO$11:$AO$1309,AO47),SUMIF($AO$11:$AO$1309,AO47,$AW$11:$AW$1309),"")</f>
        <v>2.736485747612452</v>
      </c>
      <c r="BE47" s="11" t="n">
        <f>IF(SUMIF($AO$11:$AO$1309,AO47,$BB$11:$BB$1309)=COUNTIF($AO$11:$AO$1309,AO47),SUMIF($AO$11:$AO$1309,AO47,$BA$11:$BA$1309),"")</f>
        <v>1.3562265196239676</v>
      </c>
      <c r="BF47" s="12" t="n">
        <f>IF(COUNT(BD47:BE47)&lt;&gt;2,"",IF(AND(BD47&gt;0,BE47&gt;0),0.7*AW47/BD47+0.3*BA47/BE47,IF(BD47&gt;0,AW47/BD47,IF(BE47&gt;0,BA47/BE47,IF(AND(ISNUMBER(BH47),BH47=0),0,"")))))</f>
        <v>0.17428130215433502</v>
      </c>
      <c r="BG47" s="11" t="n">
        <f>IF(AND(COUNT(BN47:BU47)=8,MIN(BN47:BU47)&gt;=0),SUMPRODUCT(BN47:BQ47,BR47:BU47),"")</f>
        <v>109.4582336985339</v>
      </c>
      <c r="BH47" s="11" t="n">
        <f>IF(COUNT(BC47,BG47)=2,BC47*BG47,"")</f>
        <v>229.37373439759162</v>
      </c>
      <c r="BI47" s="11" t="n">
        <f>IF(ISNUMBER(CI47),CI47,"")</f>
        <v>39.97555311081485</v>
      </c>
      <c r="BJ47" s="8" t="str"/>
      <c r="BK47" s="8" t="str">
        <v>90天：2026-07-20 至 2026-10-17；180天：2026-04-21 至 2026-10-17</v>
      </c>
      <c r="BL47" s="8" t="str">
        <v>90天：2026-10-06、2026-10-07；180天：2026-10-06、2026-10-07</v>
      </c>
      <c r="BM47" s="8" t="str">
        <v>2026-10：12天 × 1.7391279184229513；2026-11：30天 × 1.4002077845513243；2026-12：31天 × 1.079339935625147；2027-01：17天 × 0.7719368903846591</v>
      </c>
      <c r="BN47" s="11" t="n">
        <v>1.7391279184229513</v>
      </c>
      <c r="BO47" s="11" t="n">
        <v>1.4002077845513243</v>
      </c>
      <c r="BP47" s="11" t="n">
        <v>1.079339935625147</v>
      </c>
      <c r="BQ47" s="11" t="n">
        <v>0.7719368903846591</v>
      </c>
      <c r="BR47" s="8" t="n">
        <v>12</v>
      </c>
      <c r="BS47" s="8" t="n">
        <v>30</v>
      </c>
      <c r="BT47" s="8" t="n">
        <v>31</v>
      </c>
      <c r="BU47" s="8" t="n">
        <v>17</v>
      </c>
      <c r="BV47" s="11" t="n">
        <f>IF(COUNT(BC47,BF47)=2,BC47*BF47,"")</f>
        <v>0.3652128465814106</v>
      </c>
      <c r="BW47" s="11" t="n">
        <f>IF(ISNUMBER(BN47),BN47,"")</f>
        <v>1.7391279184229513</v>
      </c>
      <c r="BX47" s="14" t="n">
        <f>IF(ISNUMBER(BR47),BR47,"")</f>
        <v>12</v>
      </c>
      <c r="BY47" s="13" t="n">
        <f>IF(AND(COUNT(BV47,BW47,BX47)=3,MIN(BV47,BW47,BX47)&gt;=0),BV47*BW47*BX47,"")</f>
        <v>7.6218222918773915</v>
      </c>
      <c r="BZ47" s="11" t="n">
        <f>IF(ISNUMBER(BO47),BO47,"")</f>
        <v>1.4002077845513243</v>
      </c>
      <c r="CA47" s="14" t="n">
        <f>IF(ISNUMBER(BS47),BS47,"")</f>
        <v>30</v>
      </c>
      <c r="CB47" s="13" t="n">
        <f>IF(AND(COUNT(BV47,BZ47,CA47)=3,MIN(BV47,BZ47,CA47)&gt;=0),BV47*BZ47*CA47,"")</f>
        <v>15.341216124043191</v>
      </c>
      <c r="CC47" s="11" t="n">
        <f>IF(ISNUMBER(BP47),BP47,"")</f>
        <v>1.079339935625147</v>
      </c>
      <c r="CD47" s="14" t="n">
        <f>IF(ISNUMBER(BT47),BT47,"")</f>
        <v>31</v>
      </c>
      <c r="CE47" s="13" t="n">
        <f>IF(AND(COUNT(BV47,CC47,CD47)=3,MIN(BV47,CC47,CD47)&gt;=0),BV47*CC47*CD47,"")</f>
        <v>12.21985311987835</v>
      </c>
      <c r="CF47" s="11" t="n">
        <f>IF(ISNUMBER(BQ47),BQ47,"")</f>
        <v>0.7719368903846591</v>
      </c>
      <c r="CG47" s="14" t="n">
        <f>IF(ISNUMBER(BU47),BU47,"")</f>
        <v>17</v>
      </c>
      <c r="CH47" s="13" t="n">
        <f>IF(AND(COUNT(BV47,CF47,CG47)=3,MIN(BV47,CF47,CG47)&gt;=0),BV47*CF47*CG47,"")</f>
        <v>4.792661575015923</v>
      </c>
      <c r="CI47" s="13" t="n">
        <f>IF(COUNT(BY47,CB47,CE47,CH47)=4,SUM(BY47,CB47,CE47,CH47),"")</f>
        <v>39.97555311081485</v>
      </c>
    </row>
    <row r="48" ht="72" customHeight="1">
      <c r="A48" s="16" t="str">
        <v>2302153-LP-S-Z-9.5</v>
      </c>
      <c r="B48" s="16" t="str">
        <v>3店-SANDIEX-US</v>
      </c>
      <c r="C48" s="16" t="str">
        <v>徐新怡</v>
      </c>
      <c r="D48" s="26" t="n">
        <f>IF(NOT(ISNUMBER(E48)),"",IF(OR(E48&lt;=0,L48=0),0,IF(OR(NOT(ISNUMBER(F48)),F48&lt;0),"",MIN(E48,INT(F48)))))</f>
        <v>37</v>
      </c>
      <c r="E48" s="27" t="n">
        <f>IF(OR(NOT(ISNUMBER(L48)),COUNT(M48:O48)&lt;&gt;3,MIN(M48:O48)&lt;0),"",ROUNDUP(ROUND(BI48-SUM(M48:O48),10),0))</f>
        <v>37</v>
      </c>
      <c r="F48" s="28" t="n">
        <v>59</v>
      </c>
      <c r="G48" s="28" t="n">
        <f>IF(AND(ISNUMBER(D48),ISNUMBER(E48)),IF(OR(E48&lt;=0,L48=0),0,E48-D48),"")</f>
        <v>0</v>
      </c>
      <c r="H48" s="16" t="str">
        <f>IF(NOT(ISNUMBER(E48)),"销量或海外库存待补",IF(OR(E48&lt;=0,L48=0),IF(L48=0,"零日销，本批不发","本批无需补货"),IF(NOT(ISNUMBER(D48)),"国内库存待补",IF(D48=0,"国内无可用库存",IF(G48&gt;0,"先发国内现货","按建议量发货")))))</f>
        <v>按建议量发货</v>
      </c>
      <c r="I48" s="28" t="n">
        <f>IF(AND(COUNT(Z48,AA48,AB48)=3,Z48&gt;=AA48,AA48&gt;=0,AB48=7),Z48-AA48,"")</f>
        <v>1</v>
      </c>
      <c r="J48" s="28" t="n">
        <f>IF(AND(COUNT(AF48,AG48,AH48)=3,AF48&gt;=AG48,AG48&gt;=0,AH48=14),AF48-AG48,"")</f>
        <v>16</v>
      </c>
      <c r="K48" s="28" t="n">
        <f>IF(AND(COUNT(AL48,AM48,AN48)=3,AL48&gt;=AM48,AM48&gt;=0,AN48=30),AL48-AM48,"")</f>
        <v>32</v>
      </c>
      <c r="L48" s="29" t="n">
        <f>IF(ISNUMBER(BI48),BI48/90,"")</f>
        <v>0.6566395071989443</v>
      </c>
      <c r="M48" s="28" t="n">
        <v>3</v>
      </c>
      <c r="N48" s="28" t="n">
        <v>0</v>
      </c>
      <c r="O48" s="28" t="n">
        <v>20</v>
      </c>
      <c r="P48" s="30" t="n">
        <f>IF(AND(ISNUMBER(L48),L48&gt;0,COUNT(M48:O48)=3,MIN(M48:O48)&gt;=0),SUM(M48:O48)/L48,"")</f>
        <v>35.02682940615636</v>
      </c>
      <c r="Q48" s="16" t="str">
        <v>沿用原计划SKU店铺</v>
      </c>
      <c r="R48" s="16" t="str">
        <v>已匹配</v>
      </c>
      <c r="S48" s="16" t="str">
        <v>在售</v>
      </c>
      <c r="T48" s="16" t="str">
        <v>2302153</v>
      </c>
      <c r="U48" s="16" t="str">
        <v>豹纹</v>
      </c>
      <c r="V48" s="16" t="n">
        <v>9.5</v>
      </c>
      <c r="W48" s="8" t="str">
        <v>2026-10-11 至 2026-10-17</v>
      </c>
      <c r="X48" s="8" t="str">
        <v>2026-10-11、2026-10-12、2026-10-13、2026-10-14、2026-10-15、2026-10-16、2026-10-17</v>
      </c>
      <c r="Y48" s="8" t="str">
        <v>无</v>
      </c>
      <c r="Z48" s="8" t="n">
        <v>1</v>
      </c>
      <c r="AA48" s="8" t="n">
        <v>0</v>
      </c>
      <c r="AB48" s="8" t="n">
        <v>7</v>
      </c>
      <c r="AC48" s="8" t="str">
        <v>2026-10-02 至 2026-10-17</v>
      </c>
      <c r="AD48" s="8" t="str">
        <v>2026-10-02、2026-10-03、2026-10-04、2026-10-05、2026-10-08、2026-10-09、2026-10-10、2026-10-11、2026-10-12、2026-10-13、2026-10-14、2026-10-15、2026-10-16、2026-10-17</v>
      </c>
      <c r="AE48" s="8" t="str">
        <v>2026-10-06 大促；2026-10-07 大促</v>
      </c>
      <c r="AF48" s="8" t="n">
        <v>24</v>
      </c>
      <c r="AG48" s="8" t="n">
        <v>8</v>
      </c>
      <c r="AH48" s="8" t="n">
        <v>14</v>
      </c>
      <c r="AI48" s="8" t="str">
        <v>2026-09-16 至 2026-10-17</v>
      </c>
      <c r="AJ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8" s="8" t="str">
        <v>2026-10-06 大促；2026-10-07 大促</v>
      </c>
      <c r="AL48" s="8" t="n">
        <v>40</v>
      </c>
      <c r="AM48" s="8" t="n">
        <v>8</v>
      </c>
      <c r="AN48" s="8" t="n">
        <v>30</v>
      </c>
      <c r="AO48" s="8" t="str">
        <v>2302153 / 豹纹羊京绒 / 6574</v>
      </c>
      <c r="AP48" s="11" t="n">
        <v>1.7391279184229513</v>
      </c>
      <c r="AQ48" s="11" t="n">
        <v>1.7391279184229513</v>
      </c>
      <c r="AR48" s="11" t="n">
        <v>1.5731892896917212</v>
      </c>
      <c r="AS48" s="11" t="n">
        <f>IF(AND(COUNT(I48:K48,AP48:AR48)=6,MIN(AP48:AR48)&gt;0),I48/7/AP48*0.5+J48/14/AQ48*0.3+K48/30/AR48*0.2,"")</f>
        <v>0.3738202658523554</v>
      </c>
      <c r="AT48" s="8" t="n">
        <v>75</v>
      </c>
      <c r="AU48" s="8" t="n">
        <v>8</v>
      </c>
      <c r="AV48" s="8" t="n">
        <v>88</v>
      </c>
      <c r="AW48" s="11" t="n">
        <f>IF(AND(COUNT(AT48:AV48)=3,AT48&gt;=AU48,AU48&gt;=0,AV48&gt;0),(AT48-AU48)/AV48,"")</f>
        <v>0.7613636363636364</v>
      </c>
      <c r="AX48" s="8" t="n">
        <v>106</v>
      </c>
      <c r="AY48" s="8" t="n">
        <v>8</v>
      </c>
      <c r="AZ48" s="8" t="n">
        <v>178</v>
      </c>
      <c r="BA48" s="11" t="n">
        <f>IF(AND(COUNT(AX48:AZ48)=3,AX48&gt;=AY48,AY48&gt;=0,AZ48&gt;0),(AX48-AY48)/AZ48,"")</f>
        <v>0.550561797752809</v>
      </c>
      <c r="BB48" s="8" t="n">
        <f>IF(COUNT(AS48,AW48,BA48)=3,1,0)</f>
        <v>1</v>
      </c>
      <c r="BC48" s="11" t="n">
        <f>IF(SUMIF($AO$11:$AO$1309,AO48,$BB$11:$BB$1309)=COUNTIF($AO$11:$AO$1309,AO48),SUMIF($AO$11:$AO$1309,AO48,$AS$11:$AS$1309),"")</f>
        <v>4.164684574329155</v>
      </c>
      <c r="BD48" s="11" t="n">
        <f>IF(SUMIF($AO$11:$AO$1309,AO48,$BB$11:$BB$1309)=COUNTIF($AO$11:$AO$1309,AO48),SUMIF($AO$11:$AO$1309,AO48,$AW$11:$AW$1309),"")</f>
        <v>5.636363636363635</v>
      </c>
      <c r="BE48" s="11" t="n">
        <f>IF(SUMIF($AO$11:$AO$1309,AO48,$BB$11:$BB$1309)=COUNTIF($AO$11:$AO$1309,AO48),SUMIF($AO$11:$AO$1309,AO48,$BA$11:$BA$1309),"")</f>
        <v>4.707865168539326</v>
      </c>
      <c r="BF48" s="12" t="n">
        <f>IF(COUNT(BD48:BE48)&lt;&gt;2,"",IF(AND(BD48&gt;0,BE48&gt;0),0.7*AW48/BD48+0.3*BA48/BE48,IF(BD48&gt;0,AW48/BD48,IF(BE48&gt;0,BA48/BE48,IF(AND(ISNUMBER(BH48),BH48=0),0,"")))))</f>
        <v>0.12963998383247366</v>
      </c>
      <c r="BG48" s="11" t="n">
        <f>IF(AND(COUNT(BN48:BU48)=8,MIN(BN48:BU48)&gt;=0),SUMPRODUCT(BN48:BQ48,BR48:BU48),"")</f>
        <v>109.4582336985339</v>
      </c>
      <c r="BH48" s="11" t="n">
        <f>IF(COUNT(BC48,BG48)=2,BC48*BG48,"")</f>
        <v>455.85901741759983</v>
      </c>
      <c r="BI48" s="11" t="n">
        <f>IF(ISNUMBER(CI48),CI48,"")</f>
        <v>59.09755564790498</v>
      </c>
      <c r="BJ48" s="8" t="str"/>
      <c r="BK48" s="8" t="str">
        <v>90天：2026-07-20 至 2026-10-17；180天：2026-04-21 至 2026-10-17</v>
      </c>
      <c r="BL48" s="8" t="str">
        <v>90天：2026-10-06、2026-10-07；180天：2026-10-06、2026-10-07</v>
      </c>
      <c r="BM48" s="8" t="str">
        <v>2026-10：12天 × 1.7391279184229513；2026-11：30天 × 1.4002077845513243；2026-12：31天 × 1.079339935625147；2027-01：17天 × 0.7719368903846591</v>
      </c>
      <c r="BN48" s="11" t="n">
        <v>1.7391279184229513</v>
      </c>
      <c r="BO48" s="11" t="n">
        <v>1.4002077845513243</v>
      </c>
      <c r="BP48" s="11" t="n">
        <v>1.079339935625147</v>
      </c>
      <c r="BQ48" s="11" t="n">
        <v>0.7719368903846591</v>
      </c>
      <c r="BR48" s="8" t="n">
        <v>12</v>
      </c>
      <c r="BS48" s="8" t="n">
        <v>30</v>
      </c>
      <c r="BT48" s="8" t="n">
        <v>31</v>
      </c>
      <c r="BU48" s="8" t="n">
        <v>17</v>
      </c>
      <c r="BV48" s="11" t="n">
        <f>IF(COUNT(BC48,BF48)=2,BC48*BF48,"")</f>
        <v>0.5399096408833841</v>
      </c>
      <c r="BW48" s="11" t="n">
        <f>IF(ISNUMBER(BN48),BN48,"")</f>
        <v>1.7391279184229513</v>
      </c>
      <c r="BX48" s="14" t="n">
        <f>IF(ISNUMBER(BR48),BR48,"")</f>
        <v>12</v>
      </c>
      <c r="BY48" s="13" t="n">
        <f>IF(AND(COUNT(BV48,BW48,BX48)=3,MIN(BV48,BW48,BX48)&gt;=0),BV48*BW48*BX48,"")</f>
        <v>11.267663158632036</v>
      </c>
      <c r="BZ48" s="11" t="n">
        <f>IF(ISNUMBER(BO48),BO48,"")</f>
        <v>1.4002077845513243</v>
      </c>
      <c r="CA48" s="14" t="n">
        <f>IF(ISNUMBER(BS48),BS48,"")</f>
        <v>30</v>
      </c>
      <c r="CB48" s="13" t="n">
        <f>IF(AND(COUNT(BV48,BZ48,CA48)=3,MIN(BV48,BZ48,CA48)&gt;=0),BV48*BZ48*CA48,"")</f>
        <v>22.67957046357673</v>
      </c>
      <c r="CC48" s="11" t="n">
        <f>IF(ISNUMBER(BP48),BP48,"")</f>
        <v>1.079339935625147</v>
      </c>
      <c r="CD48" s="14" t="n">
        <f>IF(ISNUMBER(BT48),BT48,"")</f>
        <v>31</v>
      </c>
      <c r="CE48" s="13" t="n">
        <f>IF(AND(COUNT(BV48,CC48,CD48)=3,MIN(BV48,CC48,CD48)&gt;=0),BV48*CC48*CD48,"")</f>
        <v>18.06512714806851</v>
      </c>
      <c r="CF48" s="11" t="n">
        <f>IF(ISNUMBER(BQ48),BQ48,"")</f>
        <v>0.7719368903846591</v>
      </c>
      <c r="CG48" s="14" t="n">
        <f>IF(ISNUMBER(BU48),BU48,"")</f>
        <v>17</v>
      </c>
      <c r="CH48" s="13" t="n">
        <f>IF(AND(COUNT(BV48,CF48,CG48)=3,MIN(BV48,CF48,CG48)&gt;=0),BV48*CF48*CG48,"")</f>
        <v>7.085194877627697</v>
      </c>
      <c r="CI48" s="13" t="n">
        <f>IF(COUNT(BY48,CB48,CE48,CH48)=4,SUM(BY48,CB48,CE48,CH48),"")</f>
        <v>59.09755564790498</v>
      </c>
    </row>
    <row r="49" ht="72" customHeight="1">
      <c r="A49" s="16" t="str">
        <v>2302153-BK-S-Z-8</v>
      </c>
      <c r="B49" s="16" t="str">
        <v>3店-SANDIEX-US</v>
      </c>
      <c r="C49" s="16" t="str">
        <v>徐新怡</v>
      </c>
      <c r="D49" s="26" t="n">
        <f>IF(NOT(ISNUMBER(E49)),"",IF(OR(E49&lt;=0,L49=0),0,IF(OR(NOT(ISNUMBER(F49)),F49&lt;0),"",MIN(E49,INT(F49)))))</f>
        <v>34</v>
      </c>
      <c r="E49" s="27" t="n">
        <f>IF(OR(NOT(ISNUMBER(L49)),COUNT(M49:O49)&lt;&gt;3,MIN(M49:O49)&lt;0),"",ROUNDUP(ROUND(BI49-SUM(M49:O49),10),0))</f>
        <v>83</v>
      </c>
      <c r="F49" s="28" t="n">
        <v>34</v>
      </c>
      <c r="G49" s="28" t="n">
        <f>IF(AND(ISNUMBER(D49),ISNUMBER(E49)),IF(OR(E49&lt;=0,L49=0),0,E49-D49),"")</f>
        <v>49</v>
      </c>
      <c r="H49" s="16" t="str">
        <f>IF(NOT(ISNUMBER(E49)),"销量或海外库存待补",IF(OR(E49&lt;=0,L49=0),IF(L49=0,"零日销，本批不发","本批无需补货"),IF(NOT(ISNUMBER(D49)),"国内库存待补",IF(D49=0,"国内无可用库存",IF(G49&gt;0,"先发国内现货","按建议量发货")))))</f>
        <v>先发国内现货</v>
      </c>
      <c r="I49" s="28" t="n">
        <f>IF(AND(COUNT(Z49,AA49,AB49)=3,Z49&gt;=AA49,AA49&gt;=0,AB49=7),Z49-AA49,"")</f>
        <v>28</v>
      </c>
      <c r="J49" s="28" t="n">
        <f>IF(AND(COUNT(AF49,AG49,AH49)=3,AF49&gt;=AG49,AG49&gt;=0,AH49=14),AF49-AG49,"")</f>
        <v>53</v>
      </c>
      <c r="K49" s="28" t="n">
        <f>IF(AND(COUNT(AL49,AM49,AN49)=3,AL49&gt;=AM49,AM49&gt;=0,AN49=30),AL49-AM49,"")</f>
        <v>109</v>
      </c>
      <c r="L49" s="29" t="n">
        <f>IF(ISNUMBER(BI49),BI49/90,"")</f>
        <v>3.343306200933575</v>
      </c>
      <c r="M49" s="28" t="n">
        <v>20</v>
      </c>
      <c r="N49" s="28" t="n">
        <v>16</v>
      </c>
      <c r="O49" s="28" t="n">
        <v>182</v>
      </c>
      <c r="P49" s="30" t="n">
        <f>IF(AND(ISNUMBER(L49),L49&gt;0,COUNT(M49:O49)=3,MIN(M49:O49)&gt;=0),SUM(M49:O49)/L49,"")</f>
        <v>65.20491600174891</v>
      </c>
      <c r="Q49" s="16" t="str">
        <v>沿用原计划SKU店铺</v>
      </c>
      <c r="R49" s="16" t="str">
        <v>已匹配</v>
      </c>
      <c r="S49" s="16" t="str">
        <v>在售</v>
      </c>
      <c r="T49" s="16" t="str">
        <v>2302153</v>
      </c>
      <c r="U49" s="16" t="str">
        <v>黑色</v>
      </c>
      <c r="V49" s="16" t="n">
        <v>8</v>
      </c>
      <c r="W49" s="8" t="str">
        <v>2026-10-11 至 2026-10-17</v>
      </c>
      <c r="X49" s="8" t="str">
        <v>2026-10-11、2026-10-12、2026-10-13、2026-10-14、2026-10-15、2026-10-16、2026-10-17</v>
      </c>
      <c r="Y49" s="8" t="str">
        <v>无</v>
      </c>
      <c r="Z49" s="8" t="n">
        <v>28</v>
      </c>
      <c r="AA49" s="8" t="n">
        <v>0</v>
      </c>
      <c r="AB49" s="8" t="n">
        <v>7</v>
      </c>
      <c r="AC49" s="8" t="str">
        <v>2026-10-02 至 2026-10-17</v>
      </c>
      <c r="AD49" s="8" t="str">
        <v>2026-10-02、2026-10-03、2026-10-04、2026-10-05、2026-10-08、2026-10-09、2026-10-10、2026-10-11、2026-10-12、2026-10-13、2026-10-14、2026-10-15、2026-10-16、2026-10-17</v>
      </c>
      <c r="AE49" s="8" t="str">
        <v>2026-10-06 大促；2026-10-07 大促</v>
      </c>
      <c r="AF49" s="8" t="n">
        <v>93</v>
      </c>
      <c r="AG49" s="8" t="n">
        <v>40</v>
      </c>
      <c r="AH49" s="8" t="n">
        <v>14</v>
      </c>
      <c r="AI49" s="8" t="str">
        <v>2026-09-16 至 2026-10-17</v>
      </c>
      <c r="AJ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" s="8" t="str">
        <v>2026-10-06 大促；2026-10-07 大促</v>
      </c>
      <c r="AL49" s="8" t="n">
        <v>149</v>
      </c>
      <c r="AM49" s="8" t="n">
        <v>40</v>
      </c>
      <c r="AN49" s="8" t="n">
        <v>30</v>
      </c>
      <c r="AO49" s="8" t="str">
        <v>2302153 / 黑色羊京绒 / 6574</v>
      </c>
      <c r="AP49" s="11" t="n">
        <v>1.7391279184229513</v>
      </c>
      <c r="AQ49" s="11" t="n">
        <v>1.7391279184229513</v>
      </c>
      <c r="AR49" s="11" t="n">
        <v>1.5731892896917212</v>
      </c>
      <c r="AS49" s="11" t="n">
        <f>IF(AND(COUNT(I49:K49,AP49:AR49)=6,MIN(AP49:AR49)&gt;0),I49/7/AP49*0.5+J49/14/AQ49*0.3+K49/30/AR49*0.2,"")</f>
        <v>2.2649450189123597</v>
      </c>
      <c r="AT49" s="8" t="n">
        <v>305</v>
      </c>
      <c r="AU49" s="8" t="n">
        <v>40</v>
      </c>
      <c r="AV49" s="8" t="n">
        <v>88</v>
      </c>
      <c r="AW49" s="11" t="n">
        <f>IF(AND(COUNT(AT49:AV49)=3,AT49&gt;=AU49,AU49&gt;=0,AV49&gt;0),(AT49-AU49)/AV49,"")</f>
        <v>3.0113636363636362</v>
      </c>
      <c r="AX49" s="8" t="n">
        <v>472</v>
      </c>
      <c r="AY49" s="8" t="n">
        <v>40</v>
      </c>
      <c r="AZ49" s="8" t="n">
        <v>178</v>
      </c>
      <c r="BA49" s="11" t="n">
        <f>IF(AND(COUNT(AX49:AZ49)=3,AX49&gt;=AY49,AY49&gt;=0,AZ49&gt;0),(AX49-AY49)/AZ49,"")</f>
        <v>2.4269662921348316</v>
      </c>
      <c r="BB49" s="8" t="n">
        <f>IF(COUNT(AS49,AW49,BA49)=3,1,0)</f>
        <v>1</v>
      </c>
      <c r="BC49" s="11" t="n">
        <f>IF(SUMIF($AO$11:$AO$1309,AO49,$BB$11:$BB$1309)=COUNTIF($AO$11:$AO$1309,AO49),SUMIF($AO$11:$AO$1309,AO49,$AS$11:$AS$1309),"")</f>
        <v>14.203593194271557</v>
      </c>
      <c r="BD49" s="11" t="n">
        <f>IF(SUMIF($AO$11:$AO$1309,AO49,$BB$11:$BB$1309)=COUNTIF($AO$11:$AO$1309,AO49),SUMIF($AO$11:$AO$1309,AO49,$AW$11:$AW$1309),"")</f>
        <v>15.818181818181818</v>
      </c>
      <c r="BE49" s="11" t="n">
        <f>IF(SUMIF($AO$11:$AO$1309,AO49,$BB$11:$BB$1309)=COUNTIF($AO$11:$AO$1309,AO49),SUMIF($AO$11:$AO$1309,AO49,$BA$11:$BA$1309),"")</f>
        <v>12.07865168539326</v>
      </c>
      <c r="BF49" s="12" t="n">
        <f>IF(COUNT(BD49:BE49)&lt;&gt;2,"",IF(AND(BD49&gt;0,BE49&gt;0),0.7*AW49/BD49+0.3*BA49/BE49,IF(BD49&gt;0,AW49/BD49,IF(BE49&gt;0,BA49/BE49,IF(AND(ISNUMBER(BH49),BH49=0),0,"")))))</f>
        <v>0.19354056402031541</v>
      </c>
      <c r="BG49" s="11" t="n">
        <f>IF(AND(COUNT(BN49:BU49)=8,MIN(BN49:BU49)&gt;=0),SUMPRODUCT(BN49:BQ49,BR49:BU49),"")</f>
        <v>109.4582336985339</v>
      </c>
      <c r="BH49" s="11" t="n">
        <f>IF(COUNT(BC49,BG49)=2,BC49*BG49,"")</f>
        <v>1554.7002232174816</v>
      </c>
      <c r="BI49" s="11" t="n">
        <f>IF(ISNUMBER(CI49),CI49,"")</f>
        <v>300.89755808402174</v>
      </c>
      <c r="BJ49" s="8" t="str"/>
      <c r="BK49" s="8" t="str">
        <v>90天：2026-07-20 至 2026-10-17；180天：2026-04-21 至 2026-10-17</v>
      </c>
      <c r="BL49" s="8" t="str">
        <v>90天：2026-10-06、2026-10-07；180天：2026-10-06、2026-10-07</v>
      </c>
      <c r="BM49" s="8" t="str">
        <v>2026-10：12天 × 1.7391279184229513；2026-11：30天 × 1.4002077845513243；2026-12：31天 × 1.079339935625147；2027-01：17天 × 0.7719368903846591</v>
      </c>
      <c r="BN49" s="11" t="n">
        <v>1.7391279184229513</v>
      </c>
      <c r="BO49" s="11" t="n">
        <v>1.4002077845513243</v>
      </c>
      <c r="BP49" s="11" t="n">
        <v>1.079339935625147</v>
      </c>
      <c r="BQ49" s="11" t="n">
        <v>0.7719368903846591</v>
      </c>
      <c r="BR49" s="8" t="n">
        <v>12</v>
      </c>
      <c r="BS49" s="8" t="n">
        <v>30</v>
      </c>
      <c r="BT49" s="8" t="n">
        <v>31</v>
      </c>
      <c r="BU49" s="8" t="n">
        <v>17</v>
      </c>
      <c r="BV49" s="11" t="n">
        <f>IF(COUNT(BC49,BF49)=2,BC49*BF49,"")</f>
        <v>2.7489714379344306</v>
      </c>
      <c r="BW49" s="11" t="n">
        <f>IF(ISNUMBER(BN49),BN49,"")</f>
        <v>1.7391279184229513</v>
      </c>
      <c r="BX49" s="14" t="n">
        <f>IF(ISNUMBER(BR49),BR49,"")</f>
        <v>12</v>
      </c>
      <c r="BY49" s="13" t="n">
        <f>IF(AND(COUNT(BV49,BW49,BX49)=3,MIN(BV49,BW49,BX49)&gt;=0),BV49*BW49*BX49,"")</f>
        <v>57.36975569590865</v>
      </c>
      <c r="BZ49" s="11" t="n">
        <f>IF(ISNUMBER(BO49),BO49,"")</f>
        <v>1.4002077845513243</v>
      </c>
      <c r="CA49" s="14" t="n">
        <f>IF(ISNUMBER(BS49),BS49,"")</f>
        <v>30</v>
      </c>
      <c r="CB49" s="13" t="n">
        <f>IF(AND(COUNT(BV49,BZ49,CA49)=3,MIN(BV49,BZ49,CA49)&gt;=0),BV49*BZ49*CA49,"")</f>
        <v>115.47393620715113</v>
      </c>
      <c r="CC49" s="11" t="n">
        <f>IF(ISNUMBER(BP49),BP49,"")</f>
        <v>1.079339935625147</v>
      </c>
      <c r="CD49" s="14" t="n">
        <f>IF(ISNUMBER(BT49),BT49,"")</f>
        <v>31</v>
      </c>
      <c r="CE49" s="13" t="n">
        <f>IF(AND(COUNT(BV49,CC49,CD49)=3,MIN(BV49,CC49,CD49)&gt;=0),BV49*CC49*CD49,"")</f>
        <v>91.979314300521</v>
      </c>
      <c r="CF49" s="11" t="n">
        <f>IF(ISNUMBER(BQ49),BQ49,"")</f>
        <v>0.7719368903846591</v>
      </c>
      <c r="CG49" s="14" t="n">
        <f>IF(ISNUMBER(BU49),BU49,"")</f>
        <v>17</v>
      </c>
      <c r="CH49" s="13" t="n">
        <f>IF(AND(COUNT(BV49,CF49,CG49)=3,MIN(BV49,CF49,CG49)&gt;=0),BV49*CF49*CG49,"")</f>
        <v>36.074551880440936</v>
      </c>
      <c r="CI49" s="13" t="n">
        <f>IF(COUNT(BY49,CB49,CE49,CH49)=4,SUM(BY49,CB49,CE49,CH49),"")</f>
        <v>300.89755808402174</v>
      </c>
    </row>
    <row r="50" ht="72" customHeight="1">
      <c r="A50" s="16" t="str">
        <v>2302153-CC-S-Z-9</v>
      </c>
      <c r="B50" s="16" t="str">
        <v>3店-SANDIEX-US</v>
      </c>
      <c r="C50" s="16" t="str">
        <v>徐新怡</v>
      </c>
      <c r="D50" s="26" t="n">
        <f>IF(NOT(ISNUMBER(E50)),"",IF(OR(E50&lt;=0,L50=0),0,IF(OR(NOT(ISNUMBER(F50)),F50&lt;0),"",MIN(E50,INT(F50)))))</f>
        <v>31</v>
      </c>
      <c r="E50" s="27" t="n">
        <f>IF(OR(NOT(ISNUMBER(L50)),COUNT(M50:O50)&lt;&gt;3,MIN(M50:O50)&lt;0),"",ROUNDUP(ROUND(BI50-SUM(M50:O50),10),0))</f>
        <v>31</v>
      </c>
      <c r="F50" s="28" t="n">
        <v>120</v>
      </c>
      <c r="G50" s="28" t="n">
        <f>IF(AND(ISNUMBER(D50),ISNUMBER(E50)),IF(OR(E50&lt;=0,L50=0),0,E50-D50),"")</f>
        <v>0</v>
      </c>
      <c r="H50" s="16" t="str">
        <f>IF(NOT(ISNUMBER(E50)),"销量或海外库存待补",IF(OR(E50&lt;=0,L50=0),IF(L50=0,"零日销，本批不发","本批无需补货"),IF(NOT(ISNUMBER(D50)),"国内库存待补",IF(D50=0,"国内无可用库存",IF(G50&gt;0,"先发国内现货","按建议量发货")))))</f>
        <v>按建议量发货</v>
      </c>
      <c r="I50" s="28" t="n">
        <f>IF(AND(COUNT(Z50,AA50,AB50)=3,Z50&gt;=AA50,AA50&gt;=0,AB50=7),Z50-AA50,"")</f>
        <v>3</v>
      </c>
      <c r="J50" s="28" t="n">
        <f>IF(AND(COUNT(AF50,AG50,AH50)=3,AF50&gt;=AG50,AG50&gt;=0,AH50=14),AF50-AG50,"")</f>
        <v>8</v>
      </c>
      <c r="K50" s="28" t="n">
        <f>IF(AND(COUNT(AL50,AM50,AN50)=3,AL50&gt;=AM50,AM50&gt;=0,AN50=30),AL50-AM50,"")</f>
        <v>26</v>
      </c>
      <c r="L50" s="29" t="n">
        <f>IF(ISNUMBER(BI50),BI50/90,"")</f>
        <v>0.37984634066207995</v>
      </c>
      <c r="M50" s="28" t="n">
        <v>4</v>
      </c>
      <c r="N50" s="28" t="n">
        <v>0</v>
      </c>
      <c r="O50" s="28" t="n">
        <v>0</v>
      </c>
      <c r="P50" s="30" t="n">
        <f>IF(AND(ISNUMBER(L50),L50&gt;0,COUNT(M50:O50)=3,MIN(M50:O50)&gt;=0),SUM(M50:O50)/L50,"")</f>
        <v>10.530574002708354</v>
      </c>
      <c r="Q50" s="16" t="str">
        <v>沿用原计划SKU店铺</v>
      </c>
      <c r="R50" s="16" t="str">
        <v>已匹配</v>
      </c>
      <c r="S50" s="16" t="str">
        <v>在售</v>
      </c>
      <c r="T50" s="16" t="str">
        <v>2302153</v>
      </c>
      <c r="U50" s="16" t="str">
        <v>驼色</v>
      </c>
      <c r="V50" s="16" t="n">
        <v>9</v>
      </c>
      <c r="W50" s="8" t="str">
        <v>2026-10-11 至 2026-10-17</v>
      </c>
      <c r="X50" s="8" t="str">
        <v>2026-10-11、2026-10-12、2026-10-13、2026-10-14、2026-10-15、2026-10-16、2026-10-17</v>
      </c>
      <c r="Y50" s="8" t="str">
        <v>无</v>
      </c>
      <c r="Z50" s="8" t="n">
        <v>3</v>
      </c>
      <c r="AA50" s="8" t="n">
        <v>0</v>
      </c>
      <c r="AB50" s="8" t="n">
        <v>7</v>
      </c>
      <c r="AC50" s="8" t="str">
        <v>2026-10-02 至 2026-10-17</v>
      </c>
      <c r="AD50" s="8" t="str">
        <v>2026-10-02、2026-10-03、2026-10-04、2026-10-05、2026-10-08、2026-10-09、2026-10-10、2026-10-11、2026-10-12、2026-10-13、2026-10-14、2026-10-15、2026-10-16、2026-10-17</v>
      </c>
      <c r="AE50" s="8" t="str">
        <v>2026-10-06 大促；2026-10-07 大促</v>
      </c>
      <c r="AF50" s="8" t="n">
        <v>11</v>
      </c>
      <c r="AG50" s="8" t="n">
        <v>3</v>
      </c>
      <c r="AH50" s="8" t="n">
        <v>14</v>
      </c>
      <c r="AI50" s="8" t="str">
        <v>2026-09-16 至 2026-10-17</v>
      </c>
      <c r="AJ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0" s="8" t="str">
        <v>2026-10-06 大促；2026-10-07 大促</v>
      </c>
      <c r="AL50" s="8" t="n">
        <v>29</v>
      </c>
      <c r="AM50" s="8" t="n">
        <v>3</v>
      </c>
      <c r="AN50" s="8" t="n">
        <v>30</v>
      </c>
      <c r="AO50" s="8" t="str">
        <v>2302153 / 驼色羊京绒 / 6574</v>
      </c>
      <c r="AP50" s="11" t="n">
        <v>1.7391279184229513</v>
      </c>
      <c r="AQ50" s="11" t="n">
        <v>1.7391279184229513</v>
      </c>
      <c r="AR50" s="11" t="n">
        <v>1.5731892896917212</v>
      </c>
      <c r="AS50" s="11" t="n">
        <f>IF(AND(COUNT(I50:K50,AP50:AR50)=6,MIN(AP50:AR50)&gt;0),I50/7/AP50*0.5+J50/14/AQ50*0.3+K50/30/AR50*0.2,"")</f>
        <v>0.331965614003694</v>
      </c>
      <c r="AT50" s="8" t="n">
        <v>75</v>
      </c>
      <c r="AU50" s="8" t="n">
        <v>3</v>
      </c>
      <c r="AV50" s="8" t="n">
        <v>88</v>
      </c>
      <c r="AW50" s="11" t="n">
        <f>IF(AND(COUNT(AT50:AV50)=3,AT50&gt;=AU50,AU50&gt;=0,AV50&gt;0),(AT50-AU50)/AV50,"")</f>
        <v>0.8181818181818182</v>
      </c>
      <c r="AX50" s="8" t="n">
        <v>79</v>
      </c>
      <c r="AY50" s="8" t="n">
        <v>3</v>
      </c>
      <c r="AZ50" s="8" t="n">
        <v>178</v>
      </c>
      <c r="BA50" s="11" t="n">
        <f>IF(AND(COUNT(AX50:AZ50)=3,AX50&gt;=AY50,AY50&gt;=0,AZ50&gt;0),(AX50-AY50)/AZ50,"")</f>
        <v>0.42696629213483145</v>
      </c>
      <c r="BB50" s="8" t="n">
        <f>IF(COUNT(AS50,AW50,BA50)=3,1,0)</f>
        <v>1</v>
      </c>
      <c r="BC50" s="11" t="n">
        <f>IF(SUMIF($AO$11:$AO$1309,AO50,$BB$11:$BB$1309)=COUNTIF($AO$11:$AO$1309,AO50),SUMIF($AO$11:$AO$1309,AO50,$AS$11:$AS$1309),"")</f>
        <v>1.1381504473731563</v>
      </c>
      <c r="BD50" s="11" t="n">
        <f>IF(SUMIF($AO$11:$AO$1309,AO50,$BB$11:$BB$1309)=COUNTIF($AO$11:$AO$1309,AO50),SUMIF($AO$11:$AO$1309,AO50,$AW$11:$AW$1309),"")</f>
        <v>2.9545454545454546</v>
      </c>
      <c r="BE50" s="11" t="n">
        <f>IF(SUMIF($AO$11:$AO$1309,AO50,$BB$11:$BB$1309)=COUNTIF($AO$11:$AO$1309,AO50),SUMIF($AO$11:$AO$1309,AO50,$BA$11:$BA$1309),"")</f>
        <v>1.5898876404494382</v>
      </c>
      <c r="BF50" s="12" t="n">
        <f>IF(COUNT(BD50:BE50)&lt;&gt;2,"",IF(AND(BD50&gt;0,BE50&gt;0),0.7*AW50/BD50+0.3*BA50/BE50,IF(BD50&gt;0,AW50/BD50,IF(BE50&gt;0,BA50/BE50,IF(AND(ISNUMBER(BH50),BH50=0),0,"")))))</f>
        <v>0.2744115248708888</v>
      </c>
      <c r="BG50" s="11" t="n">
        <f>IF(AND(COUNT(BN50:BU50)=8,MIN(BN50:BU50)&gt;=0),SUMPRODUCT(BN50:BQ50,BR50:BU50),"")</f>
        <v>109.4582336985339</v>
      </c>
      <c r="BH50" s="11" t="n">
        <f>IF(COUNT(BC50,BG50)=2,BC50*BG50,"")</f>
        <v>124.57993765266185</v>
      </c>
      <c r="BI50" s="11" t="n">
        <f>IF(ISNUMBER(CI50),CI50,"")</f>
        <v>34.1861706595872</v>
      </c>
      <c r="BJ50" s="8" t="str"/>
      <c r="BK50" s="8" t="str">
        <v>90天：2026-07-20 至 2026-10-17；180天：2026-04-21 至 2026-10-17</v>
      </c>
      <c r="BL50" s="8" t="str">
        <v>90天：2026-10-06、2026-10-07；180天：2026-10-06、2026-10-07</v>
      </c>
      <c r="BM50" s="8" t="str">
        <v>2026-10：12天 × 1.7391279184229513；2026-11：30天 × 1.4002077845513243；2026-12：31天 × 1.079339935625147；2027-01：17天 × 0.7719368903846591</v>
      </c>
      <c r="BN50" s="11" t="n">
        <v>1.7391279184229513</v>
      </c>
      <c r="BO50" s="11" t="n">
        <v>1.4002077845513243</v>
      </c>
      <c r="BP50" s="11" t="n">
        <v>1.079339935625147</v>
      </c>
      <c r="BQ50" s="11" t="n">
        <v>0.7719368903846591</v>
      </c>
      <c r="BR50" s="8" t="n">
        <v>12</v>
      </c>
      <c r="BS50" s="8" t="n">
        <v>30</v>
      </c>
      <c r="BT50" s="8" t="n">
        <v>31</v>
      </c>
      <c r="BU50" s="8" t="n">
        <v>17</v>
      </c>
      <c r="BV50" s="11" t="n">
        <f>IF(COUNT(BC50,BF50)=2,BC50*BF50,"")</f>
        <v>0.3123215997961521</v>
      </c>
      <c r="BW50" s="11" t="n">
        <f>IF(ISNUMBER(BN50),BN50,"")</f>
        <v>1.7391279184229513</v>
      </c>
      <c r="BX50" s="14" t="n">
        <f>IF(ISNUMBER(BR50),BR50,"")</f>
        <v>12</v>
      </c>
      <c r="BY50" s="13" t="n">
        <f>IF(AND(COUNT(BV50,BW50,BX50)=3,MIN(BV50,BW50,BX50)&gt;=0),BV50*BW50*BX50,"")</f>
        <v>6.518006564784097</v>
      </c>
      <c r="BZ50" s="11" t="n">
        <f>IF(ISNUMBER(BO50),BO50,"")</f>
        <v>1.4002077845513243</v>
      </c>
      <c r="CA50" s="14" t="n">
        <f>IF(ISNUMBER(BS50),BS50,"")</f>
        <v>30</v>
      </c>
      <c r="CB50" s="13" t="n">
        <f>IF(AND(COUNT(BV50,BZ50,CA50)=3,MIN(BV50,BZ50,CA50)&gt;=0),BV50*BZ50*CA50,"")</f>
        <v>13.119454059542864</v>
      </c>
      <c r="CC50" s="11" t="n">
        <f>IF(ISNUMBER(BP50),BP50,"")</f>
        <v>1.079339935625147</v>
      </c>
      <c r="CD50" s="14" t="n">
        <f>IF(ISNUMBER(BT50),BT50,"")</f>
        <v>31</v>
      </c>
      <c r="CE50" s="13" t="n">
        <f>IF(AND(COUNT(BV50,CC50,CD50)=3,MIN(BV50,CC50,CD50)&gt;=0),BV50*CC50*CD50,"")</f>
        <v>10.450136437967974</v>
      </c>
      <c r="CF50" s="11" t="n">
        <f>IF(ISNUMBER(BQ50),BQ50,"")</f>
        <v>0.7719368903846591</v>
      </c>
      <c r="CG50" s="14" t="n">
        <f>IF(ISNUMBER(BU50),BU50,"")</f>
        <v>17</v>
      </c>
      <c r="CH50" s="13" t="n">
        <f>IF(AND(COUNT(BV50,CF50,CG50)=3,MIN(BV50,CF50,CG50)&gt;=0),BV50*CF50*CG50,"")</f>
        <v>4.098573597292261</v>
      </c>
      <c r="CI50" s="13" t="n">
        <f>IF(COUNT(BY50,CB50,CE50,CH50)=4,SUM(BY50,CB50,CE50,CH50),"")</f>
        <v>34.1861706595872</v>
      </c>
    </row>
    <row r="51" ht="72" customHeight="1">
      <c r="A51" s="16" t="str">
        <v>32582-LD-39.5</v>
      </c>
      <c r="B51" s="16" t="str">
        <v>3店-SANDIEX-US</v>
      </c>
      <c r="C51" s="16" t="str">
        <v>徐新怡</v>
      </c>
      <c r="D51" s="26" t="n">
        <f>IF(NOT(ISNUMBER(E51)),"",IF(OR(E51&lt;=0,L51=0),0,IF(OR(NOT(ISNUMBER(F51)),F51&lt;0),"",MIN(E51,INT(F51)))))</f>
        <v>29</v>
      </c>
      <c r="E51" s="27" t="n">
        <f>IF(OR(NOT(ISNUMBER(L51)),COUNT(M51:O51)&lt;&gt;3,MIN(M51:O51)&lt;0),"",ROUNDUP(ROUND(BI51-SUM(M51:O51),10),0))</f>
        <v>29</v>
      </c>
      <c r="F51" s="28" t="n">
        <v>130</v>
      </c>
      <c r="G51" s="28" t="n">
        <f>IF(AND(ISNUMBER(D51),ISNUMBER(E51)),IF(OR(E51&lt;=0,L51=0),0,E51-D51),"")</f>
        <v>0</v>
      </c>
      <c r="H51" s="16" t="str">
        <f>IF(NOT(ISNUMBER(E51)),"销量或海外库存待补",IF(OR(E51&lt;=0,L51=0),IF(L51=0,"零日销，本批不发","本批无需补货"),IF(NOT(ISNUMBER(D51)),"国内库存待补",IF(D51=0,"国内无可用库存",IF(G51&gt;0,"先发国内现货","按建议量发货")))))</f>
        <v>按建议量发货</v>
      </c>
      <c r="I51" s="28" t="n">
        <f>IF(AND(COUNT(Z51,AA51,AB51)=3,Z51&gt;=AA51,AA51&gt;=0,AB51=7),Z51-AA51,"")</f>
        <v>3</v>
      </c>
      <c r="J51" s="28" t="n">
        <f>IF(AND(COUNT(AF51,AG51,AH51)=3,AF51&gt;=AG51,AG51&gt;=0,AH51=14),AF51-AG51,"")</f>
        <v>10</v>
      </c>
      <c r="K51" s="28" t="n">
        <f>IF(AND(COUNT(AL51,AM51,AN51)=3,AL51&gt;=AM51,AM51&gt;=0,AN51=30),AL51-AM51,"")</f>
        <v>17</v>
      </c>
      <c r="L51" s="29" t="n">
        <f>IF(ISNUMBER(BI51),BI51/90,"")</f>
        <v>0.38513768881048394</v>
      </c>
      <c r="M51" s="28" t="n">
        <v>6</v>
      </c>
      <c r="N51" s="28" t="n">
        <v>0</v>
      </c>
      <c r="O51" s="28" t="n">
        <v>0</v>
      </c>
      <c r="P51" s="30" t="n">
        <f>IF(AND(ISNUMBER(L51),L51&gt;0,COUNT(M51:O51)=3,MIN(M51:O51)&gt;=0),SUM(M51:O51)/L51,"")</f>
        <v>15.578844071405438</v>
      </c>
      <c r="Q51" s="16" t="str">
        <v>沿用原计划SKU店铺</v>
      </c>
      <c r="R51" s="16" t="str">
        <v>已匹配</v>
      </c>
      <c r="S51" s="16" t="str">
        <v>在售</v>
      </c>
      <c r="T51" s="16" t="str">
        <v>32582</v>
      </c>
      <c r="U51" s="16" t="str">
        <v>豹纹</v>
      </c>
      <c r="V51" s="16" t="n">
        <v>8.5</v>
      </c>
      <c r="W51" s="8" t="str">
        <v>2026-10-11 至 2026-10-17</v>
      </c>
      <c r="X51" s="8" t="str">
        <v>2026-10-11、2026-10-12、2026-10-13、2026-10-14、2026-10-15、2026-10-16、2026-10-17</v>
      </c>
      <c r="Y51" s="8" t="str">
        <v>无</v>
      </c>
      <c r="Z51" s="8" t="n">
        <v>3</v>
      </c>
      <c r="AA51" s="8" t="n">
        <v>0</v>
      </c>
      <c r="AB51" s="8" t="n">
        <v>7</v>
      </c>
      <c r="AC51" s="8" t="str">
        <v>2026-10-02 至 2026-10-17</v>
      </c>
      <c r="AD51" s="8" t="str">
        <v>2026-10-02、2026-10-03、2026-10-04、2026-10-05、2026-10-08、2026-10-09、2026-10-10、2026-10-11、2026-10-12、2026-10-13、2026-10-14、2026-10-15、2026-10-16、2026-10-17</v>
      </c>
      <c r="AE51" s="8" t="str">
        <v>2026-10-06 大促；2026-10-07 大促</v>
      </c>
      <c r="AF51" s="8" t="n">
        <v>12</v>
      </c>
      <c r="AG51" s="8" t="n">
        <v>2</v>
      </c>
      <c r="AH51" s="8" t="n">
        <v>14</v>
      </c>
      <c r="AI51" s="8" t="str">
        <v>2026-09-16 至 2026-10-17</v>
      </c>
      <c r="AJ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1" s="8" t="str">
        <v>2026-10-06 大促；2026-10-07 大促</v>
      </c>
      <c r="AL51" s="8" t="n">
        <v>19</v>
      </c>
      <c r="AM51" s="8" t="n">
        <v>2</v>
      </c>
      <c r="AN51" s="8" t="n">
        <v>30</v>
      </c>
      <c r="AO51" s="8" t="str">
        <v>32582 / 豹纹羊京绒 / 6574</v>
      </c>
      <c r="AP51" s="11" t="n">
        <v>1.0395067087630607</v>
      </c>
      <c r="AQ51" s="11" t="n">
        <v>1.0395067087630607</v>
      </c>
      <c r="AR51" s="11" t="n">
        <v>1.0707336504782758</v>
      </c>
      <c r="AS51" s="11" t="n">
        <f>IF(AND(COUNT(I51:K51,AP51:AR51)=6,MIN(AP51:AR51)&gt;0),I51/7/AP51*0.5+J51/14/AQ51*0.3+K51/30/AR51*0.2,"")</f>
        <v>0.5181298947805013</v>
      </c>
      <c r="AT51" s="8" t="n">
        <v>30</v>
      </c>
      <c r="AU51" s="8" t="n">
        <v>2</v>
      </c>
      <c r="AV51" s="8" t="n">
        <v>88</v>
      </c>
      <c r="AW51" s="11" t="n">
        <f>IF(AND(COUNT(AT51:AV51)=3,AT51&gt;=AU51,AU51&gt;=0,AV51&gt;0),(AT51-AU51)/AV51,"")</f>
        <v>0.3181818181818182</v>
      </c>
      <c r="AX51" s="8" t="n">
        <v>49</v>
      </c>
      <c r="AY51" s="8" t="n">
        <v>2</v>
      </c>
      <c r="AZ51" s="8" t="n">
        <v>178</v>
      </c>
      <c r="BA51" s="11" t="n">
        <f>IF(AND(COUNT(AX51:AZ51)=3,AX51&gt;=AY51,AY51&gt;=0,AZ51&gt;0),(AX51-AY51)/AZ51,"")</f>
        <v>0.2640449438202247</v>
      </c>
      <c r="BB51" s="8" t="n">
        <f>IF(COUNT(AS51,AW51,BA51)=3,1,0)</f>
        <v>1</v>
      </c>
      <c r="BC51" s="11" t="n">
        <f>IF(SUMIF($AO$11:$AO$1309,AO51,$BB$11:$BB$1309)=COUNTIF($AO$11:$AO$1309,AO51),SUMIF($AO$11:$AO$1309,AO51,$AS$11:$AS$1309),"")</f>
        <v>2.517644694108243</v>
      </c>
      <c r="BD51" s="11" t="n">
        <f>IF(SUMIF($AO$11:$AO$1309,AO51,$BB$11:$BB$1309)=COUNTIF($AO$11:$AO$1309,AO51),SUMIF($AO$11:$AO$1309,AO51,$AW$11:$AW$1309),"")</f>
        <v>2.0255347593582886</v>
      </c>
      <c r="BE51" s="11" t="n">
        <f>IF(SUMIF($AO$11:$AO$1309,AO51,$BB$11:$BB$1309)=COUNTIF($AO$11:$AO$1309,AO51),SUMIF($AO$11:$AO$1309,AO51,$BA$11:$BA$1309),"")</f>
        <v>1.721701444622793</v>
      </c>
      <c r="BF51" s="12" t="n">
        <f>IF(COUNT(BD51:BE51)&lt;&gt;2,"",IF(AND(BD51&gt;0,BE51&gt;0),0.7*AW51/BD51+0.3*BA51/BE51,IF(BD51&gt;0,AW51/BD51,IF(BE51&gt;0,BA51/BE51,IF(AND(ISNUMBER(BH51),BH51=0),0,"")))))</f>
        <v>0.15596857680306625</v>
      </c>
      <c r="BG51" s="11" t="n">
        <f>IF(AND(COUNT(BN51:BU51)=8,MIN(BN51:BU51)&gt;=0),SUMPRODUCT(BN51:BQ51,BR51:BU51),"")</f>
        <v>88.27281580841549</v>
      </c>
      <c r="BH51" s="11" t="n">
        <f>IF(COUNT(BC51,BG51)=2,BC51*BG51,"")</f>
        <v>222.23958635405148</v>
      </c>
      <c r="BI51" s="11" t="n">
        <f>IF(ISNUMBER(CI51),CI51,"")</f>
        <v>34.662391992943554</v>
      </c>
      <c r="BJ51" s="8" t="str"/>
      <c r="BK51" s="8" t="str">
        <v>90天：2026-07-20 至 2026-10-17；180天：2026-04-21 至 2026-10-17</v>
      </c>
      <c r="BL51" s="8" t="str">
        <v>90天：2026-10-06、2026-10-07；180天：2026-10-06、2026-10-07</v>
      </c>
      <c r="BM51" s="8" t="str">
        <v>2026-10：12天 × 1.0395067087630607；2026-11：30天 × 0.9890368360033146；2026-12：31天 × 0.7800796503018808；2027-01：17天 × 1.2908918272824135</v>
      </c>
      <c r="BN51" s="11" t="n">
        <v>1.0395067087630607</v>
      </c>
      <c r="BO51" s="11" t="n">
        <v>0.9890368360033146</v>
      </c>
      <c r="BP51" s="11" t="n">
        <v>0.7800796503018808</v>
      </c>
      <c r="BQ51" s="11" t="n">
        <v>1.2908918272824135</v>
      </c>
      <c r="BR51" s="8" t="n">
        <v>12</v>
      </c>
      <c r="BS51" s="8" t="n">
        <v>30</v>
      </c>
      <c r="BT51" s="8" t="n">
        <v>31</v>
      </c>
      <c r="BU51" s="8" t="n">
        <v>17</v>
      </c>
      <c r="BV51" s="11" t="n">
        <f>IF(COUNT(BC51,BF51)=2,BC51*BF51,"")</f>
        <v>0.3926734598358537</v>
      </c>
      <c r="BW51" s="11" t="n">
        <f>IF(ISNUMBER(BN51),BN51,"")</f>
        <v>1.0395067087630607</v>
      </c>
      <c r="BX51" s="14" t="n">
        <f>IF(ISNUMBER(BR51),BR51,"")</f>
        <v>12</v>
      </c>
      <c r="BY51" s="13" t="n">
        <f>IF(AND(COUNT(BV51,BW51,BX51)=3,MIN(BV51,BW51,BX51)&gt;=0),BV51*BW51*BX51,"")</f>
        <v>4.898240350230867</v>
      </c>
      <c r="BZ51" s="11" t="n">
        <f>IF(ISNUMBER(BO51),BO51,"")</f>
        <v>0.9890368360033146</v>
      </c>
      <c r="CA51" s="14" t="n">
        <f>IF(ISNUMBER(BS51),BS51,"")</f>
        <v>30</v>
      </c>
      <c r="CB51" s="13" t="n">
        <f>IF(AND(COUNT(BV51,BZ51,CA51)=3,MIN(BV51,BZ51,CA51)&gt;=0),BV51*BZ51*CA51,"")</f>
        <v>11.651055488955823</v>
      </c>
      <c r="CC51" s="11" t="n">
        <f>IF(ISNUMBER(BP51),BP51,"")</f>
        <v>0.7800796503018808</v>
      </c>
      <c r="CD51" s="14" t="n">
        <f>IF(ISNUMBER(BT51),BT51,"")</f>
        <v>31</v>
      </c>
      <c r="CE51" s="13" t="n">
        <f>IF(AND(COUNT(BV51,CC51,CD51)=3,MIN(BV51,CC51,CD51)&gt;=0),BV51*CC51*CD51,"")</f>
        <v>9.495813832179055</v>
      </c>
      <c r="CF51" s="11" t="n">
        <f>IF(ISNUMBER(BQ51),BQ51,"")</f>
        <v>1.2908918272824135</v>
      </c>
      <c r="CG51" s="14" t="n">
        <f>IF(ISNUMBER(BU51),BU51,"")</f>
        <v>17</v>
      </c>
      <c r="CH51" s="13" t="n">
        <f>IF(AND(COUNT(BV51,CF51,CG51)=3,MIN(BV51,CF51,CG51)&gt;=0),BV51*CF51*CG51,"")</f>
        <v>8.617282321577814</v>
      </c>
      <c r="CI51" s="13" t="n">
        <f>IF(COUNT(BY51,CB51,CE51,CH51)=4,SUM(BY51,CB51,CE51,CH51),"")</f>
        <v>34.662391992943554</v>
      </c>
    </row>
    <row r="52" ht="72" customHeight="1">
      <c r="A52" s="16" t="str">
        <v>32582-LPB-38</v>
      </c>
      <c r="B52" s="16" t="str">
        <v>3店-SANDIEX-US</v>
      </c>
      <c r="C52" s="16" t="str">
        <v>徐新怡</v>
      </c>
      <c r="D52" s="26" t="n">
        <f>IF(NOT(ISNUMBER(E52)),"",IF(OR(E52&lt;=0,L52=0),0,IF(OR(NOT(ISNUMBER(F52)),F52&lt;0),"",MIN(E52,INT(F52)))))</f>
        <v>29</v>
      </c>
      <c r="E52" s="27" t="n">
        <f>IF(OR(NOT(ISNUMBER(L52)),COUNT(M52:O52)&lt;&gt;3,MIN(M52:O52)&lt;0),"",ROUNDUP(ROUND(BI52-SUM(M52:O52),10),0))</f>
        <v>29</v>
      </c>
      <c r="F52" s="28" t="n">
        <v>75</v>
      </c>
      <c r="G52" s="28" t="n">
        <f>IF(AND(ISNUMBER(D52),ISNUMBER(E52)),IF(OR(E52&lt;=0,L52=0),0,E52-D52),"")</f>
        <v>0</v>
      </c>
      <c r="H52" s="16" t="str">
        <f>IF(NOT(ISNUMBER(E52)),"销量或海外库存待补",IF(OR(E52&lt;=0,L52=0),IF(L52=0,"零日销，本批不发","本批无需补货"),IF(NOT(ISNUMBER(D52)),"国内库存待补",IF(D52=0,"国内无可用库存",IF(G52&gt;0,"先发国内现货","按建议量发货")))))</f>
        <v>按建议量发货</v>
      </c>
      <c r="I52" s="28" t="n">
        <f>IF(AND(COUNT(Z52,AA52,AB52)=3,Z52&gt;=AA52,AA52&gt;=0,AB52=7),Z52-AA52,"")</f>
        <v>3</v>
      </c>
      <c r="J52" s="28" t="n">
        <f>IF(AND(COUNT(AF52,AG52,AH52)=3,AF52&gt;=AG52,AG52&gt;=0,AH52=14),AF52-AG52,"")</f>
        <v>11</v>
      </c>
      <c r="K52" s="28" t="n">
        <f>IF(AND(COUNT(AL52,AM52,AN52)=3,AL52&gt;=AM52,AM52&gt;=0,AN52=30),AL52-AM52,"")</f>
        <v>15</v>
      </c>
      <c r="L52" s="29" t="n">
        <f>IF(ISNUMBER(BI52),BI52/90,"")</f>
        <v>0.40938700156006497</v>
      </c>
      <c r="M52" s="28" t="n">
        <v>8</v>
      </c>
      <c r="N52" s="28" t="n">
        <v>0</v>
      </c>
      <c r="O52" s="28" t="n">
        <v>0</v>
      </c>
      <c r="P52" s="30" t="n">
        <f>IF(AND(ISNUMBER(L52),L52&gt;0,COUNT(M52:O52)=3,MIN(M52:O52)&gt;=0),SUM(M52:O52)/L52,"")</f>
        <v>19.541411841397327</v>
      </c>
      <c r="Q52" s="16" t="str">
        <v>沿用原计划SKU店铺</v>
      </c>
      <c r="R52" s="16" t="str">
        <v>已匹配</v>
      </c>
      <c r="S52" s="16" t="str">
        <v>在售</v>
      </c>
      <c r="T52" s="16" t="str">
        <v>32582</v>
      </c>
      <c r="U52" s="16" t="str">
        <v>豹纹黑色内里</v>
      </c>
      <c r="V52" s="16" t="n">
        <v>7</v>
      </c>
      <c r="W52" s="8" t="str">
        <v>2026-10-11 至 2026-10-17</v>
      </c>
      <c r="X52" s="8" t="str">
        <v>2026-10-11、2026-10-12、2026-10-13、2026-10-14、2026-10-15、2026-10-16、2026-10-17</v>
      </c>
      <c r="Y52" s="8" t="str">
        <v>无</v>
      </c>
      <c r="Z52" s="8" t="n">
        <v>3</v>
      </c>
      <c r="AA52" s="8" t="n">
        <v>0</v>
      </c>
      <c r="AB52" s="8" t="n">
        <v>7</v>
      </c>
      <c r="AC52" s="8" t="str">
        <v>2026-10-02 至 2026-10-17</v>
      </c>
      <c r="AD52" s="8" t="str">
        <v>2026-10-02、2026-10-03、2026-10-04、2026-10-05、2026-10-08、2026-10-09、2026-10-10、2026-10-11、2026-10-12、2026-10-13、2026-10-14、2026-10-15、2026-10-16、2026-10-17</v>
      </c>
      <c r="AE52" s="8" t="str">
        <v>2026-10-06 大促；2026-10-07 大促</v>
      </c>
      <c r="AF52" s="8" t="n">
        <v>14</v>
      </c>
      <c r="AG52" s="8" t="n">
        <v>3</v>
      </c>
      <c r="AH52" s="8" t="n">
        <v>14</v>
      </c>
      <c r="AI52" s="8" t="str">
        <v>2026-09-16 至 2026-10-17</v>
      </c>
      <c r="AJ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2" s="8" t="str">
        <v>2026-10-06 大促；2026-10-07 大促</v>
      </c>
      <c r="AL52" s="8" t="n">
        <v>18</v>
      </c>
      <c r="AM52" s="8" t="n">
        <v>3</v>
      </c>
      <c r="AN52" s="8" t="n">
        <v>30</v>
      </c>
      <c r="AO52" s="8" t="str">
        <v>32582 / 豹纹黑色内里羊京绒 / 6574</v>
      </c>
      <c r="AP52" s="11" t="n">
        <v>1.0395067087630607</v>
      </c>
      <c r="AQ52" s="11" t="n">
        <v>1.0395067087630607</v>
      </c>
      <c r="AR52" s="11" t="n">
        <v>1.0707336504782758</v>
      </c>
      <c r="AS52" s="11" t="n">
        <f>IF(AND(COUNT(I52:K52,AP52:AR52)=6,MIN(AP52:AR52)&gt;0),I52/7/AP52*0.5+J52/14/AQ52*0.3+K52/30/AR52*0.2,"")</f>
        <v>0.5262915470075598</v>
      </c>
      <c r="AT52" s="8" t="n">
        <v>27</v>
      </c>
      <c r="AU52" s="8" t="n">
        <v>3</v>
      </c>
      <c r="AV52" s="8" t="n">
        <v>88</v>
      </c>
      <c r="AW52" s="11" t="n">
        <f>IF(AND(COUNT(AT52:AV52)=3,AT52&gt;=AU52,AU52&gt;=0,AV52&gt;0),(AT52-AU52)/AV52,"")</f>
        <v>0.2727272727272727</v>
      </c>
      <c r="AX52" s="8" t="n">
        <v>36</v>
      </c>
      <c r="AY52" s="8" t="n">
        <v>3</v>
      </c>
      <c r="AZ52" s="8" t="n">
        <v>178</v>
      </c>
      <c r="BA52" s="11" t="n">
        <f>IF(AND(COUNT(AX52:AZ52)=3,AX52&gt;=AY52,AY52&gt;=0,AZ52&gt;0),(AX52-AY52)/AZ52,"")</f>
        <v>0.1853932584269663</v>
      </c>
      <c r="BB52" s="8" t="n">
        <f>IF(COUNT(AS52,AW52,BA52)=3,1,0)</f>
        <v>1</v>
      </c>
      <c r="BC52" s="11" t="n">
        <f>IF(SUMIF($AO$11:$AO$1309,AO52,$BB$11:$BB$1309)=COUNTIF($AO$11:$AO$1309,AO52),SUMIF($AO$11:$AO$1309,AO52,$AS$11:$AS$1309),"")</f>
        <v>1.9131647321216234</v>
      </c>
      <c r="BD52" s="11" t="n">
        <f>IF(SUMIF($AO$11:$AO$1309,AO52,$BB$11:$BB$1309)=COUNTIF($AO$11:$AO$1309,AO52),SUMIF($AO$11:$AO$1309,AO52,$AW$11:$AW$1309),"")</f>
        <v>1.2065508021390374</v>
      </c>
      <c r="BE52" s="11" t="n">
        <f>IF(SUMIF($AO$11:$AO$1309,AO52,$BB$11:$BB$1309)=COUNTIF($AO$11:$AO$1309,AO52),SUMIF($AO$11:$AO$1309,AO52,$BA$11:$BA$1309),"")</f>
        <v>0.9278330658105939</v>
      </c>
      <c r="BF52" s="12" t="n">
        <f>IF(COUNT(BD52:BE52)&lt;&gt;2,"",IF(AND(BD52&gt;0,BE52&gt;0),0.7*AW52/BD52+0.3*BA52/BE52,IF(BD52&gt;0,AW52/BD52,IF(BE52&gt;0,BA52/BE52,IF(AND(ISNUMBER(BH52),BH52=0),0,"")))))</f>
        <v>0.21817109533007809</v>
      </c>
      <c r="BG52" s="11" t="n">
        <f>IF(AND(COUNT(BN52:BU52)=8,MIN(BN52:BU52)&gt;=0),SUMPRODUCT(BN52:BQ52,BR52:BU52),"")</f>
        <v>88.27281580841549</v>
      </c>
      <c r="BH52" s="11" t="n">
        <f>IF(COUNT(BC52,BG52)=2,BC52*BG52,"")</f>
        <v>168.8804380097286</v>
      </c>
      <c r="BI52" s="11" t="n">
        <f>IF(ISNUMBER(CI52),CI52,"")</f>
        <v>36.84483014040585</v>
      </c>
      <c r="BJ52" s="8" t="str"/>
      <c r="BK52" s="8" t="str">
        <v>90天：2026-07-20 至 2026-10-17；180天：2026-04-21 至 2026-10-17</v>
      </c>
      <c r="BL52" s="8" t="str">
        <v>90天：2026-10-06、2026-10-07；180天：2026-10-06、2026-10-07</v>
      </c>
      <c r="BM52" s="8" t="str">
        <v>2026-10：12天 × 1.0395067087630607；2026-11：30天 × 0.9890368360033146；2026-12：31天 × 0.7800796503018808；2027-01：17天 × 1.2908918272824135</v>
      </c>
      <c r="BN52" s="11" t="n">
        <v>1.0395067087630607</v>
      </c>
      <c r="BO52" s="11" t="n">
        <v>0.9890368360033146</v>
      </c>
      <c r="BP52" s="11" t="n">
        <v>0.7800796503018808</v>
      </c>
      <c r="BQ52" s="11" t="n">
        <v>1.2908918272824135</v>
      </c>
      <c r="BR52" s="8" t="n">
        <v>12</v>
      </c>
      <c r="BS52" s="8" t="n">
        <v>30</v>
      </c>
      <c r="BT52" s="8" t="n">
        <v>31</v>
      </c>
      <c r="BU52" s="8" t="n">
        <v>17</v>
      </c>
      <c r="BV52" s="11" t="n">
        <f>IF(COUNT(BC52,BF52)=2,BC52*BF52,"")</f>
        <v>0.41739724515385</v>
      </c>
      <c r="BW52" s="11" t="n">
        <f>IF(ISNUMBER(BN52),BN52,"")</f>
        <v>1.0395067087630607</v>
      </c>
      <c r="BX52" s="14" t="n">
        <f>IF(ISNUMBER(BR52),BR52,"")</f>
        <v>12</v>
      </c>
      <c r="BY52" s="13" t="n">
        <f>IF(AND(COUNT(BV52,BW52,BX52)=3,MIN(BV52,BW52,BX52)&gt;=0),BV52*BW52*BX52,"")</f>
        <v>5.206646838679764</v>
      </c>
      <c r="BZ52" s="11" t="n">
        <f>IF(ISNUMBER(BO52),BO52,"")</f>
        <v>0.9890368360033146</v>
      </c>
      <c r="CA52" s="14" t="n">
        <f>IF(ISNUMBER(BS52),BS52,"")</f>
        <v>30</v>
      </c>
      <c r="CB52" s="13" t="n">
        <f>IF(AND(COUNT(BV52,BZ52,CA52)=3,MIN(BV52,BZ52,CA52)&gt;=0),BV52*BZ52*CA52,"")</f>
        <v>12.38463752110391</v>
      </c>
      <c r="CC52" s="11" t="n">
        <f>IF(ISNUMBER(BP52),BP52,"")</f>
        <v>0.7800796503018808</v>
      </c>
      <c r="CD52" s="14" t="n">
        <f>IF(ISNUMBER(BT52),BT52,"")</f>
        <v>31</v>
      </c>
      <c r="CE52" s="13" t="n">
        <f>IF(AND(COUNT(BV52,CC52,CD52)=3,MIN(BV52,CC52,CD52)&gt;=0),BV52*CC52*CD52,"")</f>
        <v>10.093696008134094</v>
      </c>
      <c r="CF52" s="11" t="n">
        <f>IF(ISNUMBER(BQ52),BQ52,"")</f>
        <v>1.2908918272824135</v>
      </c>
      <c r="CG52" s="14" t="n">
        <f>IF(ISNUMBER(BU52),BU52,"")</f>
        <v>17</v>
      </c>
      <c r="CH52" s="13" t="n">
        <f>IF(AND(COUNT(BV52,CF52,CG52)=3,MIN(BV52,CF52,CG52)&gt;=0),BV52*CF52*CG52,"")</f>
        <v>9.159849772488082</v>
      </c>
      <c r="CI52" s="13" t="n">
        <f>IF(COUNT(BY52,CB52,CE52,CH52)=4,SUM(BY52,CB52,CE52,CH52),"")</f>
        <v>36.84483014040585</v>
      </c>
    </row>
    <row r="53" ht="72" customHeight="1">
      <c r="A53" s="16" t="str">
        <v>B06-BGP-38-N</v>
      </c>
      <c r="B53" s="16" t="str">
        <v>1店-MUSSHOE-US</v>
      </c>
      <c r="C53" s="16" t="str">
        <v>艾年</v>
      </c>
      <c r="D53" s="26" t="n">
        <f>IF(NOT(ISNUMBER(E53)),"",IF(OR(E53&lt;=0,L53=0),0,IF(OR(NOT(ISNUMBER(F53)),F53&lt;0),"",MIN(E53,INT(F53)))))</f>
        <v>29</v>
      </c>
      <c r="E53" s="27" t="n">
        <f>IF(OR(NOT(ISNUMBER(L53)),COUNT(M53:O53)&lt;&gt;3,MIN(M53:O53)&lt;0),"",ROUNDUP(ROUND(BI53-SUM(M53:O53),10),0))</f>
        <v>29</v>
      </c>
      <c r="F53" s="28" t="n">
        <v>33</v>
      </c>
      <c r="G53" s="28" t="n">
        <f>IF(AND(ISNUMBER(D53),ISNUMBER(E53)),IF(OR(E53&lt;=0,L53=0),0,E53-D53),"")</f>
        <v>0</v>
      </c>
      <c r="H53" s="16" t="str">
        <f>IF(NOT(ISNUMBER(E53)),"销量或海外库存待补",IF(OR(E53&lt;=0,L53=0),IF(L53=0,"零日销，本批不发","本批无需补货"),IF(NOT(ISNUMBER(D53)),"国内库存待补",IF(D53=0,"国内无可用库存",IF(G53&gt;0,"先发国内现货","按建议量发货")))))</f>
        <v>按建议量发货</v>
      </c>
      <c r="I53" s="28" t="n">
        <f>IF(AND(COUNT(Z53,AA53,AB53)=3,Z53&gt;=AA53,AA53&gt;=0,AB53=7),Z53-AA53,"")</f>
        <v>8</v>
      </c>
      <c r="J53" s="28" t="n">
        <f>IF(AND(COUNT(AF53,AG53,AH53)=3,AF53&gt;=AG53,AG53&gt;=0,AH53=14),AF53-AG53,"")</f>
        <v>11</v>
      </c>
      <c r="K53" s="28" t="n">
        <f>IF(AND(COUNT(AL53,AM53,AN53)=3,AL53&gt;=AM53,AM53&gt;=0,AN53=30),AL53-AM53,"")</f>
        <v>16</v>
      </c>
      <c r="L53" s="29" t="n">
        <f>IF(ISNUMBER(BI53),BI53/90,"")</f>
        <v>0.43036038955640143</v>
      </c>
      <c r="M53" s="28" t="n">
        <v>9</v>
      </c>
      <c r="N53" s="28" t="n">
        <v>0</v>
      </c>
      <c r="O53" s="28" t="n">
        <v>1</v>
      </c>
      <c r="P53" s="30" t="n">
        <f>IF(AND(ISNUMBER(L53),L53&gt;0,COUNT(M53:O53)=3,MIN(M53:O53)&gt;=0),SUM(M53:O53)/L53,"")</f>
        <v>23.236339223290525</v>
      </c>
      <c r="Q53" s="16" t="str">
        <v>沿用原计划SKU店铺</v>
      </c>
      <c r="R53" s="16" t="str">
        <v>已匹配</v>
      </c>
      <c r="S53" s="16" t="str">
        <v>在售</v>
      </c>
      <c r="T53" s="16" t="str">
        <v>B06</v>
      </c>
      <c r="U53" s="16" t="str">
        <v>米色PU</v>
      </c>
      <c r="V53" s="16" t="n">
        <v>7</v>
      </c>
      <c r="W53" s="8" t="str">
        <v>2026-10-11 至 2026-10-17</v>
      </c>
      <c r="X53" s="8" t="str">
        <v>2026-10-11、2026-10-12、2026-10-13、2026-10-14、2026-10-15、2026-10-16、2026-10-17</v>
      </c>
      <c r="Y53" s="8" t="str">
        <v>无</v>
      </c>
      <c r="Z53" s="8" t="n">
        <v>8</v>
      </c>
      <c r="AA53" s="8" t="n">
        <v>0</v>
      </c>
      <c r="AB53" s="8" t="n">
        <v>7</v>
      </c>
      <c r="AC53" s="8" t="str">
        <v>2026-10-02 至 2026-10-17</v>
      </c>
      <c r="AD53" s="8" t="str">
        <v>2026-10-02、2026-10-03、2026-10-04、2026-10-05、2026-10-08、2026-10-09、2026-10-10、2026-10-11、2026-10-12、2026-10-13、2026-10-14、2026-10-15、2026-10-16、2026-10-17</v>
      </c>
      <c r="AE53" s="8" t="str">
        <v>2026-10-06 大促；2026-10-07 大促</v>
      </c>
      <c r="AF53" s="8" t="n">
        <v>11</v>
      </c>
      <c r="AG53" s="8" t="n">
        <v>0</v>
      </c>
      <c r="AH53" s="8" t="n">
        <v>14</v>
      </c>
      <c r="AI53" s="8" t="str">
        <v>2026-09-16 至 2026-10-17</v>
      </c>
      <c r="AJ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3" s="8" t="str">
        <v>2026-10-06 大促；2026-10-07 大促</v>
      </c>
      <c r="AL53" s="8" t="n">
        <v>16</v>
      </c>
      <c r="AM53" s="8" t="n">
        <v>0</v>
      </c>
      <c r="AN53" s="8" t="n">
        <v>30</v>
      </c>
      <c r="AO53" s="8" t="str">
        <v>B06 / 米色PU / 13120</v>
      </c>
      <c r="AP53" s="11" t="n">
        <v>1.2247029157699902</v>
      </c>
      <c r="AQ53" s="11" t="n">
        <v>1.2247029157699902</v>
      </c>
      <c r="AR53" s="11" t="n">
        <v>1.1136940657346173</v>
      </c>
      <c r="AS53" s="11" t="n">
        <f>IF(AND(COUNT(I53:K53,AP53:AR53)=6,MIN(AP53:AR53)&gt;0),I53/7/AP53*0.5+J53/14/AQ53*0.3+K53/30/AR53*0.2,"")</f>
        <v>0.7548293103761624</v>
      </c>
      <c r="AT53" s="8" t="n">
        <v>44</v>
      </c>
      <c r="AU53" s="8" t="n">
        <v>0</v>
      </c>
      <c r="AV53" s="8" t="n">
        <v>88</v>
      </c>
      <c r="AW53" s="11" t="n">
        <f>IF(AND(COUNT(AT53:AV53)=3,AT53&gt;=AU53,AU53&gt;=0,AV53&gt;0),(AT53-AU53)/AV53,"")</f>
        <v>0.5</v>
      </c>
      <c r="AX53" s="8" t="n">
        <v>83</v>
      </c>
      <c r="AY53" s="8" t="n">
        <v>0</v>
      </c>
      <c r="AZ53" s="8" t="n">
        <v>178</v>
      </c>
      <c r="BA53" s="11" t="n">
        <f>IF(AND(COUNT(AX53:AZ53)=3,AX53&gt;=AY53,AY53&gt;=0,AZ53&gt;0),(AX53-AY53)/AZ53,"")</f>
        <v>0.46629213483146065</v>
      </c>
      <c r="BB53" s="8" t="n">
        <f>IF(COUNT(AS53,AW53,BA53)=3,1,0)</f>
        <v>1</v>
      </c>
      <c r="BC53" s="11" t="n">
        <f>IF(SUMIF($AO$11:$AO$1309,AO53,$BB$11:$BB$1309)=COUNTIF($AO$11:$AO$1309,AO53),SUMIF($AO$11:$AO$1309,AO53,$AS$11:$AS$1309),"")</f>
        <v>3.5783079906501625</v>
      </c>
      <c r="BD53" s="11" t="n">
        <f>IF(SUMIF($AO$11:$AO$1309,AO53,$BB$11:$BB$1309)=COUNTIF($AO$11:$AO$1309,AO53),SUMIF($AO$11:$AO$1309,AO53,$AW$11:$AW$1309),"")</f>
        <v>3.376306165099269</v>
      </c>
      <c r="BE53" s="11" t="n">
        <f>IF(SUMIF($AO$11:$AO$1309,AO53,$BB$11:$BB$1309)=COUNTIF($AO$11:$AO$1309,AO53),SUMIF($AO$11:$AO$1309,AO53,$BA$11:$BA$1309),"")</f>
        <v>3.2539198882752487</v>
      </c>
      <c r="BF53" s="12" t="n">
        <f>IF(COUNT(BD53:BE53)&lt;&gt;2,"",IF(AND(BD53&gt;0,BE53&gt;0),0.7*AW53/BD53+0.3*BA53/BE53,IF(BD53&gt;0,AW53/BD53,IF(BE53&gt;0,BA53/BE53,IF(AND(ISNUMBER(BH53),BH53=0),0,"")))))</f>
        <v>0.14665408389418755</v>
      </c>
      <c r="BG53" s="11" t="n">
        <f>IF(AND(COUNT(BN53:BU53)=8,MIN(BN53:BU53)&gt;=0),SUMPRODUCT(BN53:BQ53,BR53:BU53),"")</f>
        <v>73.80791239847399</v>
      </c>
      <c r="BH53" s="11" t="n">
        <f>IF(COUNT(BC53,BG53)=2,BC53*BG53,"")</f>
        <v>264.10744270866667</v>
      </c>
      <c r="BI53" s="11" t="n">
        <f>IF(ISNUMBER(CI53),CI53,"")</f>
        <v>38.73243506007613</v>
      </c>
      <c r="BJ53" s="8" t="str"/>
      <c r="BK53" s="8" t="str">
        <v>90天：2026-07-20 至 2026-10-17；180天：2026-04-21 至 2026-10-17</v>
      </c>
      <c r="BL53" s="8" t="str">
        <v>90天：2026-10-06、2026-10-07；180天：2026-10-06、2026-10-07</v>
      </c>
      <c r="BM53" s="8" t="str">
        <v>2026-10：12天 × 1.2247029157699902；2026-11：30天 × 0.8332682139098497；2026-12：31天 × 0.5511018253564084；2027-01：17天 × 1.0017220238758797</v>
      </c>
      <c r="BN53" s="11" t="n">
        <v>1.2247029157699902</v>
      </c>
      <c r="BO53" s="11" t="n">
        <v>0.8332682139098497</v>
      </c>
      <c r="BP53" s="11" t="n">
        <v>0.5511018253564084</v>
      </c>
      <c r="BQ53" s="11" t="n">
        <v>1.0017220238758797</v>
      </c>
      <c r="BR53" s="8" t="n">
        <v>12</v>
      </c>
      <c r="BS53" s="8" t="n">
        <v>30</v>
      </c>
      <c r="BT53" s="8" t="n">
        <v>31</v>
      </c>
      <c r="BU53" s="8" t="n">
        <v>17</v>
      </c>
      <c r="BV53" s="11" t="n">
        <f>IF(COUNT(BC53,BF53)=2,BC53*BF53,"")</f>
        <v>0.5247734802600506</v>
      </c>
      <c r="BW53" s="11" t="n">
        <f>IF(ISNUMBER(BN53),BN53,"")</f>
        <v>1.2247029157699902</v>
      </c>
      <c r="BX53" s="14" t="n">
        <f>IF(ISNUMBER(BR53),BR53,"")</f>
        <v>12</v>
      </c>
      <c r="BY53" s="13" t="n">
        <f>IF(AND(COUNT(BV53,BW53,BX53)=3,MIN(BV53,BW53,BX53)&gt;=0),BV53*BW53*BX53,"")</f>
        <v>7.712299336718992</v>
      </c>
      <c r="BZ53" s="11" t="n">
        <f>IF(ISNUMBER(BO53),BO53,"")</f>
        <v>0.8332682139098497</v>
      </c>
      <c r="CA53" s="14" t="n">
        <f>IF(ISNUMBER(BS53),BS53,"")</f>
        <v>30</v>
      </c>
      <c r="CB53" s="13" t="n">
        <f>IF(AND(COUNT(BV53,BZ53,CA53)=3,MIN(BV53,BZ53,CA53)&gt;=0),BV53*BZ53*CA53,"")</f>
        <v>13.118311818106443</v>
      </c>
      <c r="CC53" s="11" t="n">
        <f>IF(ISNUMBER(BP53),BP53,"")</f>
        <v>0.5511018253564084</v>
      </c>
      <c r="CD53" s="14" t="n">
        <f>IF(ISNUMBER(BT53),BT53,"")</f>
        <v>31</v>
      </c>
      <c r="CE53" s="13" t="n">
        <f>IF(AND(COUNT(BV53,CC53,CD53)=3,MIN(BV53,CC53,CD53)&gt;=0),BV53*CC53*CD53,"")</f>
        <v>8.96531230896842</v>
      </c>
      <c r="CF53" s="11" t="n">
        <f>IF(ISNUMBER(BQ53),BQ53,"")</f>
        <v>1.0017220238758797</v>
      </c>
      <c r="CG53" s="14" t="n">
        <f>IF(ISNUMBER(BU53),BU53,"")</f>
        <v>17</v>
      </c>
      <c r="CH53" s="13" t="n">
        <f>IF(AND(COUNT(BV53,CF53,CG53)=3,MIN(BV53,CF53,CG53)&gt;=0),BV53*CF53*CG53,"")</f>
        <v>8.936511596282276</v>
      </c>
      <c r="CI53" s="13" t="n">
        <f>IF(COUNT(BY53,CB53,CE53,CH53)=4,SUM(BY53,CB53,CE53,CH53),"")</f>
        <v>38.73243506007613</v>
      </c>
    </row>
    <row r="54" ht="72" customHeight="1">
      <c r="A54" s="16" t="str">
        <v>S02-BKP-38</v>
      </c>
      <c r="B54" s="16" t="str">
        <v>3店-SANDIEX-US</v>
      </c>
      <c r="C54" s="16" t="str">
        <v>陈晨</v>
      </c>
      <c r="D54" s="26" t="n">
        <f>IF(NOT(ISNUMBER(E54)),"",IF(OR(E54&lt;=0,L54=0),0,IF(OR(NOT(ISNUMBER(F54)),F54&lt;0),"",MIN(E54,INT(F54)))))</f>
        <v>29</v>
      </c>
      <c r="E54" s="27" t="n">
        <f>IF(OR(NOT(ISNUMBER(L54)),COUNT(M54:O54)&lt;&gt;3,MIN(M54:O54)&lt;0),"",ROUNDUP(ROUND(BI54-SUM(M54:O54),10),0))</f>
        <v>29</v>
      </c>
      <c r="F54" s="28" t="n">
        <v>57</v>
      </c>
      <c r="G54" s="28" t="n">
        <f>IF(AND(ISNUMBER(D54),ISNUMBER(E54)),IF(OR(E54&lt;=0,L54=0),0,E54-D54),"")</f>
        <v>0</v>
      </c>
      <c r="H54" s="16" t="str">
        <f>IF(NOT(ISNUMBER(E54)),"销量或海外库存待补",IF(OR(E54&lt;=0,L54=0),IF(L54=0,"零日销，本批不发","本批无需补货"),IF(NOT(ISNUMBER(D54)),"国内库存待补",IF(D54=0,"国内无可用库存",IF(G54&gt;0,"先发国内现货","按建议量发货")))))</f>
        <v>按建议量发货</v>
      </c>
      <c r="I54" s="28" t="n">
        <f>IF(AND(COUNT(Z54,AA54,AB54)=3,Z54&gt;=AA54,AA54&gt;=0,AB54=7),Z54-AA54,"")</f>
        <v>4</v>
      </c>
      <c r="J54" s="28" t="n">
        <f>IF(AND(COUNT(AF54,AG54,AH54)=3,AF54&gt;=AG54,AG54&gt;=0,AH54=14),AF54-AG54,"")</f>
        <v>10</v>
      </c>
      <c r="K54" s="28" t="n">
        <f>IF(AND(COUNT(AL54,AM54,AN54)=3,AL54&gt;=AM54,AM54&gt;=0,AN54=30),AL54-AM54,"")</f>
        <v>17</v>
      </c>
      <c r="L54" s="29" t="n">
        <f>IF(ISNUMBER(BI54),BI54/90,"")</f>
        <v>0.6394178964860511</v>
      </c>
      <c r="M54" s="28" t="n">
        <v>29</v>
      </c>
      <c r="N54" s="28" t="n">
        <v>0</v>
      </c>
      <c r="O54" s="28" t="n">
        <v>0</v>
      </c>
      <c r="P54" s="30" t="n">
        <f>IF(AND(ISNUMBER(L54),L54&gt;0,COUNT(M54:O54)=3,MIN(M54:O54)&gt;=0),SUM(M54:O54)/L54,"")</f>
        <v>45.3537509027676</v>
      </c>
      <c r="Q54" s="16" t="str">
        <v>沿用原计划SKU店铺</v>
      </c>
      <c r="R54" s="16" t="str">
        <v>已匹配</v>
      </c>
      <c r="S54" s="16" t="str">
        <v>在售</v>
      </c>
      <c r="T54" s="16" t="str">
        <v>S02</v>
      </c>
      <c r="U54" s="16" t="str">
        <v>黑色PU</v>
      </c>
      <c r="V54" s="16" t="n">
        <v>7</v>
      </c>
      <c r="W54" s="8" t="str">
        <v>2026-10-11 至 2026-10-17</v>
      </c>
      <c r="X54" s="8" t="str">
        <v>2026-10-11、2026-10-12、2026-10-13、2026-10-14、2026-10-15、2026-10-16、2026-10-17</v>
      </c>
      <c r="Y54" s="8" t="str">
        <v>无</v>
      </c>
      <c r="Z54" s="8" t="n">
        <v>4</v>
      </c>
      <c r="AA54" s="8" t="n">
        <v>0</v>
      </c>
      <c r="AB54" s="8" t="n">
        <v>7</v>
      </c>
      <c r="AC54" s="8" t="str">
        <v>2026-10-02 至 2026-10-17</v>
      </c>
      <c r="AD54" s="8" t="str">
        <v>2026-10-02、2026-10-03、2026-10-04、2026-10-05、2026-10-08、2026-10-09、2026-10-10、2026-10-11、2026-10-12、2026-10-13、2026-10-14、2026-10-15、2026-10-16、2026-10-17</v>
      </c>
      <c r="AE54" s="8" t="str">
        <v>2026-10-06 大促；2026-10-07 大促</v>
      </c>
      <c r="AF54" s="8" t="n">
        <v>14</v>
      </c>
      <c r="AG54" s="8" t="n">
        <v>4</v>
      </c>
      <c r="AH54" s="8" t="n">
        <v>14</v>
      </c>
      <c r="AI54" s="8" t="str">
        <v>2026-09-16 至 2026-10-17</v>
      </c>
      <c r="AJ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4" s="8" t="str">
        <v>2026-10-06 大促；2026-10-07 大促</v>
      </c>
      <c r="AL54" s="8" t="n">
        <v>21</v>
      </c>
      <c r="AM54" s="8" t="n">
        <v>4</v>
      </c>
      <c r="AN54" s="8" t="n">
        <v>30</v>
      </c>
      <c r="AO54" s="8" t="str">
        <v>S02 / 黑色PU / 6574</v>
      </c>
      <c r="AP54" s="11" t="n">
        <v>0.9634503791704667</v>
      </c>
      <c r="AQ54" s="11" t="n">
        <v>0.9634503791704667</v>
      </c>
      <c r="AR54" s="11" t="n">
        <v>0.902244307144596</v>
      </c>
      <c r="AS54" s="11" t="n">
        <f>IF(AND(COUNT(I54:K54,AP54:AR54)=6,MIN(AP54:AR54)&gt;0),I54/7/AP54*0.5+J54/14/AQ54*0.3+K54/30/AR54*0.2,"")</f>
        <v>0.6445807755488862</v>
      </c>
      <c r="AT54" s="8" t="n">
        <v>42</v>
      </c>
      <c r="AU54" s="8" t="n">
        <v>4</v>
      </c>
      <c r="AV54" s="8" t="n">
        <v>88</v>
      </c>
      <c r="AW54" s="11" t="n">
        <f>IF(AND(COUNT(AT54:AV54)=3,AT54&gt;=AU54,AU54&gt;=0,AV54&gt;0),(AT54-AU54)/AV54,"")</f>
        <v>0.4318181818181818</v>
      </c>
      <c r="AX54" s="8" t="n">
        <v>85</v>
      </c>
      <c r="AY54" s="8" t="n">
        <v>4</v>
      </c>
      <c r="AZ54" s="8" t="n">
        <v>178</v>
      </c>
      <c r="BA54" s="11" t="n">
        <f>IF(AND(COUNT(AX54:AZ54)=3,AX54&gt;=AY54,AY54&gt;=0,AZ54&gt;0),(AX54-AY54)/AZ54,"")</f>
        <v>0.4550561797752809</v>
      </c>
      <c r="BB54" s="8" t="n">
        <f>IF(COUNT(AS54,AW54,BA54)=3,1,0)</f>
        <v>1</v>
      </c>
      <c r="BC54" s="11" t="n">
        <f>IF(SUMIF($AO$11:$AO$1309,AO54,$BB$11:$BB$1309)=COUNTIF($AO$11:$AO$1309,AO54),SUMIF($AO$11:$AO$1309,AO54,$AS$11:$AS$1309),"")</f>
        <v>6.467825611843374</v>
      </c>
      <c r="BD54" s="11" t="n">
        <f>IF(SUMIF($AO$11:$AO$1309,AO54,$BB$11:$BB$1309)=COUNTIF($AO$11:$AO$1309,AO54),SUMIF($AO$11:$AO$1309,AO54,$AW$11:$AW$1309),"")</f>
        <v>4.170454545454546</v>
      </c>
      <c r="BE54" s="11" t="n">
        <f>IF(SUMIF($AO$11:$AO$1309,AO54,$BB$11:$BB$1309)=COUNTIF($AO$11:$AO$1309,AO54),SUMIF($AO$11:$AO$1309,AO54,$BA$11:$BA$1309),"")</f>
        <v>3.3820224719101124</v>
      </c>
      <c r="BF54" s="12" t="n">
        <f>IF(COUNT(BD54:BE54)&lt;&gt;2,"",IF(AND(BD54&gt;0,BE54&gt;0),0.7*AW54/BD54+0.3*BA54/BE54,IF(BD54&gt;0,AW54/BD54,IF(BE54&gt;0,BA54/BE54,IF(AND(ISNUMBER(BH54),BH54=0),0,"")))))</f>
        <v>0.11284501253768092</v>
      </c>
      <c r="BG54" s="11" t="n">
        <f>IF(AND(COUNT(BN54:BU54)=8,MIN(BN54:BU54)&gt;=0),SUMPRODUCT(BN54:BQ54,BR54:BU54),"")</f>
        <v>78.84726365280937</v>
      </c>
      <c r="BH54" s="11" t="n">
        <f>IF(COUNT(BC54,BG54)=2,BC54*BG54,"")</f>
        <v>509.9703512774076</v>
      </c>
      <c r="BI54" s="11" t="n">
        <f>IF(ISNUMBER(CI54),CI54,"")</f>
        <v>57.5476106837446</v>
      </c>
      <c r="BJ54" s="8" t="str"/>
      <c r="BK54" s="8" t="str">
        <v>90天：2026-07-20 至 2026-10-17；180天：2026-04-21 至 2026-10-17</v>
      </c>
      <c r="BL54" s="8" t="str">
        <v>90天：2026-10-06、2026-10-07；180天：2026-10-06、2026-10-07</v>
      </c>
      <c r="BM54" s="8" t="str">
        <v>2026-10：12天 × 0.9634503791704667；2026-11：30天 × 0.8585031562320637；2026-12：31天 × 0.7896606554092485；2027-01：17天 × 1.0030167116538329</v>
      </c>
      <c r="BN54" s="11" t="n">
        <v>0.9634503791704667</v>
      </c>
      <c r="BO54" s="11" t="n">
        <v>0.8585031562320637</v>
      </c>
      <c r="BP54" s="11" t="n">
        <v>0.7896606554092485</v>
      </c>
      <c r="BQ54" s="11" t="n">
        <v>1.0030167116538329</v>
      </c>
      <c r="BR54" s="8" t="n">
        <v>12</v>
      </c>
      <c r="BS54" s="8" t="n">
        <v>30</v>
      </c>
      <c r="BT54" s="8" t="n">
        <v>31</v>
      </c>
      <c r="BU54" s="8" t="n">
        <v>17</v>
      </c>
      <c r="BV54" s="11" t="n">
        <f>IF(COUNT(BC54,BF54)=2,BC54*BF54,"")</f>
        <v>0.7298618622599993</v>
      </c>
      <c r="BW54" s="11" t="n">
        <f>IF(ISNUMBER(BN54),BN54,"")</f>
        <v>0.9634503791704667</v>
      </c>
      <c r="BX54" s="14" t="n">
        <f>IF(ISNUMBER(BR54),BR54,"")</f>
        <v>12</v>
      </c>
      <c r="BY54" s="13" t="n">
        <f>IF(AND(COUNT(BV54,BW54,BX54)=3,MIN(BV54,BW54,BX54)&gt;=0),BV54*BW54*BX54,"")</f>
        <v>8.438228255237512</v>
      </c>
      <c r="BZ54" s="11" t="n">
        <f>IF(ISNUMBER(BO54),BO54,"")</f>
        <v>0.8585031562320637</v>
      </c>
      <c r="CA54" s="14" t="n">
        <f>IF(ISNUMBER(BS54),BS54,"")</f>
        <v>30</v>
      </c>
      <c r="CB54" s="13" t="n">
        <f>IF(AND(COUNT(BV54,BZ54,CA54)=3,MIN(BV54,BZ54,CA54)&gt;=0),BV54*BZ54*CA54,"")</f>
        <v>18.797661370908635</v>
      </c>
      <c r="CC54" s="11" t="n">
        <f>IF(ISNUMBER(BP54),BP54,"")</f>
        <v>0.7896606554092485</v>
      </c>
      <c r="CD54" s="14" t="n">
        <f>IF(ISNUMBER(BT54),BT54,"")</f>
        <v>31</v>
      </c>
      <c r="CE54" s="13" t="n">
        <f>IF(AND(COUNT(BV54,CC54,CD54)=3,MIN(BV54,CC54,CD54)&gt;=0),BV54*CC54*CD54,"")</f>
        <v>17.866639091823814</v>
      </c>
      <c r="CF54" s="11" t="n">
        <f>IF(ISNUMBER(BQ54),BQ54,"")</f>
        <v>1.0030167116538329</v>
      </c>
      <c r="CG54" s="14" t="n">
        <f>IF(ISNUMBER(BU54),BU54,"")</f>
        <v>17</v>
      </c>
      <c r="CH54" s="13" t="n">
        <f>IF(AND(COUNT(BV54,CF54,CG54)=3,MIN(BV54,CF54,CG54)&gt;=0),BV54*CF54*CG54,"")</f>
        <v>12.445081965774643</v>
      </c>
      <c r="CI54" s="13" t="n">
        <f>IF(COUNT(BY54,CB54,CE54,CH54)=4,SUM(BY54,CB54,CE54,CH54),"")</f>
        <v>57.5476106837446</v>
      </c>
    </row>
    <row r="55" ht="72" customHeight="1">
      <c r="A55" s="16" t="str">
        <v>S02a-TN-41</v>
      </c>
      <c r="B55" s="16" t="str">
        <v>3店-SANDIEX-US</v>
      </c>
      <c r="C55" s="16" t="str">
        <v>陈晨</v>
      </c>
      <c r="D55" s="26" t="n">
        <f>IF(NOT(ISNUMBER(E55)),"",IF(OR(E55&lt;=0,L55=0),0,IF(OR(NOT(ISNUMBER(F55)),F55&lt;0),"",MIN(E55,INT(F55)))))</f>
        <v>29</v>
      </c>
      <c r="E55" s="27" t="n">
        <f>IF(OR(NOT(ISNUMBER(L55)),COUNT(M55:O55)&lt;&gt;3,MIN(M55:O55)&lt;0),"",ROUNDUP(ROUND(BI55-SUM(M55:O55),10),0))</f>
        <v>29</v>
      </c>
      <c r="F55" s="28" t="n">
        <v>30</v>
      </c>
      <c r="G55" s="28" t="n">
        <f>IF(AND(ISNUMBER(D55),ISNUMBER(E55)),IF(OR(E55&lt;=0,L55=0),0,E55-D55),"")</f>
        <v>0</v>
      </c>
      <c r="H55" s="16" t="str">
        <f>IF(NOT(ISNUMBER(E55)),"销量或海外库存待补",IF(OR(E55&lt;=0,L55=0),IF(L55=0,"零日销，本批不发","本批无需补货"),IF(NOT(ISNUMBER(D55)),"国内库存待补",IF(D55=0,"国内无可用库存",IF(G55&gt;0,"先发国内现货","按建议量发货")))))</f>
        <v>按建议量发货</v>
      </c>
      <c r="I55" s="28" t="n">
        <f>IF(AND(COUNT(Z55,AA55,AB55)=3,Z55&gt;=AA55,AA55&gt;=0,AB55=7),Z55-AA55,"")</f>
        <v>2</v>
      </c>
      <c r="J55" s="28" t="n">
        <f>IF(AND(COUNT(AF55,AG55,AH55)=3,AF55&gt;=AG55,AG55&gt;=0,AH55=14),AF55-AG55,"")</f>
        <v>3</v>
      </c>
      <c r="K55" s="28" t="n">
        <f>IF(AND(COUNT(AL55,AM55,AN55)=3,AL55&gt;=AM55,AM55&gt;=0,AN55=30),AL55-AM55,"")</f>
        <v>10</v>
      </c>
      <c r="L55" s="29" t="n">
        <f>IF(ISNUMBER(BI55),BI55/90,"")</f>
        <v>0.6038111609123754</v>
      </c>
      <c r="M55" s="28" t="n">
        <v>26</v>
      </c>
      <c r="N55" s="28" t="n">
        <v>0</v>
      </c>
      <c r="O55" s="28" t="n">
        <v>0</v>
      </c>
      <c r="P55" s="30" t="n">
        <f>IF(AND(ISNUMBER(L55),L55&gt;0,COUNT(M55:O55)=3,MIN(M55:O55)&gt;=0),SUM(M55:O55)/L55,"")</f>
        <v>43.05982016084843</v>
      </c>
      <c r="Q55" s="16" t="str">
        <v>沿用原计划SKU店铺</v>
      </c>
      <c r="R55" s="16" t="str">
        <v>已匹配</v>
      </c>
      <c r="S55" s="16" t="str">
        <v>在售</v>
      </c>
      <c r="T55" s="16" t="str">
        <v>S02a</v>
      </c>
      <c r="U55" s="16" t="str">
        <v>驼色</v>
      </c>
      <c r="V55" s="16" t="n">
        <v>10</v>
      </c>
      <c r="W55" s="8" t="str">
        <v>2026-10-11 至 2026-10-17</v>
      </c>
      <c r="X55" s="8" t="str">
        <v>2026-10-11、2026-10-12、2026-10-13、2026-10-14、2026-10-15、2026-10-16、2026-10-17</v>
      </c>
      <c r="Y55" s="8" t="str">
        <v>无</v>
      </c>
      <c r="Z55" s="8" t="n">
        <v>2</v>
      </c>
      <c r="AA55" s="8" t="n">
        <v>0</v>
      </c>
      <c r="AB55" s="8" t="n">
        <v>7</v>
      </c>
      <c r="AC55" s="8" t="str">
        <v>2026-10-02 至 2026-10-17</v>
      </c>
      <c r="AD55" s="8" t="str">
        <v>2026-10-02、2026-10-03、2026-10-04、2026-10-05、2026-10-08、2026-10-09、2026-10-10、2026-10-11、2026-10-12、2026-10-13、2026-10-14、2026-10-15、2026-10-16、2026-10-17</v>
      </c>
      <c r="AE55" s="8" t="str">
        <v>2026-10-06 大促；2026-10-07 大促</v>
      </c>
      <c r="AF55" s="8" t="n">
        <v>7</v>
      </c>
      <c r="AG55" s="8" t="n">
        <v>4</v>
      </c>
      <c r="AH55" s="8" t="n">
        <v>14</v>
      </c>
      <c r="AI55" s="8" t="str">
        <v>2026-09-16 至 2026-10-17</v>
      </c>
      <c r="AJ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" s="8" t="str">
        <v>2026-10-06 大促；2026-10-07 大促</v>
      </c>
      <c r="AL55" s="8" t="n">
        <v>14</v>
      </c>
      <c r="AM55" s="8" t="n">
        <v>4</v>
      </c>
      <c r="AN55" s="8" t="n">
        <v>30</v>
      </c>
      <c r="AO55" s="8" t="str">
        <v>S02a / 驼色 / 6574</v>
      </c>
      <c r="AP55" s="11" t="n">
        <v>0.7647664488148722</v>
      </c>
      <c r="AQ55" s="11" t="n">
        <v>0.7647664488148722</v>
      </c>
      <c r="AR55" s="11" t="n">
        <v>0.8066052567225582</v>
      </c>
      <c r="AS55" s="11" t="n">
        <f>IF(AND(COUNT(I55:K55,AP55:AR55)=6,MIN(AP55:AR55)&gt;0),I55/7/AP55*0.5+J55/14/AQ55*0.3+K55/30/AR55*0.2,"")</f>
        <v>0.35350858848069233</v>
      </c>
      <c r="AT55" s="8" t="n">
        <v>20</v>
      </c>
      <c r="AU55" s="8" t="n">
        <v>4</v>
      </c>
      <c r="AV55" s="8" t="n">
        <v>88</v>
      </c>
      <c r="AW55" s="11" t="n">
        <f>IF(AND(COUNT(AT55:AV55)=3,AT55&gt;=AU55,AU55&gt;=0,AV55&gt;0),(AT55-AU55)/AV55,"")</f>
        <v>0.18181818181818182</v>
      </c>
      <c r="AX55" s="8" t="n">
        <v>41</v>
      </c>
      <c r="AY55" s="8" t="n">
        <v>4</v>
      </c>
      <c r="AZ55" s="8" t="n">
        <v>178</v>
      </c>
      <c r="BA55" s="11" t="n">
        <f>IF(AND(COUNT(AX55:AZ55)=3,AX55&gt;=AY55,AY55&gt;=0,AZ55&gt;0),(AX55-AY55)/AZ55,"")</f>
        <v>0.20786516853932585</v>
      </c>
      <c r="BB55" s="8" t="n">
        <f>IF(COUNT(AS55,AW55,BA55)=3,1,0)</f>
        <v>1</v>
      </c>
      <c r="BC55" s="11" t="n">
        <f>IF(SUMIF($AO$11:$AO$1309,AO55,$BB$11:$BB$1309)=COUNTIF($AO$11:$AO$1309,AO55),SUMIF($AO$11:$AO$1309,AO55,$AS$11:$AS$1309),"")</f>
        <v>4.646128546626029</v>
      </c>
      <c r="BD55" s="11" t="n">
        <f>IF(SUMIF($AO$11:$AO$1309,AO55,$BB$11:$BB$1309)=COUNTIF($AO$11:$AO$1309,AO55),SUMIF($AO$11:$AO$1309,AO55,$AW$11:$AW$1309),"")</f>
        <v>1.9772727272727275</v>
      </c>
      <c r="BE55" s="11" t="n">
        <f>IF(SUMIF($AO$11:$AO$1309,AO55,$BB$11:$BB$1309)=COUNTIF($AO$11:$AO$1309,AO55),SUMIF($AO$11:$AO$1309,AO55,$BA$11:$BA$1309),"")</f>
        <v>1.6629213483146066</v>
      </c>
      <c r="BF55" s="12" t="n">
        <f>IF(COUNT(BD55:BE55)&lt;&gt;2,"",IF(AND(BD55&gt;0,BE55&gt;0),0.7*AW55/BD55+0.3*BA55/BE55,IF(BD55&gt;0,AW55/BD55,IF(BE55&gt;0,BA55/BE55,IF(AND(ISNUMBER(BH55),BH55=0),0,"")))))</f>
        <v>0.10186781609195401</v>
      </c>
      <c r="BG55" s="11" t="n">
        <f>IF(AND(COUNT(BN55:BU55)=8,MIN(BN55:BU55)&gt;=0),SUMPRODUCT(BN55:BQ55,BR55:BU55),"")</f>
        <v>114.81944114457707</v>
      </c>
      <c r="BH55" s="11" t="n">
        <f>IF(COUNT(BC55,BG55)=2,BC55*BG55,"")</f>
        <v>533.4658832094667</v>
      </c>
      <c r="BI55" s="11" t="n">
        <f>IF(ISNUMBER(CI55),CI55,"")</f>
        <v>54.343004482113784</v>
      </c>
      <c r="BJ55" s="8" t="str"/>
      <c r="BK55" s="8" t="str">
        <v>90天：2026-07-20 至 2026-10-17；180天：2026-04-21 至 2026-10-17</v>
      </c>
      <c r="BL55" s="8" t="str">
        <v>90天：2026-10-06、2026-10-07；180天：2026-10-06、2026-10-07</v>
      </c>
      <c r="BM55" s="8" t="str">
        <v>2026-10：12天 × 0.7647664488148722；2026-11：30天 × 1.5248287781391903；2026-12：31天 × 1.2288250057360348；2027-01：17天 × 1.2825767786356366</v>
      </c>
      <c r="BN55" s="11" t="n">
        <v>0.7647664488148722</v>
      </c>
      <c r="BO55" s="11" t="n">
        <v>1.5248287781391903</v>
      </c>
      <c r="BP55" s="11" t="n">
        <v>1.2288250057360348</v>
      </c>
      <c r="BQ55" s="11" t="n">
        <v>1.2825767786356366</v>
      </c>
      <c r="BR55" s="8" t="n">
        <v>12</v>
      </c>
      <c r="BS55" s="8" t="n">
        <v>30</v>
      </c>
      <c r="BT55" s="8" t="n">
        <v>31</v>
      </c>
      <c r="BU55" s="8" t="n">
        <v>17</v>
      </c>
      <c r="BV55" s="11" t="n">
        <f>IF(COUNT(BC55,BF55)=2,BC55*BF55,"")</f>
        <v>0.4732909683272779</v>
      </c>
      <c r="BW55" s="11" t="n">
        <f>IF(ISNUMBER(BN55),BN55,"")</f>
        <v>0.7647664488148722</v>
      </c>
      <c r="BX55" s="14" t="n">
        <f>IF(ISNUMBER(BR55),BR55,"")</f>
        <v>12</v>
      </c>
      <c r="BY55" s="13" t="n">
        <f>IF(AND(COUNT(BV55,BW55,BX55)=3,MIN(BV55,BW55,BX55)&gt;=0),BV55*BW55*BX55,"")</f>
        <v>4.343484637245654</v>
      </c>
      <c r="BZ55" s="11" t="n">
        <f>IF(ISNUMBER(BO55),BO55,"")</f>
        <v>1.5248287781391903</v>
      </c>
      <c r="CA55" s="14" t="n">
        <f>IF(ISNUMBER(BS55),BS55,"")</f>
        <v>30</v>
      </c>
      <c r="CB55" s="13" t="n">
        <f>IF(AND(COUNT(BV55,BZ55,CA55)=3,MIN(BV55,BZ55,CA55)&gt;=0),BV55*BZ55*CA55,"")</f>
        <v>21.650630668163924</v>
      </c>
      <c r="CC55" s="11" t="n">
        <f>IF(ISNUMBER(BP55),BP55,"")</f>
        <v>1.2288250057360348</v>
      </c>
      <c r="CD55" s="14" t="n">
        <f>IF(ISNUMBER(BT55),BT55,"")</f>
        <v>31</v>
      </c>
      <c r="CE55" s="13" t="n">
        <f>IF(AND(COUNT(BV55,CC55,CD55)=3,MIN(BV55,CC55,CD55)&gt;=0),BV55*CC55*CD55,"")</f>
        <v>18.029345082957004</v>
      </c>
      <c r="CF55" s="11" t="n">
        <f>IF(ISNUMBER(BQ55),BQ55,"")</f>
        <v>1.2825767786356366</v>
      </c>
      <c r="CG55" s="14" t="n">
        <f>IF(ISNUMBER(BU55),BU55,"")</f>
        <v>17</v>
      </c>
      <c r="CH55" s="13" t="n">
        <f>IF(AND(COUNT(BV55,CF55,CG55)=3,MIN(BV55,CF55,CG55)&gt;=0),BV55*CF55*CG55,"")</f>
        <v>10.3195440937472</v>
      </c>
      <c r="CI55" s="13" t="n">
        <f>IF(COUNT(BY55,CB55,CE55,CH55)=4,SUM(BY55,CB55,CE55,CH55),"")</f>
        <v>54.343004482113784</v>
      </c>
    </row>
    <row r="56" ht="72" customHeight="1">
      <c r="A56" s="16" t="str">
        <v>2302153-BK-S-Z-6</v>
      </c>
      <c r="B56" s="16" t="str">
        <v>3店-SANDIEX-US</v>
      </c>
      <c r="C56" s="16" t="str">
        <v>徐新怡</v>
      </c>
      <c r="D56" s="26" t="n">
        <f>IF(NOT(ISNUMBER(E56)),"",IF(OR(E56&lt;=0,L56=0),0,IF(OR(NOT(ISNUMBER(F56)),F56&lt;0),"",MIN(E56,INT(F56)))))</f>
        <v>28</v>
      </c>
      <c r="E56" s="27" t="n">
        <f>IF(OR(NOT(ISNUMBER(L56)),COUNT(M56:O56)&lt;&gt;3,MIN(M56:O56)&lt;0),"",ROUNDUP(ROUND(BI56-SUM(M56:O56),10),0))</f>
        <v>28</v>
      </c>
      <c r="F56" s="28" t="n">
        <v>96</v>
      </c>
      <c r="G56" s="28" t="n">
        <f>IF(AND(ISNUMBER(D56),ISNUMBER(E56)),IF(OR(E56&lt;=0,L56=0),0,E56-D56),"")</f>
        <v>0</v>
      </c>
      <c r="H56" s="16" t="str">
        <f>IF(NOT(ISNUMBER(E56)),"销量或海外库存待补",IF(OR(E56&lt;=0,L56=0),IF(L56=0,"零日销，本批不发","本批无需补货"),IF(NOT(ISNUMBER(D56)),"国内库存待补",IF(D56=0,"国内无可用库存",IF(G56&gt;0,"先发国内现货","按建议量发货")))))</f>
        <v>按建议量发货</v>
      </c>
      <c r="I56" s="28" t="n">
        <f>IF(AND(COUNT(Z56,AA56,AB56)=3,Z56&gt;=AA56,AA56&gt;=0,AB56=7),Z56-AA56,"")</f>
        <v>12</v>
      </c>
      <c r="J56" s="28" t="n">
        <f>IF(AND(COUNT(AF56,AG56,AH56)=3,AF56&gt;=AG56,AG56&gt;=0,AH56=14),AF56-AG56,"")</f>
        <v>24</v>
      </c>
      <c r="K56" s="28" t="n">
        <f>IF(AND(COUNT(AL56,AM56,AN56)=3,AL56&gt;=AM56,AM56&gt;=0,AN56=30),AL56-AM56,"")</f>
        <v>38</v>
      </c>
      <c r="L56" s="29" t="n">
        <f>IF(ISNUMBER(BI56),BI56/90,"")</f>
        <v>0.8568040248994456</v>
      </c>
      <c r="M56" s="28" t="n">
        <v>49</v>
      </c>
      <c r="N56" s="28" t="n">
        <v>0</v>
      </c>
      <c r="O56" s="28" t="n">
        <v>1</v>
      </c>
      <c r="P56" s="30" t="n">
        <f>IF(AND(ISNUMBER(L56),L56&gt;0,COUNT(M56:O56)=3,MIN(M56:O56)&gt;=0),SUM(M56:O56)/L56,"")</f>
        <v>58.356401868989806</v>
      </c>
      <c r="Q56" s="16" t="str">
        <v>沿用原计划SKU店铺</v>
      </c>
      <c r="R56" s="16" t="str">
        <v>已匹配</v>
      </c>
      <c r="S56" s="16" t="str">
        <v>在售</v>
      </c>
      <c r="T56" s="16" t="str">
        <v>2302153</v>
      </c>
      <c r="U56" s="16" t="str">
        <v>黑色</v>
      </c>
      <c r="V56" s="16" t="n">
        <v>6</v>
      </c>
      <c r="W56" s="8" t="str">
        <v>2026-10-11 至 2026-10-17</v>
      </c>
      <c r="X56" s="8" t="str">
        <v>2026-10-11、2026-10-12、2026-10-13、2026-10-14、2026-10-15、2026-10-16、2026-10-17</v>
      </c>
      <c r="Y56" s="8" t="str">
        <v>无</v>
      </c>
      <c r="Z56" s="8" t="n">
        <v>12</v>
      </c>
      <c r="AA56" s="8" t="n">
        <v>0</v>
      </c>
      <c r="AB56" s="8" t="n">
        <v>7</v>
      </c>
      <c r="AC56" s="8" t="str">
        <v>2026-10-02 至 2026-10-17</v>
      </c>
      <c r="AD56" s="8" t="str">
        <v>2026-10-02、2026-10-03、2026-10-04、2026-10-05、2026-10-08、2026-10-09、2026-10-10、2026-10-11、2026-10-12、2026-10-13、2026-10-14、2026-10-15、2026-10-16、2026-10-17</v>
      </c>
      <c r="AE56" s="8" t="str">
        <v>2026-10-06 大促；2026-10-07 大促</v>
      </c>
      <c r="AF56" s="8" t="n">
        <v>28</v>
      </c>
      <c r="AG56" s="8" t="n">
        <v>4</v>
      </c>
      <c r="AH56" s="8" t="n">
        <v>14</v>
      </c>
      <c r="AI56" s="8" t="str">
        <v>2026-09-16 至 2026-10-17</v>
      </c>
      <c r="AJ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6" s="8" t="str">
        <v>2026-10-06 大促；2026-10-07 大促</v>
      </c>
      <c r="AL56" s="8" t="n">
        <v>42</v>
      </c>
      <c r="AM56" s="8" t="n">
        <v>4</v>
      </c>
      <c r="AN56" s="8" t="n">
        <v>30</v>
      </c>
      <c r="AO56" s="8" t="str">
        <v>2302153 / 黑色羊京绒 / 6574</v>
      </c>
      <c r="AP56" s="11" t="n">
        <v>1.7391279184229513</v>
      </c>
      <c r="AQ56" s="11" t="n">
        <v>1.7391279184229513</v>
      </c>
      <c r="AR56" s="11" t="n">
        <v>1.5731892896917212</v>
      </c>
      <c r="AS56" s="11" t="n">
        <f>IF(AND(COUNT(I56:K56,AP56:AR56)=6,MIN(AP56:AR56)&gt;0),I56/7/AP56*0.5+J56/14/AQ56*0.3+K56/30/AR56*0.2,"")</f>
        <v>0.9496042616755883</v>
      </c>
      <c r="AT56" s="8" t="n">
        <v>71</v>
      </c>
      <c r="AU56" s="8" t="n">
        <v>4</v>
      </c>
      <c r="AV56" s="8" t="n">
        <v>88</v>
      </c>
      <c r="AW56" s="11" t="n">
        <f>IF(AND(COUNT(AT56:AV56)=3,AT56&gt;=AU56,AU56&gt;=0,AV56&gt;0),(AT56-AU56)/AV56,"")</f>
        <v>0.7613636363636364</v>
      </c>
      <c r="AX56" s="8" t="n">
        <v>118</v>
      </c>
      <c r="AY56" s="8" t="n">
        <v>4</v>
      </c>
      <c r="AZ56" s="8" t="n">
        <v>178</v>
      </c>
      <c r="BA56" s="11" t="n">
        <f>IF(AND(COUNT(AX56:AZ56)=3,AX56&gt;=AY56,AY56&gt;=0,AZ56&gt;0),(AX56-AY56)/AZ56,"")</f>
        <v>0.6404494382022472</v>
      </c>
      <c r="BB56" s="8" t="n">
        <f>IF(COUNT(AS56,AW56,BA56)=3,1,0)</f>
        <v>1</v>
      </c>
      <c r="BC56" s="11" t="n">
        <f>IF(SUMIF($AO$11:$AO$1309,AO56,$BB$11:$BB$1309)=COUNTIF($AO$11:$AO$1309,AO56),SUMIF($AO$11:$AO$1309,AO56,$AS$11:$AS$1309),"")</f>
        <v>14.203593194271557</v>
      </c>
      <c r="BD56" s="11" t="n">
        <f>IF(SUMIF($AO$11:$AO$1309,AO56,$BB$11:$BB$1309)=COUNTIF($AO$11:$AO$1309,AO56),SUMIF($AO$11:$AO$1309,AO56,$AW$11:$AW$1309),"")</f>
        <v>15.818181818181818</v>
      </c>
      <c r="BE56" s="11" t="n">
        <f>IF(SUMIF($AO$11:$AO$1309,AO56,$BB$11:$BB$1309)=COUNTIF($AO$11:$AO$1309,AO56),SUMIF($AO$11:$AO$1309,AO56,$BA$11:$BA$1309),"")</f>
        <v>12.07865168539326</v>
      </c>
      <c r="BF56" s="12" t="n">
        <f>IF(COUNT(BD56:BE56)&lt;&gt;2,"",IF(AND(BD56&gt;0,BE56&gt;0),0.7*AW56/BD56+0.3*BA56/BE56,IF(BD56&gt;0,AW56/BD56,IF(BE56&gt;0,BA56/BE56,IF(AND(ISNUMBER(BH56),BH56=0),0,"")))))</f>
        <v>0.04959950547981823</v>
      </c>
      <c r="BG56" s="11" t="n">
        <f>IF(AND(COUNT(BN56:BU56)=8,MIN(BN56:BU56)&gt;=0),SUMPRODUCT(BN56:BQ56,BR56:BU56),"")</f>
        <v>109.4582336985339</v>
      </c>
      <c r="BH56" s="11" t="n">
        <f>IF(COUNT(BC56,BG56)=2,BC56*BG56,"")</f>
        <v>1554.7002232174816</v>
      </c>
      <c r="BI56" s="11" t="n">
        <f>IF(ISNUMBER(CI56),CI56,"")</f>
        <v>77.1123622409501</v>
      </c>
      <c r="BJ56" s="8" t="str"/>
      <c r="BK56" s="8" t="str">
        <v>90天：2026-07-20 至 2026-10-17；180天：2026-04-21 至 2026-10-17</v>
      </c>
      <c r="BL56" s="8" t="str">
        <v>90天：2026-10-06、2026-10-07；180天：2026-10-06、2026-10-07</v>
      </c>
      <c r="BM56" s="8" t="str">
        <v>2026-10：12天 × 1.7391279184229513；2026-11：30天 × 1.4002077845513243；2026-12：31天 × 1.079339935625147；2027-01：17天 × 0.7719368903846591</v>
      </c>
      <c r="BN56" s="11" t="n">
        <v>1.7391279184229513</v>
      </c>
      <c r="BO56" s="11" t="n">
        <v>1.4002077845513243</v>
      </c>
      <c r="BP56" s="11" t="n">
        <v>1.079339935625147</v>
      </c>
      <c r="BQ56" s="11" t="n">
        <v>0.7719368903846591</v>
      </c>
      <c r="BR56" s="8" t="n">
        <v>12</v>
      </c>
      <c r="BS56" s="8" t="n">
        <v>30</v>
      </c>
      <c r="BT56" s="8" t="n">
        <v>31</v>
      </c>
      <c r="BU56" s="8" t="n">
        <v>17</v>
      </c>
      <c r="BV56" s="11" t="n">
        <f>IF(COUNT(BC56,BF56)=2,BC56*BF56,"")</f>
        <v>0.704491198472381</v>
      </c>
      <c r="BW56" s="11" t="n">
        <f>IF(ISNUMBER(BN56),BN56,"")</f>
        <v>1.7391279184229513</v>
      </c>
      <c r="BX56" s="14" t="n">
        <f>IF(ISNUMBER(BR56),BR56,"")</f>
        <v>12</v>
      </c>
      <c r="BY56" s="13" t="n">
        <f>IF(AND(COUNT(BV56,BW56,BX56)=3,MIN(BV56,BW56,BX56)&gt;=0),BV56*BW56*BX56,"")</f>
        <v>14.702403738558747</v>
      </c>
      <c r="BZ56" s="11" t="n">
        <f>IF(ISNUMBER(BO56),BO56,"")</f>
        <v>1.4002077845513243</v>
      </c>
      <c r="CA56" s="14" t="n">
        <f>IF(ISNUMBER(BS56),BS56,"")</f>
        <v>30</v>
      </c>
      <c r="CB56" s="13" t="n">
        <f>IF(AND(COUNT(BV56,BZ56,CA56)=3,MIN(BV56,BZ56,CA56)&gt;=0),BV56*BZ56*CA56,"")</f>
        <v>29.593021807467597</v>
      </c>
      <c r="CC56" s="11" t="n">
        <f>IF(ISNUMBER(BP56),BP56,"")</f>
        <v>1.079339935625147</v>
      </c>
      <c r="CD56" s="14" t="n">
        <f>IF(ISNUMBER(BT56),BT56,"")</f>
        <v>31</v>
      </c>
      <c r="CE56" s="13" t="n">
        <f>IF(AND(COUNT(BV56,CC56,CD56)=3,MIN(BV56,CC56,CD56)&gt;=0),BV56*CC56*CD56,"")</f>
        <v>23.57195002903753</v>
      </c>
      <c r="CF56" s="11" t="n">
        <f>IF(ISNUMBER(BQ56),BQ56,"")</f>
        <v>0.7719368903846591</v>
      </c>
      <c r="CG56" s="14" t="n">
        <f>IF(ISNUMBER(BU56),BU56,"")</f>
        <v>17</v>
      </c>
      <c r="CH56" s="13" t="n">
        <f>IF(AND(COUNT(BV56,CF56,CG56)=3,MIN(BV56,CF56,CG56)&gt;=0),BV56*CF56*CG56,"")</f>
        <v>9.244986665886234</v>
      </c>
      <c r="CI56" s="13" t="n">
        <f>IF(COUNT(BY56,CB56,CE56,CH56)=4,SUM(BY56,CB56,CE56,CH56),"")</f>
        <v>77.1123622409501</v>
      </c>
    </row>
    <row r="57" ht="72" customHeight="1">
      <c r="A57" s="16" t="str">
        <v>B07-LP-39-by</v>
      </c>
      <c r="B57" s="16" t="str">
        <v>4店-彬郁-US</v>
      </c>
      <c r="C57" s="16" t="str">
        <v>艾年</v>
      </c>
      <c r="D57" s="26" t="n">
        <f>IF(NOT(ISNUMBER(E57)),"",IF(OR(E57&lt;=0,L57=0),0,IF(OR(NOT(ISNUMBER(F57)),F57&lt;0),"",MIN(E57,INT(F57)))))</f>
        <v>27</v>
      </c>
      <c r="E57" s="27" t="n">
        <f>IF(OR(NOT(ISNUMBER(L57)),COUNT(M57:O57)&lt;&gt;3,MIN(M57:O57)&lt;0),"",ROUNDUP(ROUND(BI57-SUM(M57:O57),10),0))</f>
        <v>94</v>
      </c>
      <c r="F57" s="28" t="n">
        <v>27</v>
      </c>
      <c r="G57" s="28" t="n">
        <f>IF(AND(ISNUMBER(D57),ISNUMBER(E57)),IF(OR(E57&lt;=0,L57=0),0,E57-D57),"")</f>
        <v>67</v>
      </c>
      <c r="H57" s="16" t="str">
        <f>IF(NOT(ISNUMBER(E57)),"销量或海外库存待补",IF(OR(E57&lt;=0,L57=0),IF(L57=0,"零日销，本批不发","本批无需补货"),IF(NOT(ISNUMBER(D57)),"国内库存待补",IF(D57=0,"国内无可用库存",IF(G57&gt;0,"先发国内现货","按建议量发货")))))</f>
        <v>先发国内现货</v>
      </c>
      <c r="I57" s="28" t="n">
        <f>IF(AND(COUNT(Z57,AA57,AB57)=3,Z57&gt;=AA57,AA57&gt;=0,AB57=7),Z57-AA57,"")</f>
        <v>5</v>
      </c>
      <c r="J57" s="28" t="n">
        <f>IF(AND(COUNT(AF57,AG57,AH57)=3,AF57&gt;=AG57,AG57&gt;=0,AH57=14),AF57-AG57,"")</f>
        <v>12</v>
      </c>
      <c r="K57" s="28" t="n">
        <f>IF(AND(COUNT(AL57,AM57,AN57)=3,AL57&gt;=AM57,AM57&gt;=0,AN57=30),AL57-AM57,"")</f>
        <v>22</v>
      </c>
      <c r="L57" s="29" t="n">
        <f>IF(ISNUMBER(BI57),BI57/90,"")</f>
        <v>1.158598177212186</v>
      </c>
      <c r="M57" s="28" t="n">
        <v>11</v>
      </c>
      <c r="N57" s="28" t="n">
        <v>0</v>
      </c>
      <c r="O57" s="28" t="n">
        <v>0</v>
      </c>
      <c r="P57" s="30" t="n">
        <f>IF(AND(ISNUMBER(L57),L57&gt;0,COUNT(M57:O57)=3,MIN(M57:O57)&gt;=0),SUM(M57:O57)/L57,"")</f>
        <v>9.494232095607256</v>
      </c>
      <c r="Q57" s="16" t="str">
        <v>沿用原计划SKU店铺</v>
      </c>
      <c r="R57" s="16" t="str">
        <v>已匹配</v>
      </c>
      <c r="S57" s="16" t="str">
        <v>在售</v>
      </c>
      <c r="T57" s="16" t="str">
        <v>B07</v>
      </c>
      <c r="U57" s="16" t="str">
        <v>豹纹羊京绒</v>
      </c>
      <c r="V57" s="16" t="n">
        <v>8</v>
      </c>
      <c r="W57" s="8" t="str">
        <v>2026-10-11 至 2026-10-17</v>
      </c>
      <c r="X57" s="8" t="str">
        <v>2026-10-11、2026-10-12、2026-10-13、2026-10-14、2026-10-15、2026-10-16、2026-10-17</v>
      </c>
      <c r="Y57" s="8" t="str">
        <v>无</v>
      </c>
      <c r="Z57" s="8" t="n">
        <v>5</v>
      </c>
      <c r="AA57" s="8" t="n">
        <v>0</v>
      </c>
      <c r="AB57" s="8" t="n">
        <v>7</v>
      </c>
      <c r="AC57" s="8" t="str">
        <v>2026-10-02 至 2026-10-17</v>
      </c>
      <c r="AD57" s="8" t="str">
        <v>2026-10-02、2026-10-03、2026-10-04、2026-10-05、2026-10-08、2026-10-09、2026-10-10、2026-10-11、2026-10-12、2026-10-13、2026-10-14、2026-10-15、2026-10-16、2026-10-17</v>
      </c>
      <c r="AE57" s="8" t="str">
        <v>2026-10-06 大促；2026-10-07 大促</v>
      </c>
      <c r="AF57" s="8" t="n">
        <v>27</v>
      </c>
      <c r="AG57" s="8" t="n">
        <v>15</v>
      </c>
      <c r="AH57" s="8" t="n">
        <v>14</v>
      </c>
      <c r="AI57" s="8" t="str">
        <v>2026-09-16 至 2026-10-17</v>
      </c>
      <c r="AJ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" s="8" t="str">
        <v>2026-10-06 大促；2026-10-07 大促</v>
      </c>
      <c r="AL57" s="8" t="n">
        <v>37</v>
      </c>
      <c r="AM57" s="8" t="n">
        <v>15</v>
      </c>
      <c r="AN57" s="8" t="n">
        <v>30</v>
      </c>
      <c r="AO57" s="8" t="str">
        <v>B07 / 豹纹羊京绒 / 13306</v>
      </c>
      <c r="AP57" s="11" t="n">
        <v>0.7307750238224848</v>
      </c>
      <c r="AQ57" s="11" t="n">
        <v>0.7307750238224848</v>
      </c>
      <c r="AR57" s="11" t="n">
        <v>0.7449809054134506</v>
      </c>
      <c r="AS57" s="11" t="n">
        <f>IF(AND(COUNT(I57:K57,AP57:AR57)=6,MIN(AP57:AR57)&gt;0),I57/7/AP57*0.5+J57/14/AQ57*0.3+K57/30/AR57*0.2,"")</f>
        <v>1.037467894949087</v>
      </c>
      <c r="AT57" s="8" t="n">
        <v>93</v>
      </c>
      <c r="AU57" s="8" t="n">
        <v>15</v>
      </c>
      <c r="AV57" s="8" t="n">
        <v>88</v>
      </c>
      <c r="AW57" s="11" t="n">
        <f>IF(AND(COUNT(AT57:AV57)=3,AT57&gt;=AU57,AU57&gt;=0,AV57&gt;0),(AT57-AU57)/AV57,"")</f>
        <v>0.8863636363636364</v>
      </c>
      <c r="AX57" s="8" t="n">
        <v>139</v>
      </c>
      <c r="AY57" s="8" t="n">
        <v>15</v>
      </c>
      <c r="AZ57" s="8" t="n">
        <v>178</v>
      </c>
      <c r="BA57" s="11" t="n">
        <f>IF(AND(COUNT(AX57:AZ57)=3,AX57&gt;=AY57,AY57&gt;=0,AZ57&gt;0),(AX57-AY57)/AZ57,"")</f>
        <v>0.6966292134831461</v>
      </c>
      <c r="BB57" s="8" t="n">
        <f>IF(COUNT(AS57,AW57,BA57)=3,1,0)</f>
        <v>1</v>
      </c>
      <c r="BC57" s="11" t="n">
        <f>IF(SUMIF($AO$11:$AO$1309,AO57,$BB$11:$BB$1309)=COUNTIF($AO$11:$AO$1309,AO57),SUMIF($AO$11:$AO$1309,AO57,$AS$11:$AS$1309),"")</f>
        <v>6.767888169262786</v>
      </c>
      <c r="BD57" s="11" t="n">
        <f>IF(SUMIF($AO$11:$AO$1309,AO57,$BB$11:$BB$1309)=COUNTIF($AO$11:$AO$1309,AO57),SUMIF($AO$11:$AO$1309,AO57,$AW$11:$AW$1309),"")</f>
        <v>4.467607105538139</v>
      </c>
      <c r="BE57" s="11" t="n">
        <f>IF(SUMIF($AO$11:$AO$1309,AO57,$BB$11:$BB$1309)=COUNTIF($AO$11:$AO$1309,AO57),SUMIF($AO$11:$AO$1309,AO57,$BA$11:$BA$1309),"")</f>
        <v>3.6192153875452298</v>
      </c>
      <c r="BF57" s="12" t="n">
        <f>IF(COUNT(BD57:BE57)&lt;&gt;2,"",IF(AND(BD57&gt;0,BE57&gt;0),0.7*AW57/BD57+0.3*BA57/BE57,IF(BD57&gt;0,AW57/BD57,IF(BE57&gt;0,BA57/BE57,IF(AND(ISNUMBER(BH57),BH57=0),0,"")))))</f>
        <v>0.19662271221799363</v>
      </c>
      <c r="BG57" s="11" t="n">
        <f>IF(AND(COUNT(BN57:BU57)=8,MIN(BN57:BU57)&gt;=0),SUMPRODUCT(BN57:BQ57,BR57:BU57),"")</f>
        <v>78.35892944347341</v>
      </c>
      <c r="BH57" s="11" t="n">
        <f>IF(COUNT(BC57,BG57)=2,BC57*BG57,"")</f>
        <v>530.3244715365811</v>
      </c>
      <c r="BI57" s="11" t="n">
        <f>IF(ISNUMBER(CI57),CI57,"")</f>
        <v>104.27383594909674</v>
      </c>
      <c r="BJ57" s="8" t="str"/>
      <c r="BK57" s="8" t="str">
        <v>90天：2026-07-20 至 2026-10-17；180天：2026-04-21 至 2026-10-17</v>
      </c>
      <c r="BL57" s="8" t="str">
        <v>90天：2026-10-06、2026-10-07；180天：2026-10-06、2026-10-07</v>
      </c>
      <c r="BM57" s="8" t="str">
        <v>2026-10：12天 × 0.7307750238224848；2026-11：30天 × 0.9523018155490097；2026-12：31天 × 0.5958545198749097；2027-01：17天 × 1.3264167397065354</v>
      </c>
      <c r="BN57" s="11" t="n">
        <v>0.7307750238224848</v>
      </c>
      <c r="BO57" s="11" t="n">
        <v>0.9523018155490097</v>
      </c>
      <c r="BP57" s="11" t="n">
        <v>0.5958545198749097</v>
      </c>
      <c r="BQ57" s="11" t="n">
        <v>1.3264167397065354</v>
      </c>
      <c r="BR57" s="8" t="n">
        <v>12</v>
      </c>
      <c r="BS57" s="8" t="n">
        <v>30</v>
      </c>
      <c r="BT57" s="8" t="n">
        <v>31</v>
      </c>
      <c r="BU57" s="8" t="n">
        <v>17</v>
      </c>
      <c r="BV57" s="11" t="n">
        <f>IF(COUNT(BC57,BF57)=2,BC57*BF57,"")</f>
        <v>1.3307205278285206</v>
      </c>
      <c r="BW57" s="11" t="n">
        <f>IF(ISNUMBER(BN57),BN57,"")</f>
        <v>0.7307750238224848</v>
      </c>
      <c r="BX57" s="14" t="n">
        <f>IF(ISNUMBER(BR57),BR57,"")</f>
        <v>12</v>
      </c>
      <c r="BY57" s="13" t="n">
        <f>IF(AND(COUNT(BV57,BW57,BX57)=3,MIN(BV57,BW57,BX57)&gt;=0),BV57*BW57*BX57,"")</f>
        <v>11.66948790509948</v>
      </c>
      <c r="BZ57" s="11" t="n">
        <f>IF(ISNUMBER(BO57),BO57,"")</f>
        <v>0.9523018155490097</v>
      </c>
      <c r="CA57" s="14" t="n">
        <f>IF(ISNUMBER(BS57),BS57,"")</f>
        <v>30</v>
      </c>
      <c r="CB57" s="13" t="n">
        <f>IF(AND(COUNT(BV57,BZ57,CA57)=3,MIN(BV57,BZ57,CA57)&gt;=0),BV57*BZ57*CA57,"")</f>
        <v>38.0174272391831</v>
      </c>
      <c r="CC57" s="11" t="n">
        <f>IF(ISNUMBER(BP57),BP57,"")</f>
        <v>0.5958545198749097</v>
      </c>
      <c r="CD57" s="14" t="n">
        <f>IF(ISNUMBER(BT57),BT57,"")</f>
        <v>31</v>
      </c>
      <c r="CE57" s="13" t="n">
        <f>IF(AND(COUNT(BV57,CC57,CD57)=3,MIN(BV57,CC57,CD57)&gt;=0),BV57*CC57*CD57,"")</f>
        <v>24.580391077105432</v>
      </c>
      <c r="CF57" s="11" t="n">
        <f>IF(ISNUMBER(BQ57),BQ57,"")</f>
        <v>1.3264167397065354</v>
      </c>
      <c r="CG57" s="14" t="n">
        <f>IF(ISNUMBER(BU57),BU57,"")</f>
        <v>17</v>
      </c>
      <c r="CH57" s="13" t="n">
        <f>IF(AND(COUNT(BV57,CF57,CG57)=3,MIN(BV57,CF57,CG57)&gt;=0),BV57*CF57*CG57,"")</f>
        <v>30.006529727708724</v>
      </c>
      <c r="CI57" s="13" t="n">
        <f>IF(COUNT(BY57,CB57,CE57,CH57)=4,SUM(BY57,CB57,CE57,CH57),"")</f>
        <v>104.27383594909674</v>
      </c>
    </row>
    <row r="58" ht="72" customHeight="1">
      <c r="A58" s="16" t="str">
        <v>2302153-BK-S-Z-9.5</v>
      </c>
      <c r="B58" s="16" t="str">
        <v>3店-SANDIEX-US</v>
      </c>
      <c r="C58" s="16" t="str">
        <v>徐新怡</v>
      </c>
      <c r="D58" s="26" t="n">
        <f>IF(NOT(ISNUMBER(E58)),"",IF(OR(E58&lt;=0,L58=0),0,IF(OR(NOT(ISNUMBER(F58)),F58&lt;0),"",MIN(E58,INT(F58)))))</f>
        <v>27</v>
      </c>
      <c r="E58" s="27" t="n">
        <f>IF(OR(NOT(ISNUMBER(L58)),COUNT(M58:O58)&lt;&gt;3,MIN(M58:O58)&lt;0),"",ROUNDUP(ROUND(BI58-SUM(M58:O58),10),0))</f>
        <v>27</v>
      </c>
      <c r="F58" s="28" t="n">
        <v>98</v>
      </c>
      <c r="G58" s="28" t="n">
        <f>IF(AND(ISNUMBER(D58),ISNUMBER(E58)),IF(OR(E58&lt;=0,L58=0),0,E58-D58),"")</f>
        <v>0</v>
      </c>
      <c r="H58" s="16" t="str">
        <f>IF(NOT(ISNUMBER(E58)),"销量或海外库存待补",IF(OR(E58&lt;=0,L58=0),IF(L58=0,"零日销，本批不发","本批无需补货"),IF(NOT(ISNUMBER(D58)),"国内库存待补",IF(D58=0,"国内无可用库存",IF(G58&gt;0,"先发国内现货","按建议量发货")))))</f>
        <v>按建议量发货</v>
      </c>
      <c r="I58" s="28" t="n">
        <f>IF(AND(COUNT(Z58,AA58,AB58)=3,Z58&gt;=AA58,AA58&gt;=0,AB58=7),Z58-AA58,"")</f>
        <v>14</v>
      </c>
      <c r="J58" s="28" t="n">
        <f>IF(AND(COUNT(AF58,AG58,AH58)=3,AF58&gt;=AG58,AG58&gt;=0,AH58=14),AF58-AG58,"")</f>
        <v>30</v>
      </c>
      <c r="K58" s="28" t="n">
        <f>IF(AND(COUNT(AL58,AM58,AN58)=3,AL58&gt;=AM58,AM58&gt;=0,AN58=30),AL58-AM58,"")</f>
        <v>65</v>
      </c>
      <c r="L58" s="29" t="n">
        <f>IF(ISNUMBER(BI58),BI58/90,"")</f>
        <v>1.6591711466193761</v>
      </c>
      <c r="M58" s="28" t="n">
        <v>97</v>
      </c>
      <c r="N58" s="28" t="n">
        <v>13</v>
      </c>
      <c r="O58" s="28" t="n">
        <v>13</v>
      </c>
      <c r="P58" s="30" t="n">
        <f>IF(AND(ISNUMBER(L58),L58&gt;0,COUNT(M58:O58)=3,MIN(M58:O58)&gt;=0),SUM(M58:O58)/L58,"")</f>
        <v>74.13340103618432</v>
      </c>
      <c r="Q58" s="16" t="str">
        <v>沿用原计划SKU店铺</v>
      </c>
      <c r="R58" s="16" t="str">
        <v>已匹配</v>
      </c>
      <c r="S58" s="16" t="str">
        <v>在售</v>
      </c>
      <c r="T58" s="16" t="str">
        <v>2302153</v>
      </c>
      <c r="U58" s="16" t="str">
        <v>黑色</v>
      </c>
      <c r="V58" s="16" t="n">
        <v>9.5</v>
      </c>
      <c r="W58" s="8" t="str">
        <v>2026-10-11 至 2026-10-17</v>
      </c>
      <c r="X58" s="8" t="str">
        <v>2026-10-11、2026-10-12、2026-10-13、2026-10-14、2026-10-15、2026-10-16、2026-10-17</v>
      </c>
      <c r="Y58" s="8" t="str">
        <v>无</v>
      </c>
      <c r="Z58" s="8" t="n">
        <v>14</v>
      </c>
      <c r="AA58" s="8" t="n">
        <v>0</v>
      </c>
      <c r="AB58" s="8" t="n">
        <v>7</v>
      </c>
      <c r="AC58" s="8" t="str">
        <v>2026-10-02 至 2026-10-17</v>
      </c>
      <c r="AD58" s="8" t="str">
        <v>2026-10-02、2026-10-03、2026-10-04、2026-10-05、2026-10-08、2026-10-09、2026-10-10、2026-10-11、2026-10-12、2026-10-13、2026-10-14、2026-10-15、2026-10-16、2026-10-17</v>
      </c>
      <c r="AE58" s="8" t="str">
        <v>2026-10-06 大促；2026-10-07 大促</v>
      </c>
      <c r="AF58" s="8" t="n">
        <v>42</v>
      </c>
      <c r="AG58" s="8" t="n">
        <v>12</v>
      </c>
      <c r="AH58" s="8" t="n">
        <v>14</v>
      </c>
      <c r="AI58" s="8" t="str">
        <v>2026-09-16 至 2026-10-17</v>
      </c>
      <c r="AJ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" s="8" t="str">
        <v>2026-10-06 大促；2026-10-07 大促</v>
      </c>
      <c r="AL58" s="8" t="n">
        <v>77</v>
      </c>
      <c r="AM58" s="8" t="n">
        <v>12</v>
      </c>
      <c r="AN58" s="8" t="n">
        <v>30</v>
      </c>
      <c r="AO58" s="8" t="str">
        <v>2302153 / 黑色羊京绒 / 6574</v>
      </c>
      <c r="AP58" s="11" t="n">
        <v>1.7391279184229513</v>
      </c>
      <c r="AQ58" s="11" t="n">
        <v>1.7391279184229513</v>
      </c>
      <c r="AR58" s="11" t="n">
        <v>1.5731892896917212</v>
      </c>
      <c r="AS58" s="11" t="n">
        <f>IF(AND(COUNT(I58:K58,AP58:AR58)=6,MIN(AP58:AR58)&gt;0),I58/7/AP58*0.5+J58/14/AQ58*0.3+K58/30/AR58*0.2,"")</f>
        <v>1.2200931709906526</v>
      </c>
      <c r="AT58" s="8" t="n">
        <v>150</v>
      </c>
      <c r="AU58" s="8" t="n">
        <v>12</v>
      </c>
      <c r="AV58" s="8" t="n">
        <v>88</v>
      </c>
      <c r="AW58" s="11" t="n">
        <f>IF(AND(COUNT(AT58:AV58)=3,AT58&gt;=AU58,AU58&gt;=0,AV58&gt;0),(AT58-AU58)/AV58,"")</f>
        <v>1.5681818181818181</v>
      </c>
      <c r="AX58" s="8" t="n">
        <v>203</v>
      </c>
      <c r="AY58" s="8" t="n">
        <v>12</v>
      </c>
      <c r="AZ58" s="8" t="n">
        <v>178</v>
      </c>
      <c r="BA58" s="11" t="n">
        <f>IF(AND(COUNT(AX58:AZ58)=3,AX58&gt;=AY58,AY58&gt;=0,AZ58&gt;0),(AX58-AY58)/AZ58,"")</f>
        <v>1.0730337078651686</v>
      </c>
      <c r="BB58" s="8" t="n">
        <f>IF(COUNT(AS58,AW58,BA58)=3,1,0)</f>
        <v>1</v>
      </c>
      <c r="BC58" s="11" t="n">
        <f>IF(SUMIF($AO$11:$AO$1309,AO58,$BB$11:$BB$1309)=COUNTIF($AO$11:$AO$1309,AO58),SUMIF($AO$11:$AO$1309,AO58,$AS$11:$AS$1309),"")</f>
        <v>14.203593194271557</v>
      </c>
      <c r="BD58" s="11" t="n">
        <f>IF(SUMIF($AO$11:$AO$1309,AO58,$BB$11:$BB$1309)=COUNTIF($AO$11:$AO$1309,AO58),SUMIF($AO$11:$AO$1309,AO58,$AW$11:$AW$1309),"")</f>
        <v>15.818181818181818</v>
      </c>
      <c r="BE58" s="11" t="n">
        <f>IF(SUMIF($AO$11:$AO$1309,AO58,$BB$11:$BB$1309)=COUNTIF($AO$11:$AO$1309,AO58),SUMIF($AO$11:$AO$1309,AO58,$BA$11:$BA$1309),"")</f>
        <v>12.07865168539326</v>
      </c>
      <c r="BF58" s="12" t="n">
        <f>IF(COUNT(BD58:BE58)&lt;&gt;2,"",IF(AND(BD58&gt;0,BE58&gt;0),0.7*AW58/BD58+0.3*BA58/BE58,IF(BD58&gt;0,AW58/BD58,IF(BE58&gt;0,BA58/BE58,IF(AND(ISNUMBER(BH58),BH58=0),0,"")))))</f>
        <v>0.0960477145148356</v>
      </c>
      <c r="BG58" s="11" t="n">
        <f>IF(AND(COUNT(BN58:BU58)=8,MIN(BN58:BU58)&gt;=0),SUMPRODUCT(BN58:BQ58,BR58:BU58),"")</f>
        <v>109.4582336985339</v>
      </c>
      <c r="BH58" s="11" t="n">
        <f>IF(COUNT(BC58,BG58)=2,BC58*BG58,"")</f>
        <v>1554.7002232174816</v>
      </c>
      <c r="BI58" s="11" t="n">
        <f>IF(ISNUMBER(CI58),CI58,"")</f>
        <v>149.32540319574386</v>
      </c>
      <c r="BJ58" s="8" t="str"/>
      <c r="BK58" s="8" t="str">
        <v>90天：2026-07-20 至 2026-10-17；180天：2026-04-21 至 2026-10-17</v>
      </c>
      <c r="BL58" s="8" t="str">
        <v>90天：2026-10-06、2026-10-07；180天：2026-10-06、2026-10-07</v>
      </c>
      <c r="BM58" s="8" t="str">
        <v>2026-10：12天 × 1.7391279184229513；2026-11：30天 × 1.4002077845513243；2026-12：31天 × 1.079339935625147；2027-01：17天 × 0.7719368903846591</v>
      </c>
      <c r="BN58" s="11" t="n">
        <v>1.7391279184229513</v>
      </c>
      <c r="BO58" s="11" t="n">
        <v>1.4002077845513243</v>
      </c>
      <c r="BP58" s="11" t="n">
        <v>1.079339935625147</v>
      </c>
      <c r="BQ58" s="11" t="n">
        <v>0.7719368903846591</v>
      </c>
      <c r="BR58" s="8" t="n">
        <v>12</v>
      </c>
      <c r="BS58" s="8" t="n">
        <v>30</v>
      </c>
      <c r="BT58" s="8" t="n">
        <v>31</v>
      </c>
      <c r="BU58" s="8" t="n">
        <v>17</v>
      </c>
      <c r="BV58" s="11" t="n">
        <f>IF(COUNT(BC58,BF58)=2,BC58*BF58,"")</f>
        <v>1.3642226642082562</v>
      </c>
      <c r="BW58" s="11" t="n">
        <f>IF(ISNUMBER(BN58),BN58,"")</f>
        <v>1.7391279184229513</v>
      </c>
      <c r="BX58" s="14" t="n">
        <f>IF(ISNUMBER(BR58),BR58,"")</f>
        <v>12</v>
      </c>
      <c r="BY58" s="13" t="n">
        <f>IF(AND(COUNT(BV58,BW58,BX58)=3,MIN(BV58,BW58,BX58)&gt;=0),BV58*BW58*BX58,"")</f>
        <v>28.470692667239014</v>
      </c>
      <c r="BZ58" s="11" t="n">
        <f>IF(ISNUMBER(BO58),BO58,"")</f>
        <v>1.4002077845513243</v>
      </c>
      <c r="CA58" s="14" t="n">
        <f>IF(ISNUMBER(BS58),BS58,"")</f>
        <v>30</v>
      </c>
      <c r="CB58" s="13" t="n">
        <f>IF(AND(COUNT(BV58,BZ58,CA58)=3,MIN(BV58,BZ58,CA58)&gt;=0),BV58*BZ58*CA58,"")</f>
        <v>57.30585582857243</v>
      </c>
      <c r="CC58" s="11" t="n">
        <f>IF(ISNUMBER(BP58),BP58,"")</f>
        <v>1.079339935625147</v>
      </c>
      <c r="CD58" s="14" t="n">
        <f>IF(ISNUMBER(BT58),BT58,"")</f>
        <v>31</v>
      </c>
      <c r="CE58" s="13" t="n">
        <f>IF(AND(COUNT(BV58,CC58,CD58)=3,MIN(BV58,CC58,CD58)&gt;=0),BV58*CC58*CD58,"")</f>
        <v>45.646260079512075</v>
      </c>
      <c r="CF58" s="11" t="n">
        <f>IF(ISNUMBER(BQ58),BQ58,"")</f>
        <v>0.7719368903846591</v>
      </c>
      <c r="CG58" s="14" t="n">
        <f>IF(ISNUMBER(BU58),BU58,"")</f>
        <v>17</v>
      </c>
      <c r="CH58" s="13" t="n">
        <f>IF(AND(COUNT(BV58,CF58,CG58)=3,MIN(BV58,CF58,CG58)&gt;=0),BV58*CF58*CG58,"")</f>
        <v>17.902594620420338</v>
      </c>
      <c r="CI58" s="13" t="n">
        <f>IF(COUNT(BY58,CB58,CE58,CH58)=4,SUM(BY58,CB58,CE58,CH58),"")</f>
        <v>149.32540319574386</v>
      </c>
    </row>
    <row r="59" ht="72" customHeight="1">
      <c r="A59" s="16" t="str">
        <v>2302153-CC-S-Z-8</v>
      </c>
      <c r="B59" s="16" t="str">
        <v>3店-SANDIEX-US</v>
      </c>
      <c r="C59" s="16" t="str">
        <v>徐新怡</v>
      </c>
      <c r="D59" s="26" t="n">
        <f>IF(NOT(ISNUMBER(E59)),"",IF(OR(E59&lt;=0,L59=0),0,IF(OR(NOT(ISNUMBER(F59)),F59&lt;0),"",MIN(E59,INT(F59)))))</f>
        <v>26</v>
      </c>
      <c r="E59" s="27" t="n">
        <f>IF(OR(NOT(ISNUMBER(L59)),COUNT(M59:O59)&lt;&gt;3,MIN(M59:O59)&lt;0),"",ROUNDUP(ROUND(BI59-SUM(M59:O59),10),0))</f>
        <v>26</v>
      </c>
      <c r="F59" s="28" t="n">
        <v>167</v>
      </c>
      <c r="G59" s="28" t="n">
        <f>IF(AND(ISNUMBER(D59),ISNUMBER(E59)),IF(OR(E59&lt;=0,L59=0),0,E59-D59),"")</f>
        <v>0</v>
      </c>
      <c r="H59" s="16" t="str">
        <f>IF(NOT(ISNUMBER(E59)),"销量或海外库存待补",IF(OR(E59&lt;=0,L59=0),IF(L59=0,"零日销，本批不发","本批无需补货"),IF(NOT(ISNUMBER(D59)),"国内库存待补",IF(D59=0,"国内无可用库存",IF(G59&gt;0,"先发国内现货","按建议量发货")))))</f>
        <v>按建议量发货</v>
      </c>
      <c r="I59" s="28" t="n">
        <f>IF(AND(COUNT(Z59,AA59,AB59)=3,Z59&gt;=AA59,AA59&gt;=0,AB59=7),Z59-AA59,"")</f>
        <v>2</v>
      </c>
      <c r="J59" s="28" t="n">
        <f>IF(AND(COUNT(AF59,AG59,AH59)=3,AF59&gt;=AG59,AG59&gt;=0,AH59=14),AF59-AG59,"")</f>
        <v>2</v>
      </c>
      <c r="K59" s="28" t="n">
        <f>IF(AND(COUNT(AL59,AM59,AN59)=3,AL59&gt;=AM59,AM59&gt;=0,AN59=30),AL59-AM59,"")</f>
        <v>21</v>
      </c>
      <c r="L59" s="29" t="n">
        <f>IF(ISNUMBER(BI59),BI59/90,"")</f>
        <v>0.34709759319662226</v>
      </c>
      <c r="M59" s="28" t="n">
        <v>6</v>
      </c>
      <c r="N59" s="28" t="n">
        <v>0</v>
      </c>
      <c r="O59" s="28" t="n">
        <v>0</v>
      </c>
      <c r="P59" s="30" t="n">
        <f>IF(AND(ISNUMBER(L59),L59&gt;0,COUNT(M59:O59)=3,MIN(M59:O59)&gt;=0),SUM(M59:O59)/L59,"")</f>
        <v>17.286204564954005</v>
      </c>
      <c r="Q59" s="16" t="str">
        <v>沿用原计划SKU店铺</v>
      </c>
      <c r="R59" s="16" t="str">
        <v>已匹配</v>
      </c>
      <c r="S59" s="16" t="str">
        <v>在售</v>
      </c>
      <c r="T59" s="16" t="str">
        <v>2302153</v>
      </c>
      <c r="U59" s="16" t="str">
        <v>驼色</v>
      </c>
      <c r="V59" s="16" t="n">
        <v>8</v>
      </c>
      <c r="W59" s="8" t="str">
        <v>2026-10-11 至 2026-10-17</v>
      </c>
      <c r="X59" s="8" t="str">
        <v>2026-10-11、2026-10-12、2026-10-13、2026-10-14、2026-10-15、2026-10-16、2026-10-17</v>
      </c>
      <c r="Y59" s="8" t="str">
        <v>无</v>
      </c>
      <c r="Z59" s="8" t="n">
        <v>2</v>
      </c>
      <c r="AA59" s="8" t="n">
        <v>0</v>
      </c>
      <c r="AB59" s="8" t="n">
        <v>7</v>
      </c>
      <c r="AC59" s="8" t="str">
        <v>2026-10-02 至 2026-10-17</v>
      </c>
      <c r="AD59" s="8" t="str">
        <v>2026-10-02、2026-10-03、2026-10-04、2026-10-05、2026-10-08、2026-10-09、2026-10-10、2026-10-11、2026-10-12、2026-10-13、2026-10-14、2026-10-15、2026-10-16、2026-10-17</v>
      </c>
      <c r="AE59" s="8" t="str">
        <v>2026-10-06 大促；2026-10-07 大促</v>
      </c>
      <c r="AF59" s="8" t="n">
        <v>3</v>
      </c>
      <c r="AG59" s="8" t="n">
        <v>1</v>
      </c>
      <c r="AH59" s="8" t="n">
        <v>14</v>
      </c>
      <c r="AI59" s="8" t="str">
        <v>2026-09-16 至 2026-10-17</v>
      </c>
      <c r="AJ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" s="8" t="str">
        <v>2026-10-06 大促；2026-10-07 大促</v>
      </c>
      <c r="AL59" s="8" t="n">
        <v>22</v>
      </c>
      <c r="AM59" s="8" t="n">
        <v>1</v>
      </c>
      <c r="AN59" s="8" t="n">
        <v>30</v>
      </c>
      <c r="AO59" s="8" t="str">
        <v>2302153 / 驼色羊京绒 / 6574</v>
      </c>
      <c r="AP59" s="11" t="n">
        <v>1.7391279184229513</v>
      </c>
      <c r="AQ59" s="11" t="n">
        <v>1.7391279184229513</v>
      </c>
      <c r="AR59" s="11" t="n">
        <v>1.5731892896917212</v>
      </c>
      <c r="AS59" s="11" t="n">
        <f>IF(AND(COUNT(I59:K59,AP59:AR59)=6,MIN(AP59:AR59)&gt;0),I59/7/AP59*0.5+J59/14/AQ59*0.3+K59/30/AR59*0.2,"")</f>
        <v>0.1957770670679677</v>
      </c>
      <c r="AT59" s="8" t="n">
        <v>65</v>
      </c>
      <c r="AU59" s="8" t="n">
        <v>1</v>
      </c>
      <c r="AV59" s="8" t="n">
        <v>88</v>
      </c>
      <c r="AW59" s="11" t="n">
        <f>IF(AND(COUNT(AT59:AV59)=3,AT59&gt;=AU59,AU59&gt;=0,AV59&gt;0),(AT59-AU59)/AV59,"")</f>
        <v>0.7272727272727273</v>
      </c>
      <c r="AX59" s="8" t="n">
        <v>75</v>
      </c>
      <c r="AY59" s="8" t="n">
        <v>1</v>
      </c>
      <c r="AZ59" s="8" t="n">
        <v>178</v>
      </c>
      <c r="BA59" s="11" t="n">
        <f>IF(AND(COUNT(AX59:AZ59)=3,AX59&gt;=AY59,AY59&gt;=0,AZ59&gt;0),(AX59-AY59)/AZ59,"")</f>
        <v>0.4157303370786517</v>
      </c>
      <c r="BB59" s="8" t="n">
        <f>IF(COUNT(AS59,AW59,BA59)=3,1,0)</f>
        <v>1</v>
      </c>
      <c r="BC59" s="11" t="n">
        <f>IF(SUMIF($AO$11:$AO$1309,AO59,$BB$11:$BB$1309)=COUNTIF($AO$11:$AO$1309,AO59),SUMIF($AO$11:$AO$1309,AO59,$AS$11:$AS$1309),"")</f>
        <v>1.1381504473731563</v>
      </c>
      <c r="BD59" s="11" t="n">
        <f>IF(SUMIF($AO$11:$AO$1309,AO59,$BB$11:$BB$1309)=COUNTIF($AO$11:$AO$1309,AO59),SUMIF($AO$11:$AO$1309,AO59,$AW$11:$AW$1309),"")</f>
        <v>2.9545454545454546</v>
      </c>
      <c r="BE59" s="11" t="n">
        <f>IF(SUMIF($AO$11:$AO$1309,AO59,$BB$11:$BB$1309)=COUNTIF($AO$11:$AO$1309,AO59),SUMIF($AO$11:$AO$1309,AO59,$BA$11:$BA$1309),"")</f>
        <v>1.5898876404494382</v>
      </c>
      <c r="BF59" s="12" t="n">
        <f>IF(COUNT(BD59:BE59)&lt;&gt;2,"",IF(AND(BD59&gt;0,BE59&gt;0),0.7*AW59/BD59+0.3*BA59/BE59,IF(BD59&gt;0,AW59/BD59,IF(BE59&gt;0,BA59/BE59,IF(AND(ISNUMBER(BH59),BH59=0),0,"")))))</f>
        <v>0.2507529219896711</v>
      </c>
      <c r="BG59" s="11" t="n">
        <f>IF(AND(COUNT(BN59:BU59)=8,MIN(BN59:BU59)&gt;=0),SUMPRODUCT(BN59:BQ59,BR59:BU59),"")</f>
        <v>109.4582336985339</v>
      </c>
      <c r="BH59" s="11" t="n">
        <f>IF(COUNT(BC59,BG59)=2,BC59*BG59,"")</f>
        <v>124.57993765266185</v>
      </c>
      <c r="BI59" s="11" t="n">
        <f>IF(ISNUMBER(CI59),CI59,"")</f>
        <v>31.238783387696003</v>
      </c>
      <c r="BJ59" s="8" t="str"/>
      <c r="BK59" s="8" t="str">
        <v>90天：2026-07-20 至 2026-10-17；180天：2026-04-21 至 2026-10-17</v>
      </c>
      <c r="BL59" s="8" t="str">
        <v>90天：2026-10-06、2026-10-07；180天：2026-10-06、2026-10-07</v>
      </c>
      <c r="BM59" s="8" t="str">
        <v>2026-10：12天 × 1.7391279184229513；2026-11：30天 × 1.4002077845513243；2026-12：31天 × 1.079339935625147；2027-01：17天 × 0.7719368903846591</v>
      </c>
      <c r="BN59" s="11" t="n">
        <v>1.7391279184229513</v>
      </c>
      <c r="BO59" s="11" t="n">
        <v>1.4002077845513243</v>
      </c>
      <c r="BP59" s="11" t="n">
        <v>1.079339935625147</v>
      </c>
      <c r="BQ59" s="11" t="n">
        <v>0.7719368903846591</v>
      </c>
      <c r="BR59" s="8" t="n">
        <v>12</v>
      </c>
      <c r="BS59" s="8" t="n">
        <v>30</v>
      </c>
      <c r="BT59" s="8" t="n">
        <v>31</v>
      </c>
      <c r="BU59" s="8" t="n">
        <v>17</v>
      </c>
      <c r="BV59" s="11" t="n">
        <f>IF(COUNT(BC59,BF59)=2,BC59*BF59,"")</f>
        <v>0.2853945503426703</v>
      </c>
      <c r="BW59" s="11" t="n">
        <f>IF(ISNUMBER(BN59),BN59,"")</f>
        <v>1.7391279184229513</v>
      </c>
      <c r="BX59" s="14" t="n">
        <f>IF(ISNUMBER(BR59),BR59,"")</f>
        <v>12</v>
      </c>
      <c r="BY59" s="13" t="n">
        <f>IF(AND(COUNT(BV59,BW59,BX59)=3,MIN(BV59,BW59,BX59)&gt;=0),BV59*BW59*BX59,"")</f>
        <v>5.956051563200429</v>
      </c>
      <c r="BZ59" s="11" t="n">
        <f>IF(ISNUMBER(BO59),BO59,"")</f>
        <v>1.4002077845513243</v>
      </c>
      <c r="CA59" s="14" t="n">
        <f>IF(ISNUMBER(BS59),BS59,"")</f>
        <v>30</v>
      </c>
      <c r="CB59" s="13" t="n">
        <f>IF(AND(COUNT(BV59,BZ59,CA59)=3,MIN(BV59,BZ59,CA59)&gt;=0),BV59*BZ59*CA59,"")</f>
        <v>11.988350131749954</v>
      </c>
      <c r="CC59" s="11" t="n">
        <f>IF(ISNUMBER(BP59),BP59,"")</f>
        <v>1.079339935625147</v>
      </c>
      <c r="CD59" s="14" t="n">
        <f>IF(ISNUMBER(BT59),BT59,"")</f>
        <v>31</v>
      </c>
      <c r="CE59" s="13" t="n">
        <f>IF(AND(COUNT(BV59,CC59,CD59)=3,MIN(BV59,CC59,CD59)&gt;=0),BV59*CC59*CD59,"")</f>
        <v>9.549169803433392</v>
      </c>
      <c r="CF59" s="11" t="n">
        <f>IF(ISNUMBER(BQ59),BQ59,"")</f>
        <v>0.7719368903846591</v>
      </c>
      <c r="CG59" s="14" t="n">
        <f>IF(ISNUMBER(BU59),BU59,"")</f>
        <v>17</v>
      </c>
      <c r="CH59" s="13" t="n">
        <f>IF(AND(COUNT(BV59,CF59,CG59)=3,MIN(BV59,CF59,CG59)&gt;=0),BV59*CF59*CG59,"")</f>
        <v>3.745211889312232</v>
      </c>
      <c r="CI59" s="13" t="n">
        <f>IF(COUNT(BY59,CB59,CE59,CH59)=4,SUM(BY59,CB59,CE59,CH59),"")</f>
        <v>31.238783387696003</v>
      </c>
    </row>
    <row r="60" ht="72" customHeight="1">
      <c r="A60" s="16" t="str">
        <v>B06b-BK-37</v>
      </c>
      <c r="B60" s="16" t="str">
        <v>1店-MUSSHOE-US</v>
      </c>
      <c r="C60" s="16" t="str">
        <v>艾年</v>
      </c>
      <c r="D60" s="26" t="n">
        <f>IF(NOT(ISNUMBER(E60)),"",IF(OR(E60&lt;=0,L60=0),0,IF(OR(NOT(ISNUMBER(F60)),F60&lt;0),"",MIN(E60,INT(F60)))))</f>
        <v>26</v>
      </c>
      <c r="E60" s="27" t="n">
        <f>IF(OR(NOT(ISNUMBER(L60)),COUNT(M60:O60)&lt;&gt;3,MIN(M60:O60)&lt;0),"",ROUNDUP(ROUND(BI60-SUM(M60:O60),10),0))</f>
        <v>26</v>
      </c>
      <c r="F60" s="28" t="n">
        <v>153</v>
      </c>
      <c r="G60" s="28" t="n">
        <f>IF(AND(ISNUMBER(D60),ISNUMBER(E60)),IF(OR(E60&lt;=0,L60=0),0,E60-D60),"")</f>
        <v>0</v>
      </c>
      <c r="H60" s="16" t="str">
        <f>IF(NOT(ISNUMBER(E60)),"销量或海外库存待补",IF(OR(E60&lt;=0,L60=0),IF(L60=0,"零日销，本批不发","本批无需补货"),IF(NOT(ISNUMBER(D60)),"国内库存待补",IF(D60=0,"国内无可用库存",IF(G60&gt;0,"先发国内现货","按建议量发货")))))</f>
        <v>按建议量发货</v>
      </c>
      <c r="I60" s="28" t="n">
        <f>IF(AND(COUNT(Z60,AA60,AB60)=3,Z60&gt;=AA60,AA60&gt;=0,AB60=7),Z60-AA60,"")</f>
        <v>7</v>
      </c>
      <c r="J60" s="28" t="n">
        <f>IF(AND(COUNT(AF60,AG60,AH60)=3,AF60&gt;=AG60,AG60&gt;=0,AH60=14),AF60-AG60,"")</f>
        <v>10</v>
      </c>
      <c r="K60" s="28" t="n">
        <f>IF(AND(COUNT(AL60,AM60,AN60)=3,AL60&gt;=AM60,AM60&gt;=0,AN60=30),AL60-AM60,"")</f>
        <v>14</v>
      </c>
      <c r="L60" s="29" t="n">
        <f>IF(ISNUMBER(BI60),BI60/90,"")</f>
        <v>0.8102165648106222</v>
      </c>
      <c r="M60" s="28" t="n">
        <v>27</v>
      </c>
      <c r="N60" s="28" t="n">
        <v>0</v>
      </c>
      <c r="O60" s="28" t="n">
        <v>20</v>
      </c>
      <c r="P60" s="30" t="n">
        <f>IF(AND(ISNUMBER(L60),L60&gt;0,COUNT(M60:O60)=3,MIN(M60:O60)&gt;=0),SUM(M60:O60)/L60,"")</f>
        <v>58.00918179324765</v>
      </c>
      <c r="Q60" s="16" t="str">
        <v>沿用原计划SKU店铺</v>
      </c>
      <c r="R60" s="16" t="str">
        <v>已匹配</v>
      </c>
      <c r="S60" s="16" t="str">
        <v>在售</v>
      </c>
      <c r="T60" s="16" t="str">
        <v>B06b</v>
      </c>
      <c r="U60" s="16" t="str">
        <v>黑色羊京绒</v>
      </c>
      <c r="V60" s="16" t="n">
        <v>6</v>
      </c>
      <c r="W60" s="8" t="str">
        <v>2026-10-11 至 2026-10-17</v>
      </c>
      <c r="X60" s="8" t="str">
        <v>2026-10-11、2026-10-12、2026-10-13、2026-10-14、2026-10-15、2026-10-16、2026-10-17</v>
      </c>
      <c r="Y60" s="8" t="str">
        <v>无</v>
      </c>
      <c r="Z60" s="8" t="n">
        <v>7</v>
      </c>
      <c r="AA60" s="8" t="n">
        <v>0</v>
      </c>
      <c r="AB60" s="8" t="n">
        <v>7</v>
      </c>
      <c r="AC60" s="8" t="str">
        <v>2026-10-02 至 2026-10-17</v>
      </c>
      <c r="AD60" s="8" t="str">
        <v>2026-10-02、2026-10-03、2026-10-04、2026-10-05、2026-10-08、2026-10-09、2026-10-10、2026-10-11、2026-10-12、2026-10-13、2026-10-14、2026-10-15、2026-10-16、2026-10-17</v>
      </c>
      <c r="AE60" s="8" t="str">
        <v>2026-10-06 大促；2026-10-07 大促</v>
      </c>
      <c r="AF60" s="8" t="n">
        <v>12</v>
      </c>
      <c r="AG60" s="8" t="n">
        <v>2</v>
      </c>
      <c r="AH60" s="8" t="n">
        <v>14</v>
      </c>
      <c r="AI60" s="8" t="str">
        <v>2026-09-16 至 2026-10-17</v>
      </c>
      <c r="AJ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" s="8" t="str">
        <v>2026-10-06 大促；2026-10-07 大促</v>
      </c>
      <c r="AL60" s="8" t="n">
        <v>16</v>
      </c>
      <c r="AM60" s="8" t="n">
        <v>2</v>
      </c>
      <c r="AN60" s="8" t="n">
        <v>30</v>
      </c>
      <c r="AO60" s="8" t="str">
        <v>B06b / 黑色羊京绒 / 13120</v>
      </c>
      <c r="AP60" s="11" t="n">
        <v>1.1090677182221615</v>
      </c>
      <c r="AQ60" s="11" t="n">
        <v>1.1090677182221615</v>
      </c>
      <c r="AR60" s="11" t="n">
        <v>0.9505188216044452</v>
      </c>
      <c r="AS60" s="11" t="n">
        <f>IF(AND(COUNT(I60:K60,AP60:AR60)=6,MIN(AP60:AR60)&gt;0),I60/7/AP60*0.5+J60/14/AQ60*0.3+K60/30/AR60*0.2,"")</f>
        <v>0.74223355846497</v>
      </c>
      <c r="AT60" s="8" t="n">
        <v>47</v>
      </c>
      <c r="AU60" s="8" t="n">
        <v>2</v>
      </c>
      <c r="AV60" s="8" t="n">
        <v>88</v>
      </c>
      <c r="AW60" s="11" t="n">
        <f>IF(AND(COUNT(AT60:AV60)=3,AT60&gt;=AU60,AU60&gt;=0,AV60&gt;0),(AT60-AU60)/AV60,"")</f>
        <v>0.5113636363636364</v>
      </c>
      <c r="AX60" s="8" t="n">
        <v>86</v>
      </c>
      <c r="AY60" s="8" t="n">
        <v>2</v>
      </c>
      <c r="AZ60" s="8" t="n">
        <v>178</v>
      </c>
      <c r="BA60" s="11" t="n">
        <f>IF(AND(COUNT(AX60:AZ60)=3,AX60&gt;=AY60,AY60&gt;=0,AZ60&gt;0),(AX60-AY60)/AZ60,"")</f>
        <v>0.47191011235955055</v>
      </c>
      <c r="BB60" s="8" t="n">
        <f>IF(COUNT(AS60,AW60,BA60)=3,1,0)</f>
        <v>1</v>
      </c>
      <c r="BC60" s="11" t="n">
        <f>IF(SUMIF($AO$11:$AO$1309,AO60,$BB$11:$BB$1309)=COUNTIF($AO$11:$AO$1309,AO60),SUMIF($AO$11:$AO$1309,AO60,$AS$11:$AS$1309),"")</f>
        <v>8.918815730624303</v>
      </c>
      <c r="BD60" s="11" t="n">
        <f>IF(SUMIF($AO$11:$AO$1309,AO60,$BB$11:$BB$1309)=COUNTIF($AO$11:$AO$1309,AO60),SUMIF($AO$11:$AO$1309,AO60,$AW$11:$AW$1309),"")</f>
        <v>6.183288770053475</v>
      </c>
      <c r="BE60" s="11" t="n">
        <f>IF(SUMIF($AO$11:$AO$1309,AO60,$BB$11:$BB$1309)=COUNTIF($AO$11:$AO$1309,AO60),SUMIF($AO$11:$AO$1309,AO60,$BA$11:$BA$1309),"")</f>
        <v>4.941926163723917</v>
      </c>
      <c r="BF60" s="12" t="n">
        <f>IF(COUNT(BD60:BE60)&lt;&gt;2,"",IF(AND(BD60&gt;0,BE60&gt;0),0.7*AW60/BD60+0.3*BA60/BE60,IF(BD60&gt;0,AW60/BD60,IF(BE60&gt;0,BA60/BE60,IF(AND(ISNUMBER(BH60),BH60=0),0,"")))))</f>
        <v>0.08653797911793255</v>
      </c>
      <c r="BG60" s="11" t="n">
        <f>IF(AND(COUNT(BN60:BU60)=8,MIN(BN60:BU60)&gt;=0),SUMPRODUCT(BN60:BQ60,BR60:BU60),"")</f>
        <v>94.47778160343367</v>
      </c>
      <c r="BH60" s="11" t="n">
        <f>IF(COUNT(BC60,BG60)=2,BC60*BG60,"")</f>
        <v>842.6299247591916</v>
      </c>
      <c r="BI60" s="11" t="n">
        <f>IF(ISNUMBER(CI60),CI60,"")</f>
        <v>72.919490832956</v>
      </c>
      <c r="BJ60" s="8" t="str"/>
      <c r="BK60" s="8" t="str">
        <v>90天：2026-07-20 至 2026-10-17；180天：2026-04-21 至 2026-10-17</v>
      </c>
      <c r="BL60" s="8" t="str">
        <v>90天：2026-10-06、2026-10-07；180天：2026-10-06、2026-10-07</v>
      </c>
      <c r="BM60" s="8" t="str">
        <v>2026-10：12天 × 1.1090677182221615；2026-11：30天 × 1.0372741535934282；2026-12：31天 × 0.979949351738161；2027-01：17天 × 1.1571949690048173</v>
      </c>
      <c r="BN60" s="11" t="n">
        <v>1.1090677182221615</v>
      </c>
      <c r="BO60" s="11" t="n">
        <v>1.0372741535934282</v>
      </c>
      <c r="BP60" s="11" t="n">
        <v>0.979949351738161</v>
      </c>
      <c r="BQ60" s="11" t="n">
        <v>1.1571949690048173</v>
      </c>
      <c r="BR60" s="8" t="n">
        <v>12</v>
      </c>
      <c r="BS60" s="8" t="n">
        <v>30</v>
      </c>
      <c r="BT60" s="8" t="n">
        <v>31</v>
      </c>
      <c r="BU60" s="8" t="n">
        <v>17</v>
      </c>
      <c r="BV60" s="11" t="n">
        <f>IF(COUNT(BC60,BF60)=2,BC60*BF60,"")</f>
        <v>0.7718162894534543</v>
      </c>
      <c r="BW60" s="11" t="n">
        <f>IF(ISNUMBER(BN60),BN60,"")</f>
        <v>1.1090677182221615</v>
      </c>
      <c r="BX60" s="14" t="n">
        <f>IF(ISNUMBER(BR60),BR60,"")</f>
        <v>12</v>
      </c>
      <c r="BY60" s="13" t="n">
        <f>IF(AND(COUNT(BV60,BW60,BX60)=3,MIN(BV60,BW60,BX60)&gt;=0),BV60*BW60*BX60,"")</f>
        <v>10.271958372370054</v>
      </c>
      <c r="BZ60" s="11" t="n">
        <f>IF(ISNUMBER(BO60),BO60,"")</f>
        <v>1.0372741535934282</v>
      </c>
      <c r="CA60" s="14" t="n">
        <f>IF(ISNUMBER(BS60),BS60,"")</f>
        <v>30</v>
      </c>
      <c r="CB60" s="13" t="n">
        <f>IF(AND(COUNT(BV60,BZ60,CA60)=3,MIN(BV60,BZ60,CA60)&gt;=0),BV60*BZ60*CA60,"")</f>
        <v>24.017552651173563</v>
      </c>
      <c r="CC60" s="11" t="n">
        <f>IF(ISNUMBER(BP60),BP60,"")</f>
        <v>0.979949351738161</v>
      </c>
      <c r="CD60" s="14" t="n">
        <f>IF(ISNUMBER(BT60),BT60,"")</f>
        <v>31</v>
      </c>
      <c r="CE60" s="13" t="n">
        <f>IF(AND(COUNT(BV60,CC60,CD60)=3,MIN(BV60,CC60,CD60)&gt;=0),BV60*CC60*CD60,"")</f>
        <v>23.446567047836826</v>
      </c>
      <c r="CF60" s="11" t="n">
        <f>IF(ISNUMBER(BQ60),BQ60,"")</f>
        <v>1.1571949690048173</v>
      </c>
      <c r="CG60" s="14" t="n">
        <f>IF(ISNUMBER(BU60),BU60,"")</f>
        <v>17</v>
      </c>
      <c r="CH60" s="13" t="n">
        <f>IF(AND(COUNT(BV60,CF60,CG60)=3,MIN(BV60,CF60,CG60)&gt;=0),BV60*CF60*CG60,"")</f>
        <v>15.183412761575553</v>
      </c>
      <c r="CI60" s="13" t="n">
        <f>IF(COUNT(BY60,CB60,CE60,CH60)=4,SUM(BY60,CB60,CE60,CH60),"")</f>
        <v>72.919490832956</v>
      </c>
    </row>
    <row r="61" ht="72" customHeight="1">
      <c r="A61" s="16" t="str">
        <v>S02b-LP-38</v>
      </c>
      <c r="B61" s="16" t="str">
        <v>3店-SANDIEX-US</v>
      </c>
      <c r="C61" s="16" t="str">
        <v>陈晨</v>
      </c>
      <c r="D61" s="26" t="n">
        <f>IF(NOT(ISNUMBER(E61)),"",IF(OR(E61&lt;=0,L61=0),0,IF(OR(NOT(ISNUMBER(F61)),F61&lt;0),"",MIN(E61,INT(F61)))))</f>
        <v>25</v>
      </c>
      <c r="E61" s="27" t="n">
        <f>IF(OR(NOT(ISNUMBER(L61)),COUNT(M61:O61)&lt;&gt;3,MIN(M61:O61)&lt;0),"",ROUNDUP(ROUND(BI61-SUM(M61:O61),10),0))</f>
        <v>46</v>
      </c>
      <c r="F61" s="28" t="n">
        <v>25</v>
      </c>
      <c r="G61" s="28" t="n">
        <f>IF(AND(ISNUMBER(D61),ISNUMBER(E61)),IF(OR(E61&lt;=0,L61=0),0,E61-D61),"")</f>
        <v>21</v>
      </c>
      <c r="H61" s="16" t="str">
        <f>IF(NOT(ISNUMBER(E61)),"销量或海外库存待补",IF(OR(E61&lt;=0,L61=0),IF(L61=0,"零日销，本批不发","本批无需补货"),IF(NOT(ISNUMBER(D61)),"国内库存待补",IF(D61=0,"国内无可用库存",IF(G61&gt;0,"先发国内现货","按建议量发货")))))</f>
        <v>先发国内现货</v>
      </c>
      <c r="I61" s="28" t="n">
        <f>IF(AND(COUNT(Z61,AA61,AB61)=3,Z61&gt;=AA61,AA61&gt;=0,AB61=7),Z61-AA61,"")</f>
        <v>8</v>
      </c>
      <c r="J61" s="28" t="n">
        <f>IF(AND(COUNT(AF61,AG61,AH61)=3,AF61&gt;=AG61,AG61&gt;=0,AH61=14),AF61-AG61,"")</f>
        <v>13</v>
      </c>
      <c r="K61" s="28" t="n">
        <f>IF(AND(COUNT(AL61,AM61,AN61)=3,AL61&gt;=AM61,AM61&gt;=0,AN61=30),AL61-AM61,"")</f>
        <v>27</v>
      </c>
      <c r="L61" s="29" t="n">
        <f>IF(ISNUMBER(BI61),BI61/90,"")</f>
        <v>1.0011622939599343</v>
      </c>
      <c r="M61" s="28" t="n">
        <v>25</v>
      </c>
      <c r="N61" s="28" t="n">
        <v>0</v>
      </c>
      <c r="O61" s="28" t="n">
        <v>20</v>
      </c>
      <c r="P61" s="30" t="n">
        <f>IF(AND(ISNUMBER(L61),L61&gt;0,COUNT(M61:O61)=3,MIN(M61:O61)&gt;=0),SUM(M61:O61)/L61,"")</f>
        <v>44.94775749295335</v>
      </c>
      <c r="Q61" s="16" t="str">
        <v>沿用原计划SKU店铺</v>
      </c>
      <c r="R61" s="16" t="str">
        <v>已匹配</v>
      </c>
      <c r="S61" s="16" t="str">
        <v>在售</v>
      </c>
      <c r="T61" s="16" t="str">
        <v>S02b</v>
      </c>
      <c r="U61" s="16" t="str">
        <v>豹纹</v>
      </c>
      <c r="V61" s="16" t="n">
        <v>7</v>
      </c>
      <c r="W61" s="8" t="str">
        <v>2026-10-11 至 2026-10-17</v>
      </c>
      <c r="X61" s="8" t="str">
        <v>2026-10-11、2026-10-12、2026-10-13、2026-10-14、2026-10-15、2026-10-16、2026-10-17</v>
      </c>
      <c r="Y61" s="8" t="str">
        <v>无</v>
      </c>
      <c r="Z61" s="8" t="n">
        <v>8</v>
      </c>
      <c r="AA61" s="8" t="n">
        <v>0</v>
      </c>
      <c r="AB61" s="8" t="n">
        <v>7</v>
      </c>
      <c r="AC61" s="8" t="str">
        <v>2026-10-02 至 2026-10-17</v>
      </c>
      <c r="AD61" s="8" t="str">
        <v>2026-10-02、2026-10-03、2026-10-04、2026-10-05、2026-10-08、2026-10-09、2026-10-10、2026-10-11、2026-10-12、2026-10-13、2026-10-14、2026-10-15、2026-10-16、2026-10-17</v>
      </c>
      <c r="AE61" s="8" t="str">
        <v>2026-10-06 大促；2026-10-07 大促</v>
      </c>
      <c r="AF61" s="8" t="n">
        <v>22</v>
      </c>
      <c r="AG61" s="8" t="n">
        <v>9</v>
      </c>
      <c r="AH61" s="8" t="n">
        <v>14</v>
      </c>
      <c r="AI61" s="8" t="str">
        <v>2026-09-16 至 2026-10-17</v>
      </c>
      <c r="AJ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" s="8" t="str">
        <v>2026-10-06 大促；2026-10-07 大促</v>
      </c>
      <c r="AL61" s="8" t="n">
        <v>36</v>
      </c>
      <c r="AM61" s="8" t="n">
        <v>9</v>
      </c>
      <c r="AN61" s="8" t="n">
        <v>30</v>
      </c>
      <c r="AO61" s="8" t="str">
        <v>S02b / 豹纹 / 6574</v>
      </c>
      <c r="AP61" s="11" t="n">
        <v>0.9658602967882928</v>
      </c>
      <c r="AQ61" s="11" t="n">
        <v>0.9658602967882928</v>
      </c>
      <c r="AR61" s="11" t="n">
        <v>0.9166270540270348</v>
      </c>
      <c r="AS61" s="11" t="n">
        <f>IF(AND(COUNT(I61:K61,AP61:AR61)=6,MIN(AP61:AR61)&gt;0),I61/7/AP61*0.5+J61/14/AQ61*0.3+K61/30/AR61*0.2,"")</f>
        <v>1.076416578907105</v>
      </c>
      <c r="AT61" s="8" t="n">
        <v>65</v>
      </c>
      <c r="AU61" s="8" t="n">
        <v>9</v>
      </c>
      <c r="AV61" s="8" t="n">
        <v>88</v>
      </c>
      <c r="AW61" s="11" t="n">
        <f>IF(AND(COUNT(AT61:AV61)=3,AT61&gt;=AU61,AU61&gt;=0,AV61&gt;0),(AT61-AU61)/AV61,"")</f>
        <v>0.6363636363636364</v>
      </c>
      <c r="AX61" s="8" t="n">
        <v>85</v>
      </c>
      <c r="AY61" s="8" t="n">
        <v>9</v>
      </c>
      <c r="AZ61" s="8" t="n">
        <v>178</v>
      </c>
      <c r="BA61" s="11" t="n">
        <f>IF(AND(COUNT(AX61:AZ61)=3,AX61&gt;=AY61,AY61&gt;=0,AZ61&gt;0),(AX61-AY61)/AZ61,"")</f>
        <v>0.42696629213483145</v>
      </c>
      <c r="BB61" s="8" t="n">
        <f>IF(COUNT(AS61,AW61,BA61)=3,1,0)</f>
        <v>1</v>
      </c>
      <c r="BC61" s="11" t="n">
        <f>IF(SUMIF($AO$11:$AO$1309,AO61,$BB$11:$BB$1309)=COUNTIF($AO$11:$AO$1309,AO61),SUMIF($AO$11:$AO$1309,AO61,$AS$11:$AS$1309),"")</f>
        <v>7.593711834893618</v>
      </c>
      <c r="BD61" s="11" t="n">
        <f>IF(SUMIF($AO$11:$AO$1309,AO61,$BB$11:$BB$1309)=COUNTIF($AO$11:$AO$1309,AO61),SUMIF($AO$11:$AO$1309,AO61,$AW$11:$AW$1309),"")</f>
        <v>4.863636363636363</v>
      </c>
      <c r="BE61" s="11" t="n">
        <f>IF(SUMIF($AO$11:$AO$1309,AO61,$BB$11:$BB$1309)=COUNTIF($AO$11:$AO$1309,AO61),SUMIF($AO$11:$AO$1309,AO61,$BA$11:$BA$1309),"")</f>
        <v>3.7977528089887644</v>
      </c>
      <c r="BF61" s="12" t="n">
        <f>IF(COUNT(BD61:BE61)&lt;&gt;2,"",IF(AND(BD61&gt;0,BE61&gt;0),0.7*AW61/BD61+0.3*BA61/BE61,IF(BD61&gt;0,AW61/BD61,IF(BE61&gt;0,BA61/BE61,IF(AND(ISNUMBER(BH61),BH61=0),0,"")))))</f>
        <v>0.12531659569761655</v>
      </c>
      <c r="BG61" s="11" t="n">
        <f>IF(AND(COUNT(BN61:BU61)=8,MIN(BN61:BU61)&gt;=0),SUMPRODUCT(BN61:BQ61,BR61:BU61),"")</f>
        <v>94.68567795727022</v>
      </c>
      <c r="BH61" s="11" t="n">
        <f>IF(COUNT(BC61,BG61)=2,BC61*BG61,"")</f>
        <v>719.0157532990486</v>
      </c>
      <c r="BI61" s="11" t="n">
        <f>IF(ISNUMBER(CI61),CI61,"")</f>
        <v>90.1046064563941</v>
      </c>
      <c r="BJ61" s="8" t="str"/>
      <c r="BK61" s="8" t="str">
        <v>90天：2026-07-20 至 2026-10-17；180天：2026-04-21 至 2026-10-17</v>
      </c>
      <c r="BL61" s="8" t="str">
        <v>90天：2026-10-06、2026-10-07；180天：2026-10-06、2026-10-07</v>
      </c>
      <c r="BM61" s="8" t="str">
        <v>2026-10：12天 × 0.9658602967882928；2026-11：30天 × 1.1727174450092641；2026-12：31天 × 0.8763339075184018；2027-01：17天 × 1.2204399948507247</v>
      </c>
      <c r="BN61" s="11" t="n">
        <v>0.9658602967882928</v>
      </c>
      <c r="BO61" s="11" t="n">
        <v>1.1727174450092641</v>
      </c>
      <c r="BP61" s="11" t="n">
        <v>0.8763339075184018</v>
      </c>
      <c r="BQ61" s="11" t="n">
        <v>1.2204399948507247</v>
      </c>
      <c r="BR61" s="8" t="n">
        <v>12</v>
      </c>
      <c r="BS61" s="8" t="n">
        <v>30</v>
      </c>
      <c r="BT61" s="8" t="n">
        <v>31</v>
      </c>
      <c r="BU61" s="8" t="n">
        <v>17</v>
      </c>
      <c r="BV61" s="11" t="n">
        <f>IF(COUNT(BC61,BF61)=2,BC61*BF61,"")</f>
        <v>0.9516181158575695</v>
      </c>
      <c r="BW61" s="11" t="n">
        <f>IF(ISNUMBER(BN61),BN61,"")</f>
        <v>0.9658602967882928</v>
      </c>
      <c r="BX61" s="14" t="n">
        <f>IF(ISNUMBER(BR61),BR61,"")</f>
        <v>12</v>
      </c>
      <c r="BY61" s="13" t="n">
        <f>IF(AND(COUNT(BV61,BW61,BX61)=3,MIN(BV61,BW61,BX61)&gt;=0),BV61*BW61*BX61,"")</f>
        <v>11.029561869735698</v>
      </c>
      <c r="BZ61" s="11" t="n">
        <f>IF(ISNUMBER(BO61),BO61,"")</f>
        <v>1.1727174450092641</v>
      </c>
      <c r="CA61" s="14" t="n">
        <f>IF(ISNUMBER(BS61),BS61,"")</f>
        <v>30</v>
      </c>
      <c r="CB61" s="13" t="n">
        <f>IF(AND(COUNT(BV61,BZ61,CA61)=3,MIN(BV61,BZ61,CA61)&gt;=0),BV61*BZ61*CA61,"")</f>
        <v>33.479374963590566</v>
      </c>
      <c r="CC61" s="11" t="n">
        <f>IF(ISNUMBER(BP61),BP61,"")</f>
        <v>0.8763339075184018</v>
      </c>
      <c r="CD61" s="14" t="n">
        <f>IF(ISNUMBER(BT61),BT61,"")</f>
        <v>31</v>
      </c>
      <c r="CE61" s="13" t="n">
        <f>IF(AND(COUNT(BV61,CC61,CD61)=3,MIN(BV61,CC61,CD61)&gt;=0),BV61*CC61*CD61,"")</f>
        <v>25.851991879977657</v>
      </c>
      <c r="CF61" s="11" t="n">
        <f>IF(ISNUMBER(BQ61),BQ61,"")</f>
        <v>1.2204399948507247</v>
      </c>
      <c r="CG61" s="14" t="n">
        <f>IF(ISNUMBER(BU61),BU61,"")</f>
        <v>17</v>
      </c>
      <c r="CH61" s="13" t="n">
        <f>IF(AND(COUNT(BV61,CF61,CG61)=3,MIN(BV61,CF61,CG61)&gt;=0),BV61*CF61*CG61,"")</f>
        <v>19.743677743090167</v>
      </c>
      <c r="CI61" s="13" t="n">
        <f>IF(COUNT(BY61,CB61,CE61,CH61)=4,SUM(BY61,CB61,CE61,CH61),"")</f>
        <v>90.1046064563941</v>
      </c>
    </row>
    <row r="62" ht="72" customHeight="1">
      <c r="A62" s="16" t="str">
        <v>2302153-BG-P-Z-39.5</v>
      </c>
      <c r="B62" s="16" t="str">
        <v>3店-SANDIEX-US</v>
      </c>
      <c r="C62" s="16" t="str">
        <v>徐新怡</v>
      </c>
      <c r="D62" s="26" t="n">
        <f>IF(NOT(ISNUMBER(E62)),"",IF(OR(E62&lt;=0,L62=0),0,IF(OR(NOT(ISNUMBER(F62)),F62&lt;0),"",MIN(E62,INT(F62)))))</f>
        <v>24</v>
      </c>
      <c r="E62" s="27" t="n">
        <f>IF(OR(NOT(ISNUMBER(L62)),COUNT(M62:O62)&lt;&gt;3,MIN(M62:O62)&lt;0),"",ROUNDUP(ROUND(BI62-SUM(M62:O62),10),0))</f>
        <v>24</v>
      </c>
      <c r="F62" s="28" t="n">
        <v>95</v>
      </c>
      <c r="G62" s="28" t="n">
        <f>IF(AND(ISNUMBER(D62),ISNUMBER(E62)),IF(OR(E62&lt;=0,L62=0),0,E62-D62),"")</f>
        <v>0</v>
      </c>
      <c r="H62" s="16" t="str">
        <f>IF(NOT(ISNUMBER(E62)),"销量或海外库存待补",IF(OR(E62&lt;=0,L62=0),IF(L62=0,"零日销，本批不发","本批无需补货"),IF(NOT(ISNUMBER(D62)),"国内库存待补",IF(D62=0,"国内无可用库存",IF(G62&gt;0,"先发国内现货","按建议量发货")))))</f>
        <v>按建议量发货</v>
      </c>
      <c r="I62" s="28" t="n">
        <f>IF(AND(COUNT(Z62,AA62,AB62)=3,Z62&gt;=AA62,AA62&gt;=0,AB62=7),Z62-AA62,"")</f>
        <v>2</v>
      </c>
      <c r="J62" s="28" t="n">
        <f>IF(AND(COUNT(AF62,AG62,AH62)=3,AF62&gt;=AG62,AG62&gt;=0,AH62=14),AF62-AG62,"")</f>
        <v>6</v>
      </c>
      <c r="K62" s="28" t="n">
        <f>IF(AND(COUNT(AL62,AM62,AN62)=3,AL62&gt;=AM62,AM62&gt;=0,AN62=30),AL62-AM62,"")</f>
        <v>17</v>
      </c>
      <c r="L62" s="29" t="n">
        <f>IF(ISNUMBER(BI62),BI62/90,"")</f>
        <v>0.2562861727550946</v>
      </c>
      <c r="M62" s="28" t="n">
        <v>0</v>
      </c>
      <c r="N62" s="28" t="n">
        <v>0</v>
      </c>
      <c r="O62" s="28" t="n">
        <v>0</v>
      </c>
      <c r="P62" s="30" t="n">
        <f>IF(AND(ISNUMBER(L62),L62&gt;0,COUNT(M62:O62)=3,MIN(M62:O62)&gt;=0),SUM(M62:O62)/L62,"")</f>
        <v>0</v>
      </c>
      <c r="Q62" s="16" t="str">
        <v>沿用原计划SKU店铺</v>
      </c>
      <c r="R62" s="16" t="str">
        <v>已匹配</v>
      </c>
      <c r="S62" s="16" t="str">
        <v>停售</v>
      </c>
      <c r="T62" s="16" t="str">
        <v>2302153</v>
      </c>
      <c r="U62" s="16" t="str">
        <v>米白</v>
      </c>
      <c r="V62" s="16" t="n">
        <v>8.5</v>
      </c>
      <c r="W62" s="8" t="str">
        <v>2026-10-10 至 2026-10-17</v>
      </c>
      <c r="X62" s="8" t="str">
        <v>2026-10-10、2026-10-11、2026-10-12、2026-10-13、2026-10-14、2026-10-15、2026-10-17</v>
      </c>
      <c r="Y62" s="8" t="str">
        <v>2026-10-16 有记录的停售日</v>
      </c>
      <c r="Z62" s="8" t="n">
        <v>2</v>
      </c>
      <c r="AA62" s="8" t="n">
        <v>0</v>
      </c>
      <c r="AB62" s="8" t="n">
        <v>7</v>
      </c>
      <c r="AC62" s="8" t="str">
        <v>2026-10-01 至 2026-10-17</v>
      </c>
      <c r="AD62" s="8" t="str">
        <v>2026-10-01、2026-10-02、2026-10-03、2026-10-04、2026-10-05、2026-10-08、2026-10-09、2026-10-10、2026-10-11、2026-10-12、2026-10-13、2026-10-14、2026-10-15、2026-10-17</v>
      </c>
      <c r="AE62" s="8" t="str">
        <v>2026-10-06 大促；2026-10-07 大促；2026-10-16 有记录的停售日</v>
      </c>
      <c r="AF62" s="8" t="n">
        <v>7</v>
      </c>
      <c r="AG62" s="8" t="n">
        <v>1</v>
      </c>
      <c r="AH62" s="8" t="n">
        <v>14</v>
      </c>
      <c r="AI62" s="8" t="str">
        <v>2026-09-15 至 2026-10-17</v>
      </c>
      <c r="AJ62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62" s="8" t="str">
        <v>2026-10-06 大促；2026-10-07 大促；2026-10-16 有记录的停售日</v>
      </c>
      <c r="AL62" s="8" t="n">
        <v>18</v>
      </c>
      <c r="AM62" s="8" t="n">
        <v>1</v>
      </c>
      <c r="AN62" s="8" t="n">
        <v>30</v>
      </c>
      <c r="AO62" s="8" t="str">
        <v>2302153 / 米白PU / 6574</v>
      </c>
      <c r="AP62" s="11" t="n">
        <v>1.7391279184229513</v>
      </c>
      <c r="AQ62" s="11" t="n">
        <v>1.7391279184229513</v>
      </c>
      <c r="AR62" s="11" t="n">
        <v>1.5621267144429725</v>
      </c>
      <c r="AS62" s="11" t="n">
        <f>IF(AND(COUNT(I62:K62,AP62:AR62)=6,MIN(AP62:AR62)&gt;0),I62/7/AP62*0.5+J62/14/AQ62*0.3+K62/30/AR62*0.2,"")</f>
        <v>0.2286223202799666</v>
      </c>
      <c r="AT62" s="8" t="n">
        <v>25</v>
      </c>
      <c r="AU62" s="8" t="n">
        <v>1</v>
      </c>
      <c r="AV62" s="8" t="n">
        <v>87</v>
      </c>
      <c r="AW62" s="11" t="n">
        <f>IF(AND(COUNT(AT62:AV62)=3,AT62&gt;=AU62,AU62&gt;=0,AV62&gt;0),(AT62-AU62)/AV62,"")</f>
        <v>0.27586206896551724</v>
      </c>
      <c r="AX62" s="8" t="n">
        <v>25</v>
      </c>
      <c r="AY62" s="8" t="n">
        <v>1</v>
      </c>
      <c r="AZ62" s="8" t="n">
        <v>177</v>
      </c>
      <c r="BA62" s="11" t="n">
        <f>IF(AND(COUNT(AX62:AZ62)=3,AX62&gt;=AY62,AY62&gt;=0,AZ62&gt;0),(AX62-AY62)/AZ62,"")</f>
        <v>0.13559322033898305</v>
      </c>
      <c r="BB62" s="8" t="n">
        <f>IF(COUNT(AS62,AW62,BA62)=3,1,0)</f>
        <v>1</v>
      </c>
      <c r="BC62" s="11" t="n">
        <f>IF(SUMIF($AO$11:$AO$1309,AO62,$BB$11:$BB$1309)=COUNTIF($AO$11:$AO$1309,AO62),SUMIF($AO$11:$AO$1309,AO62,$AS$11:$AS$1309),"")</f>
        <v>2.0955365955321814</v>
      </c>
      <c r="BD62" s="11" t="n">
        <f>IF(SUMIF($AO$11:$AO$1309,AO62,$BB$11:$BB$1309)=COUNTIF($AO$11:$AO$1309,AO62),SUMIF($AO$11:$AO$1309,AO62,$AW$11:$AW$1309),"")</f>
        <v>2.736485747612452</v>
      </c>
      <c r="BE62" s="11" t="n">
        <f>IF(SUMIF($AO$11:$AO$1309,AO62,$BB$11:$BB$1309)=COUNTIF($AO$11:$AO$1309,AO62),SUMIF($AO$11:$AO$1309,AO62,$BA$11:$BA$1309),"")</f>
        <v>1.3562265196239676</v>
      </c>
      <c r="BF62" s="12" t="n">
        <f>IF(COUNT(BD62:BE62)&lt;&gt;2,"",IF(AND(BD62&gt;0,BE62&gt;0),0.7*AW62/BD62+0.3*BA62/BE62,IF(BD62&gt;0,AW62/BD62,IF(BE62&gt;0,BA62/BE62,IF(AND(ISNUMBER(BH62),BH62=0),0,"")))))</f>
        <v>0.10055970710219513</v>
      </c>
      <c r="BG62" s="11" t="n">
        <f>IF(AND(COUNT(BN62:BU62)=8,MIN(BN62:BU62)&gt;=0),SUMPRODUCT(BN62:BQ62,BR62:BU62),"")</f>
        <v>109.4582336985339</v>
      </c>
      <c r="BH62" s="11" t="n">
        <f>IF(COUNT(BC62,BG62)=2,BC62*BG62,"")</f>
        <v>229.37373439759162</v>
      </c>
      <c r="BI62" s="11" t="n">
        <f>IF(ISNUMBER(CI62),CI62,"")</f>
        <v>23.065755547958513</v>
      </c>
      <c r="BJ62" s="8" t="str"/>
      <c r="BK62" s="8" t="str">
        <v>90天：2026-07-20 至 2026-10-17；180天：2026-04-21 至 2026-10-17</v>
      </c>
      <c r="BL62" s="8" t="str">
        <v>90天：2026-10-06、2026-10-07、2026-10-16；180天：2026-10-06、2026-10-07、2026-10-16</v>
      </c>
      <c r="BM62" s="8" t="str">
        <v>2026-10：12天 × 1.7391279184229513；2026-11：30天 × 1.4002077845513243；2026-12：31天 × 1.079339935625147；2027-01：17天 × 0.7719368903846591</v>
      </c>
      <c r="BN62" s="11" t="n">
        <v>1.7391279184229513</v>
      </c>
      <c r="BO62" s="11" t="n">
        <v>1.4002077845513243</v>
      </c>
      <c r="BP62" s="11" t="n">
        <v>1.079339935625147</v>
      </c>
      <c r="BQ62" s="11" t="n">
        <v>0.7719368903846591</v>
      </c>
      <c r="BR62" s="8" t="n">
        <v>12</v>
      </c>
      <c r="BS62" s="8" t="n">
        <v>30</v>
      </c>
      <c r="BT62" s="8" t="n">
        <v>31</v>
      </c>
      <c r="BU62" s="8" t="n">
        <v>17</v>
      </c>
      <c r="BV62" s="11" t="n">
        <f>IF(COUNT(BC62,BF62)=2,BC62*BF62,"")</f>
        <v>0.21072654626864729</v>
      </c>
      <c r="BW62" s="11" t="n">
        <f>IF(ISNUMBER(BN62),BN62,"")</f>
        <v>1.7391279184229513</v>
      </c>
      <c r="BX62" s="14" t="n">
        <f>IF(ISNUMBER(BR62),BR62,"")</f>
        <v>12</v>
      </c>
      <c r="BY62" s="13" t="n">
        <f>IF(AND(COUNT(BV62,BW62,BX62)=3,MIN(BV62,BW62,BX62)&gt;=0),BV62*BW62*BX62,"")</f>
        <v>4.397765037223804</v>
      </c>
      <c r="BZ62" s="11" t="n">
        <f>IF(ISNUMBER(BO62),BO62,"")</f>
        <v>1.4002077845513243</v>
      </c>
      <c r="CA62" s="14" t="n">
        <f>IF(ISNUMBER(BS62),BS62,"")</f>
        <v>30</v>
      </c>
      <c r="CB62" s="13" t="n">
        <f>IF(AND(COUNT(BV62,BZ62,CA62)=3,MIN(BV62,BZ62,CA62)&gt;=0),BV62*BZ62*CA62,"")</f>
        <v>8.851828514909243</v>
      </c>
      <c r="CC62" s="11" t="n">
        <f>IF(ISNUMBER(BP62),BP62,"")</f>
        <v>1.079339935625147</v>
      </c>
      <c r="CD62" s="14" t="n">
        <f>IF(ISNUMBER(BT62),BT62,"")</f>
        <v>31</v>
      </c>
      <c r="CE62" s="13" t="n">
        <f>IF(AND(COUNT(BV62,CC62,CD62)=3,MIN(BV62,CC62,CD62)&gt;=0),BV62*CC62*CD62,"")</f>
        <v>7.050812883407451</v>
      </c>
      <c r="CF62" s="11" t="n">
        <f>IF(ISNUMBER(BQ62),BQ62,"")</f>
        <v>0.7719368903846591</v>
      </c>
      <c r="CG62" s="14" t="n">
        <f>IF(ISNUMBER(BU62),BU62,"")</f>
        <v>17</v>
      </c>
      <c r="CH62" s="13" t="n">
        <f>IF(AND(COUNT(BV62,CF62,CG62)=3,MIN(BV62,CF62,CG62)&gt;=0),BV62*CF62*CG62,"")</f>
        <v>2.765349112418016</v>
      </c>
      <c r="CI62" s="13" t="n">
        <f>IF(COUNT(BY62,CB62,CE62,CH62)=4,SUM(BY62,CB62,CE62,CH62),"")</f>
        <v>23.065755547958513</v>
      </c>
    </row>
    <row r="63" ht="72" customHeight="1">
      <c r="A63" s="16" t="str">
        <v>B06b-BK-39</v>
      </c>
      <c r="B63" s="16" t="str">
        <v>1店-MUSSHOE-US</v>
      </c>
      <c r="C63" s="16" t="str">
        <v>艾年</v>
      </c>
      <c r="D63" s="26" t="n">
        <f>IF(NOT(ISNUMBER(E63)),"",IF(OR(E63&lt;=0,L63=0),0,IF(OR(NOT(ISNUMBER(F63)),F63&lt;0),"",MIN(E63,INT(F63)))))</f>
        <v>24</v>
      </c>
      <c r="E63" s="27" t="n">
        <f>IF(OR(NOT(ISNUMBER(L63)),COUNT(M63:O63)&lt;&gt;3,MIN(M63:O63)&lt;0),"",ROUNDUP(ROUND(BI63-SUM(M63:O63),10),0))</f>
        <v>24</v>
      </c>
      <c r="F63" s="28" t="n">
        <v>230</v>
      </c>
      <c r="G63" s="28" t="n">
        <f>IF(AND(ISNUMBER(D63),ISNUMBER(E63)),IF(OR(E63&lt;=0,L63=0),0,E63-D63),"")</f>
        <v>0</v>
      </c>
      <c r="H63" s="16" t="str">
        <f>IF(NOT(ISNUMBER(E63)),"销量或海外库存待补",IF(OR(E63&lt;=0,L63=0),IF(L63=0,"零日销，本批不发","本批无需补货"),IF(NOT(ISNUMBER(D63)),"国内库存待补",IF(D63=0,"国内无可用库存",IF(G63&gt;0,"先发国内现货","按建议量发货")))))</f>
        <v>按建议量发货</v>
      </c>
      <c r="I63" s="28" t="n">
        <f>IF(AND(COUNT(Z63,AA63,AB63)=3,Z63&gt;=AA63,AA63&gt;=0,AB63=7),Z63-AA63,"")</f>
        <v>22</v>
      </c>
      <c r="J63" s="28" t="n">
        <f>IF(AND(COUNT(AF63,AG63,AH63)=3,AF63&gt;=AG63,AG63&gt;=0,AH63=14),AF63-AG63,"")</f>
        <v>26</v>
      </c>
      <c r="K63" s="28" t="n">
        <f>IF(AND(COUNT(AL63,AM63,AN63)=3,AL63&gt;=AM63,AM63&gt;=0,AN63=30),AL63-AM63,"")</f>
        <v>41</v>
      </c>
      <c r="L63" s="29" t="n">
        <f>IF(ISNUMBER(BI63),BI63/90,"")</f>
        <v>1.647553957076897</v>
      </c>
      <c r="M63" s="28" t="n">
        <v>60</v>
      </c>
      <c r="N63" s="28" t="n">
        <v>6</v>
      </c>
      <c r="O63" s="28" t="n">
        <v>59</v>
      </c>
      <c r="P63" s="30" t="n">
        <f>IF(AND(ISNUMBER(L63),L63&gt;0,COUNT(M63:O63)=3,MIN(M63:O63)&gt;=0),SUM(M63:O63)/L63,"")</f>
        <v>75.87004933166254</v>
      </c>
      <c r="Q63" s="16" t="str">
        <v>沿用原计划SKU店铺</v>
      </c>
      <c r="R63" s="16" t="str">
        <v>已匹配</v>
      </c>
      <c r="S63" s="16" t="str">
        <v>在售</v>
      </c>
      <c r="T63" s="16" t="str">
        <v>B06b</v>
      </c>
      <c r="U63" s="16" t="str">
        <v>黑色羊京绒</v>
      </c>
      <c r="V63" s="16" t="n">
        <v>8</v>
      </c>
      <c r="W63" s="8" t="str">
        <v>2026-10-11 至 2026-10-17</v>
      </c>
      <c r="X63" s="8" t="str">
        <v>2026-10-11、2026-10-12、2026-10-13、2026-10-14、2026-10-15、2026-10-16、2026-10-17</v>
      </c>
      <c r="Y63" s="8" t="str">
        <v>无</v>
      </c>
      <c r="Z63" s="8" t="n">
        <v>22</v>
      </c>
      <c r="AA63" s="8" t="n">
        <v>0</v>
      </c>
      <c r="AB63" s="8" t="n">
        <v>7</v>
      </c>
      <c r="AC63" s="8" t="str">
        <v>2026-10-02 至 2026-10-17</v>
      </c>
      <c r="AD63" s="8" t="str">
        <v>2026-10-02、2026-10-03、2026-10-04、2026-10-05、2026-10-08、2026-10-09、2026-10-10、2026-10-11、2026-10-12、2026-10-13、2026-10-14、2026-10-15、2026-10-16、2026-10-17</v>
      </c>
      <c r="AE63" s="8" t="str">
        <v>2026-10-06 大促；2026-10-07 大促</v>
      </c>
      <c r="AF63" s="8" t="n">
        <v>28</v>
      </c>
      <c r="AG63" s="8" t="n">
        <v>2</v>
      </c>
      <c r="AH63" s="8" t="n">
        <v>14</v>
      </c>
      <c r="AI63" s="8" t="str">
        <v>2026-09-16 至 2026-10-17</v>
      </c>
      <c r="AJ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" s="8" t="str">
        <v>2026-10-06 大促；2026-10-07 大促</v>
      </c>
      <c r="AL63" s="8" t="n">
        <v>43</v>
      </c>
      <c r="AM63" s="8" t="n">
        <v>2</v>
      </c>
      <c r="AN63" s="8" t="n">
        <v>30</v>
      </c>
      <c r="AO63" s="8" t="str">
        <v>B06b / 黑色羊京绒 / 13120</v>
      </c>
      <c r="AP63" s="11" t="n">
        <v>1.1090677182221615</v>
      </c>
      <c r="AQ63" s="11" t="n">
        <v>1.1090677182221615</v>
      </c>
      <c r="AR63" s="11" t="n">
        <v>0.9505188216044452</v>
      </c>
      <c r="AS63" s="11" t="n">
        <f>IF(AND(COUNT(I63:K63,AP63:AR63)=6,MIN(AP63:AR63)&gt;0),I63/7/AP63*0.5+J63/14/AQ63*0.3+K63/30/AR63*0.2,"")</f>
        <v>2.206806130524112</v>
      </c>
      <c r="AT63" s="8" t="n">
        <v>103</v>
      </c>
      <c r="AU63" s="8" t="n">
        <v>2</v>
      </c>
      <c r="AV63" s="8" t="n">
        <v>88</v>
      </c>
      <c r="AW63" s="11" t="n">
        <f>IF(AND(COUNT(AT63:AV63)=3,AT63&gt;=AU63,AU63&gt;=0,AV63&gt;0),(AT63-AU63)/AV63,"")</f>
        <v>1.1477272727272727</v>
      </c>
      <c r="AX63" s="8" t="n">
        <v>137</v>
      </c>
      <c r="AY63" s="8" t="n">
        <v>2</v>
      </c>
      <c r="AZ63" s="8" t="n">
        <v>178</v>
      </c>
      <c r="BA63" s="11" t="n">
        <f>IF(AND(COUNT(AX63:AZ63)=3,AX63&gt;=AY63,AY63&gt;=0,AZ63&gt;0),(AX63-AY63)/AZ63,"")</f>
        <v>0.7584269662921348</v>
      </c>
      <c r="BB63" s="8" t="n">
        <f>IF(COUNT(AS63,AW63,BA63)=3,1,0)</f>
        <v>1</v>
      </c>
      <c r="BC63" s="11" t="n">
        <f>IF(SUMIF($AO$11:$AO$1309,AO63,$BB$11:$BB$1309)=COUNTIF($AO$11:$AO$1309,AO63),SUMIF($AO$11:$AO$1309,AO63,$AS$11:$AS$1309),"")</f>
        <v>8.918815730624303</v>
      </c>
      <c r="BD63" s="11" t="n">
        <f>IF(SUMIF($AO$11:$AO$1309,AO63,$BB$11:$BB$1309)=COUNTIF($AO$11:$AO$1309,AO63),SUMIF($AO$11:$AO$1309,AO63,$AW$11:$AW$1309),"")</f>
        <v>6.183288770053475</v>
      </c>
      <c r="BE63" s="11" t="n">
        <f>IF(SUMIF($AO$11:$AO$1309,AO63,$BB$11:$BB$1309)=COUNTIF($AO$11:$AO$1309,AO63),SUMIF($AO$11:$AO$1309,AO63,$BA$11:$BA$1309),"")</f>
        <v>4.941926163723917</v>
      </c>
      <c r="BF63" s="12" t="n">
        <f>IF(COUNT(BD63:BE63)&lt;&gt;2,"",IF(AND(BD63&gt;0,BE63&gt;0),0.7*AW63/BD63+0.3*BA63/BE63,IF(BD63&gt;0,AW63/BD63,IF(BE63&gt;0,BA63/BE63,IF(AND(ISNUMBER(BH63),BH63=0),0,"")))))</f>
        <v>0.17597269190184106</v>
      </c>
      <c r="BG63" s="11" t="n">
        <f>IF(AND(COUNT(BN63:BU63)=8,MIN(BN63:BU63)&gt;=0),SUMPRODUCT(BN63:BQ63,BR63:BU63),"")</f>
        <v>94.47778160343367</v>
      </c>
      <c r="BH63" s="11" t="n">
        <f>IF(COUNT(BC63,BG63)=2,BC63*BG63,"")</f>
        <v>842.6299247591916</v>
      </c>
      <c r="BI63" s="11" t="n">
        <f>IF(ISNUMBER(CI63),CI63,"")</f>
        <v>148.27985613692073</v>
      </c>
      <c r="BJ63" s="8" t="str"/>
      <c r="BK63" s="8" t="str">
        <v>90天：2026-07-20 至 2026-10-17；180天：2026-04-21 至 2026-10-17</v>
      </c>
      <c r="BL63" s="8" t="str">
        <v>90天：2026-10-06、2026-10-07；180天：2026-10-06、2026-10-07</v>
      </c>
      <c r="BM63" s="8" t="str">
        <v>2026-10：12天 × 1.1090677182221615；2026-11：30天 × 1.0372741535934282；2026-12：31天 × 0.979949351738161；2027-01：17天 × 1.1571949690048173</v>
      </c>
      <c r="BN63" s="11" t="n">
        <v>1.1090677182221615</v>
      </c>
      <c r="BO63" s="11" t="n">
        <v>1.0372741535934282</v>
      </c>
      <c r="BP63" s="11" t="n">
        <v>0.979949351738161</v>
      </c>
      <c r="BQ63" s="11" t="n">
        <v>1.1571949690048173</v>
      </c>
      <c r="BR63" s="8" t="n">
        <v>12</v>
      </c>
      <c r="BS63" s="8" t="n">
        <v>30</v>
      </c>
      <c r="BT63" s="8" t="n">
        <v>31</v>
      </c>
      <c r="BU63" s="8" t="n">
        <v>17</v>
      </c>
      <c r="BV63" s="11" t="n">
        <f>IF(COUNT(BC63,BF63)=2,BC63*BF63,"")</f>
        <v>1.5694680126944438</v>
      </c>
      <c r="BW63" s="11" t="n">
        <f>IF(ISNUMBER(BN63),BN63,"")</f>
        <v>1.1090677182221615</v>
      </c>
      <c r="BX63" s="14" t="n">
        <f>IF(ISNUMBER(BR63),BR63,"")</f>
        <v>12</v>
      </c>
      <c r="BY63" s="13" t="n">
        <f>IF(AND(COUNT(BV63,BW63,BX63)=3,MIN(BV63,BW63,BX63)&gt;=0),BV63*BW63*BX63,"")</f>
        <v>20.88775569194037</v>
      </c>
      <c r="BZ63" s="11" t="n">
        <f>IF(ISNUMBER(BO63),BO63,"")</f>
        <v>1.0372741535934282</v>
      </c>
      <c r="CA63" s="14" t="n">
        <f>IF(ISNUMBER(BS63),BS63,"")</f>
        <v>30</v>
      </c>
      <c r="CB63" s="13" t="n">
        <f>IF(AND(COUNT(BV63,BZ63,CA63)=3,MIN(BV63,BZ63,CA63)&gt;=0),BV63*BZ63*CA63,"")</f>
        <v>48.839058133787674</v>
      </c>
      <c r="CC63" s="11" t="n">
        <f>IF(ISNUMBER(BP63),BP63,"")</f>
        <v>0.979949351738161</v>
      </c>
      <c r="CD63" s="14" t="n">
        <f>IF(ISNUMBER(BT63),BT63,"")</f>
        <v>31</v>
      </c>
      <c r="CE63" s="13" t="n">
        <f>IF(AND(COUNT(BV63,CC63,CD63)=3,MIN(BV63,CC63,CD63)&gt;=0),BV63*CC63*CD63,"")</f>
        <v>47.677974010024705</v>
      </c>
      <c r="CF63" s="11" t="n">
        <f>IF(ISNUMBER(BQ63),BQ63,"")</f>
        <v>1.1571949690048173</v>
      </c>
      <c r="CG63" s="14" t="n">
        <f>IF(ISNUMBER(BU63),BU63,"")</f>
        <v>17</v>
      </c>
      <c r="CH63" s="13" t="n">
        <f>IF(AND(COUNT(BV63,CF63,CG63)=3,MIN(BV63,CF63,CG63)&gt;=0),BV63*CF63*CG63,"")</f>
        <v>30.875068301167985</v>
      </c>
      <c r="CI63" s="13" t="n">
        <f>IF(COUNT(BY63,CB63,CE63,CH63)=4,SUM(BY63,CB63,CE63,CH63),"")</f>
        <v>148.27985613692073</v>
      </c>
    </row>
    <row r="64" ht="72" customHeight="1">
      <c r="A64" s="16" t="str">
        <v>B07-BKP-39.5</v>
      </c>
      <c r="B64" s="16" t="str">
        <v>4店-彬郁-US</v>
      </c>
      <c r="C64" s="16" t="str">
        <v>艾年</v>
      </c>
      <c r="D64" s="26" t="n">
        <f>IF(NOT(ISNUMBER(E64)),"",IF(OR(E64&lt;=0,L64=0),0,IF(OR(NOT(ISNUMBER(F64)),F64&lt;0),"",MIN(E64,INT(F64)))))</f>
        <v>24</v>
      </c>
      <c r="E64" s="27" t="n">
        <f>IF(OR(NOT(ISNUMBER(L64)),COUNT(M64:O64)&lt;&gt;3,MIN(M64:O64)&lt;0),"",ROUNDUP(ROUND(BI64-SUM(M64:O64),10),0))</f>
        <v>24</v>
      </c>
      <c r="F64" s="28" t="n">
        <v>48</v>
      </c>
      <c r="G64" s="28" t="n">
        <f>IF(AND(ISNUMBER(D64),ISNUMBER(E64)),IF(OR(E64&lt;=0,L64=0),0,E64-D64),"")</f>
        <v>0</v>
      </c>
      <c r="H64" s="16" t="str">
        <f>IF(NOT(ISNUMBER(E64)),"销量或海外库存待补",IF(OR(E64&lt;=0,L64=0),IF(L64=0,"零日销，本批不发","本批无需补货"),IF(NOT(ISNUMBER(D64)),"国内库存待补",IF(D64=0,"国内无可用库存",IF(G64&gt;0,"先发国内现货","按建议量发货")))))</f>
        <v>按建议量发货</v>
      </c>
      <c r="I64" s="28" t="n">
        <f>IF(AND(COUNT(Z64,AA64,AB64)=3,Z64&gt;=AA64,AA64&gt;=0,AB64=7),Z64-AA64,"")</f>
        <v>0</v>
      </c>
      <c r="J64" s="28" t="n">
        <f>IF(AND(COUNT(AF64,AG64,AH64)=3,AF64&gt;=AG64,AG64&gt;=0,AH64=14),AF64-AG64,"")</f>
        <v>1</v>
      </c>
      <c r="K64" s="28" t="n">
        <f>IF(AND(COUNT(AL64,AM64,AN64)=3,AL64&gt;=AM64,AM64&gt;=0,AN64=30),AL64-AM64,"")</f>
        <v>3</v>
      </c>
      <c r="L64" s="29" t="n">
        <f>IF(ISNUMBER(BI64),BI64/90,"")</f>
        <v>0.2558269602271234</v>
      </c>
      <c r="M64" s="28" t="n">
        <v>0</v>
      </c>
      <c r="N64" s="28" t="n">
        <v>0</v>
      </c>
      <c r="O64" s="28" t="n">
        <v>0</v>
      </c>
      <c r="P64" s="30" t="n">
        <f>IF(AND(ISNUMBER(L64),L64&gt;0,COUNT(M64:O64)=3,MIN(M64:O64)&gt;=0),SUM(M64:O64)/L64,"")</f>
        <v>0</v>
      </c>
      <c r="Q64" s="16" t="str">
        <v>沿用原计划SKU店铺</v>
      </c>
      <c r="R64" s="16" t="str">
        <v>已匹配</v>
      </c>
      <c r="S64" s="16" t="str">
        <v>停售</v>
      </c>
      <c r="T64" s="16" t="str">
        <v>B07</v>
      </c>
      <c r="U64" s="16" t="str">
        <v>黑色PU</v>
      </c>
      <c r="V64" s="16" t="n">
        <v>8.5</v>
      </c>
      <c r="W64" s="8" t="str">
        <v>2026-10-08 至 2026-10-17</v>
      </c>
      <c r="X64" s="8" t="str">
        <v>2026-10-08、2026-10-09、2026-10-10、2026-10-11、2026-10-14、2026-10-15、2026-10-17</v>
      </c>
      <c r="Y64" s="8" t="str">
        <v>2026-10-12 有记录的停售日；2026-10-13 有记录的停售日；2026-10-16 有记录的停售日</v>
      </c>
      <c r="Z64" s="8" t="n">
        <v>0</v>
      </c>
      <c r="AA64" s="8" t="n">
        <v>0</v>
      </c>
      <c r="AB64" s="8" t="n">
        <v>7</v>
      </c>
      <c r="AC64" s="8" t="str">
        <v>2026-09-29 至 2026-10-17</v>
      </c>
      <c r="AD64" s="8" t="str">
        <v>2026-09-29、2026-09-30、2026-10-01、2026-10-02、2026-10-03、2026-10-04、2026-10-05、2026-10-08、2026-10-09、2026-10-10、2026-10-11、2026-10-14、2026-10-15、2026-10-17</v>
      </c>
      <c r="AE64" s="8" t="str">
        <v>2026-10-06 大促；2026-10-07 大促；2026-10-12 有记录的停售日；2026-10-13 有记录的停售日；2026-10-16 有记录的停售日</v>
      </c>
      <c r="AF64" s="8" t="n">
        <v>1</v>
      </c>
      <c r="AG64" s="8" t="n">
        <v>0</v>
      </c>
      <c r="AH64" s="8" t="n">
        <v>14</v>
      </c>
      <c r="AI64" s="8" t="str">
        <v>2026-09-13 至 2026-10-17</v>
      </c>
      <c r="AJ6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4" s="8" t="str">
        <v>2026-10-06 大促；2026-10-07 大促；2026-10-12 有记录的停售日；2026-10-13 有记录的停售日；2026-10-16 有记录的停售日</v>
      </c>
      <c r="AL64" s="8" t="n">
        <v>3</v>
      </c>
      <c r="AM64" s="8" t="n">
        <v>0</v>
      </c>
      <c r="AN64" s="8" t="n">
        <v>30</v>
      </c>
      <c r="AO64" s="8" t="str">
        <v>B07 / 黑色PU / 13306</v>
      </c>
      <c r="AP64" s="11" t="n">
        <v>0.7307750238224848</v>
      </c>
      <c r="AQ64" s="11" t="n">
        <v>0.7348338471341894</v>
      </c>
      <c r="AR64" s="11" t="n">
        <v>0.7478220817316438</v>
      </c>
      <c r="AS64" s="11" t="n">
        <f>IF(AND(COUNT(I64:K64,AP64:AR64)=6,MIN(AP64:AR64)&gt;0),I64/7/AP64*0.5+J64/14/AQ64*0.3+K64/30/AR64*0.2,"")</f>
        <v>0.05590544034666894</v>
      </c>
      <c r="AT64" s="8" t="n">
        <v>10</v>
      </c>
      <c r="AU64" s="8" t="n">
        <v>0</v>
      </c>
      <c r="AV64" s="8" t="n">
        <v>85</v>
      </c>
      <c r="AW64" s="11" t="n">
        <f>IF(AND(COUNT(AT64:AV64)=3,AT64&gt;=AU64,AU64&gt;=0,AV64&gt;0),(AT64-AU64)/AV64,"")</f>
        <v>0.11764705882352941</v>
      </c>
      <c r="AX64" s="8" t="n">
        <v>35</v>
      </c>
      <c r="AY64" s="8" t="n">
        <v>0</v>
      </c>
      <c r="AZ64" s="8" t="n">
        <v>175</v>
      </c>
      <c r="BA64" s="11" t="n">
        <f>IF(AND(COUNT(AX64:AZ64)=3,AX64&gt;=AY64,AY64&gt;=0,AZ64&gt;0),(AX64-AY64)/AZ64,"")</f>
        <v>0.2</v>
      </c>
      <c r="BB64" s="8" t="n">
        <f>IF(COUNT(AS64,AW64,BA64)=3,1,0)</f>
        <v>1</v>
      </c>
      <c r="BC64" s="11" t="n">
        <f>IF(SUMIF($AO$11:$AO$1309,AO64,$BB$11:$BB$1309)=COUNTIF($AO$11:$AO$1309,AO64),SUMIF($AO$11:$AO$1309,AO64,$AS$11:$AS$1309),"")</f>
        <v>1.9452610587450656</v>
      </c>
      <c r="BD64" s="11" t="n">
        <f>IF(SUMIF($AO$11:$AO$1309,AO64,$BB$11:$BB$1309)=COUNTIF($AO$11:$AO$1309,AO64),SUMIF($AO$11:$AO$1309,AO64,$AW$11:$AW$1309),"")</f>
        <v>0.8570855614973261</v>
      </c>
      <c r="BE64" s="11" t="n">
        <f>IF(SUMIF($AO$11:$AO$1309,AO64,$BB$11:$BB$1309)=COUNTIF($AO$11:$AO$1309,AO64),SUMIF($AO$11:$AO$1309,AO64,$BA$11:$BA$1309),"")</f>
        <v>1.091589085072231</v>
      </c>
      <c r="BF64" s="12" t="n">
        <f>IF(COUNT(BD64:BE64)&lt;&gt;2,"",IF(AND(BD64&gt;0,BE64&gt;0),0.7*AW64/BD64+0.3*BA64/BE64,IF(BD64&gt;0,AW64/BD64,IF(BE64&gt;0,BA64/BE64,IF(AND(ISNUMBER(BH64),BH64=0),0,"")))))</f>
        <v>0.1510505924741251</v>
      </c>
      <c r="BG64" s="11" t="n">
        <f>IF(AND(COUNT(BN64:BU64)=8,MIN(BN64:BU64)&gt;=0),SUMPRODUCT(BN64:BQ64,BR64:BU64),"")</f>
        <v>78.35892944347341</v>
      </c>
      <c r="BH64" s="11" t="n">
        <f>IF(COUNT(BC64,BG64)=2,BC64*BG64,"")</f>
        <v>152.428574051341</v>
      </c>
      <c r="BI64" s="11" t="n">
        <f>IF(ISNUMBER(CI64),CI64,"")</f>
        <v>23.024426420441106</v>
      </c>
      <c r="BJ64" s="8" t="str">
        <v>低销提醒依据不完整</v>
      </c>
      <c r="BK64" s="8" t="str">
        <v>90天：2026-07-20 至 2026-10-17；180天：2026-04-21 至 2026-10-17</v>
      </c>
      <c r="BL64" s="8" t="str">
        <v>90天：2026-10-06、2026-10-07、2026-10-12、2026-10-13、2026-10-16；180天：2026-10-06、2026-10-07、2026-10-12、2026-10-13、2026-10-16</v>
      </c>
      <c r="BM64" s="8" t="str">
        <v>2026-10：12天 × 0.7307750238224848；2026-11：30天 × 0.9523018155490097；2026-12：31天 × 0.5958545198749097；2027-01：17天 × 1.3264167397065354</v>
      </c>
      <c r="BN64" s="11" t="n">
        <v>0.7307750238224848</v>
      </c>
      <c r="BO64" s="11" t="n">
        <v>0.9523018155490097</v>
      </c>
      <c r="BP64" s="11" t="n">
        <v>0.5958545198749097</v>
      </c>
      <c r="BQ64" s="11" t="n">
        <v>1.3264167397065354</v>
      </c>
      <c r="BR64" s="8" t="n">
        <v>12</v>
      </c>
      <c r="BS64" s="8" t="n">
        <v>30</v>
      </c>
      <c r="BT64" s="8" t="n">
        <v>31</v>
      </c>
      <c r="BU64" s="8" t="n">
        <v>17</v>
      </c>
      <c r="BV64" s="11" t="n">
        <f>IF(COUNT(BC64,BF64)=2,BC64*BF64,"")</f>
        <v>0.29383283544028604</v>
      </c>
      <c r="BW64" s="11" t="n">
        <f>IF(ISNUMBER(BN64),BN64,"")</f>
        <v>0.7307750238224848</v>
      </c>
      <c r="BX64" s="14" t="n">
        <f>IF(ISNUMBER(BR64),BR64,"")</f>
        <v>12</v>
      </c>
      <c r="BY64" s="13" t="n">
        <f>IF(AND(COUNT(BV64,BW64,BX64)=3,MIN(BV64,BW64,BX64)&gt;=0),BV64*BW64*BX64,"")</f>
        <v>2.57670836782444</v>
      </c>
      <c r="BZ64" s="11" t="n">
        <f>IF(ISNUMBER(BO64),BO64,"")</f>
        <v>0.9523018155490097</v>
      </c>
      <c r="CA64" s="14" t="n">
        <f>IF(ISNUMBER(BS64),BS64,"")</f>
        <v>30</v>
      </c>
      <c r="CB64" s="13" t="n">
        <f>IF(AND(COUNT(BV64,BZ64,CA64)=3,MIN(BV64,BZ64,CA64)&gt;=0),BV64*BZ64*CA64,"")</f>
        <v>8.394526279730934</v>
      </c>
      <c r="CC64" s="11" t="n">
        <f>IF(ISNUMBER(BP64),BP64,"")</f>
        <v>0.5958545198749097</v>
      </c>
      <c r="CD64" s="14" t="n">
        <f>IF(ISNUMBER(BT64),BT64,"")</f>
        <v>31</v>
      </c>
      <c r="CE64" s="13" t="n">
        <f>IF(AND(COUNT(BV64,CC64,CD64)=3,MIN(BV64,CC64,CD64)&gt;=0),BV64*CC64*CD64,"")</f>
        <v>5.427530315627404</v>
      </c>
      <c r="CF64" s="11" t="n">
        <f>IF(ISNUMBER(BQ64),BQ64,"")</f>
        <v>1.3264167397065354</v>
      </c>
      <c r="CG64" s="14" t="n">
        <f>IF(ISNUMBER(BU64),BU64,"")</f>
        <v>17</v>
      </c>
      <c r="CH64" s="13" t="n">
        <f>IF(AND(COUNT(BV64,CF64,CG64)=3,MIN(BV64,CF64,CG64)&gt;=0),BV64*CF64*CG64,"")</f>
        <v>6.625661457258329</v>
      </c>
      <c r="CI64" s="13" t="n">
        <f>IF(COUNT(BY64,CB64,CE64,CH64)=4,SUM(BY64,CB64,CE64,CH64),"")</f>
        <v>23.024426420441106</v>
      </c>
    </row>
    <row r="65" ht="72" customHeight="1">
      <c r="A65" s="16" t="str">
        <v>60516-LP-S-K-9</v>
      </c>
      <c r="B65" s="16" t="str">
        <v>3店-SANDIEX-US</v>
      </c>
      <c r="C65" s="16" t="str">
        <v>徐新怡</v>
      </c>
      <c r="D65" s="26" t="n">
        <f>IF(NOT(ISNUMBER(E65)),"",IF(OR(E65&lt;=0,L65=0),0,IF(OR(NOT(ISNUMBER(F65)),F65&lt;0),"",MIN(E65,INT(F65)))))</f>
        <v>23</v>
      </c>
      <c r="E65" s="27" t="n">
        <f>IF(OR(NOT(ISNUMBER(L65)),COUNT(M65:O65)&lt;&gt;3,MIN(M65:O65)&lt;0),"",ROUNDUP(ROUND(BI65-SUM(M65:O65),10),0))</f>
        <v>69</v>
      </c>
      <c r="F65" s="28" t="n">
        <v>23</v>
      </c>
      <c r="G65" s="28" t="n">
        <f>IF(AND(ISNUMBER(D65),ISNUMBER(E65)),IF(OR(E65&lt;=0,L65=0),0,E65-D65),"")</f>
        <v>46</v>
      </c>
      <c r="H65" s="16" t="str">
        <f>IF(NOT(ISNUMBER(E65)),"销量或海外库存待补",IF(OR(E65&lt;=0,L65=0),IF(L65=0,"零日销，本批不发","本批无需补货"),IF(NOT(ISNUMBER(D65)),"国内库存待补",IF(D65=0,"国内无可用库存",IF(G65&gt;0,"先发国内现货","按建议量发货")))))</f>
        <v>先发国内现货</v>
      </c>
      <c r="I65" s="28" t="n">
        <f>IF(AND(COUNT(Z65,AA65,AB65)=3,Z65&gt;=AA65,AA65&gt;=0,AB65=7),Z65-AA65,"")</f>
        <v>16</v>
      </c>
      <c r="J65" s="28" t="n">
        <f>IF(AND(COUNT(AF65,AG65,AH65)=3,AF65&gt;=AG65,AG65&gt;=0,AH65=14),AF65-AG65,"")</f>
        <v>31</v>
      </c>
      <c r="K65" s="28" t="n">
        <f>IF(AND(COUNT(AL65,AM65,AN65)=3,AL65&gt;=AM65,AM65&gt;=0,AN65=30),AL65-AM65,"")</f>
        <v>51</v>
      </c>
      <c r="L65" s="29" t="n">
        <f>IF(ISNUMBER(BI65),BI65/90,"")</f>
        <v>1.372824189848105</v>
      </c>
      <c r="M65" s="28" t="n">
        <v>55</v>
      </c>
      <c r="N65" s="28" t="n">
        <v>0</v>
      </c>
      <c r="O65" s="28" t="n">
        <v>0</v>
      </c>
      <c r="P65" s="30" t="n">
        <f>IF(AND(ISNUMBER(L65),L65&gt;0,COUNT(M65:O65)=3,MIN(M65:O65)&gt;=0),SUM(M65:O65)/L65,"")</f>
        <v>40.063396614598865</v>
      </c>
      <c r="Q65" s="16" t="str">
        <v>沿用原计划SKU店铺</v>
      </c>
      <c r="R65" s="16" t="str">
        <v>已匹配</v>
      </c>
      <c r="S65" s="16" t="str">
        <v>在售</v>
      </c>
      <c r="T65" s="16" t="str">
        <v>60516</v>
      </c>
      <c r="U65" s="16" t="str">
        <v>豹纹</v>
      </c>
      <c r="V65" s="16" t="n">
        <v>9</v>
      </c>
      <c r="W65" s="8" t="str">
        <v>2026-10-11 至 2026-10-17</v>
      </c>
      <c r="X65" s="8" t="str">
        <v>2026-10-11、2026-10-12、2026-10-13、2026-10-14、2026-10-15、2026-10-16、2026-10-17</v>
      </c>
      <c r="Y65" s="8" t="str">
        <v>无</v>
      </c>
      <c r="Z65" s="8" t="n">
        <v>16</v>
      </c>
      <c r="AA65" s="8" t="n">
        <v>0</v>
      </c>
      <c r="AB65" s="8" t="n">
        <v>7</v>
      </c>
      <c r="AC65" s="8" t="str">
        <v>2026-10-02 至 2026-10-17</v>
      </c>
      <c r="AD65" s="8" t="str">
        <v>2026-10-02、2026-10-03、2026-10-04、2026-10-05、2026-10-08、2026-10-09、2026-10-10、2026-10-11、2026-10-12、2026-10-13、2026-10-14、2026-10-15、2026-10-16、2026-10-17</v>
      </c>
      <c r="AE65" s="8" t="str">
        <v>2026-10-06 大促；2026-10-07 大促</v>
      </c>
      <c r="AF65" s="8" t="n">
        <v>43</v>
      </c>
      <c r="AG65" s="8" t="n">
        <v>12</v>
      </c>
      <c r="AH65" s="8" t="n">
        <v>14</v>
      </c>
      <c r="AI65" s="8" t="str">
        <v>2026-09-16 至 2026-10-17</v>
      </c>
      <c r="AJ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" s="8" t="str">
        <v>2026-10-06 大促；2026-10-07 大促</v>
      </c>
      <c r="AL65" s="8" t="n">
        <v>63</v>
      </c>
      <c r="AM65" s="8" t="n">
        <v>12</v>
      </c>
      <c r="AN65" s="8" t="n">
        <v>30</v>
      </c>
      <c r="AO65" s="8" t="str">
        <v>60516 / 豹纹羊京绒 / 6574</v>
      </c>
      <c r="AP65" s="11" t="n">
        <v>1.8609238953732312</v>
      </c>
      <c r="AQ65" s="11" t="n">
        <v>1.8609238953732312</v>
      </c>
      <c r="AR65" s="11" t="n">
        <v>1.7598476169692943</v>
      </c>
      <c r="AS65" s="11" t="n">
        <f>IF(AND(COUNT(I65:K65,AP65:AR65)=6,MIN(AP65:AR65)&gt;0),I65/7/AP65*0.5+J65/14/AQ65*0.3+K65/30/AR65*0.2,"")</f>
        <v>1.1642983641124323</v>
      </c>
      <c r="AT65" s="8" t="n">
        <v>97</v>
      </c>
      <c r="AU65" s="8" t="n">
        <v>12</v>
      </c>
      <c r="AV65" s="8" t="n">
        <v>88</v>
      </c>
      <c r="AW65" s="11" t="n">
        <f>IF(AND(COUNT(AT65:AV65)=3,AT65&gt;=AU65,AU65&gt;=0,AV65&gt;0),(AT65-AU65)/AV65,"")</f>
        <v>0.9659090909090909</v>
      </c>
      <c r="AX65" s="8" t="n">
        <v>120</v>
      </c>
      <c r="AY65" s="8" t="n">
        <v>12</v>
      </c>
      <c r="AZ65" s="8" t="n">
        <v>178</v>
      </c>
      <c r="BA65" s="11" t="n">
        <f>IF(AND(COUNT(AX65:AZ65)=3,AX65&gt;=AY65,AY65&gt;=0,AZ65&gt;0),(AX65-AY65)/AZ65,"")</f>
        <v>0.6067415730337079</v>
      </c>
      <c r="BB65" s="8" t="n">
        <f>IF(COUNT(AS65,AW65,BA65)=3,1,0)</f>
        <v>1</v>
      </c>
      <c r="BC65" s="11" t="n">
        <f>IF(SUMIF($AO$11:$AO$1309,AO65,$BB$11:$BB$1309)=COUNTIF($AO$11:$AO$1309,AO65),SUMIF($AO$11:$AO$1309,AO65,$AS$11:$AS$1309),"")</f>
        <v>4.8489600193541325</v>
      </c>
      <c r="BD65" s="11" t="n">
        <f>IF(SUMIF($AO$11:$AO$1309,AO65,$BB$11:$BB$1309)=COUNTIF($AO$11:$AO$1309,AO65),SUMIF($AO$11:$AO$1309,AO65,$AW$11:$AW$1309),"")</f>
        <v>4.045454545454545</v>
      </c>
      <c r="BE65" s="11" t="n">
        <f>IF(SUMIF($AO$11:$AO$1309,AO65,$BB$11:$BB$1309)=COUNTIF($AO$11:$AO$1309,AO65),SUMIF($AO$11:$AO$1309,AO65,$BA$11:$BA$1309),"")</f>
        <v>2.7977528089887636</v>
      </c>
      <c r="BF65" s="12" t="n">
        <f>IF(COUNT(BD65:BE65)&lt;&gt;2,"",IF(AND(BD65&gt;0,BE65&gt;0),0.7*AW65/BD65+0.3*BA65/BE65,IF(BD65&gt;0,AW65/BD65,IF(BE65&gt;0,BA65/BE65,IF(AND(ISNUMBER(BH65),BH65=0),0,"")))))</f>
        <v>0.2321950724245296</v>
      </c>
      <c r="BG65" s="11" t="n">
        <f>IF(AND(COUNT(BN65:BU65)=8,MIN(BN65:BU65)&gt;=0),SUMPRODUCT(BN65:BQ65,BR65:BU65),"")</f>
        <v>109.73769409574882</v>
      </c>
      <c r="BH65" s="11" t="n">
        <f>IF(COUNT(BC65,BG65)=2,BC65*BG65,"")</f>
        <v>532.1136912864001</v>
      </c>
      <c r="BI65" s="11" t="n">
        <f>IF(ISNUMBER(CI65),CI65,"")</f>
        <v>123.55417708632945</v>
      </c>
      <c r="BJ65" s="8" t="str"/>
      <c r="BK65" s="8" t="str">
        <v>90天：2026-07-20 至 2026-10-17；180天：2026-04-21 至 2026-10-17</v>
      </c>
      <c r="BL65" s="8" t="str">
        <v>90天：2026-10-06、2026-10-07；180天：2026-10-06、2026-10-07</v>
      </c>
      <c r="BM65" s="8" t="str">
        <v>2026-10：12天 × 1.8609238953732312；2026-11：30天 × 1.438375649833085；2026-12：31天 × 0.9519742599124907；2027-01：17天 × 0.8673021058229575</v>
      </c>
      <c r="BN65" s="11" t="n">
        <v>1.8609238953732312</v>
      </c>
      <c r="BO65" s="11" t="n">
        <v>1.438375649833085</v>
      </c>
      <c r="BP65" s="11" t="n">
        <v>0.9519742599124907</v>
      </c>
      <c r="BQ65" s="11" t="n">
        <v>0.8673021058229575</v>
      </c>
      <c r="BR65" s="8" t="n">
        <v>12</v>
      </c>
      <c r="BS65" s="8" t="n">
        <v>30</v>
      </c>
      <c r="BT65" s="8" t="n">
        <v>31</v>
      </c>
      <c r="BU65" s="8" t="n">
        <v>17</v>
      </c>
      <c r="BV65" s="11" t="n">
        <f>IF(COUNT(BC65,BF65)=2,BC65*BF65,"")</f>
        <v>1.1259046228775813</v>
      </c>
      <c r="BW65" s="11" t="n">
        <f>IF(ISNUMBER(BN65),BN65,"")</f>
        <v>1.8609238953732312</v>
      </c>
      <c r="BX65" s="14" t="n">
        <f>IF(ISNUMBER(BR65),BR65,"")</f>
        <v>12</v>
      </c>
      <c r="BY65" s="13" t="n">
        <f>IF(AND(COUNT(BV65,BW65,BX65)=3,MIN(BV65,BW65,BX65)&gt;=0),BV65*BW65*BX65,"")</f>
        <v>25.14267379948893</v>
      </c>
      <c r="BZ65" s="11" t="n">
        <f>IF(ISNUMBER(BO65),BO65,"")</f>
        <v>1.438375649833085</v>
      </c>
      <c r="CA65" s="14" t="n">
        <f>IF(ISNUMBER(BS65),BS65,"")</f>
        <v>30</v>
      </c>
      <c r="CB65" s="13" t="n">
        <f>IF(AND(COUNT(BV65,BZ65,CA65)=3,MIN(BV65,BZ65,CA65)&gt;=0),BV65*BZ65*CA65,"")</f>
        <v>48.58421380744847</v>
      </c>
      <c r="CC65" s="11" t="n">
        <f>IF(ISNUMBER(BP65),BP65,"")</f>
        <v>0.9519742599124907</v>
      </c>
      <c r="CD65" s="14" t="n">
        <f>IF(ISNUMBER(BT65),BT65,"")</f>
        <v>31</v>
      </c>
      <c r="CE65" s="13" t="n">
        <f>IF(AND(COUNT(BV65,CC65,CD65)=3,MIN(BV65,CC65,CD65)&gt;=0),BV65*CC65*CD65,"")</f>
        <v>33.22679882297406</v>
      </c>
      <c r="CF65" s="11" t="n">
        <f>IF(ISNUMBER(BQ65),BQ65,"")</f>
        <v>0.8673021058229575</v>
      </c>
      <c r="CG65" s="14" t="n">
        <f>IF(ISNUMBER(BU65),BU65,"")</f>
        <v>17</v>
      </c>
      <c r="CH65" s="13" t="n">
        <f>IF(AND(COUNT(BV65,CF65,CG65)=3,MIN(BV65,CF65,CG65)&gt;=0),BV65*CF65*CG65,"")</f>
        <v>16.600490656417993</v>
      </c>
      <c r="CI65" s="13" t="n">
        <f>IF(COUNT(BY65,CB65,CE65,CH65)=4,SUM(BY65,CB65,CE65,CH65),"")</f>
        <v>123.55417708632945</v>
      </c>
    </row>
    <row r="66" ht="72" customHeight="1">
      <c r="A66" s="16" t="str">
        <v>2302153-BG-P-Z-38</v>
      </c>
      <c r="B66" s="16" t="str">
        <v>3店-SANDIEX-US</v>
      </c>
      <c r="C66" s="16" t="str">
        <v>徐新怡</v>
      </c>
      <c r="D66" s="26" t="n">
        <f>IF(NOT(ISNUMBER(E66)),"",IF(OR(E66&lt;=0,L66=0),0,IF(OR(NOT(ISNUMBER(F66)),F66&lt;0),"",MIN(E66,INT(F66)))))</f>
        <v>23</v>
      </c>
      <c r="E66" s="27" t="n">
        <f>IF(OR(NOT(ISNUMBER(L66)),COUNT(M66:O66)&lt;&gt;3,MIN(M66:O66)&lt;0),"",ROUNDUP(ROUND(BI66-SUM(M66:O66),10),0))</f>
        <v>23</v>
      </c>
      <c r="F66" s="28" t="n">
        <v>72</v>
      </c>
      <c r="G66" s="28" t="n">
        <f>IF(AND(ISNUMBER(D66),ISNUMBER(E66)),IF(OR(E66&lt;=0,L66=0),0,E66-D66),"")</f>
        <v>0</v>
      </c>
      <c r="H66" s="16" t="str">
        <f>IF(NOT(ISNUMBER(E66)),"销量或海外库存待补",IF(OR(E66&lt;=0,L66=0),IF(L66=0,"零日销，本批不发","本批无需补货"),IF(NOT(ISNUMBER(D66)),"国内库存待补",IF(D66=0,"国内无可用库存",IF(G66&gt;0,"先发国内现货","按建议量发货")))))</f>
        <v>按建议量发货</v>
      </c>
      <c r="I66" s="28" t="n">
        <f>IF(AND(COUNT(Z66,AA66,AB66)=3,Z66&gt;=AA66,AA66&gt;=0,AB66=7),Z66-AA66,"")</f>
        <v>2</v>
      </c>
      <c r="J66" s="28" t="n">
        <f>IF(AND(COUNT(AF66,AG66,AH66)=3,AF66&gt;=AG66,AG66&gt;=0,AH66=14),AF66-AG66,"")</f>
        <v>2</v>
      </c>
      <c r="K66" s="28" t="n">
        <f>IF(AND(COUNT(AL66,AM66,AN66)=3,AL66&gt;=AM66,AM66&gt;=0,AN66=30),AL66-AM66,"")</f>
        <v>10</v>
      </c>
      <c r="L66" s="29" t="n">
        <f>IF(ISNUMBER(BI66),BI66/90,"")</f>
        <v>0.2643885787752305</v>
      </c>
      <c r="M66" s="28" t="n">
        <v>1</v>
      </c>
      <c r="N66" s="28" t="n">
        <v>0</v>
      </c>
      <c r="O66" s="28" t="n">
        <v>0</v>
      </c>
      <c r="P66" s="30" t="n">
        <f>IF(AND(ISNUMBER(L66),L66&gt;0,COUNT(M66:O66)=3,MIN(M66:O66)&gt;=0),SUM(M66:O66)/L66,"")</f>
        <v>3.782311643840517</v>
      </c>
      <c r="Q66" s="16" t="str">
        <v>沿用原计划SKU店铺</v>
      </c>
      <c r="R66" s="16" t="str">
        <v>已匹配</v>
      </c>
      <c r="S66" s="16" t="str">
        <v>停售</v>
      </c>
      <c r="T66" s="16" t="str">
        <v>2302153</v>
      </c>
      <c r="U66" s="16" t="str">
        <v>米白</v>
      </c>
      <c r="V66" s="16" t="n">
        <v>7</v>
      </c>
      <c r="W66" s="8" t="str">
        <v>2026-10-11 至 2026-10-17</v>
      </c>
      <c r="X66" s="8" t="str">
        <v>2026-10-11、2026-10-12、2026-10-13、2026-10-14、2026-10-15、2026-10-16、2026-10-17</v>
      </c>
      <c r="Y66" s="8" t="str">
        <v>无</v>
      </c>
      <c r="Z66" s="8" t="n">
        <v>2</v>
      </c>
      <c r="AA66" s="8" t="n">
        <v>0</v>
      </c>
      <c r="AB66" s="8" t="n">
        <v>7</v>
      </c>
      <c r="AC66" s="8" t="str">
        <v>2026-10-02 至 2026-10-17</v>
      </c>
      <c r="AD66" s="8" t="str">
        <v>2026-10-02、2026-10-03、2026-10-04、2026-10-05、2026-10-08、2026-10-09、2026-10-10、2026-10-11、2026-10-12、2026-10-13、2026-10-14、2026-10-15、2026-10-16、2026-10-17</v>
      </c>
      <c r="AE66" s="8" t="str">
        <v>2026-10-06 大促；2026-10-07 大促</v>
      </c>
      <c r="AF66" s="8" t="n">
        <v>3</v>
      </c>
      <c r="AG66" s="8" t="n">
        <v>1</v>
      </c>
      <c r="AH66" s="8" t="n">
        <v>14</v>
      </c>
      <c r="AI66" s="8" t="str">
        <v>2026-09-16 至 2026-10-17</v>
      </c>
      <c r="AJ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" s="8" t="str">
        <v>2026-10-06 大促；2026-10-07 大促</v>
      </c>
      <c r="AL66" s="8" t="n">
        <v>11</v>
      </c>
      <c r="AM66" s="8" t="n">
        <v>1</v>
      </c>
      <c r="AN66" s="8" t="n">
        <v>30</v>
      </c>
      <c r="AO66" s="8" t="str">
        <v>2302153 / 米白PU / 6574</v>
      </c>
      <c r="AP66" s="11" t="n">
        <v>1.7391279184229513</v>
      </c>
      <c r="AQ66" s="11" t="n">
        <v>1.7391279184229513</v>
      </c>
      <c r="AR66" s="11" t="n">
        <v>1.5731892896917212</v>
      </c>
      <c r="AS66" s="11" t="n">
        <f>IF(AND(COUNT(I66:K66,AP66:AR66)=6,MIN(AP66:AR66)&gt;0),I66/7/AP66*0.5+J66/14/AQ66*0.3+K66/30/AR66*0.2,"")</f>
        <v>0.14916262987732068</v>
      </c>
      <c r="AT66" s="8" t="n">
        <v>26</v>
      </c>
      <c r="AU66" s="8" t="n">
        <v>1</v>
      </c>
      <c r="AV66" s="8" t="n">
        <v>88</v>
      </c>
      <c r="AW66" s="11" t="n">
        <f>IF(AND(COUNT(AT66:AV66)=3,AT66&gt;=AU66,AU66&gt;=0,AV66&gt;0),(AT66-AU66)/AV66,"")</f>
        <v>0.2840909090909091</v>
      </c>
      <c r="AX66" s="8" t="n">
        <v>26</v>
      </c>
      <c r="AY66" s="8" t="n">
        <v>1</v>
      </c>
      <c r="AZ66" s="8" t="n">
        <v>178</v>
      </c>
      <c r="BA66" s="11" t="n">
        <f>IF(AND(COUNT(AX66:AZ66)=3,AX66&gt;=AY66,AY66&gt;=0,AZ66&gt;0),(AX66-AY66)/AZ66,"")</f>
        <v>0.1404494382022472</v>
      </c>
      <c r="BB66" s="8" t="n">
        <f>IF(COUNT(AS66,AW66,BA66)=3,1,0)</f>
        <v>1</v>
      </c>
      <c r="BC66" s="11" t="n">
        <f>IF(SUMIF($AO$11:$AO$1309,AO66,$BB$11:$BB$1309)=COUNTIF($AO$11:$AO$1309,AO66),SUMIF($AO$11:$AO$1309,AO66,$AS$11:$AS$1309),"")</f>
        <v>2.0955365955321814</v>
      </c>
      <c r="BD66" s="11" t="n">
        <f>IF(SUMIF($AO$11:$AO$1309,AO66,$BB$11:$BB$1309)=COUNTIF($AO$11:$AO$1309,AO66),SUMIF($AO$11:$AO$1309,AO66,$AW$11:$AW$1309),"")</f>
        <v>2.736485747612452</v>
      </c>
      <c r="BE66" s="11" t="n">
        <f>IF(SUMIF($AO$11:$AO$1309,AO66,$BB$11:$BB$1309)=COUNTIF($AO$11:$AO$1309,AO66),SUMIF($AO$11:$AO$1309,AO66,$BA$11:$BA$1309),"")</f>
        <v>1.3562265196239676</v>
      </c>
      <c r="BF66" s="12" t="n">
        <f>IF(COUNT(BD66:BE66)&lt;&gt;2,"",IF(AND(BD66&gt;0,BE66&gt;0),0.7*AW66/BD66+0.3*BA66/BE66,IF(BD66&gt;0,AW66/BD66,IF(BE66&gt;0,BA66/BE66,IF(AND(ISNUMBER(BH66),BH66=0),0,"")))))</f>
        <v>0.10373887032996132</v>
      </c>
      <c r="BG66" s="11" t="n">
        <f>IF(AND(COUNT(BN66:BU66)=8,MIN(BN66:BU66)&gt;=0),SUMPRODUCT(BN66:BQ66,BR66:BU66),"")</f>
        <v>109.4582336985339</v>
      </c>
      <c r="BH66" s="11" t="n">
        <f>IF(COUNT(BC66,BG66)=2,BC66*BG66,"")</f>
        <v>229.37373439759162</v>
      </c>
      <c r="BI66" s="11" t="n">
        <f>IF(ISNUMBER(CI66),CI66,"")</f>
        <v>23.794972089770745</v>
      </c>
      <c r="BJ66" s="8" t="str"/>
      <c r="BK66" s="8" t="str">
        <v>90天：2026-07-20 至 2026-10-17；180天：2026-04-21 至 2026-10-17</v>
      </c>
      <c r="BL66" s="8" t="str">
        <v>90天：2026-10-06、2026-10-07；180天：2026-10-06、2026-10-07</v>
      </c>
      <c r="BM66" s="8" t="str">
        <v>2026-10：12天 × 1.7391279184229513；2026-11：30天 × 1.4002077845513243；2026-12：31天 × 1.079339935625147；2027-01：17天 × 0.7719368903846591</v>
      </c>
      <c r="BN66" s="11" t="n">
        <v>1.7391279184229513</v>
      </c>
      <c r="BO66" s="11" t="n">
        <v>1.4002077845513243</v>
      </c>
      <c r="BP66" s="11" t="n">
        <v>1.079339935625147</v>
      </c>
      <c r="BQ66" s="11" t="n">
        <v>0.7719368903846591</v>
      </c>
      <c r="BR66" s="8" t="n">
        <v>12</v>
      </c>
      <c r="BS66" s="8" t="n">
        <v>30</v>
      </c>
      <c r="BT66" s="8" t="n">
        <v>31</v>
      </c>
      <c r="BU66" s="8" t="n">
        <v>17</v>
      </c>
      <c r="BV66" s="11" t="n">
        <f>IF(COUNT(BC66,BF66)=2,BC66*BF66,"")</f>
        <v>0.21738859915560158</v>
      </c>
      <c r="BW66" s="11" t="n">
        <f>IF(ISNUMBER(BN66),BN66,"")</f>
        <v>1.7391279184229513</v>
      </c>
      <c r="BX66" s="14" t="n">
        <f>IF(ISNUMBER(BR66),BR66,"")</f>
        <v>12</v>
      </c>
      <c r="BY66" s="13" t="n">
        <f>IF(AND(COUNT(BV66,BW66,BX66)=3,MIN(BV66,BW66,BX66)&gt;=0),BV66*BW66*BX66,"")</f>
        <v>4.536798983260352</v>
      </c>
      <c r="BZ66" s="11" t="n">
        <f>IF(ISNUMBER(BO66),BO66,"")</f>
        <v>1.4002077845513243</v>
      </c>
      <c r="CA66" s="14" t="n">
        <f>IF(ISNUMBER(BS66),BS66,"")</f>
        <v>30</v>
      </c>
      <c r="CB66" s="13" t="n">
        <f>IF(AND(COUNT(BV66,BZ66,CA66)=3,MIN(BV66,BZ66,CA66)&gt;=0),BV66*BZ66*CA66,"")</f>
        <v>9.131676264311423</v>
      </c>
      <c r="CC66" s="11" t="n">
        <f>IF(ISNUMBER(BP66),BP66,"")</f>
        <v>1.079339935625147</v>
      </c>
      <c r="CD66" s="14" t="n">
        <f>IF(ISNUMBER(BT66),BT66,"")</f>
        <v>31</v>
      </c>
      <c r="CE66" s="13" t="n">
        <f>IF(AND(COUNT(BV66,CC66,CD66)=3,MIN(BV66,CC66,CD66)&gt;=0),BV66*CC66*CD66,"")</f>
        <v>7.2737220951656845</v>
      </c>
      <c r="CF66" s="11" t="n">
        <f>IF(ISNUMBER(BQ66),BQ66,"")</f>
        <v>0.7719368903846591</v>
      </c>
      <c r="CG66" s="14" t="n">
        <f>IF(ISNUMBER(BU66),BU66,"")</f>
        <v>17</v>
      </c>
      <c r="CH66" s="13" t="n">
        <f>IF(AND(COUNT(BV66,CF66,CG66)=3,MIN(BV66,CF66,CG66)&gt;=0),BV66*CF66*CG66,"")</f>
        <v>2.8527747470332874</v>
      </c>
      <c r="CI66" s="13" t="n">
        <f>IF(COUNT(BY66,CB66,CE66,CH66)=4,SUM(BY66,CB66,CE66,CH66),"")</f>
        <v>23.794972089770745</v>
      </c>
    </row>
    <row r="67" ht="72" customHeight="1">
      <c r="A67" s="16" t="str">
        <v>2302153-LP-S-Z-10</v>
      </c>
      <c r="B67" s="16" t="str">
        <v>3店-SANDIEX-US</v>
      </c>
      <c r="C67" s="16" t="str">
        <v>徐新怡</v>
      </c>
      <c r="D67" s="26" t="n">
        <f>IF(NOT(ISNUMBER(E67)),"",IF(OR(E67&lt;=0,L67=0),0,IF(OR(NOT(ISNUMBER(F67)),F67&lt;0),"",MIN(E67,INT(F67)))))</f>
        <v>23</v>
      </c>
      <c r="E67" s="27" t="n">
        <f>IF(OR(NOT(ISNUMBER(L67)),COUNT(M67:O67)&lt;&gt;3,MIN(M67:O67)&lt;0),"",ROUNDUP(ROUND(BI67-SUM(M67:O67),10),0))</f>
        <v>23</v>
      </c>
      <c r="F67" s="28" t="n">
        <v>33</v>
      </c>
      <c r="G67" s="28" t="n">
        <f>IF(AND(ISNUMBER(D67),ISNUMBER(E67)),IF(OR(E67&lt;=0,L67=0),0,E67-D67),"")</f>
        <v>0</v>
      </c>
      <c r="H67" s="16" t="str">
        <f>IF(NOT(ISNUMBER(E67)),"销量或海外库存待补",IF(OR(E67&lt;=0,L67=0),IF(L67=0,"零日销，本批不发","本批无需补货"),IF(NOT(ISNUMBER(D67)),"国内库存待补",IF(D67=0,"国内无可用库存",IF(G67&gt;0,"先发国内现货","按建议量发货")))))</f>
        <v>按建议量发货</v>
      </c>
      <c r="I67" s="28" t="n">
        <f>IF(AND(COUNT(Z67,AA67,AB67)=3,Z67&gt;=AA67,AA67&gt;=0,AB67=7),Z67-AA67,"")</f>
        <v>1</v>
      </c>
      <c r="J67" s="28" t="n">
        <f>IF(AND(COUNT(AF67,AG67,AH67)=3,AF67&gt;=AG67,AG67&gt;=0,AH67=14),AF67-AG67,"")</f>
        <v>7</v>
      </c>
      <c r="K67" s="28" t="n">
        <f>IF(AND(COUNT(AL67,AM67,AN67)=3,AL67&gt;=AM67,AM67&gt;=0,AN67=30),AL67-AM67,"")</f>
        <v>22</v>
      </c>
      <c r="L67" s="29" t="n">
        <f>IF(ISNUMBER(BI67),BI67/90,"")</f>
        <v>0.4093410303930943</v>
      </c>
      <c r="M67" s="28" t="n">
        <v>2</v>
      </c>
      <c r="N67" s="28" t="n">
        <v>2</v>
      </c>
      <c r="O67" s="28" t="n">
        <v>10</v>
      </c>
      <c r="P67" s="30" t="n">
        <f>IF(AND(ISNUMBER(L67),L67&gt;0,COUNT(M67:O67)=3,MIN(M67:O67)&gt;=0),SUM(M67:O67)/L67,"")</f>
        <v>34.201311279633174</v>
      </c>
      <c r="Q67" s="16" t="str">
        <v>沿用原计划SKU店铺</v>
      </c>
      <c r="R67" s="16" t="str">
        <v>已匹配</v>
      </c>
      <c r="S67" s="16" t="str">
        <v>在售</v>
      </c>
      <c r="T67" s="16" t="str">
        <v>2302153</v>
      </c>
      <c r="U67" s="16" t="str">
        <v>豹纹</v>
      </c>
      <c r="V67" s="16" t="n">
        <v>10</v>
      </c>
      <c r="W67" s="8" t="str">
        <v>2026-10-11 至 2026-10-17</v>
      </c>
      <c r="X67" s="8" t="str">
        <v>2026-10-11、2026-10-12、2026-10-13、2026-10-14、2026-10-15、2026-10-16、2026-10-17</v>
      </c>
      <c r="Y67" s="8" t="str">
        <v>无</v>
      </c>
      <c r="Z67" s="8" t="n">
        <v>1</v>
      </c>
      <c r="AA67" s="8" t="n">
        <v>0</v>
      </c>
      <c r="AB67" s="8" t="n">
        <v>7</v>
      </c>
      <c r="AC67" s="8" t="str">
        <v>2026-10-02 至 2026-10-17</v>
      </c>
      <c r="AD67" s="8" t="str">
        <v>2026-10-02、2026-10-03、2026-10-04、2026-10-05、2026-10-08、2026-10-09、2026-10-10、2026-10-11、2026-10-12、2026-10-13、2026-10-14、2026-10-15、2026-10-16、2026-10-17</v>
      </c>
      <c r="AE67" s="8" t="str">
        <v>2026-10-06 大促；2026-10-07 大促</v>
      </c>
      <c r="AF67" s="8" t="n">
        <v>12</v>
      </c>
      <c r="AG67" s="8" t="n">
        <v>5</v>
      </c>
      <c r="AH67" s="8" t="n">
        <v>14</v>
      </c>
      <c r="AI67" s="8" t="str">
        <v>2026-09-16 至 2026-10-17</v>
      </c>
      <c r="AJ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" s="8" t="str">
        <v>2026-10-06 大促；2026-10-07 大促</v>
      </c>
      <c r="AL67" s="8" t="n">
        <v>27</v>
      </c>
      <c r="AM67" s="8" t="n">
        <v>5</v>
      </c>
      <c r="AN67" s="8" t="n">
        <v>30</v>
      </c>
      <c r="AO67" s="8" t="str">
        <v>2302153 / 豹纹羊京绒 / 6574</v>
      </c>
      <c r="AP67" s="11" t="n">
        <v>1.7391279184229513</v>
      </c>
      <c r="AQ67" s="11" t="n">
        <v>1.7391279184229513</v>
      </c>
      <c r="AR67" s="11" t="n">
        <v>1.5731892896917212</v>
      </c>
      <c r="AS67" s="11" t="n">
        <f>IF(AND(COUNT(I67:K67,AP67:AR67)=6,MIN(AP67:AR67)&gt;0),I67/7/AP67*0.5+J67/14/AQ67*0.3+K67/30/AR67*0.2,"")</f>
        <v>0.2205504871752303</v>
      </c>
      <c r="AT67" s="8" t="n">
        <v>44</v>
      </c>
      <c r="AU67" s="8" t="n">
        <v>5</v>
      </c>
      <c r="AV67" s="8" t="n">
        <v>88</v>
      </c>
      <c r="AW67" s="11" t="n">
        <f>IF(AND(COUNT(AT67:AV67)=3,AT67&gt;=AU67,AU67&gt;=0,AV67&gt;0),(AT67-AU67)/AV67,"")</f>
        <v>0.4431818181818182</v>
      </c>
      <c r="AX67" s="8" t="n">
        <v>77</v>
      </c>
      <c r="AY67" s="8" t="n">
        <v>5</v>
      </c>
      <c r="AZ67" s="8" t="n">
        <v>178</v>
      </c>
      <c r="BA67" s="11" t="n">
        <f>IF(AND(COUNT(AX67:AZ67)=3,AX67&gt;=AY67,AY67&gt;=0,AZ67&gt;0),(AX67-AY67)/AZ67,"")</f>
        <v>0.4044943820224719</v>
      </c>
      <c r="BB67" s="8" t="n">
        <f>IF(COUNT(AS67,AW67,BA67)=3,1,0)</f>
        <v>1</v>
      </c>
      <c r="BC67" s="11" t="n">
        <f>IF(SUMIF($AO$11:$AO$1309,AO67,$BB$11:$BB$1309)=COUNTIF($AO$11:$AO$1309,AO67),SUMIF($AO$11:$AO$1309,AO67,$AS$11:$AS$1309),"")</f>
        <v>4.164684574329155</v>
      </c>
      <c r="BD67" s="11" t="n">
        <f>IF(SUMIF($AO$11:$AO$1309,AO67,$BB$11:$BB$1309)=COUNTIF($AO$11:$AO$1309,AO67),SUMIF($AO$11:$AO$1309,AO67,$AW$11:$AW$1309),"")</f>
        <v>5.636363636363635</v>
      </c>
      <c r="BE67" s="11" t="n">
        <f>IF(SUMIF($AO$11:$AO$1309,AO67,$BB$11:$BB$1309)=COUNTIF($AO$11:$AO$1309,AO67),SUMIF($AO$11:$AO$1309,AO67,$BA$11:$BA$1309),"")</f>
        <v>4.707865168539326</v>
      </c>
      <c r="BF67" s="12" t="n">
        <f>IF(COUNT(BD67:BE67)&lt;&gt;2,"",IF(AND(BD67&gt;0,BE67&gt;0),0.7*AW67/BD67+0.3*BA67/BE67,IF(BD67&gt;0,AW67/BD67,IF(BE67&gt;0,BA67/BE67,IF(AND(ISNUMBER(BH67),BH67=0),0,"")))))</f>
        <v>0.0808159789052275</v>
      </c>
      <c r="BG67" s="11" t="n">
        <f>IF(AND(COUNT(BN67:BU67)=8,MIN(BN67:BU67)&gt;=0),SUMPRODUCT(BN67:BQ67,BR67:BU67),"")</f>
        <v>109.4582336985339</v>
      </c>
      <c r="BH67" s="11" t="n">
        <f>IF(COUNT(BC67,BG67)=2,BC67*BG67,"")</f>
        <v>455.85901741759983</v>
      </c>
      <c r="BI67" s="11" t="n">
        <f>IF(ISNUMBER(CI67),CI67,"")</f>
        <v>36.84069273537848</v>
      </c>
      <c r="BJ67" s="8" t="str"/>
      <c r="BK67" s="8" t="str">
        <v>90天：2026-07-20 至 2026-10-17；180天：2026-04-21 至 2026-10-17</v>
      </c>
      <c r="BL67" s="8" t="str">
        <v>90天：2026-10-06、2026-10-07；180天：2026-10-06、2026-10-07</v>
      </c>
      <c r="BM67" s="8" t="str">
        <v>2026-10：12天 × 1.7391279184229513；2026-11：30天 × 1.4002077845513243；2026-12：31天 × 1.079339935625147；2027-01：17天 × 0.7719368903846591</v>
      </c>
      <c r="BN67" s="11" t="n">
        <v>1.7391279184229513</v>
      </c>
      <c r="BO67" s="11" t="n">
        <v>1.4002077845513243</v>
      </c>
      <c r="BP67" s="11" t="n">
        <v>1.079339935625147</v>
      </c>
      <c r="BQ67" s="11" t="n">
        <v>0.7719368903846591</v>
      </c>
      <c r="BR67" s="8" t="n">
        <v>12</v>
      </c>
      <c r="BS67" s="8" t="n">
        <v>30</v>
      </c>
      <c r="BT67" s="8" t="n">
        <v>31</v>
      </c>
      <c r="BU67" s="8" t="n">
        <v>17</v>
      </c>
      <c r="BV67" s="11" t="n">
        <f>IF(COUNT(BC67,BF67)=2,BC67*BF67,"")</f>
        <v>0.33657306070591136</v>
      </c>
      <c r="BW67" s="11" t="n">
        <f>IF(ISNUMBER(BN67),BN67,"")</f>
        <v>1.7391279184229513</v>
      </c>
      <c r="BX67" s="14" t="n">
        <f>IF(ISNUMBER(BR67),BR67,"")</f>
        <v>12</v>
      </c>
      <c r="BY67" s="13" t="n">
        <f>IF(AND(COUNT(BV67,BW67,BX67)=3,MIN(BV67,BW67,BX67)&gt;=0),BV67*BW67*BX67,"")</f>
        <v>7.024123277552558</v>
      </c>
      <c r="BZ67" s="11" t="n">
        <f>IF(ISNUMBER(BO67),BO67,"")</f>
        <v>1.4002077845513243</v>
      </c>
      <c r="CA67" s="14" t="n">
        <f>IF(ISNUMBER(BS67),BS67,"")</f>
        <v>30</v>
      </c>
      <c r="CB67" s="13" t="n">
        <f>IF(AND(COUNT(BV67,BZ67,CA67)=3,MIN(BV67,BZ67,CA67)&gt;=0),BV67*BZ67*CA67,"")</f>
        <v>14.138166590120477</v>
      </c>
      <c r="CC67" s="11" t="n">
        <f>IF(ISNUMBER(BP67),BP67,"")</f>
        <v>1.079339935625147</v>
      </c>
      <c r="CD67" s="14" t="n">
        <f>IF(ISNUMBER(BT67),BT67,"")</f>
        <v>31</v>
      </c>
      <c r="CE67" s="13" t="n">
        <f>IF(AND(COUNT(BV67,CC67,CD67)=3,MIN(BV67,CC67,CD67)&gt;=0),BV67*CC67*CD67,"")</f>
        <v>11.261579115939789</v>
      </c>
      <c r="CF67" s="11" t="n">
        <f>IF(ISNUMBER(BQ67),BQ67,"")</f>
        <v>0.7719368903846591</v>
      </c>
      <c r="CG67" s="14" t="n">
        <f>IF(ISNUMBER(BU67),BU67,"")</f>
        <v>17</v>
      </c>
      <c r="CH67" s="13" t="n">
        <f>IF(AND(COUNT(BV67,CF67,CG67)=3,MIN(BV67,CF67,CG67)&gt;=0),BV67*CF67*CG67,"")</f>
        <v>4.416823751765661</v>
      </c>
      <c r="CI67" s="13" t="n">
        <f>IF(COUNT(BY67,CB67,CE67,CH67)=4,SUM(BY67,CB67,CE67,CH67),"")</f>
        <v>36.84069273537848</v>
      </c>
    </row>
    <row r="68" ht="72" customHeight="1">
      <c r="A68" s="16" t="str">
        <v>2302153-NY-41</v>
      </c>
      <c r="B68" s="16" t="str">
        <v>3店-SANDIEX-US</v>
      </c>
      <c r="C68" s="16" t="str">
        <v>徐新怡</v>
      </c>
      <c r="D68" s="26" t="n">
        <f>IF(NOT(ISNUMBER(E68)),"",IF(OR(E68&lt;=0,L68=0),0,IF(OR(NOT(ISNUMBER(F68)),F68&lt;0),"",MIN(E68,INT(F68)))))</f>
        <v>23</v>
      </c>
      <c r="E68" s="27" t="n">
        <f>IF(OR(NOT(ISNUMBER(L68)),COUNT(M68:O68)&lt;&gt;3,MIN(M68:O68)&lt;0),"",ROUNDUP(ROUND(BI68-SUM(M68:O68),10),0))</f>
        <v>23</v>
      </c>
      <c r="F68" s="28" t="n">
        <v>40</v>
      </c>
      <c r="G68" s="28" t="n">
        <f>IF(AND(ISNUMBER(D68),ISNUMBER(E68)),IF(OR(E68&lt;=0,L68=0),0,E68-D68),"")</f>
        <v>0</v>
      </c>
      <c r="H68" s="16" t="str">
        <f>IF(NOT(ISNUMBER(E68)),"销量或海外库存待补",IF(OR(E68&lt;=0,L68=0),IF(L68=0,"零日销，本批不发","本批无需补货"),IF(NOT(ISNUMBER(D68)),"国内库存待补",IF(D68=0,"国内无可用库存",IF(G68&gt;0,"先发国内现货","按建议量发货")))))</f>
        <v>按建议量发货</v>
      </c>
      <c r="I68" s="28" t="n">
        <f>IF(AND(COUNT(Z68,AA68,AB68)=3,Z68&gt;=AA68,AA68&gt;=0,AB68=7),Z68-AA68,"")</f>
        <v>5</v>
      </c>
      <c r="J68" s="28" t="n">
        <f>IF(AND(COUNT(AF68,AG68,AH68)=3,AF68&gt;=AG68,AG68&gt;=0,AH68=14),AF68-AG68,"")</f>
        <v>9</v>
      </c>
      <c r="K68" s="28" t="n">
        <f>IF(AND(COUNT(AL68,AM68,AN68)=3,AL68&gt;=AM68,AM68&gt;=0,AN68=30),AL68-AM68,"")</f>
        <v>15</v>
      </c>
      <c r="L68" s="29" t="n">
        <f>IF(ISNUMBER(BI68),BI68/90,"")</f>
        <v>0.28342740130532457</v>
      </c>
      <c r="M68" s="28" t="n">
        <v>3</v>
      </c>
      <c r="N68" s="28" t="n">
        <v>0</v>
      </c>
      <c r="O68" s="28" t="n">
        <v>0</v>
      </c>
      <c r="P68" s="30" t="n">
        <f>IF(AND(ISNUMBER(L68),L68&gt;0,COUNT(M68:O68)=3,MIN(M68:O68)&gt;=0),SUM(M68:O68)/L68,"")</f>
        <v>10.584721117942385</v>
      </c>
      <c r="Q68" s="16" t="str">
        <v>沿用原计划SKU店铺</v>
      </c>
      <c r="R68" s="16" t="str">
        <v>已匹配</v>
      </c>
      <c r="S68" s="16" t="str">
        <v>在售</v>
      </c>
      <c r="T68" s="16" t="str">
        <v>2302153</v>
      </c>
      <c r="U68" s="16" t="str">
        <v>藏青色</v>
      </c>
      <c r="V68" s="16" t="n">
        <v>10</v>
      </c>
      <c r="W68" s="8" t="str">
        <v>2026-10-11 至 2026-10-17</v>
      </c>
      <c r="X68" s="8" t="str">
        <v>2026-10-11、2026-10-12、2026-10-13、2026-10-14、2026-10-15、2026-10-16、2026-10-17</v>
      </c>
      <c r="Y68" s="8" t="str">
        <v>无</v>
      </c>
      <c r="Z68" s="8" t="n">
        <v>5</v>
      </c>
      <c r="AA68" s="8" t="n">
        <v>0</v>
      </c>
      <c r="AB68" s="8" t="n">
        <v>7</v>
      </c>
      <c r="AC68" s="8" t="str">
        <v>2026-10-02 至 2026-10-17</v>
      </c>
      <c r="AD68" s="8" t="str">
        <v>2026-10-02、2026-10-03、2026-10-04、2026-10-05、2026-10-08、2026-10-09、2026-10-10、2026-10-11、2026-10-12、2026-10-13、2026-10-14、2026-10-15、2026-10-16、2026-10-17</v>
      </c>
      <c r="AE68" s="8" t="str">
        <v>2026-10-06 大促；2026-10-07 大促</v>
      </c>
      <c r="AF68" s="8" t="n">
        <v>12</v>
      </c>
      <c r="AG68" s="8" t="n">
        <v>3</v>
      </c>
      <c r="AH68" s="8" t="n">
        <v>14</v>
      </c>
      <c r="AI68" s="8" t="str">
        <v>2026-09-16 至 2026-10-17</v>
      </c>
      <c r="AJ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" s="8" t="str">
        <v>2026-10-06 大促；2026-10-07 大促</v>
      </c>
      <c r="AL68" s="8" t="n">
        <v>18</v>
      </c>
      <c r="AM68" s="8" t="n">
        <v>3</v>
      </c>
      <c r="AN68" s="8" t="n">
        <v>30</v>
      </c>
      <c r="AO68" s="8" t="str">
        <v>2302153 / 藏青色羊京绒 / 6574</v>
      </c>
      <c r="AP68" s="11" t="n">
        <v>1.7391279184229513</v>
      </c>
      <c r="AQ68" s="11" t="n">
        <v>1.7391279184229513</v>
      </c>
      <c r="AR68" s="11" t="n">
        <v>1.5731892896917212</v>
      </c>
      <c r="AS68" s="11" t="n">
        <f>IF(AND(COUNT(I68:K68,AP68:AR68)=6,MIN(AP68:AR68)&gt;0),I68/7/AP68*0.5+J68/14/AQ68*0.3+K68/30/AR68*0.2,"")</f>
        <v>0.3798155992085481</v>
      </c>
      <c r="AT68" s="8" t="n">
        <v>34</v>
      </c>
      <c r="AU68" s="8" t="n">
        <v>3</v>
      </c>
      <c r="AV68" s="8" t="n">
        <v>88</v>
      </c>
      <c r="AW68" s="11" t="n">
        <f>IF(AND(COUNT(AT68:AV68)=3,AT68&gt;=AU68,AU68&gt;=0,AV68&gt;0),(AT68-AU68)/AV68,"")</f>
        <v>0.3522727272727273</v>
      </c>
      <c r="AX68" s="8" t="n">
        <v>35</v>
      </c>
      <c r="AY68" s="8" t="n">
        <v>3</v>
      </c>
      <c r="AZ68" s="8" t="n">
        <v>178</v>
      </c>
      <c r="BA68" s="11" t="n">
        <f>IF(AND(COUNT(AX68:AZ68)=3,AX68&gt;=AY68,AY68&gt;=0,AZ68&gt;0),(AX68-AY68)/AZ68,"")</f>
        <v>0.1797752808988764</v>
      </c>
      <c r="BB68" s="8" t="n">
        <f>IF(COUNT(AS68,AW68,BA68)=3,1,0)</f>
        <v>1</v>
      </c>
      <c r="BC68" s="11" t="n">
        <f>IF(SUMIF($AO$11:$AO$1309,AO68,$BB$11:$BB$1309)=COUNTIF($AO$11:$AO$1309,AO68),SUMIF($AO$11:$AO$1309,AO68,$AS$11:$AS$1309),"")</f>
        <v>1.647227964272497</v>
      </c>
      <c r="BD68" s="11" t="n">
        <f>IF(SUMIF($AO$11:$AO$1309,AO68,$BB$11:$BB$1309)=COUNTIF($AO$11:$AO$1309,AO68),SUMIF($AO$11:$AO$1309,AO68,$AW$11:$AW$1309),"")</f>
        <v>2.425267379679144</v>
      </c>
      <c r="BE68" s="11" t="n">
        <f>IF(SUMIF($AO$11:$AO$1309,AO68,$BB$11:$BB$1309)=COUNTIF($AO$11:$AO$1309,AO68),SUMIF($AO$11:$AO$1309,AO68,$BA$11:$BA$1309),"")</f>
        <v>1.3550882825040127</v>
      </c>
      <c r="BF68" s="12" t="n">
        <f>IF(COUNT(BD68:BE68)&lt;&gt;2,"",IF(AND(BD68&gt;0,BE68&gt;0),0.7*AW68/BD68+0.3*BA68/BE68,IF(BD68&gt;0,AW68/BD68,IF(BE68&gt;0,BA68/BE68,IF(AND(ISNUMBER(BH68),BH68=0),0,"")))))</f>
        <v>0.1414758142049987</v>
      </c>
      <c r="BG68" s="11" t="n">
        <f>IF(AND(COUNT(BN68:BU68)=8,MIN(BN68:BU68)&gt;=0),SUMPRODUCT(BN68:BQ68,BR68:BU68),"")</f>
        <v>109.4582336985339</v>
      </c>
      <c r="BH68" s="11" t="n">
        <f>IF(COUNT(BC68,BG68)=2,BC68*BG68,"")</f>
        <v>180.3026634680992</v>
      </c>
      <c r="BI68" s="11" t="n">
        <f>IF(ISNUMBER(CI68),CI68,"")</f>
        <v>25.508466117479212</v>
      </c>
      <c r="BJ68" s="8" t="str"/>
      <c r="BK68" s="8" t="str">
        <v>90天：2026-07-20 至 2026-10-17；180天：2026-04-21 至 2026-10-17</v>
      </c>
      <c r="BL68" s="8" t="str">
        <v>90天：2026-10-06、2026-10-07；180天：2026-10-06、2026-10-07</v>
      </c>
      <c r="BM68" s="8" t="str">
        <v>2026-10：12天 × 1.7391279184229513；2026-11：30天 × 1.4002077845513243；2026-12：31天 × 1.079339935625147；2027-01：17天 × 0.7719368903846591</v>
      </c>
      <c r="BN68" s="11" t="n">
        <v>1.7391279184229513</v>
      </c>
      <c r="BO68" s="11" t="n">
        <v>1.4002077845513243</v>
      </c>
      <c r="BP68" s="11" t="n">
        <v>1.079339935625147</v>
      </c>
      <c r="BQ68" s="11" t="n">
        <v>0.7719368903846591</v>
      </c>
      <c r="BR68" s="8" t="n">
        <v>12</v>
      </c>
      <c r="BS68" s="8" t="n">
        <v>30</v>
      </c>
      <c r="BT68" s="8" t="n">
        <v>31</v>
      </c>
      <c r="BU68" s="8" t="n">
        <v>17</v>
      </c>
      <c r="BV68" s="11" t="n">
        <f>IF(COUNT(BC68,BF68)=2,BC68*BF68,"")</f>
        <v>0.233042917426694</v>
      </c>
      <c r="BW68" s="11" t="n">
        <f>IF(ISNUMBER(BN68),BN68,"")</f>
        <v>1.7391279184229513</v>
      </c>
      <c r="BX68" s="14" t="n">
        <f>IF(ISNUMBER(BR68),BR68,"")</f>
        <v>12</v>
      </c>
      <c r="BY68" s="13" t="n">
        <f>IF(AND(COUNT(BV68,BW68,BX68)=3,MIN(BV68,BW68,BX68)&gt;=0),BV68*BW68*BX68,"")</f>
        <v>4.863497326649977</v>
      </c>
      <c r="BZ68" s="11" t="n">
        <f>IF(ISNUMBER(BO68),BO68,"")</f>
        <v>1.4002077845513243</v>
      </c>
      <c r="CA68" s="14" t="n">
        <f>IF(ISNUMBER(BS68),BS68,"")</f>
        <v>30</v>
      </c>
      <c r="CB68" s="13" t="n">
        <f>IF(AND(COUNT(BV68,BZ68,CA68)=3,MIN(BV68,BZ68,CA68)&gt;=0),BV68*BZ68*CA68,"")</f>
        <v>9.789255213462253</v>
      </c>
      <c r="CC68" s="11" t="n">
        <f>IF(ISNUMBER(BP68),BP68,"")</f>
        <v>1.079339935625147</v>
      </c>
      <c r="CD68" s="14" t="n">
        <f>IF(ISNUMBER(BT68),BT68,"")</f>
        <v>31</v>
      </c>
      <c r="CE68" s="13" t="n">
        <f>IF(AND(COUNT(BV68,CC68,CD68)=3,MIN(BV68,CC68,CD68)&gt;=0),BV68*CC68*CD68,"")</f>
        <v>7.797508352289955</v>
      </c>
      <c r="CF68" s="11" t="n">
        <f>IF(ISNUMBER(BQ68),BQ68,"")</f>
        <v>0.7719368903846591</v>
      </c>
      <c r="CG68" s="14" t="n">
        <f>IF(ISNUMBER(BU68),BU68,"")</f>
        <v>17</v>
      </c>
      <c r="CH68" s="13" t="n">
        <f>IF(AND(COUNT(BV68,CF68,CG68)=3,MIN(BV68,CF68,CG68)&gt;=0),BV68*CF68*CG68,"")</f>
        <v>3.0582052250770277</v>
      </c>
      <c r="CI68" s="13" t="n">
        <f>IF(COUNT(BY68,CB68,CE68,CH68)=4,SUM(BY68,CB68,CE68,CH68),"")</f>
        <v>25.508466117479212</v>
      </c>
    </row>
    <row r="69" ht="72" customHeight="1">
      <c r="A69" s="16" t="str">
        <v>B07-LP-38.5</v>
      </c>
      <c r="B69" s="16" t="str">
        <v>4店-彬郁-US</v>
      </c>
      <c r="C69" s="16" t="str">
        <v>艾年</v>
      </c>
      <c r="D69" s="26" t="n">
        <f>IF(NOT(ISNUMBER(E69)),"",IF(OR(E69&lt;=0,L69=0),0,IF(OR(NOT(ISNUMBER(F69)),F69&lt;0),"",MIN(E69,INT(F69)))))</f>
        <v>23</v>
      </c>
      <c r="E69" s="27" t="n">
        <f>IF(OR(NOT(ISNUMBER(L69)),COUNT(M69:O69)&lt;&gt;3,MIN(M69:O69)&lt;0),"",ROUNDUP(ROUND(BI69-SUM(M69:O69),10),0))</f>
        <v>23</v>
      </c>
      <c r="F69" s="28" t="n">
        <v>92</v>
      </c>
      <c r="G69" s="28" t="n">
        <f>IF(AND(ISNUMBER(D69),ISNUMBER(E69)),IF(OR(E69&lt;=0,L69=0),0,E69-D69),"")</f>
        <v>0</v>
      </c>
      <c r="H69" s="16" t="str">
        <f>IF(NOT(ISNUMBER(E69)),"销量或海外库存待补",IF(OR(E69&lt;=0,L69=0),IF(L69=0,"零日销，本批不发","本批无需补货"),IF(NOT(ISNUMBER(D69)),"国内库存待补",IF(D69=0,"国内无可用库存",IF(G69&gt;0,"先发国内现货","按建议量发货")))))</f>
        <v>按建议量发货</v>
      </c>
      <c r="I69" s="28" t="n">
        <f>IF(AND(COUNT(Z69,AA69,AB69)=3,Z69&gt;=AA69,AA69&gt;=0,AB69=7),Z69-AA69,"")</f>
        <v>0</v>
      </c>
      <c r="J69" s="28" t="n">
        <f>IF(AND(COUNT(AF69,AG69,AH69)=3,AF69&gt;=AG69,AG69&gt;=0,AH69=14),AF69-AG69,"")</f>
        <v>1</v>
      </c>
      <c r="K69" s="28" t="n">
        <f>IF(AND(COUNT(AL69,AM69,AN69)=3,AL69&gt;=AM69,AM69&gt;=0,AN69=30),AL69-AM69,"")</f>
        <v>2</v>
      </c>
      <c r="L69" s="29" t="n">
        <f>IF(ISNUMBER(BI69),BI69/90,"")</f>
        <v>0.24557889524181664</v>
      </c>
      <c r="M69" s="28" t="n">
        <v>0</v>
      </c>
      <c r="N69" s="28" t="n">
        <v>0</v>
      </c>
      <c r="O69" s="28" t="n">
        <v>0</v>
      </c>
      <c r="P69" s="30" t="n">
        <f>IF(AND(ISNUMBER(L69),L69&gt;0,COUNT(M69:O69)=3,MIN(M69:O69)&gt;=0),SUM(M69:O69)/L69,"")</f>
        <v>0</v>
      </c>
      <c r="Q69" s="16" t="str">
        <v>沿用原计划SKU店铺</v>
      </c>
      <c r="R69" s="16" t="str">
        <v>已匹配</v>
      </c>
      <c r="S69" s="16" t="str">
        <v>停售</v>
      </c>
      <c r="T69" s="16" t="str">
        <v>B07</v>
      </c>
      <c r="U69" s="16" t="str">
        <v>豹纹羊京绒</v>
      </c>
      <c r="V69" s="16" t="n">
        <v>7.5</v>
      </c>
      <c r="W69" s="8" t="str">
        <v>2026-10-10 至 2026-10-17</v>
      </c>
      <c r="X69" s="8" t="str">
        <v>2026-10-10、2026-10-11、2026-10-12、2026-10-13、2026-10-14、2026-10-15、2026-10-17</v>
      </c>
      <c r="Y69" s="8" t="str">
        <v>2026-10-16 有记录的停售日</v>
      </c>
      <c r="Z69" s="8" t="n">
        <v>0</v>
      </c>
      <c r="AA69" s="8" t="n">
        <v>0</v>
      </c>
      <c r="AB69" s="8" t="n">
        <v>7</v>
      </c>
      <c r="AC69" s="8" t="str">
        <v>2026-10-01 至 2026-10-17</v>
      </c>
      <c r="AD69" s="8" t="str">
        <v>2026-10-01、2026-10-02、2026-10-03、2026-10-04、2026-10-05、2026-10-08、2026-10-09、2026-10-10、2026-10-11、2026-10-12、2026-10-13、2026-10-14、2026-10-15、2026-10-17</v>
      </c>
      <c r="AE69" s="8" t="str">
        <v>2026-10-06 大促；2026-10-07 大促；2026-10-16 有记录的停售日</v>
      </c>
      <c r="AF69" s="8" t="n">
        <v>1</v>
      </c>
      <c r="AG69" s="8" t="n">
        <v>0</v>
      </c>
      <c r="AH69" s="8" t="n">
        <v>14</v>
      </c>
      <c r="AI69" s="8" t="str">
        <v>2026-09-15 至 2026-10-17</v>
      </c>
      <c r="AJ69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69" s="8" t="str">
        <v>2026-10-06 大促；2026-10-07 大促；2026-10-16 有记录的停售日</v>
      </c>
      <c r="AL69" s="8" t="n">
        <v>2</v>
      </c>
      <c r="AM69" s="8" t="n">
        <v>0</v>
      </c>
      <c r="AN69" s="8" t="n">
        <v>30</v>
      </c>
      <c r="AO69" s="8" t="str">
        <v>B07 / 豹纹羊京绒 / 13306</v>
      </c>
      <c r="AP69" s="11" t="n">
        <v>0.7307750238224848</v>
      </c>
      <c r="AQ69" s="11" t="n">
        <v>0.7307750238224848</v>
      </c>
      <c r="AR69" s="11" t="n">
        <v>0.7459279641861817</v>
      </c>
      <c r="AS69" s="11" t="n">
        <f>IF(AND(COUNT(I69:K69,AP69:AR69)=6,MIN(AP69:AR69)&gt;0),I69/7/AP69*0.5+J69/14/AQ69*0.3+K69/30/AR69*0.2,"")</f>
        <v>0.04719790284233066</v>
      </c>
      <c r="AT69" s="8" t="n">
        <v>13</v>
      </c>
      <c r="AU69" s="8" t="n">
        <v>0</v>
      </c>
      <c r="AV69" s="8" t="n">
        <v>87</v>
      </c>
      <c r="AW69" s="11" t="n">
        <f>IF(AND(COUNT(AT69:AV69)=3,AT69&gt;=AU69,AU69&gt;=0,AV69&gt;0),(AT69-AU69)/AV69,"")</f>
        <v>0.14942528735632185</v>
      </c>
      <c r="AX69" s="8" t="n">
        <v>39</v>
      </c>
      <c r="AY69" s="8" t="n">
        <v>0</v>
      </c>
      <c r="AZ69" s="8" t="n">
        <v>177</v>
      </c>
      <c r="BA69" s="11" t="n">
        <f>IF(AND(COUNT(AX69:AZ69)=3,AX69&gt;=AY69,AY69&gt;=0,AZ69&gt;0),(AX69-AY69)/AZ69,"")</f>
        <v>0.22033898305084745</v>
      </c>
      <c r="BB69" s="8" t="n">
        <f>IF(COUNT(AS69,AW69,BA69)=3,1,0)</f>
        <v>1</v>
      </c>
      <c r="BC69" s="11" t="n">
        <f>IF(SUMIF($AO$11:$AO$1309,AO69,$BB$11:$BB$1309)=COUNTIF($AO$11:$AO$1309,AO69),SUMIF($AO$11:$AO$1309,AO69,$AS$11:$AS$1309),"")</f>
        <v>6.767888169262786</v>
      </c>
      <c r="BD69" s="11" t="n">
        <f>IF(SUMIF($AO$11:$AO$1309,AO69,$BB$11:$BB$1309)=COUNTIF($AO$11:$AO$1309,AO69),SUMIF($AO$11:$AO$1309,AO69,$AW$11:$AW$1309),"")</f>
        <v>4.467607105538139</v>
      </c>
      <c r="BE69" s="11" t="n">
        <f>IF(SUMIF($AO$11:$AO$1309,AO69,$BB$11:$BB$1309)=COUNTIF($AO$11:$AO$1309,AO69),SUMIF($AO$11:$AO$1309,AO69,$BA$11:$BA$1309),"")</f>
        <v>3.6192153875452298</v>
      </c>
      <c r="BF69" s="12" t="n">
        <f>IF(COUNT(BD69:BE69)&lt;&gt;2,"",IF(AND(BD69&gt;0,BE69&gt;0),0.7*AW69/BD69+0.3*BA69/BE69,IF(BD69&gt;0,AW69/BD69,IF(BE69&gt;0,BA69/BE69,IF(AND(ISNUMBER(BH69),BH69=0),0,"")))))</f>
        <v>0.04167656172404053</v>
      </c>
      <c r="BG69" s="11" t="n">
        <f>IF(AND(COUNT(BN69:BU69)=8,MIN(BN69:BU69)&gt;=0),SUMPRODUCT(BN69:BQ69,BR69:BU69),"")</f>
        <v>78.35892944347341</v>
      </c>
      <c r="BH69" s="11" t="n">
        <f>IF(COUNT(BC69,BG69)=2,BC69*BG69,"")</f>
        <v>530.3244715365811</v>
      </c>
      <c r="BI69" s="11" t="n">
        <f>IF(ISNUMBER(CI69),CI69,"")</f>
        <v>22.102100571763497</v>
      </c>
      <c r="BJ69" s="8" t="str"/>
      <c r="BK69" s="8" t="str">
        <v>90天：2026-07-20 至 2026-10-17；180天：2026-04-21 至 2026-10-17</v>
      </c>
      <c r="BL69" s="8" t="str">
        <v>90天：2026-10-06、2026-10-07、2026-10-16；180天：2026-10-06、2026-10-07、2026-10-16</v>
      </c>
      <c r="BM69" s="8" t="str">
        <v>2026-10：12天 × 0.7307750238224848；2026-11：30天 × 0.9523018155490097；2026-12：31天 × 0.5958545198749097；2027-01：17天 × 1.3264167397065354</v>
      </c>
      <c r="BN69" s="11" t="n">
        <v>0.7307750238224848</v>
      </c>
      <c r="BO69" s="11" t="n">
        <v>0.9523018155490097</v>
      </c>
      <c r="BP69" s="11" t="n">
        <v>0.5958545198749097</v>
      </c>
      <c r="BQ69" s="11" t="n">
        <v>1.3264167397065354</v>
      </c>
      <c r="BR69" s="8" t="n">
        <v>12</v>
      </c>
      <c r="BS69" s="8" t="n">
        <v>30</v>
      </c>
      <c r="BT69" s="8" t="n">
        <v>31</v>
      </c>
      <c r="BU69" s="8" t="n">
        <v>17</v>
      </c>
      <c r="BV69" s="11" t="n">
        <f>IF(COUNT(BC69,BF69)=2,BC69*BF69,"")</f>
        <v>0.28206230902768414</v>
      </c>
      <c r="BW69" s="11" t="n">
        <f>IF(ISNUMBER(BN69),BN69,"")</f>
        <v>0.7307750238224848</v>
      </c>
      <c r="BX69" s="14" t="n">
        <f>IF(ISNUMBER(BR69),BR69,"")</f>
        <v>12</v>
      </c>
      <c r="BY69" s="13" t="n">
        <f>IF(AND(COUNT(BV69,BW69,BX69)=3,MIN(BV69,BW69,BX69)&gt;=0),BV69*BW69*BX69,"")</f>
        <v>2.4734890871895714</v>
      </c>
      <c r="BZ69" s="11" t="n">
        <f>IF(ISNUMBER(BO69),BO69,"")</f>
        <v>0.9523018155490097</v>
      </c>
      <c r="CA69" s="14" t="n">
        <f>IF(ISNUMBER(BS69),BS69,"")</f>
        <v>30</v>
      </c>
      <c r="CB69" s="13" t="n">
        <f>IF(AND(COUNT(BV69,BZ69,CA69)=3,MIN(BV69,BZ69,CA69)&gt;=0),BV69*BZ69*CA69,"")</f>
        <v>8.058253469550284</v>
      </c>
      <c r="CC69" s="11" t="n">
        <f>IF(ISNUMBER(BP69),BP69,"")</f>
        <v>0.5958545198749097</v>
      </c>
      <c r="CD69" s="14" t="n">
        <f>IF(ISNUMBER(BT69),BT69,"")</f>
        <v>31</v>
      </c>
      <c r="CE69" s="13" t="n">
        <f>IF(AND(COUNT(BV69,CC69,CD69)=3,MIN(BV69,CC69,CD69)&gt;=0),BV69*CC69*CD69,"")</f>
        <v>5.210111153335473</v>
      </c>
      <c r="CF69" s="11" t="n">
        <f>IF(ISNUMBER(BQ69),BQ69,"")</f>
        <v>1.3264167397065354</v>
      </c>
      <c r="CG69" s="14" t="n">
        <f>IF(ISNUMBER(BU69),BU69,"")</f>
        <v>17</v>
      </c>
      <c r="CH69" s="13" t="n">
        <f>IF(AND(COUNT(BV69,CF69,CG69)=3,MIN(BV69,CF69,CG69)&gt;=0),BV69*CF69*CG69,"")</f>
        <v>6.360246861688167</v>
      </c>
      <c r="CI69" s="13" t="n">
        <f>IF(COUNT(BY69,CB69,CE69,CH69)=4,SUM(BY69,CB69,CE69,CH69),"")</f>
        <v>22.102100571763497</v>
      </c>
    </row>
    <row r="70" ht="72" customHeight="1">
      <c r="A70" s="16" t="str">
        <v>B07-LP1-41.5</v>
      </c>
      <c r="B70" s="16" t="str">
        <v>4店-彬郁-US</v>
      </c>
      <c r="C70" s="16" t="str">
        <v>艾年</v>
      </c>
      <c r="D70" s="26" t="n">
        <f>IF(NOT(ISNUMBER(E70)),"",IF(OR(E70&lt;=0,L70=0),0,IF(OR(NOT(ISNUMBER(F70)),F70&lt;0),"",MIN(E70,INT(F70)))))</f>
        <v>22</v>
      </c>
      <c r="E70" s="27" t="n">
        <f>IF(OR(NOT(ISNUMBER(L70)),COUNT(M70:O70)&lt;&gt;3,MIN(M70:O70)&lt;0),"",ROUNDUP(ROUND(BI70-SUM(M70:O70),10),0))</f>
        <v>37</v>
      </c>
      <c r="F70" s="28" t="n">
        <v>22</v>
      </c>
      <c r="G70" s="28" t="n">
        <f>IF(AND(ISNUMBER(D70),ISNUMBER(E70)),IF(OR(E70&lt;=0,L70=0),0,E70-D70),"")</f>
        <v>15</v>
      </c>
      <c r="H70" s="16" t="str">
        <f>IF(NOT(ISNUMBER(E70)),"销量或海外库存待补",IF(OR(E70&lt;=0,L70=0),IF(L70=0,"零日销，本批不发","本批无需补货"),IF(NOT(ISNUMBER(D70)),"国内库存待补",IF(D70=0,"国内无可用库存",IF(G70&gt;0,"先发国内现货","按建议量发货")))))</f>
        <v>先发国内现货</v>
      </c>
      <c r="I70" s="28" t="n">
        <f>IF(AND(COUNT(Z70,AA70,AB70)=3,Z70&gt;=AA70,AA70&gt;=0,AB70=7),Z70-AA70,"")</f>
        <v>5</v>
      </c>
      <c r="J70" s="28" t="n">
        <f>IF(AND(COUNT(AF70,AG70,AH70)=3,AF70&gt;=AG70,AG70&gt;=0,AH70=14),AF70-AG70,"")</f>
        <v>8</v>
      </c>
      <c r="K70" s="28" t="n">
        <f>IF(AND(COUNT(AL70,AM70,AN70)=3,AL70&gt;=AM70,AM70&gt;=0,AN70=30),AL70-AM70,"")</f>
        <v>24</v>
      </c>
      <c r="L70" s="29" t="n">
        <f>IF(ISNUMBER(BI70),BI70/90,"")</f>
        <v>0.49068469710644597</v>
      </c>
      <c r="M70" s="28" t="n">
        <v>8</v>
      </c>
      <c r="N70" s="28" t="n">
        <v>0</v>
      </c>
      <c r="O70" s="28" t="n">
        <v>0</v>
      </c>
      <c r="P70" s="30" t="n">
        <f>IF(AND(ISNUMBER(L70),L70&gt;0,COUNT(M70:O70)=3,MIN(M70:O70)&gt;=0),SUM(M70:O70)/L70,"")</f>
        <v>16.303748715164296</v>
      </c>
      <c r="Q70" s="16" t="str">
        <v>沿用原计划SKU店铺</v>
      </c>
      <c r="R70" s="16" t="str">
        <v>已匹配</v>
      </c>
      <c r="S70" s="16" t="str">
        <v>在售</v>
      </c>
      <c r="T70" s="16" t="str">
        <v>B07</v>
      </c>
      <c r="U70" s="16" t="str">
        <v>豹纹羊京绒</v>
      </c>
      <c r="V70" s="16" t="n">
        <v>10.5</v>
      </c>
      <c r="W70" s="8" t="str">
        <v>2026-10-11 至 2026-10-17</v>
      </c>
      <c r="X70" s="8" t="str">
        <v>2026-10-11、2026-10-12、2026-10-13、2026-10-14、2026-10-15、2026-10-16、2026-10-17</v>
      </c>
      <c r="Y70" s="8" t="str">
        <v>无</v>
      </c>
      <c r="Z70" s="8" t="n">
        <v>5</v>
      </c>
      <c r="AA70" s="8" t="n">
        <v>0</v>
      </c>
      <c r="AB70" s="8" t="n">
        <v>7</v>
      </c>
      <c r="AC70" s="8" t="str">
        <v>2026-10-02 至 2026-10-17</v>
      </c>
      <c r="AD70" s="8" t="str">
        <v>2026-10-02、2026-10-03、2026-10-04、2026-10-05、2026-10-08、2026-10-09、2026-10-10、2026-10-11、2026-10-12、2026-10-13、2026-10-14、2026-10-15、2026-10-16、2026-10-17</v>
      </c>
      <c r="AE70" s="8" t="str">
        <v>2026-10-06 大促；2026-10-07 大促</v>
      </c>
      <c r="AF70" s="8" t="n">
        <v>10</v>
      </c>
      <c r="AG70" s="8" t="n">
        <v>2</v>
      </c>
      <c r="AH70" s="8" t="n">
        <v>14</v>
      </c>
      <c r="AI70" s="8" t="str">
        <v>2026-09-16 至 2026-10-17</v>
      </c>
      <c r="AJ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0" s="8" t="str">
        <v>2026-10-06 大促；2026-10-07 大促</v>
      </c>
      <c r="AL70" s="8" t="n">
        <v>26</v>
      </c>
      <c r="AM70" s="8" t="n">
        <v>2</v>
      </c>
      <c r="AN70" s="8" t="n">
        <v>30</v>
      </c>
      <c r="AO70" s="8" t="str">
        <v>B07 / 豹纹羊京绒 / 13306</v>
      </c>
      <c r="AP70" s="11" t="n">
        <v>0.7307750238224848</v>
      </c>
      <c r="AQ70" s="11" t="n">
        <v>0.7307750238224848</v>
      </c>
      <c r="AR70" s="11" t="n">
        <v>0.7449809054134506</v>
      </c>
      <c r="AS70" s="11" t="n">
        <f>IF(AND(COUNT(I70:K70,AP70:AR70)=6,MIN(AP70:AR70)&gt;0),I70/7/AP70*0.5+J70/14/AQ70*0.3+K70/30/AR70*0.2,"")</f>
        <v>0.9380731421243778</v>
      </c>
      <c r="AT70" s="8" t="n">
        <v>37</v>
      </c>
      <c r="AU70" s="8" t="n">
        <v>2</v>
      </c>
      <c r="AV70" s="8" t="n">
        <v>88</v>
      </c>
      <c r="AW70" s="11" t="n">
        <f>IF(AND(COUNT(AT70:AV70)=3,AT70&gt;=AU70,AU70&gt;=0,AV70&gt;0),(AT70-AU70)/AV70,"")</f>
        <v>0.3977272727272727</v>
      </c>
      <c r="AX70" s="8" t="n">
        <v>47</v>
      </c>
      <c r="AY70" s="8" t="n">
        <v>2</v>
      </c>
      <c r="AZ70" s="8" t="n">
        <v>178</v>
      </c>
      <c r="BA70" s="11" t="n">
        <f>IF(AND(COUNT(AX70:AZ70)=3,AX70&gt;=AY70,AY70&gt;=0,AZ70&gt;0),(AX70-AY70)/AZ70,"")</f>
        <v>0.25280898876404495</v>
      </c>
      <c r="BB70" s="8" t="n">
        <f>IF(COUNT(AS70,AW70,BA70)=3,1,0)</f>
        <v>1</v>
      </c>
      <c r="BC70" s="11" t="n">
        <f>IF(SUMIF($AO$11:$AO$1309,AO70,$BB$11:$BB$1309)=COUNTIF($AO$11:$AO$1309,AO70),SUMIF($AO$11:$AO$1309,AO70,$AS$11:$AS$1309),"")</f>
        <v>6.767888169262786</v>
      </c>
      <c r="BD70" s="11" t="n">
        <f>IF(SUMIF($AO$11:$AO$1309,AO70,$BB$11:$BB$1309)=COUNTIF($AO$11:$AO$1309,AO70),SUMIF($AO$11:$AO$1309,AO70,$AW$11:$AW$1309),"")</f>
        <v>4.467607105538139</v>
      </c>
      <c r="BE70" s="11" t="n">
        <f>IF(SUMIF($AO$11:$AO$1309,AO70,$BB$11:$BB$1309)=COUNTIF($AO$11:$AO$1309,AO70),SUMIF($AO$11:$AO$1309,AO70,$BA$11:$BA$1309),"")</f>
        <v>3.6192153875452298</v>
      </c>
      <c r="BF70" s="12" t="n">
        <f>IF(COUNT(BD70:BE70)&lt;&gt;2,"",IF(AND(BD70&gt;0,BE70&gt;0),0.7*AW70/BD70+0.3*BA70/BE70,IF(BD70&gt;0,AW70/BD70,IF(BE70&gt;0,BA70/BE70,IF(AND(ISNUMBER(BH70),BH70=0),0,"")))))</f>
        <v>0.08327283598968133</v>
      </c>
      <c r="BG70" s="11" t="n">
        <f>IF(AND(COUNT(BN70:BU70)=8,MIN(BN70:BU70)&gt;=0),SUMPRODUCT(BN70:BQ70,BR70:BU70),"")</f>
        <v>78.35892944347341</v>
      </c>
      <c r="BH70" s="11" t="n">
        <f>IF(COUNT(BC70,BG70)=2,BC70*BG70,"")</f>
        <v>530.3244715365811</v>
      </c>
      <c r="BI70" s="11" t="n">
        <f>IF(ISNUMBER(CI70),CI70,"")</f>
        <v>44.16162273958014</v>
      </c>
      <c r="BJ70" s="8" t="str"/>
      <c r="BK70" s="8" t="str">
        <v>90天：2026-07-20 至 2026-10-17；180天：2026-04-21 至 2026-10-17</v>
      </c>
      <c r="BL70" s="8" t="str">
        <v>90天：2026-10-06、2026-10-07；180天：2026-10-06、2026-10-07</v>
      </c>
      <c r="BM70" s="8" t="str">
        <v>2026-10：12天 × 0.7307750238224848；2026-11：30天 × 0.9523018155490097；2026-12：31天 × 0.5958545198749097；2027-01：17天 × 1.3264167397065354</v>
      </c>
      <c r="BN70" s="11" t="n">
        <v>0.7307750238224848</v>
      </c>
      <c r="BO70" s="11" t="n">
        <v>0.9523018155490097</v>
      </c>
      <c r="BP70" s="11" t="n">
        <v>0.5958545198749097</v>
      </c>
      <c r="BQ70" s="11" t="n">
        <v>1.3264167397065354</v>
      </c>
      <c r="BR70" s="8" t="n">
        <v>12</v>
      </c>
      <c r="BS70" s="8" t="n">
        <v>30</v>
      </c>
      <c r="BT70" s="8" t="n">
        <v>31</v>
      </c>
      <c r="BU70" s="8" t="n">
        <v>17</v>
      </c>
      <c r="BV70" s="11" t="n">
        <f>IF(COUNT(BC70,BF70)=2,BC70*BF70,"")</f>
        <v>0.5635812415155246</v>
      </c>
      <c r="BW70" s="11" t="n">
        <f>IF(ISNUMBER(BN70),BN70,"")</f>
        <v>0.7307750238224848</v>
      </c>
      <c r="BX70" s="14" t="n">
        <f>IF(ISNUMBER(BR70),BR70,"")</f>
        <v>12</v>
      </c>
      <c r="BY70" s="13" t="n">
        <f>IF(AND(COUNT(BV70,BW70,BX70)=3,MIN(BV70,BW70,BX70)&gt;=0),BV70*BW70*BX70,"")</f>
        <v>4.942213142332957</v>
      </c>
      <c r="BZ70" s="11" t="n">
        <f>IF(ISNUMBER(BO70),BO70,"")</f>
        <v>0.9523018155490097</v>
      </c>
      <c r="CA70" s="14" t="n">
        <f>IF(ISNUMBER(BS70),BS70,"")</f>
        <v>30</v>
      </c>
      <c r="CB70" s="13" t="n">
        <f>IF(AND(COUNT(BV70,BZ70,CA70)=3,MIN(BV70,BZ70,CA70)&gt;=0),BV70*BZ70*CA70,"")</f>
        <v>16.10098318513797</v>
      </c>
      <c r="CC70" s="11" t="n">
        <f>IF(ISNUMBER(BP70),BP70,"")</f>
        <v>0.5958545198749097</v>
      </c>
      <c r="CD70" s="14" t="n">
        <f>IF(ISNUMBER(BT70),BT70,"")</f>
        <v>31</v>
      </c>
      <c r="CE70" s="13" t="n">
        <f>IF(AND(COUNT(BV70,CC70,CD70)=3,MIN(BV70,CC70,CD70)&gt;=0),BV70*CC70*CD70,"")</f>
        <v>10.41018533228589</v>
      </c>
      <c r="CF70" s="11" t="n">
        <f>IF(ISNUMBER(BQ70),BQ70,"")</f>
        <v>1.3264167397065354</v>
      </c>
      <c r="CG70" s="14" t="n">
        <f>IF(ISNUMBER(BU70),BU70,"")</f>
        <v>17</v>
      </c>
      <c r="CH70" s="13" t="n">
        <f>IF(AND(COUNT(BV70,CF70,CG70)=3,MIN(BV70,CF70,CG70)&gt;=0),BV70*CF70*CG70,"")</f>
        <v>12.708241079823322</v>
      </c>
      <c r="CI70" s="13" t="n">
        <f>IF(COUNT(BY70,CB70,CE70,CH70)=4,SUM(BY70,CB70,CE70,CH70),"")</f>
        <v>44.16162273958014</v>
      </c>
    </row>
    <row r="71" ht="72" customHeight="1">
      <c r="A71" s="16" t="str">
        <v>230918-BK-P-Z-9</v>
      </c>
      <c r="B71" s="16" t="str">
        <v>1店-MUSSHOE-US</v>
      </c>
      <c r="C71" s="16" t="str">
        <v>艾年</v>
      </c>
      <c r="D71" s="26" t="n">
        <f>IF(NOT(ISNUMBER(E71)),"",IF(OR(E71&lt;=0,L71=0),0,IF(OR(NOT(ISNUMBER(F71)),F71&lt;0),"",MIN(E71,INT(F71)))))</f>
        <v>22</v>
      </c>
      <c r="E71" s="27" t="n">
        <f>IF(OR(NOT(ISNUMBER(L71)),COUNT(M71:O71)&lt;&gt;3,MIN(M71:O71)&lt;0),"",ROUNDUP(ROUND(BI71-SUM(M71:O71),10),0))</f>
        <v>22</v>
      </c>
      <c r="F71" s="28" t="n">
        <v>127</v>
      </c>
      <c r="G71" s="28" t="n">
        <f>IF(AND(ISNUMBER(D71),ISNUMBER(E71)),IF(OR(E71&lt;=0,L71=0),0,E71-D71),"")</f>
        <v>0</v>
      </c>
      <c r="H71" s="16" t="str">
        <f>IF(NOT(ISNUMBER(E71)),"销量或海外库存待补",IF(OR(E71&lt;=0,L71=0),IF(L71=0,"零日销，本批不发","本批无需补货"),IF(NOT(ISNUMBER(D71)),"国内库存待补",IF(D71=0,"国内无可用库存",IF(G71&gt;0,"先发国内现货","按建议量发货")))))</f>
        <v>按建议量发货</v>
      </c>
      <c r="I71" s="28" t="n">
        <f>IF(AND(COUNT(Z71,AA71,AB71)=3,Z71&gt;=AA71,AA71&gt;=0,AB71=7),Z71-AA71,"")</f>
        <v>33</v>
      </c>
      <c r="J71" s="28" t="n">
        <f>IF(AND(COUNT(AF71,AG71,AH71)=3,AF71&gt;=AG71,AG71&gt;=0,AH71=14),AF71-AG71,"")</f>
        <v>49</v>
      </c>
      <c r="K71" s="28" t="n">
        <f>IF(AND(COUNT(AL71,AM71,AN71)=3,AL71&gt;=AM71,AM71&gt;=0,AN71=30),AL71-AM71,"")</f>
        <v>85</v>
      </c>
      <c r="L71" s="29" t="n">
        <f>IF(ISNUMBER(BI71),BI71/90,"")</f>
        <v>2.547503576044748</v>
      </c>
      <c r="M71" s="28" t="n">
        <v>70</v>
      </c>
      <c r="N71" s="28" t="n">
        <v>0</v>
      </c>
      <c r="O71" s="28" t="n">
        <v>138</v>
      </c>
      <c r="P71" s="30" t="n">
        <f>IF(AND(ISNUMBER(L71),L71&gt;0,COUNT(M71:O71)=3,MIN(M71:O71)&gt;=0),SUM(M71:O71)/L71,"")</f>
        <v>81.6485605578386</v>
      </c>
      <c r="Q71" s="16" t="str">
        <v>沿用原计划SKU店铺</v>
      </c>
      <c r="R71" s="16" t="str">
        <v>已匹配</v>
      </c>
      <c r="S71" s="16" t="str">
        <v>在售</v>
      </c>
      <c r="T71" s="16" t="str">
        <v>230918</v>
      </c>
      <c r="U71" s="16" t="str">
        <v>黑色PU</v>
      </c>
      <c r="V71" s="16" t="n">
        <v>9</v>
      </c>
      <c r="W71" s="8" t="str">
        <v>2026-10-11 至 2026-10-17</v>
      </c>
      <c r="X71" s="8" t="str">
        <v>2026-10-11、2026-10-12、2026-10-13、2026-10-14、2026-10-15、2026-10-16、2026-10-17</v>
      </c>
      <c r="Y71" s="8" t="str">
        <v>无</v>
      </c>
      <c r="Z71" s="8" t="n">
        <v>33</v>
      </c>
      <c r="AA71" s="8" t="n">
        <v>0</v>
      </c>
      <c r="AB71" s="8" t="n">
        <v>7</v>
      </c>
      <c r="AC71" s="8" t="str">
        <v>2026-10-02 至 2026-10-17</v>
      </c>
      <c r="AD71" s="8" t="str">
        <v>2026-10-02、2026-10-03、2026-10-04、2026-10-05、2026-10-08、2026-10-09、2026-10-10、2026-10-11、2026-10-12、2026-10-13、2026-10-14、2026-10-15、2026-10-16、2026-10-17</v>
      </c>
      <c r="AE71" s="8" t="str">
        <v>2026-10-06 大促；2026-10-07 大促</v>
      </c>
      <c r="AF71" s="8" t="n">
        <v>77</v>
      </c>
      <c r="AG71" s="8" t="n">
        <v>28</v>
      </c>
      <c r="AH71" s="8" t="n">
        <v>14</v>
      </c>
      <c r="AI71" s="8" t="str">
        <v>2026-09-16 至 2026-10-17</v>
      </c>
      <c r="AJ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" s="8" t="str">
        <v>2026-10-06 大促；2026-10-07 大促</v>
      </c>
      <c r="AL71" s="8" t="n">
        <v>113</v>
      </c>
      <c r="AM71" s="8" t="n">
        <v>28</v>
      </c>
      <c r="AN71" s="8" t="n">
        <v>30</v>
      </c>
      <c r="AO71" s="8" t="str">
        <v>230918 / 黑色PU / 13120</v>
      </c>
      <c r="AP71" s="11" t="n">
        <v>1.6747911769553039</v>
      </c>
      <c r="AQ71" s="11" t="n">
        <v>1.6747911769553039</v>
      </c>
      <c r="AR71" s="11" t="n">
        <v>1.7386907395039133</v>
      </c>
      <c r="AS71" s="11" t="n">
        <f>IF(AND(COUNT(I71:K71,AP71:AR71)=6,MIN(AP71:AR71)&gt;0),I71/7/AP71*0.5+J71/14/AQ71*0.3+K71/30/AR71*0.2,"")</f>
        <v>2.36028449722031</v>
      </c>
      <c r="AT71" s="8" t="n">
        <v>242</v>
      </c>
      <c r="AU71" s="8" t="n">
        <v>28</v>
      </c>
      <c r="AV71" s="8" t="n">
        <v>88</v>
      </c>
      <c r="AW71" s="11" t="n">
        <f>IF(AND(COUNT(AT71:AV71)=3,AT71&gt;=AU71,AU71&gt;=0,AV71&gt;0),(AT71-AU71)/AV71,"")</f>
        <v>2.4318181818181817</v>
      </c>
      <c r="AX71" s="8" t="n">
        <v>396</v>
      </c>
      <c r="AY71" s="8" t="n">
        <v>28</v>
      </c>
      <c r="AZ71" s="8" t="n">
        <v>178</v>
      </c>
      <c r="BA71" s="11" t="n">
        <f>IF(AND(COUNT(AX71:AZ71)=3,AX71&gt;=AY71,AY71&gt;=0,AZ71&gt;0),(AX71-AY71)/AZ71,"")</f>
        <v>2.067415730337079</v>
      </c>
      <c r="BB71" s="8" t="n">
        <f>IF(COUNT(AS71,AW71,BA71)=3,1,0)</f>
        <v>1</v>
      </c>
      <c r="BC71" s="11" t="n">
        <f>IF(SUMIF($AO$11:$AO$1309,AO71,$BB$11:$BB$1309)=COUNTIF($AO$11:$AO$1309,AO71),SUMIF($AO$11:$AO$1309,AO71,$AS$11:$AS$1309),"")</f>
        <v>6.885958849970173</v>
      </c>
      <c r="BD71" s="11" t="n">
        <f>IF(SUMIF($AO$11:$AO$1309,AO71,$BB$11:$BB$1309)=COUNTIF($AO$11:$AO$1309,AO71),SUMIF($AO$11:$AO$1309,AO71,$AW$11:$AW$1309),"")</f>
        <v>8.045454545454545</v>
      </c>
      <c r="BE71" s="11" t="n">
        <f>IF(SUMIF($AO$11:$AO$1309,AO71,$BB$11:$BB$1309)=COUNTIF($AO$11:$AO$1309,AO71),SUMIF($AO$11:$AO$1309,AO71,$BA$11:$BA$1309),"")</f>
        <v>7.202247191011236</v>
      </c>
      <c r="BF71" s="12" t="n">
        <f>IF(COUNT(BD71:BE71)&lt;&gt;2,"",IF(AND(BD71&gt;0,BE71&gt;0),0.7*AW71/BD71+0.3*BA71/BE71,IF(BD71&gt;0,AW71/BD71,IF(BE71&gt;0,BA71/BE71,IF(AND(ISNUMBER(BH71),BH71=0),0,"")))))</f>
        <v>0.29769736552173953</v>
      </c>
      <c r="BG71" s="11" t="n">
        <f>IF(AND(COUNT(BN71:BU71)=8,MIN(BN71:BU71)&gt;=0),SUMPRODUCT(BN71:BQ71,BR71:BU71),"")</f>
        <v>111.84534083910866</v>
      </c>
      <c r="BH71" s="11" t="n">
        <f>IF(COUNT(BC71,BG71)=2,BC71*BG71,"")</f>
        <v>770.1624145789907</v>
      </c>
      <c r="BI71" s="11" t="n">
        <f>IF(ISNUMBER(CI71),CI71,"")</f>
        <v>229.27532184402733</v>
      </c>
      <c r="BJ71" s="8" t="str"/>
      <c r="BK71" s="8" t="str">
        <v>90天：2026-07-20 至 2026-10-17；180天：2026-04-21 至 2026-10-17</v>
      </c>
      <c r="BL71" s="8" t="str">
        <v>90天：2026-10-06、2026-10-07；180天：2026-10-06、2026-10-07</v>
      </c>
      <c r="BM71" s="8" t="str">
        <v>2026-10：12天 × 1.6747911769553037；2026-11：30天 × 1.5065205700457112；2026-12：31天 × 1.1492423388181006；2027-01：17天 × 0.6426892418183868</v>
      </c>
      <c r="BN71" s="11" t="n">
        <v>1.6747911769553037</v>
      </c>
      <c r="BO71" s="11" t="n">
        <v>1.5065205700457112</v>
      </c>
      <c r="BP71" s="11" t="n">
        <v>1.1492423388181006</v>
      </c>
      <c r="BQ71" s="11" t="n">
        <v>0.6426892418183868</v>
      </c>
      <c r="BR71" s="8" t="n">
        <v>12</v>
      </c>
      <c r="BS71" s="8" t="n">
        <v>30</v>
      </c>
      <c r="BT71" s="8" t="n">
        <v>31</v>
      </c>
      <c r="BU71" s="8" t="n">
        <v>17</v>
      </c>
      <c r="BV71" s="11" t="n">
        <f>IF(COUNT(BC71,BF71)=2,BC71*BF71,"")</f>
        <v>2.049931808727228</v>
      </c>
      <c r="BW71" s="11" t="n">
        <f>IF(ISNUMBER(BN71),BN71,"")</f>
        <v>1.6747911769553037</v>
      </c>
      <c r="BX71" s="14" t="n">
        <f>IF(ISNUMBER(BR71),BR71,"")</f>
        <v>12</v>
      </c>
      <c r="BY71" s="13" t="n">
        <f>IF(AND(COUNT(BV71,BW71,BX71)=3,MIN(BV71,BW71,BX71)&gt;=0),BV71*BW71*BX71,"")</f>
        <v>41.19849247939666</v>
      </c>
      <c r="BZ71" s="11" t="n">
        <f>IF(ISNUMBER(BO71),BO71,"")</f>
        <v>1.5065205700457112</v>
      </c>
      <c r="CA71" s="14" t="n">
        <f>IF(ISNUMBER(BS71),BS71,"")</f>
        <v>30</v>
      </c>
      <c r="CB71" s="13" t="n">
        <f>IF(AND(COUNT(BV71,BZ71,CA71)=3,MIN(BV71,BZ71,CA71)&gt;=0),BV71*BZ71*CA71,"")</f>
        <v>92.64793311115736</v>
      </c>
      <c r="CC71" s="11" t="n">
        <f>IF(ISNUMBER(BP71),BP71,"")</f>
        <v>1.1492423388181006</v>
      </c>
      <c r="CD71" s="14" t="n">
        <f>IF(ISNUMBER(BT71),BT71,"")</f>
        <v>31</v>
      </c>
      <c r="CE71" s="13" t="n">
        <f>IF(AND(COUNT(BV71,CC71,CD71)=3,MIN(BV71,CC71,CD71)&gt;=0),BV71*CC71*CD71,"")</f>
        <v>73.03192121465825</v>
      </c>
      <c r="CF71" s="11" t="n">
        <f>IF(ISNUMBER(BQ71),BQ71,"")</f>
        <v>0.6426892418183868</v>
      </c>
      <c r="CG71" s="14" t="n">
        <f>IF(ISNUMBER(BU71),BU71,"")</f>
        <v>17</v>
      </c>
      <c r="CH71" s="13" t="n">
        <f>IF(AND(COUNT(BV71,CF71,CG71)=3,MIN(BV71,CF71,CG71)&gt;=0),BV71*CF71*CG71,"")</f>
        <v>22.39697503881504</v>
      </c>
      <c r="CI71" s="13" t="n">
        <f>IF(COUNT(BY71,CB71,CE71,CH71)=4,SUM(BY71,CB71,CE71,CH71),"")</f>
        <v>229.27532184402733</v>
      </c>
    </row>
    <row r="72" ht="72" customHeight="1">
      <c r="A72" s="16" t="str">
        <v>2302153-LP-S-Z-7</v>
      </c>
      <c r="B72" s="16" t="str">
        <v>3店-SANDIEX-US</v>
      </c>
      <c r="C72" s="16" t="str">
        <v>徐新怡</v>
      </c>
      <c r="D72" s="26" t="n">
        <f>IF(NOT(ISNUMBER(E72)),"",IF(OR(E72&lt;=0,L72=0),0,IF(OR(NOT(ISNUMBER(F72)),F72&lt;0),"",MIN(E72,INT(F72)))))</f>
        <v>21</v>
      </c>
      <c r="E72" s="27" t="n">
        <f>IF(OR(NOT(ISNUMBER(L72)),COUNT(M72:O72)&lt;&gt;3,MIN(M72:O72)&lt;0),"",ROUNDUP(ROUND(BI72-SUM(M72:O72),10),0))</f>
        <v>21</v>
      </c>
      <c r="F72" s="28" t="n">
        <v>29</v>
      </c>
      <c r="G72" s="28" t="n">
        <f>IF(AND(ISNUMBER(D72),ISNUMBER(E72)),IF(OR(E72&lt;=0,L72=0),0,E72-D72),"")</f>
        <v>0</v>
      </c>
      <c r="H72" s="16" t="str">
        <f>IF(NOT(ISNUMBER(E72)),"销量或海外库存待补",IF(OR(E72&lt;=0,L72=0),IF(L72=0,"零日销，本批不发","本批无需补货"),IF(NOT(ISNUMBER(D72)),"国内库存待补",IF(D72=0,"国内无可用库存",IF(G72&gt;0,"先发国内现货","按建议量发货")))))</f>
        <v>按建议量发货</v>
      </c>
      <c r="I72" s="28" t="n">
        <f>IF(AND(COUNT(Z72,AA72,AB72)=3,Z72&gt;=AA72,AA72&gt;=0,AB72=7),Z72-AA72,"")</f>
        <v>4</v>
      </c>
      <c r="J72" s="28" t="n">
        <f>IF(AND(COUNT(AF72,AG72,AH72)=3,AF72&gt;=AG72,AG72&gt;=0,AH72=14),AF72-AG72,"")</f>
        <v>12</v>
      </c>
      <c r="K72" s="28" t="n">
        <f>IF(AND(COUNT(AL72,AM72,AN72)=3,AL72&gt;=AM72,AM72&gt;=0,AN72=30),AL72-AM72,"")</f>
        <v>26</v>
      </c>
      <c r="L72" s="29" t="n">
        <f>IF(ISNUMBER(BI72),BI72/90,"")</f>
        <v>0.4217196025902098</v>
      </c>
      <c r="M72" s="28" t="n">
        <v>5</v>
      </c>
      <c r="N72" s="28" t="n">
        <v>2</v>
      </c>
      <c r="O72" s="28" t="n">
        <v>10</v>
      </c>
      <c r="P72" s="30" t="n">
        <f>IF(AND(ISNUMBER(L72),L72&gt;0,COUNT(M72:O72)=3,MIN(M72:O72)&gt;=0),SUM(M72:O72)/L72,"")</f>
        <v>40.31114488296412</v>
      </c>
      <c r="Q72" s="16" t="str">
        <v>沿用原计划SKU店铺</v>
      </c>
      <c r="R72" s="16" t="str">
        <v>已匹配</v>
      </c>
      <c r="S72" s="16" t="str">
        <v>在售</v>
      </c>
      <c r="T72" s="16" t="str">
        <v>2302153</v>
      </c>
      <c r="U72" s="16" t="str">
        <v>豹纹</v>
      </c>
      <c r="V72" s="16" t="n">
        <v>7</v>
      </c>
      <c r="W72" s="8" t="str">
        <v>2026-10-11 至 2026-10-17</v>
      </c>
      <c r="X72" s="8" t="str">
        <v>2026-10-11、2026-10-12、2026-10-13、2026-10-14、2026-10-15、2026-10-16、2026-10-17</v>
      </c>
      <c r="Y72" s="8" t="str">
        <v>无</v>
      </c>
      <c r="Z72" s="8" t="n">
        <v>4</v>
      </c>
      <c r="AA72" s="8" t="n">
        <v>0</v>
      </c>
      <c r="AB72" s="8" t="n">
        <v>7</v>
      </c>
      <c r="AC72" s="8" t="str">
        <v>2026-10-02 至 2026-10-17</v>
      </c>
      <c r="AD72" s="8" t="str">
        <v>2026-10-02、2026-10-03、2026-10-04、2026-10-05、2026-10-08、2026-10-09、2026-10-10、2026-10-11、2026-10-12、2026-10-13、2026-10-14、2026-10-15、2026-10-16、2026-10-17</v>
      </c>
      <c r="AE72" s="8" t="str">
        <v>2026-10-06 大促；2026-10-07 大促</v>
      </c>
      <c r="AF72" s="8" t="n">
        <v>17</v>
      </c>
      <c r="AG72" s="8" t="n">
        <v>5</v>
      </c>
      <c r="AH72" s="8" t="n">
        <v>14</v>
      </c>
      <c r="AI72" s="8" t="str">
        <v>2026-09-16 至 2026-10-17</v>
      </c>
      <c r="AJ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" s="8" t="str">
        <v>2026-10-06 大促；2026-10-07 大促</v>
      </c>
      <c r="AL72" s="8" t="n">
        <v>31</v>
      </c>
      <c r="AM72" s="8" t="n">
        <v>5</v>
      </c>
      <c r="AN72" s="8" t="n">
        <v>30</v>
      </c>
      <c r="AO72" s="8" t="str">
        <v>2302153 / 豹纹羊京绒 / 6574</v>
      </c>
      <c r="AP72" s="11" t="n">
        <v>1.7391279184229513</v>
      </c>
      <c r="AQ72" s="11" t="n">
        <v>1.7391279184229513</v>
      </c>
      <c r="AR72" s="11" t="n">
        <v>1.5731892896917212</v>
      </c>
      <c r="AS72" s="11" t="n">
        <f>IF(AND(COUNT(I72:K72,AP72:AR72)=6,MIN(AP72:AR72)&gt;0),I72/7/AP72*0.5+J72/14/AQ72*0.3+K72/30/AR72*0.2,"")</f>
        <v>0.4223228875993907</v>
      </c>
      <c r="AT72" s="8" t="n">
        <v>47</v>
      </c>
      <c r="AU72" s="8" t="n">
        <v>5</v>
      </c>
      <c r="AV72" s="8" t="n">
        <v>88</v>
      </c>
      <c r="AW72" s="11" t="n">
        <f>IF(AND(COUNT(AT72:AV72)=3,AT72&gt;=AU72,AU72&gt;=0,AV72&gt;0),(AT72-AU72)/AV72,"")</f>
        <v>0.4772727272727273</v>
      </c>
      <c r="AX72" s="8" t="n">
        <v>72</v>
      </c>
      <c r="AY72" s="8" t="n">
        <v>5</v>
      </c>
      <c r="AZ72" s="8" t="n">
        <v>178</v>
      </c>
      <c r="BA72" s="11" t="n">
        <f>IF(AND(COUNT(AX72:AZ72)=3,AX72&gt;=AY72,AY72&gt;=0,AZ72&gt;0),(AX72-AY72)/AZ72,"")</f>
        <v>0.37640449438202245</v>
      </c>
      <c r="BB72" s="8" t="n">
        <f>IF(COUNT(AS72,AW72,BA72)=3,1,0)</f>
        <v>1</v>
      </c>
      <c r="BC72" s="11" t="n">
        <f>IF(SUMIF($AO$11:$AO$1309,AO72,$BB$11:$BB$1309)=COUNTIF($AO$11:$AO$1309,AO72),SUMIF($AO$11:$AO$1309,AO72,$AS$11:$AS$1309),"")</f>
        <v>4.164684574329155</v>
      </c>
      <c r="BD72" s="11" t="n">
        <f>IF(SUMIF($AO$11:$AO$1309,AO72,$BB$11:$BB$1309)=COUNTIF($AO$11:$AO$1309,AO72),SUMIF($AO$11:$AO$1309,AO72,$AW$11:$AW$1309),"")</f>
        <v>5.636363636363635</v>
      </c>
      <c r="BE72" s="11" t="n">
        <f>IF(SUMIF($AO$11:$AO$1309,AO72,$BB$11:$BB$1309)=COUNTIF($AO$11:$AO$1309,AO72),SUMIF($AO$11:$AO$1309,AO72,$BA$11:$BA$1309),"")</f>
        <v>4.707865168539326</v>
      </c>
      <c r="BF72" s="12" t="n">
        <f>IF(COUNT(BD72:BE72)&lt;&gt;2,"",IF(AND(BD72&gt;0,BE72&gt;0),0.7*AW72/BD72+0.3*BA72/BE72,IF(BD72&gt;0,AW72/BD72,IF(BE72&gt;0,BA72/BE72,IF(AND(ISNUMBER(BH72),BH72=0),0,"")))))</f>
        <v>0.0832598737393179</v>
      </c>
      <c r="BG72" s="11" t="n">
        <f>IF(AND(COUNT(BN72:BU72)=8,MIN(BN72:BU72)&gt;=0),SUMPRODUCT(BN72:BQ72,BR72:BU72),"")</f>
        <v>109.4582336985339</v>
      </c>
      <c r="BH72" s="11" t="n">
        <f>IF(COUNT(BC72,BG72)=2,BC72*BG72,"")</f>
        <v>455.85901741759983</v>
      </c>
      <c r="BI72" s="11" t="n">
        <f>IF(ISNUMBER(CI72),CI72,"")</f>
        <v>37.95476423311888</v>
      </c>
      <c r="BJ72" s="8" t="str"/>
      <c r="BK72" s="8" t="str">
        <v>90天：2026-07-20 至 2026-10-17；180天：2026-04-21 至 2026-10-17</v>
      </c>
      <c r="BL72" s="8" t="str">
        <v>90天：2026-10-06、2026-10-07；180天：2026-10-06、2026-10-07</v>
      </c>
      <c r="BM72" s="8" t="str">
        <v>2026-10：12天 × 1.7391279184229513；2026-11：30天 × 1.4002077845513243；2026-12：31天 × 1.079339935625147；2027-01：17天 × 0.7719368903846591</v>
      </c>
      <c r="BN72" s="11" t="n">
        <v>1.7391279184229513</v>
      </c>
      <c r="BO72" s="11" t="n">
        <v>1.4002077845513243</v>
      </c>
      <c r="BP72" s="11" t="n">
        <v>1.079339935625147</v>
      </c>
      <c r="BQ72" s="11" t="n">
        <v>0.7719368903846591</v>
      </c>
      <c r="BR72" s="8" t="n">
        <v>12</v>
      </c>
      <c r="BS72" s="8" t="n">
        <v>30</v>
      </c>
      <c r="BT72" s="8" t="n">
        <v>31</v>
      </c>
      <c r="BU72" s="8" t="n">
        <v>17</v>
      </c>
      <c r="BV72" s="11" t="n">
        <f>IF(COUNT(BC72,BF72)=2,BC72*BF72,"")</f>
        <v>0.3467511118227304</v>
      </c>
      <c r="BW72" s="11" t="n">
        <f>IF(ISNUMBER(BN72),BN72,"")</f>
        <v>1.7391279184229513</v>
      </c>
      <c r="BX72" s="14" t="n">
        <f>IF(ISNUMBER(BR72),BR72,"")</f>
        <v>12</v>
      </c>
      <c r="BY72" s="13" t="n">
        <f>IF(AND(COUNT(BV72,BW72,BX72)=3,MIN(BV72,BW72,BX72)&gt;=0),BV72*BW72*BX72,"")</f>
        <v>7.23653447178131</v>
      </c>
      <c r="BZ72" s="11" t="n">
        <f>IF(ISNUMBER(BO72),BO72,"")</f>
        <v>1.4002077845513243</v>
      </c>
      <c r="CA72" s="14" t="n">
        <f>IF(ISNUMBER(BS72),BS72,"")</f>
        <v>30</v>
      </c>
      <c r="CB72" s="13" t="n">
        <f>IF(AND(COUNT(BV72,BZ72,CA72)=3,MIN(BV72,BZ72,CA72)&gt;=0),BV72*BZ72*CA72,"")</f>
        <v>14.565708182280416</v>
      </c>
      <c r="CC72" s="11" t="n">
        <f>IF(ISNUMBER(BP72),BP72,"")</f>
        <v>1.079339935625147</v>
      </c>
      <c r="CD72" s="14" t="n">
        <f>IF(ISNUMBER(BT72),BT72,"")</f>
        <v>31</v>
      </c>
      <c r="CE72" s="13" t="n">
        <f>IF(AND(COUNT(BV72,CC72,CD72)=3,MIN(BV72,CC72,CD72)&gt;=0),BV72*CC72*CD72,"")</f>
        <v>11.602132004093512</v>
      </c>
      <c r="CF72" s="11" t="n">
        <f>IF(ISNUMBER(BQ72),BQ72,"")</f>
        <v>0.7719368903846591</v>
      </c>
      <c r="CG72" s="14" t="n">
        <f>IF(ISNUMBER(BU72),BU72,"")</f>
        <v>17</v>
      </c>
      <c r="CH72" s="13" t="n">
        <f>IF(AND(COUNT(BV72,CF72,CG72)=3,MIN(BV72,CF72,CG72)&gt;=0),BV72*CF72*CG72,"")</f>
        <v>4.550389574963648</v>
      </c>
      <c r="CI72" s="13" t="n">
        <f>IF(COUNT(BY72,CB72,CE72,CH72)=4,SUM(BY72,CB72,CE72,CH72),"")</f>
        <v>37.95476423311888</v>
      </c>
    </row>
    <row r="73" ht="72" customHeight="1">
      <c r="A73" s="16" t="str">
        <v>8392-LP-40</v>
      </c>
      <c r="B73" s="16" t="str">
        <v>3店-SANDIEX-US</v>
      </c>
      <c r="C73" s="16" t="str">
        <v>徐新怡</v>
      </c>
      <c r="D73" s="26" t="n">
        <f>IF(NOT(ISNUMBER(E73)),"",IF(OR(E73&lt;=0,L73=0),0,IF(OR(NOT(ISNUMBER(F73)),F73&lt;0),"",MIN(E73,INT(F73)))))</f>
        <v>21</v>
      </c>
      <c r="E73" s="27" t="n">
        <f>IF(OR(NOT(ISNUMBER(L73)),COUNT(M73:O73)&lt;&gt;3,MIN(M73:O73)&lt;0),"",ROUNDUP(ROUND(BI73-SUM(M73:O73),10),0))</f>
        <v>21</v>
      </c>
      <c r="F73" s="28" t="n">
        <v>101</v>
      </c>
      <c r="G73" s="28" t="n">
        <f>IF(AND(ISNUMBER(D73),ISNUMBER(E73)),IF(OR(E73&lt;=0,L73=0),0,E73-D73),"")</f>
        <v>0</v>
      </c>
      <c r="H73" s="16" t="str">
        <f>IF(NOT(ISNUMBER(E73)),"销量或海外库存待补",IF(OR(E73&lt;=0,L73=0),IF(L73=0,"零日销，本批不发","本批无需补货"),IF(NOT(ISNUMBER(D73)),"国内库存待补",IF(D73=0,"国内无可用库存",IF(G73&gt;0,"先发国内现货","按建议量发货")))))</f>
        <v>按建议量发货</v>
      </c>
      <c r="I73" s="28" t="n">
        <f>IF(AND(COUNT(Z73,AA73,AB73)=3,Z73&gt;=AA73,AA73&gt;=0,AB73=7),Z73-AA73,"")</f>
        <v>6</v>
      </c>
      <c r="J73" s="28" t="n">
        <f>IF(AND(COUNT(AF73,AG73,AH73)=3,AF73&gt;=AG73,AG73&gt;=0,AH73=14),AF73-AG73,"")</f>
        <v>14</v>
      </c>
      <c r="K73" s="28" t="n">
        <f>IF(AND(COUNT(AL73,AM73,AN73)=3,AL73&gt;=AM73,AM73&gt;=0,AN73=30),AL73-AM73,"")</f>
        <v>18</v>
      </c>
      <c r="L73" s="29" t="n">
        <f>IF(ISNUMBER(BI73),BI73/90,"")</f>
        <v>0.6282615951858752</v>
      </c>
      <c r="M73" s="28" t="n">
        <v>36</v>
      </c>
      <c r="N73" s="28" t="n">
        <v>0</v>
      </c>
      <c r="O73" s="28" t="n">
        <v>0</v>
      </c>
      <c r="P73" s="30" t="n">
        <f>IF(AND(ISNUMBER(L73),L73&gt;0,COUNT(M73:O73)=3,MIN(M73:O73)&gt;=0),SUM(M73:O73)/L73,"")</f>
        <v>57.30097188154429</v>
      </c>
      <c r="Q73" s="16" t="str">
        <v>按本SKU唯一未删除Listing店铺核实</v>
      </c>
      <c r="R73" s="16" t="str">
        <v>已匹配</v>
      </c>
      <c r="S73" s="16" t="str">
        <v>在售</v>
      </c>
      <c r="T73" s="16" t="str">
        <v>8392</v>
      </c>
      <c r="U73" s="16" t="str">
        <v>豹纹</v>
      </c>
      <c r="V73" s="16" t="n">
        <v>9</v>
      </c>
      <c r="W73" s="8" t="str">
        <v>2026-10-11 至 2026-10-17</v>
      </c>
      <c r="X73" s="8" t="str">
        <v>2026-10-11、2026-10-12、2026-10-13、2026-10-14、2026-10-15、2026-10-16、2026-10-17</v>
      </c>
      <c r="Y73" s="8" t="str">
        <v>无</v>
      </c>
      <c r="Z73" s="8" t="n">
        <v>6</v>
      </c>
      <c r="AA73" s="8" t="n">
        <v>0</v>
      </c>
      <c r="AB73" s="8" t="n">
        <v>7</v>
      </c>
      <c r="AC73" s="8" t="str">
        <v>2026-10-02 至 2026-10-17</v>
      </c>
      <c r="AD73" s="8" t="str">
        <v>2026-10-02、2026-10-03、2026-10-04、2026-10-05、2026-10-08、2026-10-09、2026-10-10、2026-10-11、2026-10-12、2026-10-13、2026-10-14、2026-10-15、2026-10-16、2026-10-17</v>
      </c>
      <c r="AE73" s="8" t="str">
        <v>2026-10-06 大促；2026-10-07 大促</v>
      </c>
      <c r="AF73" s="8" t="n">
        <v>17</v>
      </c>
      <c r="AG73" s="8" t="n">
        <v>3</v>
      </c>
      <c r="AH73" s="8" t="n">
        <v>14</v>
      </c>
      <c r="AI73" s="8" t="str">
        <v>2026-09-16 至 2026-10-17</v>
      </c>
      <c r="AJ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3" s="8" t="str">
        <v>2026-10-06 大促；2026-10-07 大促</v>
      </c>
      <c r="AL73" s="8" t="n">
        <v>21</v>
      </c>
      <c r="AM73" s="8" t="n">
        <v>3</v>
      </c>
      <c r="AN73" s="8" t="n">
        <v>30</v>
      </c>
      <c r="AO73" s="8" t="str">
        <v>8392 / 豹纹羊京绒 / 6574</v>
      </c>
      <c r="AP73" s="11" t="n">
        <v>1.1743420411079069</v>
      </c>
      <c r="AQ73" s="11" t="n">
        <v>1.1743420411079069</v>
      </c>
      <c r="AR73" s="11" t="n">
        <v>1.144331424468921</v>
      </c>
      <c r="AS73" s="11" t="n">
        <f>IF(AND(COUNT(I73:K73,AP73:AR73)=6,MIN(AP73:AR73)&gt;0),I73/7/AP73*0.5+J73/14/AQ73*0.3+K73/30/AR73*0.2,"")</f>
        <v>0.7252729220400388</v>
      </c>
      <c r="AT73" s="8" t="n">
        <v>25</v>
      </c>
      <c r="AU73" s="8" t="n">
        <v>3</v>
      </c>
      <c r="AV73" s="8" t="n">
        <v>88</v>
      </c>
      <c r="AW73" s="11" t="n">
        <f>IF(AND(COUNT(AT73:AV73)=3,AT73&gt;=AU73,AU73&gt;=0,AV73&gt;0),(AT73-AU73)/AV73,"")</f>
        <v>0.25</v>
      </c>
      <c r="AX73" s="8" t="n">
        <v>43</v>
      </c>
      <c r="AY73" s="8" t="n">
        <v>3</v>
      </c>
      <c r="AZ73" s="8" t="n">
        <v>178</v>
      </c>
      <c r="BA73" s="11" t="n">
        <f>IF(AND(COUNT(AX73:AZ73)=3,AX73&gt;=AY73,AY73&gt;=0,AZ73&gt;0),(AX73-AY73)/AZ73,"")</f>
        <v>0.2247191011235955</v>
      </c>
      <c r="BB73" s="8" t="n">
        <f>IF(COUNT(AS73,AW73,BA73)=3,1,0)</f>
        <v>1</v>
      </c>
      <c r="BC73" s="11" t="n">
        <f>IF(SUMIF($AO$11:$AO$1309,AO73,$BB$11:$BB$1309)=COUNTIF($AO$11:$AO$1309,AO73),SUMIF($AO$11:$AO$1309,AO73,$AS$11:$AS$1309),"")</f>
        <v>1.7348603654072816</v>
      </c>
      <c r="BD73" s="11" t="n">
        <f>IF(SUMIF($AO$11:$AO$1309,AO73,$BB$11:$BB$1309)=COUNTIF($AO$11:$AO$1309,AO73),SUMIF($AO$11:$AO$1309,AO73,$AW$11:$AW$1309),"")</f>
        <v>0.7184184645645092</v>
      </c>
      <c r="BE73" s="11" t="n">
        <f>IF(SUMIF($AO$11:$AO$1309,AO73,$BB$11:$BB$1309)=COUNTIF($AO$11:$AO$1309,AO73),SUMIF($AO$11:$AO$1309,AO73,$BA$11:$BA$1309),"")</f>
        <v>0.7208292298065674</v>
      </c>
      <c r="BF73" s="12" t="n">
        <f>IF(COUNT(BD73:BE73)&lt;&gt;2,"",IF(AND(BD73&gt;0,BE73&gt;0),0.7*AW73/BD73+0.3*BA73/BE73,IF(BD73&gt;0,AW73/BD73,IF(BE73&gt;0,BA73/BE73,IF(AND(ISNUMBER(BH73),BH73=0),0,"")))))</f>
        <v>0.3371158661323302</v>
      </c>
      <c r="BG73" s="11" t="n">
        <f>IF(AND(COUNT(BN73:BU73)=8,MIN(BN73:BU73)&gt;=0),SUMPRODUCT(BN73:BQ73,BR73:BU73),"")</f>
        <v>96.68059267618935</v>
      </c>
      <c r="BH73" s="11" t="n">
        <f>IF(COUNT(BC73,BG73)=2,BC73*BG73,"")</f>
        <v>167.7273283380064</v>
      </c>
      <c r="BI73" s="11" t="n">
        <f>IF(ISNUMBER(CI73),CI73,"")</f>
        <v>56.543543566728765</v>
      </c>
      <c r="BJ73" s="8" t="str"/>
      <c r="BK73" s="8" t="str">
        <v>90天：2026-07-20 至 2026-10-17；180天：2026-04-21 至 2026-10-17</v>
      </c>
      <c r="BL73" s="8" t="str">
        <v>90天：2026-10-06、2026-10-07；180天：2026-10-06、2026-10-07</v>
      </c>
      <c r="BM73" s="8" t="str">
        <v>2026-10：12天 × 1.1743420411079069；2026-11：30天 × 1.281694931279211；2026-12：31天 × 0.9007634642750235；2027-01：17天 × 0.9537631089407297</v>
      </c>
      <c r="BN73" s="11" t="n">
        <v>1.1743420411079069</v>
      </c>
      <c r="BO73" s="11" t="n">
        <v>1.281694931279211</v>
      </c>
      <c r="BP73" s="11" t="n">
        <v>0.9007634642750235</v>
      </c>
      <c r="BQ73" s="11" t="n">
        <v>0.9537631089407297</v>
      </c>
      <c r="BR73" s="8" t="n">
        <v>12</v>
      </c>
      <c r="BS73" s="8" t="n">
        <v>30</v>
      </c>
      <c r="BT73" s="8" t="n">
        <v>31</v>
      </c>
      <c r="BU73" s="8" t="n">
        <v>17</v>
      </c>
      <c r="BV73" s="11" t="n">
        <f>IF(COUNT(BC73,BF73)=2,BC73*BF73,"")</f>
        <v>0.5848489547029266</v>
      </c>
      <c r="BW73" s="11" t="n">
        <f>IF(ISNUMBER(BN73),BN73,"")</f>
        <v>1.1743420411079069</v>
      </c>
      <c r="BX73" s="14" t="n">
        <f>IF(ISNUMBER(BR73),BR73,"")</f>
        <v>12</v>
      </c>
      <c r="BY73" s="13" t="n">
        <f>IF(AND(COUNT(BV73,BW73,BX73)=3,MIN(BV73,BW73,BX73)&gt;=0),BV73*BW73*BX73,"")</f>
        <v>8.241752582467928</v>
      </c>
      <c r="BZ73" s="11" t="n">
        <f>IF(ISNUMBER(BO73),BO73,"")</f>
        <v>1.281694931279211</v>
      </c>
      <c r="CA73" s="14" t="n">
        <f>IF(ISNUMBER(BS73),BS73,"")</f>
        <v>30</v>
      </c>
      <c r="CB73" s="13" t="n">
        <f>IF(AND(COUNT(BV73,BZ73,CA73)=3,MIN(BV73,BZ73,CA73)&gt;=0),BV73*BZ73*CA73,"")</f>
        <v>22.48793822420058</v>
      </c>
      <c r="CC73" s="11" t="n">
        <f>IF(ISNUMBER(BP73),BP73,"")</f>
        <v>0.9007634642750235</v>
      </c>
      <c r="CD73" s="14" t="n">
        <f>IF(ISNUMBER(BT73),BT73,"")</f>
        <v>31</v>
      </c>
      <c r="CE73" s="13" t="n">
        <f>IF(AND(COUNT(BV73,CC73,CD73)=3,MIN(BV73,CC73,CD73)&gt;=0),BV73*CC73*CD73,"")</f>
        <v>16.331127685990868</v>
      </c>
      <c r="CF73" s="11" t="n">
        <f>IF(ISNUMBER(BQ73),BQ73,"")</f>
        <v>0.9537631089407297</v>
      </c>
      <c r="CG73" s="14" t="n">
        <f>IF(ISNUMBER(BU73),BU73,"")</f>
        <v>17</v>
      </c>
      <c r="CH73" s="13" t="n">
        <f>IF(AND(COUNT(BV73,CF73,CG73)=3,MIN(BV73,CF73,CG73)&gt;=0),BV73*CF73*CG73,"")</f>
        <v>9.482725074069387</v>
      </c>
      <c r="CI73" s="13" t="n">
        <f>IF(COUNT(BY73,CB73,CE73,CH73)=4,SUM(BY73,CB73,CE73,CH73),"")</f>
        <v>56.543543566728765</v>
      </c>
    </row>
    <row r="74" ht="72" customHeight="1">
      <c r="A74" s="16" t="str">
        <v>60516-LP-S-K-10</v>
      </c>
      <c r="B74" s="16" t="str">
        <v>3店-SANDIEX-US</v>
      </c>
      <c r="C74" s="16" t="str">
        <v>徐新怡</v>
      </c>
      <c r="D74" s="26" t="n">
        <f>IF(NOT(ISNUMBER(E74)),"",IF(OR(E74&lt;=0,L74=0),0,IF(OR(NOT(ISNUMBER(F74)),F74&lt;0),"",MIN(E74,INT(F74)))))</f>
        <v>20</v>
      </c>
      <c r="E74" s="27" t="n">
        <f>IF(OR(NOT(ISNUMBER(L74)),COUNT(M74:O74)&lt;&gt;3,MIN(M74:O74)&lt;0),"",ROUNDUP(ROUND(BI74-SUM(M74:O74),10),0))</f>
        <v>36</v>
      </c>
      <c r="F74" s="28" t="n">
        <v>20</v>
      </c>
      <c r="G74" s="28" t="n">
        <f>IF(AND(ISNUMBER(D74),ISNUMBER(E74)),IF(OR(E74&lt;=0,L74=0),0,E74-D74),"")</f>
        <v>16</v>
      </c>
      <c r="H74" s="16" t="str">
        <f>IF(NOT(ISNUMBER(E74)),"销量或海外库存待补",IF(OR(E74&lt;=0,L74=0),IF(L74=0,"零日销，本批不发","本批无需补货"),IF(NOT(ISNUMBER(D74)),"国内库存待补",IF(D74=0,"国内无可用库存",IF(G74&gt;0,"先发国内现货","按建议量发货")))))</f>
        <v>先发国内现货</v>
      </c>
      <c r="I74" s="28" t="n">
        <f>IF(AND(COUNT(Z74,AA74,AB74)=3,Z74&gt;=AA74,AA74&gt;=0,AB74=7),Z74-AA74,"")</f>
        <v>15</v>
      </c>
      <c r="J74" s="28" t="n">
        <f>IF(AND(COUNT(AF74,AG74,AH74)=3,AF74&gt;=AG74,AG74&gt;=0,AH74=14),AF74-AG74,"")</f>
        <v>25</v>
      </c>
      <c r="K74" s="28" t="n">
        <f>IF(AND(COUNT(AL74,AM74,AN74)=3,AL74&gt;=AM74,AM74&gt;=0,AN74=30),AL74-AM74,"")</f>
        <v>31</v>
      </c>
      <c r="L74" s="29" t="n">
        <f>IF(ISNUMBER(BI74),BI74/90,"")</f>
        <v>0.8144621816901172</v>
      </c>
      <c r="M74" s="28" t="n">
        <v>18</v>
      </c>
      <c r="N74" s="28" t="n">
        <v>0</v>
      </c>
      <c r="O74" s="28" t="n">
        <v>20</v>
      </c>
      <c r="P74" s="30" t="n">
        <f>IF(AND(ISNUMBER(L74),L74&gt;0,COUNT(M74:O74)=3,MIN(M74:O74)&gt;=0),SUM(M74:O74)/L74,"")</f>
        <v>46.656555521270434</v>
      </c>
      <c r="Q74" s="16" t="str">
        <v>沿用原计划SKU店铺</v>
      </c>
      <c r="R74" s="16" t="str">
        <v>已匹配</v>
      </c>
      <c r="S74" s="16" t="str">
        <v>在售</v>
      </c>
      <c r="T74" s="16" t="str">
        <v>60516</v>
      </c>
      <c r="U74" s="16" t="str">
        <v>豹纹</v>
      </c>
      <c r="V74" s="16" t="n">
        <v>10</v>
      </c>
      <c r="W74" s="8" t="str">
        <v>2026-10-11 至 2026-10-17</v>
      </c>
      <c r="X74" s="8" t="str">
        <v>2026-10-11、2026-10-12、2026-10-13、2026-10-14、2026-10-15、2026-10-16、2026-10-17</v>
      </c>
      <c r="Y74" s="8" t="str">
        <v>无</v>
      </c>
      <c r="Z74" s="8" t="n">
        <v>15</v>
      </c>
      <c r="AA74" s="8" t="n">
        <v>0</v>
      </c>
      <c r="AB74" s="8" t="n">
        <v>7</v>
      </c>
      <c r="AC74" s="8" t="str">
        <v>2026-10-02 至 2026-10-17</v>
      </c>
      <c r="AD74" s="8" t="str">
        <v>2026-10-02、2026-10-03、2026-10-04、2026-10-05、2026-10-08、2026-10-09、2026-10-10、2026-10-11、2026-10-12、2026-10-13、2026-10-14、2026-10-15、2026-10-16、2026-10-17</v>
      </c>
      <c r="AE74" s="8" t="str">
        <v>2026-10-06 大促；2026-10-07 大促</v>
      </c>
      <c r="AF74" s="8" t="n">
        <v>29</v>
      </c>
      <c r="AG74" s="8" t="n">
        <v>4</v>
      </c>
      <c r="AH74" s="8" t="n">
        <v>14</v>
      </c>
      <c r="AI74" s="8" t="str">
        <v>2026-09-16 至 2026-10-17</v>
      </c>
      <c r="AJ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4" s="8" t="str">
        <v>2026-10-06 大促；2026-10-07 大促</v>
      </c>
      <c r="AL74" s="8" t="n">
        <v>35</v>
      </c>
      <c r="AM74" s="8" t="n">
        <v>4</v>
      </c>
      <c r="AN74" s="8" t="n">
        <v>30</v>
      </c>
      <c r="AO74" s="8" t="str">
        <v>60516 / 豹纹羊京绒 / 6574</v>
      </c>
      <c r="AP74" s="11" t="n">
        <v>1.8609238953732312</v>
      </c>
      <c r="AQ74" s="11" t="n">
        <v>1.8609238953732312</v>
      </c>
      <c r="AR74" s="11" t="n">
        <v>1.7598476169692943</v>
      </c>
      <c r="AS74" s="11" t="n">
        <f>IF(AND(COUNT(I74:K74,AP74:AR74)=6,MIN(AP74:AR74)&gt;0),I74/7/AP74*0.5+J74/14/AQ74*0.3+K74/30/AR74*0.2,"")</f>
        <v>0.9810607308942108</v>
      </c>
      <c r="AT74" s="8" t="n">
        <v>52</v>
      </c>
      <c r="AU74" s="8" t="n">
        <v>4</v>
      </c>
      <c r="AV74" s="8" t="n">
        <v>88</v>
      </c>
      <c r="AW74" s="11" t="n">
        <f>IF(AND(COUNT(AT74:AV74)=3,AT74&gt;=AU74,AU74&gt;=0,AV74&gt;0),(AT74-AU74)/AV74,"")</f>
        <v>0.5454545454545454</v>
      </c>
      <c r="AX74" s="8" t="n">
        <v>76</v>
      </c>
      <c r="AY74" s="8" t="n">
        <v>4</v>
      </c>
      <c r="AZ74" s="8" t="n">
        <v>178</v>
      </c>
      <c r="BA74" s="11" t="n">
        <f>IF(AND(COUNT(AX74:AZ74)=3,AX74&gt;=AY74,AY74&gt;=0,AZ74&gt;0),(AX74-AY74)/AZ74,"")</f>
        <v>0.4044943820224719</v>
      </c>
      <c r="BB74" s="8" t="n">
        <f>IF(COUNT(AS74,AW74,BA74)=3,1,0)</f>
        <v>1</v>
      </c>
      <c r="BC74" s="11" t="n">
        <f>IF(SUMIF($AO$11:$AO$1309,AO74,$BB$11:$BB$1309)=COUNTIF($AO$11:$AO$1309,AO74),SUMIF($AO$11:$AO$1309,AO74,$AS$11:$AS$1309),"")</f>
        <v>4.8489600193541325</v>
      </c>
      <c r="BD74" s="11" t="n">
        <f>IF(SUMIF($AO$11:$AO$1309,AO74,$BB$11:$BB$1309)=COUNTIF($AO$11:$AO$1309,AO74),SUMIF($AO$11:$AO$1309,AO74,$AW$11:$AW$1309),"")</f>
        <v>4.045454545454545</v>
      </c>
      <c r="BE74" s="11" t="n">
        <f>IF(SUMIF($AO$11:$AO$1309,AO74,$BB$11:$BB$1309)=COUNTIF($AO$11:$AO$1309,AO74),SUMIF($AO$11:$AO$1309,AO74,$BA$11:$BA$1309),"")</f>
        <v>2.7977528089887636</v>
      </c>
      <c r="BF74" s="12" t="n">
        <f>IF(COUNT(BD74:BE74)&lt;&gt;2,"",IF(AND(BD74&gt;0,BE74&gt;0),0.7*AW74/BD74+0.3*BA74/BE74,IF(BD74&gt;0,AW74/BD74,IF(BE74&gt;0,BA74/BE74,IF(AND(ISNUMBER(BH74),BH74=0),0,"")))))</f>
        <v>0.13775551644781373</v>
      </c>
      <c r="BG74" s="11" t="n">
        <f>IF(AND(COUNT(BN74:BU74)=8,MIN(BN74:BU74)&gt;=0),SUMPRODUCT(BN74:BQ74,BR74:BU74),"")</f>
        <v>109.73769409574882</v>
      </c>
      <c r="BH74" s="11" t="n">
        <f>IF(COUNT(BC74,BG74)=2,BC74*BG74,"")</f>
        <v>532.1136912864001</v>
      </c>
      <c r="BI74" s="11" t="n">
        <f>IF(ISNUMBER(CI74),CI74,"")</f>
        <v>73.30159635211055</v>
      </c>
      <c r="BJ74" s="8" t="str"/>
      <c r="BK74" s="8" t="str">
        <v>90天：2026-07-20 至 2026-10-17；180天：2026-04-21 至 2026-10-17</v>
      </c>
      <c r="BL74" s="8" t="str">
        <v>90天：2026-10-06、2026-10-07；180天：2026-10-06、2026-10-07</v>
      </c>
      <c r="BM74" s="8" t="str">
        <v>2026-10：12天 × 1.8609238953732312；2026-11：30天 × 1.438375649833085；2026-12：31天 × 0.9519742599124907；2027-01：17天 × 0.8673021058229575</v>
      </c>
      <c r="BN74" s="11" t="n">
        <v>1.8609238953732312</v>
      </c>
      <c r="BO74" s="11" t="n">
        <v>1.438375649833085</v>
      </c>
      <c r="BP74" s="11" t="n">
        <v>0.9519742599124907</v>
      </c>
      <c r="BQ74" s="11" t="n">
        <v>0.8673021058229575</v>
      </c>
      <c r="BR74" s="8" t="n">
        <v>12</v>
      </c>
      <c r="BS74" s="8" t="n">
        <v>30</v>
      </c>
      <c r="BT74" s="8" t="n">
        <v>31</v>
      </c>
      <c r="BU74" s="8" t="n">
        <v>17</v>
      </c>
      <c r="BV74" s="11" t="n">
        <f>IF(COUNT(BC74,BF74)=2,BC74*BF74,"")</f>
        <v>0.6679709917009293</v>
      </c>
      <c r="BW74" s="11" t="n">
        <f>IF(ISNUMBER(BN74),BN74,"")</f>
        <v>1.8609238953732312</v>
      </c>
      <c r="BX74" s="14" t="n">
        <f>IF(ISNUMBER(BR74),BR74,"")</f>
        <v>12</v>
      </c>
      <c r="BY74" s="13" t="n">
        <f>IF(AND(COUNT(BV74,BW74,BX74)=3,MIN(BV74,BW74,BX74)&gt;=0),BV74*BW74*BX74,"")</f>
        <v>14.916518158468964</v>
      </c>
      <c r="BZ74" s="11" t="n">
        <f>IF(ISNUMBER(BO74),BO74,"")</f>
        <v>1.438375649833085</v>
      </c>
      <c r="CA74" s="14" t="n">
        <f>IF(ISNUMBER(BS74),BS74,"")</f>
        <v>30</v>
      </c>
      <c r="CB74" s="13" t="n">
        <f>IF(AND(COUNT(BV74,BZ74,CA74)=3,MIN(BV74,BZ74,CA74)&gt;=0),BV74*BZ74*CA74,"")</f>
        <v>28.823796277724234</v>
      </c>
      <c r="CC74" s="11" t="n">
        <f>IF(ISNUMBER(BP74),BP74,"")</f>
        <v>0.9519742599124907</v>
      </c>
      <c r="CD74" s="14" t="n">
        <f>IF(ISNUMBER(BT74),BT74,"")</f>
        <v>31</v>
      </c>
      <c r="CE74" s="13" t="n">
        <f>IF(AND(COUNT(BV74,CC74,CD74)=3,MIN(BV74,CC74,CD74)&gt;=0),BV74*CC74*CD74,"")</f>
        <v>19.712626904492645</v>
      </c>
      <c r="CF74" s="11" t="n">
        <f>IF(ISNUMBER(BQ74),BQ74,"")</f>
        <v>0.8673021058229575</v>
      </c>
      <c r="CG74" s="14" t="n">
        <f>IF(ISNUMBER(BU74),BU74,"")</f>
        <v>17</v>
      </c>
      <c r="CH74" s="13" t="n">
        <f>IF(AND(COUNT(BV74,CF74,CG74)=3,MIN(BV74,CF74,CG74)&gt;=0),BV74*CF74*CG74,"")</f>
        <v>9.848655011424711</v>
      </c>
      <c r="CI74" s="13" t="n">
        <f>IF(COUNT(BY74,CB74,CE74,CH74)=4,SUM(BY74,CB74,CE74,CH74),"")</f>
        <v>73.30159635211055</v>
      </c>
    </row>
    <row r="75" ht="72" customHeight="1">
      <c r="A75" s="16" t="str">
        <v>60516-LP-S-K-8</v>
      </c>
      <c r="B75" s="16" t="str">
        <v>3店-SANDIEX-US</v>
      </c>
      <c r="C75" s="16" t="str">
        <v>徐新怡</v>
      </c>
      <c r="D75" s="26" t="n">
        <f>IF(NOT(ISNUMBER(E75)),"",IF(OR(E75&lt;=0,L75=0),0,IF(OR(NOT(ISNUMBER(F75)),F75&lt;0),"",MIN(E75,INT(F75)))))</f>
        <v>20</v>
      </c>
      <c r="E75" s="27" t="n">
        <f>IF(OR(NOT(ISNUMBER(L75)),COUNT(M75:O75)&lt;&gt;3,MIN(M75:O75)&lt;0),"",ROUNDUP(ROUND(BI75-SUM(M75:O75),10),0))</f>
        <v>34</v>
      </c>
      <c r="F75" s="28" t="n">
        <v>20</v>
      </c>
      <c r="G75" s="28" t="n">
        <f>IF(AND(ISNUMBER(D75),ISNUMBER(E75)),IF(OR(E75&lt;=0,L75=0),0,E75-D75),"")</f>
        <v>14</v>
      </c>
      <c r="H75" s="16" t="str">
        <f>IF(NOT(ISNUMBER(E75)),"销量或海外库存待补",IF(OR(E75&lt;=0,L75=0),IF(L75=0,"零日销，本批不发","本批无需补货"),IF(NOT(ISNUMBER(D75)),"国内库存待补",IF(D75=0,"国内无可用库存",IF(G75&gt;0,"先发国内现货","按建议量发货")))))</f>
        <v>先发国内现货</v>
      </c>
      <c r="I75" s="28" t="n">
        <f>IF(AND(COUNT(Z75,AA75,AB75)=3,Z75&gt;=AA75,AA75&gt;=0,AB75=7),Z75-AA75,"")</f>
        <v>13</v>
      </c>
      <c r="J75" s="28" t="n">
        <f>IF(AND(COUNT(AF75,AG75,AH75)=3,AF75&gt;=AG75,AG75&gt;=0,AH75=14),AF75-AG75,"")</f>
        <v>22</v>
      </c>
      <c r="K75" s="28" t="n">
        <f>IF(AND(COUNT(AL75,AM75,AN75)=3,AL75&gt;=AM75,AM75&gt;=0,AN75=30),AL75-AM75,"")</f>
        <v>38</v>
      </c>
      <c r="L75" s="29" t="n">
        <f>IF(ISNUMBER(BI75),BI75/90,"")</f>
        <v>1.0002693706438917</v>
      </c>
      <c r="M75" s="28" t="n">
        <v>57</v>
      </c>
      <c r="N75" s="28" t="n">
        <v>0</v>
      </c>
      <c r="O75" s="28" t="n">
        <v>0</v>
      </c>
      <c r="P75" s="30" t="n">
        <f>IF(AND(ISNUMBER(L75),L75&gt;0,COUNT(M75:O75)=3,MIN(M75:O75)&gt;=0),SUM(M75:O75)/L75,"")</f>
        <v>56.98465000813537</v>
      </c>
      <c r="Q75" s="16" t="str">
        <v>沿用原计划SKU店铺</v>
      </c>
      <c r="R75" s="16" t="str">
        <v>已匹配</v>
      </c>
      <c r="S75" s="16" t="str">
        <v>在售</v>
      </c>
      <c r="T75" s="16" t="str">
        <v>60516</v>
      </c>
      <c r="U75" s="16" t="str">
        <v>豹纹</v>
      </c>
      <c r="V75" s="16" t="n">
        <v>8</v>
      </c>
      <c r="W75" s="8" t="str">
        <v>2026-10-11 至 2026-10-17</v>
      </c>
      <c r="X75" s="8" t="str">
        <v>2026-10-11、2026-10-12、2026-10-13、2026-10-14、2026-10-15、2026-10-16、2026-10-17</v>
      </c>
      <c r="Y75" s="8" t="str">
        <v>无</v>
      </c>
      <c r="Z75" s="8" t="n">
        <v>13</v>
      </c>
      <c r="AA75" s="8" t="n">
        <v>0</v>
      </c>
      <c r="AB75" s="8" t="n">
        <v>7</v>
      </c>
      <c r="AC75" s="8" t="str">
        <v>2026-10-02 至 2026-10-17</v>
      </c>
      <c r="AD75" s="8" t="str">
        <v>2026-10-02、2026-10-03、2026-10-04、2026-10-05、2026-10-08、2026-10-09、2026-10-10、2026-10-11、2026-10-12、2026-10-13、2026-10-14、2026-10-15、2026-10-16、2026-10-17</v>
      </c>
      <c r="AE75" s="8" t="str">
        <v>2026-10-06 大促；2026-10-07 大促</v>
      </c>
      <c r="AF75" s="8" t="n">
        <v>27</v>
      </c>
      <c r="AG75" s="8" t="n">
        <v>5</v>
      </c>
      <c r="AH75" s="8" t="n">
        <v>14</v>
      </c>
      <c r="AI75" s="8" t="str">
        <v>2026-09-16 至 2026-10-17</v>
      </c>
      <c r="AJ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" s="8" t="str">
        <v>2026-10-06 大促；2026-10-07 大促</v>
      </c>
      <c r="AL75" s="8" t="n">
        <v>43</v>
      </c>
      <c r="AM75" s="8" t="n">
        <v>5</v>
      </c>
      <c r="AN75" s="8" t="n">
        <v>30</v>
      </c>
      <c r="AO75" s="8" t="str">
        <v>60516 / 豹纹羊京绒 / 6574</v>
      </c>
      <c r="AP75" s="11" t="n">
        <v>1.8609238953732312</v>
      </c>
      <c r="AQ75" s="11" t="n">
        <v>1.8609238953732312</v>
      </c>
      <c r="AR75" s="11" t="n">
        <v>1.7598476169692943</v>
      </c>
      <c r="AS75" s="11" t="n">
        <f>IF(AND(COUNT(I75:K75,AP75:AR75)=6,MIN(AP75:AR75)&gt;0),I75/7/AP75*0.5+J75/14/AQ75*0.3+K75/30/AR75*0.2,"")</f>
        <v>0.8962663414140271</v>
      </c>
      <c r="AT75" s="8" t="n">
        <v>65</v>
      </c>
      <c r="AU75" s="8" t="n">
        <v>5</v>
      </c>
      <c r="AV75" s="8" t="n">
        <v>88</v>
      </c>
      <c r="AW75" s="11" t="n">
        <f>IF(AND(COUNT(AT75:AV75)=3,AT75&gt;=AU75,AU75&gt;=0,AV75&gt;0),(AT75-AU75)/AV75,"")</f>
        <v>0.6818181818181818</v>
      </c>
      <c r="AX75" s="8" t="n">
        <v>90</v>
      </c>
      <c r="AY75" s="8" t="n">
        <v>5</v>
      </c>
      <c r="AZ75" s="8" t="n">
        <v>178</v>
      </c>
      <c r="BA75" s="11" t="n">
        <f>IF(AND(COUNT(AX75:AZ75)=3,AX75&gt;=AY75,AY75&gt;=0,AZ75&gt;0),(AX75-AY75)/AZ75,"")</f>
        <v>0.47752808988764045</v>
      </c>
      <c r="BB75" s="8" t="n">
        <f>IF(COUNT(AS75,AW75,BA75)=3,1,0)</f>
        <v>1</v>
      </c>
      <c r="BC75" s="11" t="n">
        <f>IF(SUMIF($AO$11:$AO$1309,AO75,$BB$11:$BB$1309)=COUNTIF($AO$11:$AO$1309,AO75),SUMIF($AO$11:$AO$1309,AO75,$AS$11:$AS$1309),"")</f>
        <v>4.8489600193541325</v>
      </c>
      <c r="BD75" s="11" t="n">
        <f>IF(SUMIF($AO$11:$AO$1309,AO75,$BB$11:$BB$1309)=COUNTIF($AO$11:$AO$1309,AO75),SUMIF($AO$11:$AO$1309,AO75,$AW$11:$AW$1309),"")</f>
        <v>4.045454545454545</v>
      </c>
      <c r="BE75" s="11" t="n">
        <f>IF(SUMIF($AO$11:$AO$1309,AO75,$BB$11:$BB$1309)=COUNTIF($AO$11:$AO$1309,AO75),SUMIF($AO$11:$AO$1309,AO75,$BA$11:$BA$1309),"")</f>
        <v>2.7977528089887636</v>
      </c>
      <c r="BF75" s="12" t="n">
        <f>IF(COUNT(BD75:BE75)&lt;&gt;2,"",IF(AND(BD75&gt;0,BE75&gt;0),0.7*AW75/BD75+0.3*BA75/BE75,IF(BD75&gt;0,AW75/BD75,IF(BE75&gt;0,BA75/BE75,IF(AND(ISNUMBER(BH75),BH75=0),0,"")))))</f>
        <v>0.16918234736699608</v>
      </c>
      <c r="BG75" s="11" t="n">
        <f>IF(AND(COUNT(BN75:BU75)=8,MIN(BN75:BU75)&gt;=0),SUMPRODUCT(BN75:BQ75,BR75:BU75),"")</f>
        <v>109.73769409574882</v>
      </c>
      <c r="BH75" s="11" t="n">
        <f>IF(COUNT(BC75,BG75)=2,BC75*BG75,"")</f>
        <v>532.1136912864001</v>
      </c>
      <c r="BI75" s="11" t="n">
        <f>IF(ISNUMBER(CI75),CI75,"")</f>
        <v>90.02424335795025</v>
      </c>
      <c r="BJ75" s="8" t="str"/>
      <c r="BK75" s="8" t="str">
        <v>90天：2026-07-20 至 2026-10-17；180天：2026-04-21 至 2026-10-17</v>
      </c>
      <c r="BL75" s="8" t="str">
        <v>90天：2026-10-06、2026-10-07；180天：2026-10-06、2026-10-07</v>
      </c>
      <c r="BM75" s="8" t="str">
        <v>2026-10：12天 × 1.8609238953732312；2026-11：30天 × 1.438375649833085；2026-12：31天 × 0.9519742599124907；2027-01：17天 × 0.8673021058229575</v>
      </c>
      <c r="BN75" s="11" t="n">
        <v>1.8609238953732312</v>
      </c>
      <c r="BO75" s="11" t="n">
        <v>1.438375649833085</v>
      </c>
      <c r="BP75" s="11" t="n">
        <v>0.9519742599124907</v>
      </c>
      <c r="BQ75" s="11" t="n">
        <v>0.8673021058229575</v>
      </c>
      <c r="BR75" s="8" t="n">
        <v>12</v>
      </c>
      <c r="BS75" s="8" t="n">
        <v>30</v>
      </c>
      <c r="BT75" s="8" t="n">
        <v>31</v>
      </c>
      <c r="BU75" s="8" t="n">
        <v>17</v>
      </c>
      <c r="BV75" s="11" t="n">
        <f>IF(COUNT(BC75,BF75)=2,BC75*BF75,"")</f>
        <v>0.8203584383630469</v>
      </c>
      <c r="BW75" s="11" t="n">
        <f>IF(ISNUMBER(BN75),BN75,"")</f>
        <v>1.8609238953732312</v>
      </c>
      <c r="BX75" s="14" t="n">
        <f>IF(ISNUMBER(BR75),BR75,"")</f>
        <v>12</v>
      </c>
      <c r="BY75" s="13" t="n">
        <f>IF(AND(COUNT(BV75,BW75,BX75)=3,MIN(BV75,BW75,BX75)&gt;=0),BV75*BW75*BX75,"")</f>
        <v>18.319495448650343</v>
      </c>
      <c r="BZ75" s="11" t="n">
        <f>IF(ISNUMBER(BO75),BO75,"")</f>
        <v>1.438375649833085</v>
      </c>
      <c r="CA75" s="14" t="n">
        <f>IF(ISNUMBER(BS75),BS75,"")</f>
        <v>30</v>
      </c>
      <c r="CB75" s="13" t="n">
        <f>IF(AND(COUNT(BV75,BZ75,CA75)=3,MIN(BV75,BZ75,CA75)&gt;=0),BV75*BZ75*CA75,"")</f>
        <v>35.399508056295076</v>
      </c>
      <c r="CC75" s="11" t="n">
        <f>IF(ISNUMBER(BP75),BP75,"")</f>
        <v>0.9519742599124907</v>
      </c>
      <c r="CD75" s="14" t="n">
        <f>IF(ISNUMBER(BT75),BT75,"")</f>
        <v>31</v>
      </c>
      <c r="CE75" s="13" t="n">
        <f>IF(AND(COUNT(BV75,CC75,CD75)=3,MIN(BV75,CC75,CD75)&gt;=0),BV75*CC75*CD75,"")</f>
        <v>24.209763633932475</v>
      </c>
      <c r="CF75" s="11" t="n">
        <f>IF(ISNUMBER(BQ75),BQ75,"")</f>
        <v>0.8673021058229575</v>
      </c>
      <c r="CG75" s="14" t="n">
        <f>IF(ISNUMBER(BU75),BU75,"")</f>
        <v>17</v>
      </c>
      <c r="CH75" s="13" t="n">
        <f>IF(AND(COUNT(BV75,CF75,CG75)=3,MIN(BV75,CF75,CG75)&gt;=0),BV75*CF75*CG75,"")</f>
        <v>12.095476219072358</v>
      </c>
      <c r="CI75" s="13" t="n">
        <f>IF(COUNT(BY75,CB75,CE75,CH75)=4,SUM(BY75,CB75,CE75,CH75),"")</f>
        <v>90.02424335795025</v>
      </c>
    </row>
    <row r="76" ht="72" customHeight="1">
      <c r="A76" s="16" t="str">
        <v>1S01-LMN-38</v>
      </c>
      <c r="B76" s="16" t="str">
        <v>3店-SANDIEX-US</v>
      </c>
      <c r="C76" s="16" t="str">
        <v>徐新怡</v>
      </c>
      <c r="D76" s="26" t="n">
        <f>IF(NOT(ISNUMBER(E76)),"",IF(OR(E76&lt;=0,L76=0),0,IF(OR(NOT(ISNUMBER(F76)),F76&lt;0),"",MIN(E76,INT(F76)))))</f>
        <v>20</v>
      </c>
      <c r="E76" s="27" t="n">
        <f>IF(OR(NOT(ISNUMBER(L76)),COUNT(M76:O76)&lt;&gt;3,MIN(M76:O76)&lt;0),"",ROUNDUP(ROUND(BI76-SUM(M76:O76),10),0))</f>
        <v>22</v>
      </c>
      <c r="F76" s="28" t="n">
        <v>20</v>
      </c>
      <c r="G76" s="28" t="n">
        <f>IF(AND(ISNUMBER(D76),ISNUMBER(E76)),IF(OR(E76&lt;=0,L76=0),0,E76-D76),"")</f>
        <v>2</v>
      </c>
      <c r="H76" s="16" t="str">
        <f>IF(NOT(ISNUMBER(E76)),"销量或海外库存待补",IF(OR(E76&lt;=0,L76=0),IF(L76=0,"零日销，本批不发","本批无需补货"),IF(NOT(ISNUMBER(D76)),"国内库存待补",IF(D76=0,"国内无可用库存",IF(G76&gt;0,"先发国内现货","按建议量发货")))))</f>
        <v>先发国内现货</v>
      </c>
      <c r="I76" s="28" t="n">
        <f>IF(AND(COUNT(Z76,AA76,AB76)=3,Z76&gt;=AA76,AA76&gt;=0,AB76=7),Z76-AA76,"")</f>
        <v>3</v>
      </c>
      <c r="J76" s="28" t="n">
        <f>IF(AND(COUNT(AF76,AG76,AH76)=3,AF76&gt;=AG76,AG76&gt;=0,AH76=14),AF76-AG76,"")</f>
        <v>5</v>
      </c>
      <c r="K76" s="28" t="n">
        <f>IF(AND(COUNT(AL76,AM76,AN76)=3,AL76&gt;=AM76,AM76&gt;=0,AN76=30),AL76-AM76,"")</f>
        <v>12</v>
      </c>
      <c r="L76" s="29" t="n">
        <f>IF(ISNUMBER(BI76),BI76/90,"")</f>
        <v>0.3022381203851793</v>
      </c>
      <c r="M76" s="28" t="n">
        <v>0</v>
      </c>
      <c r="N76" s="28" t="n">
        <v>0</v>
      </c>
      <c r="O76" s="28" t="n">
        <v>6</v>
      </c>
      <c r="P76" s="30" t="n">
        <f>IF(AND(ISNUMBER(L76),L76&gt;0,COUNT(M76:O76)=3,MIN(M76:O76)&gt;=0),SUM(M76:O76)/L76,"")</f>
        <v>19.851896883005562</v>
      </c>
      <c r="Q76" s="16" t="str">
        <v>沿用原计划SKU店铺</v>
      </c>
      <c r="R76" s="16" t="str">
        <v>已匹配</v>
      </c>
      <c r="S76" s="16" t="str">
        <v>停售</v>
      </c>
      <c r="T76" s="16" t="str">
        <v>1S01</v>
      </c>
      <c r="U76" s="16" t="str">
        <v>豹纹</v>
      </c>
      <c r="V76" s="16" t="n">
        <v>7</v>
      </c>
      <c r="W76" s="8" t="str">
        <v>2026-10-11 至 2026-10-17</v>
      </c>
      <c r="X76" s="8" t="str">
        <v>2026-10-11、2026-10-12、2026-10-13、2026-10-14、2026-10-15、2026-10-16、2026-10-17</v>
      </c>
      <c r="Y76" s="8" t="str">
        <v>无</v>
      </c>
      <c r="Z76" s="8" t="n">
        <v>3</v>
      </c>
      <c r="AA76" s="8" t="n">
        <v>0</v>
      </c>
      <c r="AB76" s="8" t="n">
        <v>7</v>
      </c>
      <c r="AC76" s="8" t="str">
        <v>2026-10-02 至 2026-10-17</v>
      </c>
      <c r="AD76" s="8" t="str">
        <v>2026-10-02、2026-10-03、2026-10-04、2026-10-05、2026-10-08、2026-10-09、2026-10-10、2026-10-11、2026-10-12、2026-10-13、2026-10-14、2026-10-15、2026-10-16、2026-10-17</v>
      </c>
      <c r="AE76" s="8" t="str">
        <v>2026-10-06 大促；2026-10-07 大促</v>
      </c>
      <c r="AF76" s="8" t="n">
        <v>6</v>
      </c>
      <c r="AG76" s="8" t="n">
        <v>1</v>
      </c>
      <c r="AH76" s="8" t="n">
        <v>14</v>
      </c>
      <c r="AI76" s="8" t="str">
        <v>2026-09-16 至 2026-10-17</v>
      </c>
      <c r="AJ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" s="8" t="str">
        <v>2026-10-06 大促；2026-10-07 大促</v>
      </c>
      <c r="AL76" s="8" t="n">
        <v>13</v>
      </c>
      <c r="AM76" s="8" t="n">
        <v>1</v>
      </c>
      <c r="AN76" s="8" t="n">
        <v>30</v>
      </c>
      <c r="AO76" s="8" t="str">
        <v>1S01 / 豹纹羊京绒 / 6574</v>
      </c>
      <c r="AP76" s="11" t="n">
        <v>0.8729500662042875</v>
      </c>
      <c r="AQ76" s="11" t="n">
        <v>0.8729500662042875</v>
      </c>
      <c r="AR76" s="11" t="n">
        <v>1.0921363354767095</v>
      </c>
      <c r="AS76" s="11" t="n">
        <f>IF(AND(COUNT(I76:K76,AP76:AR76)=6,MIN(AP76:AR76)&gt;0),I76/7/AP76*0.5+J76/14/AQ76*0.3+K76/30/AR76*0.2,"")</f>
        <v>0.4414605012752406</v>
      </c>
      <c r="AT76" s="8" t="n">
        <v>23</v>
      </c>
      <c r="AU76" s="8" t="n">
        <v>1</v>
      </c>
      <c r="AV76" s="8" t="n">
        <v>88</v>
      </c>
      <c r="AW76" s="11" t="n">
        <f>IF(AND(COUNT(AT76:AV76)=3,AT76&gt;=AU76,AU76&gt;=0,AV76&gt;0),(AT76-AU76)/AV76,"")</f>
        <v>0.25</v>
      </c>
      <c r="AX76" s="8" t="n">
        <v>31</v>
      </c>
      <c r="AY76" s="8" t="n">
        <v>1</v>
      </c>
      <c r="AZ76" s="8" t="n">
        <v>178</v>
      </c>
      <c r="BA76" s="11" t="n">
        <f>IF(AND(COUNT(AX76:AZ76)=3,AX76&gt;=AY76,AY76&gt;=0,AZ76&gt;0),(AX76-AY76)/AZ76,"")</f>
        <v>0.16853932584269662</v>
      </c>
      <c r="BB76" s="8" t="n">
        <f>IF(COUNT(AS76,AW76,BA76)=3,1,0)</f>
        <v>1</v>
      </c>
      <c r="BC76" s="11" t="n">
        <f>IF(SUMIF($AO$11:$AO$1309,AO76,$BB$11:$BB$1309)=COUNTIF($AO$11:$AO$1309,AO76),SUMIF($AO$11:$AO$1309,AO76,$AS$11:$AS$1309),"")</f>
        <v>2.9367051066815764</v>
      </c>
      <c r="BD76" s="11" t="n">
        <f>IF(SUMIF($AO$11:$AO$1309,AO76,$BB$11:$BB$1309)=COUNTIF($AO$11:$AO$1309,AO76),SUMIF($AO$11:$AO$1309,AO76,$AW$11:$AW$1309),"")</f>
        <v>1.6598930481283423</v>
      </c>
      <c r="BE76" s="11" t="n">
        <f>IF(SUMIF($AO$11:$AO$1309,AO76,$BB$11:$BB$1309)=COUNTIF($AO$11:$AO$1309,AO76),SUMIF($AO$11:$AO$1309,AO76,$BA$11:$BA$1309),"")</f>
        <v>1.2818619582664526</v>
      </c>
      <c r="BF76" s="12" t="n">
        <f>IF(COUNT(BD76:BE76)&lt;&gt;2,"",IF(AND(BD76&gt;0,BE76&gt;0),0.7*AW76/BD76+0.3*BA76/BE76,IF(BD76&gt;0,AW76/BD76,IF(BE76&gt;0,BA76/BE76,IF(AND(ISNUMBER(BH76),BH76=0),0,"")))))</f>
        <v>0.1448725064287761</v>
      </c>
      <c r="BG76" s="11" t="n">
        <f>IF(AND(COUNT(BN76:BU76)=8,MIN(BN76:BU76)&gt;=0),SUMPRODUCT(BN76:BQ76,BR76:BU76),"")</f>
        <v>63.935996265425516</v>
      </c>
      <c r="BH76" s="11" t="n">
        <f>IF(COUNT(BC76,BG76)=2,BC76*BG76,"")</f>
        <v>187.7611667334493</v>
      </c>
      <c r="BI76" s="11" t="n">
        <f>IF(ISNUMBER(CI76),CI76,"")</f>
        <v>27.201430834666134</v>
      </c>
      <c r="BJ76" s="8" t="str"/>
      <c r="BK76" s="8" t="str">
        <v>90天：2026-07-20 至 2026-10-17；180天：2026-04-21 至 2026-10-17</v>
      </c>
      <c r="BL76" s="8" t="str">
        <v>90天：2026-10-06、2026-10-07；180天：2026-10-06、2026-10-07</v>
      </c>
      <c r="BM76" s="8" t="str">
        <v>2026-10：12天 × 0.8729500662042875；2026-11：30天 × 0.8057375774163482；2026-12：31天 × 0.532550303142279；2027-01：17天 × 0.7517299265337036</v>
      </c>
      <c r="BN76" s="11" t="n">
        <v>0.8729500662042875</v>
      </c>
      <c r="BO76" s="11" t="n">
        <v>0.8057375774163482</v>
      </c>
      <c r="BP76" s="11" t="n">
        <v>0.532550303142279</v>
      </c>
      <c r="BQ76" s="11" t="n">
        <v>0.7517299265337036</v>
      </c>
      <c r="BR76" s="8" t="n">
        <v>12</v>
      </c>
      <c r="BS76" s="8" t="n">
        <v>30</v>
      </c>
      <c r="BT76" s="8" t="n">
        <v>31</v>
      </c>
      <c r="BU76" s="8" t="n">
        <v>17</v>
      </c>
      <c r="BV76" s="11" t="n">
        <f>IF(COUNT(BC76,BF76)=2,BC76*BF76,"")</f>
        <v>0.4254478294471463</v>
      </c>
      <c r="BW76" s="11" t="n">
        <f>IF(ISNUMBER(BN76),BN76,"")</f>
        <v>0.8729500662042875</v>
      </c>
      <c r="BX76" s="14" t="n">
        <f>IF(ISNUMBER(BR76),BR76,"")</f>
        <v>12</v>
      </c>
      <c r="BY76" s="13" t="n">
        <f>IF(AND(COUNT(BV76,BW76,BX76)=3,MIN(BV76,BW76,BX76)&gt;=0),BV76*BW76*BX76,"")</f>
        <v>4.456736530588282</v>
      </c>
      <c r="BZ76" s="11" t="n">
        <f>IF(ISNUMBER(BO76),BO76,"")</f>
        <v>0.8057375774163482</v>
      </c>
      <c r="CA76" s="14" t="n">
        <f>IF(ISNUMBER(BS76),BS76,"")</f>
        <v>30</v>
      </c>
      <c r="CB76" s="13" t="n">
        <f>IF(AND(COUNT(BV76,BZ76,CA76)=3,MIN(BV76,BZ76,CA76)&gt;=0),BV76*BZ76*CA76,"")</f>
        <v>10.283979102473621</v>
      </c>
      <c r="CC76" s="11" t="n">
        <f>IF(ISNUMBER(BP76),BP76,"")</f>
        <v>0.532550303142279</v>
      </c>
      <c r="CD76" s="14" t="n">
        <f>IF(ISNUMBER(BT76),BT76,"")</f>
        <v>31</v>
      </c>
      <c r="CE76" s="13" t="n">
        <f>IF(AND(COUNT(BV76,CC76,CD76)=3,MIN(BV76,CC76,CD76)&gt;=0),BV76*CC76*CD76,"")</f>
        <v>7.023743486842374</v>
      </c>
      <c r="CF76" s="11" t="n">
        <f>IF(ISNUMBER(BQ76),BQ76,"")</f>
        <v>0.7517299265337036</v>
      </c>
      <c r="CG76" s="14" t="n">
        <f>IF(ISNUMBER(BU76),BU76,"")</f>
        <v>17</v>
      </c>
      <c r="CH76" s="13" t="n">
        <f>IF(AND(COUNT(BV76,CF76,CG76)=3,MIN(BV76,CF76,CG76)&gt;=0),BV76*CF76*CG76,"")</f>
        <v>5.436971714761858</v>
      </c>
      <c r="CI76" s="13" t="n">
        <f>IF(COUNT(BY76,CB76,CE76,CH76)=4,SUM(BY76,CB76,CE76,CH76),"")</f>
        <v>27.201430834666134</v>
      </c>
    </row>
    <row r="77" ht="72" customHeight="1">
      <c r="A77" s="16" t="str">
        <v>2302153-BG-P-Z-37.5</v>
      </c>
      <c r="B77" s="16" t="str">
        <v>3店-SANDIEX-US</v>
      </c>
      <c r="C77" s="16" t="str">
        <v>徐新怡</v>
      </c>
      <c r="D77" s="26" t="n">
        <f>IF(NOT(ISNUMBER(E77)),"",IF(OR(E77&lt;=0,L77=0),0,IF(OR(NOT(ISNUMBER(F77)),F77&lt;0),"",MIN(E77,INT(F77)))))</f>
        <v>20</v>
      </c>
      <c r="E77" s="27" t="n">
        <f>IF(OR(NOT(ISNUMBER(L77)),COUNT(M77:O77)&lt;&gt;3,MIN(M77:O77)&lt;0),"",ROUNDUP(ROUND(BI77-SUM(M77:O77),10),0))</f>
        <v>21</v>
      </c>
      <c r="F77" s="28" t="n">
        <v>20</v>
      </c>
      <c r="G77" s="28" t="n">
        <f>IF(AND(ISNUMBER(D77),ISNUMBER(E77)),IF(OR(E77&lt;=0,L77=0),0,E77-D77),"")</f>
        <v>1</v>
      </c>
      <c r="H77" s="16" t="str">
        <f>IF(NOT(ISNUMBER(E77)),"销量或海外库存待补",IF(OR(E77&lt;=0,L77=0),IF(L77=0,"零日销，本批不发","本批无需补货"),IF(NOT(ISNUMBER(D77)),"国内库存待补",IF(D77=0,"国内无可用库存",IF(G77&gt;0,"先发国内现货","按建议量发货")))))</f>
        <v>先发国内现货</v>
      </c>
      <c r="I77" s="28" t="n">
        <f>IF(AND(COUNT(Z77,AA77,AB77)=3,Z77&gt;=AA77,AA77&gt;=0,AB77=7),Z77-AA77,"")</f>
        <v>0</v>
      </c>
      <c r="J77" s="28" t="n">
        <f>IF(AND(COUNT(AF77,AG77,AH77)=3,AF77&gt;=AG77,AG77&gt;=0,AH77=14),AF77-AG77,"")</f>
        <v>0</v>
      </c>
      <c r="K77" s="28" t="n">
        <f>IF(AND(COUNT(AL77,AM77,AN77)=3,AL77&gt;=AM77,AM77&gt;=0,AN77=30),AL77-AM77,"")</f>
        <v>6</v>
      </c>
      <c r="L77" s="29" t="n">
        <f>IF(ISNUMBER(BI77),BI77/90,"")</f>
        <v>0.25123104796225504</v>
      </c>
      <c r="M77" s="28" t="n">
        <v>2</v>
      </c>
      <c r="N77" s="28" t="n">
        <v>0</v>
      </c>
      <c r="O77" s="28" t="n">
        <v>0</v>
      </c>
      <c r="P77" s="30" t="n">
        <f>IF(AND(ISNUMBER(L77),L77&gt;0,COUNT(M77:O77)=3,MIN(M77:O77)&gt;=0),SUM(M77:O77)/L77,"")</f>
        <v>7.960799496010064</v>
      </c>
      <c r="Q77" s="16" t="str">
        <v>沿用原计划SKU店铺</v>
      </c>
      <c r="R77" s="16" t="str">
        <v>已匹配</v>
      </c>
      <c r="S77" s="16" t="str">
        <v>在售</v>
      </c>
      <c r="T77" s="16" t="str">
        <v>2302153</v>
      </c>
      <c r="U77" s="16" t="str">
        <v>米白</v>
      </c>
      <c r="V77" s="16" t="n">
        <v>6.5</v>
      </c>
      <c r="W77" s="8" t="str">
        <v>2026-10-09 至 2026-10-17</v>
      </c>
      <c r="X77" s="8" t="str">
        <v>2026-10-09、2026-10-10、2026-10-11、2026-10-14、2026-10-15、2026-10-16、2026-10-17</v>
      </c>
      <c r="Y77" s="8" t="str">
        <v>2026-10-12 有记录的停售日；2026-10-13 有记录的停售日</v>
      </c>
      <c r="Z77" s="8" t="n">
        <v>0</v>
      </c>
      <c r="AA77" s="8" t="n">
        <v>0</v>
      </c>
      <c r="AB77" s="8" t="n">
        <v>7</v>
      </c>
      <c r="AC77" s="8" t="str">
        <v>2026-09-30 至 2026-10-17</v>
      </c>
      <c r="AD77" s="8" t="str">
        <v>2026-09-30、2026-10-01、2026-10-02、2026-10-03、2026-10-04、2026-10-05、2026-10-08、2026-10-09、2026-10-10、2026-10-11、2026-10-14、2026-10-15、2026-10-16、2026-10-17</v>
      </c>
      <c r="AE77" s="8" t="str">
        <v>2026-10-06 大促；2026-10-07 大促；2026-10-12 有记录的停售日；2026-10-13 有记录的停售日</v>
      </c>
      <c r="AF77" s="8" t="n">
        <v>0</v>
      </c>
      <c r="AG77" s="8" t="n">
        <v>0</v>
      </c>
      <c r="AH77" s="8" t="n">
        <v>14</v>
      </c>
      <c r="AI77" s="8" t="str">
        <v>2026-09-14 至 2026-10-17</v>
      </c>
      <c r="AJ77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77" s="8" t="str">
        <v>2026-10-06 大促；2026-10-07 大促；2026-10-12 有记录的停售日；2026-10-13 有记录的停售日</v>
      </c>
      <c r="AL77" s="8" t="n">
        <v>6</v>
      </c>
      <c r="AM77" s="8" t="n">
        <v>0</v>
      </c>
      <c r="AN77" s="8" t="n">
        <v>30</v>
      </c>
      <c r="AO77" s="8" t="str">
        <v>2302153 / 米白PU / 6574</v>
      </c>
      <c r="AP77" s="11" t="n">
        <v>1.7391279184229513</v>
      </c>
      <c r="AQ77" s="11" t="n">
        <v>1.7154224000327756</v>
      </c>
      <c r="AR77" s="11" t="n">
        <v>1.551064139194224</v>
      </c>
      <c r="AS77" s="11" t="n">
        <f>IF(AND(COUNT(I77:K77,AP77:AR77)=6,MIN(AP77:AR77)&gt;0),I77/7/AP77*0.5+J77/14/AQ77*0.3+K77/30/AR77*0.2,"")</f>
        <v>0.025788746570325555</v>
      </c>
      <c r="AT77" s="8" t="n">
        <v>23</v>
      </c>
      <c r="AU77" s="8" t="n">
        <v>0</v>
      </c>
      <c r="AV77" s="8" t="n">
        <v>86</v>
      </c>
      <c r="AW77" s="11" t="n">
        <f>IF(AND(COUNT(AT77:AV77)=3,AT77&gt;=AU77,AU77&gt;=0,AV77&gt;0),(AT77-AU77)/AV77,"")</f>
        <v>0.26744186046511625</v>
      </c>
      <c r="AX77" s="8" t="n">
        <v>24</v>
      </c>
      <c r="AY77" s="8" t="n">
        <v>0</v>
      </c>
      <c r="AZ77" s="8" t="n">
        <v>176</v>
      </c>
      <c r="BA77" s="11" t="n">
        <f>IF(AND(COUNT(AX77:AZ77)=3,AX77&gt;=AY77,AY77&gt;=0,AZ77&gt;0),(AX77-AY77)/AZ77,"")</f>
        <v>0.13636363636363635</v>
      </c>
      <c r="BB77" s="8" t="n">
        <f>IF(COUNT(AS77,AW77,BA77)=3,1,0)</f>
        <v>1</v>
      </c>
      <c r="BC77" s="11" t="n">
        <f>IF(SUMIF($AO$11:$AO$1309,AO77,$BB$11:$BB$1309)=COUNTIF($AO$11:$AO$1309,AO77),SUMIF($AO$11:$AO$1309,AO77,$AS$11:$AS$1309),"")</f>
        <v>2.0955365955321814</v>
      </c>
      <c r="BD77" s="11" t="n">
        <f>IF(SUMIF($AO$11:$AO$1309,AO77,$BB$11:$BB$1309)=COUNTIF($AO$11:$AO$1309,AO77),SUMIF($AO$11:$AO$1309,AO77,$AW$11:$AW$1309),"")</f>
        <v>2.736485747612452</v>
      </c>
      <c r="BE77" s="11" t="n">
        <f>IF(SUMIF($AO$11:$AO$1309,AO77,$BB$11:$BB$1309)=COUNTIF($AO$11:$AO$1309,AO77),SUMIF($AO$11:$AO$1309,AO77,$BA$11:$BA$1309),"")</f>
        <v>1.3562265196239676</v>
      </c>
      <c r="BF77" s="12" t="n">
        <f>IF(COUNT(BD77:BE77)&lt;&gt;2,"",IF(AND(BD77&gt;0,BE77&gt;0),0.7*AW77/BD77+0.3*BA77/BE77,IF(BD77&gt;0,AW77/BD77,IF(BE77&gt;0,BA77/BE77,IF(AND(ISNUMBER(BH77),BH77=0),0,"")))))</f>
        <v>0.09857621395050348</v>
      </c>
      <c r="BG77" s="11" t="n">
        <f>IF(AND(COUNT(BN77:BU77)=8,MIN(BN77:BU77)&gt;=0),SUMPRODUCT(BN77:BQ77,BR77:BU77),"")</f>
        <v>109.4582336985339</v>
      </c>
      <c r="BH77" s="11" t="n">
        <f>IF(COUNT(BC77,BG77)=2,BC77*BG77,"")</f>
        <v>229.37373439759162</v>
      </c>
      <c r="BI77" s="11" t="n">
        <f>IF(ISNUMBER(CI77),CI77,"")</f>
        <v>22.610794316602952</v>
      </c>
      <c r="BJ77" s="8" t="str"/>
      <c r="BK77" s="8" t="str">
        <v>90天：2026-07-20 至 2026-10-17；180天：2026-04-21 至 2026-10-17</v>
      </c>
      <c r="BL77" s="8" t="str">
        <v>90天：2026-10-06、2026-10-07、2026-10-12、2026-10-13；180天：2026-10-06、2026-10-07、2026-10-12、2026-10-13</v>
      </c>
      <c r="BM77" s="8" t="str">
        <v>2026-10：12天 × 1.7391279184229513；2026-11：30天 × 1.4002077845513243；2026-12：31天 × 1.079339935625147；2027-01：17天 × 0.7719368903846591</v>
      </c>
      <c r="BN77" s="11" t="n">
        <v>1.7391279184229513</v>
      </c>
      <c r="BO77" s="11" t="n">
        <v>1.4002077845513243</v>
      </c>
      <c r="BP77" s="11" t="n">
        <v>1.079339935625147</v>
      </c>
      <c r="BQ77" s="11" t="n">
        <v>0.7719368903846591</v>
      </c>
      <c r="BR77" s="8" t="n">
        <v>12</v>
      </c>
      <c r="BS77" s="8" t="n">
        <v>30</v>
      </c>
      <c r="BT77" s="8" t="n">
        <v>31</v>
      </c>
      <c r="BU77" s="8" t="n">
        <v>17</v>
      </c>
      <c r="BV77" s="11" t="n">
        <f>IF(COUNT(BC77,BF77)=2,BC77*BF77,"")</f>
        <v>0.20657006378228998</v>
      </c>
      <c r="BW77" s="11" t="n">
        <f>IF(ISNUMBER(BN77),BN77,"")</f>
        <v>1.7391279184229513</v>
      </c>
      <c r="BX77" s="14" t="n">
        <f>IF(ISNUMBER(BR77),BR77,"")</f>
        <v>12</v>
      </c>
      <c r="BY77" s="13" t="n">
        <f>IF(AND(COUNT(BV77,BW77,BX77)=3,MIN(BV77,BW77,BX77)&gt;=0),BV77*BW77*BX77,"")</f>
        <v>4.311021180410283</v>
      </c>
      <c r="BZ77" s="11" t="n">
        <f>IF(ISNUMBER(BO77),BO77,"")</f>
        <v>1.4002077845513243</v>
      </c>
      <c r="CA77" s="14" t="n">
        <f>IF(ISNUMBER(BS77),BS77,"")</f>
        <v>30</v>
      </c>
      <c r="CB77" s="13" t="n">
        <f>IF(AND(COUNT(BV77,BZ77,CA77)=3,MIN(BV77,BZ77,CA77)&gt;=0),BV77*BZ77*CA77,"")</f>
        <v>8.67723034089678</v>
      </c>
      <c r="CC77" s="11" t="n">
        <f>IF(ISNUMBER(BP77),BP77,"")</f>
        <v>1.079339935625147</v>
      </c>
      <c r="CD77" s="14" t="n">
        <f>IF(ISNUMBER(BT77),BT77,"")</f>
        <v>31</v>
      </c>
      <c r="CE77" s="13" t="n">
        <f>IF(AND(COUNT(BV77,CC77,CD77)=3,MIN(BV77,CC77,CD77)&gt;=0),BV77*CC77*CD77,"")</f>
        <v>6.911738899690641</v>
      </c>
      <c r="CF77" s="11" t="n">
        <f>IF(ISNUMBER(BQ77),BQ77,"")</f>
        <v>0.7719368903846591</v>
      </c>
      <c r="CG77" s="14" t="n">
        <f>IF(ISNUMBER(BU77),BU77,"")</f>
        <v>17</v>
      </c>
      <c r="CH77" s="13" t="n">
        <f>IF(AND(COUNT(BV77,CF77,CG77)=3,MIN(BV77,CF77,CG77)&gt;=0),BV77*CF77*CG77,"")</f>
        <v>2.7108038956052476</v>
      </c>
      <c r="CI77" s="13" t="n">
        <f>IF(COUNT(BY77,CB77,CE77,CH77)=4,SUM(BY77,CB77,CE77,CH77),"")</f>
        <v>22.610794316602952</v>
      </c>
    </row>
    <row r="78" ht="72" customHeight="1">
      <c r="A78" s="16" t="str">
        <v>1S01-BLK-41</v>
      </c>
      <c r="B78" s="16" t="str">
        <v>3店-SANDIEX-US</v>
      </c>
      <c r="C78" s="16" t="str">
        <v>徐新怡</v>
      </c>
      <c r="D78" s="26" t="n">
        <f>IF(NOT(ISNUMBER(E78)),"",IF(OR(E78&lt;=0,L78=0),0,IF(OR(NOT(ISNUMBER(F78)),F78&lt;0),"",MIN(E78,INT(F78)))))</f>
        <v>20</v>
      </c>
      <c r="E78" s="27" t="n">
        <f>IF(OR(NOT(ISNUMBER(L78)),COUNT(M78:O78)&lt;&gt;3,MIN(M78:O78)&lt;0),"",ROUNDUP(ROUND(BI78-SUM(M78:O78),10),0))</f>
        <v>20</v>
      </c>
      <c r="F78" s="28" t="n">
        <v>43</v>
      </c>
      <c r="G78" s="28" t="n">
        <f>IF(AND(ISNUMBER(D78),ISNUMBER(E78)),IF(OR(E78&lt;=0,L78=0),0,E78-D78),"")</f>
        <v>0</v>
      </c>
      <c r="H78" s="16" t="str">
        <f>IF(NOT(ISNUMBER(E78)),"销量或海外库存待补",IF(OR(E78&lt;=0,L78=0),IF(L78=0,"零日销，本批不发","本批无需补货"),IF(NOT(ISNUMBER(D78)),"国内库存待补",IF(D78=0,"国内无可用库存",IF(G78&gt;0,"先发国内现货","按建议量发货")))))</f>
        <v>按建议量发货</v>
      </c>
      <c r="I78" s="28" t="n">
        <f>IF(AND(COUNT(Z78,AA78,AB78)=3,Z78&gt;=AA78,AA78&gt;=0,AB78=7),Z78-AA78,"")</f>
        <v>7</v>
      </c>
      <c r="J78" s="28" t="n">
        <f>IF(AND(COUNT(AF78,AG78,AH78)=3,AF78&gt;=AG78,AG78&gt;=0,AH78=14),AF78-AG78,"")</f>
        <v>15</v>
      </c>
      <c r="K78" s="28" t="n">
        <f>IF(AND(COUNT(AL78,AM78,AN78)=3,AL78&gt;=AM78,AM78&gt;=0,AN78=30),AL78-AM78,"")</f>
        <v>35</v>
      </c>
      <c r="L78" s="29" t="n">
        <f>IF(ISNUMBER(BI78),BI78/90,"")</f>
        <v>0.6204162538750848</v>
      </c>
      <c r="M78" s="28" t="n">
        <v>17</v>
      </c>
      <c r="N78" s="28" t="n">
        <v>0</v>
      </c>
      <c r="O78" s="28" t="n">
        <v>19</v>
      </c>
      <c r="P78" s="30" t="n">
        <f>IF(AND(ISNUMBER(L78),L78&gt;0,COUNT(M78:O78)=3,MIN(M78:O78)&gt;=0),SUM(M78:O78)/L78,"")</f>
        <v>58.02555909060415</v>
      </c>
      <c r="Q78" s="16" t="str">
        <v>沿用原计划SKU店铺</v>
      </c>
      <c r="R78" s="16" t="str">
        <v>已匹配</v>
      </c>
      <c r="S78" s="16" t="str">
        <v>在售</v>
      </c>
      <c r="T78" s="16" t="str">
        <v>1S01</v>
      </c>
      <c r="U78" s="16" t="str">
        <v>黑色</v>
      </c>
      <c r="V78" s="16" t="n">
        <v>10</v>
      </c>
      <c r="W78" s="8" t="str">
        <v>2026-10-11 至 2026-10-17</v>
      </c>
      <c r="X78" s="8" t="str">
        <v>2026-10-11、2026-10-12、2026-10-13、2026-10-14、2026-10-15、2026-10-16、2026-10-17</v>
      </c>
      <c r="Y78" s="8" t="str">
        <v>无</v>
      </c>
      <c r="Z78" s="8" t="n">
        <v>7</v>
      </c>
      <c r="AA78" s="8" t="n">
        <v>0</v>
      </c>
      <c r="AB78" s="8" t="n">
        <v>7</v>
      </c>
      <c r="AC78" s="8" t="str">
        <v>2026-10-02 至 2026-10-17</v>
      </c>
      <c r="AD78" s="8" t="str">
        <v>2026-10-02、2026-10-03、2026-10-04、2026-10-05、2026-10-08、2026-10-09、2026-10-10、2026-10-11、2026-10-12、2026-10-13、2026-10-14、2026-10-15、2026-10-16、2026-10-17</v>
      </c>
      <c r="AE78" s="8" t="str">
        <v>2026-10-06 大促；2026-10-07 大促</v>
      </c>
      <c r="AF78" s="8" t="n">
        <v>22</v>
      </c>
      <c r="AG78" s="8" t="n">
        <v>7</v>
      </c>
      <c r="AH78" s="8" t="n">
        <v>14</v>
      </c>
      <c r="AI78" s="8" t="str">
        <v>2026-09-16 至 2026-10-17</v>
      </c>
      <c r="AJ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" s="8" t="str">
        <v>2026-10-06 大促；2026-10-07 大促</v>
      </c>
      <c r="AL78" s="8" t="n">
        <v>42</v>
      </c>
      <c r="AM78" s="8" t="n">
        <v>7</v>
      </c>
      <c r="AN78" s="8" t="n">
        <v>30</v>
      </c>
      <c r="AO78" s="8" t="str">
        <v>1S01 / 黑色羊京绒 / 6574</v>
      </c>
      <c r="AP78" s="11" t="n">
        <v>0.8729500662042875</v>
      </c>
      <c r="AQ78" s="11" t="n">
        <v>0.8729500662042875</v>
      </c>
      <c r="AR78" s="11" t="n">
        <v>1.0921363354767095</v>
      </c>
      <c r="AS78" s="11" t="n">
        <f>IF(AND(COUNT(I78:K78,AP78:AR78)=6,MIN(AP78:AR78)&gt;0),I78/7/AP78*0.5+J78/14/AQ78*0.3+K78/30/AR78*0.2,"")</f>
        <v>1.1546285605670903</v>
      </c>
      <c r="AT78" s="8" t="n">
        <v>81</v>
      </c>
      <c r="AU78" s="8" t="n">
        <v>7</v>
      </c>
      <c r="AV78" s="8" t="n">
        <v>88</v>
      </c>
      <c r="AW78" s="11" t="n">
        <f>IF(AND(COUNT(AT78:AV78)=3,AT78&gt;=AU78,AU78&gt;=0,AV78&gt;0),(AT78-AU78)/AV78,"")</f>
        <v>0.8409090909090909</v>
      </c>
      <c r="AX78" s="8" t="n">
        <v>108</v>
      </c>
      <c r="AY78" s="8" t="n">
        <v>7</v>
      </c>
      <c r="AZ78" s="8" t="n">
        <v>178</v>
      </c>
      <c r="BA78" s="11" t="n">
        <f>IF(AND(COUNT(AX78:AZ78)=3,AX78&gt;=AY78,AY78&gt;=0,AZ78&gt;0),(AX78-AY78)/AZ78,"")</f>
        <v>0.5674157303370787</v>
      </c>
      <c r="BB78" s="8" t="n">
        <f>IF(COUNT(AS78,AW78,BA78)=3,1,0)</f>
        <v>1</v>
      </c>
      <c r="BC78" s="11" t="n">
        <f>IF(SUMIF($AO$11:$AO$1309,AO78,$BB$11:$BB$1309)=COUNTIF($AO$11:$AO$1309,AO78),SUMIF($AO$11:$AO$1309,AO78,$AS$11:$AS$1309),"")</f>
        <v>6.231458447413107</v>
      </c>
      <c r="BD78" s="11" t="n">
        <f>IF(SUMIF($AO$11:$AO$1309,AO78,$BB$11:$BB$1309)=COUNTIF($AO$11:$AO$1309,AO78),SUMIF($AO$11:$AO$1309,AO78,$AW$11:$AW$1309),"")</f>
        <v>5.866248693834901</v>
      </c>
      <c r="BE78" s="11" t="n">
        <f>IF(SUMIF($AO$11:$AO$1309,AO78,$BB$11:$BB$1309)=COUNTIF($AO$11:$AO$1309,AO78),SUMIF($AO$11:$AO$1309,AO78,$BA$11:$BA$1309),"")</f>
        <v>4.27632831841554</v>
      </c>
      <c r="BF78" s="12" t="n">
        <f>IF(COUNT(BD78:BE78)&lt;&gt;2,"",IF(AND(BD78&gt;0,BE78&gt;0),0.7*AW78/BD78+0.3*BA78/BE78,IF(BD78&gt;0,AW78/BD78,IF(BE78&gt;0,BA78/BE78,IF(AND(ISNUMBER(BH78),BH78=0),0,"")))))</f>
        <v>0.14014917199319668</v>
      </c>
      <c r="BG78" s="11" t="n">
        <f>IF(AND(COUNT(BN78:BU78)=8,MIN(BN78:BU78)&gt;=0),SUMPRODUCT(BN78:BQ78,BR78:BU78),"")</f>
        <v>63.935996265425516</v>
      </c>
      <c r="BH78" s="11" t="n">
        <f>IF(COUNT(BC78,BG78)=2,BC78*BG78,"")</f>
        <v>398.4145040219587</v>
      </c>
      <c r="BI78" s="11" t="n">
        <f>IF(ISNUMBER(CI78),CI78,"")</f>
        <v>55.83746284875763</v>
      </c>
      <c r="BJ78" s="8" t="str"/>
      <c r="BK78" s="8" t="str">
        <v>90天：2026-07-20 至 2026-10-17；180天：2026-04-21 至 2026-10-17</v>
      </c>
      <c r="BL78" s="8" t="str">
        <v>90天：2026-10-06、2026-10-07；180天：2026-10-06、2026-10-07</v>
      </c>
      <c r="BM78" s="8" t="str">
        <v>2026-10：12天 × 0.8729500662042875；2026-11：30天 × 0.8057375774163482；2026-12：31天 × 0.532550303142279；2027-01：17天 × 0.7517299265337036</v>
      </c>
      <c r="BN78" s="11" t="n">
        <v>0.8729500662042875</v>
      </c>
      <c r="BO78" s="11" t="n">
        <v>0.8057375774163482</v>
      </c>
      <c r="BP78" s="11" t="n">
        <v>0.532550303142279</v>
      </c>
      <c r="BQ78" s="11" t="n">
        <v>0.7517299265337036</v>
      </c>
      <c r="BR78" s="8" t="n">
        <v>12</v>
      </c>
      <c r="BS78" s="8" t="n">
        <v>30</v>
      </c>
      <c r="BT78" s="8" t="n">
        <v>31</v>
      </c>
      <c r="BU78" s="8" t="n">
        <v>17</v>
      </c>
      <c r="BV78" s="11" t="n">
        <f>IF(COUNT(BC78,BF78)=2,BC78*BF78,"")</f>
        <v>0.8733337417149579</v>
      </c>
      <c r="BW78" s="11" t="n">
        <f>IF(ISNUMBER(BN78),BN78,"")</f>
        <v>0.8729500662042875</v>
      </c>
      <c r="BX78" s="14" t="n">
        <f>IF(ISNUMBER(BR78),BR78,"")</f>
        <v>12</v>
      </c>
      <c r="BY78" s="13" t="n">
        <f>IF(AND(COUNT(BV78,BW78,BX78)=3,MIN(BV78,BW78,BX78)&gt;=0),BV78*BW78*BX78,"")</f>
        <v>9.148520971782126</v>
      </c>
      <c r="BZ78" s="11" t="n">
        <f>IF(ISNUMBER(BO78),BO78,"")</f>
        <v>0.8057375774163482</v>
      </c>
      <c r="CA78" s="14" t="n">
        <f>IF(ISNUMBER(BS78),BS78,"")</f>
        <v>30</v>
      </c>
      <c r="CB78" s="13" t="n">
        <f>IF(AND(COUNT(BV78,BZ78,CA78)=3,MIN(BV78,BZ78,CA78)&gt;=0),BV78*BZ78*CA78,"")</f>
        <v>21.110334399760948</v>
      </c>
      <c r="CC78" s="11" t="n">
        <f>IF(ISNUMBER(BP78),BP78,"")</f>
        <v>0.532550303142279</v>
      </c>
      <c r="CD78" s="14" t="n">
        <f>IF(ISNUMBER(BT78),BT78,"")</f>
        <v>31</v>
      </c>
      <c r="CE78" s="13" t="n">
        <f>IF(AND(COUNT(BV78,CC78,CD78)=3,MIN(BV78,CC78,CD78)&gt;=0),BV78*CC78*CD78,"")</f>
        <v>14.41791861573513</v>
      </c>
      <c r="CF78" s="11" t="n">
        <f>IF(ISNUMBER(BQ78),BQ78,"")</f>
        <v>0.7517299265337036</v>
      </c>
      <c r="CG78" s="14" t="n">
        <f>IF(ISNUMBER(BU78),BU78,"")</f>
        <v>17</v>
      </c>
      <c r="CH78" s="13" t="n">
        <f>IF(AND(COUNT(BV78,CF78,CG78)=3,MIN(BV78,CF78,CG78)&gt;=0),BV78*CF78*CG78,"")</f>
        <v>11.160688861479427</v>
      </c>
      <c r="CI78" s="13" t="n">
        <f>IF(COUNT(BY78,CB78,CE78,CH78)=4,SUM(BY78,CB78,CE78,CH78),"")</f>
        <v>55.83746284875763</v>
      </c>
    </row>
    <row r="79" ht="72" customHeight="1">
      <c r="A79" s="16" t="str">
        <v>2302153-BG-P-Z-40.5</v>
      </c>
      <c r="B79" s="16" t="str">
        <v>3店-SANDIEX-US</v>
      </c>
      <c r="C79" s="16" t="str">
        <v>徐新怡</v>
      </c>
      <c r="D79" s="26" t="n">
        <f>IF(NOT(ISNUMBER(E79)),"",IF(OR(E79&lt;=0,L79=0),0,IF(OR(NOT(ISNUMBER(F79)),F79&lt;0),"",MIN(E79,INT(F79)))))</f>
        <v>20</v>
      </c>
      <c r="E79" s="27" t="n">
        <f>IF(OR(NOT(ISNUMBER(L79)),COUNT(M79:O79)&lt;&gt;3,MIN(M79:O79)&lt;0),"",ROUNDUP(ROUND(BI79-SUM(M79:O79),10),0))</f>
        <v>20</v>
      </c>
      <c r="F79" s="28" t="n">
        <v>22</v>
      </c>
      <c r="G79" s="28" t="n">
        <f>IF(AND(ISNUMBER(D79),ISNUMBER(E79)),IF(OR(E79&lt;=0,L79=0),0,E79-D79),"")</f>
        <v>0</v>
      </c>
      <c r="H79" s="16" t="str">
        <f>IF(NOT(ISNUMBER(E79)),"销量或海外库存待补",IF(OR(E79&lt;=0,L79=0),IF(L79=0,"零日销，本批不发","本批无需补货"),IF(NOT(ISNUMBER(D79)),"国内库存待补",IF(D79=0,"国内无可用库存",IF(G79&gt;0,"先发国内现货","按建议量发货")))))</f>
        <v>按建议量发货</v>
      </c>
      <c r="I79" s="28" t="n">
        <f>IF(AND(COUNT(Z79,AA79,AB79)=3,Z79&gt;=AA79,AA79&gt;=0,AB79=7),Z79-AA79,"")</f>
        <v>6</v>
      </c>
      <c r="J79" s="28" t="n">
        <f>IF(AND(COUNT(AF79,AG79,AH79)=3,AF79&gt;=AG79,AG79&gt;=0,AH79=14),AF79-AG79,"")</f>
        <v>13</v>
      </c>
      <c r="K79" s="28" t="n">
        <f>IF(AND(COUNT(AL79,AM79,AN79)=3,AL79&gt;=AM79,AM79&gt;=0,AN79=30),AL79-AM79,"")</f>
        <v>22</v>
      </c>
      <c r="L79" s="29" t="n">
        <f>IF(ISNUMBER(BI79),BI79/90,"")</f>
        <v>0.3278418376812858</v>
      </c>
      <c r="M79" s="28" t="n">
        <v>9</v>
      </c>
      <c r="N79" s="28" t="n">
        <v>0</v>
      </c>
      <c r="O79" s="28" t="n">
        <v>1</v>
      </c>
      <c r="P79" s="30" t="n">
        <f>IF(AND(ISNUMBER(L79),L79&gt;0,COUNT(M79:O79)=3,MIN(M79:O79)&gt;=0),SUM(M79:O79)/L79,"")</f>
        <v>30.502513256778364</v>
      </c>
      <c r="Q79" s="16" t="str">
        <v>沿用原计划SKU店铺</v>
      </c>
      <c r="R79" s="16" t="str">
        <v>已匹配</v>
      </c>
      <c r="S79" s="16" t="str">
        <v>在售</v>
      </c>
      <c r="T79" s="16" t="str">
        <v>2302153</v>
      </c>
      <c r="U79" s="16" t="str">
        <v>米白</v>
      </c>
      <c r="V79" s="16" t="n">
        <v>9.5</v>
      </c>
      <c r="W79" s="8" t="str">
        <v>2026-10-11 至 2026-10-17</v>
      </c>
      <c r="X79" s="8" t="str">
        <v>2026-10-11、2026-10-12、2026-10-13、2026-10-14、2026-10-15、2026-10-16、2026-10-17</v>
      </c>
      <c r="Y79" s="8" t="str">
        <v>无</v>
      </c>
      <c r="Z79" s="8" t="n">
        <v>6</v>
      </c>
      <c r="AA79" s="8" t="n">
        <v>0</v>
      </c>
      <c r="AB79" s="8" t="n">
        <v>7</v>
      </c>
      <c r="AC79" s="8" t="str">
        <v>2026-10-02 至 2026-10-17</v>
      </c>
      <c r="AD79" s="8" t="str">
        <v>2026-10-02、2026-10-03、2026-10-04、2026-10-05、2026-10-08、2026-10-09、2026-10-10、2026-10-11、2026-10-12、2026-10-13、2026-10-14、2026-10-15、2026-10-16、2026-10-17</v>
      </c>
      <c r="AE79" s="8" t="str">
        <v>2026-10-06 大促；2026-10-07 大促</v>
      </c>
      <c r="AF79" s="8" t="n">
        <v>14</v>
      </c>
      <c r="AG79" s="8" t="n">
        <v>1</v>
      </c>
      <c r="AH79" s="8" t="n">
        <v>14</v>
      </c>
      <c r="AI79" s="8" t="str">
        <v>2026-09-16 至 2026-10-17</v>
      </c>
      <c r="AJ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9" s="8" t="str">
        <v>2026-10-06 大促；2026-10-07 大促</v>
      </c>
      <c r="AL79" s="8" t="n">
        <v>23</v>
      </c>
      <c r="AM79" s="8" t="n">
        <v>1</v>
      </c>
      <c r="AN79" s="8" t="n">
        <v>30</v>
      </c>
      <c r="AO79" s="8" t="str">
        <v>2302153 / 米白PU / 6574</v>
      </c>
      <c r="AP79" s="11" t="n">
        <v>1.7391279184229513</v>
      </c>
      <c r="AQ79" s="11" t="n">
        <v>1.7391279184229513</v>
      </c>
      <c r="AR79" s="11" t="n">
        <v>1.5731892896917212</v>
      </c>
      <c r="AS79" s="11" t="n">
        <f>IF(AND(COUNT(I79:K79,AP79:AR79)=6,MIN(AP79:AR79)&gt;0),I79/7/AP79*0.5+J79/14/AQ79*0.3+K79/30/AR79*0.2,"")</f>
        <v>0.4998366055619292</v>
      </c>
      <c r="AT79" s="8" t="n">
        <v>32</v>
      </c>
      <c r="AU79" s="8" t="n">
        <v>1</v>
      </c>
      <c r="AV79" s="8" t="n">
        <v>88</v>
      </c>
      <c r="AW79" s="11" t="n">
        <f>IF(AND(COUNT(AT79:AV79)=3,AT79&gt;=AU79,AU79&gt;=0,AV79&gt;0),(AT79-AU79)/AV79,"")</f>
        <v>0.3522727272727273</v>
      </c>
      <c r="AX79" s="8" t="n">
        <v>32</v>
      </c>
      <c r="AY79" s="8" t="n">
        <v>1</v>
      </c>
      <c r="AZ79" s="8" t="n">
        <v>178</v>
      </c>
      <c r="BA79" s="11" t="n">
        <f>IF(AND(COUNT(AX79:AZ79)=3,AX79&gt;=AY79,AY79&gt;=0,AZ79&gt;0),(AX79-AY79)/AZ79,"")</f>
        <v>0.17415730337078653</v>
      </c>
      <c r="BB79" s="8" t="n">
        <f>IF(COUNT(AS79,AW79,BA79)=3,1,0)</f>
        <v>1</v>
      </c>
      <c r="BC79" s="11" t="n">
        <f>IF(SUMIF($AO$11:$AO$1309,AO79,$BB$11:$BB$1309)=COUNTIF($AO$11:$AO$1309,AO79),SUMIF($AO$11:$AO$1309,AO79,$AS$11:$AS$1309),"")</f>
        <v>2.0955365955321814</v>
      </c>
      <c r="BD79" s="11" t="n">
        <f>IF(SUMIF($AO$11:$AO$1309,AO79,$BB$11:$BB$1309)=COUNTIF($AO$11:$AO$1309,AO79),SUMIF($AO$11:$AO$1309,AO79,$AW$11:$AW$1309),"")</f>
        <v>2.736485747612452</v>
      </c>
      <c r="BE79" s="11" t="n">
        <f>IF(SUMIF($AO$11:$AO$1309,AO79,$BB$11:$BB$1309)=COUNTIF($AO$11:$AO$1309,AO79),SUMIF($AO$11:$AO$1309,AO79,$BA$11:$BA$1309),"")</f>
        <v>1.3562265196239676</v>
      </c>
      <c r="BF79" s="12" t="n">
        <f>IF(COUNT(BD79:BE79)&lt;&gt;2,"",IF(AND(BD79&gt;0,BE79&gt;0),0.7*AW79/BD79+0.3*BA79/BE79,IF(BD79&gt;0,AW79/BD79,IF(BE79&gt;0,BA79/BE79,IF(AND(ISNUMBER(BH79),BH79=0),0,"")))))</f>
        <v>0.128636199209152</v>
      </c>
      <c r="BG79" s="11" t="n">
        <f>IF(AND(COUNT(BN79:BU79)=8,MIN(BN79:BU79)&gt;=0),SUMPRODUCT(BN79:BQ79,BR79:BU79),"")</f>
        <v>109.4582336985339</v>
      </c>
      <c r="BH79" s="11" t="n">
        <f>IF(COUNT(BC79,BG79)=2,BC79*BG79,"")</f>
        <v>229.37373439759162</v>
      </c>
      <c r="BI79" s="11" t="n">
        <f>IF(ISNUMBER(CI79),CI79,"")</f>
        <v>29.50576539131572</v>
      </c>
      <c r="BJ79" s="8" t="str"/>
      <c r="BK79" s="8" t="str">
        <v>90天：2026-07-20 至 2026-10-17；180天：2026-04-21 至 2026-10-17</v>
      </c>
      <c r="BL79" s="8" t="str">
        <v>90天：2026-10-06、2026-10-07；180天：2026-10-06、2026-10-07</v>
      </c>
      <c r="BM79" s="8" t="str">
        <v>2026-10：12天 × 1.7391279184229513；2026-11：30天 × 1.4002077845513243；2026-12：31天 × 1.079339935625147；2027-01：17天 × 0.7719368903846591</v>
      </c>
      <c r="BN79" s="11" t="n">
        <v>1.7391279184229513</v>
      </c>
      <c r="BO79" s="11" t="n">
        <v>1.4002077845513243</v>
      </c>
      <c r="BP79" s="11" t="n">
        <v>1.079339935625147</v>
      </c>
      <c r="BQ79" s="11" t="n">
        <v>0.7719368903846591</v>
      </c>
      <c r="BR79" s="8" t="n">
        <v>12</v>
      </c>
      <c r="BS79" s="8" t="n">
        <v>30</v>
      </c>
      <c r="BT79" s="8" t="n">
        <v>31</v>
      </c>
      <c r="BU79" s="8" t="n">
        <v>17</v>
      </c>
      <c r="BV79" s="11" t="n">
        <f>IF(COUNT(BC79,BF79)=2,BC79*BF79,"")</f>
        <v>0.2695618629529459</v>
      </c>
      <c r="BW79" s="11" t="n">
        <f>IF(ISNUMBER(BN79),BN79,"")</f>
        <v>1.7391279184229513</v>
      </c>
      <c r="BX79" s="14" t="n">
        <f>IF(ISNUMBER(BR79),BR79,"")</f>
        <v>12</v>
      </c>
      <c r="BY79" s="13" t="n">
        <f>IF(AND(COUNT(BV79,BW79,BX79)=3,MIN(BV79,BW79,BX79)&gt;=0),BV79*BW79*BX79,"")</f>
        <v>5.625630739242836</v>
      </c>
      <c r="BZ79" s="11" t="n">
        <f>IF(ISNUMBER(BO79),BO79,"")</f>
        <v>1.4002077845513243</v>
      </c>
      <c r="CA79" s="14" t="n">
        <f>IF(ISNUMBER(BS79),BS79,"")</f>
        <v>30</v>
      </c>
      <c r="CB79" s="13" t="n">
        <f>IF(AND(COUNT(BV79,BZ79,CA79)=3,MIN(BV79,BZ79,CA79)&gt;=0),BV79*BZ79*CA79,"")</f>
        <v>11.323278567746161</v>
      </c>
      <c r="CC79" s="11" t="n">
        <f>IF(ISNUMBER(BP79),BP79,"")</f>
        <v>1.079339935625147</v>
      </c>
      <c r="CD79" s="14" t="n">
        <f>IF(ISNUMBER(BT79),BT79,"")</f>
        <v>31</v>
      </c>
      <c r="CE79" s="13" t="n">
        <f>IF(AND(COUNT(BV79,CC79,CD79)=3,MIN(BV79,CC79,CD79)&gt;=0),BV79*CC79*CD79,"")</f>
        <v>9.019415398005446</v>
      </c>
      <c r="CF79" s="11" t="n">
        <f>IF(ISNUMBER(BQ79),BQ79,"")</f>
        <v>0.7719368903846591</v>
      </c>
      <c r="CG79" s="14" t="n">
        <f>IF(ISNUMBER(BU79),BU79,"")</f>
        <v>17</v>
      </c>
      <c r="CH79" s="13" t="n">
        <f>IF(AND(COUNT(BV79,CF79,CG79)=3,MIN(BV79,CF79,CG79)&gt;=0),BV79*CF79*CG79,"")</f>
        <v>3.5374406863212755</v>
      </c>
      <c r="CI79" s="13" t="n">
        <f>IF(COUNT(BY79,CB79,CE79,CH79)=4,SUM(BY79,CB79,CE79,CH79),"")</f>
        <v>29.50576539131572</v>
      </c>
    </row>
    <row r="80" ht="72" customHeight="1">
      <c r="A80" s="16" t="str">
        <v>S02-LP-37</v>
      </c>
      <c r="B80" s="16" t="str">
        <v>3店-SANDIEX-US</v>
      </c>
      <c r="C80" s="16" t="str">
        <v>陈晨</v>
      </c>
      <c r="D80" s="26" t="n">
        <f>IF(NOT(ISNUMBER(E80)),"",IF(OR(E80&lt;=0,L80=0),0,IF(OR(NOT(ISNUMBER(F80)),F80&lt;0),"",MIN(E80,INT(F80)))))</f>
        <v>20</v>
      </c>
      <c r="E80" s="27" t="n">
        <f>IF(OR(NOT(ISNUMBER(L80)),COUNT(M80:O80)&lt;&gt;3,MIN(M80:O80)&lt;0),"",ROUNDUP(ROUND(BI80-SUM(M80:O80),10),0))</f>
        <v>20</v>
      </c>
      <c r="F80" s="28" t="n">
        <v>49</v>
      </c>
      <c r="G80" s="28" t="n">
        <f>IF(AND(ISNUMBER(D80),ISNUMBER(E80)),IF(OR(E80&lt;=0,L80=0),0,E80-D80),"")</f>
        <v>0</v>
      </c>
      <c r="H80" s="16" t="str">
        <f>IF(NOT(ISNUMBER(E80)),"销量或海外库存待补",IF(OR(E80&lt;=0,L80=0),IF(L80=0,"零日销，本批不发","本批无需补货"),IF(NOT(ISNUMBER(D80)),"国内库存待补",IF(D80=0,"国内无可用库存",IF(G80&gt;0,"先发国内现货","按建议量发货")))))</f>
        <v>按建议量发货</v>
      </c>
      <c r="I80" s="28" t="n">
        <f>IF(AND(COUNT(Z80,AA80,AB80)=3,Z80&gt;=AA80,AA80&gt;=0,AB80=7),Z80-AA80,"")</f>
        <v>1</v>
      </c>
      <c r="J80" s="28" t="n">
        <f>IF(AND(COUNT(AF80,AG80,AH80)=3,AF80&gt;=AG80,AG80&gt;=0,AH80=14),AF80-AG80,"")</f>
        <v>3</v>
      </c>
      <c r="K80" s="28" t="n">
        <f>IF(AND(COUNT(AL80,AM80,AN80)=3,AL80&gt;=AM80,AM80&gt;=0,AN80=30),AL80-AM80,"")</f>
        <v>12</v>
      </c>
      <c r="L80" s="29" t="n">
        <f>IF(ISNUMBER(BI80),BI80/90,"")</f>
        <v>0.33452293016726037</v>
      </c>
      <c r="M80" s="28" t="n">
        <v>11</v>
      </c>
      <c r="N80" s="28" t="n">
        <v>0</v>
      </c>
      <c r="O80" s="28" t="n">
        <v>0</v>
      </c>
      <c r="P80" s="30" t="n">
        <f>IF(AND(ISNUMBER(L80),L80&gt;0,COUNT(M80:O80)=3,MIN(M80:O80)&gt;=0),SUM(M80:O80)/L80,"")</f>
        <v>32.8826487155904</v>
      </c>
      <c r="Q80" s="16" t="str">
        <v>沿用原计划SKU店铺</v>
      </c>
      <c r="R80" s="16" t="str">
        <v>已匹配</v>
      </c>
      <c r="S80" s="16" t="str">
        <v>在售</v>
      </c>
      <c r="T80" s="16" t="str">
        <v>S02</v>
      </c>
      <c r="U80" s="16" t="str">
        <v>豹纹</v>
      </c>
      <c r="V80" s="16" t="n">
        <v>6</v>
      </c>
      <c r="W80" s="8" t="str">
        <v>2026-10-11 至 2026-10-17</v>
      </c>
      <c r="X80" s="8" t="str">
        <v>2026-10-11、2026-10-12、2026-10-13、2026-10-14、2026-10-15、2026-10-16、2026-10-17</v>
      </c>
      <c r="Y80" s="8" t="str">
        <v>无</v>
      </c>
      <c r="Z80" s="8" t="n">
        <v>1</v>
      </c>
      <c r="AA80" s="8" t="n">
        <v>0</v>
      </c>
      <c r="AB80" s="8" t="n">
        <v>7</v>
      </c>
      <c r="AC80" s="8" t="str">
        <v>2026-10-02 至 2026-10-17</v>
      </c>
      <c r="AD80" s="8" t="str">
        <v>2026-10-02、2026-10-03、2026-10-04、2026-10-05、2026-10-08、2026-10-09、2026-10-10、2026-10-11、2026-10-12、2026-10-13、2026-10-14、2026-10-15、2026-10-16、2026-10-17</v>
      </c>
      <c r="AE80" s="8" t="str">
        <v>2026-10-06 大促；2026-10-07 大促</v>
      </c>
      <c r="AF80" s="8" t="n">
        <v>9</v>
      </c>
      <c r="AG80" s="8" t="n">
        <v>6</v>
      </c>
      <c r="AH80" s="8" t="n">
        <v>14</v>
      </c>
      <c r="AI80" s="8" t="str">
        <v>2026-09-16 至 2026-10-17</v>
      </c>
      <c r="AJ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0" s="8" t="str">
        <v>2026-10-06 大促；2026-10-07 大促</v>
      </c>
      <c r="AL80" s="8" t="n">
        <v>18</v>
      </c>
      <c r="AM80" s="8" t="n">
        <v>6</v>
      </c>
      <c r="AN80" s="8" t="n">
        <v>30</v>
      </c>
      <c r="AO80" s="8" t="str">
        <v>S02 / 豹纹 / 6574</v>
      </c>
      <c r="AP80" s="11" t="n">
        <v>0.9634503791704667</v>
      </c>
      <c r="AQ80" s="11" t="n">
        <v>0.9634503791704667</v>
      </c>
      <c r="AR80" s="11" t="n">
        <v>0.902244307144596</v>
      </c>
      <c r="AS80" s="11" t="n">
        <f>IF(AND(COUNT(I80:K80,AP80:AR80)=6,MIN(AP80:AR80)&gt;0),I80/7/AP80*0.5+J80/14/AQ80*0.3+K80/30/AR80*0.2,"")</f>
        <v>0.22953054671265305</v>
      </c>
      <c r="AT80" s="8" t="n">
        <v>28</v>
      </c>
      <c r="AU80" s="8" t="n">
        <v>6</v>
      </c>
      <c r="AV80" s="8" t="n">
        <v>88</v>
      </c>
      <c r="AW80" s="11" t="n">
        <f>IF(AND(COUNT(AT80:AV80)=3,AT80&gt;=AU80,AU80&gt;=0,AV80&gt;0),(AT80-AU80)/AV80,"")</f>
        <v>0.25</v>
      </c>
      <c r="AX80" s="8" t="n">
        <v>36</v>
      </c>
      <c r="AY80" s="8" t="n">
        <v>6</v>
      </c>
      <c r="AZ80" s="8" t="n">
        <v>178</v>
      </c>
      <c r="BA80" s="11" t="n">
        <f>IF(AND(COUNT(AX80:AZ80)=3,AX80&gt;=AY80,AY80&gt;=0,AZ80&gt;0),(AX80-AY80)/AZ80,"")</f>
        <v>0.16853932584269662</v>
      </c>
      <c r="BB80" s="8" t="n">
        <f>IF(COUNT(AS80,AW80,BA80)=3,1,0)</f>
        <v>1</v>
      </c>
      <c r="BC80" s="11" t="n">
        <f>IF(SUMIF($AO$11:$AO$1309,AO80,$BB$11:$BB$1309)=COUNTIF($AO$11:$AO$1309,AO80),SUMIF($AO$11:$AO$1309,AO80,$AS$11:$AS$1309),"")</f>
        <v>7.640117517669702</v>
      </c>
      <c r="BD80" s="11" t="n">
        <f>IF(SUMIF($AO$11:$AO$1309,AO80,$BB$11:$BB$1309)=COUNTIF($AO$11:$AO$1309,AO80),SUMIF($AO$11:$AO$1309,AO80,$AW$11:$AW$1309),"")</f>
        <v>4.92970401691332</v>
      </c>
      <c r="BE80" s="11" t="n">
        <f>IF(SUMIF($AO$11:$AO$1309,AO80,$BB$11:$BB$1309)=COUNTIF($AO$11:$AO$1309,AO80),SUMIF($AO$11:$AO$1309,AO80,$BA$11:$BA$1309),"")</f>
        <v>3.492019918283964</v>
      </c>
      <c r="BF80" s="12" t="n">
        <f>IF(COUNT(BD80:BE80)&lt;&gt;2,"",IF(AND(BD80&gt;0,BE80&gt;0),0.7*AW80/BD80+0.3*BA80/BE80,IF(BD80&gt;0,AW80/BD80,IF(BE80&gt;0,BA80/BE80,IF(AND(ISNUMBER(BH80),BH80=0),0,"")))))</f>
        <v>0.04997832960407296</v>
      </c>
      <c r="BG80" s="11" t="n">
        <f>IF(AND(COUNT(BN80:BU80)=8,MIN(BN80:BU80)&gt;=0),SUMPRODUCT(BN80:BQ80,BR80:BU80),"")</f>
        <v>78.84726365280937</v>
      </c>
      <c r="BH80" s="11" t="n">
        <f>IF(COUNT(BC80,BG80)=2,BC80*BG80,"")</f>
        <v>602.4023602541505</v>
      </c>
      <c r="BI80" s="11" t="n">
        <f>IF(ISNUMBER(CI80),CI80,"")</f>
        <v>30.10706371505343</v>
      </c>
      <c r="BJ80" s="8" t="str"/>
      <c r="BK80" s="8" t="str">
        <v>90天：2026-07-20 至 2026-10-17；180天：2026-04-21 至 2026-10-17</v>
      </c>
      <c r="BL80" s="8" t="str">
        <v>90天：2026-10-06、2026-10-07；180天：2026-10-06、2026-10-07</v>
      </c>
      <c r="BM80" s="8" t="str">
        <v>2026-10：12天 × 0.9634503791704667；2026-11：30天 × 0.8585031562320637；2026-12：31天 × 0.7896606554092485；2027-01：17天 × 1.0030167116538329</v>
      </c>
      <c r="BN80" s="11" t="n">
        <v>0.9634503791704667</v>
      </c>
      <c r="BO80" s="11" t="n">
        <v>0.8585031562320637</v>
      </c>
      <c r="BP80" s="11" t="n">
        <v>0.7896606554092485</v>
      </c>
      <c r="BQ80" s="11" t="n">
        <v>1.0030167116538329</v>
      </c>
      <c r="BR80" s="8" t="n">
        <v>12</v>
      </c>
      <c r="BS80" s="8" t="n">
        <v>30</v>
      </c>
      <c r="BT80" s="8" t="n">
        <v>31</v>
      </c>
      <c r="BU80" s="8" t="n">
        <v>17</v>
      </c>
      <c r="BV80" s="11" t="n">
        <f>IF(COUNT(BC80,BF80)=2,BC80*BF80,"")</f>
        <v>0.3818403115119481</v>
      </c>
      <c r="BW80" s="11" t="n">
        <f>IF(ISNUMBER(BN80),BN80,"")</f>
        <v>0.9634503791704667</v>
      </c>
      <c r="BX80" s="14" t="n">
        <f>IF(ISNUMBER(BR80),BR80,"")</f>
        <v>12</v>
      </c>
      <c r="BY80" s="13" t="n">
        <f>IF(AND(COUNT(BV80,BW80,BX80)=3,MIN(BV80,BW80,BX80)&gt;=0),BV80*BW80*BX80,"")</f>
        <v>4.414610314905066</v>
      </c>
      <c r="BZ80" s="11" t="n">
        <f>IF(ISNUMBER(BO80),BO80,"")</f>
        <v>0.8585031562320637</v>
      </c>
      <c r="CA80" s="14" t="n">
        <f>IF(ISNUMBER(BS80),BS80,"")</f>
        <v>30</v>
      </c>
      <c r="CB80" s="13" t="n">
        <f>IF(AND(COUNT(BV80,BZ80,CA80)=3,MIN(BV80,BZ80,CA80)&gt;=0),BV80*BZ80*CA80,"")</f>
        <v>9.834333378289255</v>
      </c>
      <c r="CC80" s="11" t="n">
        <f>IF(ISNUMBER(BP80),BP80,"")</f>
        <v>0.7896606554092485</v>
      </c>
      <c r="CD80" s="14" t="n">
        <f>IF(ISNUMBER(BT80),BT80,"")</f>
        <v>31</v>
      </c>
      <c r="CE80" s="13" t="n">
        <f>IF(AND(COUNT(BV80,CC80,CD80)=3,MIN(BV80,CC80,CD80)&gt;=0),BV80*CC80*CD80,"")</f>
        <v>9.347252390156093</v>
      </c>
      <c r="CF80" s="11" t="n">
        <f>IF(ISNUMBER(BQ80),BQ80,"")</f>
        <v>1.0030167116538329</v>
      </c>
      <c r="CG80" s="14" t="n">
        <f>IF(ISNUMBER(BU80),BU80,"")</f>
        <v>17</v>
      </c>
      <c r="CH80" s="13" t="n">
        <f>IF(AND(COUNT(BV80,CF80,CG80)=3,MIN(BV80,CF80,CG80)&gt;=0),BV80*CF80*CG80,"")</f>
        <v>6.510867631703019</v>
      </c>
      <c r="CI80" s="13" t="n">
        <f>IF(COUNT(BY80,CB80,CE80,CH80)=4,SUM(BY80,CB80,CE80,CH80),"")</f>
        <v>30.10706371505343</v>
      </c>
    </row>
    <row r="81" ht="72" customHeight="1">
      <c r="A81" s="16" t="str">
        <v>2302153-BG-P-Z-41</v>
      </c>
      <c r="B81" s="16" t="str">
        <v>3店-SANDIEX-US</v>
      </c>
      <c r="C81" s="16" t="str">
        <v>徐新怡</v>
      </c>
      <c r="D81" s="26" t="n">
        <f>IF(NOT(ISNUMBER(E81)),"",IF(OR(E81&lt;=0,L81=0),0,IF(OR(NOT(ISNUMBER(F81)),F81&lt;0),"",MIN(E81,INT(F81)))))</f>
        <v>19</v>
      </c>
      <c r="E81" s="27" t="n">
        <f>IF(OR(NOT(ISNUMBER(L81)),COUNT(M81:O81)&lt;&gt;3,MIN(M81:O81)&lt;0),"",ROUNDUP(ROUND(BI81-SUM(M81:O81),10),0))</f>
        <v>31</v>
      </c>
      <c r="F81" s="28" t="n">
        <v>19</v>
      </c>
      <c r="G81" s="28" t="n">
        <f>IF(AND(ISNUMBER(D81),ISNUMBER(E81)),IF(OR(E81&lt;=0,L81=0),0,E81-D81),"")</f>
        <v>12</v>
      </c>
      <c r="H81" s="16" t="str">
        <f>IF(NOT(ISNUMBER(E81)),"销量或海外库存待补",IF(OR(E81&lt;=0,L81=0),IF(L81=0,"零日销，本批不发","本批无需补货"),IF(NOT(ISNUMBER(D81)),"国内库存待补",IF(D81=0,"国内无可用库存",IF(G81&gt;0,"先发国内现货","按建议量发货")))))</f>
        <v>先发国内现货</v>
      </c>
      <c r="I81" s="28" t="n">
        <f>IF(AND(COUNT(Z81,AA81,AB81)=3,Z81&gt;=AA81,AA81&gt;=0,AB81=7),Z81-AA81,"")</f>
        <v>3</v>
      </c>
      <c r="J81" s="28" t="n">
        <f>IF(AND(COUNT(AF81,AG81,AH81)=3,AF81&gt;=AG81,AG81&gt;=0,AH81=14),AF81-AG81,"")</f>
        <v>5</v>
      </c>
      <c r="K81" s="28" t="n">
        <f>IF(AND(COUNT(AL81,AM81,AN81)=3,AL81&gt;=AM81,AM81&gt;=0,AN81=30),AL81-AM81,"")</f>
        <v>20</v>
      </c>
      <c r="L81" s="29" t="n">
        <f>IF(ISNUMBER(BI81),BI81/90,"")</f>
        <v>0.3595684671343136</v>
      </c>
      <c r="M81" s="28" t="n">
        <v>2</v>
      </c>
      <c r="N81" s="28" t="n">
        <v>0</v>
      </c>
      <c r="O81" s="28" t="n">
        <v>0</v>
      </c>
      <c r="P81" s="30" t="n">
        <f>IF(AND(ISNUMBER(L81),L81&gt;0,COUNT(M81:O81)=3,MIN(M81:O81)&gt;=0),SUM(M81:O81)/L81,"")</f>
        <v>5.562223005647817</v>
      </c>
      <c r="Q81" s="16" t="str">
        <v>沿用原计划SKU店铺</v>
      </c>
      <c r="R81" s="16" t="str">
        <v>已匹配</v>
      </c>
      <c r="S81" s="16" t="str">
        <v>在售</v>
      </c>
      <c r="T81" s="16" t="str">
        <v>2302153</v>
      </c>
      <c r="U81" s="16" t="str">
        <v>米白</v>
      </c>
      <c r="V81" s="16" t="n">
        <v>10</v>
      </c>
      <c r="W81" s="8" t="str">
        <v>2026-10-11 至 2026-10-17</v>
      </c>
      <c r="X81" s="8" t="str">
        <v>2026-10-11、2026-10-12、2026-10-13、2026-10-14、2026-10-15、2026-10-16、2026-10-17</v>
      </c>
      <c r="Y81" s="8" t="str">
        <v>无</v>
      </c>
      <c r="Z81" s="8" t="n">
        <v>3</v>
      </c>
      <c r="AA81" s="8" t="n">
        <v>0</v>
      </c>
      <c r="AB81" s="8" t="n">
        <v>7</v>
      </c>
      <c r="AC81" s="8" t="str">
        <v>2026-10-02 至 2026-10-17</v>
      </c>
      <c r="AD81" s="8" t="str">
        <v>2026-10-02、2026-10-03、2026-10-04、2026-10-05、2026-10-08、2026-10-09、2026-10-10、2026-10-11、2026-10-12、2026-10-13、2026-10-14、2026-10-15、2026-10-16、2026-10-17</v>
      </c>
      <c r="AE81" s="8" t="str">
        <v>2026-10-06 大促；2026-10-07 大促</v>
      </c>
      <c r="AF81" s="8" t="n">
        <v>6</v>
      </c>
      <c r="AG81" s="8" t="n">
        <v>1</v>
      </c>
      <c r="AH81" s="8" t="n">
        <v>14</v>
      </c>
      <c r="AI81" s="8" t="str">
        <v>2026-09-16 至 2026-10-17</v>
      </c>
      <c r="AJ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1" s="8" t="str">
        <v>2026-10-06 大促；2026-10-07 大促</v>
      </c>
      <c r="AL81" s="8" t="n">
        <v>21</v>
      </c>
      <c r="AM81" s="8" t="n">
        <v>1</v>
      </c>
      <c r="AN81" s="8" t="n">
        <v>30</v>
      </c>
      <c r="AO81" s="8" t="str">
        <v>2302153 / 米白PU / 6574</v>
      </c>
      <c r="AP81" s="11" t="n">
        <v>1.7391279184229513</v>
      </c>
      <c r="AQ81" s="11" t="n">
        <v>1.7391279184229513</v>
      </c>
      <c r="AR81" s="11" t="n">
        <v>1.5731892896917212</v>
      </c>
      <c r="AS81" s="11" t="n">
        <f>IF(AND(COUNT(I81:K81,AP81:AR81)=6,MIN(AP81:AR81)&gt;0),I81/7/AP81*0.5+J81/14/AQ81*0.3+K81/30/AR81*0.2,"")</f>
        <v>0.2695752181560106</v>
      </c>
      <c r="AT81" s="8" t="n">
        <v>35</v>
      </c>
      <c r="AU81" s="8" t="n">
        <v>1</v>
      </c>
      <c r="AV81" s="8" t="n">
        <v>88</v>
      </c>
      <c r="AW81" s="11" t="n">
        <f>IF(AND(COUNT(AT81:AV81)=3,AT81&gt;=AU81,AU81&gt;=0,AV81&gt;0),(AT81-AU81)/AV81,"")</f>
        <v>0.38636363636363635</v>
      </c>
      <c r="AX81" s="8" t="n">
        <v>35</v>
      </c>
      <c r="AY81" s="8" t="n">
        <v>1</v>
      </c>
      <c r="AZ81" s="8" t="n">
        <v>178</v>
      </c>
      <c r="BA81" s="11" t="n">
        <f>IF(AND(COUNT(AX81:AZ81)=3,AX81&gt;=AY81,AY81&gt;=0,AZ81&gt;0),(AX81-AY81)/AZ81,"")</f>
        <v>0.19101123595505617</v>
      </c>
      <c r="BB81" s="8" t="n">
        <f>IF(COUNT(AS81,AW81,BA81)=3,1,0)</f>
        <v>1</v>
      </c>
      <c r="BC81" s="11" t="n">
        <f>IF(SUMIF($AO$11:$AO$1309,AO81,$BB$11:$BB$1309)=COUNTIF($AO$11:$AO$1309,AO81),SUMIF($AO$11:$AO$1309,AO81,$AS$11:$AS$1309),"")</f>
        <v>2.0955365955321814</v>
      </c>
      <c r="BD81" s="11" t="n">
        <f>IF(SUMIF($AO$11:$AO$1309,AO81,$BB$11:$BB$1309)=COUNTIF($AO$11:$AO$1309,AO81),SUMIF($AO$11:$AO$1309,AO81,$AW$11:$AW$1309),"")</f>
        <v>2.736485747612452</v>
      </c>
      <c r="BE81" s="11" t="n">
        <f>IF(SUMIF($AO$11:$AO$1309,AO81,$BB$11:$BB$1309)=COUNTIF($AO$11:$AO$1309,AO81),SUMIF($AO$11:$AO$1309,AO81,$BA$11:$BA$1309),"")</f>
        <v>1.3562265196239676</v>
      </c>
      <c r="BF81" s="12" t="n">
        <f>IF(COUNT(BD81:BE81)&lt;&gt;2,"",IF(AND(BD81&gt;0,BE81&gt;0),0.7*AW81/BD81+0.3*BA81/BE81,IF(BD81&gt;0,AW81/BD81,IF(BE81&gt;0,BA81/BE81,IF(AND(ISNUMBER(BH81),BH81=0),0,"")))))</f>
        <v>0.1410848636487474</v>
      </c>
      <c r="BG81" s="11" t="n">
        <f>IF(AND(COUNT(BN81:BU81)=8,MIN(BN81:BU81)&gt;=0),SUMPRODUCT(BN81:BQ81,BR81:BU81),"")</f>
        <v>109.4582336985339</v>
      </c>
      <c r="BH81" s="11" t="n">
        <f>IF(COUNT(BC81,BG81)=2,BC81*BG81,"")</f>
        <v>229.37373439759162</v>
      </c>
      <c r="BI81" s="11" t="n">
        <f>IF(ISNUMBER(CI81),CI81,"")</f>
        <v>32.361162042088225</v>
      </c>
      <c r="BJ81" s="8" t="str"/>
      <c r="BK81" s="8" t="str">
        <v>90天：2026-07-20 至 2026-10-17；180天：2026-04-21 至 2026-10-17</v>
      </c>
      <c r="BL81" s="8" t="str">
        <v>90天：2026-10-06、2026-10-07；180天：2026-10-06、2026-10-07</v>
      </c>
      <c r="BM81" s="8" t="str">
        <v>2026-10：12天 × 1.7391279184229513；2026-11：30天 × 1.4002077845513243；2026-12：31天 × 1.079339935625147；2027-01：17天 × 0.7719368903846591</v>
      </c>
      <c r="BN81" s="11" t="n">
        <v>1.7391279184229513</v>
      </c>
      <c r="BO81" s="11" t="n">
        <v>1.4002077845513243</v>
      </c>
      <c r="BP81" s="11" t="n">
        <v>1.079339935625147</v>
      </c>
      <c r="BQ81" s="11" t="n">
        <v>0.7719368903846591</v>
      </c>
      <c r="BR81" s="8" t="n">
        <v>12</v>
      </c>
      <c r="BS81" s="8" t="n">
        <v>30</v>
      </c>
      <c r="BT81" s="8" t="n">
        <v>31</v>
      </c>
      <c r="BU81" s="8" t="n">
        <v>17</v>
      </c>
      <c r="BV81" s="11" t="n">
        <f>IF(COUNT(BC81,BF81)=2,BC81*BF81,"")</f>
        <v>0.29564849485161815</v>
      </c>
      <c r="BW81" s="11" t="n">
        <f>IF(ISNUMBER(BN81),BN81,"")</f>
        <v>1.7391279184229513</v>
      </c>
      <c r="BX81" s="14" t="n">
        <f>IF(ISNUMBER(BR81),BR81,"")</f>
        <v>12</v>
      </c>
      <c r="BY81" s="13" t="n">
        <f>IF(AND(COUNT(BV81,BW81,BX81)=3,MIN(BV81,BW81,BX81)&gt;=0),BV81*BW81*BX81,"")</f>
        <v>6.17004661723408</v>
      </c>
      <c r="BZ81" s="11" t="n">
        <f>IF(ISNUMBER(BO81),BO81,"")</f>
        <v>1.4002077845513243</v>
      </c>
      <c r="CA81" s="14" t="n">
        <f>IF(ISNUMBER(BS81),BS81,"")</f>
        <v>30</v>
      </c>
      <c r="CB81" s="13" t="n">
        <f>IF(AND(COUNT(BV81,BZ81,CA81)=3,MIN(BV81,BZ81,CA81)&gt;=0),BV81*BZ81*CA81,"")</f>
        <v>12.419079719463536</v>
      </c>
      <c r="CC81" s="11" t="n">
        <f>IF(ISNUMBER(BP81),BP81,"")</f>
        <v>1.079339935625147</v>
      </c>
      <c r="CD81" s="14" t="n">
        <f>IF(ISNUMBER(BT81),BT81,"")</f>
        <v>31</v>
      </c>
      <c r="CE81" s="13" t="n">
        <f>IF(AND(COUNT(BV81,CC81,CD81)=3,MIN(BV81,CC81,CD81)&gt;=0),BV81*CC81*CD81,"")</f>
        <v>9.892262049425332</v>
      </c>
      <c r="CF81" s="11" t="n">
        <f>IF(ISNUMBER(BQ81),BQ81,"")</f>
        <v>0.7719368903846591</v>
      </c>
      <c r="CG81" s="14" t="n">
        <f>IF(ISNUMBER(BU81),BU81,"")</f>
        <v>17</v>
      </c>
      <c r="CH81" s="13" t="n">
        <f>IF(AND(COUNT(BV81,CF81,CG81)=3,MIN(BV81,CF81,CG81)&gt;=0),BV81*CF81*CG81,"")</f>
        <v>3.879773655965271</v>
      </c>
      <c r="CI81" s="13" t="n">
        <f>IF(COUNT(BY81,CB81,CE81,CH81)=4,SUM(BY81,CB81,CE81,CH81),"")</f>
        <v>32.361162042088225</v>
      </c>
    </row>
    <row r="82" ht="72" customHeight="1">
      <c r="A82" s="16" t="str">
        <v>2302153-BG-P-Z-38.5</v>
      </c>
      <c r="B82" s="16" t="str">
        <v>3店-SANDIEX-US</v>
      </c>
      <c r="C82" s="16" t="str">
        <v>徐新怡</v>
      </c>
      <c r="D82" s="26" t="n">
        <f>IF(NOT(ISNUMBER(E82)),"",IF(OR(E82&lt;=0,L82=0),0,IF(OR(NOT(ISNUMBER(F82)),F82&lt;0),"",MIN(E82,INT(F82)))))</f>
        <v>19</v>
      </c>
      <c r="E82" s="27" t="n">
        <f>IF(OR(NOT(ISNUMBER(L82)),COUNT(M82:O82)&lt;&gt;3,MIN(M82:O82)&lt;0),"",ROUNDUP(ROUND(BI82-SUM(M82:O82),10),0))</f>
        <v>19</v>
      </c>
      <c r="F82" s="28" t="n">
        <v>69</v>
      </c>
      <c r="G82" s="28" t="n">
        <f>IF(AND(ISNUMBER(D82),ISNUMBER(E82)),IF(OR(E82&lt;=0,L82=0),0,E82-D82),"")</f>
        <v>0</v>
      </c>
      <c r="H82" s="16" t="str">
        <f>IF(NOT(ISNUMBER(E82)),"销量或海外库存待补",IF(OR(E82&lt;=0,L82=0),IF(L82=0,"零日销，本批不发","本批无需补货"),IF(NOT(ISNUMBER(D82)),"国内库存待补",IF(D82=0,"国内无可用库存",IF(G82&gt;0,"先发国内现货","按建议量发货")))))</f>
        <v>按建议量发货</v>
      </c>
      <c r="I82" s="28" t="n">
        <f>IF(AND(COUNT(Z82,AA82,AB82)=3,Z82&gt;=AA82,AA82&gt;=0,AB82=7),Z82-AA82,"")</f>
        <v>1</v>
      </c>
      <c r="J82" s="28" t="n">
        <f>IF(AND(COUNT(AF82,AG82,AH82)=3,AF82&gt;=AG82,AG82&gt;=0,AH82=14),AF82-AG82,"")</f>
        <v>5</v>
      </c>
      <c r="K82" s="28" t="n">
        <f>IF(AND(COUNT(AL82,AM82,AN82)=3,AL82&gt;=AM82,AM82&gt;=0,AN82=30),AL82-AM82,"")</f>
        <v>10</v>
      </c>
      <c r="L82" s="29" t="n">
        <f>IF(ISNUMBER(BI82),BI82/90,"")</f>
        <v>0.2643885787752305</v>
      </c>
      <c r="M82" s="28" t="n">
        <v>5</v>
      </c>
      <c r="N82" s="28" t="n">
        <v>0</v>
      </c>
      <c r="O82" s="28" t="n">
        <v>0</v>
      </c>
      <c r="P82" s="30" t="n">
        <f>IF(AND(ISNUMBER(L82),L82&gt;0,COUNT(M82:O82)=3,MIN(M82:O82)&gt;=0),SUM(M82:O82)/L82,"")</f>
        <v>18.911558219202586</v>
      </c>
      <c r="Q82" s="16" t="str">
        <v>沿用原计划SKU店铺</v>
      </c>
      <c r="R82" s="16" t="str">
        <v>已匹配</v>
      </c>
      <c r="S82" s="16" t="str">
        <v>在售</v>
      </c>
      <c r="T82" s="16" t="str">
        <v>2302153</v>
      </c>
      <c r="U82" s="16" t="str">
        <v>米白</v>
      </c>
      <c r="V82" s="16" t="n">
        <v>7.5</v>
      </c>
      <c r="W82" s="8" t="str">
        <v>2026-10-11 至 2026-10-17</v>
      </c>
      <c r="X82" s="8" t="str">
        <v>2026-10-11、2026-10-12、2026-10-13、2026-10-14、2026-10-15、2026-10-16、2026-10-17</v>
      </c>
      <c r="Y82" s="8" t="str">
        <v>无</v>
      </c>
      <c r="Z82" s="8" t="n">
        <v>1</v>
      </c>
      <c r="AA82" s="8" t="n">
        <v>0</v>
      </c>
      <c r="AB82" s="8" t="n">
        <v>7</v>
      </c>
      <c r="AC82" s="8" t="str">
        <v>2026-10-02 至 2026-10-17</v>
      </c>
      <c r="AD82" s="8" t="str">
        <v>2026-10-02、2026-10-03、2026-10-04、2026-10-05、2026-10-08、2026-10-09、2026-10-10、2026-10-11、2026-10-12、2026-10-13、2026-10-14、2026-10-15、2026-10-16、2026-10-17</v>
      </c>
      <c r="AE82" s="8" t="str">
        <v>2026-10-06 大促；2026-10-07 大促</v>
      </c>
      <c r="AF82" s="8" t="n">
        <v>6</v>
      </c>
      <c r="AG82" s="8" t="n">
        <v>1</v>
      </c>
      <c r="AH82" s="8" t="n">
        <v>14</v>
      </c>
      <c r="AI82" s="8" t="str">
        <v>2026-09-16 至 2026-10-17</v>
      </c>
      <c r="AJ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2" s="8" t="str">
        <v>2026-10-06 大促；2026-10-07 大促</v>
      </c>
      <c r="AL82" s="8" t="n">
        <v>11</v>
      </c>
      <c r="AM82" s="8" t="n">
        <v>1</v>
      </c>
      <c r="AN82" s="8" t="n">
        <v>30</v>
      </c>
      <c r="AO82" s="8" t="str">
        <v>2302153 / 米白PU / 6574</v>
      </c>
      <c r="AP82" s="11" t="n">
        <v>1.7391279184229513</v>
      </c>
      <c r="AQ82" s="11" t="n">
        <v>1.7391279184229513</v>
      </c>
      <c r="AR82" s="11" t="n">
        <v>1.5731892896917212</v>
      </c>
      <c r="AS82" s="11" t="n">
        <f>IF(AND(COUNT(I82:K82,AP82:AR82)=6,MIN(AP82:AR82)&gt;0),I82/7/AP82*0.5+J82/14/AQ82*0.3+K82/30/AR82*0.2,"")</f>
        <v>0.14505548107751629</v>
      </c>
      <c r="AT82" s="8" t="n">
        <v>26</v>
      </c>
      <c r="AU82" s="8" t="n">
        <v>1</v>
      </c>
      <c r="AV82" s="8" t="n">
        <v>88</v>
      </c>
      <c r="AW82" s="11" t="n">
        <f>IF(AND(COUNT(AT82:AV82)=3,AT82&gt;=AU82,AU82&gt;=0,AV82&gt;0),(AT82-AU82)/AV82,"")</f>
        <v>0.2840909090909091</v>
      </c>
      <c r="AX82" s="8" t="n">
        <v>26</v>
      </c>
      <c r="AY82" s="8" t="n">
        <v>1</v>
      </c>
      <c r="AZ82" s="8" t="n">
        <v>178</v>
      </c>
      <c r="BA82" s="11" t="n">
        <f>IF(AND(COUNT(AX82:AZ82)=3,AX82&gt;=AY82,AY82&gt;=0,AZ82&gt;0),(AX82-AY82)/AZ82,"")</f>
        <v>0.1404494382022472</v>
      </c>
      <c r="BB82" s="8" t="n">
        <f>IF(COUNT(AS82,AW82,BA82)=3,1,0)</f>
        <v>1</v>
      </c>
      <c r="BC82" s="11" t="n">
        <f>IF(SUMIF($AO$11:$AO$1309,AO82,$BB$11:$BB$1309)=COUNTIF($AO$11:$AO$1309,AO82),SUMIF($AO$11:$AO$1309,AO82,$AS$11:$AS$1309),"")</f>
        <v>2.0955365955321814</v>
      </c>
      <c r="BD82" s="11" t="n">
        <f>IF(SUMIF($AO$11:$AO$1309,AO82,$BB$11:$BB$1309)=COUNTIF($AO$11:$AO$1309,AO82),SUMIF($AO$11:$AO$1309,AO82,$AW$11:$AW$1309),"")</f>
        <v>2.736485747612452</v>
      </c>
      <c r="BE82" s="11" t="n">
        <f>IF(SUMIF($AO$11:$AO$1309,AO82,$BB$11:$BB$1309)=COUNTIF($AO$11:$AO$1309,AO82),SUMIF($AO$11:$AO$1309,AO82,$BA$11:$BA$1309),"")</f>
        <v>1.3562265196239676</v>
      </c>
      <c r="BF82" s="12" t="n">
        <f>IF(COUNT(BD82:BE82)&lt;&gt;2,"",IF(AND(BD82&gt;0,BE82&gt;0),0.7*AW82/BD82+0.3*BA82/BE82,IF(BD82&gt;0,AW82/BD82,IF(BE82&gt;0,BA82/BE82,IF(AND(ISNUMBER(BH82),BH82=0),0,"")))))</f>
        <v>0.10373887032996132</v>
      </c>
      <c r="BG82" s="11" t="n">
        <f>IF(AND(COUNT(BN82:BU82)=8,MIN(BN82:BU82)&gt;=0),SUMPRODUCT(BN82:BQ82,BR82:BU82),"")</f>
        <v>109.4582336985339</v>
      </c>
      <c r="BH82" s="11" t="n">
        <f>IF(COUNT(BC82,BG82)=2,BC82*BG82,"")</f>
        <v>229.37373439759162</v>
      </c>
      <c r="BI82" s="11" t="n">
        <f>IF(ISNUMBER(CI82),CI82,"")</f>
        <v>23.794972089770745</v>
      </c>
      <c r="BJ82" s="8" t="str"/>
      <c r="BK82" s="8" t="str">
        <v>90天：2026-07-20 至 2026-10-17；180天：2026-04-21 至 2026-10-17</v>
      </c>
      <c r="BL82" s="8" t="str">
        <v>90天：2026-10-06、2026-10-07；180天：2026-10-06、2026-10-07</v>
      </c>
      <c r="BM82" s="8" t="str">
        <v>2026-10：12天 × 1.7391279184229513；2026-11：30天 × 1.4002077845513243；2026-12：31天 × 1.079339935625147；2027-01：17天 × 0.7719368903846591</v>
      </c>
      <c r="BN82" s="11" t="n">
        <v>1.7391279184229513</v>
      </c>
      <c r="BO82" s="11" t="n">
        <v>1.4002077845513243</v>
      </c>
      <c r="BP82" s="11" t="n">
        <v>1.079339935625147</v>
      </c>
      <c r="BQ82" s="11" t="n">
        <v>0.7719368903846591</v>
      </c>
      <c r="BR82" s="8" t="n">
        <v>12</v>
      </c>
      <c r="BS82" s="8" t="n">
        <v>30</v>
      </c>
      <c r="BT82" s="8" t="n">
        <v>31</v>
      </c>
      <c r="BU82" s="8" t="n">
        <v>17</v>
      </c>
      <c r="BV82" s="11" t="n">
        <f>IF(COUNT(BC82,BF82)=2,BC82*BF82,"")</f>
        <v>0.21738859915560158</v>
      </c>
      <c r="BW82" s="11" t="n">
        <f>IF(ISNUMBER(BN82),BN82,"")</f>
        <v>1.7391279184229513</v>
      </c>
      <c r="BX82" s="14" t="n">
        <f>IF(ISNUMBER(BR82),BR82,"")</f>
        <v>12</v>
      </c>
      <c r="BY82" s="13" t="n">
        <f>IF(AND(COUNT(BV82,BW82,BX82)=3,MIN(BV82,BW82,BX82)&gt;=0),BV82*BW82*BX82,"")</f>
        <v>4.536798983260352</v>
      </c>
      <c r="BZ82" s="11" t="n">
        <f>IF(ISNUMBER(BO82),BO82,"")</f>
        <v>1.4002077845513243</v>
      </c>
      <c r="CA82" s="14" t="n">
        <f>IF(ISNUMBER(BS82),BS82,"")</f>
        <v>30</v>
      </c>
      <c r="CB82" s="13" t="n">
        <f>IF(AND(COUNT(BV82,BZ82,CA82)=3,MIN(BV82,BZ82,CA82)&gt;=0),BV82*BZ82*CA82,"")</f>
        <v>9.131676264311423</v>
      </c>
      <c r="CC82" s="11" t="n">
        <f>IF(ISNUMBER(BP82),BP82,"")</f>
        <v>1.079339935625147</v>
      </c>
      <c r="CD82" s="14" t="n">
        <f>IF(ISNUMBER(BT82),BT82,"")</f>
        <v>31</v>
      </c>
      <c r="CE82" s="13" t="n">
        <f>IF(AND(COUNT(BV82,CC82,CD82)=3,MIN(BV82,CC82,CD82)&gt;=0),BV82*CC82*CD82,"")</f>
        <v>7.2737220951656845</v>
      </c>
      <c r="CF82" s="11" t="n">
        <f>IF(ISNUMBER(BQ82),BQ82,"")</f>
        <v>0.7719368903846591</v>
      </c>
      <c r="CG82" s="14" t="n">
        <f>IF(ISNUMBER(BU82),BU82,"")</f>
        <v>17</v>
      </c>
      <c r="CH82" s="13" t="n">
        <f>IF(AND(COUNT(BV82,CF82,CG82)=3,MIN(BV82,CF82,CG82)&gt;=0),BV82*CF82*CG82,"")</f>
        <v>2.8527747470332874</v>
      </c>
      <c r="CI82" s="13" t="n">
        <f>IF(COUNT(BY82,CB82,CE82,CH82)=4,SUM(BY82,CB82,CE82,CH82),"")</f>
        <v>23.794972089770745</v>
      </c>
    </row>
    <row r="83" ht="72" customHeight="1">
      <c r="A83" s="16" t="str">
        <v>2302153-CC-S-Z-10</v>
      </c>
      <c r="B83" s="16" t="str">
        <v>3店-SANDIEX-US</v>
      </c>
      <c r="C83" s="16" t="str">
        <v>徐新怡</v>
      </c>
      <c r="D83" s="26" t="n">
        <f>IF(NOT(ISNUMBER(E83)),"",IF(OR(E83&lt;=0,L83=0),0,IF(OR(NOT(ISNUMBER(F83)),F83&lt;0),"",MIN(E83,INT(F83)))))</f>
        <v>19</v>
      </c>
      <c r="E83" s="27" t="n">
        <f>IF(OR(NOT(ISNUMBER(L83)),COUNT(M83:O83)&lt;&gt;3,MIN(M83:O83)&lt;0),"",ROUNDUP(ROUND(BI83-SUM(M83:O83),10),0))</f>
        <v>19</v>
      </c>
      <c r="F83" s="28" t="n">
        <v>28</v>
      </c>
      <c r="G83" s="28" t="n">
        <f>IF(AND(ISNUMBER(D83),ISNUMBER(E83)),IF(OR(E83&lt;=0,L83=0),0,E83-D83),"")</f>
        <v>0</v>
      </c>
      <c r="H83" s="16" t="str">
        <f>IF(NOT(ISNUMBER(E83)),"销量或海外库存待补",IF(OR(E83&lt;=0,L83=0),IF(L83=0,"零日销，本批不发","本批无需补货"),IF(NOT(ISNUMBER(D83)),"国内库存待补",IF(D83=0,"国内无可用库存",IF(G83&gt;0,"先发国内现货","按建议量发货")))))</f>
        <v>按建议量发货</v>
      </c>
      <c r="I83" s="28" t="n">
        <f>IF(AND(COUNT(Z83,AA83,AB83)=3,Z83&gt;=AA83,AA83&gt;=0,AB83=7),Z83-AA83,"")</f>
        <v>1</v>
      </c>
      <c r="J83" s="28" t="n">
        <f>IF(AND(COUNT(AF83,AG83,AH83)=3,AF83&gt;=AG83,AG83&gt;=0,AH83=14),AF83-AG83,"")</f>
        <v>4</v>
      </c>
      <c r="K83" s="28" t="n">
        <f>IF(AND(COUNT(AL83,AM83,AN83)=3,AL83&gt;=AM83,AM83&gt;=0,AN83=30),AL83-AM83,"")</f>
        <v>25</v>
      </c>
      <c r="L83" s="29" t="n">
        <f>IF(ISNUMBER(BI83),BI83/90,"")</f>
        <v>0.24705852242624993</v>
      </c>
      <c r="M83" s="28" t="n">
        <v>4</v>
      </c>
      <c r="N83" s="28" t="n">
        <v>0</v>
      </c>
      <c r="O83" s="28" t="n">
        <v>0</v>
      </c>
      <c r="P83" s="30" t="n">
        <f>IF(AND(ISNUMBER(L83),L83&gt;0,COUNT(M83:O83)=3,MIN(M83:O83)&gt;=0),SUM(M83:O83)/L83,"")</f>
        <v>16.190495922657558</v>
      </c>
      <c r="Q83" s="16" t="str">
        <v>沿用原计划SKU店铺</v>
      </c>
      <c r="R83" s="16" t="str">
        <v>已匹配</v>
      </c>
      <c r="S83" s="16" t="str">
        <v>在售</v>
      </c>
      <c r="T83" s="16" t="str">
        <v>2302153</v>
      </c>
      <c r="U83" s="16" t="str">
        <v>驼色</v>
      </c>
      <c r="V83" s="16" t="n">
        <v>10</v>
      </c>
      <c r="W83" s="8" t="str">
        <v>2026-10-11 至 2026-10-17</v>
      </c>
      <c r="X83" s="8" t="str">
        <v>2026-10-11、2026-10-12、2026-10-13、2026-10-14、2026-10-15、2026-10-16、2026-10-17</v>
      </c>
      <c r="Y83" s="8" t="str">
        <v>无</v>
      </c>
      <c r="Z83" s="8" t="n">
        <v>1</v>
      </c>
      <c r="AA83" s="8" t="n">
        <v>0</v>
      </c>
      <c r="AB83" s="8" t="n">
        <v>7</v>
      </c>
      <c r="AC83" s="8" t="str">
        <v>2026-10-02 至 2026-10-17</v>
      </c>
      <c r="AD83" s="8" t="str">
        <v>2026-10-02、2026-10-03、2026-10-04、2026-10-05、2026-10-08、2026-10-09、2026-10-10、2026-10-11、2026-10-12、2026-10-13、2026-10-14、2026-10-15、2026-10-16、2026-10-17</v>
      </c>
      <c r="AE83" s="8" t="str">
        <v>2026-10-06 大促；2026-10-07 大促</v>
      </c>
      <c r="AF83" s="8" t="n">
        <v>5</v>
      </c>
      <c r="AG83" s="8" t="n">
        <v>1</v>
      </c>
      <c r="AH83" s="8" t="n">
        <v>14</v>
      </c>
      <c r="AI83" s="8" t="str">
        <v>2026-09-16 至 2026-10-17</v>
      </c>
      <c r="AJ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" s="8" t="str">
        <v>2026-10-06 大促；2026-10-07 大促</v>
      </c>
      <c r="AL83" s="8" t="n">
        <v>26</v>
      </c>
      <c r="AM83" s="8" t="n">
        <v>1</v>
      </c>
      <c r="AN83" s="8" t="n">
        <v>30</v>
      </c>
      <c r="AO83" s="8" t="str">
        <v>2302153 / 驼色羊京绒 / 6574</v>
      </c>
      <c r="AP83" s="11" t="n">
        <v>1.7391279184229513</v>
      </c>
      <c r="AQ83" s="11" t="n">
        <v>1.7391279184229513</v>
      </c>
      <c r="AR83" s="11" t="n">
        <v>1.5731892896917212</v>
      </c>
      <c r="AS83" s="11" t="n">
        <f>IF(AND(COUNT(I83:K83,AP83:AR83)=6,MIN(AP83:AR83)&gt;0),I83/7/AP83*0.5+J83/14/AQ83*0.3+K83/30/AR83*0.2,"")</f>
        <v>0.19629917630171267</v>
      </c>
      <c r="AT83" s="8" t="n">
        <v>48</v>
      </c>
      <c r="AU83" s="8" t="n">
        <v>1</v>
      </c>
      <c r="AV83" s="8" t="n">
        <v>88</v>
      </c>
      <c r="AW83" s="11" t="n">
        <f>IF(AND(COUNT(AT83:AV83)=3,AT83&gt;=AU83,AU83&gt;=0,AV83&gt;0),(AT83-AU83)/AV83,"")</f>
        <v>0.5340909090909091</v>
      </c>
      <c r="AX83" s="8" t="n">
        <v>50</v>
      </c>
      <c r="AY83" s="8" t="n">
        <v>1</v>
      </c>
      <c r="AZ83" s="8" t="n">
        <v>178</v>
      </c>
      <c r="BA83" s="11" t="n">
        <f>IF(AND(COUNT(AX83:AZ83)=3,AX83&gt;=AY83,AY83&gt;=0,AZ83&gt;0),(AX83-AY83)/AZ83,"")</f>
        <v>0.2752808988764045</v>
      </c>
      <c r="BB83" s="8" t="n">
        <f>IF(COUNT(AS83,AW83,BA83)=3,1,0)</f>
        <v>1</v>
      </c>
      <c r="BC83" s="11" t="n">
        <f>IF(SUMIF($AO$11:$AO$1309,AO83,$BB$11:$BB$1309)=COUNTIF($AO$11:$AO$1309,AO83),SUMIF($AO$11:$AO$1309,AO83,$AS$11:$AS$1309),"")</f>
        <v>1.1381504473731563</v>
      </c>
      <c r="BD83" s="11" t="n">
        <f>IF(SUMIF($AO$11:$AO$1309,AO83,$BB$11:$BB$1309)=COUNTIF($AO$11:$AO$1309,AO83),SUMIF($AO$11:$AO$1309,AO83,$AW$11:$AW$1309),"")</f>
        <v>2.9545454545454546</v>
      </c>
      <c r="BE83" s="11" t="n">
        <f>IF(SUMIF($AO$11:$AO$1309,AO83,$BB$11:$BB$1309)=COUNTIF($AO$11:$AO$1309,AO83),SUMIF($AO$11:$AO$1309,AO83,$BA$11:$BA$1309),"")</f>
        <v>1.5898876404494382</v>
      </c>
      <c r="BF83" s="12" t="n">
        <f>IF(COUNT(BD83:BE83)&lt;&gt;2,"",IF(AND(BD83&gt;0,BE83&gt;0),0.7*AW83/BD83+0.3*BA83/BE83,IF(BD83&gt;0,AW83/BD83,IF(BE83&gt;0,BA83/BE83,IF(AND(ISNUMBER(BH83),BH83=0),0,"")))))</f>
        <v>0.178481924435988</v>
      </c>
      <c r="BG83" s="11" t="n">
        <f>IF(AND(COUNT(BN83:BU83)=8,MIN(BN83:BU83)&gt;=0),SUMPRODUCT(BN83:BQ83,BR83:BU83),"")</f>
        <v>109.4582336985339</v>
      </c>
      <c r="BH83" s="11" t="n">
        <f>IF(COUNT(BC83,BG83)=2,BC83*BG83,"")</f>
        <v>124.57993765266185</v>
      </c>
      <c r="BI83" s="11" t="n">
        <f>IF(ISNUMBER(CI83),CI83,"")</f>
        <v>22.235267018362492</v>
      </c>
      <c r="BJ83" s="8" t="str"/>
      <c r="BK83" s="8" t="str">
        <v>90天：2026-07-20 至 2026-10-17；180天：2026-04-21 至 2026-10-17</v>
      </c>
      <c r="BL83" s="8" t="str">
        <v>90天：2026-10-06、2026-10-07；180天：2026-10-06、2026-10-07</v>
      </c>
      <c r="BM83" s="8" t="str">
        <v>2026-10：12天 × 1.7391279184229513；2026-11：30天 × 1.4002077845513243；2026-12：31天 × 1.079339935625147；2027-01：17天 × 0.7719368903846591</v>
      </c>
      <c r="BN83" s="11" t="n">
        <v>1.7391279184229513</v>
      </c>
      <c r="BO83" s="11" t="n">
        <v>1.4002077845513243</v>
      </c>
      <c r="BP83" s="11" t="n">
        <v>1.079339935625147</v>
      </c>
      <c r="BQ83" s="11" t="n">
        <v>0.7719368903846591</v>
      </c>
      <c r="BR83" s="8" t="n">
        <v>12</v>
      </c>
      <c r="BS83" s="8" t="n">
        <v>30</v>
      </c>
      <c r="BT83" s="8" t="n">
        <v>31</v>
      </c>
      <c r="BU83" s="8" t="n">
        <v>17</v>
      </c>
      <c r="BV83" s="11" t="n">
        <f>IF(COUNT(BC83,BF83)=2,BC83*BF83,"")</f>
        <v>0.20313928214484164</v>
      </c>
      <c r="BW83" s="11" t="n">
        <f>IF(ISNUMBER(BN83),BN83,"")</f>
        <v>1.7391279184229513</v>
      </c>
      <c r="BX83" s="14" t="n">
        <f>IF(ISNUMBER(BR83),BR83,"")</f>
        <v>12</v>
      </c>
      <c r="BY83" s="13" t="n">
        <f>IF(AND(COUNT(BV83,BW83,BX83)=3,MIN(BV83,BW83,BX83)&gt;=0),BV83*BW83*BX83,"")</f>
        <v>4.239422362877892</v>
      </c>
      <c r="BZ83" s="11" t="n">
        <f>IF(ISNUMBER(BO83),BO83,"")</f>
        <v>1.4002077845513243</v>
      </c>
      <c r="CA83" s="14" t="n">
        <f>IF(ISNUMBER(BS83),BS83,"")</f>
        <v>30</v>
      </c>
      <c r="CB83" s="13" t="n">
        <f>IF(AND(COUNT(BV83,BZ83,CA83)=3,MIN(BV83,BZ83,CA83)&gt;=0),BV83*BZ83*CA83,"")</f>
        <v>8.533116126221254</v>
      </c>
      <c r="CC83" s="11" t="n">
        <f>IF(ISNUMBER(BP83),BP83,"")</f>
        <v>1.079339935625147</v>
      </c>
      <c r="CD83" s="14" t="n">
        <f>IF(ISNUMBER(BT83),BT83,"")</f>
        <v>31</v>
      </c>
      <c r="CE83" s="13" t="n">
        <f>IF(AND(COUNT(BV83,CC83,CD83)=3,MIN(BV83,CC83,CD83)&gt;=0),BV83*CC83*CD83,"")</f>
        <v>6.796946531107711</v>
      </c>
      <c r="CF83" s="11" t="n">
        <f>IF(ISNUMBER(BQ83),BQ83,"")</f>
        <v>0.7719368903846591</v>
      </c>
      <c r="CG83" s="14" t="n">
        <f>IF(ISNUMBER(BU83),BU83,"")</f>
        <v>17</v>
      </c>
      <c r="CH83" s="13" t="n">
        <f>IF(AND(COUNT(BV83,CF83,CG83)=3,MIN(BV83,CF83,CG83)&gt;=0),BV83*CF83*CG83,"")</f>
        <v>2.665781998155636</v>
      </c>
      <c r="CI83" s="13" t="n">
        <f>IF(COUNT(BY83,CB83,CE83,CH83)=4,SUM(BY83,CB83,CE83,CH83),"")</f>
        <v>22.235267018362492</v>
      </c>
    </row>
    <row r="84" ht="72" customHeight="1">
      <c r="A84" s="16" t="str">
        <v>B06-LP-38.5</v>
      </c>
      <c r="B84" s="16" t="str">
        <v>1店-MUSSHOE-US</v>
      </c>
      <c r="C84" s="16" t="str">
        <v>艾年</v>
      </c>
      <c r="D84" s="26" t="n">
        <f>IF(NOT(ISNUMBER(E84)),"",IF(OR(E84&lt;=0,L84=0),0,IF(OR(NOT(ISNUMBER(F84)),F84&lt;0),"",MIN(E84,INT(F84)))))</f>
        <v>19</v>
      </c>
      <c r="E84" s="27" t="n">
        <f>IF(OR(NOT(ISNUMBER(L84)),COUNT(M84:O84)&lt;&gt;3,MIN(M84:O84)&lt;0),"",ROUNDUP(ROUND(BI84-SUM(M84:O84),10),0))</f>
        <v>19</v>
      </c>
      <c r="F84" s="28" t="n">
        <v>56</v>
      </c>
      <c r="G84" s="28" t="n">
        <f>IF(AND(ISNUMBER(D84),ISNUMBER(E84)),IF(OR(E84&lt;=0,L84=0),0,E84-D84),"")</f>
        <v>0</v>
      </c>
      <c r="H84" s="16" t="str">
        <f>IF(NOT(ISNUMBER(E84)),"销量或海外库存待补",IF(OR(E84&lt;=0,L84=0),IF(L84=0,"零日销，本批不发","本批无需补货"),IF(NOT(ISNUMBER(D84)),"国内库存待补",IF(D84=0,"国内无可用库存",IF(G84&gt;0,"先发国内现货","按建议量发货")))))</f>
        <v>按建议量发货</v>
      </c>
      <c r="I84" s="28" t="n">
        <f>IF(AND(COUNT(Z84,AA84,AB84)=3,Z84&gt;=AA84,AA84&gt;=0,AB84=7),Z84-AA84,"")</f>
        <v>10</v>
      </c>
      <c r="J84" s="28" t="n">
        <f>IF(AND(COUNT(AF84,AG84,AH84)=3,AF84&gt;=AG84,AG84&gt;=0,AH84=14),AF84-AG84,"")</f>
        <v>14</v>
      </c>
      <c r="K84" s="28" t="n">
        <f>IF(AND(COUNT(AL84,AM84,AN84)=3,AL84&gt;=AM84,AM84&gt;=0,AN84=30),AL84-AM84,"")</f>
        <v>22</v>
      </c>
      <c r="L84" s="29" t="n">
        <f>IF(ISNUMBER(BI84),BI84/90,"")</f>
        <v>0.6541041157761259</v>
      </c>
      <c r="M84" s="28" t="n">
        <v>40</v>
      </c>
      <c r="N84" s="28" t="n">
        <v>0</v>
      </c>
      <c r="O84" s="28" t="n">
        <v>0</v>
      </c>
      <c r="P84" s="30" t="n">
        <f>IF(AND(ISNUMBER(L84),L84&gt;0,COUNT(M84:O84)=3,MIN(M84:O84)&gt;=0),SUM(M84:O84)/L84,"")</f>
        <v>61.152344153251626</v>
      </c>
      <c r="Q84" s="16" t="str">
        <v>沿用原计划SKU店铺</v>
      </c>
      <c r="R84" s="16" t="str">
        <v>已匹配</v>
      </c>
      <c r="S84" s="16" t="str">
        <v>在售</v>
      </c>
      <c r="T84" s="16" t="str">
        <v>B06</v>
      </c>
      <c r="U84" s="16" t="str">
        <v>豹纹羊京绒</v>
      </c>
      <c r="V84" s="16" t="n">
        <v>7.5</v>
      </c>
      <c r="W84" s="8" t="str">
        <v>2026-10-11 至 2026-10-17</v>
      </c>
      <c r="X84" s="8" t="str">
        <v>2026-10-11、2026-10-12、2026-10-13、2026-10-14、2026-10-15、2026-10-16、2026-10-17</v>
      </c>
      <c r="Y84" s="8" t="str">
        <v>无</v>
      </c>
      <c r="Z84" s="8" t="n">
        <v>10</v>
      </c>
      <c r="AA84" s="8" t="n">
        <v>0</v>
      </c>
      <c r="AB84" s="8" t="n">
        <v>7</v>
      </c>
      <c r="AC84" s="8" t="str">
        <v>2026-10-02 至 2026-10-17</v>
      </c>
      <c r="AD84" s="8" t="str">
        <v>2026-10-02、2026-10-03、2026-10-04、2026-10-05、2026-10-08、2026-10-09、2026-10-10、2026-10-11、2026-10-12、2026-10-13、2026-10-14、2026-10-15、2026-10-16、2026-10-17</v>
      </c>
      <c r="AE84" s="8" t="str">
        <v>2026-10-06 大促；2026-10-07 大促</v>
      </c>
      <c r="AF84" s="8" t="n">
        <v>23</v>
      </c>
      <c r="AG84" s="8" t="n">
        <v>9</v>
      </c>
      <c r="AH84" s="8" t="n">
        <v>14</v>
      </c>
      <c r="AI84" s="8" t="str">
        <v>2026-09-16 至 2026-10-17</v>
      </c>
      <c r="AJ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" s="8" t="str">
        <v>2026-10-06 大促；2026-10-07 大促</v>
      </c>
      <c r="AL84" s="8" t="n">
        <v>31</v>
      </c>
      <c r="AM84" s="8" t="n">
        <v>9</v>
      </c>
      <c r="AN84" s="8" t="n">
        <v>30</v>
      </c>
      <c r="AO84" s="8" t="str">
        <v>B06 / 豹纹羊京绒 / 13120</v>
      </c>
      <c r="AP84" s="11" t="n">
        <v>1.2247029157699902</v>
      </c>
      <c r="AQ84" s="11" t="n">
        <v>1.2247029157699902</v>
      </c>
      <c r="AR84" s="11" t="n">
        <v>1.1136940657346173</v>
      </c>
      <c r="AS84" s="11" t="n">
        <f>IF(AND(COUNT(I84:K84,AP84:AR84)=6,MIN(AP84:AR84)&gt;0),I84/7/AP84*0.5+J84/14/AQ84*0.3+K84/30/AR84*0.2,"")</f>
        <v>0.9598830454313884</v>
      </c>
      <c r="AT84" s="8" t="n">
        <v>48</v>
      </c>
      <c r="AU84" s="8" t="n">
        <v>9</v>
      </c>
      <c r="AV84" s="8" t="n">
        <v>88</v>
      </c>
      <c r="AW84" s="11" t="n">
        <f>IF(AND(COUNT(AT84:AV84)=3,AT84&gt;=AU84,AU84&gt;=0,AV84&gt;0),(AT84-AU84)/AV84,"")</f>
        <v>0.4431818181818182</v>
      </c>
      <c r="AX84" s="8" t="n">
        <v>104</v>
      </c>
      <c r="AY84" s="8" t="n">
        <v>9</v>
      </c>
      <c r="AZ84" s="8" t="n">
        <v>178</v>
      </c>
      <c r="BA84" s="11" t="n">
        <f>IF(AND(COUNT(AX84:AZ84)=3,AX84&gt;=AY84,AY84&gt;=0,AZ84&gt;0),(AX84-AY84)/AZ84,"")</f>
        <v>0.5337078651685393</v>
      </c>
      <c r="BB84" s="8" t="n">
        <f>IF(COUNT(AS84,AW84,BA84)=3,1,0)</f>
        <v>1</v>
      </c>
      <c r="BC84" s="11" t="n">
        <f>IF(SUMIF($AO$11:$AO$1309,AO84,$BB$11:$BB$1309)=COUNTIF($AO$11:$AO$1309,AO84),SUMIF($AO$11:$AO$1309,AO84,$AS$11:$AS$1309),"")</f>
        <v>10.232422007128712</v>
      </c>
      <c r="BD84" s="11" t="n">
        <f>IF(SUMIF($AO$11:$AO$1309,AO84,$BB$11:$BB$1309)=COUNTIF($AO$11:$AO$1309,AO84),SUMIF($AO$11:$AO$1309,AO84,$AW$11:$AW$1309),"")</f>
        <v>6.3522727272727275</v>
      </c>
      <c r="BE84" s="11" t="n">
        <f>IF(SUMIF($AO$11:$AO$1309,AO84,$BB$11:$BB$1309)=COUNTIF($AO$11:$AO$1309,AO84),SUMIF($AO$11:$AO$1309,AO84,$BA$11:$BA$1309),"")</f>
        <v>5.5</v>
      </c>
      <c r="BF84" s="12" t="n">
        <f>IF(COUNT(BD84:BE84)&lt;&gt;2,"",IF(AND(BD84&gt;0,BE84&gt;0),0.7*AW84/BD84+0.3*BA84/BE84,IF(BD84&gt;0,AW84/BD84,IF(BE84&gt;0,BA84/BE84,IF(AND(ISNUMBER(BH84),BH84=0),0,"")))))</f>
        <v>0.07794854740242771</v>
      </c>
      <c r="BG84" s="11" t="n">
        <f>IF(AND(COUNT(BN84:BU84)=8,MIN(BN84:BU84)&gt;=0),SUMPRODUCT(BN84:BQ84,BR84:BU84),"")</f>
        <v>73.80791239847399</v>
      </c>
      <c r="BH84" s="11" t="n">
        <f>IF(COUNT(BC84,BG84)=2,BC84*BG84,"")</f>
        <v>755.2337071263734</v>
      </c>
      <c r="BI84" s="11" t="n">
        <f>IF(ISNUMBER(CI84),CI84,"")</f>
        <v>58.86937041985133</v>
      </c>
      <c r="BJ84" s="8" t="str">
        <v>低销提醒依据不完整</v>
      </c>
      <c r="BK84" s="8" t="str">
        <v>90天：2026-07-20 至 2026-10-17；180天：2026-04-21 至 2026-10-17</v>
      </c>
      <c r="BL84" s="8" t="str">
        <v>90天：2026-10-06、2026-10-07；180天：2026-10-06、2026-10-07</v>
      </c>
      <c r="BM84" s="8" t="str">
        <v>2026-10：12天 × 1.2247029157699902；2026-11：30天 × 0.8332682139098497；2026-12：31天 × 0.5511018253564084；2027-01：17天 × 1.0017220238758797</v>
      </c>
      <c r="BN84" s="11" t="n">
        <v>1.2247029157699902</v>
      </c>
      <c r="BO84" s="11" t="n">
        <v>0.8332682139098497</v>
      </c>
      <c r="BP84" s="11" t="n">
        <v>0.5511018253564084</v>
      </c>
      <c r="BQ84" s="11" t="n">
        <v>1.0017220238758797</v>
      </c>
      <c r="BR84" s="8" t="n">
        <v>12</v>
      </c>
      <c r="BS84" s="8" t="n">
        <v>30</v>
      </c>
      <c r="BT84" s="8" t="n">
        <v>31</v>
      </c>
      <c r="BU84" s="8" t="n">
        <v>17</v>
      </c>
      <c r="BV84" s="11" t="n">
        <f>IF(COUNT(BC84,BF84)=2,BC84*BF84,"")</f>
        <v>0.7976024318643169</v>
      </c>
      <c r="BW84" s="11" t="n">
        <f>IF(ISNUMBER(BN84),BN84,"")</f>
        <v>1.2247029157699902</v>
      </c>
      <c r="BX84" s="14" t="n">
        <f>IF(ISNUMBER(BR84),BR84,"")</f>
        <v>12</v>
      </c>
      <c r="BY84" s="13" t="n">
        <f>IF(AND(COUNT(BV84,BW84,BX84)=3,MIN(BV84,BW84,BX84)&gt;=0),BV84*BW84*BX84,"")</f>
        <v>11.721912287153566</v>
      </c>
      <c r="BZ84" s="11" t="n">
        <f>IF(ISNUMBER(BO84),BO84,"")</f>
        <v>0.8332682139098497</v>
      </c>
      <c r="CA84" s="14" t="n">
        <f>IF(ISNUMBER(BS84),BS84,"")</f>
        <v>30</v>
      </c>
      <c r="CB84" s="13" t="n">
        <f>IF(AND(COUNT(BV84,BZ84,CA84)=3,MIN(BV84,BZ84,CA84)&gt;=0),BV84*BZ84*CA84,"")</f>
        <v>19.93850261429196</v>
      </c>
      <c r="CC84" s="11" t="n">
        <f>IF(ISNUMBER(BP84),BP84,"")</f>
        <v>0.5511018253564084</v>
      </c>
      <c r="CD84" s="14" t="n">
        <f>IF(ISNUMBER(BT84),BT84,"")</f>
        <v>31</v>
      </c>
      <c r="CE84" s="13" t="n">
        <f>IF(AND(COUNT(BV84,CC84,CD84)=3,MIN(BV84,CC84,CD84)&gt;=0),BV84*CC84*CD84,"")</f>
        <v>13.626364839383198</v>
      </c>
      <c r="CF84" s="11" t="n">
        <f>IF(ISNUMBER(BQ84),BQ84,"")</f>
        <v>1.0017220238758797</v>
      </c>
      <c r="CG84" s="14" t="n">
        <f>IF(ISNUMBER(BU84),BU84,"")</f>
        <v>17</v>
      </c>
      <c r="CH84" s="13" t="n">
        <f>IF(AND(COUNT(BV84,CF84,CG84)=3,MIN(BV84,CF84,CG84)&gt;=0),BV84*CF84*CG84,"")</f>
        <v>13.5825906790226</v>
      </c>
      <c r="CI84" s="13" t="n">
        <f>IF(COUNT(BY84,CB84,CE84,CH84)=4,SUM(BY84,CB84,CE84,CH84),"")</f>
        <v>58.86937041985133</v>
      </c>
    </row>
    <row r="85" ht="72" customHeight="1">
      <c r="A85" s="16" t="str">
        <v>B07-BK-37-by</v>
      </c>
      <c r="B85" s="16" t="str">
        <v>4店-彬郁-US</v>
      </c>
      <c r="C85" s="16" t="str">
        <v>艾年</v>
      </c>
      <c r="D85" s="26" t="n">
        <f>IF(NOT(ISNUMBER(E85)),"",IF(OR(E85&lt;=0,L85=0),0,IF(OR(NOT(ISNUMBER(F85)),F85&lt;0),"",MIN(E85,INT(F85)))))</f>
        <v>19</v>
      </c>
      <c r="E85" s="27" t="n">
        <f>IF(OR(NOT(ISNUMBER(L85)),COUNT(M85:O85)&lt;&gt;3,MIN(M85:O85)&lt;0),"",ROUNDUP(ROUND(BI85-SUM(M85:O85),10),0))</f>
        <v>19</v>
      </c>
      <c r="F85" s="28" t="n">
        <v>38</v>
      </c>
      <c r="G85" s="28" t="n">
        <f>IF(AND(ISNUMBER(D85),ISNUMBER(E85)),IF(OR(E85&lt;=0,L85=0),0,E85-D85),"")</f>
        <v>0</v>
      </c>
      <c r="H85" s="16" t="str">
        <f>IF(NOT(ISNUMBER(E85)),"销量或海外库存待补",IF(OR(E85&lt;=0,L85=0),IF(L85=0,"零日销，本批不发","本批无需补货"),IF(NOT(ISNUMBER(D85)),"国内库存待补",IF(D85=0,"国内无可用库存",IF(G85&gt;0,"先发国内现货","按建议量发货")))))</f>
        <v>按建议量发货</v>
      </c>
      <c r="I85" s="28" t="n">
        <f>IF(AND(COUNT(Z85,AA85,AB85)=3,Z85&gt;=AA85,AA85&gt;=0,AB85=7),Z85-AA85,"")</f>
        <v>1</v>
      </c>
      <c r="J85" s="28" t="n">
        <f>IF(AND(COUNT(AF85,AG85,AH85)=3,AF85&gt;=AG85,AG85&gt;=0,AH85=14),AF85-AG85,"")</f>
        <v>3</v>
      </c>
      <c r="K85" s="28" t="n">
        <f>IF(AND(COUNT(AL85,AM85,AN85)=3,AL85&gt;=AM85,AM85&gt;=0,AN85=30),AL85-AM85,"")</f>
        <v>4</v>
      </c>
      <c r="L85" s="29" t="n">
        <f>IF(ISNUMBER(BI85),BI85/90,"")</f>
        <v>0.284244625219064</v>
      </c>
      <c r="M85" s="28" t="n">
        <v>7</v>
      </c>
      <c r="N85" s="28" t="n">
        <v>0</v>
      </c>
      <c r="O85" s="28" t="n">
        <v>0</v>
      </c>
      <c r="P85" s="30" t="n">
        <f>IF(AND(ISNUMBER(L85),L85&gt;0,COUNT(M85:O85)=3,MIN(M85:O85)&gt;=0),SUM(M85:O85)/L85,"")</f>
        <v>24.626674979712217</v>
      </c>
      <c r="Q85" s="16" t="str">
        <v>沿用原计划SKU店铺</v>
      </c>
      <c r="R85" s="16" t="str">
        <v>已匹配</v>
      </c>
      <c r="S85" s="16" t="str">
        <v>在售</v>
      </c>
      <c r="T85" s="16" t="str">
        <v>B07</v>
      </c>
      <c r="U85" s="16" t="str">
        <v>黑色羊京绒</v>
      </c>
      <c r="V85" s="16" t="n">
        <v>6</v>
      </c>
      <c r="W85" s="8" t="str">
        <v>2026-10-11 至 2026-10-17</v>
      </c>
      <c r="X85" s="8" t="str">
        <v>2026-10-11、2026-10-12、2026-10-13、2026-10-14、2026-10-15、2026-10-16、2026-10-17</v>
      </c>
      <c r="Y85" s="8" t="str">
        <v>无</v>
      </c>
      <c r="Z85" s="8" t="n">
        <v>1</v>
      </c>
      <c r="AA85" s="8" t="n">
        <v>0</v>
      </c>
      <c r="AB85" s="8" t="n">
        <v>7</v>
      </c>
      <c r="AC85" s="8" t="str">
        <v>2026-10-02 至 2026-10-17</v>
      </c>
      <c r="AD85" s="8" t="str">
        <v>2026-10-02、2026-10-03、2026-10-04、2026-10-05、2026-10-08、2026-10-09、2026-10-10、2026-10-11、2026-10-12、2026-10-13、2026-10-14、2026-10-15、2026-10-16、2026-10-17</v>
      </c>
      <c r="AE85" s="8" t="str">
        <v>2026-10-06 大促；2026-10-07 大促</v>
      </c>
      <c r="AF85" s="8" t="n">
        <v>5</v>
      </c>
      <c r="AG85" s="8" t="n">
        <v>2</v>
      </c>
      <c r="AH85" s="8" t="n">
        <v>14</v>
      </c>
      <c r="AI85" s="8" t="str">
        <v>2026-09-16 至 2026-10-17</v>
      </c>
      <c r="AJ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" s="8" t="str">
        <v>2026-10-06 大促；2026-10-07 大促</v>
      </c>
      <c r="AL85" s="8" t="n">
        <v>6</v>
      </c>
      <c r="AM85" s="8" t="n">
        <v>2</v>
      </c>
      <c r="AN85" s="8" t="n">
        <v>30</v>
      </c>
      <c r="AO85" s="8" t="str">
        <v>B07 / 黑色天鹅绒 / 13306</v>
      </c>
      <c r="AP85" s="11" t="n">
        <v>0.7307750238224848</v>
      </c>
      <c r="AQ85" s="11" t="n">
        <v>0.7307750238224848</v>
      </c>
      <c r="AR85" s="11" t="n">
        <v>0.7449809054134506</v>
      </c>
      <c r="AS85" s="11" t="n">
        <f>IF(AND(COUNT(I85:K85,AP85:AR85)=6,MIN(AP85:AR85)&gt;0),I85/7/AP85*0.5+J85/14/AQ85*0.3+K85/30/AR85*0.2,"")</f>
        <v>0.22150791439139897</v>
      </c>
      <c r="AT85" s="8" t="n">
        <v>15</v>
      </c>
      <c r="AU85" s="8" t="n">
        <v>2</v>
      </c>
      <c r="AV85" s="8" t="n">
        <v>88</v>
      </c>
      <c r="AW85" s="11" t="n">
        <f>IF(AND(COUNT(AT85:AV85)=3,AT85&gt;=AU85,AU85&gt;=0,AV85&gt;0),(AT85-AU85)/AV85,"")</f>
        <v>0.14772727272727273</v>
      </c>
      <c r="AX85" s="8" t="n">
        <v>32</v>
      </c>
      <c r="AY85" s="8" t="n">
        <v>2</v>
      </c>
      <c r="AZ85" s="8" t="n">
        <v>178</v>
      </c>
      <c r="BA85" s="11" t="n">
        <f>IF(AND(COUNT(AX85:AZ85)=3,AX85&gt;=AY85,AY85&gt;=0,AZ85&gt;0),(AX85-AY85)/AZ85,"")</f>
        <v>0.16853932584269662</v>
      </c>
      <c r="BB85" s="8" t="n">
        <f>IF(COUNT(AS85,AW85,BA85)=3,1,0)</f>
        <v>1</v>
      </c>
      <c r="BC85" s="11" t="n">
        <f>IF(SUMIF($AO$11:$AO$1309,AO85,$BB$11:$BB$1309)=COUNTIF($AO$11:$AO$1309,AO85),SUMIF($AO$11:$AO$1309,AO85,$AS$11:$AS$1309),"")</f>
        <v>11.92937132043239</v>
      </c>
      <c r="BD85" s="11" t="n">
        <f>IF(SUMIF($AO$11:$AO$1309,AO85,$BB$11:$BB$1309)=COUNTIF($AO$11:$AO$1309,AO85),SUMIF($AO$11:$AO$1309,AO85,$AW$11:$AW$1309),"")</f>
        <v>5.794919786096258</v>
      </c>
      <c r="BE85" s="11" t="n">
        <f>IF(SUMIF($AO$11:$AO$1309,AO85,$BB$11:$BB$1309)=COUNTIF($AO$11:$AO$1309,AO85),SUMIF($AO$11:$AO$1309,AO85,$BA$11:$BA$1309),"")</f>
        <v>5.3098234349919755</v>
      </c>
      <c r="BF85" s="12" t="n">
        <f>IF(COUNT(BD85:BE85)&lt;&gt;2,"",IF(AND(BD85&gt;0,BE85&gt;0),0.7*AW85/BD85+0.3*BA85/BE85,IF(BD85&gt;0,AW85/BD85,IF(BE85&gt;0,BA85/BE85,IF(AND(ISNUMBER(BH85),BH85=0),0,"")))))</f>
        <v>0.027367096273092695</v>
      </c>
      <c r="BG85" s="11" t="n">
        <f>IF(AND(COUNT(BN85:BU85)=8,MIN(BN85:BU85)&gt;=0),SUMPRODUCT(BN85:BQ85,BR85:BU85),"")</f>
        <v>78.35892944347341</v>
      </c>
      <c r="BH85" s="11" t="n">
        <f>IF(COUNT(BC85,BG85)=2,BC85*BG85,"")</f>
        <v>934.7727656027569</v>
      </c>
      <c r="BI85" s="11" t="n">
        <f>IF(ISNUMBER(CI85),CI85,"")</f>
        <v>25.582016269715762</v>
      </c>
      <c r="BJ85" s="8" t="str">
        <v>低销提醒依据不完整</v>
      </c>
      <c r="BK85" s="8" t="str">
        <v>90天：2026-07-20 至 2026-10-17；180天：2026-04-21 至 2026-10-17</v>
      </c>
      <c r="BL85" s="8" t="str">
        <v>90天：2026-10-06、2026-10-07；180天：2026-10-06、2026-10-07</v>
      </c>
      <c r="BM85" s="8" t="str">
        <v>2026-10：12天 × 0.7307750238224848；2026-11：30天 × 0.9523018155490097；2026-12：31天 × 0.5958545198749097；2027-01：17天 × 1.3264167397065354</v>
      </c>
      <c r="BN85" s="11" t="n">
        <v>0.7307750238224848</v>
      </c>
      <c r="BO85" s="11" t="n">
        <v>0.9523018155490097</v>
      </c>
      <c r="BP85" s="11" t="n">
        <v>0.5958545198749097</v>
      </c>
      <c r="BQ85" s="11" t="n">
        <v>1.3264167397065354</v>
      </c>
      <c r="BR85" s="8" t="n">
        <v>12</v>
      </c>
      <c r="BS85" s="8" t="n">
        <v>30</v>
      </c>
      <c r="BT85" s="8" t="n">
        <v>31</v>
      </c>
      <c r="BU85" s="8" t="n">
        <v>17</v>
      </c>
      <c r="BV85" s="11" t="n">
        <f>IF(COUNT(BC85,BF85)=2,BC85*BF85,"")</f>
        <v>0.32647225340374414</v>
      </c>
      <c r="BW85" s="11" t="n">
        <f>IF(ISNUMBER(BN85),BN85,"")</f>
        <v>0.7307750238224848</v>
      </c>
      <c r="BX85" s="14" t="n">
        <f>IF(ISNUMBER(BR85),BR85,"")</f>
        <v>12</v>
      </c>
      <c r="BY85" s="13" t="n">
        <f>IF(AND(COUNT(BV85,BW85,BX85)=3,MIN(BV85,BW85,BX85)&gt;=0),BV85*BW85*BX85,"")</f>
        <v>2.862933225102017</v>
      </c>
      <c r="BZ85" s="11" t="n">
        <f>IF(ISNUMBER(BO85),BO85,"")</f>
        <v>0.9523018155490097</v>
      </c>
      <c r="CA85" s="14" t="n">
        <f>IF(ISNUMBER(BS85),BS85,"")</f>
        <v>30</v>
      </c>
      <c r="CB85" s="13" t="n">
        <f>IF(AND(COUNT(BV85,BZ85,CA85)=3,MIN(BV85,BZ85,CA85)&gt;=0),BV85*BZ85*CA85,"")</f>
        <v>9.327003589282858</v>
      </c>
      <c r="CC85" s="11" t="n">
        <f>IF(ISNUMBER(BP85),BP85,"")</f>
        <v>0.5958545198749097</v>
      </c>
      <c r="CD85" s="14" t="n">
        <f>IF(ISNUMBER(BT85),BT85,"")</f>
        <v>31</v>
      </c>
      <c r="CE85" s="13" t="n">
        <f>IF(AND(COUNT(BV85,CC85,CD85)=3,MIN(BV85,CC85,CD85)&gt;=0),BV85*CC85*CD85,"")</f>
        <v>6.030429001935403</v>
      </c>
      <c r="CF85" s="11" t="n">
        <f>IF(ISNUMBER(BQ85),BQ85,"")</f>
        <v>1.3264167397065354</v>
      </c>
      <c r="CG85" s="14" t="n">
        <f>IF(ISNUMBER(BU85),BU85,"")</f>
        <v>17</v>
      </c>
      <c r="CH85" s="13" t="n">
        <f>IF(AND(COUNT(BV85,CF85,CG85)=3,MIN(BV85,CF85,CG85)&gt;=0),BV85*CF85*CG85,"")</f>
        <v>7.361650453395483</v>
      </c>
      <c r="CI85" s="13" t="n">
        <f>IF(COUNT(BY85,CB85,CE85,CH85)=4,SUM(BY85,CB85,CE85,CH85),"")</f>
        <v>25.582016269715762</v>
      </c>
    </row>
    <row r="86" ht="72" customHeight="1">
      <c r="A86" s="16" t="str">
        <v>B07-BK-40.5</v>
      </c>
      <c r="B86" s="16" t="str">
        <v>4店-彬郁-US</v>
      </c>
      <c r="C86" s="16" t="str">
        <v>艾年</v>
      </c>
      <c r="D86" s="26" t="n">
        <f>IF(NOT(ISNUMBER(E86)),"",IF(OR(E86&lt;=0,L86=0),0,IF(OR(NOT(ISNUMBER(F86)),F86&lt;0),"",MIN(E86,INT(F86)))))</f>
        <v>19</v>
      </c>
      <c r="E86" s="27" t="n">
        <f>IF(OR(NOT(ISNUMBER(L86)),COUNT(M86:O86)&lt;&gt;3,MIN(M86:O86)&lt;0),"",ROUNDUP(ROUND(BI86-SUM(M86:O86),10),0))</f>
        <v>19</v>
      </c>
      <c r="F86" s="28" t="n">
        <v>44</v>
      </c>
      <c r="G86" s="28" t="n">
        <f>IF(AND(ISNUMBER(D86),ISNUMBER(E86)),IF(OR(E86&lt;=0,L86=0),0,E86-D86),"")</f>
        <v>0</v>
      </c>
      <c r="H86" s="16" t="str">
        <f>IF(NOT(ISNUMBER(E86)),"销量或海外库存待补",IF(OR(E86&lt;=0,L86=0),IF(L86=0,"零日销，本批不发","本批无需补货"),IF(NOT(ISNUMBER(D86)),"国内库存待补",IF(D86=0,"国内无可用库存",IF(G86&gt;0,"先发国内现货","按建议量发货")))))</f>
        <v>按建议量发货</v>
      </c>
      <c r="I86" s="28" t="n">
        <f>IF(AND(COUNT(Z86,AA86,AB86)=3,Z86&gt;=AA86,AA86&gt;=0,AB86=7),Z86-AA86,"")</f>
        <v>2</v>
      </c>
      <c r="J86" s="28" t="n">
        <f>IF(AND(COUNT(AF86,AG86,AH86)=3,AF86&gt;=AG86,AG86&gt;=0,AH86=14),AF86-AG86,"")</f>
        <v>4</v>
      </c>
      <c r="K86" s="28" t="n">
        <f>IF(AND(COUNT(AL86,AM86,AN86)=3,AL86&gt;=AM86,AM86&gt;=0,AN86=30),AL86-AM86,"")</f>
        <v>6</v>
      </c>
      <c r="L86" s="29" t="n">
        <f>IF(ISNUMBER(BI86),BI86/90,"")</f>
        <v>0.37094372371936546</v>
      </c>
      <c r="M86" s="28" t="n">
        <v>10</v>
      </c>
      <c r="N86" s="28" t="n">
        <v>0</v>
      </c>
      <c r="O86" s="28" t="n">
        <v>5</v>
      </c>
      <c r="P86" s="30" t="n">
        <f>IF(AND(ISNUMBER(L86),L86&gt;0,COUNT(M86:O86)=3,MIN(M86:O86)&gt;=0),SUM(M86:O86)/L86,"")</f>
        <v>40.437400718358376</v>
      </c>
      <c r="Q86" s="16" t="str">
        <v>沿用原计划SKU店铺</v>
      </c>
      <c r="R86" s="16" t="str">
        <v>已匹配</v>
      </c>
      <c r="S86" s="16" t="str">
        <v>在售</v>
      </c>
      <c r="T86" s="16" t="str">
        <v>B07</v>
      </c>
      <c r="U86" s="16" t="str">
        <v>黑色羊京绒</v>
      </c>
      <c r="V86" s="16" t="n">
        <v>9.5</v>
      </c>
      <c r="W86" s="8" t="str">
        <v>2026-10-11 至 2026-10-17</v>
      </c>
      <c r="X86" s="8" t="str">
        <v>2026-10-11、2026-10-12、2026-10-13、2026-10-14、2026-10-15、2026-10-16、2026-10-17</v>
      </c>
      <c r="Y86" s="8" t="str">
        <v>无</v>
      </c>
      <c r="Z86" s="8" t="n">
        <v>2</v>
      </c>
      <c r="AA86" s="8" t="n">
        <v>0</v>
      </c>
      <c r="AB86" s="8" t="n">
        <v>7</v>
      </c>
      <c r="AC86" s="8" t="str">
        <v>2026-10-02 至 2026-10-17</v>
      </c>
      <c r="AD86" s="8" t="str">
        <v>2026-10-02、2026-10-03、2026-10-04、2026-10-05、2026-10-08、2026-10-09、2026-10-10、2026-10-11、2026-10-12、2026-10-13、2026-10-14、2026-10-15、2026-10-16、2026-10-17</v>
      </c>
      <c r="AE86" s="8" t="str">
        <v>2026-10-06 大促；2026-10-07 大促</v>
      </c>
      <c r="AF86" s="8" t="n">
        <v>7</v>
      </c>
      <c r="AG86" s="8" t="n">
        <v>3</v>
      </c>
      <c r="AH86" s="8" t="n">
        <v>14</v>
      </c>
      <c r="AI86" s="8" t="str">
        <v>2026-09-16 至 2026-10-17</v>
      </c>
      <c r="AJ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" s="8" t="str">
        <v>2026-10-06 大促；2026-10-07 大促</v>
      </c>
      <c r="AL86" s="8" t="n">
        <v>9</v>
      </c>
      <c r="AM86" s="8" t="n">
        <v>3</v>
      </c>
      <c r="AN86" s="8" t="n">
        <v>30</v>
      </c>
      <c r="AO86" s="8" t="str">
        <v>B07 / 黑色天鹅绒 / 13306</v>
      </c>
      <c r="AP86" s="11" t="n">
        <v>0.7307750238224848</v>
      </c>
      <c r="AQ86" s="11" t="n">
        <v>0.7307750238224848</v>
      </c>
      <c r="AR86" s="11" t="n">
        <v>0.7449809054134506</v>
      </c>
      <c r="AS86" s="11" t="n">
        <f>IF(AND(COUNT(I86:K86,AP86:AR86)=6,MIN(AP86:AR86)&gt;0),I86/7/AP86*0.5+J86/14/AQ86*0.3+K86/30/AR86*0.2,"")</f>
        <v>0.3664721267066999</v>
      </c>
      <c r="AT86" s="8" t="n">
        <v>20</v>
      </c>
      <c r="AU86" s="8" t="n">
        <v>3</v>
      </c>
      <c r="AV86" s="8" t="n">
        <v>88</v>
      </c>
      <c r="AW86" s="11" t="n">
        <f>IF(AND(COUNT(AT86:AV86)=3,AT86&gt;=AU86,AU86&gt;=0,AV86&gt;0),(AT86-AU86)/AV86,"")</f>
        <v>0.19318181818181818</v>
      </c>
      <c r="AX86" s="8" t="n">
        <v>42</v>
      </c>
      <c r="AY86" s="8" t="n">
        <v>3</v>
      </c>
      <c r="AZ86" s="8" t="n">
        <v>178</v>
      </c>
      <c r="BA86" s="11" t="n">
        <f>IF(AND(COUNT(AX86:AZ86)=3,AX86&gt;=AY86,AY86&gt;=0,AZ86&gt;0),(AX86-AY86)/AZ86,"")</f>
        <v>0.21910112359550563</v>
      </c>
      <c r="BB86" s="8" t="n">
        <f>IF(COUNT(AS86,AW86,BA86)=3,1,0)</f>
        <v>1</v>
      </c>
      <c r="BC86" s="11" t="n">
        <f>IF(SUMIF($AO$11:$AO$1309,AO86,$BB$11:$BB$1309)=COUNTIF($AO$11:$AO$1309,AO86),SUMIF($AO$11:$AO$1309,AO86,$AS$11:$AS$1309),"")</f>
        <v>11.92937132043239</v>
      </c>
      <c r="BD86" s="11" t="n">
        <f>IF(SUMIF($AO$11:$AO$1309,AO86,$BB$11:$BB$1309)=COUNTIF($AO$11:$AO$1309,AO86),SUMIF($AO$11:$AO$1309,AO86,$AW$11:$AW$1309),"")</f>
        <v>5.794919786096258</v>
      </c>
      <c r="BE86" s="11" t="n">
        <f>IF(SUMIF($AO$11:$AO$1309,AO86,$BB$11:$BB$1309)=COUNTIF($AO$11:$AO$1309,AO86),SUMIF($AO$11:$AO$1309,AO86,$BA$11:$BA$1309),"")</f>
        <v>5.3098234349919755</v>
      </c>
      <c r="BF86" s="12" t="n">
        <f>IF(COUNT(BD86:BE86)&lt;&gt;2,"",IF(AND(BD86&gt;0,BE86&gt;0),0.7*AW86/BD86+0.3*BA86/BE86,IF(BD86&gt;0,AW86/BD86,IF(BE86&gt;0,BA86/BE86,IF(AND(ISNUMBER(BH86),BH86=0),0,"")))))</f>
        <v>0.03571449272296218</v>
      </c>
      <c r="BG86" s="11" t="n">
        <f>IF(AND(COUNT(BN86:BU86)=8,MIN(BN86:BU86)&gt;=0),SUMPRODUCT(BN86:BQ86,BR86:BU86),"")</f>
        <v>78.35892944347341</v>
      </c>
      <c r="BH86" s="11" t="n">
        <f>IF(COUNT(BC86,BG86)=2,BC86*BG86,"")</f>
        <v>934.7727656027569</v>
      </c>
      <c r="BI86" s="11" t="n">
        <f>IF(ISNUMBER(CI86),CI86,"")</f>
        <v>33.38493513474289</v>
      </c>
      <c r="BJ86" s="8" t="str">
        <v>低销提醒依据不完整</v>
      </c>
      <c r="BK86" s="8" t="str">
        <v>90天：2026-07-20 至 2026-10-17；180天：2026-04-21 至 2026-10-17</v>
      </c>
      <c r="BL86" s="8" t="str">
        <v>90天：2026-10-06、2026-10-07；180天：2026-10-06、2026-10-07</v>
      </c>
      <c r="BM86" s="8" t="str">
        <v>2026-10：12天 × 0.7307750238224848；2026-11：30天 × 0.9523018155490097；2026-12：31天 × 0.5958545198749097；2027-01：17天 × 1.3264167397065354</v>
      </c>
      <c r="BN86" s="11" t="n">
        <v>0.7307750238224848</v>
      </c>
      <c r="BO86" s="11" t="n">
        <v>0.9523018155490097</v>
      </c>
      <c r="BP86" s="11" t="n">
        <v>0.5958545198749097</v>
      </c>
      <c r="BQ86" s="11" t="n">
        <v>1.3264167397065354</v>
      </c>
      <c r="BR86" s="8" t="n">
        <v>12</v>
      </c>
      <c r="BS86" s="8" t="n">
        <v>30</v>
      </c>
      <c r="BT86" s="8" t="n">
        <v>31</v>
      </c>
      <c r="BU86" s="8" t="n">
        <v>17</v>
      </c>
      <c r="BV86" s="11" t="n">
        <f>IF(COUNT(BC86,BF86)=2,BC86*BF86,"")</f>
        <v>0.4260514452130963</v>
      </c>
      <c r="BW86" s="11" t="n">
        <f>IF(ISNUMBER(BN86),BN86,"")</f>
        <v>0.7307750238224848</v>
      </c>
      <c r="BX86" s="14" t="n">
        <f>IF(ISNUMBER(BR86),BR86,"")</f>
        <v>12</v>
      </c>
      <c r="BY86" s="13" t="n">
        <f>IF(AND(COUNT(BV86,BW86,BX86)=3,MIN(BV86,BW86,BX86)&gt;=0),BV86*BW86*BX86,"")</f>
        <v>3.736173060302454</v>
      </c>
      <c r="BZ86" s="11" t="n">
        <f>IF(ISNUMBER(BO86),BO86,"")</f>
        <v>0.9523018155490097</v>
      </c>
      <c r="CA86" s="14" t="n">
        <f>IF(ISNUMBER(BS86),BS86,"")</f>
        <v>30</v>
      </c>
      <c r="CB86" s="13" t="n">
        <f>IF(AND(COUNT(BV86,BZ86,CA86)=3,MIN(BV86,BZ86,CA86)&gt;=0),BV86*BZ86*CA86,"")</f>
        <v>12.17188694381133</v>
      </c>
      <c r="CC86" s="11" t="n">
        <f>IF(ISNUMBER(BP86),BP86,"")</f>
        <v>0.5958545198749097</v>
      </c>
      <c r="CD86" s="14" t="n">
        <f>IF(ISNUMBER(BT86),BT86,"")</f>
        <v>31</v>
      </c>
      <c r="CE86" s="13" t="n">
        <f>IF(AND(COUNT(BV86,CC86,CD86)=3,MIN(BV86,CC86,CD86)&gt;=0),BV86*CC86*CD86,"")</f>
        <v>7.869805059213287</v>
      </c>
      <c r="CF86" s="11" t="n">
        <f>IF(ISNUMBER(BQ86),BQ86,"")</f>
        <v>1.3264167397065354</v>
      </c>
      <c r="CG86" s="14" t="n">
        <f>IF(ISNUMBER(BU86),BU86,"")</f>
        <v>17</v>
      </c>
      <c r="CH86" s="13" t="n">
        <f>IF(AND(COUNT(BV86,CF86,CG86)=3,MIN(BV86,CF86,CG86)&gt;=0),BV86*CF86*CG86,"")</f>
        <v>9.607070071415817</v>
      </c>
      <c r="CI86" s="13" t="n">
        <f>IF(COUNT(BY86,CB86,CE86,CH86)=4,SUM(BY86,CB86,CE86,CH86),"")</f>
        <v>33.38493513474289</v>
      </c>
    </row>
    <row r="87" ht="72" customHeight="1">
      <c r="A87" s="16" t="str">
        <v>S02a-ND-40</v>
      </c>
      <c r="B87" s="16" t="str">
        <v>3店-SANDIEX-US</v>
      </c>
      <c r="C87" s="16" t="str">
        <v>陈晨</v>
      </c>
      <c r="D87" s="26" t="n">
        <f>IF(NOT(ISNUMBER(E87)),"",IF(OR(E87&lt;=0,L87=0),0,IF(OR(NOT(ISNUMBER(F87)),F87&lt;0),"",MIN(E87,INT(F87)))))</f>
        <v>19</v>
      </c>
      <c r="E87" s="27" t="n">
        <f>IF(OR(NOT(ISNUMBER(L87)),COUNT(M87:O87)&lt;&gt;3,MIN(M87:O87)&lt;0),"",ROUNDUP(ROUND(BI87-SUM(M87:O87),10),0))</f>
        <v>19</v>
      </c>
      <c r="F87" s="28" t="n">
        <v>105</v>
      </c>
      <c r="G87" s="28" t="n">
        <f>IF(AND(ISNUMBER(D87),ISNUMBER(E87)),IF(OR(E87&lt;=0,L87=0),0,E87-D87),"")</f>
        <v>0</v>
      </c>
      <c r="H87" s="16" t="str">
        <f>IF(NOT(ISNUMBER(E87)),"销量或海外库存待补",IF(OR(E87&lt;=0,L87=0),IF(L87=0,"零日销，本批不发","本批无需补货"),IF(NOT(ISNUMBER(D87)),"国内库存待补",IF(D87=0,"国内无可用库存",IF(G87&gt;0,"先发国内现货","按建议量发货")))))</f>
        <v>按建议量发货</v>
      </c>
      <c r="I87" s="28" t="n">
        <f>IF(AND(COUNT(Z87,AA87,AB87)=3,Z87&gt;=AA87,AA87&gt;=0,AB87=7),Z87-AA87,"")</f>
        <v>2</v>
      </c>
      <c r="J87" s="28" t="n">
        <f>IF(AND(COUNT(AF87,AG87,AH87)=3,AF87&gt;=AG87,AG87&gt;=0,AH87=14),AF87-AG87,"")</f>
        <v>4</v>
      </c>
      <c r="K87" s="28" t="n">
        <f>IF(AND(COUNT(AL87,AM87,AN87)=3,AL87&gt;=AM87,AM87&gt;=0,AN87=30),AL87-AM87,"")</f>
        <v>6</v>
      </c>
      <c r="L87" s="29" t="n">
        <f>IF(ISNUMBER(BI87),BI87/90,"")</f>
        <v>0.6459061671173186</v>
      </c>
      <c r="M87" s="28" t="n">
        <v>40</v>
      </c>
      <c r="N87" s="28" t="n">
        <v>0</v>
      </c>
      <c r="O87" s="28" t="n">
        <v>0</v>
      </c>
      <c r="P87" s="30" t="n">
        <f>IF(AND(ISNUMBER(L87),L87&gt;0,COUNT(M87:O87)=3,MIN(M87:O87)&gt;=0),SUM(M87:O87)/L87,"")</f>
        <v>61.928499891122165</v>
      </c>
      <c r="Q87" s="16" t="str">
        <v>沿用原计划SKU店铺</v>
      </c>
      <c r="R87" s="16" t="str">
        <v>已匹配</v>
      </c>
      <c r="S87" s="16" t="str">
        <v>在售</v>
      </c>
      <c r="T87" s="16" t="str">
        <v>S02a</v>
      </c>
      <c r="U87" s="16" t="str">
        <v>裸色</v>
      </c>
      <c r="V87" s="16" t="n">
        <v>9</v>
      </c>
      <c r="W87" s="8" t="str">
        <v>2026-10-11 至 2026-10-17</v>
      </c>
      <c r="X87" s="8" t="str">
        <v>2026-10-11、2026-10-12、2026-10-13、2026-10-14、2026-10-15、2026-10-16、2026-10-17</v>
      </c>
      <c r="Y87" s="8" t="str">
        <v>无</v>
      </c>
      <c r="Z87" s="8" t="n">
        <v>2</v>
      </c>
      <c r="AA87" s="8" t="n">
        <v>0</v>
      </c>
      <c r="AB87" s="8" t="n">
        <v>7</v>
      </c>
      <c r="AC87" s="8" t="str">
        <v>2026-10-02 至 2026-10-17</v>
      </c>
      <c r="AD87" s="8" t="str">
        <v>2026-10-02、2026-10-03、2026-10-04、2026-10-05、2026-10-08、2026-10-09、2026-10-10、2026-10-11、2026-10-12、2026-10-13、2026-10-14、2026-10-15、2026-10-16、2026-10-17</v>
      </c>
      <c r="AE87" s="8" t="str">
        <v>2026-10-06 大促；2026-10-07 大促</v>
      </c>
      <c r="AF87" s="8" t="n">
        <v>4</v>
      </c>
      <c r="AG87" s="8" t="n">
        <v>0</v>
      </c>
      <c r="AH87" s="8" t="n">
        <v>14</v>
      </c>
      <c r="AI87" s="8" t="str">
        <v>2026-09-16 至 2026-10-17</v>
      </c>
      <c r="AJ8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" s="8" t="str">
        <v>2026-10-06 大促；2026-10-07 大促</v>
      </c>
      <c r="AL87" s="8" t="n">
        <v>6</v>
      </c>
      <c r="AM87" s="8" t="n">
        <v>0</v>
      </c>
      <c r="AN87" s="8" t="n">
        <v>30</v>
      </c>
      <c r="AO87" s="8" t="str">
        <v>S02a / 裸色 / 6574</v>
      </c>
      <c r="AP87" s="11" t="n">
        <v>0.7647664488148722</v>
      </c>
      <c r="AQ87" s="11" t="n">
        <v>0.7647664488148722</v>
      </c>
      <c r="AR87" s="11" t="n">
        <v>0.8066052567225582</v>
      </c>
      <c r="AS87" s="11" t="n">
        <f>IF(AND(COUNT(I87:K87,AP87:AR87)=6,MIN(AP87:AR87)&gt;0),I87/7/AP87*0.5+J87/14/AQ87*0.3+K87/30/AR87*0.2,"")</f>
        <v>0.348467979213073</v>
      </c>
      <c r="AT87" s="8" t="n">
        <v>19</v>
      </c>
      <c r="AU87" s="8" t="n">
        <v>0</v>
      </c>
      <c r="AV87" s="8" t="n">
        <v>88</v>
      </c>
      <c r="AW87" s="11" t="n">
        <f>IF(AND(COUNT(AT87:AV87)=3,AT87&gt;=AU87,AU87&gt;=0,AV87&gt;0),(AT87-AU87)/AV87,"")</f>
        <v>0.2159090909090909</v>
      </c>
      <c r="AX87" s="8" t="n">
        <v>30</v>
      </c>
      <c r="AY87" s="8" t="n">
        <v>0</v>
      </c>
      <c r="AZ87" s="8" t="n">
        <v>178</v>
      </c>
      <c r="BA87" s="11" t="n">
        <f>IF(AND(COUNT(AX87:AZ87)=3,AX87&gt;=AY87,AY87&gt;=0,AZ87&gt;0),(AX87-AY87)/AZ87,"")</f>
        <v>0.16853932584269662</v>
      </c>
      <c r="BB87" s="8" t="n">
        <f>IF(COUNT(AS87,AW87,BA87)=3,1,0)</f>
        <v>1</v>
      </c>
      <c r="BC87" s="11" t="n">
        <f>IF(SUMIF($AO$11:$AO$1309,AO87,$BB$11:$BB$1309)=COUNTIF($AO$11:$AO$1309,AO87),SUMIF($AO$11:$AO$1309,AO87,$AS$11:$AS$1309),"")</f>
        <v>1.7214890010212096</v>
      </c>
      <c r="BD87" s="11" t="n">
        <f>IF(SUMIF($AO$11:$AO$1309,AO87,$BB$11:$BB$1309)=COUNTIF($AO$11:$AO$1309,AO87),SUMIF($AO$11:$AO$1309,AO87,$AW$11:$AW$1309),"")</f>
        <v>0.7169661733615222</v>
      </c>
      <c r="BE87" s="11" t="n">
        <f>IF(SUMIF($AO$11:$AO$1309,AO87,$BB$11:$BB$1309)=COUNTIF($AO$11:$AO$1309,AO87),SUMIF($AO$11:$AO$1309,AO87,$BA$11:$BA$1309),"")</f>
        <v>0.6069969356486209</v>
      </c>
      <c r="BF87" s="12" t="n">
        <f>IF(COUNT(BD87:BE87)&lt;&gt;2,"",IF(AND(BD87&gt;0,BE87&gt;0),0.7*AW87/BD87+0.3*BA87/BE87,IF(BD87&gt;0,AW87/BD87,IF(BE87&gt;0,BA87/BE87,IF(AND(ISNUMBER(BH87),BH87=0),0,"")))))</f>
        <v>0.2940981276984667</v>
      </c>
      <c r="BG87" s="11" t="n">
        <f>IF(AND(COUNT(BN87:BU87)=8,MIN(BN87:BU87)&gt;=0),SUMPRODUCT(BN87:BQ87,BR87:BU87),"")</f>
        <v>114.81944114457707</v>
      </c>
      <c r="BH87" s="11" t="n">
        <f>IF(COUNT(BC87,BG87)=2,BC87*BG87,"")</f>
        <v>197.66040503379156</v>
      </c>
      <c r="BI87" s="11" t="n">
        <f>IF(ISNUMBER(CI87),CI87,"")</f>
        <v>58.13155504055868</v>
      </c>
      <c r="BJ87" s="8" t="str"/>
      <c r="BK87" s="8" t="str">
        <v>90天：2026-07-20 至 2026-10-17；180天：2026-04-21 至 2026-10-17</v>
      </c>
      <c r="BL87" s="8" t="str">
        <v>90天：2026-10-06、2026-10-07；180天：2026-10-06、2026-10-07</v>
      </c>
      <c r="BM87" s="8" t="str">
        <v>2026-10：12天 × 0.7647664488148722；2026-11：30天 × 1.5248287781391903；2026-12：31天 × 1.2288250057360348；2027-01：17天 × 1.2825767786356366</v>
      </c>
      <c r="BN87" s="11" t="n">
        <v>0.7647664488148722</v>
      </c>
      <c r="BO87" s="11" t="n">
        <v>1.5248287781391903</v>
      </c>
      <c r="BP87" s="11" t="n">
        <v>1.2288250057360348</v>
      </c>
      <c r="BQ87" s="11" t="n">
        <v>1.2825767786356366</v>
      </c>
      <c r="BR87" s="8" t="n">
        <v>12</v>
      </c>
      <c r="BS87" s="8" t="n">
        <v>30</v>
      </c>
      <c r="BT87" s="8" t="n">
        <v>31</v>
      </c>
      <c r="BU87" s="8" t="n">
        <v>17</v>
      </c>
      <c r="BV87" s="11" t="n">
        <f>IF(COUNT(BC87,BF87)=2,BC87*BF87,"")</f>
        <v>0.5062866920538416</v>
      </c>
      <c r="BW87" s="11" t="n">
        <f>IF(ISNUMBER(BN87),BN87,"")</f>
        <v>0.7647664488148722</v>
      </c>
      <c r="BX87" s="14" t="n">
        <f>IF(ISNUMBER(BR87),BR87,"")</f>
        <v>12</v>
      </c>
      <c r="BY87" s="13" t="n">
        <f>IF(AND(COUNT(BV87,BW87,BX87)=3,MIN(BV87,BW87,BX87)&gt;=0),BV87*BW87*BX87,"")</f>
        <v>4.646292906770943</v>
      </c>
      <c r="BZ87" s="11" t="n">
        <f>IF(ISNUMBER(BO87),BO87,"")</f>
        <v>1.5248287781391903</v>
      </c>
      <c r="CA87" s="14" t="n">
        <f>IF(ISNUMBER(BS87),BS87,"")</f>
        <v>30</v>
      </c>
      <c r="CB87" s="13" t="n">
        <f>IF(AND(COUNT(BV87,BZ87,CA87)=3,MIN(BV87,BZ87,CA87)&gt;=0),BV87*BZ87*CA87,"")</f>
        <v>23.160015540977753</v>
      </c>
      <c r="CC87" s="11" t="n">
        <f>IF(ISNUMBER(BP87),BP87,"")</f>
        <v>1.2288250057360348</v>
      </c>
      <c r="CD87" s="14" t="n">
        <f>IF(ISNUMBER(BT87),BT87,"")</f>
        <v>31</v>
      </c>
      <c r="CE87" s="13" t="n">
        <f>IF(AND(COUNT(BV87,CC87,CD87)=3,MIN(BV87,CC87,CD87)&gt;=0),BV87*CC87*CD87,"")</f>
        <v>19.28627016528134</v>
      </c>
      <c r="CF87" s="11" t="n">
        <f>IF(ISNUMBER(BQ87),BQ87,"")</f>
        <v>1.2825767786356366</v>
      </c>
      <c r="CG87" s="14" t="n">
        <f>IF(ISNUMBER(BU87),BU87,"")</f>
        <v>17</v>
      </c>
      <c r="CH87" s="13" t="n">
        <f>IF(AND(COUNT(BV87,CF87,CG87)=3,MIN(BV87,CF87,CG87)&gt;=0),BV87*CF87*CG87,"")</f>
        <v>11.038976427528647</v>
      </c>
      <c r="CI87" s="13" t="n">
        <f>IF(COUNT(BY87,CB87,CE87,CH87)=4,SUM(BY87,CB87,CE87,CH87),"")</f>
        <v>58.13155504055868</v>
      </c>
    </row>
    <row r="88" ht="72" customHeight="1">
      <c r="A88" s="16" t="str">
        <v>60516-LP-S-K-7.5</v>
      </c>
      <c r="B88" s="16" t="str">
        <v>3店-SANDIEX-US</v>
      </c>
      <c r="C88" s="16" t="str">
        <v>徐新怡</v>
      </c>
      <c r="D88" s="26" t="n">
        <f>IF(NOT(ISNUMBER(E88)),"",IF(OR(E88&lt;=0,L88=0),0,IF(OR(NOT(ISNUMBER(F88)),F88&lt;0),"",MIN(E88,INT(F88)))))</f>
        <v>18</v>
      </c>
      <c r="E88" s="27" t="n">
        <f>IF(OR(NOT(ISNUMBER(L88)),COUNT(M88:O88)&lt;&gt;3,MIN(M88:O88)&lt;0),"",ROUNDUP(ROUND(BI88-SUM(M88:O88),10),0))</f>
        <v>26</v>
      </c>
      <c r="F88" s="28" t="n">
        <v>18</v>
      </c>
      <c r="G88" s="28" t="n">
        <f>IF(AND(ISNUMBER(D88),ISNUMBER(E88)),IF(OR(E88&lt;=0,L88=0),0,E88-D88),"")</f>
        <v>8</v>
      </c>
      <c r="H88" s="16" t="str">
        <f>IF(NOT(ISNUMBER(E88)),"销量或海外库存待补",IF(OR(E88&lt;=0,L88=0),IF(L88=0,"零日销，本批不发","本批无需补货"),IF(NOT(ISNUMBER(D88)),"国内库存待补",IF(D88=0,"国内无可用库存",IF(G88&gt;0,"先发国内现货","按建议量发货")))))</f>
        <v>先发国内现货</v>
      </c>
      <c r="I88" s="28" t="n">
        <f>IF(AND(COUNT(Z88,AA88,AB88)=3,Z88&gt;=AA88,AA88&gt;=0,AB88=7),Z88-AA88,"")</f>
        <v>6</v>
      </c>
      <c r="J88" s="28" t="n">
        <f>IF(AND(COUNT(AF88,AG88,AH88)=3,AF88&gt;=AG88,AG88&gt;=0,AH88=14),AF88-AG88,"")</f>
        <v>10</v>
      </c>
      <c r="K88" s="28" t="n">
        <f>IF(AND(COUNT(AL88,AM88,AN88)=3,AL88&gt;=AM88,AM88&gt;=0,AN88=30),AL88-AM88,"")</f>
        <v>19</v>
      </c>
      <c r="L88" s="29" t="n">
        <f>IF(ISNUMBER(BI88),BI88/90,"")</f>
        <v>0.5296685439150721</v>
      </c>
      <c r="M88" s="28" t="n">
        <v>2</v>
      </c>
      <c r="N88" s="28" t="n">
        <v>0</v>
      </c>
      <c r="O88" s="28" t="n">
        <v>20</v>
      </c>
      <c r="P88" s="30" t="n">
        <f>IF(AND(ISNUMBER(L88),L88&gt;0,COUNT(M88:O88)=3,MIN(M88:O88)&gt;=0),SUM(M88:O88)/L88,"")</f>
        <v>41.53540974396152</v>
      </c>
      <c r="Q88" s="16" t="str">
        <v>沿用原计划SKU店铺</v>
      </c>
      <c r="R88" s="16" t="str">
        <v>已匹配</v>
      </c>
      <c r="S88" s="16" t="str">
        <v>在售</v>
      </c>
      <c r="T88" s="16" t="str">
        <v>60516</v>
      </c>
      <c r="U88" s="16" t="str">
        <v>豹纹</v>
      </c>
      <c r="V88" s="16" t="n">
        <v>7.5</v>
      </c>
      <c r="W88" s="8" t="str">
        <v>2026-10-11 至 2026-10-17</v>
      </c>
      <c r="X88" s="8" t="str">
        <v>2026-10-11、2026-10-12、2026-10-13、2026-10-14、2026-10-15、2026-10-16、2026-10-17</v>
      </c>
      <c r="Y88" s="8" t="str">
        <v>无</v>
      </c>
      <c r="Z88" s="8" t="n">
        <v>6</v>
      </c>
      <c r="AA88" s="8" t="n">
        <v>0</v>
      </c>
      <c r="AB88" s="8" t="n">
        <v>7</v>
      </c>
      <c r="AC88" s="8" t="str">
        <v>2026-10-02 至 2026-10-17</v>
      </c>
      <c r="AD88" s="8" t="str">
        <v>2026-10-02、2026-10-03、2026-10-04、2026-10-05、2026-10-08、2026-10-09、2026-10-10、2026-10-11、2026-10-12、2026-10-13、2026-10-14、2026-10-15、2026-10-16、2026-10-17</v>
      </c>
      <c r="AE88" s="8" t="str">
        <v>2026-10-06 大促；2026-10-07 大促</v>
      </c>
      <c r="AF88" s="8" t="n">
        <v>15</v>
      </c>
      <c r="AG88" s="8" t="n">
        <v>5</v>
      </c>
      <c r="AH88" s="8" t="n">
        <v>14</v>
      </c>
      <c r="AI88" s="8" t="str">
        <v>2026-09-16 至 2026-10-17</v>
      </c>
      <c r="AJ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8" s="8" t="str">
        <v>2026-10-06 大促；2026-10-07 大促</v>
      </c>
      <c r="AL88" s="8" t="n">
        <v>24</v>
      </c>
      <c r="AM88" s="8" t="n">
        <v>5</v>
      </c>
      <c r="AN88" s="8" t="n">
        <v>30</v>
      </c>
      <c r="AO88" s="8" t="str">
        <v>60516 / 豹纹羊京绒 / 6574</v>
      </c>
      <c r="AP88" s="11" t="n">
        <v>1.8609238953732312</v>
      </c>
      <c r="AQ88" s="11" t="n">
        <v>1.8609238953732312</v>
      </c>
      <c r="AR88" s="11" t="n">
        <v>1.7598476169692943</v>
      </c>
      <c r="AS88" s="11" t="n">
        <f>IF(AND(COUNT(I88:K88,AP88:AR88)=6,MIN(AP88:AR88)&gt;0),I88/7/AP88*0.5+J88/14/AQ88*0.3+K88/30/AR88*0.2,"")</f>
        <v>0.4174264570767946</v>
      </c>
      <c r="AT88" s="8" t="n">
        <v>38</v>
      </c>
      <c r="AU88" s="8" t="n">
        <v>5</v>
      </c>
      <c r="AV88" s="8" t="n">
        <v>88</v>
      </c>
      <c r="AW88" s="11" t="n">
        <f>IF(AND(COUNT(AT88:AV88)=3,AT88&gt;=AU88,AU88&gt;=0,AV88&gt;0),(AT88-AU88)/AV88,"")</f>
        <v>0.375</v>
      </c>
      <c r="AX88" s="8" t="n">
        <v>46</v>
      </c>
      <c r="AY88" s="8" t="n">
        <v>5</v>
      </c>
      <c r="AZ88" s="8" t="n">
        <v>178</v>
      </c>
      <c r="BA88" s="11" t="n">
        <f>IF(AND(COUNT(AX88:AZ88)=3,AX88&gt;=AY88,AY88&gt;=0,AZ88&gt;0),(AX88-AY88)/AZ88,"")</f>
        <v>0.2303370786516854</v>
      </c>
      <c r="BB88" s="8" t="n">
        <f>IF(COUNT(AS88,AW88,BA88)=3,1,0)</f>
        <v>1</v>
      </c>
      <c r="BC88" s="11" t="n">
        <f>IF(SUMIF($AO$11:$AO$1309,AO88,$BB$11:$BB$1309)=COUNTIF($AO$11:$AO$1309,AO88),SUMIF($AO$11:$AO$1309,AO88,$AS$11:$AS$1309),"")</f>
        <v>4.8489600193541325</v>
      </c>
      <c r="BD88" s="11" t="n">
        <f>IF(SUMIF($AO$11:$AO$1309,AO88,$BB$11:$BB$1309)=COUNTIF($AO$11:$AO$1309,AO88),SUMIF($AO$11:$AO$1309,AO88,$AW$11:$AW$1309),"")</f>
        <v>4.045454545454545</v>
      </c>
      <c r="BE88" s="11" t="n">
        <f>IF(SUMIF($AO$11:$AO$1309,AO88,$BB$11:$BB$1309)=COUNTIF($AO$11:$AO$1309,AO88),SUMIF($AO$11:$AO$1309,AO88,$BA$11:$BA$1309),"")</f>
        <v>2.7977528089887636</v>
      </c>
      <c r="BF88" s="12" t="n">
        <f>IF(COUNT(BD88:BE88)&lt;&gt;2,"",IF(AND(BD88&gt;0,BE88&gt;0),0.7*AW88/BD88+0.3*BA88/BE88,IF(BD88&gt;0,AW88/BD88,IF(BE88&gt;0,BA88/BE88,IF(AND(ISNUMBER(BH88),BH88=0),0,"")))))</f>
        <v>0.0895864356301611</v>
      </c>
      <c r="BG88" s="11" t="n">
        <f>IF(AND(COUNT(BN88:BU88)=8,MIN(BN88:BU88)&gt;=0),SUMPRODUCT(BN88:BQ88,BR88:BU88),"")</f>
        <v>109.73769409574882</v>
      </c>
      <c r="BH88" s="11" t="n">
        <f>IF(COUNT(BC88,BG88)=2,BC88*BG88,"")</f>
        <v>532.1136912864001</v>
      </c>
      <c r="BI88" s="11" t="n">
        <f>IF(ISNUMBER(CI88),CI88,"")</f>
        <v>47.67016895235649</v>
      </c>
      <c r="BJ88" s="8" t="str"/>
      <c r="BK88" s="8" t="str">
        <v>90天：2026-07-20 至 2026-10-17；180天：2026-04-21 至 2026-10-17</v>
      </c>
      <c r="BL88" s="8" t="str">
        <v>90天：2026-10-06、2026-10-07；180天：2026-10-06、2026-10-07</v>
      </c>
      <c r="BM88" s="8" t="str">
        <v>2026-10：12天 × 1.8609238953732312；2026-11：30天 × 1.438375649833085；2026-12：31天 × 0.9519742599124907；2027-01：17天 × 0.8673021058229575</v>
      </c>
      <c r="BN88" s="11" t="n">
        <v>1.8609238953732312</v>
      </c>
      <c r="BO88" s="11" t="n">
        <v>1.438375649833085</v>
      </c>
      <c r="BP88" s="11" t="n">
        <v>0.9519742599124907</v>
      </c>
      <c r="BQ88" s="11" t="n">
        <v>0.8673021058229575</v>
      </c>
      <c r="BR88" s="8" t="n">
        <v>12</v>
      </c>
      <c r="BS88" s="8" t="n">
        <v>30</v>
      </c>
      <c r="BT88" s="8" t="n">
        <v>31</v>
      </c>
      <c r="BU88" s="8" t="n">
        <v>17</v>
      </c>
      <c r="BV88" s="11" t="n">
        <f>IF(COUNT(BC88,BF88)=2,BC88*BF88,"")</f>
        <v>0.43440104464709367</v>
      </c>
      <c r="BW88" s="11" t="n">
        <f>IF(ISNUMBER(BN88),BN88,"")</f>
        <v>1.8609238953732312</v>
      </c>
      <c r="BX88" s="14" t="n">
        <f>IF(ISNUMBER(BR88),BR88,"")</f>
        <v>12</v>
      </c>
      <c r="BY88" s="13" t="n">
        <f>IF(AND(COUNT(BV88,BW88,BX88)=3,MIN(BV88,BW88,BX88)&gt;=0),BV88*BW88*BX88,"")</f>
        <v>9.700647409906447</v>
      </c>
      <c r="BZ88" s="11" t="n">
        <f>IF(ISNUMBER(BO88),BO88,"")</f>
        <v>1.438375649833085</v>
      </c>
      <c r="CA88" s="14" t="n">
        <f>IF(ISNUMBER(BS88),BS88,"")</f>
        <v>30</v>
      </c>
      <c r="CB88" s="13" t="n">
        <f>IF(AND(COUNT(BV88,BZ88,CA88)=3,MIN(BV88,BZ88,CA88)&gt;=0),BV88*BZ88*CA88,"")</f>
        <v>18.74495654647303</v>
      </c>
      <c r="CC88" s="11" t="n">
        <f>IF(ISNUMBER(BP88),BP88,"")</f>
        <v>0.9519742599124907</v>
      </c>
      <c r="CD88" s="14" t="n">
        <f>IF(ISNUMBER(BT88),BT88,"")</f>
        <v>31</v>
      </c>
      <c r="CE88" s="13" t="n">
        <f>IF(AND(COUNT(BV88,CC88,CD88)=3,MIN(BV88,CC88,CD88)&gt;=0),BV88*CC88*CD88,"")</f>
        <v>12.819697002477024</v>
      </c>
      <c r="CF88" s="11" t="n">
        <f>IF(ISNUMBER(BQ88),BQ88,"")</f>
        <v>0.8673021058229575</v>
      </c>
      <c r="CG88" s="14" t="n">
        <f>IF(ISNUMBER(BU88),BU88,"")</f>
        <v>17</v>
      </c>
      <c r="CH88" s="13" t="n">
        <f>IF(AND(COUNT(BV88,CF88,CG88)=3,MIN(BV88,CF88,CG88)&gt;=0),BV88*CF88*CG88,"")</f>
        <v>6.4048679934999875</v>
      </c>
      <c r="CI88" s="13" t="n">
        <f>IF(COUNT(BY88,CB88,CE88,CH88)=4,SUM(BY88,CB88,CE88,CH88),"")</f>
        <v>47.67016895235649</v>
      </c>
    </row>
    <row r="89" ht="72" customHeight="1">
      <c r="A89" s="16" t="str">
        <v>32582-LD-40</v>
      </c>
      <c r="B89" s="16" t="str">
        <v>3店-SANDIEX-US</v>
      </c>
      <c r="C89" s="16" t="str">
        <v>徐新怡</v>
      </c>
      <c r="D89" s="26" t="n">
        <f>IF(NOT(ISNUMBER(E89)),"",IF(OR(E89&lt;=0,L89=0),0,IF(OR(NOT(ISNUMBER(F89)),F89&lt;0),"",MIN(E89,INT(F89)))))</f>
        <v>18</v>
      </c>
      <c r="E89" s="27" t="n">
        <f>IF(OR(NOT(ISNUMBER(L89)),COUNT(M89:O89)&lt;&gt;3,MIN(M89:O89)&lt;0),"",ROUNDUP(ROUND(BI89-SUM(M89:O89),10),0))</f>
        <v>18</v>
      </c>
      <c r="F89" s="28" t="n">
        <v>89</v>
      </c>
      <c r="G89" s="28" t="n">
        <f>IF(AND(ISNUMBER(D89),ISNUMBER(E89)),IF(OR(E89&lt;=0,L89=0),0,E89-D89),"")</f>
        <v>0</v>
      </c>
      <c r="H89" s="16" t="str">
        <f>IF(NOT(ISNUMBER(E89)),"销量或海外库存待补",IF(OR(E89&lt;=0,L89=0),IF(L89=0,"零日销，本批不发","本批无需补货"),IF(NOT(ISNUMBER(D89)),"国内库存待补",IF(D89=0,"国内无可用库存",IF(G89&gt;0,"先发国内现货","按建议量发货")))))</f>
        <v>按建议量发货</v>
      </c>
      <c r="I89" s="28" t="n">
        <f>IF(AND(COUNT(Z89,AA89,AB89)=3,Z89&gt;=AA89,AA89&gt;=0,AB89=7),Z89-AA89,"")</f>
        <v>0</v>
      </c>
      <c r="J89" s="28" t="n">
        <f>IF(AND(COUNT(AF89,AG89,AH89)=3,AF89&gt;=AG89,AG89&gt;=0,AH89=14),AF89-AG89,"")</f>
        <v>1</v>
      </c>
      <c r="K89" s="28" t="n">
        <f>IF(AND(COUNT(AL89,AM89,AN89)=3,AL89&gt;=AM89,AM89&gt;=0,AN89=30),AL89-AM89,"")</f>
        <v>6</v>
      </c>
      <c r="L89" s="29" t="n">
        <f>IF(ISNUMBER(BI89),BI89/90,"")</f>
        <v>0.21075498464188872</v>
      </c>
      <c r="M89" s="28" t="n">
        <v>1</v>
      </c>
      <c r="N89" s="28" t="n">
        <v>0</v>
      </c>
      <c r="O89" s="28" t="n">
        <v>0</v>
      </c>
      <c r="P89" s="30" t="n">
        <f>IF(AND(ISNUMBER(L89),L89&gt;0,COUNT(M89:O89)=3,MIN(M89:O89)&gt;=0),SUM(M89:O89)/L89,"")</f>
        <v>4.744846256894863</v>
      </c>
      <c r="Q89" s="16" t="str">
        <v>沿用原计划SKU店铺</v>
      </c>
      <c r="R89" s="16" t="str">
        <v>已匹配</v>
      </c>
      <c r="S89" s="16" t="str">
        <v>停售</v>
      </c>
      <c r="T89" s="16" t="str">
        <v>32582</v>
      </c>
      <c r="U89" s="16" t="str">
        <v>豹纹</v>
      </c>
      <c r="V89" s="16" t="n">
        <v>9</v>
      </c>
      <c r="W89" s="8" t="str">
        <v>2026-10-11 至 2026-10-17</v>
      </c>
      <c r="X89" s="8" t="str">
        <v>2026-10-11、2026-10-12、2026-10-13、2026-10-14、2026-10-15、2026-10-16、2026-10-17</v>
      </c>
      <c r="Y89" s="8" t="str">
        <v>无</v>
      </c>
      <c r="Z89" s="8" t="n">
        <v>0</v>
      </c>
      <c r="AA89" s="8" t="n">
        <v>0</v>
      </c>
      <c r="AB89" s="8" t="n">
        <v>7</v>
      </c>
      <c r="AC89" s="8" t="str">
        <v>2026-10-02 至 2026-10-17</v>
      </c>
      <c r="AD89" s="8" t="str">
        <v>2026-10-02、2026-10-03、2026-10-04、2026-10-05、2026-10-08、2026-10-09、2026-10-10、2026-10-11、2026-10-12、2026-10-13、2026-10-14、2026-10-15、2026-10-16、2026-10-17</v>
      </c>
      <c r="AE89" s="8" t="str">
        <v>2026-10-06 大促；2026-10-07 大促</v>
      </c>
      <c r="AF89" s="8" t="n">
        <v>1</v>
      </c>
      <c r="AG89" s="8" t="n">
        <v>0</v>
      </c>
      <c r="AH89" s="8" t="n">
        <v>14</v>
      </c>
      <c r="AI89" s="8" t="str">
        <v>2026-09-16 至 2026-10-17</v>
      </c>
      <c r="AJ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" s="8" t="str">
        <v>2026-10-06 大促；2026-10-07 大促</v>
      </c>
      <c r="AL89" s="8" t="n">
        <v>6</v>
      </c>
      <c r="AM89" s="8" t="n">
        <v>0</v>
      </c>
      <c r="AN89" s="8" t="n">
        <v>30</v>
      </c>
      <c r="AO89" s="8" t="str">
        <v>32582 / 豹纹羊京绒 / 6574</v>
      </c>
      <c r="AP89" s="11" t="n">
        <v>1.0395067087630607</v>
      </c>
      <c r="AQ89" s="11" t="n">
        <v>1.0395067087630607</v>
      </c>
      <c r="AR89" s="11" t="n">
        <v>1.0707336504782758</v>
      </c>
      <c r="AS89" s="11" t="n">
        <f>IF(AND(COUNT(I89:K89,AP89:AR89)=6,MIN(AP89:AR89)&gt;0),I89/7/AP89*0.5+J89/14/AQ89*0.3+K89/30/AR89*0.2,"")</f>
        <v>0.057971736471175074</v>
      </c>
      <c r="AT89" s="8" t="n">
        <v>16</v>
      </c>
      <c r="AU89" s="8" t="n">
        <v>0</v>
      </c>
      <c r="AV89" s="8" t="n">
        <v>88</v>
      </c>
      <c r="AW89" s="11" t="n">
        <f>IF(AND(COUNT(AT89:AV89)=3,AT89&gt;=AU89,AU89&gt;=0,AV89&gt;0),(AT89-AU89)/AV89,"")</f>
        <v>0.18181818181818182</v>
      </c>
      <c r="AX89" s="8" t="n">
        <v>23</v>
      </c>
      <c r="AY89" s="8" t="n">
        <v>0</v>
      </c>
      <c r="AZ89" s="8" t="n">
        <v>178</v>
      </c>
      <c r="BA89" s="11" t="n">
        <f>IF(AND(COUNT(AX89:AZ89)=3,AX89&gt;=AY89,AY89&gt;=0,AZ89&gt;0),(AX89-AY89)/AZ89,"")</f>
        <v>0.12921348314606743</v>
      </c>
      <c r="BB89" s="8" t="n">
        <f>IF(COUNT(AS89,AW89,BA89)=3,1,0)</f>
        <v>1</v>
      </c>
      <c r="BC89" s="11" t="n">
        <f>IF(SUMIF($AO$11:$AO$1309,AO89,$BB$11:$BB$1309)=COUNTIF($AO$11:$AO$1309,AO89),SUMIF($AO$11:$AO$1309,AO89,$AS$11:$AS$1309),"")</f>
        <v>2.517644694108243</v>
      </c>
      <c r="BD89" s="11" t="n">
        <f>IF(SUMIF($AO$11:$AO$1309,AO89,$BB$11:$BB$1309)=COUNTIF($AO$11:$AO$1309,AO89),SUMIF($AO$11:$AO$1309,AO89,$AW$11:$AW$1309),"")</f>
        <v>2.0255347593582886</v>
      </c>
      <c r="BE89" s="11" t="n">
        <f>IF(SUMIF($AO$11:$AO$1309,AO89,$BB$11:$BB$1309)=COUNTIF($AO$11:$AO$1309,AO89),SUMIF($AO$11:$AO$1309,AO89,$BA$11:$BA$1309),"")</f>
        <v>1.721701444622793</v>
      </c>
      <c r="BF89" s="12" t="n">
        <f>IF(COUNT(BD89:BE89)&lt;&gt;2,"",IF(AND(BD89&gt;0,BE89&gt;0),0.7*AW89/BD89+0.3*BA89/BE89,IF(BD89&gt;0,AW89/BD89,IF(BE89&gt;0,BA89/BE89,IF(AND(ISNUMBER(BH89),BH89=0),0,"")))))</f>
        <v>0.08534909972137911</v>
      </c>
      <c r="BG89" s="11" t="n">
        <f>IF(AND(COUNT(BN89:BU89)=8,MIN(BN89:BU89)&gt;=0),SUMPRODUCT(BN89:BQ89,BR89:BU89),"")</f>
        <v>88.27281580841549</v>
      </c>
      <c r="BH89" s="11" t="n">
        <f>IF(COUNT(BC89,BG89)=2,BC89*BG89,"")</f>
        <v>222.23958635405148</v>
      </c>
      <c r="BI89" s="11" t="n">
        <f>IF(ISNUMBER(CI89),CI89,"")</f>
        <v>18.967948617769984</v>
      </c>
      <c r="BJ89" s="8" t="str"/>
      <c r="BK89" s="8" t="str">
        <v>90天：2026-07-20 至 2026-10-17；180天：2026-04-21 至 2026-10-17</v>
      </c>
      <c r="BL89" s="8" t="str">
        <v>90天：2026-10-06、2026-10-07；180天：2026-10-06、2026-10-07</v>
      </c>
      <c r="BM89" s="8" t="str">
        <v>2026-10：12天 × 1.0395067087630607；2026-11：30天 × 0.9890368360033146；2026-12：31天 × 0.7800796503018808；2027-01：17天 × 1.2908918272824135</v>
      </c>
      <c r="BN89" s="11" t="n">
        <v>1.0395067087630607</v>
      </c>
      <c r="BO89" s="11" t="n">
        <v>0.9890368360033146</v>
      </c>
      <c r="BP89" s="11" t="n">
        <v>0.7800796503018808</v>
      </c>
      <c r="BQ89" s="11" t="n">
        <v>1.2908918272824135</v>
      </c>
      <c r="BR89" s="8" t="n">
        <v>12</v>
      </c>
      <c r="BS89" s="8" t="n">
        <v>30</v>
      </c>
      <c r="BT89" s="8" t="n">
        <v>31</v>
      </c>
      <c r="BU89" s="8" t="n">
        <v>17</v>
      </c>
      <c r="BV89" s="11" t="n">
        <f>IF(COUNT(BC89,BF89)=2,BC89*BF89,"")</f>
        <v>0.21487870806044543</v>
      </c>
      <c r="BW89" s="11" t="n">
        <f>IF(ISNUMBER(BN89),BN89,"")</f>
        <v>1.0395067087630607</v>
      </c>
      <c r="BX89" s="14" t="n">
        <f>IF(ISNUMBER(BR89),BR89,"")</f>
        <v>12</v>
      </c>
      <c r="BY89" s="13" t="n">
        <f>IF(AND(COUNT(BV89,BW89,BX89)=3,MIN(BV89,BW89,BX89)&gt;=0),BV89*BW89*BX89,"")</f>
        <v>2.6804143031900662</v>
      </c>
      <c r="BZ89" s="11" t="n">
        <f>IF(ISNUMBER(BO89),BO89,"")</f>
        <v>0.9890368360033146</v>
      </c>
      <c r="CA89" s="14" t="n">
        <f>IF(ISNUMBER(BS89),BS89,"")</f>
        <v>30</v>
      </c>
      <c r="CB89" s="13" t="n">
        <f>IF(AND(COUNT(BV89,BZ89,CA89)=3,MIN(BV89,BZ89,CA89)&gt;=0),BV89*BZ89*CA89,"")</f>
        <v>6.375688726337486</v>
      </c>
      <c r="CC89" s="11" t="n">
        <f>IF(ISNUMBER(BP89),BP89,"")</f>
        <v>0.7800796503018808</v>
      </c>
      <c r="CD89" s="14" t="n">
        <f>IF(ISNUMBER(BT89),BT89,"")</f>
        <v>31</v>
      </c>
      <c r="CE89" s="13" t="n">
        <f>IF(AND(COUNT(BV89,CC89,CD89)=3,MIN(BV89,CC89,CD89)&gt;=0),BV89*CC89*CD89,"")</f>
        <v>5.196297730674479</v>
      </c>
      <c r="CF89" s="11" t="n">
        <f>IF(ISNUMBER(BQ89),BQ89,"")</f>
        <v>1.2908918272824135</v>
      </c>
      <c r="CG89" s="14" t="n">
        <f>IF(ISNUMBER(BU89),BU89,"")</f>
        <v>17</v>
      </c>
      <c r="CH89" s="13" t="n">
        <f>IF(AND(COUNT(BV89,CF89,CG89)=3,MIN(BV89,CF89,CG89)&gt;=0),BV89*CF89*CG89,"")</f>
        <v>4.715547857567955</v>
      </c>
      <c r="CI89" s="13" t="n">
        <f>IF(COUNT(BY89,CB89,CE89,CH89)=4,SUM(BY89,CB89,CE89,CH89),"")</f>
        <v>18.967948617769984</v>
      </c>
    </row>
    <row r="90" ht="72" customHeight="1">
      <c r="A90" s="16" t="str">
        <v>8392-BK-37.5</v>
      </c>
      <c r="B90" s="16" t="str">
        <v>1店-MUSSHOE-US</v>
      </c>
      <c r="C90" s="16" t="str">
        <v>徐新怡</v>
      </c>
      <c r="D90" s="26" t="n">
        <f>IF(NOT(ISNUMBER(E90)),"",IF(OR(E90&lt;=0,L90=0),0,IF(OR(NOT(ISNUMBER(F90)),F90&lt;0),"",MIN(E90,INT(F90)))))</f>
        <v>18</v>
      </c>
      <c r="E90" s="27" t="n">
        <f>IF(OR(NOT(ISNUMBER(L90)),COUNT(M90:O90)&lt;&gt;3,MIN(M90:O90)&lt;0),"",ROUNDUP(ROUND(BI90-SUM(M90:O90),10),0))</f>
        <v>18</v>
      </c>
      <c r="F90" s="28" t="n">
        <v>91</v>
      </c>
      <c r="G90" s="28" t="n">
        <f>IF(AND(ISNUMBER(D90),ISNUMBER(E90)),IF(OR(E90&lt;=0,L90=0),0,E90-D90),"")</f>
        <v>0</v>
      </c>
      <c r="H90" s="16" t="str">
        <f>IF(NOT(ISNUMBER(E90)),"销量或海外库存待补",IF(OR(E90&lt;=0,L90=0),IF(L90=0,"零日销，本批不发","本批无需补货"),IF(NOT(ISNUMBER(D90)),"国内库存待补",IF(D90=0,"国内无可用库存",IF(G90&gt;0,"先发国内现货","按建议量发货")))))</f>
        <v>按建议量发货</v>
      </c>
      <c r="I90" s="28" t="n">
        <f>IF(AND(COUNT(Z90,AA90,AB90)=3,Z90&gt;=AA90,AA90&gt;=0,AB90=7),Z90-AA90,"")</f>
        <v>1</v>
      </c>
      <c r="J90" s="28" t="n">
        <f>IF(AND(COUNT(AF90,AG90,AH90)=3,AF90&gt;=AG90,AG90&gt;=0,AH90=14),AF90-AG90,"")</f>
        <v>3</v>
      </c>
      <c r="K90" s="28" t="n">
        <f>IF(AND(COUNT(AL90,AM90,AN90)=3,AL90&gt;=AM90,AM90&gt;=0,AN90=30),AL90-AM90,"")</f>
        <v>11</v>
      </c>
      <c r="L90" s="29" t="n">
        <f>IF(ISNUMBER(BI90),BI90/90,"")</f>
        <v>0.19344248653373577</v>
      </c>
      <c r="M90" s="28" t="n">
        <v>0</v>
      </c>
      <c r="N90" s="28" t="n">
        <v>0</v>
      </c>
      <c r="O90" s="28" t="n">
        <v>0</v>
      </c>
      <c r="P90" s="30" t="n">
        <f>IF(AND(ISNUMBER(L90),L90&gt;0,COUNT(M90:O90)=3,MIN(M90:O90)&gt;=0),SUM(M90:O90)/L90,"")</f>
        <v>0</v>
      </c>
      <c r="Q90" s="16" t="str">
        <v>按本SKU唯一未删除Listing店铺核实</v>
      </c>
      <c r="R90" s="16" t="str">
        <v>已匹配</v>
      </c>
      <c r="S90" s="16" t="str">
        <v>停售</v>
      </c>
      <c r="T90" s="16" t="str">
        <v>8392</v>
      </c>
      <c r="U90" s="16" t="str">
        <v>黑色</v>
      </c>
      <c r="V90" s="16" t="n">
        <v>6.5</v>
      </c>
      <c r="W90" s="8" t="str">
        <v>2026-10-09 至 2026-10-17</v>
      </c>
      <c r="X90" s="8" t="str">
        <v>2026-10-09、2026-10-10、2026-10-11、2026-10-12、2026-10-14、2026-10-15、2026-10-17</v>
      </c>
      <c r="Y90" s="8" t="str">
        <v>2026-10-13 有记录的停售日；2026-10-16 有记录的停售日</v>
      </c>
      <c r="Z90" s="8" t="n">
        <v>1</v>
      </c>
      <c r="AA90" s="8" t="n">
        <v>0</v>
      </c>
      <c r="AB90" s="8" t="n">
        <v>7</v>
      </c>
      <c r="AC90" s="8" t="str">
        <v>2026-09-30 至 2026-10-17</v>
      </c>
      <c r="AD90" s="8" t="str">
        <v>2026-09-30、2026-10-01、2026-10-02、2026-10-03、2026-10-04、2026-10-05、2026-10-08、2026-10-09、2026-10-10、2026-10-11、2026-10-12、2026-10-14、2026-10-15、2026-10-17</v>
      </c>
      <c r="AE90" s="8" t="str">
        <v>2026-10-06 大促；2026-10-07 大促；2026-10-13 有记录的停售日；2026-10-16 有记录的停售日</v>
      </c>
      <c r="AF90" s="8" t="n">
        <v>3</v>
      </c>
      <c r="AG90" s="8" t="n">
        <v>0</v>
      </c>
      <c r="AH90" s="8" t="n">
        <v>14</v>
      </c>
      <c r="AI90" s="8" t="str">
        <v>2026-09-14 至 2026-10-17</v>
      </c>
      <c r="AJ90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-14、2026-10-15、2026-10-17</v>
      </c>
      <c r="AK90" s="8" t="str">
        <v>2026-10-06 大促；2026-10-07 大促；2026-10-13 有记录的停售日；2026-10-16 有记录的停售日</v>
      </c>
      <c r="AL90" s="8" t="n">
        <v>11</v>
      </c>
      <c r="AM90" s="8" t="n">
        <v>0</v>
      </c>
      <c r="AN90" s="8" t="n">
        <v>30</v>
      </c>
      <c r="AO90" s="8" t="str">
        <v>8392 / 黑色羊京绒 / 13120</v>
      </c>
      <c r="AP90" s="11" t="n">
        <v>1.1743420411079069</v>
      </c>
      <c r="AQ90" s="11" t="n">
        <v>1.1700548101594805</v>
      </c>
      <c r="AR90" s="11" t="n">
        <v>1.1403300089170565</v>
      </c>
      <c r="AS90" s="11" t="n">
        <f>IF(AND(COUNT(I90:K90,AP90:AR90)=6,MIN(AP90:AR90)&gt;0),I90/7/AP90*0.5+J90/14/AQ90*0.3+K90/30/AR90*0.2,"")</f>
        <v>0.18007568330023221</v>
      </c>
      <c r="AT90" s="8" t="n">
        <v>24</v>
      </c>
      <c r="AU90" s="8" t="n">
        <v>0</v>
      </c>
      <c r="AV90" s="8" t="n">
        <v>86</v>
      </c>
      <c r="AW90" s="11" t="n">
        <f>IF(AND(COUNT(AT90:AV90)=3,AT90&gt;=AU90,AU90&gt;=0,AV90&gt;0),(AT90-AU90)/AV90,"")</f>
        <v>0.27906976744186046</v>
      </c>
      <c r="AX90" s="8" t="n">
        <v>45</v>
      </c>
      <c r="AY90" s="8" t="n">
        <v>0</v>
      </c>
      <c r="AZ90" s="8" t="n">
        <v>176</v>
      </c>
      <c r="BA90" s="11" t="n">
        <f>IF(AND(COUNT(AX90:AZ90)=3,AX90&gt;=AY90,AY90&gt;=0,AZ90&gt;0),(AX90-AY90)/AZ90,"")</f>
        <v>0.2556818181818182</v>
      </c>
      <c r="BB90" s="8" t="n">
        <f>IF(COUNT(AS90,AW90,BA90)=3,1,0)</f>
        <v>1</v>
      </c>
      <c r="BC90" s="11" t="n">
        <f>IF(SUMIF($AO$11:$AO$1309,AO90,$BB$11:$BB$1309)=COUNTIF($AO$11:$AO$1309,AO90),SUMIF($AO$11:$AO$1309,AO90,$AS$11:$AS$1309),"")</f>
        <v>0.18007568330023221</v>
      </c>
      <c r="BD90" s="11" t="n">
        <f>IF(SUMIF($AO$11:$AO$1309,AO90,$BB$11:$BB$1309)=COUNTIF($AO$11:$AO$1309,AO90),SUMIF($AO$11:$AO$1309,AO90,$AW$11:$AW$1309),"")</f>
        <v>0.27906976744186046</v>
      </c>
      <c r="BE90" s="11" t="n">
        <f>IF(SUMIF($AO$11:$AO$1309,AO90,$BB$11:$BB$1309)=COUNTIF($AO$11:$AO$1309,AO90),SUMIF($AO$11:$AO$1309,AO90,$BA$11:$BA$1309),"")</f>
        <v>0.2556818181818182</v>
      </c>
      <c r="BF90" s="12" t="n">
        <f>IF(COUNT(BD90:BE90)&lt;&gt;2,"",IF(AND(BD90&gt;0,BE90&gt;0),0.7*AW90/BD90+0.3*BA90/BE90,IF(BD90&gt;0,AW90/BD90,IF(BE90&gt;0,BA90/BE90,IF(AND(ISNUMBER(BH90),BH90=0),0,"")))))</f>
        <v>1</v>
      </c>
      <c r="BG90" s="11" t="n">
        <f>IF(AND(COUNT(BN90:BU90)=8,MIN(BN90:BU90)&gt;=0),SUMPRODUCT(BN90:BQ90,BR90:BU90),"")</f>
        <v>96.68059267618935</v>
      </c>
      <c r="BH90" s="11" t="n">
        <f>IF(COUNT(BC90,BG90)=2,BC90*BG90,"")</f>
        <v>17.409823788036224</v>
      </c>
      <c r="BI90" s="11" t="n">
        <f>IF(ISNUMBER(CI90),CI90,"")</f>
        <v>17.40982378803622</v>
      </c>
      <c r="BJ90" s="8" t="str"/>
      <c r="BK90" s="8" t="str">
        <v>90天：2026-07-20 至 2026-10-17；180天：2026-04-21 至 2026-10-17</v>
      </c>
      <c r="BL90" s="8" t="str">
        <v>90天：2026-10-06、2026-10-07、2026-10-13、2026-10-16；180天：2026-10-06、2026-10-07、2026-10-13、2026-10-16</v>
      </c>
      <c r="BM90" s="8" t="str">
        <v>2026-10：12天 × 1.1743420411079069；2026-11：30天 × 1.281694931279211；2026-12：31天 × 0.9007634642750235；2027-01：17天 × 0.9537631089407297</v>
      </c>
      <c r="BN90" s="11" t="n">
        <v>1.1743420411079069</v>
      </c>
      <c r="BO90" s="11" t="n">
        <v>1.281694931279211</v>
      </c>
      <c r="BP90" s="11" t="n">
        <v>0.9007634642750235</v>
      </c>
      <c r="BQ90" s="11" t="n">
        <v>0.9537631089407297</v>
      </c>
      <c r="BR90" s="8" t="n">
        <v>12</v>
      </c>
      <c r="BS90" s="8" t="n">
        <v>30</v>
      </c>
      <c r="BT90" s="8" t="n">
        <v>31</v>
      </c>
      <c r="BU90" s="8" t="n">
        <v>17</v>
      </c>
      <c r="BV90" s="11" t="n">
        <f>IF(COUNT(BC90,BF90)=2,BC90*BF90,"")</f>
        <v>0.18007568330023221</v>
      </c>
      <c r="BW90" s="11" t="n">
        <f>IF(ISNUMBER(BN90),BN90,"")</f>
        <v>1.1743420411079069</v>
      </c>
      <c r="BX90" s="14" t="n">
        <f>IF(ISNUMBER(BR90),BR90,"")</f>
        <v>12</v>
      </c>
      <c r="BY90" s="13" t="n">
        <f>IF(AND(COUNT(BV90,BW90,BX90)=3,MIN(BV90,BW90,BX90)&gt;=0),BV90*BW90*BX90,"")</f>
        <v>2.5376453457683485</v>
      </c>
      <c r="BZ90" s="11" t="n">
        <f>IF(ISNUMBER(BO90),BO90,"")</f>
        <v>1.281694931279211</v>
      </c>
      <c r="CA90" s="14" t="n">
        <f>IF(ISNUMBER(BS90),BS90,"")</f>
        <v>30</v>
      </c>
      <c r="CB90" s="13" t="n">
        <f>IF(AND(COUNT(BV90,BZ90,CA90)=3,MIN(BV90,BZ90,CA90)&gt;=0),BV90*BZ90*CA90,"")</f>
        <v>6.924062715976442</v>
      </c>
      <c r="CC90" s="11" t="n">
        <f>IF(ISNUMBER(BP90),BP90,"")</f>
        <v>0.9007634642750235</v>
      </c>
      <c r="CD90" s="14" t="n">
        <f>IF(ISNUMBER(BT90),BT90,"")</f>
        <v>31</v>
      </c>
      <c r="CE90" s="13" t="n">
        <f>IF(AND(COUNT(BV90,CC90,CD90)=3,MIN(BV90,CC90,CD90)&gt;=0),BV90*CC90*CD90,"")</f>
        <v>5.028373485957484</v>
      </c>
      <c r="CF90" s="11" t="n">
        <f>IF(ISNUMBER(BQ90),BQ90,"")</f>
        <v>0.9537631089407297</v>
      </c>
      <c r="CG90" s="14" t="n">
        <f>IF(ISNUMBER(BU90),BU90,"")</f>
        <v>17</v>
      </c>
      <c r="CH90" s="13" t="n">
        <f>IF(AND(COUNT(BV90,CF90,CG90)=3,MIN(BV90,CF90,CG90)&gt;=0),BV90*CF90*CG90,"")</f>
        <v>2.9197422403339472</v>
      </c>
      <c r="CI90" s="13" t="n">
        <f>IF(COUNT(BY90,CB90,CE90,CH90)=4,SUM(BY90,CB90,CE90,CH90),"")</f>
        <v>17.40982378803622</v>
      </c>
    </row>
    <row r="91" ht="72" customHeight="1">
      <c r="A91" s="16" t="str">
        <v>S02a-TN-40</v>
      </c>
      <c r="B91" s="16" t="str">
        <v>3店-SANDIEX-US</v>
      </c>
      <c r="C91" s="16" t="str">
        <v>陈晨</v>
      </c>
      <c r="D91" s="26" t="n">
        <f>IF(NOT(ISNUMBER(E91)),"",IF(OR(E91&lt;=0,L91=0),0,IF(OR(NOT(ISNUMBER(F91)),F91&lt;0),"",MIN(E91,INT(F91)))))</f>
        <v>18</v>
      </c>
      <c r="E91" s="27" t="n">
        <f>IF(OR(NOT(ISNUMBER(L91)),COUNT(M91:O91)&lt;&gt;3,MIN(M91:O91)&lt;0),"",ROUNDUP(ROUND(BI91-SUM(M91:O91),10),0))</f>
        <v>18</v>
      </c>
      <c r="F91" s="28" t="n">
        <v>48</v>
      </c>
      <c r="G91" s="28" t="n">
        <f>IF(AND(ISNUMBER(D91),ISNUMBER(E91)),IF(OR(E91&lt;=0,L91=0),0,E91-D91),"")</f>
        <v>0</v>
      </c>
      <c r="H91" s="16" t="str">
        <f>IF(NOT(ISNUMBER(E91)),"销量或海外库存待补",IF(OR(E91&lt;=0,L91=0),IF(L91=0,"零日销，本批不发","本批无需补货"),IF(NOT(ISNUMBER(D91)),"国内库存待补",IF(D91=0,"国内无可用库存",IF(G91&gt;0,"先发国内现货","按建议量发货")))))</f>
        <v>按建议量发货</v>
      </c>
      <c r="I91" s="28" t="n">
        <f>IF(AND(COUNT(Z91,AA91,AB91)=3,Z91&gt;=AA91,AA91&gt;=0,AB91=7),Z91-AA91,"")</f>
        <v>5</v>
      </c>
      <c r="J91" s="28" t="n">
        <f>IF(AND(COUNT(AF91,AG91,AH91)=3,AF91&gt;=AG91,AG91&gt;=0,AH91=14),AF91-AG91,"")</f>
        <v>8</v>
      </c>
      <c r="K91" s="28" t="n">
        <f>IF(AND(COUNT(AL91,AM91,AN91)=3,AL91&gt;=AM91,AM91&gt;=0,AN91=30),AL91-AM91,"")</f>
        <v>8</v>
      </c>
      <c r="L91" s="29" t="n">
        <f>IF(ISNUMBER(BI91),BI91/90,"")</f>
        <v>0.38282267481014853</v>
      </c>
      <c r="M91" s="28" t="n">
        <v>17</v>
      </c>
      <c r="N91" s="28" t="n">
        <v>0</v>
      </c>
      <c r="O91" s="28" t="n">
        <v>0</v>
      </c>
      <c r="P91" s="30" t="n">
        <f>IF(AND(ISNUMBER(L91),L91&gt;0,COUNT(M91:O91)=3,MIN(M91:O91)&gt;=0),SUM(M91:O91)/L91,"")</f>
        <v>44.40698296784727</v>
      </c>
      <c r="Q91" s="16" t="str">
        <v>沿用原计划SKU店铺</v>
      </c>
      <c r="R91" s="16" t="str">
        <v>已匹配</v>
      </c>
      <c r="S91" s="16" t="str">
        <v>在售</v>
      </c>
      <c r="T91" s="16" t="str">
        <v>S02a</v>
      </c>
      <c r="U91" s="16" t="str">
        <v>驼色</v>
      </c>
      <c r="V91" s="16" t="n">
        <v>9</v>
      </c>
      <c r="W91" s="8" t="str">
        <v>2026-10-11 至 2026-10-17</v>
      </c>
      <c r="X91" s="8" t="str">
        <v>2026-10-11、2026-10-12、2026-10-13、2026-10-14、2026-10-15、2026-10-16、2026-10-17</v>
      </c>
      <c r="Y91" s="8" t="str">
        <v>无</v>
      </c>
      <c r="Z91" s="8" t="n">
        <v>5</v>
      </c>
      <c r="AA91" s="8" t="n">
        <v>0</v>
      </c>
      <c r="AB91" s="8" t="n">
        <v>7</v>
      </c>
      <c r="AC91" s="8" t="str">
        <v>2026-10-02 至 2026-10-17</v>
      </c>
      <c r="AD91" s="8" t="str">
        <v>2026-10-02、2026-10-03、2026-10-04、2026-10-05、2026-10-08、2026-10-09、2026-10-10、2026-10-11、2026-10-12、2026-10-13、2026-10-14、2026-10-15、2026-10-16、2026-10-17</v>
      </c>
      <c r="AE91" s="8" t="str">
        <v>2026-10-06 大促；2026-10-07 大促</v>
      </c>
      <c r="AF91" s="8" t="n">
        <v>10</v>
      </c>
      <c r="AG91" s="8" t="n">
        <v>2</v>
      </c>
      <c r="AH91" s="8" t="n">
        <v>14</v>
      </c>
      <c r="AI91" s="8" t="str">
        <v>2026-09-16 至 2026-10-17</v>
      </c>
      <c r="AJ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" s="8" t="str">
        <v>2026-10-06 大促；2026-10-07 大促</v>
      </c>
      <c r="AL91" s="8" t="n">
        <v>10</v>
      </c>
      <c r="AM91" s="8" t="n">
        <v>2</v>
      </c>
      <c r="AN91" s="8" t="n">
        <v>30</v>
      </c>
      <c r="AO91" s="8" t="str">
        <v>S02a / 驼色 / 6574</v>
      </c>
      <c r="AP91" s="11" t="n">
        <v>0.7647664488148722</v>
      </c>
      <c r="AQ91" s="11" t="n">
        <v>0.7647664488148722</v>
      </c>
      <c r="AR91" s="11" t="n">
        <v>0.8066052567225582</v>
      </c>
      <c r="AS91" s="11" t="n">
        <f>IF(AND(COUNT(I91:K91,AP91:AR91)=6,MIN(AP91:AR91)&gt;0),I91/7/AP91*0.5+J91/14/AQ91*0.3+K91/30/AR91*0.2,"")</f>
        <v>0.7572747863415817</v>
      </c>
      <c r="AT91" s="8" t="n">
        <v>11</v>
      </c>
      <c r="AU91" s="8" t="n">
        <v>2</v>
      </c>
      <c r="AV91" s="8" t="n">
        <v>88</v>
      </c>
      <c r="AW91" s="11" t="n">
        <f>IF(AND(COUNT(AT91:AV91)=3,AT91&gt;=AU91,AU91&gt;=0,AV91&gt;0),(AT91-AU91)/AV91,"")</f>
        <v>0.10227272727272728</v>
      </c>
      <c r="AX91" s="8" t="n">
        <v>30</v>
      </c>
      <c r="AY91" s="8" t="n">
        <v>2</v>
      </c>
      <c r="AZ91" s="8" t="n">
        <v>178</v>
      </c>
      <c r="BA91" s="11" t="n">
        <f>IF(AND(COUNT(AX91:AZ91)=3,AX91&gt;=AY91,AY91&gt;=0,AZ91&gt;0),(AX91-AY91)/AZ91,"")</f>
        <v>0.15730337078651685</v>
      </c>
      <c r="BB91" s="8" t="n">
        <f>IF(COUNT(AS91,AW91,BA91)=3,1,0)</f>
        <v>1</v>
      </c>
      <c r="BC91" s="11" t="n">
        <f>IF(SUMIF($AO$11:$AO$1309,AO91,$BB$11:$BB$1309)=COUNTIF($AO$11:$AO$1309,AO91),SUMIF($AO$11:$AO$1309,AO91,$AS$11:$AS$1309),"")</f>
        <v>4.646128546626029</v>
      </c>
      <c r="BD91" s="11" t="n">
        <f>IF(SUMIF($AO$11:$AO$1309,AO91,$BB$11:$BB$1309)=COUNTIF($AO$11:$AO$1309,AO91),SUMIF($AO$11:$AO$1309,AO91,$AW$11:$AW$1309),"")</f>
        <v>1.9772727272727275</v>
      </c>
      <c r="BE91" s="11" t="n">
        <f>IF(SUMIF($AO$11:$AO$1309,AO91,$BB$11:$BB$1309)=COUNTIF($AO$11:$AO$1309,AO91),SUMIF($AO$11:$AO$1309,AO91,$BA$11:$BA$1309),"")</f>
        <v>1.6629213483146066</v>
      </c>
      <c r="BF91" s="12" t="n">
        <f>IF(COUNT(BD91:BE91)&lt;&gt;2,"",IF(AND(BD91&gt;0,BE91&gt;0),0.7*AW91/BD91+0.3*BA91/BE91,IF(BD91&gt;0,AW91/BD91,IF(BE91&gt;0,BA91/BE91,IF(AND(ISNUMBER(BH91),BH91=0),0,"")))))</f>
        <v>0.06458527493010252</v>
      </c>
      <c r="BG91" s="11" t="n">
        <f>IF(AND(COUNT(BN91:BU91)=8,MIN(BN91:BU91)&gt;=0),SUMPRODUCT(BN91:BQ91,BR91:BU91),"")</f>
        <v>114.81944114457707</v>
      </c>
      <c r="BH91" s="11" t="n">
        <f>IF(COUNT(BC91,BG91)=2,BC91*BG91,"")</f>
        <v>533.4658832094667</v>
      </c>
      <c r="BI91" s="11" t="n">
        <f>IF(ISNUMBER(CI91),CI91,"")</f>
        <v>34.45404073291337</v>
      </c>
      <c r="BJ91" s="8" t="str"/>
      <c r="BK91" s="8" t="str">
        <v>90天：2026-07-20 至 2026-10-17；180天：2026-04-21 至 2026-10-17</v>
      </c>
      <c r="BL91" s="8" t="str">
        <v>90天：2026-10-06、2026-10-07；180天：2026-10-06、2026-10-07</v>
      </c>
      <c r="BM91" s="8" t="str">
        <v>2026-10：12天 × 0.7647664488148722；2026-11：30天 × 1.5248287781391903；2026-12：31天 × 1.2288250057360348；2027-01：17天 × 1.2825767786356366</v>
      </c>
      <c r="BN91" s="11" t="n">
        <v>0.7647664488148722</v>
      </c>
      <c r="BO91" s="11" t="n">
        <v>1.5248287781391903</v>
      </c>
      <c r="BP91" s="11" t="n">
        <v>1.2288250057360348</v>
      </c>
      <c r="BQ91" s="11" t="n">
        <v>1.2825767786356366</v>
      </c>
      <c r="BR91" s="8" t="n">
        <v>12</v>
      </c>
      <c r="BS91" s="8" t="n">
        <v>30</v>
      </c>
      <c r="BT91" s="8" t="n">
        <v>31</v>
      </c>
      <c r="BU91" s="8" t="n">
        <v>17</v>
      </c>
      <c r="BV91" s="11" t="n">
        <f>IF(COUNT(BC91,BF91)=2,BC91*BF91,"")</f>
        <v>0.30007148954443974</v>
      </c>
      <c r="BW91" s="11" t="n">
        <f>IF(ISNUMBER(BN91),BN91,"")</f>
        <v>0.7647664488148722</v>
      </c>
      <c r="BX91" s="14" t="n">
        <f>IF(ISNUMBER(BR91),BR91,"")</f>
        <v>12</v>
      </c>
      <c r="BY91" s="13" t="n">
        <f>IF(AND(COUNT(BV91,BW91,BX91)=3,MIN(BV91,BW91,BX91)&gt;=0),BV91*BW91*BX91,"")</f>
        <v>2.7538152893938825</v>
      </c>
      <c r="BZ91" s="11" t="n">
        <f>IF(ISNUMBER(BO91),BO91,"")</f>
        <v>1.5248287781391903</v>
      </c>
      <c r="CA91" s="14" t="n">
        <f>IF(ISNUMBER(BS91),BS91,"")</f>
        <v>30</v>
      </c>
      <c r="CB91" s="13" t="n">
        <f>IF(AND(COUNT(BV91,BZ91,CA91)=3,MIN(BV91,BZ91,CA91)&gt;=0),BV91*BZ91*CA91,"")</f>
        <v>13.726729282693645</v>
      </c>
      <c r="CC91" s="11" t="n">
        <f>IF(ISNUMBER(BP91),BP91,"")</f>
        <v>1.2288250057360348</v>
      </c>
      <c r="CD91" s="14" t="n">
        <f>IF(ISNUMBER(BT91),BT91,"")</f>
        <v>31</v>
      </c>
      <c r="CE91" s="13" t="n">
        <f>IF(AND(COUNT(BV91,CC91,CD91)=3,MIN(BV91,CC91,CD91)&gt;=0),BV91*CC91*CD91,"")</f>
        <v>11.430795845680667</v>
      </c>
      <c r="CF91" s="11" t="n">
        <f>IF(ISNUMBER(BQ91),BQ91,"")</f>
        <v>1.2825767786356366</v>
      </c>
      <c r="CG91" s="14" t="n">
        <f>IF(ISNUMBER(BU91),BU91,"")</f>
        <v>17</v>
      </c>
      <c r="CH91" s="13" t="n">
        <f>IF(AND(COUNT(BV91,CF91,CG91)=3,MIN(BV91,CF91,CG91)&gt;=0),BV91*CF91*CG91,"")</f>
        <v>6.542700315145178</v>
      </c>
      <c r="CI91" s="13" t="n">
        <f>IF(COUNT(BY91,CB91,CE91,CH91)=4,SUM(BY91,CB91,CE91,CH91),"")</f>
        <v>34.45404073291337</v>
      </c>
    </row>
    <row r="92" ht="72" customHeight="1">
      <c r="A92" s="16" t="str">
        <v>S02a-BK1-38</v>
      </c>
      <c r="B92" s="16" t="str">
        <v>3店-SANDIEX-US</v>
      </c>
      <c r="C92" s="16" t="str">
        <v>陈晨</v>
      </c>
      <c r="D92" s="26" t="n">
        <f>IF(NOT(ISNUMBER(E92)),"",IF(OR(E92&lt;=0,L92=0),0,IF(OR(NOT(ISNUMBER(F92)),F92&lt;0),"",MIN(E92,INT(F92)))))</f>
        <v>17</v>
      </c>
      <c r="E92" s="27" t="n">
        <f>IF(OR(NOT(ISNUMBER(L92)),COUNT(M92:O92)&lt;&gt;3,MIN(M92:O92)&lt;0),"",ROUNDUP(ROUND(BI92-SUM(M92:O92),10),0))</f>
        <v>17</v>
      </c>
      <c r="F92" s="28" t="n">
        <v>19</v>
      </c>
      <c r="G92" s="28" t="n">
        <f>IF(AND(ISNUMBER(D92),ISNUMBER(E92)),IF(OR(E92&lt;=0,L92=0),0,E92-D92),"")</f>
        <v>0</v>
      </c>
      <c r="H92" s="16" t="str">
        <f>IF(NOT(ISNUMBER(E92)),"销量或海外库存待补",IF(OR(E92&lt;=0,L92=0),IF(L92=0,"零日销，本批不发","本批无需补货"),IF(NOT(ISNUMBER(D92)),"国内库存待补",IF(D92=0,"国内无可用库存",IF(G92&gt;0,"先发国内现货","按建议量发货")))))</f>
        <v>按建议量发货</v>
      </c>
      <c r="I92" s="28" t="n">
        <f>IF(AND(COUNT(Z92,AA92,AB92)=3,Z92&gt;=AA92,AA92&gt;=0,AB92=7),Z92-AA92,"")</f>
        <v>2</v>
      </c>
      <c r="J92" s="28" t="n">
        <f>IF(AND(COUNT(AF92,AG92,AH92)=3,AF92&gt;=AG92,AG92&gt;=0,AH92=14),AF92-AG92,"")</f>
        <v>2</v>
      </c>
      <c r="K92" s="28" t="n">
        <f>IF(AND(COUNT(AL92,AM92,AN92)=3,AL92&gt;=AM92,AM92&gt;=0,AN92=30),AL92-AM92,"")</f>
        <v>8</v>
      </c>
      <c r="L92" s="29" t="n">
        <f>IF(ISNUMBER(BI92),BI92/90,"")</f>
        <v>0.4883031364318414</v>
      </c>
      <c r="M92" s="28" t="n">
        <v>27</v>
      </c>
      <c r="N92" s="28" t="n">
        <v>0</v>
      </c>
      <c r="O92" s="28" t="n">
        <v>0</v>
      </c>
      <c r="P92" s="30" t="n">
        <f>IF(AND(ISNUMBER(L92),L92&gt;0,COUNT(M92:O92)=3,MIN(M92:O92)&gt;=0),SUM(M92:O92)/L92,"")</f>
        <v>55.29352155567964</v>
      </c>
      <c r="Q92" s="16" t="str">
        <v>沿用同SPU原计划店铺</v>
      </c>
      <c r="R92" s="16" t="str">
        <v>已匹配</v>
      </c>
      <c r="S92" s="16" t="str">
        <v>在售</v>
      </c>
      <c r="T92" s="16" t="str">
        <v>S02a</v>
      </c>
      <c r="U92" s="16" t="str">
        <v>黑色</v>
      </c>
      <c r="V92" s="16" t="n">
        <v>7.5</v>
      </c>
      <c r="W92" s="8" t="str">
        <v>2026-10-11 至 2026-10-17</v>
      </c>
      <c r="X92" s="8" t="str">
        <v>2026-10-11、2026-10-12、2026-10-13、2026-10-14、2026-10-15、2026-10-16、2026-10-17</v>
      </c>
      <c r="Y92" s="8" t="str">
        <v>无</v>
      </c>
      <c r="Z92" s="8" t="n">
        <v>2</v>
      </c>
      <c r="AA92" s="8" t="n">
        <v>0</v>
      </c>
      <c r="AB92" s="8" t="n">
        <v>7</v>
      </c>
      <c r="AC92" s="8" t="str">
        <v>2026-10-02 至 2026-10-17</v>
      </c>
      <c r="AD92" s="8" t="str">
        <v>2026-10-02、2026-10-03、2026-10-04、2026-10-05、2026-10-08、2026-10-09、2026-10-10、2026-10-11、2026-10-12、2026-10-13、2026-10-14、2026-10-15、2026-10-16、2026-10-17</v>
      </c>
      <c r="AE92" s="8" t="str">
        <v>2026-10-06 大促；2026-10-07 大促</v>
      </c>
      <c r="AF92" s="8" t="n">
        <v>4</v>
      </c>
      <c r="AG92" s="8" t="n">
        <v>2</v>
      </c>
      <c r="AH92" s="8" t="n">
        <v>14</v>
      </c>
      <c r="AI92" s="8" t="str">
        <v>2026-09-16 至 2026-10-17</v>
      </c>
      <c r="AJ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" s="8" t="str">
        <v>2026-10-06 大促；2026-10-07 大促</v>
      </c>
      <c r="AL92" s="8" t="n">
        <v>10</v>
      </c>
      <c r="AM92" s="8" t="n">
        <v>2</v>
      </c>
      <c r="AN92" s="8" t="n">
        <v>30</v>
      </c>
      <c r="AO92" s="8" t="str">
        <v>S02a / 黑色 / 6574</v>
      </c>
      <c r="AP92" s="11" t="n">
        <v>0.7647664488148722</v>
      </c>
      <c r="AQ92" s="11" t="n">
        <v>0.7647664488148722</v>
      </c>
      <c r="AR92" s="11" t="n">
        <v>0.8066052567225582</v>
      </c>
      <c r="AS92" s="11" t="n">
        <f>IF(AND(COUNT(I92:K92,AP92:AR92)=6,MIN(AP92:AR92)&gt;0),I92/7/AP92*0.5+J92/14/AQ92*0.3+K92/30/AR92*0.2,"")</f>
        <v>0.30895864565777587</v>
      </c>
      <c r="AT92" s="8" t="n">
        <v>21</v>
      </c>
      <c r="AU92" s="8" t="n">
        <v>2</v>
      </c>
      <c r="AV92" s="8" t="n">
        <v>88</v>
      </c>
      <c r="AW92" s="11" t="n">
        <f>IF(AND(COUNT(AT92:AV92)=3,AT92&gt;=AU92,AU92&gt;=0,AV92&gt;0),(AT92-AU92)/AV92,"")</f>
        <v>0.2159090909090909</v>
      </c>
      <c r="AX92" s="8" t="n">
        <v>38</v>
      </c>
      <c r="AY92" s="8" t="n">
        <v>2</v>
      </c>
      <c r="AZ92" s="8" t="n">
        <v>178</v>
      </c>
      <c r="BA92" s="11" t="n">
        <f>IF(AND(COUNT(AX92:AZ92)=3,AX92&gt;=AY92,AY92&gt;=0,AZ92&gt;0),(AX92-AY92)/AZ92,"")</f>
        <v>0.20224719101123595</v>
      </c>
      <c r="BB92" s="8" t="n">
        <f>IF(COUNT(AS92,AW92,BA92)=3,1,0)</f>
        <v>1</v>
      </c>
      <c r="BC92" s="11" t="n">
        <f>IF(SUMIF($AO$11:$AO$1309,AO92,$BB$11:$BB$1309)=COUNTIF($AO$11:$AO$1309,AO92),SUMIF($AO$11:$AO$1309,AO92,$AS$11:$AS$1309),"")</f>
        <v>1.8937291591853285</v>
      </c>
      <c r="BD92" s="11" t="n">
        <f>IF(SUMIF($AO$11:$AO$1309,AO92,$BB$11:$BB$1309)=COUNTIF($AO$11:$AO$1309,AO92),SUMIF($AO$11:$AO$1309,AO92,$AW$11:$AW$1309),"")</f>
        <v>1.0754010695187166</v>
      </c>
      <c r="BE92" s="11" t="n">
        <f>IF(SUMIF($AO$11:$AO$1309,AO92,$BB$11:$BB$1309)=COUNTIF($AO$11:$AO$1309,AO92),SUMIF($AO$11:$AO$1309,AO92,$BA$11:$BA$1309),"")</f>
        <v>0.9853611556982342</v>
      </c>
      <c r="BF92" s="12" t="n">
        <f>IF(COUNT(BD92:BE92)&lt;&gt;2,"",IF(AND(BD92&gt;0,BE92&gt;0),0.7*AW92/BD92+0.3*BA92/BE92,IF(BD92&gt;0,AW92/BD92,IF(BE92&gt;0,BA92/BE92,IF(AND(ISNUMBER(BH92),BH92=0),0,"")))))</f>
        <v>0.20211508479605084</v>
      </c>
      <c r="BG92" s="11" t="n">
        <f>IF(AND(COUNT(BN92:BU92)=8,MIN(BN92:BU92)&gt;=0),SUMPRODUCT(BN92:BQ92,BR92:BU92),"")</f>
        <v>114.81944114457707</v>
      </c>
      <c r="BH92" s="11" t="n">
        <f>IF(COUNT(BC92,BG92)=2,BC92*BG92,"")</f>
        <v>217.43692373684925</v>
      </c>
      <c r="BI92" s="11" t="n">
        <f>IF(ISNUMBER(CI92),CI92,"")</f>
        <v>43.94728227886573</v>
      </c>
      <c r="BJ92" s="8" t="str"/>
      <c r="BK92" s="8" t="str">
        <v>90天：2026-07-20 至 2026-10-17；180天：2026-04-21 至 2026-10-17</v>
      </c>
      <c r="BL92" s="8" t="str">
        <v>90天：2026-10-06、2026-10-07；180天：2026-10-06、2026-10-07</v>
      </c>
      <c r="BM92" s="8" t="str">
        <v>2026-10：12天 × 0.7647664488148722；2026-11：30天 × 1.5248287781391903；2026-12：31天 × 1.2288250057360348；2027-01：17天 × 1.2825767786356366</v>
      </c>
      <c r="BN92" s="11" t="n">
        <v>0.7647664488148722</v>
      </c>
      <c r="BO92" s="11" t="n">
        <v>1.5248287781391903</v>
      </c>
      <c r="BP92" s="11" t="n">
        <v>1.2288250057360348</v>
      </c>
      <c r="BQ92" s="11" t="n">
        <v>1.2825767786356366</v>
      </c>
      <c r="BR92" s="8" t="n">
        <v>12</v>
      </c>
      <c r="BS92" s="8" t="n">
        <v>30</v>
      </c>
      <c r="BT92" s="8" t="n">
        <v>31</v>
      </c>
      <c r="BU92" s="8" t="n">
        <v>17</v>
      </c>
      <c r="BV92" s="11" t="n">
        <f>IF(COUNT(BC92,BF92)=2,BC92*BF92,"")</f>
        <v>0.3827512295894967</v>
      </c>
      <c r="BW92" s="11" t="n">
        <f>IF(ISNUMBER(BN92),BN92,"")</f>
        <v>0.7647664488148722</v>
      </c>
      <c r="BX92" s="14" t="n">
        <f>IF(ISNUMBER(BR92),BR92,"")</f>
        <v>12</v>
      </c>
      <c r="BY92" s="13" t="n">
        <f>IF(AND(COUNT(BV92,BW92,BX92)=3,MIN(BV92,BW92,BX92)&gt;=0),BV92*BW92*BX92,"")</f>
        <v>3.512583583592223</v>
      </c>
      <c r="BZ92" s="11" t="n">
        <f>IF(ISNUMBER(BO92),BO92,"")</f>
        <v>1.5248287781391903</v>
      </c>
      <c r="CA92" s="14" t="n">
        <f>IF(ISNUMBER(BS92),BS92,"")</f>
        <v>30</v>
      </c>
      <c r="CB92" s="13" t="n">
        <f>IF(AND(COUNT(BV92,BZ92,CA92)=3,MIN(BV92,BZ92,CA92)&gt;=0),BV92*BZ92*CA92,"")</f>
        <v>17.508902692386748</v>
      </c>
      <c r="CC92" s="11" t="n">
        <f>IF(ISNUMBER(BP92),BP92,"")</f>
        <v>1.2288250057360348</v>
      </c>
      <c r="CD92" s="14" t="n">
        <f>IF(ISNUMBER(BT92),BT92,"")</f>
        <v>31</v>
      </c>
      <c r="CE92" s="13" t="n">
        <f>IF(AND(COUNT(BV92,CC92,CD92)=3,MIN(BV92,CC92,CD92)&gt;=0),BV92*CC92*CD92,"")</f>
        <v>14.580362738769418</v>
      </c>
      <c r="CF92" s="11" t="n">
        <f>IF(ISNUMBER(BQ92),BQ92,"")</f>
        <v>1.2825767786356366</v>
      </c>
      <c r="CG92" s="14" t="n">
        <f>IF(ISNUMBER(BU92),BU92,"")</f>
        <v>17</v>
      </c>
      <c r="CH92" s="13" t="n">
        <f>IF(AND(COUNT(BV92,CF92,CG92)=3,MIN(BV92,CF92,CG92)&gt;=0),BV92*CF92*CG92,"")</f>
        <v>8.345433264117336</v>
      </c>
      <c r="CI92" s="13" t="n">
        <f>IF(COUNT(BY92,CB92,CE92,CH92)=4,SUM(BY92,CB92,CE92,CH92),"")</f>
        <v>43.94728227886573</v>
      </c>
    </row>
    <row r="93" ht="72" customHeight="1">
      <c r="A93" s="16" t="str">
        <v>S02b-LP-42</v>
      </c>
      <c r="B93" s="16" t="str">
        <v>3店-SANDIEX-US</v>
      </c>
      <c r="C93" s="16" t="str">
        <v>陈晨</v>
      </c>
      <c r="D93" s="26" t="n">
        <f>IF(NOT(ISNUMBER(E93)),"",IF(OR(E93&lt;=0,L93=0),0,IF(OR(NOT(ISNUMBER(F93)),F93&lt;0),"",MIN(E93,INT(F93)))))</f>
        <v>16</v>
      </c>
      <c r="E93" s="27" t="n">
        <f>IF(OR(NOT(ISNUMBER(L93)),COUNT(M93:O93)&lt;&gt;3,MIN(M93:O93)&lt;0),"",ROUNDUP(ROUND(BI93-SUM(M93:O93),10),0))</f>
        <v>22</v>
      </c>
      <c r="F93" s="28" t="n">
        <v>16</v>
      </c>
      <c r="G93" s="28" t="n">
        <f>IF(AND(ISNUMBER(D93),ISNUMBER(E93)),IF(OR(E93&lt;=0,L93=0),0,E93-D93),"")</f>
        <v>6</v>
      </c>
      <c r="H93" s="16" t="str">
        <f>IF(NOT(ISNUMBER(E93)),"销量或海外库存待补",IF(OR(E93&lt;=0,L93=0),IF(L93=0,"零日销，本批不发","本批无需补货"),IF(NOT(ISNUMBER(D93)),"国内库存待补",IF(D93=0,"国内无可用库存",IF(G93&gt;0,"先发国内现货","按建议量发货")))))</f>
        <v>先发国内现货</v>
      </c>
      <c r="I93" s="28" t="n">
        <f>IF(AND(COUNT(Z93,AA93,AB93)=3,Z93&gt;=AA93,AA93&gt;=0,AB93=7),Z93-AA93,"")</f>
        <v>9</v>
      </c>
      <c r="J93" s="28" t="n">
        <f>IF(AND(COUNT(AF93,AG93,AH93)=3,AF93&gt;=AG93,AG93&gt;=0,AH93=14),AF93-AG93,"")</f>
        <v>13</v>
      </c>
      <c r="K93" s="28" t="n">
        <f>IF(AND(COUNT(AL93,AM93,AN93)=3,AL93&gt;=AM93,AM93&gt;=0,AN93=30),AL93-AM93,"")</f>
        <v>15</v>
      </c>
      <c r="L93" s="29" t="n">
        <f>IF(ISNUMBER(BI93),BI93/90,"")</f>
        <v>0.7351767862248041</v>
      </c>
      <c r="M93" s="28" t="n">
        <v>20</v>
      </c>
      <c r="N93" s="28" t="n">
        <v>0</v>
      </c>
      <c r="O93" s="28" t="n">
        <v>25</v>
      </c>
      <c r="P93" s="30" t="n">
        <f>IF(AND(ISNUMBER(L93),L93&gt;0,COUNT(M93:O93)=3,MIN(M93:O93)&gt;=0),SUM(M93:O93)/L93,"")</f>
        <v>61.209767287510346</v>
      </c>
      <c r="Q93" s="16" t="str">
        <v>沿用原计划SKU店铺</v>
      </c>
      <c r="R93" s="16" t="str">
        <v>已匹配</v>
      </c>
      <c r="S93" s="16" t="str">
        <v>在售</v>
      </c>
      <c r="T93" s="16" t="str">
        <v>S02b</v>
      </c>
      <c r="U93" s="16" t="str">
        <v>豹纹</v>
      </c>
      <c r="V93" s="16" t="n">
        <v>11</v>
      </c>
      <c r="W93" s="8" t="str">
        <v>2026-10-11 至 2026-10-17</v>
      </c>
      <c r="X93" s="8" t="str">
        <v>2026-10-11、2026-10-12、2026-10-13、2026-10-14、2026-10-15、2026-10-16、2026-10-17</v>
      </c>
      <c r="Y93" s="8" t="str">
        <v>无</v>
      </c>
      <c r="Z93" s="8" t="n">
        <v>9</v>
      </c>
      <c r="AA93" s="8" t="n">
        <v>0</v>
      </c>
      <c r="AB93" s="8" t="n">
        <v>7</v>
      </c>
      <c r="AC93" s="8" t="str">
        <v>2026-10-02 至 2026-10-17</v>
      </c>
      <c r="AD93" s="8" t="str">
        <v>2026-10-02、2026-10-03、2026-10-04、2026-10-05、2026-10-08、2026-10-09、2026-10-10、2026-10-11、2026-10-12、2026-10-13、2026-10-14、2026-10-15、2026-10-16、2026-10-17</v>
      </c>
      <c r="AE93" s="8" t="str">
        <v>2026-10-06 大促；2026-10-07 大促</v>
      </c>
      <c r="AF93" s="8" t="n">
        <v>16</v>
      </c>
      <c r="AG93" s="8" t="n">
        <v>3</v>
      </c>
      <c r="AH93" s="8" t="n">
        <v>14</v>
      </c>
      <c r="AI93" s="8" t="str">
        <v>2026-09-16 至 2026-10-17</v>
      </c>
      <c r="AJ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" s="8" t="str">
        <v>2026-10-06 大促；2026-10-07 大促</v>
      </c>
      <c r="AL93" s="8" t="n">
        <v>18</v>
      </c>
      <c r="AM93" s="8" t="n">
        <v>3</v>
      </c>
      <c r="AN93" s="8" t="n">
        <v>30</v>
      </c>
      <c r="AO93" s="8" t="str">
        <v>S02b / 豹纹 / 6574</v>
      </c>
      <c r="AP93" s="11" t="n">
        <v>0.9658602967882928</v>
      </c>
      <c r="AQ93" s="11" t="n">
        <v>0.9658602967882928</v>
      </c>
      <c r="AR93" s="11" t="n">
        <v>0.9166270540270348</v>
      </c>
      <c r="AS93" s="11" t="n">
        <f>IF(AND(COUNT(I93:K93,AP93:AR93)=6,MIN(AP93:AR93)&gt;0),I93/7/AP93*0.5+J93/14/AQ93*0.3+K93/30/AR93*0.2,"")</f>
        <v>1.0630933957635167</v>
      </c>
      <c r="AT93" s="8" t="n">
        <v>40</v>
      </c>
      <c r="AU93" s="8" t="n">
        <v>3</v>
      </c>
      <c r="AV93" s="8" t="n">
        <v>88</v>
      </c>
      <c r="AW93" s="11" t="n">
        <f>IF(AND(COUNT(AT93:AV93)=3,AT93&gt;=AU93,AU93&gt;=0,AV93&gt;0),(AT93-AU93)/AV93,"")</f>
        <v>0.42045454545454547</v>
      </c>
      <c r="AX93" s="8" t="n">
        <v>74</v>
      </c>
      <c r="AY93" s="8" t="n">
        <v>3</v>
      </c>
      <c r="AZ93" s="8" t="n">
        <v>178</v>
      </c>
      <c r="BA93" s="11" t="n">
        <f>IF(AND(COUNT(AX93:AZ93)=3,AX93&gt;=AY93,AY93&gt;=0,AZ93&gt;0),(AX93-AY93)/AZ93,"")</f>
        <v>0.398876404494382</v>
      </c>
      <c r="BB93" s="8" t="n">
        <f>IF(COUNT(AS93,AW93,BA93)=3,1,0)</f>
        <v>1</v>
      </c>
      <c r="BC93" s="11" t="n">
        <f>IF(SUMIF($AO$11:$AO$1309,AO93,$BB$11:$BB$1309)=COUNTIF($AO$11:$AO$1309,AO93),SUMIF($AO$11:$AO$1309,AO93,$AS$11:$AS$1309),"")</f>
        <v>7.593711834893618</v>
      </c>
      <c r="BD93" s="11" t="n">
        <f>IF(SUMIF($AO$11:$AO$1309,AO93,$BB$11:$BB$1309)=COUNTIF($AO$11:$AO$1309,AO93),SUMIF($AO$11:$AO$1309,AO93,$AW$11:$AW$1309),"")</f>
        <v>4.863636363636363</v>
      </c>
      <c r="BE93" s="11" t="n">
        <f>IF(SUMIF($AO$11:$AO$1309,AO93,$BB$11:$BB$1309)=COUNTIF($AO$11:$AO$1309,AO93),SUMIF($AO$11:$AO$1309,AO93,$BA$11:$BA$1309),"")</f>
        <v>3.7977528089887644</v>
      </c>
      <c r="BF93" s="12" t="n">
        <f>IF(COUNT(BD93:BE93)&lt;&gt;2,"",IF(AND(BD93&gt;0,BE93&gt;0),0.7*AW93/BD93+0.3*BA93/BE93,IF(BD93&gt;0,AW93/BD93,IF(BE93&gt;0,BA93/BE93,IF(AND(ISNUMBER(BH93),BH93=0),0,"")))))</f>
        <v>0.09202289443123375</v>
      </c>
      <c r="BG93" s="11" t="n">
        <f>IF(AND(COUNT(BN93:BU93)=8,MIN(BN93:BU93)&gt;=0),SUMPRODUCT(BN93:BQ93,BR93:BU93),"")</f>
        <v>94.68567795727022</v>
      </c>
      <c r="BH93" s="11" t="n">
        <f>IF(COUNT(BC93,BG93)=2,BC93*BG93,"")</f>
        <v>719.0157532990486</v>
      </c>
      <c r="BI93" s="11" t="n">
        <f>IF(ISNUMBER(CI93),CI93,"")</f>
        <v>66.16591076023236</v>
      </c>
      <c r="BJ93" s="8" t="str"/>
      <c r="BK93" s="8" t="str">
        <v>90天：2026-07-20 至 2026-10-17；180天：2026-04-21 至 2026-10-17</v>
      </c>
      <c r="BL93" s="8" t="str">
        <v>90天：2026-10-06、2026-10-07；180天：2026-10-06、2026-10-07</v>
      </c>
      <c r="BM93" s="8" t="str">
        <v>2026-10：12天 × 0.9658602967882928；2026-11：30天 × 1.1727174450092641；2026-12：31天 × 0.8763339075184018；2027-01：17天 × 1.2204399948507247</v>
      </c>
      <c r="BN93" s="11" t="n">
        <v>0.9658602967882928</v>
      </c>
      <c r="BO93" s="11" t="n">
        <v>1.1727174450092641</v>
      </c>
      <c r="BP93" s="11" t="n">
        <v>0.8763339075184018</v>
      </c>
      <c r="BQ93" s="11" t="n">
        <v>1.2204399948507247</v>
      </c>
      <c r="BR93" s="8" t="n">
        <v>12</v>
      </c>
      <c r="BS93" s="8" t="n">
        <v>30</v>
      </c>
      <c r="BT93" s="8" t="n">
        <v>31</v>
      </c>
      <c r="BU93" s="8" t="n">
        <v>17</v>
      </c>
      <c r="BV93" s="11" t="n">
        <f>IF(COUNT(BC93,BF93)=2,BC93*BF93,"")</f>
        <v>0.6987953425236257</v>
      </c>
      <c r="BW93" s="11" t="n">
        <f>IF(ISNUMBER(BN93),BN93,"")</f>
        <v>0.9658602967882928</v>
      </c>
      <c r="BX93" s="14" t="n">
        <f>IF(ISNUMBER(BR93),BR93,"")</f>
        <v>12</v>
      </c>
      <c r="BY93" s="13" t="n">
        <f>IF(AND(COUNT(BV93,BW93,BX93)=3,MIN(BV93,BW93,BX93)&gt;=0),BV93*BW93*BX93,"")</f>
        <v>8.09926412308975</v>
      </c>
      <c r="BZ93" s="11" t="n">
        <f>IF(ISNUMBER(BO93),BO93,"")</f>
        <v>1.1727174450092641</v>
      </c>
      <c r="CA93" s="14" t="n">
        <f>IF(ISNUMBER(BS93),BS93,"")</f>
        <v>30</v>
      </c>
      <c r="CB93" s="13" t="n">
        <f>IF(AND(COUNT(BV93,BZ93,CA93)=3,MIN(BV93,BZ93,CA93)&gt;=0),BV93*BZ93*CA93,"")</f>
        <v>24.5846846600604</v>
      </c>
      <c r="CC93" s="11" t="n">
        <f>IF(ISNUMBER(BP93),BP93,"")</f>
        <v>0.8763339075184018</v>
      </c>
      <c r="CD93" s="14" t="n">
        <f>IF(ISNUMBER(BT93),BT93,"")</f>
        <v>31</v>
      </c>
      <c r="CE93" s="13" t="n">
        <f>IF(AND(COUNT(BV93,CC93,CD93)=3,MIN(BV93,CC93,CD93)&gt;=0),BV93*CC93*CD93,"")</f>
        <v>18.98371964515106</v>
      </c>
      <c r="CF93" s="11" t="n">
        <f>IF(ISNUMBER(BQ93),BQ93,"")</f>
        <v>1.2204399948507247</v>
      </c>
      <c r="CG93" s="14" t="n">
        <f>IF(ISNUMBER(BU93),BU93,"")</f>
        <v>17</v>
      </c>
      <c r="CH93" s="13" t="n">
        <f>IF(AND(COUNT(BV93,CF93,CG93)=3,MIN(BV93,CF93,CG93)&gt;=0),BV93*CF93*CG93,"")</f>
        <v>14.498242331931152</v>
      </c>
      <c r="CI93" s="13" t="n">
        <f>IF(COUNT(BY93,CB93,CE93,CH93)=4,SUM(BY93,CB93,CE93,CH93),"")</f>
        <v>66.16591076023236</v>
      </c>
    </row>
    <row r="94" ht="72" customHeight="1">
      <c r="A94" s="16" t="str">
        <v>32582-BKW-42</v>
      </c>
      <c r="B94" s="16" t="str">
        <v>3店-SANDIEX-US</v>
      </c>
      <c r="C94" s="16" t="str">
        <v>徐新怡</v>
      </c>
      <c r="D94" s="26" t="n">
        <f>IF(NOT(ISNUMBER(E94)),"",IF(OR(E94&lt;=0,L94=0),0,IF(OR(NOT(ISNUMBER(F94)),F94&lt;0),"",MIN(E94,INT(F94)))))</f>
        <v>16</v>
      </c>
      <c r="E94" s="27" t="n">
        <f>IF(OR(NOT(ISNUMBER(L94)),COUNT(M94:O94)&lt;&gt;3,MIN(M94:O94)&lt;0),"",ROUNDUP(ROUND(BI94-SUM(M94:O94),10),0))</f>
        <v>18</v>
      </c>
      <c r="F94" s="28" t="n">
        <v>16</v>
      </c>
      <c r="G94" s="28" t="n">
        <f>IF(AND(ISNUMBER(D94),ISNUMBER(E94)),IF(OR(E94&lt;=0,L94=0),0,E94-D94),"")</f>
        <v>2</v>
      </c>
      <c r="H94" s="16" t="str">
        <f>IF(NOT(ISNUMBER(E94)),"销量或海外库存待补",IF(OR(E94&lt;=0,L94=0),IF(L94=0,"零日销，本批不发","本批无需补货"),IF(NOT(ISNUMBER(D94)),"国内库存待补",IF(D94=0,"国内无可用库存",IF(G94&gt;0,"先发国内现货","按建议量发货")))))</f>
        <v>先发国内现货</v>
      </c>
      <c r="I94" s="28" t="n">
        <f>IF(AND(COUNT(Z94,AA94,AB94)=3,Z94&gt;=AA94,AA94&gt;=0,AB94=7),Z94-AA94,"")</f>
        <v>2</v>
      </c>
      <c r="J94" s="28" t="n">
        <f>IF(AND(COUNT(AF94,AG94,AH94)=3,AF94&gt;=AG94,AG94&gt;=0,AH94=14),AF94-AG94,"")</f>
        <v>8</v>
      </c>
      <c r="K94" s="28" t="n">
        <f>IF(AND(COUNT(AL94,AM94,AN94)=3,AL94&gt;=AM94,AM94&gt;=0,AN94=30),AL94-AM94,"")</f>
        <v>19</v>
      </c>
      <c r="L94" s="29" t="n">
        <f>IF(ISNUMBER(BI94),BI94/90,"")</f>
        <v>0.3450164180382511</v>
      </c>
      <c r="M94" s="28" t="n">
        <v>14</v>
      </c>
      <c r="N94" s="28" t="n">
        <v>0</v>
      </c>
      <c r="O94" s="28" t="n">
        <v>0</v>
      </c>
      <c r="P94" s="30" t="n">
        <f>IF(AND(ISNUMBER(L94),L94&gt;0,COUNT(M94:O94)=3,MIN(M94:O94)&gt;=0),SUM(M94:O94)/L94,"")</f>
        <v>40.577779108609995</v>
      </c>
      <c r="Q94" s="16" t="str">
        <v>沿用原计划SKU店铺</v>
      </c>
      <c r="R94" s="16" t="str">
        <v>已匹配</v>
      </c>
      <c r="S94" s="16" t="str">
        <v>在售</v>
      </c>
      <c r="T94" s="16" t="str">
        <v>32582</v>
      </c>
      <c r="U94" s="16" t="str">
        <v>黑色白色内里</v>
      </c>
      <c r="V94" s="16" t="n">
        <v>11</v>
      </c>
      <c r="W94" s="8" t="str">
        <v>2026-10-11 至 2026-10-17</v>
      </c>
      <c r="X94" s="8" t="str">
        <v>2026-10-11、2026-10-12、2026-10-13、2026-10-14、2026-10-15、2026-10-16、2026-10-17</v>
      </c>
      <c r="Y94" s="8" t="str">
        <v>无</v>
      </c>
      <c r="Z94" s="8" t="n">
        <v>2</v>
      </c>
      <c r="AA94" s="8" t="n">
        <v>0</v>
      </c>
      <c r="AB94" s="8" t="n">
        <v>7</v>
      </c>
      <c r="AC94" s="8" t="str">
        <v>2026-10-02 至 2026-10-17</v>
      </c>
      <c r="AD94" s="8" t="str">
        <v>2026-10-02、2026-10-03、2026-10-04、2026-10-05、2026-10-08、2026-10-09、2026-10-10、2026-10-11、2026-10-12、2026-10-13、2026-10-14、2026-10-15、2026-10-16、2026-10-17</v>
      </c>
      <c r="AE94" s="8" t="str">
        <v>2026-10-06 大促；2026-10-07 大促</v>
      </c>
      <c r="AF94" s="8" t="n">
        <v>11</v>
      </c>
      <c r="AG94" s="8" t="n">
        <v>3</v>
      </c>
      <c r="AH94" s="8" t="n">
        <v>14</v>
      </c>
      <c r="AI94" s="8" t="str">
        <v>2026-09-16 至 2026-10-17</v>
      </c>
      <c r="AJ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" s="8" t="str">
        <v>2026-10-06 大促；2026-10-07 大促</v>
      </c>
      <c r="AL94" s="8" t="n">
        <v>22</v>
      </c>
      <c r="AM94" s="8" t="n">
        <v>3</v>
      </c>
      <c r="AN94" s="8" t="n">
        <v>30</v>
      </c>
      <c r="AO94" s="8" t="str">
        <v>32582 / 黑色白色内里羊京绒 / 6574</v>
      </c>
      <c r="AP94" s="11" t="n">
        <v>1.0395067087630607</v>
      </c>
      <c r="AQ94" s="11" t="n">
        <v>1.0395067087630607</v>
      </c>
      <c r="AR94" s="11" t="n">
        <v>1.0707336504782758</v>
      </c>
      <c r="AS94" s="11" t="n">
        <f>IF(AND(COUNT(I94:K94,AP94:AR94)=6,MIN(AP94:AR94)&gt;0),I94/7/AP94*0.5+J94/14/AQ94*0.3+K94/30/AR94*0.2,"")</f>
        <v>0.42064015830506274</v>
      </c>
      <c r="AT94" s="8" t="n">
        <v>33</v>
      </c>
      <c r="AU94" s="8" t="n">
        <v>3</v>
      </c>
      <c r="AV94" s="8" t="n">
        <v>88</v>
      </c>
      <c r="AW94" s="11" t="n">
        <f>IF(AND(COUNT(AT94:AV94)=3,AT94&gt;=AU94,AU94&gt;=0,AV94&gt;0),(AT94-AU94)/AV94,"")</f>
        <v>0.3409090909090909</v>
      </c>
      <c r="AX94" s="8" t="n">
        <v>49</v>
      </c>
      <c r="AY94" s="8" t="n">
        <v>3</v>
      </c>
      <c r="AZ94" s="8" t="n">
        <v>178</v>
      </c>
      <c r="BA94" s="11" t="n">
        <f>IF(AND(COUNT(AX94:AZ94)=3,AX94&gt;=AY94,AY94&gt;=0,AZ94&gt;0),(AX94-AY94)/AZ94,"")</f>
        <v>0.25842696629213485</v>
      </c>
      <c r="BB94" s="8" t="n">
        <f>IF(COUNT(AS94,AW94,BA94)=3,1,0)</f>
        <v>1</v>
      </c>
      <c r="BC94" s="11" t="n">
        <f>IF(SUMIF($AO$11:$AO$1309,AO94,$BB$11:$BB$1309)=COUNTIF($AO$11:$AO$1309,AO94),SUMIF($AO$11:$AO$1309,AO94,$AS$11:$AS$1309),"")</f>
        <v>1.7016895050610588</v>
      </c>
      <c r="BD94" s="11" t="n">
        <f>IF(SUMIF($AO$11:$AO$1309,AO94,$BB$11:$BB$1309)=COUNTIF($AO$11:$AO$1309,AO94),SUMIF($AO$11:$AO$1309,AO94,$AW$11:$AW$1309),"")</f>
        <v>1.522727272727273</v>
      </c>
      <c r="BE94" s="11" t="n">
        <f>IF(SUMIF($AO$11:$AO$1309,AO94,$BB$11:$BB$1309)=COUNTIF($AO$11:$AO$1309,AO94),SUMIF($AO$11:$AO$1309,AO94,$BA$11:$BA$1309),"")</f>
        <v>1.5505617977528092</v>
      </c>
      <c r="BF94" s="12" t="n">
        <f>IF(COUNT(BD94:BE94)&lt;&gt;2,"",IF(AND(BD94&gt;0,BE94&gt;0),0.7*AW94/BD94+0.3*BA94/BE94,IF(BD94&gt;0,AW94/BD94,IF(BE94&gt;0,BA94/BE94,IF(AND(ISNUMBER(BH94),BH94=0),0,"")))))</f>
        <v>0.2067164179104477</v>
      </c>
      <c r="BG94" s="11" t="n">
        <f>IF(AND(COUNT(BN94:BU94)=8,MIN(BN94:BU94)&gt;=0),SUMPRODUCT(BN94:BQ94,BR94:BU94),"")</f>
        <v>88.27281580841549</v>
      </c>
      <c r="BH94" s="11" t="n">
        <f>IF(COUNT(BC94,BG94)=2,BC94*BG94,"")</f>
        <v>150.21292424336855</v>
      </c>
      <c r="BI94" s="11" t="n">
        <f>IF(ISNUMBER(CI94),CI94,"")</f>
        <v>31.0514776234426</v>
      </c>
      <c r="BJ94" s="8" t="str">
        <v>低销提醒依据不完整</v>
      </c>
      <c r="BK94" s="8" t="str">
        <v>90天：2026-07-20 至 2026-10-17；180天：2026-04-21 至 2026-10-17</v>
      </c>
      <c r="BL94" s="8" t="str">
        <v>90天：2026-10-06、2026-10-07；180天：2026-10-06、2026-10-07</v>
      </c>
      <c r="BM94" s="8" t="str">
        <v>2026-10：12天 × 1.0395067087630607；2026-11：30天 × 0.9890368360033146；2026-12：31天 × 0.7800796503018808；2027-01：17天 × 1.2908918272824135</v>
      </c>
      <c r="BN94" s="11" t="n">
        <v>1.0395067087630607</v>
      </c>
      <c r="BO94" s="11" t="n">
        <v>0.9890368360033146</v>
      </c>
      <c r="BP94" s="11" t="n">
        <v>0.7800796503018808</v>
      </c>
      <c r="BQ94" s="11" t="n">
        <v>1.2908918272824135</v>
      </c>
      <c r="BR94" s="8" t="n">
        <v>12</v>
      </c>
      <c r="BS94" s="8" t="n">
        <v>30</v>
      </c>
      <c r="BT94" s="8" t="n">
        <v>31</v>
      </c>
      <c r="BU94" s="8" t="n">
        <v>17</v>
      </c>
      <c r="BV94" s="11" t="n">
        <f>IF(COUNT(BC94,BF94)=2,BC94*BF94,"")</f>
        <v>0.35176715888202476</v>
      </c>
      <c r="BW94" s="11" t="n">
        <f>IF(ISNUMBER(BN94),BN94,"")</f>
        <v>1.0395067087630607</v>
      </c>
      <c r="BX94" s="14" t="n">
        <f>IF(ISNUMBER(BR94),BR94,"")</f>
        <v>12</v>
      </c>
      <c r="BY94" s="13" t="n">
        <f>IF(AND(COUNT(BV94,BW94,BX94)=3,MIN(BV94,BW94,BX94)&gt;=0),BV94*BW94*BX94,"")</f>
        <v>4.387971858964635</v>
      </c>
      <c r="BZ94" s="11" t="n">
        <f>IF(ISNUMBER(BO94),BO94,"")</f>
        <v>0.9890368360033146</v>
      </c>
      <c r="CA94" s="14" t="n">
        <f>IF(ISNUMBER(BS94),BS94,"")</f>
        <v>30</v>
      </c>
      <c r="CB94" s="13" t="n">
        <f>IF(AND(COUNT(BV94,BZ94,CA94)=3,MIN(BV94,BZ94,CA94)&gt;=0),BV94*BZ94*CA94,"")</f>
        <v>10.43732033491659</v>
      </c>
      <c r="CC94" s="11" t="n">
        <f>IF(ISNUMBER(BP94),BP94,"")</f>
        <v>0.7800796503018808</v>
      </c>
      <c r="CD94" s="14" t="n">
        <f>IF(ISNUMBER(BT94),BT94,"")</f>
        <v>31</v>
      </c>
      <c r="CE94" s="13" t="n">
        <f>IF(AND(COUNT(BV94,CC94,CD94)=3,MIN(BV94,CC94,CD94)&gt;=0),BV94*CC94*CD94,"")</f>
        <v>8.506598470939656</v>
      </c>
      <c r="CF94" s="11" t="n">
        <f>IF(ISNUMBER(BQ94),BQ94,"")</f>
        <v>1.2908918272824135</v>
      </c>
      <c r="CG94" s="14" t="n">
        <f>IF(ISNUMBER(BU94),BU94,"")</f>
        <v>17</v>
      </c>
      <c r="CH94" s="13" t="n">
        <f>IF(AND(COUNT(BV94,CF94,CG94)=3,MIN(BV94,CF94,CG94)&gt;=0),BV94*CF94*CG94,"")</f>
        <v>7.719586958621719</v>
      </c>
      <c r="CI94" s="13" t="n">
        <f>IF(COUNT(BY94,CB94,CE94,CH94)=4,SUM(BY94,CB94,CE94,CH94),"")</f>
        <v>31.0514776234426</v>
      </c>
    </row>
    <row r="95" ht="72" customHeight="1">
      <c r="A95" s="16" t="str">
        <v>2302153-BG-P-Z-39</v>
      </c>
      <c r="B95" s="16" t="str">
        <v>3店-SANDIEX-US</v>
      </c>
      <c r="C95" s="16" t="str">
        <v>徐新怡</v>
      </c>
      <c r="D95" s="26" t="n">
        <f>IF(NOT(ISNUMBER(E95)),"",IF(OR(E95&lt;=0,L95=0),0,IF(OR(NOT(ISNUMBER(F95)),F95&lt;0),"",MIN(E95,INT(F95)))))</f>
        <v>16</v>
      </c>
      <c r="E95" s="27" t="n">
        <f>IF(OR(NOT(ISNUMBER(L95)),COUNT(M95:O95)&lt;&gt;3,MIN(M95:O95)&lt;0),"",ROUNDUP(ROUND(BI95-SUM(M95:O95),10),0))</f>
        <v>16</v>
      </c>
      <c r="F95" s="28" t="n">
        <v>151</v>
      </c>
      <c r="G95" s="28" t="n">
        <f>IF(AND(ISNUMBER(D95),ISNUMBER(E95)),IF(OR(E95&lt;=0,L95=0),0,E95-D95),"")</f>
        <v>0</v>
      </c>
      <c r="H95" s="16" t="str">
        <f>IF(NOT(ISNUMBER(E95)),"销量或海外库存待补",IF(OR(E95&lt;=0,L95=0),IF(L95=0,"零日销，本批不发","本批无需补货"),IF(NOT(ISNUMBER(D95)),"国内库存待补",IF(D95=0,"国内无可用库存",IF(G95&gt;0,"先发国内现货","按建议量发货")))))</f>
        <v>按建议量发货</v>
      </c>
      <c r="I95" s="28" t="n">
        <f>IF(AND(COUNT(Z95,AA95,AB95)=3,Z95&gt;=AA95,AA95&gt;=0,AB95=7),Z95-AA95,"")</f>
        <v>2</v>
      </c>
      <c r="J95" s="28" t="n">
        <f>IF(AND(COUNT(AF95,AG95,AH95)=3,AF95&gt;=AG95,AG95&gt;=0,AH95=14),AF95-AG95,"")</f>
        <v>3</v>
      </c>
      <c r="K95" s="28" t="n">
        <f>IF(AND(COUNT(AL95,AM95,AN95)=3,AL95&gt;=AM95,AM95&gt;=0,AN95=30),AL95-AM95,"")</f>
        <v>11</v>
      </c>
      <c r="L95" s="29" t="n">
        <f>IF(ISNUMBER(BI95),BI95/90,"")</f>
        <v>0.2220864061711936</v>
      </c>
      <c r="M95" s="28" t="n">
        <v>4</v>
      </c>
      <c r="N95" s="28" t="n">
        <v>0</v>
      </c>
      <c r="O95" s="28" t="n">
        <v>0</v>
      </c>
      <c r="P95" s="30" t="n">
        <f>IF(AND(ISNUMBER(L95),L95&gt;0,COUNT(M95:O95)=3,MIN(M95:O95)&gt;=0),SUM(M95:O95)/L95,"")</f>
        <v>18.011007827811987</v>
      </c>
      <c r="Q95" s="16" t="str">
        <v>沿用原计划SKU店铺</v>
      </c>
      <c r="R95" s="16" t="str">
        <v>已匹配</v>
      </c>
      <c r="S95" s="16" t="str">
        <v>在售</v>
      </c>
      <c r="T95" s="16" t="str">
        <v>2302153</v>
      </c>
      <c r="U95" s="16" t="str">
        <v>米白</v>
      </c>
      <c r="V95" s="16" t="n">
        <v>8</v>
      </c>
      <c r="W95" s="8" t="str">
        <v>2026-10-11 至 2026-10-17</v>
      </c>
      <c r="X95" s="8" t="str">
        <v>2026-10-11、2026-10-12、2026-10-13、2026-10-14、2026-10-15、2026-10-16、2026-10-17</v>
      </c>
      <c r="Y95" s="8" t="str">
        <v>无</v>
      </c>
      <c r="Z95" s="8" t="n">
        <v>2</v>
      </c>
      <c r="AA95" s="8" t="n">
        <v>0</v>
      </c>
      <c r="AB95" s="8" t="n">
        <v>7</v>
      </c>
      <c r="AC95" s="8" t="str">
        <v>2026-10-02 至 2026-10-17</v>
      </c>
      <c r="AD95" s="8" t="str">
        <v>2026-10-02、2026-10-03、2026-10-04、2026-10-05、2026-10-08、2026-10-09、2026-10-10、2026-10-11、2026-10-12、2026-10-13、2026-10-14、2026-10-15、2026-10-16、2026-10-17</v>
      </c>
      <c r="AE95" s="8" t="str">
        <v>2026-10-06 大促；2026-10-07 大促</v>
      </c>
      <c r="AF95" s="8" t="n">
        <v>5</v>
      </c>
      <c r="AG95" s="8" t="n">
        <v>2</v>
      </c>
      <c r="AH95" s="8" t="n">
        <v>14</v>
      </c>
      <c r="AI95" s="8" t="str">
        <v>2026-09-16 至 2026-10-17</v>
      </c>
      <c r="AJ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5" s="8" t="str">
        <v>2026-10-06 大促；2026-10-07 大促</v>
      </c>
      <c r="AL95" s="8" t="n">
        <v>13</v>
      </c>
      <c r="AM95" s="8" t="n">
        <v>2</v>
      </c>
      <c r="AN95" s="8" t="n">
        <v>30</v>
      </c>
      <c r="AO95" s="8" t="str">
        <v>2302153 / 米白PU / 6574</v>
      </c>
      <c r="AP95" s="11" t="n">
        <v>1.7391279184229513</v>
      </c>
      <c r="AQ95" s="11" t="n">
        <v>1.7391279184229513</v>
      </c>
      <c r="AR95" s="11" t="n">
        <v>1.5731892896917212</v>
      </c>
      <c r="AS95" s="11" t="n">
        <f>IF(AND(COUNT(I95:K95,AP95:AR95)=6,MIN(AP95:AR95)&gt;0),I95/7/AP95*0.5+J95/14/AQ95*0.3+K95/30/AR95*0.2,"")</f>
        <v>0.1657217523849745</v>
      </c>
      <c r="AT95" s="8" t="n">
        <v>23</v>
      </c>
      <c r="AU95" s="8" t="n">
        <v>2</v>
      </c>
      <c r="AV95" s="8" t="n">
        <v>88</v>
      </c>
      <c r="AW95" s="11" t="n">
        <f>IF(AND(COUNT(AT95:AV95)=3,AT95&gt;=AU95,AU95&gt;=0,AV95&gt;0),(AT95-AU95)/AV95,"")</f>
        <v>0.23863636363636365</v>
      </c>
      <c r="AX95" s="8" t="n">
        <v>23</v>
      </c>
      <c r="AY95" s="8" t="n">
        <v>2</v>
      </c>
      <c r="AZ95" s="8" t="n">
        <v>178</v>
      </c>
      <c r="BA95" s="11" t="n">
        <f>IF(AND(COUNT(AX95:AZ95)=3,AX95&gt;=AY95,AY95&gt;=0,AZ95&gt;0),(AX95-AY95)/AZ95,"")</f>
        <v>0.11797752808988764</v>
      </c>
      <c r="BB95" s="8" t="n">
        <f>IF(COUNT(AS95,AW95,BA95)=3,1,0)</f>
        <v>1</v>
      </c>
      <c r="BC95" s="11" t="n">
        <f>IF(SUMIF($AO$11:$AO$1309,AO95,$BB$11:$BB$1309)=COUNTIF($AO$11:$AO$1309,AO95),SUMIF($AO$11:$AO$1309,AO95,$AS$11:$AS$1309),"")</f>
        <v>2.0955365955321814</v>
      </c>
      <c r="BD95" s="11" t="n">
        <f>IF(SUMIF($AO$11:$AO$1309,AO95,$BB$11:$BB$1309)=COUNTIF($AO$11:$AO$1309,AO95),SUMIF($AO$11:$AO$1309,AO95,$AW$11:$AW$1309),"")</f>
        <v>2.736485747612452</v>
      </c>
      <c r="BE95" s="11" t="n">
        <f>IF(SUMIF($AO$11:$AO$1309,AO95,$BB$11:$BB$1309)=COUNTIF($AO$11:$AO$1309,AO95),SUMIF($AO$11:$AO$1309,AO95,$BA$11:$BA$1309),"")</f>
        <v>1.3562265196239676</v>
      </c>
      <c r="BF95" s="12" t="n">
        <f>IF(COUNT(BD95:BE95)&lt;&gt;2,"",IF(AND(BD95&gt;0,BE95&gt;0),0.7*AW95/BD95+0.3*BA95/BE95,IF(BD95&gt;0,AW95/BD95,IF(BE95&gt;0,BA95/BE95,IF(AND(ISNUMBER(BH95),BH95=0),0,"")))))</f>
        <v>0.08714065107716751</v>
      </c>
      <c r="BG95" s="11" t="n">
        <f>IF(AND(COUNT(BN95:BU95)=8,MIN(BN95:BU95)&gt;=0),SUMPRODUCT(BN95:BQ95,BR95:BU95),"")</f>
        <v>109.4582336985339</v>
      </c>
      <c r="BH95" s="11" t="n">
        <f>IF(COUNT(BC95,BG95)=2,BC95*BG95,"")</f>
        <v>229.37373439759162</v>
      </c>
      <c r="BI95" s="11" t="n">
        <f>IF(ISNUMBER(CI95),CI95,"")</f>
        <v>19.987776555407425</v>
      </c>
      <c r="BJ95" s="8" t="str"/>
      <c r="BK95" s="8" t="str">
        <v>90天：2026-07-20 至 2026-10-17；180天：2026-04-21 至 2026-10-17</v>
      </c>
      <c r="BL95" s="8" t="str">
        <v>90天：2026-10-06、2026-10-07；180天：2026-10-06、2026-10-07</v>
      </c>
      <c r="BM95" s="8" t="str">
        <v>2026-10：12天 × 1.7391279184229513；2026-11：30天 × 1.4002077845513243；2026-12：31天 × 1.079339935625147；2027-01：17天 × 0.7719368903846591</v>
      </c>
      <c r="BN95" s="11" t="n">
        <v>1.7391279184229513</v>
      </c>
      <c r="BO95" s="11" t="n">
        <v>1.4002077845513243</v>
      </c>
      <c r="BP95" s="11" t="n">
        <v>1.079339935625147</v>
      </c>
      <c r="BQ95" s="11" t="n">
        <v>0.7719368903846591</v>
      </c>
      <c r="BR95" s="8" t="n">
        <v>12</v>
      </c>
      <c r="BS95" s="8" t="n">
        <v>30</v>
      </c>
      <c r="BT95" s="8" t="n">
        <v>31</v>
      </c>
      <c r="BU95" s="8" t="n">
        <v>17</v>
      </c>
      <c r="BV95" s="11" t="n">
        <f>IF(COUNT(BC95,BF95)=2,BC95*BF95,"")</f>
        <v>0.1826064232907053</v>
      </c>
      <c r="BW95" s="11" t="n">
        <f>IF(ISNUMBER(BN95),BN95,"")</f>
        <v>1.7391279184229513</v>
      </c>
      <c r="BX95" s="14" t="n">
        <f>IF(ISNUMBER(BR95),BR95,"")</f>
        <v>12</v>
      </c>
      <c r="BY95" s="13" t="n">
        <f>IF(AND(COUNT(BV95,BW95,BX95)=3,MIN(BV95,BW95,BX95)&gt;=0),BV95*BW95*BX95,"")</f>
        <v>3.8109111459386957</v>
      </c>
      <c r="BZ95" s="11" t="n">
        <f>IF(ISNUMBER(BO95),BO95,"")</f>
        <v>1.4002077845513243</v>
      </c>
      <c r="CA95" s="14" t="n">
        <f>IF(ISNUMBER(BS95),BS95,"")</f>
        <v>30</v>
      </c>
      <c r="CB95" s="13" t="n">
        <f>IF(AND(COUNT(BV95,BZ95,CA95)=3,MIN(BV95,BZ95,CA95)&gt;=0),BV95*BZ95*CA95,"")</f>
        <v>7.6706080620215955</v>
      </c>
      <c r="CC95" s="11" t="n">
        <f>IF(ISNUMBER(BP95),BP95,"")</f>
        <v>1.079339935625147</v>
      </c>
      <c r="CD95" s="14" t="n">
        <f>IF(ISNUMBER(BT95),BT95,"")</f>
        <v>31</v>
      </c>
      <c r="CE95" s="13" t="n">
        <f>IF(AND(COUNT(BV95,CC95,CD95)=3,MIN(BV95,CC95,CD95)&gt;=0),BV95*CC95*CD95,"")</f>
        <v>6.109926559939175</v>
      </c>
      <c r="CF95" s="11" t="n">
        <f>IF(ISNUMBER(BQ95),BQ95,"")</f>
        <v>0.7719368903846591</v>
      </c>
      <c r="CG95" s="14" t="n">
        <f>IF(ISNUMBER(BU95),BU95,"")</f>
        <v>17</v>
      </c>
      <c r="CH95" s="13" t="n">
        <f>IF(AND(COUNT(BV95,CF95,CG95)=3,MIN(BV95,CF95,CG95)&gt;=0),BV95*CF95*CG95,"")</f>
        <v>2.3963307875079614</v>
      </c>
      <c r="CI95" s="13" t="n">
        <f>IF(COUNT(BY95,CB95,CE95,CH95)=4,SUM(BY95,CB95,CE95,CH95),"")</f>
        <v>19.987776555407425</v>
      </c>
    </row>
    <row r="96" ht="72" customHeight="1">
      <c r="A96" s="16" t="str">
        <v>S02b-NY-40</v>
      </c>
      <c r="B96" s="16" t="str">
        <v>3店-SANDIEX-US</v>
      </c>
      <c r="C96" s="16" t="str">
        <v>陈晨</v>
      </c>
      <c r="D96" s="26" t="n">
        <f>IF(NOT(ISNUMBER(E96)),"",IF(OR(E96&lt;=0,L96=0),0,IF(OR(NOT(ISNUMBER(F96)),F96&lt;0),"",MIN(E96,INT(F96)))))</f>
        <v>16</v>
      </c>
      <c r="E96" s="27" t="n">
        <f>IF(OR(NOT(ISNUMBER(L96)),COUNT(M96:O96)&lt;&gt;3,MIN(M96:O96)&lt;0),"",ROUNDUP(ROUND(BI96-SUM(M96:O96),10),0))</f>
        <v>16</v>
      </c>
      <c r="F96" s="28" t="n">
        <v>37</v>
      </c>
      <c r="G96" s="28" t="n">
        <f>IF(AND(ISNUMBER(D96),ISNUMBER(E96)),IF(OR(E96&lt;=0,L96=0),0,E96-D96),"")</f>
        <v>0</v>
      </c>
      <c r="H96" s="16" t="str">
        <f>IF(NOT(ISNUMBER(E96)),"销量或海外库存待补",IF(OR(E96&lt;=0,L96=0),IF(L96=0,"零日销，本批不发","本批无需补货"),IF(NOT(ISNUMBER(D96)),"国内库存待补",IF(D96=0,"国内无可用库存",IF(G96&gt;0,"先发国内现货","按建议量发货")))))</f>
        <v>按建议量发货</v>
      </c>
      <c r="I96" s="28" t="n">
        <f>IF(AND(COUNT(Z96,AA96,AB96)=3,Z96&gt;=AA96,AA96&gt;=0,AB96=7),Z96-AA96,"")</f>
        <v>6</v>
      </c>
      <c r="J96" s="28" t="n">
        <f>IF(AND(COUNT(AF96,AG96,AH96)=3,AF96&gt;=AG96,AG96&gt;=0,AH96=14),AF96-AG96,"")</f>
        <v>10</v>
      </c>
      <c r="K96" s="28" t="n">
        <f>IF(AND(COUNT(AL96,AM96,AN96)=3,AL96&gt;=AM96,AM96&gt;=0,AN96=30),AL96-AM96,"")</f>
        <v>26</v>
      </c>
      <c r="L96" s="29" t="n">
        <f>IF(ISNUMBER(BI96),BI96/90,"")</f>
        <v>1.1733201535686657</v>
      </c>
      <c r="M96" s="28" t="n">
        <v>70</v>
      </c>
      <c r="N96" s="28" t="n">
        <v>0</v>
      </c>
      <c r="O96" s="28" t="n">
        <v>20</v>
      </c>
      <c r="P96" s="30" t="n">
        <f>IF(AND(ISNUMBER(L96),L96&gt;0,COUNT(M96:O96)=3,MIN(M96:O96)&gt;=0),SUM(M96:O96)/L96,"")</f>
        <v>76.70540706751183</v>
      </c>
      <c r="Q96" s="16" t="str">
        <v>沿用原计划SKU店铺</v>
      </c>
      <c r="R96" s="16" t="str">
        <v>已匹配</v>
      </c>
      <c r="S96" s="16" t="str">
        <v>在售</v>
      </c>
      <c r="T96" s="16" t="str">
        <v>S02b</v>
      </c>
      <c r="U96" s="16" t="str">
        <v>藏青色</v>
      </c>
      <c r="V96" s="16" t="n">
        <v>9</v>
      </c>
      <c r="W96" s="8" t="str">
        <v>2026-10-11 至 2026-10-17</v>
      </c>
      <c r="X96" s="8" t="str">
        <v>2026-10-11、2026-10-12、2026-10-13、2026-10-14、2026-10-15、2026-10-16、2026-10-17</v>
      </c>
      <c r="Y96" s="8" t="str">
        <v>无</v>
      </c>
      <c r="Z96" s="8" t="n">
        <v>6</v>
      </c>
      <c r="AA96" s="8" t="n">
        <v>0</v>
      </c>
      <c r="AB96" s="8" t="n">
        <v>7</v>
      </c>
      <c r="AC96" s="8" t="str">
        <v>2026-10-02 至 2026-10-17</v>
      </c>
      <c r="AD96" s="8" t="str">
        <v>2026-10-02、2026-10-03、2026-10-04、2026-10-05、2026-10-08、2026-10-09、2026-10-10、2026-10-11、2026-10-12、2026-10-13、2026-10-14、2026-10-15、2026-10-16、2026-10-17</v>
      </c>
      <c r="AE96" s="8" t="str">
        <v>2026-10-06 大促；2026-10-07 大促</v>
      </c>
      <c r="AF96" s="8" t="n">
        <v>16</v>
      </c>
      <c r="AG96" s="8" t="n">
        <v>6</v>
      </c>
      <c r="AH96" s="8" t="n">
        <v>14</v>
      </c>
      <c r="AI96" s="8" t="str">
        <v>2026-09-16 至 2026-10-17</v>
      </c>
      <c r="AJ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" s="8" t="str">
        <v>2026-10-06 大促；2026-10-07 大促</v>
      </c>
      <c r="AL96" s="8" t="n">
        <v>32</v>
      </c>
      <c r="AM96" s="8" t="n">
        <v>6</v>
      </c>
      <c r="AN96" s="8" t="n">
        <v>30</v>
      </c>
      <c r="AO96" s="8" t="str">
        <v>S02b / 藏青色 / 6574</v>
      </c>
      <c r="AP96" s="11" t="n">
        <v>0.9658602967882928</v>
      </c>
      <c r="AQ96" s="11" t="n">
        <v>0.9658602967882928</v>
      </c>
      <c r="AR96" s="11" t="n">
        <v>0.9166270540270348</v>
      </c>
      <c r="AS96" s="11" t="n">
        <f>IF(AND(COUNT(I96:K96,AP96:AR96)=6,MIN(AP96:AR96)&gt;0),I96/7/AP96*0.5+J96/14/AQ96*0.3+K96/30/AR96*0.2,"")</f>
        <v>0.8546789218744777</v>
      </c>
      <c r="AT96" s="8" t="n">
        <v>66</v>
      </c>
      <c r="AU96" s="8" t="n">
        <v>6</v>
      </c>
      <c r="AV96" s="8" t="n">
        <v>88</v>
      </c>
      <c r="AW96" s="11" t="n">
        <f>IF(AND(COUNT(AT96:AV96)=3,AT96&gt;=AU96,AU96&gt;=0,AV96&gt;0),(AT96-AU96)/AV96,"")</f>
        <v>0.6818181818181818</v>
      </c>
      <c r="AX96" s="8" t="n">
        <v>115</v>
      </c>
      <c r="AY96" s="8" t="n">
        <v>6</v>
      </c>
      <c r="AZ96" s="8" t="n">
        <v>178</v>
      </c>
      <c r="BA96" s="11" t="n">
        <f>IF(AND(COUNT(AX96:AZ96)=3,AX96&gt;=AY96,AY96&gt;=0,AZ96&gt;0),(AX96-AY96)/AZ96,"")</f>
        <v>0.6123595505617978</v>
      </c>
      <c r="BB96" s="8" t="n">
        <f>IF(COUNT(AS96,AW96,BA96)=3,1,0)</f>
        <v>1</v>
      </c>
      <c r="BC96" s="11" t="n">
        <f>IF(SUMIF($AO$11:$AO$1309,AO96,$BB$11:$BB$1309)=COUNTIF($AO$11:$AO$1309,AO96),SUMIF($AO$11:$AO$1309,AO96,$AS$11:$AS$1309),"")</f>
        <v>3.229983476717252</v>
      </c>
      <c r="BD96" s="11" t="n">
        <f>IF(SUMIF($AO$11:$AO$1309,AO96,$BB$11:$BB$1309)=COUNTIF($AO$11:$AO$1309,AO96),SUMIF($AO$11:$AO$1309,AO96,$AW$11:$AW$1309),"")</f>
        <v>1.9659090909090908</v>
      </c>
      <c r="BE96" s="11" t="n">
        <f>IF(SUMIF($AO$11:$AO$1309,AO96,$BB$11:$BB$1309)=COUNTIF($AO$11:$AO$1309,AO96),SUMIF($AO$11:$AO$1309,AO96,$BA$11:$BA$1309),"")</f>
        <v>1.792134831460674</v>
      </c>
      <c r="BF96" s="12" t="n">
        <f>IF(COUNT(BD96:BE96)&lt;&gt;2,"",IF(AND(BD96&gt;0,BE96&gt;0),0.7*AW96/BD96+0.3*BA96/BE96,IF(BD96&gt;0,AW96/BD96,IF(BE96&gt;0,BA96/BE96,IF(AND(ISNUMBER(BH96),BH96=0),0,"")))))</f>
        <v>0.34528240346458405</v>
      </c>
      <c r="BG96" s="11" t="n">
        <f>IF(AND(COUNT(BN96:BU96)=8,MIN(BN96:BU96)&gt;=0),SUMPRODUCT(BN96:BQ96,BR96:BU96),"")</f>
        <v>94.68567795727022</v>
      </c>
      <c r="BH96" s="11" t="n">
        <f>IF(COUNT(BC96,BG96)=2,BC96*BG96,"")</f>
        <v>305.83317528375375</v>
      </c>
      <c r="BI96" s="11" t="n">
        <f>IF(ISNUMBER(CI96),CI96,"")</f>
        <v>105.59881382117992</v>
      </c>
      <c r="BJ96" s="8" t="str"/>
      <c r="BK96" s="8" t="str">
        <v>90天：2026-07-20 至 2026-10-17；180天：2026-04-21 至 2026-10-17</v>
      </c>
      <c r="BL96" s="8" t="str">
        <v>90天：2026-10-06、2026-10-07；180天：2026-10-06、2026-10-07</v>
      </c>
      <c r="BM96" s="8" t="str">
        <v>2026-10：12天 × 0.9658602967882928；2026-11：30天 × 1.1727174450092641；2026-12：31天 × 0.8763339075184018；2027-01：17天 × 1.2204399948507247</v>
      </c>
      <c r="BN96" s="11" t="n">
        <v>0.9658602967882928</v>
      </c>
      <c r="BO96" s="11" t="n">
        <v>1.1727174450092641</v>
      </c>
      <c r="BP96" s="11" t="n">
        <v>0.8763339075184018</v>
      </c>
      <c r="BQ96" s="11" t="n">
        <v>1.2204399948507247</v>
      </c>
      <c r="BR96" s="8" t="n">
        <v>12</v>
      </c>
      <c r="BS96" s="8" t="n">
        <v>30</v>
      </c>
      <c r="BT96" s="8" t="n">
        <v>31</v>
      </c>
      <c r="BU96" s="8" t="n">
        <v>17</v>
      </c>
      <c r="BV96" s="11" t="n">
        <f>IF(COUNT(BC96,BF96)=2,BC96*BF96,"")</f>
        <v>1.1152564579918263</v>
      </c>
      <c r="BW96" s="11" t="n">
        <f>IF(ISNUMBER(BN96),BN96,"")</f>
        <v>0.9658602967882928</v>
      </c>
      <c r="BX96" s="14" t="n">
        <f>IF(ISNUMBER(BR96),BR96,"")</f>
        <v>12</v>
      </c>
      <c r="BY96" s="13" t="n">
        <f>IF(AND(COUNT(BV96,BW96,BX96)=3,MIN(BV96,BW96,BX96)&gt;=0),BV96*BW96*BX96,"")</f>
        <v>12.926183202132545</v>
      </c>
      <c r="BZ96" s="11" t="n">
        <f>IF(ISNUMBER(BO96),BO96,"")</f>
        <v>1.1727174450092641</v>
      </c>
      <c r="CA96" s="14" t="n">
        <f>IF(ISNUMBER(BS96),BS96,"")</f>
        <v>30</v>
      </c>
      <c r="CB96" s="13" t="n">
        <f>IF(AND(COUNT(BV96,BZ96,CA96)=3,MIN(BV96,BZ96,CA96)&gt;=0),BV96*BZ96*CA96,"")</f>
        <v>39.23642111838768</v>
      </c>
      <c r="CC96" s="11" t="n">
        <f>IF(ISNUMBER(BP96),BP96,"")</f>
        <v>0.8763339075184018</v>
      </c>
      <c r="CD96" s="14" t="n">
        <f>IF(ISNUMBER(BT96),BT96,"")</f>
        <v>31</v>
      </c>
      <c r="CE96" s="13" t="n">
        <f>IF(AND(COUNT(BV96,CC96,CD96)=3,MIN(BV96,CC96,CD96)&gt;=0),BV96*CC96*CD96,"")</f>
        <v>30.29744854123039</v>
      </c>
      <c r="CF96" s="11" t="n">
        <f>IF(ISNUMBER(BQ96),BQ96,"")</f>
        <v>1.2204399948507247</v>
      </c>
      <c r="CG96" s="14" t="n">
        <f>IF(ISNUMBER(BU96),BU96,"")</f>
        <v>17</v>
      </c>
      <c r="CH96" s="13" t="n">
        <f>IF(AND(COUNT(BV96,CF96,CG96)=3,MIN(BV96,CF96,CG96)&gt;=0),BV96*CF96*CG96,"")</f>
        <v>23.13876095942929</v>
      </c>
      <c r="CI96" s="13" t="n">
        <f>IF(COUNT(BY96,CB96,CE96,CH96)=4,SUM(BY96,CB96,CE96,CH96),"")</f>
        <v>105.59881382117992</v>
      </c>
    </row>
    <row r="97" ht="72" customHeight="1">
      <c r="A97" s="16" t="str">
        <v>2302153-LP-S-Z-6</v>
      </c>
      <c r="B97" s="16" t="str">
        <v>3店-SANDIEX-US</v>
      </c>
      <c r="C97" s="16" t="str">
        <v>徐新怡</v>
      </c>
      <c r="D97" s="26" t="n">
        <f>IF(NOT(ISNUMBER(E97)),"",IF(OR(E97&lt;=0,L97=0),0,IF(OR(NOT(ISNUMBER(F97)),F97&lt;0),"",MIN(E97,INT(F97)))))</f>
        <v>15</v>
      </c>
      <c r="E97" s="27" t="n">
        <f>IF(OR(NOT(ISNUMBER(L97)),COUNT(M97:O97)&lt;&gt;3,MIN(M97:O97)&lt;0),"",ROUNDUP(ROUND(BI97-SUM(M97:O97),10),0))</f>
        <v>15</v>
      </c>
      <c r="F97" s="28" t="n">
        <v>39</v>
      </c>
      <c r="G97" s="28" t="n">
        <f>IF(AND(ISNUMBER(D97),ISNUMBER(E97)),IF(OR(E97&lt;=0,L97=0),0,E97-D97),"")</f>
        <v>0</v>
      </c>
      <c r="H97" s="16" t="str">
        <f>IF(NOT(ISNUMBER(E97)),"销量或海外库存待补",IF(OR(E97&lt;=0,L97=0),IF(L97=0,"零日销，本批不发","本批无需补货"),IF(NOT(ISNUMBER(D97)),"国内库存待补",IF(D97=0,"国内无可用库存",IF(G97&gt;0,"先发国内现货","按建议量发货")))))</f>
        <v>按建议量发货</v>
      </c>
      <c r="I97" s="28" t="n">
        <f>IF(AND(COUNT(Z97,AA97,AB97)=3,Z97&gt;=AA97,AA97&gt;=0,AB97=7),Z97-AA97,"")</f>
        <v>1</v>
      </c>
      <c r="J97" s="28" t="n">
        <f>IF(AND(COUNT(AF97,AG97,AH97)=3,AF97&gt;=AG97,AG97&gt;=0,AH97=14),AF97-AG97,"")</f>
        <v>11</v>
      </c>
      <c r="K97" s="28" t="n">
        <f>IF(AND(COUNT(AL97,AM97,AN97)=3,AL97&gt;=AM97,AM97&gt;=0,AN97=30),AL97-AM97,"")</f>
        <v>21</v>
      </c>
      <c r="L97" s="29" t="n">
        <f>IF(ISNUMBER(BI97),BI97/90,"")</f>
        <v>0.31386590000329306</v>
      </c>
      <c r="M97" s="28" t="n">
        <v>12</v>
      </c>
      <c r="N97" s="28" t="n">
        <v>0</v>
      </c>
      <c r="O97" s="28" t="n">
        <v>2</v>
      </c>
      <c r="P97" s="30" t="n">
        <f>IF(AND(ISNUMBER(L97),L97&gt;0,COUNT(M97:O97)=3,MIN(M97:O97)&gt;=0),SUM(M97:O97)/L97,"")</f>
        <v>44.60503673655887</v>
      </c>
      <c r="Q97" s="16" t="str">
        <v>沿用原计划SKU店铺</v>
      </c>
      <c r="R97" s="16" t="str">
        <v>已匹配</v>
      </c>
      <c r="S97" s="16" t="str">
        <v>在售</v>
      </c>
      <c r="T97" s="16" t="str">
        <v>2302153</v>
      </c>
      <c r="U97" s="16" t="str">
        <v>豹纹</v>
      </c>
      <c r="V97" s="16" t="n">
        <v>6</v>
      </c>
      <c r="W97" s="8" t="str">
        <v>2026-10-11 至 2026-10-17</v>
      </c>
      <c r="X97" s="8" t="str">
        <v>2026-10-11、2026-10-12、2026-10-13、2026-10-14、2026-10-15、2026-10-16、2026-10-17</v>
      </c>
      <c r="Y97" s="8" t="str">
        <v>无</v>
      </c>
      <c r="Z97" s="8" t="n">
        <v>1</v>
      </c>
      <c r="AA97" s="8" t="n">
        <v>0</v>
      </c>
      <c r="AB97" s="8" t="n">
        <v>7</v>
      </c>
      <c r="AC97" s="8" t="str">
        <v>2026-10-02 至 2026-10-17</v>
      </c>
      <c r="AD97" s="8" t="str">
        <v>2026-10-02、2026-10-03、2026-10-04、2026-10-05、2026-10-08、2026-10-09、2026-10-10、2026-10-11、2026-10-12、2026-10-13、2026-10-14、2026-10-15、2026-10-16、2026-10-17</v>
      </c>
      <c r="AE97" s="8" t="str">
        <v>2026-10-06 大促；2026-10-07 大促</v>
      </c>
      <c r="AF97" s="8" t="n">
        <v>17</v>
      </c>
      <c r="AG97" s="8" t="n">
        <v>6</v>
      </c>
      <c r="AH97" s="8" t="n">
        <v>14</v>
      </c>
      <c r="AI97" s="8" t="str">
        <v>2026-09-16 至 2026-10-17</v>
      </c>
      <c r="AJ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" s="8" t="str">
        <v>2026-10-06 大促；2026-10-07 大促</v>
      </c>
      <c r="AL97" s="8" t="n">
        <v>27</v>
      </c>
      <c r="AM97" s="8" t="n">
        <v>6</v>
      </c>
      <c r="AN97" s="8" t="n">
        <v>30</v>
      </c>
      <c r="AO97" s="8" t="str">
        <v>2302153 / 豹纹羊京绒 / 6574</v>
      </c>
      <c r="AP97" s="11" t="n">
        <v>1.7391279184229513</v>
      </c>
      <c r="AQ97" s="11" t="n">
        <v>1.7391279184229513</v>
      </c>
      <c r="AR97" s="11" t="n">
        <v>1.5731892896917212</v>
      </c>
      <c r="AS97" s="11" t="n">
        <f>IF(AND(COUNT(I97:K97,AP97:AR97)=6,MIN(AP97:AR97)&gt;0),I97/7/AP97*0.5+J97/14/AQ97*0.3+K97/30/AR97*0.2,"")</f>
        <v>0.2655985966646424</v>
      </c>
      <c r="AT97" s="8" t="n">
        <v>39</v>
      </c>
      <c r="AU97" s="8" t="n">
        <v>6</v>
      </c>
      <c r="AV97" s="8" t="n">
        <v>88</v>
      </c>
      <c r="AW97" s="11" t="n">
        <f>IF(AND(COUNT(AT97:AV97)=3,AT97&gt;=AU97,AU97&gt;=0,AV97&gt;0),(AT97-AU97)/AV97,"")</f>
        <v>0.375</v>
      </c>
      <c r="AX97" s="8" t="n">
        <v>49</v>
      </c>
      <c r="AY97" s="8" t="n">
        <v>6</v>
      </c>
      <c r="AZ97" s="8" t="n">
        <v>178</v>
      </c>
      <c r="BA97" s="11" t="n">
        <f>IF(AND(COUNT(AX97:AZ97)=3,AX97&gt;=AY97,AY97&gt;=0,AZ97&gt;0),(AX97-AY97)/AZ97,"")</f>
        <v>0.24157303370786518</v>
      </c>
      <c r="BB97" s="8" t="n">
        <f>IF(COUNT(AS97,AW97,BA97)=3,1,0)</f>
        <v>1</v>
      </c>
      <c r="BC97" s="11" t="n">
        <f>IF(SUMIF($AO$11:$AO$1309,AO97,$BB$11:$BB$1309)=COUNTIF($AO$11:$AO$1309,AO97),SUMIF($AO$11:$AO$1309,AO97,$AS$11:$AS$1309),"")</f>
        <v>4.164684574329155</v>
      </c>
      <c r="BD97" s="11" t="n">
        <f>IF(SUMIF($AO$11:$AO$1309,AO97,$BB$11:$BB$1309)=COUNTIF($AO$11:$AO$1309,AO97),SUMIF($AO$11:$AO$1309,AO97,$AW$11:$AW$1309),"")</f>
        <v>5.636363636363635</v>
      </c>
      <c r="BE97" s="11" t="n">
        <f>IF(SUMIF($AO$11:$AO$1309,AO97,$BB$11:$BB$1309)=COUNTIF($AO$11:$AO$1309,AO97),SUMIF($AO$11:$AO$1309,AO97,$BA$11:$BA$1309),"")</f>
        <v>4.707865168539326</v>
      </c>
      <c r="BF97" s="12" t="n">
        <f>IF(COUNT(BD97:BE97)&lt;&gt;2,"",IF(AND(BD97&gt;0,BE97&gt;0),0.7*AW97/BD97+0.3*BA97/BE97,IF(BD97&gt;0,AW97/BD97,IF(BE97&gt;0,BA97/BE97,IF(AND(ISNUMBER(BH97),BH97=0),0,"")))))</f>
        <v>0.061966375394564635</v>
      </c>
      <c r="BG97" s="11" t="n">
        <f>IF(AND(COUNT(BN97:BU97)=8,MIN(BN97:BU97)&gt;=0),SUMPRODUCT(BN97:BQ97,BR97:BU97),"")</f>
        <v>109.4582336985339</v>
      </c>
      <c r="BH97" s="11" t="n">
        <f>IF(COUNT(BC97,BG97)=2,BC97*BG97,"")</f>
        <v>455.85901741759983</v>
      </c>
      <c r="BI97" s="11" t="n">
        <f>IF(ISNUMBER(CI97),CI97,"")</f>
        <v>28.247931000296376</v>
      </c>
      <c r="BJ97" s="8" t="str"/>
      <c r="BK97" s="8" t="str">
        <v>90天：2026-07-20 至 2026-10-17；180天：2026-04-21 至 2026-10-17</v>
      </c>
      <c r="BL97" s="8" t="str">
        <v>90天：2026-10-06、2026-10-07；180天：2026-10-06、2026-10-07</v>
      </c>
      <c r="BM97" s="8" t="str">
        <v>2026-10：12天 × 1.7391279184229513；2026-11：30天 × 1.4002077845513243；2026-12：31天 × 1.079339935625147；2027-01：17天 × 0.7719368903846591</v>
      </c>
      <c r="BN97" s="11" t="n">
        <v>1.7391279184229513</v>
      </c>
      <c r="BO97" s="11" t="n">
        <v>1.4002077845513243</v>
      </c>
      <c r="BP97" s="11" t="n">
        <v>1.079339935625147</v>
      </c>
      <c r="BQ97" s="11" t="n">
        <v>0.7719368903846591</v>
      </c>
      <c r="BR97" s="8" t="n">
        <v>12</v>
      </c>
      <c r="BS97" s="8" t="n">
        <v>30</v>
      </c>
      <c r="BT97" s="8" t="n">
        <v>31</v>
      </c>
      <c r="BU97" s="8" t="n">
        <v>17</v>
      </c>
      <c r="BV97" s="11" t="n">
        <f>IF(COUNT(BC97,BF97)=2,BC97*BF97,"")</f>
        <v>0.2580704077328331</v>
      </c>
      <c r="BW97" s="11" t="n">
        <f>IF(ISNUMBER(BN97),BN97,"")</f>
        <v>1.7391279184229513</v>
      </c>
      <c r="BX97" s="14" t="n">
        <f>IF(ISNUMBER(BR97),BR97,"")</f>
        <v>12</v>
      </c>
      <c r="BY97" s="13" t="n">
        <f>IF(AND(COUNT(BV97,BW97,BX97)=3,MIN(BV97,BW97,BX97)&gt;=0),BV97*BW97*BX97,"")</f>
        <v>5.385809412083572</v>
      </c>
      <c r="BZ97" s="11" t="n">
        <f>IF(ISNUMBER(BO97),BO97,"")</f>
        <v>1.4002077845513243</v>
      </c>
      <c r="CA97" s="14" t="n">
        <f>IF(ISNUMBER(BS97),BS97,"")</f>
        <v>30</v>
      </c>
      <c r="CB97" s="13" t="n">
        <f>IF(AND(COUNT(BV97,BZ97,CA97)=3,MIN(BV97,BZ97,CA97)&gt;=0),BV97*BZ97*CA97,"")</f>
        <v>10.840565816095415</v>
      </c>
      <c r="CC97" s="11" t="n">
        <f>IF(ISNUMBER(BP97),BP97,"")</f>
        <v>1.079339935625147</v>
      </c>
      <c r="CD97" s="14" t="n">
        <f>IF(ISNUMBER(BT97),BT97,"")</f>
        <v>31</v>
      </c>
      <c r="CE97" s="13" t="n">
        <f>IF(AND(COUNT(BV97,CC97,CD97)=3,MIN(BV97,CC97,CD97)&gt;=0),BV97*CC97*CD97,"")</f>
        <v>8.634916615342457</v>
      </c>
      <c r="CF97" s="11" t="n">
        <f>IF(ISNUMBER(BQ97),BQ97,"")</f>
        <v>0.7719368903846591</v>
      </c>
      <c r="CG97" s="14" t="n">
        <f>IF(ISNUMBER(BU97),BU97,"")</f>
        <v>17</v>
      </c>
      <c r="CH97" s="13" t="n">
        <f>IF(AND(COUNT(BV97,CF97,CG97)=3,MIN(BV97,CF97,CG97)&gt;=0),BV97*CF97*CG97,"")</f>
        <v>3.386639156774932</v>
      </c>
      <c r="CI97" s="13" t="n">
        <f>IF(COUNT(BY97,CB97,CE97,CH97)=4,SUM(BY97,CB97,CE97,CH97),"")</f>
        <v>28.247931000296376</v>
      </c>
    </row>
    <row r="98" ht="72" customHeight="1">
      <c r="A98" s="16" t="str">
        <v>32582-LD-38.5</v>
      </c>
      <c r="B98" s="16" t="str">
        <v>3店-SANDIEX-US</v>
      </c>
      <c r="C98" s="16" t="str">
        <v>徐新怡</v>
      </c>
      <c r="D98" s="26" t="n">
        <f>IF(NOT(ISNUMBER(E98)),"",IF(OR(E98&lt;=0,L98=0),0,IF(OR(NOT(ISNUMBER(F98)),F98&lt;0),"",MIN(E98,INT(F98)))))</f>
        <v>15</v>
      </c>
      <c r="E98" s="27" t="n">
        <f>IF(OR(NOT(ISNUMBER(L98)),COUNT(M98:O98)&lt;&gt;3,MIN(M98:O98)&lt;0),"",ROUNDUP(ROUND(BI98-SUM(M98:O98),10),0))</f>
        <v>15</v>
      </c>
      <c r="F98" s="28" t="n">
        <v>133</v>
      </c>
      <c r="G98" s="28" t="n">
        <f>IF(AND(ISNUMBER(D98),ISNUMBER(E98)),IF(OR(E98&lt;=0,L98=0),0,E98-D98),"")</f>
        <v>0</v>
      </c>
      <c r="H98" s="16" t="str">
        <f>IF(NOT(ISNUMBER(E98)),"销量或海外库存待补",IF(OR(E98&lt;=0,L98=0),IF(L98=0,"零日销，本批不发","本批无需补货"),IF(NOT(ISNUMBER(D98)),"国内库存待补",IF(D98=0,"国内无可用库存",IF(G98&gt;0,"先发国内现货","按建议量发货")))))</f>
        <v>按建议量发货</v>
      </c>
      <c r="I98" s="28" t="n">
        <f>IF(AND(COUNT(Z98,AA98,AB98)=3,Z98&gt;=AA98,AA98&gt;=0,AB98=7),Z98-AA98,"")</f>
        <v>1</v>
      </c>
      <c r="J98" s="28" t="n">
        <f>IF(AND(COUNT(AF98,AG98,AH98)=3,AF98&gt;=AG98,AG98&gt;=0,AH98=14),AF98-AG98,"")</f>
        <v>1</v>
      </c>
      <c r="K98" s="28" t="n">
        <f>IF(AND(COUNT(AL98,AM98,AN98)=3,AL98&gt;=AM98,AM98&gt;=0,AN98=30),AL98-AM98,"")</f>
        <v>9</v>
      </c>
      <c r="L98" s="29" t="n">
        <f>IF(ISNUMBER(BI98),BI98/90,"")</f>
        <v>0.29066620723977166</v>
      </c>
      <c r="M98" s="28" t="n">
        <v>12</v>
      </c>
      <c r="N98" s="28" t="n">
        <v>0</v>
      </c>
      <c r="O98" s="28" t="n">
        <v>0</v>
      </c>
      <c r="P98" s="30" t="n">
        <f>IF(AND(ISNUMBER(L98),L98&gt;0,COUNT(M98:O98)=3,MIN(M98:O98)&gt;=0),SUM(M98:O98)/L98,"")</f>
        <v>41.28446892383728</v>
      </c>
      <c r="Q98" s="16" t="str">
        <v>沿用原计划SKU店铺</v>
      </c>
      <c r="R98" s="16" t="str">
        <v>已匹配</v>
      </c>
      <c r="S98" s="16" t="str">
        <v>在售</v>
      </c>
      <c r="T98" s="16" t="str">
        <v>32582</v>
      </c>
      <c r="U98" s="16" t="str">
        <v>豹纹</v>
      </c>
      <c r="V98" s="16" t="n">
        <v>7.5</v>
      </c>
      <c r="W98" s="8" t="str">
        <v>2026-10-11 至 2026-10-17</v>
      </c>
      <c r="X98" s="8" t="str">
        <v>2026-10-11、2026-10-12、2026-10-13、2026-10-14、2026-10-15、2026-10-16、2026-10-17</v>
      </c>
      <c r="Y98" s="8" t="str">
        <v>无</v>
      </c>
      <c r="Z98" s="8" t="n">
        <v>1</v>
      </c>
      <c r="AA98" s="8" t="n">
        <v>0</v>
      </c>
      <c r="AB98" s="8" t="n">
        <v>7</v>
      </c>
      <c r="AC98" s="8" t="str">
        <v>2026-10-02 至 2026-10-17</v>
      </c>
      <c r="AD98" s="8" t="str">
        <v>2026-10-02、2026-10-03、2026-10-04、2026-10-05、2026-10-08、2026-10-09、2026-10-10、2026-10-11、2026-10-12、2026-10-13、2026-10-14、2026-10-15、2026-10-16、2026-10-17</v>
      </c>
      <c r="AE98" s="8" t="str">
        <v>2026-10-06 大促；2026-10-07 大促</v>
      </c>
      <c r="AF98" s="8" t="n">
        <v>3</v>
      </c>
      <c r="AG98" s="8" t="n">
        <v>2</v>
      </c>
      <c r="AH98" s="8" t="n">
        <v>14</v>
      </c>
      <c r="AI98" s="8" t="str">
        <v>2026-09-16 至 2026-10-17</v>
      </c>
      <c r="AJ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8" s="8" t="str">
        <v>2026-10-06 大促；2026-10-07 大促</v>
      </c>
      <c r="AL98" s="8" t="n">
        <v>11</v>
      </c>
      <c r="AM98" s="8" t="n">
        <v>2</v>
      </c>
      <c r="AN98" s="8" t="n">
        <v>30</v>
      </c>
      <c r="AO98" s="8" t="str">
        <v>32582 / 豹纹羊京绒 / 6574</v>
      </c>
      <c r="AP98" s="11" t="n">
        <v>1.0395067087630607</v>
      </c>
      <c r="AQ98" s="11" t="n">
        <v>1.0395067087630607</v>
      </c>
      <c r="AR98" s="11" t="n">
        <v>1.0707336504782758</v>
      </c>
      <c r="AS98" s="11" t="n">
        <f>IF(AND(COUNT(I98:K98,AP98:AR98)=6,MIN(AP98:AR98)&gt;0),I98/7/AP98*0.5+J98/14/AQ98*0.3+K98/30/AR98*0.2,"")</f>
        <v>0.14536442902301103</v>
      </c>
      <c r="AT98" s="8" t="n">
        <v>23</v>
      </c>
      <c r="AU98" s="8" t="n">
        <v>2</v>
      </c>
      <c r="AV98" s="8" t="n">
        <v>88</v>
      </c>
      <c r="AW98" s="11" t="n">
        <f>IF(AND(COUNT(AT98:AV98)=3,AT98&gt;=AU98,AU98&gt;=0,AV98&gt;0),(AT98-AU98)/AV98,"")</f>
        <v>0.23863636363636365</v>
      </c>
      <c r="AX98" s="8" t="n">
        <v>38</v>
      </c>
      <c r="AY98" s="8" t="n">
        <v>2</v>
      </c>
      <c r="AZ98" s="8" t="n">
        <v>178</v>
      </c>
      <c r="BA98" s="11" t="n">
        <f>IF(AND(COUNT(AX98:AZ98)=3,AX98&gt;=AY98,AY98&gt;=0,AZ98&gt;0),(AX98-AY98)/AZ98,"")</f>
        <v>0.20224719101123595</v>
      </c>
      <c r="BB98" s="8" t="n">
        <f>IF(COUNT(AS98,AW98,BA98)=3,1,0)</f>
        <v>1</v>
      </c>
      <c r="BC98" s="11" t="n">
        <f>IF(SUMIF($AO$11:$AO$1309,AO98,$BB$11:$BB$1309)=COUNTIF($AO$11:$AO$1309,AO98),SUMIF($AO$11:$AO$1309,AO98,$AS$11:$AS$1309),"")</f>
        <v>2.517644694108243</v>
      </c>
      <c r="BD98" s="11" t="n">
        <f>IF(SUMIF($AO$11:$AO$1309,AO98,$BB$11:$BB$1309)=COUNTIF($AO$11:$AO$1309,AO98),SUMIF($AO$11:$AO$1309,AO98,$AW$11:$AW$1309),"")</f>
        <v>2.0255347593582886</v>
      </c>
      <c r="BE98" s="11" t="n">
        <f>IF(SUMIF($AO$11:$AO$1309,AO98,$BB$11:$BB$1309)=COUNTIF($AO$11:$AO$1309,AO98),SUMIF($AO$11:$AO$1309,AO98,$BA$11:$BA$1309),"")</f>
        <v>1.721701444622793</v>
      </c>
      <c r="BF98" s="12" t="n">
        <f>IF(COUNT(BD98:BE98)&lt;&gt;2,"",IF(AND(BD98&gt;0,BE98&gt;0),0.7*AW98/BD98+0.3*BA98/BE98,IF(BD98&gt;0,AW98/BD98,IF(BE98&gt;0,BA98/BE98,IF(AND(ISNUMBER(BH98),BH98=0),0,"")))))</f>
        <v>0.11771061619015</v>
      </c>
      <c r="BG98" s="11" t="n">
        <f>IF(AND(COUNT(BN98:BU98)=8,MIN(BN98:BU98)&gt;=0),SUMPRODUCT(BN98:BQ98,BR98:BU98),"")</f>
        <v>88.27281580841549</v>
      </c>
      <c r="BH98" s="11" t="n">
        <f>IF(COUNT(BC98,BG98)=2,BC98*BG98,"")</f>
        <v>222.23958635405148</v>
      </c>
      <c r="BI98" s="11" t="n">
        <f>IF(ISNUMBER(CI98),CI98,"")</f>
        <v>26.15995865157945</v>
      </c>
      <c r="BJ98" s="8" t="str"/>
      <c r="BK98" s="8" t="str">
        <v>90天：2026-07-20 至 2026-10-17；180天：2026-04-21 至 2026-10-17</v>
      </c>
      <c r="BL98" s="8" t="str">
        <v>90天：2026-10-06、2026-10-07；180天：2026-10-06、2026-10-07</v>
      </c>
      <c r="BM98" s="8" t="str">
        <v>2026-10：12天 × 1.0395067087630607；2026-11：30天 × 0.9890368360033146；2026-12：31天 × 0.7800796503018808；2027-01：17天 × 1.2908918272824135</v>
      </c>
      <c r="BN98" s="11" t="n">
        <v>1.0395067087630607</v>
      </c>
      <c r="BO98" s="11" t="n">
        <v>0.9890368360033146</v>
      </c>
      <c r="BP98" s="11" t="n">
        <v>0.7800796503018808</v>
      </c>
      <c r="BQ98" s="11" t="n">
        <v>1.2908918272824135</v>
      </c>
      <c r="BR98" s="8" t="n">
        <v>12</v>
      </c>
      <c r="BS98" s="8" t="n">
        <v>30</v>
      </c>
      <c r="BT98" s="8" t="n">
        <v>31</v>
      </c>
      <c r="BU98" s="8" t="n">
        <v>17</v>
      </c>
      <c r="BV98" s="11" t="n">
        <f>IF(COUNT(BC98,BF98)=2,BC98*BF98,"")</f>
        <v>0.296353508291343</v>
      </c>
      <c r="BW98" s="11" t="n">
        <f>IF(ISNUMBER(BN98),BN98,"")</f>
        <v>1.0395067087630607</v>
      </c>
      <c r="BX98" s="14" t="n">
        <f>IF(ISNUMBER(BR98),BR98,"")</f>
        <v>12</v>
      </c>
      <c r="BY98" s="13" t="n">
        <f>IF(AND(COUNT(BV98,BW98,BX98)=3,MIN(BV98,BW98,BX98)&gt;=0),BV98*BW98*BX98,"")</f>
        <v>3.696737520411845</v>
      </c>
      <c r="BZ98" s="11" t="n">
        <f>IF(ISNUMBER(BO98),BO98,"")</f>
        <v>0.9890368360033146</v>
      </c>
      <c r="CA98" s="14" t="n">
        <f>IF(ISNUMBER(BS98),BS98,"")</f>
        <v>30</v>
      </c>
      <c r="CB98" s="13" t="n">
        <f>IF(AND(COUNT(BV98,BZ98,CA98)=3,MIN(BV98,BZ98,CA98)&gt;=0),BV98*BZ98*CA98,"")</f>
        <v>8.793136085368559</v>
      </c>
      <c r="CC98" s="11" t="n">
        <f>IF(ISNUMBER(BP98),BP98,"")</f>
        <v>0.7800796503018808</v>
      </c>
      <c r="CD98" s="14" t="n">
        <f>IF(ISNUMBER(BT98),BT98,"")</f>
        <v>31</v>
      </c>
      <c r="CE98" s="13" t="n">
        <f>IF(AND(COUNT(BV98,CC98,CD98)=3,MIN(BV98,CC98,CD98)&gt;=0),BV98*CC98*CD98,"")</f>
        <v>7.166559574523037</v>
      </c>
      <c r="CF98" s="11" t="n">
        <f>IF(ISNUMBER(BQ98),BQ98,"")</f>
        <v>1.2908918272824135</v>
      </c>
      <c r="CG98" s="14" t="n">
        <f>IF(ISNUMBER(BU98),BU98,"")</f>
        <v>17</v>
      </c>
      <c r="CH98" s="13" t="n">
        <f>IF(AND(COUNT(BV98,CF98,CG98)=3,MIN(BV98,CF98,CG98)&gt;=0),BV98*CF98*CG98,"")</f>
        <v>6.503525471276015</v>
      </c>
      <c r="CI98" s="13" t="n">
        <f>IF(COUNT(BY98,CB98,CE98,CH98)=4,SUM(BY98,CB98,CE98,CH98),"")</f>
        <v>26.15995865157945</v>
      </c>
    </row>
    <row r="99" ht="72" customHeight="1">
      <c r="A99" s="16" t="str">
        <v>32582-LD-39</v>
      </c>
      <c r="B99" s="16" t="str">
        <v>3店-SANDIEX-US</v>
      </c>
      <c r="C99" s="16" t="str">
        <v>徐新怡</v>
      </c>
      <c r="D99" s="26" t="n">
        <f>IF(NOT(ISNUMBER(E99)),"",IF(OR(E99&lt;=0,L99=0),0,IF(OR(NOT(ISNUMBER(F99)),F99&lt;0),"",MIN(E99,INT(F99)))))</f>
        <v>15</v>
      </c>
      <c r="E99" s="27" t="n">
        <f>IF(OR(NOT(ISNUMBER(L99)),COUNT(M99:O99)&lt;&gt;3,MIN(M99:O99)&lt;0),"",ROUNDUP(ROUND(BI99-SUM(M99:O99),10),0))</f>
        <v>15</v>
      </c>
      <c r="F99" s="28" t="n">
        <v>168</v>
      </c>
      <c r="G99" s="28" t="n">
        <f>IF(AND(ISNUMBER(D99),ISNUMBER(E99)),IF(OR(E99&lt;=0,L99=0),0,E99-D99),"")</f>
        <v>0</v>
      </c>
      <c r="H99" s="16" t="str">
        <f>IF(NOT(ISNUMBER(E99)),"销量或海外库存待补",IF(OR(E99&lt;=0,L99=0),IF(L99=0,"零日销，本批不发","本批无需补货"),IF(NOT(ISNUMBER(D99)),"国内库存待补",IF(D99=0,"国内无可用库存",IF(G99&gt;0,"先发国内现货","按建议量发货")))))</f>
        <v>按建议量发货</v>
      </c>
      <c r="I99" s="28" t="n">
        <f>IF(AND(COUNT(Z99,AA99,AB99)=3,Z99&gt;=AA99,AA99&gt;=0,AB99=7),Z99-AA99,"")</f>
        <v>5</v>
      </c>
      <c r="J99" s="28" t="n">
        <f>IF(AND(COUNT(AF99,AG99,AH99)=3,AF99&gt;=AG99,AG99&gt;=0,AH99=14),AF99-AG99,"")</f>
        <v>9</v>
      </c>
      <c r="K99" s="28" t="n">
        <f>IF(AND(COUNT(AL99,AM99,AN99)=3,AL99&gt;=AM99,AM99&gt;=0,AN99=30),AL99-AM99,"")</f>
        <v>18</v>
      </c>
      <c r="L99" s="29" t="n">
        <f>IF(ISNUMBER(BI99),BI99/90,"")</f>
        <v>0.542599613747931</v>
      </c>
      <c r="M99" s="28" t="n">
        <v>34</v>
      </c>
      <c r="N99" s="28" t="n">
        <v>0</v>
      </c>
      <c r="O99" s="28" t="n">
        <v>0</v>
      </c>
      <c r="P99" s="30" t="n">
        <f>IF(AND(ISNUMBER(L99),L99&gt;0,COUNT(M99:O99)=3,MIN(M99:O99)&gt;=0),SUM(M99:O99)/L99,"")</f>
        <v>62.66130520283594</v>
      </c>
      <c r="Q99" s="16" t="str">
        <v>沿用原计划SKU店铺</v>
      </c>
      <c r="R99" s="16" t="str">
        <v>已匹配</v>
      </c>
      <c r="S99" s="16" t="str">
        <v>在售</v>
      </c>
      <c r="T99" s="16" t="str">
        <v>32582</v>
      </c>
      <c r="U99" s="16" t="str">
        <v>豹纹</v>
      </c>
      <c r="V99" s="16" t="n">
        <v>8</v>
      </c>
      <c r="W99" s="8" t="str">
        <v>2026-10-11 至 2026-10-17</v>
      </c>
      <c r="X99" s="8" t="str">
        <v>2026-10-11、2026-10-12、2026-10-13、2026-10-14、2026-10-15、2026-10-16、2026-10-17</v>
      </c>
      <c r="Y99" s="8" t="str">
        <v>无</v>
      </c>
      <c r="Z99" s="8" t="n">
        <v>5</v>
      </c>
      <c r="AA99" s="8" t="n">
        <v>0</v>
      </c>
      <c r="AB99" s="8" t="n">
        <v>7</v>
      </c>
      <c r="AC99" s="8" t="str">
        <v>2026-10-02 至 2026-10-17</v>
      </c>
      <c r="AD99" s="8" t="str">
        <v>2026-10-02、2026-10-03、2026-10-04、2026-10-05、2026-10-08、2026-10-09、2026-10-10、2026-10-11、2026-10-12、2026-10-13、2026-10-14、2026-10-15、2026-10-16、2026-10-17</v>
      </c>
      <c r="AE99" s="8" t="str">
        <v>2026-10-06 大促；2026-10-07 大促</v>
      </c>
      <c r="AF99" s="8" t="n">
        <v>11</v>
      </c>
      <c r="AG99" s="8" t="n">
        <v>2</v>
      </c>
      <c r="AH99" s="8" t="n">
        <v>14</v>
      </c>
      <c r="AI99" s="8" t="str">
        <v>2026-09-16 至 2026-10-17</v>
      </c>
      <c r="AJ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" s="8" t="str">
        <v>2026-10-06 大促；2026-10-07 大促</v>
      </c>
      <c r="AL99" s="8" t="n">
        <v>20</v>
      </c>
      <c r="AM99" s="8" t="n">
        <v>2</v>
      </c>
      <c r="AN99" s="8" t="n">
        <v>30</v>
      </c>
      <c r="AO99" s="8" t="str">
        <v>32582 / 豹纹羊京绒 / 6574</v>
      </c>
      <c r="AP99" s="11" t="n">
        <v>1.0395067087630607</v>
      </c>
      <c r="AQ99" s="11" t="n">
        <v>1.0395067087630607</v>
      </c>
      <c r="AR99" s="11" t="n">
        <v>1.0707336504782758</v>
      </c>
      <c r="AS99" s="11" t="n">
        <f>IF(AND(COUNT(I99:K99,AP99:AR99)=6,MIN(AP99:AR99)&gt;0),I99/7/AP99*0.5+J99/14/AQ99*0.3+K99/30/AR99*0.2,"")</f>
        <v>0.6411698039435128</v>
      </c>
      <c r="AT99" s="8" t="n">
        <v>42</v>
      </c>
      <c r="AU99" s="8" t="n">
        <v>2</v>
      </c>
      <c r="AV99" s="8" t="n">
        <v>88</v>
      </c>
      <c r="AW99" s="11" t="n">
        <f>IF(AND(COUNT(AT99:AV99)=3,AT99&gt;=AU99,AU99&gt;=0,AV99&gt;0),(AT99-AU99)/AV99,"")</f>
        <v>0.45454545454545453</v>
      </c>
      <c r="AX99" s="8" t="n">
        <v>66</v>
      </c>
      <c r="AY99" s="8" t="n">
        <v>2</v>
      </c>
      <c r="AZ99" s="8" t="n">
        <v>178</v>
      </c>
      <c r="BA99" s="11" t="n">
        <f>IF(AND(COUNT(AX99:AZ99)=3,AX99&gt;=AY99,AY99&gt;=0,AZ99&gt;0),(AX99-AY99)/AZ99,"")</f>
        <v>0.3595505617977528</v>
      </c>
      <c r="BB99" s="8" t="n">
        <f>IF(COUNT(AS99,AW99,BA99)=3,1,0)</f>
        <v>1</v>
      </c>
      <c r="BC99" s="11" t="n">
        <f>IF(SUMIF($AO$11:$AO$1309,AO99,$BB$11:$BB$1309)=COUNTIF($AO$11:$AO$1309,AO99),SUMIF($AO$11:$AO$1309,AO99,$AS$11:$AS$1309),"")</f>
        <v>2.517644694108243</v>
      </c>
      <c r="BD99" s="11" t="n">
        <f>IF(SUMIF($AO$11:$AO$1309,AO99,$BB$11:$BB$1309)=COUNTIF($AO$11:$AO$1309,AO99),SUMIF($AO$11:$AO$1309,AO99,$AW$11:$AW$1309),"")</f>
        <v>2.0255347593582886</v>
      </c>
      <c r="BE99" s="11" t="n">
        <f>IF(SUMIF($AO$11:$AO$1309,AO99,$BB$11:$BB$1309)=COUNTIF($AO$11:$AO$1309,AO99),SUMIF($AO$11:$AO$1309,AO99,$BA$11:$BA$1309),"")</f>
        <v>1.721701444622793</v>
      </c>
      <c r="BF99" s="12" t="n">
        <f>IF(COUNT(BD99:BE99)&lt;&gt;2,"",IF(AND(BD99&gt;0,BE99&gt;0),0.7*AW99/BD99+0.3*BA99/BE99,IF(BD99&gt;0,AW99/BD99,IF(BE99&gt;0,BA99/BE99,IF(AND(ISNUMBER(BH99),BH99=0),0,"")))))</f>
        <v>0.2197356737314838</v>
      </c>
      <c r="BG99" s="11" t="n">
        <f>IF(AND(COUNT(BN99:BU99)=8,MIN(BN99:BU99)&gt;=0),SUMPRODUCT(BN99:BQ99,BR99:BU99),"")</f>
        <v>88.27281580841549</v>
      </c>
      <c r="BH99" s="11" t="n">
        <f>IF(COUNT(BC99,BG99)=2,BC99*BG99,"")</f>
        <v>222.23958635405148</v>
      </c>
      <c r="BI99" s="11" t="n">
        <f>IF(ISNUMBER(CI99),CI99,"")</f>
        <v>48.83396523731379</v>
      </c>
      <c r="BJ99" s="8" t="str"/>
      <c r="BK99" s="8" t="str">
        <v>90天：2026-07-20 至 2026-10-17；180天：2026-04-21 至 2026-10-17</v>
      </c>
      <c r="BL99" s="8" t="str">
        <v>90天：2026-10-06、2026-10-07；180天：2026-10-06、2026-10-07</v>
      </c>
      <c r="BM99" s="8" t="str">
        <v>2026-10：12天 × 1.0395067087630607；2026-11：30天 × 0.9890368360033146；2026-12：31天 × 0.7800796503018808；2027-01：17天 × 1.2908918272824135</v>
      </c>
      <c r="BN99" s="11" t="n">
        <v>1.0395067087630607</v>
      </c>
      <c r="BO99" s="11" t="n">
        <v>0.9890368360033146</v>
      </c>
      <c r="BP99" s="11" t="n">
        <v>0.7800796503018808</v>
      </c>
      <c r="BQ99" s="11" t="n">
        <v>1.2908918272824135</v>
      </c>
      <c r="BR99" s="8" t="n">
        <v>12</v>
      </c>
      <c r="BS99" s="8" t="n">
        <v>30</v>
      </c>
      <c r="BT99" s="8" t="n">
        <v>31</v>
      </c>
      <c r="BU99" s="8" t="n">
        <v>17</v>
      </c>
      <c r="BV99" s="11" t="n">
        <f>IF(COUNT(BC99,BF99)=2,BC99*BF99,"")</f>
        <v>0.5532163530763703</v>
      </c>
      <c r="BW99" s="11" t="n">
        <f>IF(ISNUMBER(BN99),BN99,"")</f>
        <v>1.0395067087630607</v>
      </c>
      <c r="BX99" s="14" t="n">
        <f>IF(ISNUMBER(BR99),BR99,"")</f>
        <v>12</v>
      </c>
      <c r="BY99" s="13" t="n">
        <f>IF(AND(COUNT(BV99,BW99,BX99)=3,MIN(BV99,BW99,BX99)&gt;=0),BV99*BW99*BX99,"")</f>
        <v>6.900865325043853</v>
      </c>
      <c r="BZ99" s="11" t="n">
        <f>IF(ISNUMBER(BO99),BO99,"")</f>
        <v>0.9890368360033146</v>
      </c>
      <c r="CA99" s="14" t="n">
        <f>IF(ISNUMBER(BS99),BS99,"")</f>
        <v>30</v>
      </c>
      <c r="CB99" s="13" t="n">
        <f>IF(AND(COUNT(BV99,BZ99,CA99)=3,MIN(BV99,BZ99,CA99)&gt;=0),BV99*BZ99*CA99,"")</f>
        <v>16.414540544158374</v>
      </c>
      <c r="CC99" s="11" t="n">
        <f>IF(ISNUMBER(BP99),BP99,"")</f>
        <v>0.7800796503018808</v>
      </c>
      <c r="CD99" s="14" t="n">
        <f>IF(ISNUMBER(BT99),BT99,"")</f>
        <v>31</v>
      </c>
      <c r="CE99" s="13" t="n">
        <f>IF(AND(COUNT(BV99,CC99,CD99)=3,MIN(BV99,CC99,CD99)&gt;=0),BV99*CC99*CD99,"")</f>
        <v>13.378137396721998</v>
      </c>
      <c r="CF99" s="11" t="n">
        <f>IF(ISNUMBER(BQ99),BQ99,"")</f>
        <v>1.2908918272824135</v>
      </c>
      <c r="CG99" s="14" t="n">
        <f>IF(ISNUMBER(BU99),BU99,"")</f>
        <v>17</v>
      </c>
      <c r="CH99" s="13" t="n">
        <f>IF(AND(COUNT(BV99,CF99,CG99)=3,MIN(BV99,CF99,CG99)&gt;=0),BV99*CF99*CG99,"")</f>
        <v>12.140421971389564</v>
      </c>
      <c r="CI99" s="13" t="n">
        <f>IF(COUNT(BY99,CB99,CE99,CH99)=4,SUM(BY99,CB99,CE99,CH99),"")</f>
        <v>48.83396523731379</v>
      </c>
    </row>
    <row r="100" ht="72" customHeight="1">
      <c r="A100" s="16" t="str">
        <v>60516-BK-S-K-11</v>
      </c>
      <c r="B100" s="16" t="str">
        <v>3店-SANDIEX-US</v>
      </c>
      <c r="C100" s="16" t="str">
        <v>徐新怡</v>
      </c>
      <c r="D100" s="26" t="n">
        <f>IF(NOT(ISNUMBER(E100)),"",IF(OR(E100&lt;=0,L100=0),0,IF(OR(NOT(ISNUMBER(F100)),F100&lt;0),"",MIN(E100,INT(F100)))))</f>
        <v>15</v>
      </c>
      <c r="E100" s="27" t="n">
        <f>IF(OR(NOT(ISNUMBER(L100)),COUNT(M100:O100)&lt;&gt;3,MIN(M100:O100)&lt;0),"",ROUNDUP(ROUND(BI100-SUM(M100:O100),10),0))</f>
        <v>15</v>
      </c>
      <c r="F100" s="28" t="n">
        <v>29</v>
      </c>
      <c r="G100" s="28" t="n">
        <f>IF(AND(ISNUMBER(D100),ISNUMBER(E100)),IF(OR(E100&lt;=0,L100=0),0,E100-D100),"")</f>
        <v>0</v>
      </c>
      <c r="H100" s="16" t="str">
        <f>IF(NOT(ISNUMBER(E100)),"销量或海外库存待补",IF(OR(E100&lt;=0,L100=0),IF(L100=0,"零日销，本批不发","本批无需补货"),IF(NOT(ISNUMBER(D100)),"国内库存待补",IF(D100=0,"国内无可用库存",IF(G100&gt;0,"先发国内现货","按建议量发货")))))</f>
        <v>按建议量发货</v>
      </c>
      <c r="I100" s="28" t="n">
        <f>IF(AND(COUNT(Z100,AA100,AB100)=3,Z100&gt;=AA100,AA100&gt;=0,AB100=7),Z100-AA100,"")</f>
        <v>1</v>
      </c>
      <c r="J100" s="28" t="n">
        <f>IF(AND(COUNT(AF100,AG100,AH100)=3,AF100&gt;=AG100,AG100&gt;=0,AH100=14),AF100-AG100,"")</f>
        <v>6</v>
      </c>
      <c r="K100" s="28" t="n">
        <f>IF(AND(COUNT(AL100,AM100,AN100)=3,AL100&gt;=AM100,AM100&gt;=0,AN100=30),AL100-AM100,"")</f>
        <v>14</v>
      </c>
      <c r="L100" s="29" t="n">
        <f>IF(ISNUMBER(BI100),BI100/90,"")</f>
        <v>0.38549371750170763</v>
      </c>
      <c r="M100" s="28" t="n">
        <v>0</v>
      </c>
      <c r="N100" s="28" t="n">
        <v>0</v>
      </c>
      <c r="O100" s="28" t="n">
        <v>20</v>
      </c>
      <c r="P100" s="30" t="n">
        <f>IF(AND(ISNUMBER(L100),L100&gt;0,COUNT(M100:O100)=3,MIN(M100:O100)&gt;=0),SUM(M100:O100)/L100,"")</f>
        <v>51.881519962543635</v>
      </c>
      <c r="Q100" s="16" t="str">
        <v>沿用原计划SKU店铺</v>
      </c>
      <c r="R100" s="16" t="str">
        <v>已匹配</v>
      </c>
      <c r="S100" s="16" t="str">
        <v>在售</v>
      </c>
      <c r="T100" s="16" t="str">
        <v>60516</v>
      </c>
      <c r="U100" s="16" t="str">
        <v>黑色</v>
      </c>
      <c r="V100" s="16" t="n">
        <v>11</v>
      </c>
      <c r="W100" s="8" t="str">
        <v>2026-10-11 至 2026-10-17</v>
      </c>
      <c r="X100" s="8" t="str">
        <v>2026-10-11、2026-10-12、2026-10-13、2026-10-14、2026-10-15、2026-10-16、2026-10-17</v>
      </c>
      <c r="Y100" s="8" t="str">
        <v>无</v>
      </c>
      <c r="Z100" s="8" t="n">
        <v>1</v>
      </c>
      <c r="AA100" s="8" t="n">
        <v>0</v>
      </c>
      <c r="AB100" s="8" t="n">
        <v>7</v>
      </c>
      <c r="AC100" s="8" t="str">
        <v>2026-10-02 至 2026-10-17</v>
      </c>
      <c r="AD100" s="8" t="str">
        <v>2026-10-02、2026-10-03、2026-10-04、2026-10-05、2026-10-08、2026-10-09、2026-10-10、2026-10-11、2026-10-12、2026-10-13、2026-10-14、2026-10-15、2026-10-16、2026-10-17</v>
      </c>
      <c r="AE100" s="8" t="str">
        <v>2026-10-06 大促；2026-10-07 大促</v>
      </c>
      <c r="AF100" s="8" t="n">
        <v>12</v>
      </c>
      <c r="AG100" s="8" t="n">
        <v>6</v>
      </c>
      <c r="AH100" s="8" t="n">
        <v>14</v>
      </c>
      <c r="AI100" s="8" t="str">
        <v>2026-09-16 至 2026-10-17</v>
      </c>
      <c r="AJ1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" s="8" t="str">
        <v>2026-10-06 大促；2026-10-07 大促</v>
      </c>
      <c r="AL100" s="8" t="n">
        <v>20</v>
      </c>
      <c r="AM100" s="8" t="n">
        <v>6</v>
      </c>
      <c r="AN100" s="8" t="n">
        <v>30</v>
      </c>
      <c r="AO100" s="8" t="str">
        <v>60516 / 黑色羊京绒 / 6574</v>
      </c>
      <c r="AP100" s="11" t="n">
        <v>1.8609238953732312</v>
      </c>
      <c r="AQ100" s="11" t="n">
        <v>1.8609238953732312</v>
      </c>
      <c r="AR100" s="11" t="n">
        <v>1.7598476169692943</v>
      </c>
      <c r="AS100" s="11" t="n">
        <f>IF(AND(COUNT(I100:K100,AP100:AR100)=6,MIN(AP100:AR100)&gt;0),I100/7/AP100*0.5+J100/14/AQ100*0.3+K100/30/AR100*0.2,"")</f>
        <v>0.16050839256448474</v>
      </c>
      <c r="AT100" s="8" t="n">
        <v>34</v>
      </c>
      <c r="AU100" s="8" t="n">
        <v>6</v>
      </c>
      <c r="AV100" s="8" t="n">
        <v>88</v>
      </c>
      <c r="AW100" s="11" t="n">
        <f>IF(AND(COUNT(AT100:AV100)=3,AT100&gt;=AU100,AU100&gt;=0,AV100&gt;0),(AT100-AU100)/AV100,"")</f>
        <v>0.3181818181818182</v>
      </c>
      <c r="AX100" s="8" t="n">
        <v>43</v>
      </c>
      <c r="AY100" s="8" t="n">
        <v>6</v>
      </c>
      <c r="AZ100" s="8" t="n">
        <v>178</v>
      </c>
      <c r="BA100" s="11" t="n">
        <f>IF(AND(COUNT(AX100:AZ100)=3,AX100&gt;=AY100,AY100&gt;=0,AZ100&gt;0),(AX100-AY100)/AZ100,"")</f>
        <v>0.20786516853932585</v>
      </c>
      <c r="BB100" s="8" t="n">
        <f>IF(COUNT(AS100,AW100,BA100)=3,1,0)</f>
        <v>1</v>
      </c>
      <c r="BC100" s="11" t="n">
        <f>IF(SUMIF($AO$11:$AO$1309,AO100,$BB$11:$BB$1309)=COUNTIF($AO$11:$AO$1309,AO100),SUMIF($AO$11:$AO$1309,AO100,$AS$11:$AS$1309),"")</f>
        <v>3.0362329919441002</v>
      </c>
      <c r="BD100" s="11" t="n">
        <f>IF(SUMIF($AO$11:$AO$1309,AO100,$BB$11:$BB$1309)=COUNTIF($AO$11:$AO$1309,AO100),SUMIF($AO$11:$AO$1309,AO100,$AW$11:$AW$1309),"")</f>
        <v>2.9545454545454546</v>
      </c>
      <c r="BE100" s="11" t="n">
        <f>IF(SUMIF($AO$11:$AO$1309,AO100,$BB$11:$BB$1309)=COUNTIF($AO$11:$AO$1309,AO100),SUMIF($AO$11:$AO$1309,AO100,$BA$11:$BA$1309),"")</f>
        <v>2.169502407704655</v>
      </c>
      <c r="BF100" s="12" t="n">
        <f>IF(COUNT(BD100:BE100)&lt;&gt;2,"",IF(AND(BD100&gt;0,BE100&gt;0),0.7*AW100/BD100+0.3*BA100/BE100,IF(BD100&gt;0,AW100/BD100,IF(BE100&gt;0,BA100/BE100,IF(AND(ISNUMBER(BH100),BH100=0),0,"")))))</f>
        <v>0.10412832654176246</v>
      </c>
      <c r="BG100" s="11" t="n">
        <f>IF(AND(COUNT(BN100:BU100)=8,MIN(BN100:BU100)&gt;=0),SUMPRODUCT(BN100:BQ100,BR100:BU100),"")</f>
        <v>109.73769409574882</v>
      </c>
      <c r="BH100" s="11" t="n">
        <f>IF(COUNT(BC100,BG100)=2,BC100*BG100,"")</f>
        <v>333.18920727338184</v>
      </c>
      <c r="BI100" s="11" t="n">
        <f>IF(ISNUMBER(CI100),CI100,"")</f>
        <v>34.694434575153686</v>
      </c>
      <c r="BJ100" s="8" t="str"/>
      <c r="BK100" s="8" t="str">
        <v>90天：2026-07-20 至 2026-10-17；180天：2026-04-21 至 2026-10-17</v>
      </c>
      <c r="BL100" s="8" t="str">
        <v>90天：2026-10-06、2026-10-07；180天：2026-10-06、2026-10-07</v>
      </c>
      <c r="BM100" s="8" t="str">
        <v>2026-10：12天 × 1.8609238953732312；2026-11：30天 × 1.438375649833085；2026-12：31天 × 0.9519742599124907；2027-01：17天 × 0.8673021058229575</v>
      </c>
      <c r="BN100" s="11" t="n">
        <v>1.8609238953732312</v>
      </c>
      <c r="BO100" s="11" t="n">
        <v>1.438375649833085</v>
      </c>
      <c r="BP100" s="11" t="n">
        <v>0.9519742599124907</v>
      </c>
      <c r="BQ100" s="11" t="n">
        <v>0.8673021058229575</v>
      </c>
      <c r="BR100" s="8" t="n">
        <v>12</v>
      </c>
      <c r="BS100" s="8" t="n">
        <v>30</v>
      </c>
      <c r="BT100" s="8" t="n">
        <v>31</v>
      </c>
      <c r="BU100" s="8" t="n">
        <v>17</v>
      </c>
      <c r="BV100" s="11" t="n">
        <f>IF(COUNT(BC100,BF100)=2,BC100*BF100,"")</f>
        <v>0.3161578604420277</v>
      </c>
      <c r="BW100" s="11" t="n">
        <f>IF(ISNUMBER(BN100),BN100,"")</f>
        <v>1.8609238953732312</v>
      </c>
      <c r="BX100" s="14" t="n">
        <f>IF(ISNUMBER(BR100),BR100,"")</f>
        <v>12</v>
      </c>
      <c r="BY100" s="13" t="n">
        <f>IF(AND(COUNT(BV100,BW100,BX100)=3,MIN(BV100,BW100,BX100)&gt;=0),BV100*BW100*BX100,"")</f>
        <v>7.060148606479736</v>
      </c>
      <c r="BZ100" s="11" t="n">
        <f>IF(ISNUMBER(BO100),BO100,"")</f>
        <v>1.438375649833085</v>
      </c>
      <c r="CA100" s="14" t="n">
        <f>IF(ISNUMBER(BS100),BS100,"")</f>
        <v>30</v>
      </c>
      <c r="CB100" s="13" t="n">
        <f>IF(AND(COUNT(BV100,BZ100,CA100)=3,MIN(BV100,BZ100,CA100)&gt;=0),BV100*BZ100*CA100,"")</f>
        <v>13.642613038894183</v>
      </c>
      <c r="CC100" s="11" t="n">
        <f>IF(ISNUMBER(BP100),BP100,"")</f>
        <v>0.9519742599124907</v>
      </c>
      <c r="CD100" s="14" t="n">
        <f>IF(ISNUMBER(BT100),BT100,"")</f>
        <v>31</v>
      </c>
      <c r="CE100" s="13" t="n">
        <f>IF(AND(COUNT(BV100,CC100,CD100)=3,MIN(BV100,CC100,CD100)&gt;=0),BV100*CC100*CD100,"")</f>
        <v>9.330198501504292</v>
      </c>
      <c r="CF100" s="11" t="n">
        <f>IF(ISNUMBER(BQ100),BQ100,"")</f>
        <v>0.8673021058229575</v>
      </c>
      <c r="CG100" s="14" t="n">
        <f>IF(ISNUMBER(BU100),BU100,"")</f>
        <v>17</v>
      </c>
      <c r="CH100" s="13" t="n">
        <f>IF(AND(COUNT(BV100,CF100,CG100)=3,MIN(BV100,CF100,CG100)&gt;=0),BV100*CF100*CG100,"")</f>
        <v>4.661474428275473</v>
      </c>
      <c r="CI100" s="13" t="n">
        <f>IF(COUNT(BY100,CB100,CE100,CH100)=4,SUM(BY100,CB100,CE100,CH100),"")</f>
        <v>34.694434575153686</v>
      </c>
    </row>
    <row r="101" ht="72" customHeight="1">
      <c r="A101" s="16" t="str">
        <v>B06-LP-42-N</v>
      </c>
      <c r="B101" s="16" t="str">
        <v>1店-MUSSHOE-US</v>
      </c>
      <c r="C101" s="16" t="str">
        <v>艾年</v>
      </c>
      <c r="D101" s="26" t="n">
        <f>IF(NOT(ISNUMBER(E101)),"",IF(OR(E101&lt;=0,L101=0),0,IF(OR(NOT(ISNUMBER(F101)),F101&lt;0),"",MIN(E101,INT(F101)))))</f>
        <v>14</v>
      </c>
      <c r="E101" s="27" t="n">
        <f>IF(OR(NOT(ISNUMBER(L101)),COUNT(M101:O101)&lt;&gt;3,MIN(M101:O101)&lt;0),"",ROUNDUP(ROUND(BI101-SUM(M101:O101),10),0))</f>
        <v>32</v>
      </c>
      <c r="F101" s="28" t="n">
        <v>14</v>
      </c>
      <c r="G101" s="28" t="n">
        <f>IF(AND(ISNUMBER(D101),ISNUMBER(E101)),IF(OR(E101&lt;=0,L101=0),0,E101-D101),"")</f>
        <v>18</v>
      </c>
      <c r="H101" s="16" t="str">
        <f>IF(NOT(ISNUMBER(E101)),"销量或海外库存待补",IF(OR(E101&lt;=0,L101=0),IF(L101=0,"零日销，本批不发","本批无需补货"),IF(NOT(ISNUMBER(D101)),"国内库存待补",IF(D101=0,"国内无可用库存",IF(G101&gt;0,"先发国内现货","按建议量发货")))))</f>
        <v>先发国内现货</v>
      </c>
      <c r="I101" s="28" t="n">
        <f>IF(AND(COUNT(Z101,AA101,AB101)=3,Z101&gt;=AA101,AA101&gt;=0,AB101=7),Z101-AA101,"")</f>
        <v>9</v>
      </c>
      <c r="J101" s="28" t="n">
        <f>IF(AND(COUNT(AF101,AG101,AH101)=3,AF101&gt;=AG101,AG101&gt;=0,AH101=14),AF101-AG101,"")</f>
        <v>11</v>
      </c>
      <c r="K101" s="28" t="n">
        <f>IF(AND(COUNT(AL101,AM101,AN101)=3,AL101&gt;=AM101,AM101&gt;=0,AN101=30),AL101-AM101,"")</f>
        <v>16</v>
      </c>
      <c r="L101" s="29" t="n">
        <f>IF(ISNUMBER(BI101),BI101/90,"")</f>
        <v>0.6704221413845424</v>
      </c>
      <c r="M101" s="28" t="n">
        <v>28</v>
      </c>
      <c r="N101" s="28" t="n">
        <v>0</v>
      </c>
      <c r="O101" s="28" t="n">
        <v>1</v>
      </c>
      <c r="P101" s="30" t="n">
        <f>IF(AND(ISNUMBER(L101),L101&gt;0,COUNT(M101:O101)=3,MIN(M101:O101)&gt;=0),SUM(M101:O101)/L101,"")</f>
        <v>43.25632793109992</v>
      </c>
      <c r="Q101" s="16" t="str">
        <v>沿用原计划SKU店铺</v>
      </c>
      <c r="R101" s="16" t="str">
        <v>已匹配</v>
      </c>
      <c r="S101" s="16" t="str">
        <v>在售</v>
      </c>
      <c r="T101" s="16" t="str">
        <v>B06</v>
      </c>
      <c r="U101" s="16" t="str">
        <v>豹纹羊京绒</v>
      </c>
      <c r="V101" s="16" t="n">
        <v>11</v>
      </c>
      <c r="W101" s="8" t="str">
        <v>2026-10-11 至 2026-10-17</v>
      </c>
      <c r="X101" s="8" t="str">
        <v>2026-10-11、2026-10-12、2026-10-13、2026-10-14、2026-10-15、2026-10-16、2026-10-17</v>
      </c>
      <c r="Y101" s="8" t="str">
        <v>无</v>
      </c>
      <c r="Z101" s="8" t="n">
        <v>9</v>
      </c>
      <c r="AA101" s="8" t="n">
        <v>0</v>
      </c>
      <c r="AB101" s="8" t="n">
        <v>7</v>
      </c>
      <c r="AC101" s="8" t="str">
        <v>2026-10-02 至 2026-10-17</v>
      </c>
      <c r="AD101" s="8" t="str">
        <v>2026-10-02、2026-10-03、2026-10-04、2026-10-05、2026-10-08、2026-10-09、2026-10-10、2026-10-11、2026-10-12、2026-10-13、2026-10-14、2026-10-15、2026-10-16、2026-10-17</v>
      </c>
      <c r="AE101" s="8" t="str">
        <v>2026-10-06 大促；2026-10-07 大促</v>
      </c>
      <c r="AF101" s="8" t="n">
        <v>13</v>
      </c>
      <c r="AG101" s="8" t="n">
        <v>2</v>
      </c>
      <c r="AH101" s="8" t="n">
        <v>14</v>
      </c>
      <c r="AI101" s="8" t="str">
        <v>2026-09-16 至 2026-10-17</v>
      </c>
      <c r="AJ1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" s="8" t="str">
        <v>2026-10-06 大促；2026-10-07 大促</v>
      </c>
      <c r="AL101" s="8" t="n">
        <v>18</v>
      </c>
      <c r="AM101" s="8" t="n">
        <v>2</v>
      </c>
      <c r="AN101" s="8" t="n">
        <v>30</v>
      </c>
      <c r="AO101" s="8" t="str">
        <v>B06 / 豹纹羊京绒 / 13120</v>
      </c>
      <c r="AP101" s="11" t="n">
        <v>1.2247029157699902</v>
      </c>
      <c r="AQ101" s="11" t="n">
        <v>1.2247029157699902</v>
      </c>
      <c r="AR101" s="11" t="n">
        <v>1.1136940657346173</v>
      </c>
      <c r="AS101" s="11" t="n">
        <f>IF(AND(COUNT(I101:K101,AP101:AR101)=6,MIN(AP101:AR101)&gt;0),I101/7/AP101*0.5+J101/14/AQ101*0.3+K101/30/AR101*0.2,"")</f>
        <v>0.8131524926833289</v>
      </c>
      <c r="AT101" s="8" t="n">
        <v>45</v>
      </c>
      <c r="AU101" s="8" t="n">
        <v>2</v>
      </c>
      <c r="AV101" s="8" t="n">
        <v>88</v>
      </c>
      <c r="AW101" s="11" t="n">
        <f>IF(AND(COUNT(AT101:AV101)=3,AT101&gt;=AU101,AU101&gt;=0,AV101&gt;0),(AT101-AU101)/AV101,"")</f>
        <v>0.48863636363636365</v>
      </c>
      <c r="AX101" s="8" t="n">
        <v>87</v>
      </c>
      <c r="AY101" s="8" t="n">
        <v>2</v>
      </c>
      <c r="AZ101" s="8" t="n">
        <v>178</v>
      </c>
      <c r="BA101" s="11" t="n">
        <f>IF(AND(COUNT(AX101:AZ101)=3,AX101&gt;=AY101,AY101&gt;=0,AZ101&gt;0),(AX101-AY101)/AZ101,"")</f>
        <v>0.47752808988764045</v>
      </c>
      <c r="BB101" s="8" t="n">
        <f>IF(COUNT(AS101,AW101,BA101)=3,1,0)</f>
        <v>1</v>
      </c>
      <c r="BC101" s="11" t="n">
        <f>IF(SUMIF($AO$11:$AO$1309,AO101,$BB$11:$BB$1309)=COUNTIF($AO$11:$AO$1309,AO101),SUMIF($AO$11:$AO$1309,AO101,$AS$11:$AS$1309),"")</f>
        <v>10.232422007128712</v>
      </c>
      <c r="BD101" s="11" t="n">
        <f>IF(SUMIF($AO$11:$AO$1309,AO101,$BB$11:$BB$1309)=COUNTIF($AO$11:$AO$1309,AO101),SUMIF($AO$11:$AO$1309,AO101,$AW$11:$AW$1309),"")</f>
        <v>6.3522727272727275</v>
      </c>
      <c r="BE101" s="11" t="n">
        <f>IF(SUMIF($AO$11:$AO$1309,AO101,$BB$11:$BB$1309)=COUNTIF($AO$11:$AO$1309,AO101),SUMIF($AO$11:$AO$1309,AO101,$BA$11:$BA$1309),"")</f>
        <v>5.5</v>
      </c>
      <c r="BF101" s="12" t="n">
        <f>IF(COUNT(BD101:BE101)&lt;&gt;2,"",IF(AND(BD101&gt;0,BE101&gt;0),0.7*AW101/BD101+0.3*BA101/BE101,IF(BD101&gt;0,AW101/BD101,IF(BE101&gt;0,BA101/BE101,IF(AND(ISNUMBER(BH101),BH101=0),0,"")))))</f>
        <v>0.07989314056729786</v>
      </c>
      <c r="BG101" s="11" t="n">
        <f>IF(AND(COUNT(BN101:BU101)=8,MIN(BN101:BU101)&gt;=0),SUMPRODUCT(BN101:BQ101,BR101:BU101),"")</f>
        <v>73.80791239847399</v>
      </c>
      <c r="BH101" s="11" t="n">
        <f>IF(COUNT(BC101,BG101)=2,BC101*BG101,"")</f>
        <v>755.2337071263734</v>
      </c>
      <c r="BI101" s="11" t="n">
        <f>IF(ISNUMBER(CI101),CI101,"")</f>
        <v>60.33799272460881</v>
      </c>
      <c r="BJ101" s="8" t="str">
        <v>低销提醒依据不完整</v>
      </c>
      <c r="BK101" s="8" t="str">
        <v>90天：2026-07-20 至 2026-10-17；180天：2026-04-21 至 2026-10-17</v>
      </c>
      <c r="BL101" s="8" t="str">
        <v>90天：2026-10-06、2026-10-07；180天：2026-10-06、2026-10-07</v>
      </c>
      <c r="BM101" s="8" t="str">
        <v>2026-10：12天 × 1.2247029157699902；2026-11：30天 × 0.8332682139098497；2026-12：31天 × 0.5511018253564084；2027-01：17天 × 1.0017220238758797</v>
      </c>
      <c r="BN101" s="11" t="n">
        <v>1.2247029157699902</v>
      </c>
      <c r="BO101" s="11" t="n">
        <v>0.8332682139098497</v>
      </c>
      <c r="BP101" s="11" t="n">
        <v>0.5511018253564084</v>
      </c>
      <c r="BQ101" s="11" t="n">
        <v>1.0017220238758797</v>
      </c>
      <c r="BR101" s="8" t="n">
        <v>12</v>
      </c>
      <c r="BS101" s="8" t="n">
        <v>30</v>
      </c>
      <c r="BT101" s="8" t="n">
        <v>31</v>
      </c>
      <c r="BU101" s="8" t="n">
        <v>17</v>
      </c>
      <c r="BV101" s="11" t="n">
        <f>IF(COUNT(BC101,BF101)=2,BC101*BF101,"")</f>
        <v>0.8175003297594463</v>
      </c>
      <c r="BW101" s="11" t="n">
        <f>IF(ISNUMBER(BN101),BN101,"")</f>
        <v>1.2247029157699902</v>
      </c>
      <c r="BX101" s="14" t="n">
        <f>IF(ISNUMBER(BR101),BR101,"")</f>
        <v>12</v>
      </c>
      <c r="BY101" s="13" t="n">
        <f>IF(AND(COUNT(BV101,BW101,BX101)=3,MIN(BV101,BW101,BX101)&gt;=0),BV101*BW101*BX101,"")</f>
        <v>12.014340449991868</v>
      </c>
      <c r="BZ101" s="11" t="n">
        <f>IF(ISNUMBER(BO101),BO101,"")</f>
        <v>0.8332682139098497</v>
      </c>
      <c r="CA101" s="14" t="n">
        <f>IF(ISNUMBER(BS101),BS101,"")</f>
        <v>30</v>
      </c>
      <c r="CB101" s="13" t="n">
        <f>IF(AND(COUNT(BV101,BZ101,CA101)=3,MIN(BV101,BZ101,CA101)&gt;=0),BV101*BZ101*CA101,"")</f>
        <v>20.435911189481008</v>
      </c>
      <c r="CC101" s="11" t="n">
        <f>IF(ISNUMBER(BP101),BP101,"")</f>
        <v>0.5511018253564084</v>
      </c>
      <c r="CD101" s="14" t="n">
        <f>IF(ISNUMBER(BT101),BT101,"")</f>
        <v>31</v>
      </c>
      <c r="CE101" s="13" t="n">
        <f>IF(AND(COUNT(BV101,CC101,CD101)=3,MIN(BV101,CC101,CD101)&gt;=0),BV101*CC101*CD101,"")</f>
        <v>13.966303642756797</v>
      </c>
      <c r="CF101" s="11" t="n">
        <f>IF(ISNUMBER(BQ101),BQ101,"")</f>
        <v>1.0017220238758797</v>
      </c>
      <c r="CG101" s="14" t="n">
        <f>IF(ISNUMBER(BU101),BU101,"")</f>
        <v>17</v>
      </c>
      <c r="CH101" s="13" t="n">
        <f>IF(AND(COUNT(BV101,CF101,CG101)=3,MIN(BV101,CF101,CG101)&gt;=0),BV101*CF101*CG101,"")</f>
        <v>13.921437442379139</v>
      </c>
      <c r="CI101" s="13" t="n">
        <f>IF(COUNT(BY101,CB101,CE101,CH101)=4,SUM(BY101,CB101,CE101,CH101),"")</f>
        <v>60.33799272460881</v>
      </c>
    </row>
    <row r="102" ht="72" customHeight="1">
      <c r="A102" s="16" t="str">
        <v>2302153-CC-P-Z-7</v>
      </c>
      <c r="B102" s="16" t="str">
        <v>3店-SANDIEX-US</v>
      </c>
      <c r="C102" s="16" t="str">
        <v>徐新怡</v>
      </c>
      <c r="D102" s="26" t="n">
        <f>IF(NOT(ISNUMBER(E102)),"",IF(OR(E102&lt;=0,L102=0),0,IF(OR(NOT(ISNUMBER(F102)),F102&lt;0),"",MIN(E102,INT(F102)))))</f>
        <v>14</v>
      </c>
      <c r="E102" s="27" t="n">
        <f>IF(OR(NOT(ISNUMBER(L102)),COUNT(M102:O102)&lt;&gt;3,MIN(M102:O102)&lt;0),"",ROUNDUP(ROUND(BI102-SUM(M102:O102),10),0))</f>
        <v>14</v>
      </c>
      <c r="F102" s="28" t="n">
        <v>58</v>
      </c>
      <c r="G102" s="28" t="n">
        <f>IF(AND(ISNUMBER(D102),ISNUMBER(E102)),IF(OR(E102&lt;=0,L102=0),0,E102-D102),"")</f>
        <v>0</v>
      </c>
      <c r="H102" s="16" t="str">
        <f>IF(NOT(ISNUMBER(E102)),"销量或海外库存待补",IF(OR(E102&lt;=0,L102=0),IF(L102=0,"零日销，本批不发","本批无需补货"),IF(NOT(ISNUMBER(D102)),"国内库存待补",IF(D102=0,"国内无可用库存",IF(G102&gt;0,"先发国内现货","按建议量发货")))))</f>
        <v>按建议量发货</v>
      </c>
      <c r="I102" s="28" t="n">
        <f>IF(AND(COUNT(Z102,AA102,AB102)=3,Z102&gt;=AA102,AA102&gt;=0,AB102=7),Z102-AA102,"")</f>
        <v>4</v>
      </c>
      <c r="J102" s="28" t="n">
        <f>IF(AND(COUNT(AF102,AG102,AH102)=3,AF102&gt;=AG102,AG102&gt;=0,AH102=14),AF102-AG102,"")</f>
        <v>11</v>
      </c>
      <c r="K102" s="28" t="n">
        <f>IF(AND(COUNT(AL102,AM102,AN102)=3,AL102&gt;=AM102,AM102&gt;=0,AN102=30),AL102-AM102,"")</f>
        <v>29</v>
      </c>
      <c r="L102" s="29" t="n">
        <f>IF(ISNUMBER(BI102),BI102/90,"")</f>
        <v>0.6720285281878521</v>
      </c>
      <c r="M102" s="28" t="n">
        <v>27</v>
      </c>
      <c r="N102" s="28" t="n">
        <v>0</v>
      </c>
      <c r="O102" s="28" t="n">
        <v>20</v>
      </c>
      <c r="P102" s="30" t="n">
        <f>IF(AND(ISNUMBER(L102),L102&gt;0,COUNT(M102:O102)=3,MIN(M102:O102)&gt;=0),SUM(M102:O102)/L102,"")</f>
        <v>69.93750715722904</v>
      </c>
      <c r="Q102" s="16" t="str">
        <v>沿用原计划SKU店铺</v>
      </c>
      <c r="R102" s="16" t="str">
        <v>已匹配</v>
      </c>
      <c r="S102" s="16" t="str">
        <v>在售</v>
      </c>
      <c r="T102" s="16" t="str">
        <v>2302153</v>
      </c>
      <c r="U102" s="16" t="str">
        <v>驼色</v>
      </c>
      <c r="V102" s="16" t="n">
        <v>7</v>
      </c>
      <c r="W102" s="8" t="str">
        <v>2026-10-11 至 2026-10-17</v>
      </c>
      <c r="X102" s="8" t="str">
        <v>2026-10-11、2026-10-12、2026-10-13、2026-10-14、2026-10-15、2026-10-16、2026-10-17</v>
      </c>
      <c r="Y102" s="8" t="str">
        <v>无</v>
      </c>
      <c r="Z102" s="8" t="n">
        <v>4</v>
      </c>
      <c r="AA102" s="8" t="n">
        <v>0</v>
      </c>
      <c r="AB102" s="8" t="n">
        <v>7</v>
      </c>
      <c r="AC102" s="8" t="str">
        <v>2026-10-02 至 2026-10-17</v>
      </c>
      <c r="AD102" s="8" t="str">
        <v>2026-10-02、2026-10-03、2026-10-04、2026-10-05、2026-10-08、2026-10-09、2026-10-10、2026-10-11、2026-10-12、2026-10-13、2026-10-14、2026-10-15、2026-10-16、2026-10-17</v>
      </c>
      <c r="AE102" s="8" t="str">
        <v>2026-10-06 大促；2026-10-07 大促</v>
      </c>
      <c r="AF102" s="8" t="n">
        <v>13</v>
      </c>
      <c r="AG102" s="8" t="n">
        <v>2</v>
      </c>
      <c r="AH102" s="8" t="n">
        <v>14</v>
      </c>
      <c r="AI102" s="8" t="str">
        <v>2026-09-16 至 2026-10-17</v>
      </c>
      <c r="AJ1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" s="8" t="str">
        <v>2026-10-06 大促；2026-10-07 大促</v>
      </c>
      <c r="AL102" s="8" t="n">
        <v>31</v>
      </c>
      <c r="AM102" s="8" t="n">
        <v>2</v>
      </c>
      <c r="AN102" s="8" t="n">
        <v>30</v>
      </c>
      <c r="AO102" s="8" t="str">
        <v>2302153 / 驼色PU / 6574</v>
      </c>
      <c r="AP102" s="11" t="n">
        <v>1.7391279184229513</v>
      </c>
      <c r="AQ102" s="11" t="n">
        <v>1.7391279184229513</v>
      </c>
      <c r="AR102" s="11" t="n">
        <v>1.5731892896917212</v>
      </c>
      <c r="AS102" s="11" t="n">
        <f>IF(AND(COUNT(I102:K102,AP102:AR102)=6,MIN(AP102:AR102)&gt;0),I102/7/AP102*0.5+J102/14/AQ102*0.3+K102/30/AR102*0.2,"")</f>
        <v>0.42271446952469943</v>
      </c>
      <c r="AT102" s="8" t="n">
        <v>62</v>
      </c>
      <c r="AU102" s="8" t="n">
        <v>2</v>
      </c>
      <c r="AV102" s="8" t="n">
        <v>88</v>
      </c>
      <c r="AW102" s="11" t="n">
        <f>IF(AND(COUNT(AT102:AV102)=3,AT102&gt;=AU102,AU102&gt;=0,AV102&gt;0),(AT102-AU102)/AV102,"")</f>
        <v>0.6818181818181818</v>
      </c>
      <c r="AX102" s="8" t="n">
        <v>145</v>
      </c>
      <c r="AY102" s="8" t="n">
        <v>2</v>
      </c>
      <c r="AZ102" s="8" t="n">
        <v>178</v>
      </c>
      <c r="BA102" s="11" t="n">
        <f>IF(AND(COUNT(AX102:AZ102)=3,AX102&gt;=AY102,AY102&gt;=0,AZ102&gt;0),(AX102-AY102)/AZ102,"")</f>
        <v>0.8033707865168539</v>
      </c>
      <c r="BB102" s="8" t="n">
        <f>IF(COUNT(AS102,AW102,BA102)=3,1,0)</f>
        <v>1</v>
      </c>
      <c r="BC102" s="11" t="n">
        <f>IF(SUMIF($AO$11:$AO$1309,AO102,$BB$11:$BB$1309)=COUNTIF($AO$11:$AO$1309,AO102),SUMIF($AO$11:$AO$1309,AO102,$AS$11:$AS$1309),"")</f>
        <v>4.064868532287768</v>
      </c>
      <c r="BD102" s="11" t="n">
        <f>IF(SUMIF($AO$11:$AO$1309,AO102,$BB$11:$BB$1309)=COUNTIF($AO$11:$AO$1309,AO102),SUMIF($AO$11:$AO$1309,AO102,$AW$11:$AW$1309),"")</f>
        <v>5.079545454545455</v>
      </c>
      <c r="BE102" s="11" t="n">
        <f>IF(SUMIF($AO$11:$AO$1309,AO102,$BB$11:$BB$1309)=COUNTIF($AO$11:$AO$1309,AO102),SUMIF($AO$11:$AO$1309,AO102,$BA$11:$BA$1309),"")</f>
        <v>5.741573033707865</v>
      </c>
      <c r="BF102" s="12" t="n">
        <f>IF(COUNT(BD102:BE102)&lt;&gt;2,"",IF(AND(BD102&gt;0,BE102&gt;0),0.7*AW102/BD102+0.3*BA102/BE102,IF(BD102&gt;0,AW102/BD102,IF(BE102&gt;0,BA102/BE102,IF(AND(ISNUMBER(BH102),BH102=0),0,"")))))</f>
        <v>0.13593624817767502</v>
      </c>
      <c r="BG102" s="11" t="n">
        <f>IF(AND(COUNT(BN102:BU102)=8,MIN(BN102:BU102)&gt;=0),SUMPRODUCT(BN102:BQ102,BR102:BU102),"")</f>
        <v>109.4582336985339</v>
      </c>
      <c r="BH102" s="11" t="n">
        <f>IF(COUNT(BC102,BG102)=2,BC102*BG102,"")</f>
        <v>444.93332976097105</v>
      </c>
      <c r="BI102" s="11" t="n">
        <f>IF(ISNUMBER(CI102),CI102,"")</f>
        <v>60.482567536906686</v>
      </c>
      <c r="BJ102" s="8" t="str"/>
      <c r="BK102" s="8" t="str">
        <v>90天：2026-07-20 至 2026-10-17；180天：2026-04-21 至 2026-10-17</v>
      </c>
      <c r="BL102" s="8" t="str">
        <v>90天：2026-10-06、2026-10-07；180天：2026-10-06、2026-10-07</v>
      </c>
      <c r="BM102" s="8" t="str">
        <v>2026-10：12天 × 1.7391279184229513；2026-11：30天 × 1.4002077845513243；2026-12：31天 × 1.079339935625147；2027-01：17天 × 0.7719368903846591</v>
      </c>
      <c r="BN102" s="11" t="n">
        <v>1.7391279184229513</v>
      </c>
      <c r="BO102" s="11" t="n">
        <v>1.4002077845513243</v>
      </c>
      <c r="BP102" s="11" t="n">
        <v>1.079339935625147</v>
      </c>
      <c r="BQ102" s="11" t="n">
        <v>0.7719368903846591</v>
      </c>
      <c r="BR102" s="8" t="n">
        <v>12</v>
      </c>
      <c r="BS102" s="8" t="n">
        <v>30</v>
      </c>
      <c r="BT102" s="8" t="n">
        <v>31</v>
      </c>
      <c r="BU102" s="8" t="n">
        <v>17</v>
      </c>
      <c r="BV102" s="11" t="n">
        <f>IF(COUNT(BC102,BF102)=2,BC102*BF102,"")</f>
        <v>0.5525629776146916</v>
      </c>
      <c r="BW102" s="11" t="n">
        <f>IF(ISNUMBER(BN102),BN102,"")</f>
        <v>1.7391279184229513</v>
      </c>
      <c r="BX102" s="14" t="n">
        <f>IF(ISNUMBER(BR102),BR102,"")</f>
        <v>12</v>
      </c>
      <c r="BY102" s="13" t="n">
        <f>IF(AND(COUNT(BV102,BW102,BX102)=3,MIN(BV102,BW102,BX102)&gt;=0),BV102*BW102*BX102,"")</f>
        <v>11.531732412679517</v>
      </c>
      <c r="BZ102" s="11" t="n">
        <f>IF(ISNUMBER(BO102),BO102,"")</f>
        <v>1.4002077845513243</v>
      </c>
      <c r="CA102" s="14" t="n">
        <f>IF(ISNUMBER(BS102),BS102,"")</f>
        <v>30</v>
      </c>
      <c r="CB102" s="13" t="n">
        <f>IF(AND(COUNT(BV102,BZ102,CA102)=3,MIN(BV102,BZ102,CA102)&gt;=0),BV102*BZ102*CA102,"")</f>
        <v>23.21108948132851</v>
      </c>
      <c r="CC102" s="11" t="n">
        <f>IF(ISNUMBER(BP102),BP102,"")</f>
        <v>1.079339935625147</v>
      </c>
      <c r="CD102" s="14" t="n">
        <f>IF(ISNUMBER(BT102),BT102,"")</f>
        <v>31</v>
      </c>
      <c r="CE102" s="13" t="n">
        <f>IF(AND(COUNT(BV102,CC102,CD102)=3,MIN(BV102,CC102,CD102)&gt;=0),BV102*CC102*CD102,"")</f>
        <v>18.488501949311907</v>
      </c>
      <c r="CF102" s="11" t="n">
        <f>IF(ISNUMBER(BQ102),BQ102,"")</f>
        <v>0.7719368903846591</v>
      </c>
      <c r="CG102" s="14" t="n">
        <f>IF(ISNUMBER(BU102),BU102,"")</f>
        <v>17</v>
      </c>
      <c r="CH102" s="13" t="n">
        <f>IF(AND(COUNT(BV102,CF102,CG102)=3,MIN(BV102,CF102,CG102)&gt;=0),BV102*CF102*CG102,"")</f>
        <v>7.2512436935867415</v>
      </c>
      <c r="CI102" s="13" t="n">
        <f>IF(COUNT(BY102,CB102,CE102,CH102)=4,SUM(BY102,CB102,CE102,CH102),"")</f>
        <v>60.482567536906686</v>
      </c>
    </row>
    <row r="103" ht="72" customHeight="1">
      <c r="A103" s="16" t="str">
        <v>32582-BKW-37.5</v>
      </c>
      <c r="B103" s="16" t="str">
        <v>3店-SANDIEX-US</v>
      </c>
      <c r="C103" s="16" t="str">
        <v>徐新怡</v>
      </c>
      <c r="D103" s="26" t="n">
        <f>IF(NOT(ISNUMBER(E103)),"",IF(OR(E103&lt;=0,L103=0),0,IF(OR(NOT(ISNUMBER(F103)),F103&lt;0),"",MIN(E103,INT(F103)))))</f>
        <v>14</v>
      </c>
      <c r="E103" s="27" t="n">
        <f>IF(OR(NOT(ISNUMBER(L103)),COUNT(M103:O103)&lt;&gt;3,MIN(M103:O103)&lt;0),"",ROUNDUP(ROUND(BI103-SUM(M103:O103),10),0))</f>
        <v>14</v>
      </c>
      <c r="F103" s="28" t="n">
        <v>78</v>
      </c>
      <c r="G103" s="28" t="n">
        <f>IF(AND(ISNUMBER(D103),ISNUMBER(E103)),IF(OR(E103&lt;=0,L103=0),0,E103-D103),"")</f>
        <v>0</v>
      </c>
      <c r="H103" s="16" t="str">
        <f>IF(NOT(ISNUMBER(E103)),"销量或海外库存待补",IF(OR(E103&lt;=0,L103=0),IF(L103=0,"零日销，本批不发","本批无需补货"),IF(NOT(ISNUMBER(D103)),"国内库存待补",IF(D103=0,"国内无可用库存",IF(G103&gt;0,"先发国内现货","按建议量发货")))))</f>
        <v>按建议量发货</v>
      </c>
      <c r="I103" s="28" t="n">
        <f>IF(AND(COUNT(Z103,AA103,AB103)=3,Z103&gt;=AA103,AA103&gt;=0,AB103=7),Z103-AA103,"")</f>
        <v>1</v>
      </c>
      <c r="J103" s="28" t="n">
        <f>IF(AND(COUNT(AF103,AG103,AH103)=3,AF103&gt;=AG103,AG103&gt;=0,AH103=14),AF103-AG103,"")</f>
        <v>3</v>
      </c>
      <c r="K103" s="28" t="n">
        <f>IF(AND(COUNT(AL103,AM103,AN103)=3,AL103&gt;=AM103,AM103&gt;=0,AN103=30),AL103-AM103,"")</f>
        <v>8</v>
      </c>
      <c r="L103" s="29" t="n">
        <f>IF(ISNUMBER(BI103),BI103/90,"")</f>
        <v>0.17286021132916302</v>
      </c>
      <c r="M103" s="28" t="n">
        <v>2</v>
      </c>
      <c r="N103" s="28" t="n">
        <v>0</v>
      </c>
      <c r="O103" s="28" t="n">
        <v>0</v>
      </c>
      <c r="P103" s="30" t="n">
        <f>IF(AND(ISNUMBER(L103),L103&gt;0,COUNT(M103:O103)=3,MIN(M103:O103)&gt;=0),SUM(M103:O103)/L103,"")</f>
        <v>11.570042548377833</v>
      </c>
      <c r="Q103" s="16" t="str">
        <v>沿用原计划SKU店铺</v>
      </c>
      <c r="R103" s="16" t="str">
        <v>已匹配</v>
      </c>
      <c r="S103" s="16" t="str">
        <v>在售</v>
      </c>
      <c r="T103" s="16" t="str">
        <v>32582</v>
      </c>
      <c r="U103" s="16" t="str">
        <v>黑色白色内里</v>
      </c>
      <c r="V103" s="16" t="n">
        <v>6.5</v>
      </c>
      <c r="W103" s="8" t="str">
        <v>2026-10-11 至 2026-10-17</v>
      </c>
      <c r="X103" s="8" t="str">
        <v>2026-10-11、2026-10-12、2026-10-13、2026-10-14、2026-10-15、2026-10-16、2026-10-17</v>
      </c>
      <c r="Y103" s="8" t="str">
        <v>无</v>
      </c>
      <c r="Z103" s="8" t="n">
        <v>1</v>
      </c>
      <c r="AA103" s="8" t="n">
        <v>0</v>
      </c>
      <c r="AB103" s="8" t="n">
        <v>7</v>
      </c>
      <c r="AC103" s="8" t="str">
        <v>2026-10-02 至 2026-10-17</v>
      </c>
      <c r="AD103" s="8" t="str">
        <v>2026-10-02、2026-10-03、2026-10-04、2026-10-05、2026-10-08、2026-10-09、2026-10-10、2026-10-11、2026-10-12、2026-10-13、2026-10-14、2026-10-15、2026-10-16、2026-10-17</v>
      </c>
      <c r="AE103" s="8" t="str">
        <v>2026-10-06 大促；2026-10-07 大促</v>
      </c>
      <c r="AF103" s="8" t="n">
        <v>3</v>
      </c>
      <c r="AG103" s="8" t="n">
        <v>0</v>
      </c>
      <c r="AH103" s="8" t="n">
        <v>14</v>
      </c>
      <c r="AI103" s="8" t="str">
        <v>2026-09-16 至 2026-10-17</v>
      </c>
      <c r="AJ1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" s="8" t="str">
        <v>2026-10-06 大促；2026-10-07 大促</v>
      </c>
      <c r="AL103" s="8" t="n">
        <v>8</v>
      </c>
      <c r="AM103" s="8" t="n">
        <v>0</v>
      </c>
      <c r="AN103" s="8" t="n">
        <v>30</v>
      </c>
      <c r="AO103" s="8" t="str">
        <v>32582 / 黑色白色内里羊京绒 / 6574</v>
      </c>
      <c r="AP103" s="11" t="n">
        <v>1.0395067087630607</v>
      </c>
      <c r="AQ103" s="11" t="n">
        <v>1.0395067087630607</v>
      </c>
      <c r="AR103" s="11" t="n">
        <v>1.0707336504782758</v>
      </c>
      <c r="AS103" s="11" t="n">
        <f>IF(AND(COUNT(I103:K103,AP103:AR103)=6,MIN(AP103:AR103)&gt;0),I103/7/AP103*0.5+J103/14/AQ103*0.3+K103/30/AR103*0.2,"")</f>
        <v>0.18036651506867185</v>
      </c>
      <c r="AT103" s="8" t="n">
        <v>14</v>
      </c>
      <c r="AU103" s="8" t="n">
        <v>0</v>
      </c>
      <c r="AV103" s="8" t="n">
        <v>88</v>
      </c>
      <c r="AW103" s="11" t="n">
        <f>IF(AND(COUNT(AT103:AV103)=3,AT103&gt;=AU103,AU103&gt;=0,AV103&gt;0),(AT103-AU103)/AV103,"")</f>
        <v>0.1590909090909091</v>
      </c>
      <c r="AX103" s="8" t="n">
        <v>28</v>
      </c>
      <c r="AY103" s="8" t="n">
        <v>0</v>
      </c>
      <c r="AZ103" s="8" t="n">
        <v>178</v>
      </c>
      <c r="BA103" s="11" t="n">
        <f>IF(AND(COUNT(AX103:AZ103)=3,AX103&gt;=AY103,AY103&gt;=0,AZ103&gt;0),(AX103-AY103)/AZ103,"")</f>
        <v>0.15730337078651685</v>
      </c>
      <c r="BB103" s="8" t="n">
        <f>IF(COUNT(AS103,AW103,BA103)=3,1,0)</f>
        <v>1</v>
      </c>
      <c r="BC103" s="11" t="n">
        <f>IF(SUMIF($AO$11:$AO$1309,AO103,$BB$11:$BB$1309)=COUNTIF($AO$11:$AO$1309,AO103),SUMIF($AO$11:$AO$1309,AO103,$AS$11:$AS$1309),"")</f>
        <v>1.7016895050610588</v>
      </c>
      <c r="BD103" s="11" t="n">
        <f>IF(SUMIF($AO$11:$AO$1309,AO103,$BB$11:$BB$1309)=COUNTIF($AO$11:$AO$1309,AO103),SUMIF($AO$11:$AO$1309,AO103,$AW$11:$AW$1309),"")</f>
        <v>1.522727272727273</v>
      </c>
      <c r="BE103" s="11" t="n">
        <f>IF(SUMIF($AO$11:$AO$1309,AO103,$BB$11:$BB$1309)=COUNTIF($AO$11:$AO$1309,AO103),SUMIF($AO$11:$AO$1309,AO103,$BA$11:$BA$1309),"")</f>
        <v>1.5505617977528092</v>
      </c>
      <c r="BF103" s="12" t="n">
        <f>IF(COUNT(BD103:BE103)&lt;&gt;2,"",IF(AND(BD103&gt;0,BE103&gt;0),0.7*AW103/BD103+0.3*BA103/BE103,IF(BD103&gt;0,AW103/BD103,IF(BE103&gt;0,BA103/BE103,IF(AND(ISNUMBER(BH103),BH103=0),0,"")))))</f>
        <v>0.10356911096690459</v>
      </c>
      <c r="BG103" s="11" t="n">
        <f>IF(AND(COUNT(BN103:BU103)=8,MIN(BN103:BU103)&gt;=0),SUMPRODUCT(BN103:BQ103,BR103:BU103),"")</f>
        <v>88.27281580841549</v>
      </c>
      <c r="BH103" s="11" t="n">
        <f>IF(COUNT(BC103,BG103)=2,BC103*BG103,"")</f>
        <v>150.21292424336855</v>
      </c>
      <c r="BI103" s="11" t="n">
        <f>IF(ISNUMBER(CI103),CI103,"")</f>
        <v>15.557419019624671</v>
      </c>
      <c r="BJ103" s="8" t="str">
        <v>低销提醒依据不完整</v>
      </c>
      <c r="BK103" s="8" t="str">
        <v>90天：2026-07-20 至 2026-10-17；180天：2026-04-21 至 2026-10-17</v>
      </c>
      <c r="BL103" s="8" t="str">
        <v>90天：2026-10-06、2026-10-07；180天：2026-10-06、2026-10-07</v>
      </c>
      <c r="BM103" s="8" t="str">
        <v>2026-10：12天 × 1.0395067087630607；2026-11：30天 × 0.9890368360033146；2026-12：31天 × 0.7800796503018808；2027-01：17天 × 1.2908918272824135</v>
      </c>
      <c r="BN103" s="11" t="n">
        <v>1.0395067087630607</v>
      </c>
      <c r="BO103" s="11" t="n">
        <v>0.9890368360033146</v>
      </c>
      <c r="BP103" s="11" t="n">
        <v>0.7800796503018808</v>
      </c>
      <c r="BQ103" s="11" t="n">
        <v>1.2908918272824135</v>
      </c>
      <c r="BR103" s="8" t="n">
        <v>12</v>
      </c>
      <c r="BS103" s="8" t="n">
        <v>30</v>
      </c>
      <c r="BT103" s="8" t="n">
        <v>31</v>
      </c>
      <c r="BU103" s="8" t="n">
        <v>17</v>
      </c>
      <c r="BV103" s="11" t="n">
        <f>IF(COUNT(BC103,BF103)=2,BC103*BF103,"")</f>
        <v>0.17624246918088574</v>
      </c>
      <c r="BW103" s="11" t="n">
        <f>IF(ISNUMBER(BN103),BN103,"")</f>
        <v>1.0395067087630607</v>
      </c>
      <c r="BX103" s="14" t="n">
        <f>IF(ISNUMBER(BR103),BR103,"")</f>
        <v>12</v>
      </c>
      <c r="BY103" s="13" t="n">
        <f>IF(AND(COUNT(BV103,BW103,BX103)=3,MIN(BV103,BW103,BX103)&gt;=0),BV103*BW103*BX103,"")</f>
        <v>2.1984627489899724</v>
      </c>
      <c r="BZ103" s="11" t="n">
        <f>IF(ISNUMBER(BO103),BO103,"")</f>
        <v>0.9890368360033146</v>
      </c>
      <c r="CA103" s="14" t="n">
        <f>IF(ISNUMBER(BS103),BS103,"")</f>
        <v>30</v>
      </c>
      <c r="CB103" s="13" t="n">
        <f>IF(AND(COUNT(BV103,BZ103,CA103)=3,MIN(BV103,BZ103,CA103)&gt;=0),BV103*BZ103*CA103,"")</f>
        <v>5.229308822642247</v>
      </c>
      <c r="CC103" s="11" t="n">
        <f>IF(ISNUMBER(BP103),BP103,"")</f>
        <v>0.7800796503018808</v>
      </c>
      <c r="CD103" s="14" t="n">
        <f>IF(ISNUMBER(BT103),BT103,"")</f>
        <v>31</v>
      </c>
      <c r="CE103" s="13" t="n">
        <f>IF(AND(COUNT(BV103,CC103,CD103)=3,MIN(BV103,CC103,CD103)&gt;=0),BV103*CC103*CD103,"")</f>
        <v>4.261978075535925</v>
      </c>
      <c r="CF103" s="11" t="n">
        <f>IF(ISNUMBER(BQ103),BQ103,"")</f>
        <v>1.2908918272824135</v>
      </c>
      <c r="CG103" s="14" t="n">
        <f>IF(ISNUMBER(BU103),BU103,"")</f>
        <v>17</v>
      </c>
      <c r="CH103" s="13" t="n">
        <f>IF(AND(COUNT(BV103,CF103,CG103)=3,MIN(BV103,CF103,CG103)&gt;=0),BV103*CF103*CG103,"")</f>
        <v>3.8676693724565263</v>
      </c>
      <c r="CI103" s="13" t="n">
        <f>IF(COUNT(BY103,CB103,CE103,CH103)=4,SUM(BY103,CB103,CE103,CH103),"")</f>
        <v>15.557419019624671</v>
      </c>
    </row>
    <row r="104" ht="72" customHeight="1">
      <c r="A104" s="16" t="str">
        <v>B06b-NU-42</v>
      </c>
      <c r="B104" s="16" t="str">
        <v>1店-MUSSHOE-US</v>
      </c>
      <c r="C104" s="16" t="str">
        <v>艾年</v>
      </c>
      <c r="D104" s="26" t="n">
        <f>IF(NOT(ISNUMBER(E104)),"",IF(OR(E104&lt;=0,L104=0),0,IF(OR(NOT(ISNUMBER(F104)),F104&lt;0),"",MIN(E104,INT(F104)))))</f>
        <v>14</v>
      </c>
      <c r="E104" s="27" t="n">
        <f>IF(OR(NOT(ISNUMBER(L104)),COUNT(M104:O104)&lt;&gt;3,MIN(M104:O104)&lt;0),"",ROUNDUP(ROUND(BI104-SUM(M104:O104),10),0))</f>
        <v>14</v>
      </c>
      <c r="F104" s="28" t="n">
        <v>127</v>
      </c>
      <c r="G104" s="28" t="n">
        <f>IF(AND(ISNUMBER(D104),ISNUMBER(E104)),IF(OR(E104&lt;=0,L104=0),0,E104-D104),"")</f>
        <v>0</v>
      </c>
      <c r="H104" s="16" t="str">
        <f>IF(NOT(ISNUMBER(E104)),"销量或海外库存待补",IF(OR(E104&lt;=0,L104=0),IF(L104=0,"零日销，本批不发","本批无需补货"),IF(NOT(ISNUMBER(D104)),"国内库存待补",IF(D104=0,"国内无可用库存",IF(G104&gt;0,"先发国内现货","按建议量发货")))))</f>
        <v>按建议量发货</v>
      </c>
      <c r="I104" s="28" t="n">
        <f>IF(AND(COUNT(Z104,AA104,AB104)=3,Z104&gt;=AA104,AA104&gt;=0,AB104=7),Z104-AA104,"")</f>
        <v>0</v>
      </c>
      <c r="J104" s="28" t="n">
        <f>IF(AND(COUNT(AF104,AG104,AH104)=3,AF104&gt;=AG104,AG104&gt;=0,AH104=14),AF104-AG104,"")</f>
        <v>0</v>
      </c>
      <c r="K104" s="28" t="n">
        <f>IF(AND(COUNT(AL104,AM104,AN104)=3,AL104&gt;=AM104,AM104&gt;=0,AN104=30),AL104-AM104,"")</f>
        <v>2</v>
      </c>
      <c r="L104" s="29" t="n">
        <f>IF(ISNUMBER(BI104),BI104/90,"")</f>
        <v>0.16195244485158725</v>
      </c>
      <c r="M104" s="28" t="n">
        <v>1</v>
      </c>
      <c r="N104" s="28" t="n">
        <v>0</v>
      </c>
      <c r="O104" s="28" t="n">
        <v>0</v>
      </c>
      <c r="P104" s="30" t="n">
        <f>IF(AND(ISNUMBER(L104),L104&gt;0,COUNT(M104:O104)=3,MIN(M104:O104)&gt;=0),SUM(M104:O104)/L104,"")</f>
        <v>6.174652077135342</v>
      </c>
      <c r="Q104" s="16" t="str">
        <v>沿用原计划SKU店铺</v>
      </c>
      <c r="R104" s="16" t="str">
        <v>已匹配</v>
      </c>
      <c r="S104" s="16" t="str">
        <v>停售</v>
      </c>
      <c r="T104" s="16" t="str">
        <v>B06b</v>
      </c>
      <c r="U104" s="16" t="str">
        <v>裸色羊京绒</v>
      </c>
      <c r="V104" s="16" t="n">
        <v>11</v>
      </c>
      <c r="W104" s="8" t="str">
        <v>2026-10-08 至 2026-10-17</v>
      </c>
      <c r="X104" s="8" t="str">
        <v>2026-10-08、2026-10-09、2026-10-10、2026-10-11、2026-10-14、2026-10-15、2026-10-17</v>
      </c>
      <c r="Y104" s="8" t="str">
        <v>2026-10-12 有记录的停售日；2026-10-13 有记录的停售日；2026-10-16 有记录的停售日</v>
      </c>
      <c r="Z104" s="8" t="n">
        <v>0</v>
      </c>
      <c r="AA104" s="8" t="n">
        <v>0</v>
      </c>
      <c r="AB104" s="8" t="n">
        <v>7</v>
      </c>
      <c r="AC104" s="8" t="str">
        <v>2026-09-29 至 2026-10-17</v>
      </c>
      <c r="AD104" s="8" t="str">
        <v>2026-09-29、2026-09-30、2026-10-01、2026-10-02、2026-10-03、2026-10-04、2026-10-05、2026-10-08、2026-10-09、2026-10-10、2026-10-11、2026-10-14、2026-10-15、2026-10-17</v>
      </c>
      <c r="AE104" s="8" t="str">
        <v>2026-10-06 大促；2026-10-07 大促；2026-10-12 有记录的停售日；2026-10-13 有记录的停售日；2026-10-16 有记录的停售日</v>
      </c>
      <c r="AF104" s="8" t="n">
        <v>0</v>
      </c>
      <c r="AG104" s="8" t="n">
        <v>0</v>
      </c>
      <c r="AH104" s="8" t="n">
        <v>14</v>
      </c>
      <c r="AI104" s="8" t="str">
        <v>2026-09-13 至 2026-10-17</v>
      </c>
      <c r="AJ1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4" s="8" t="str">
        <v>2026-10-06 大促；2026-10-07 大促；2026-10-12 有记录的停售日；2026-10-13 有记录的停售日；2026-10-16 有记录的停售日</v>
      </c>
      <c r="AL104" s="8" t="n">
        <v>2</v>
      </c>
      <c r="AM104" s="8" t="n">
        <v>0</v>
      </c>
      <c r="AN104" s="8" t="n">
        <v>30</v>
      </c>
      <c r="AO104" s="8" t="str">
        <v>B06b / 裸色羊京绒 / 13120</v>
      </c>
      <c r="AP104" s="11" t="n">
        <v>1.1090677182221615</v>
      </c>
      <c r="AQ104" s="11" t="n">
        <v>1.0637680334742425</v>
      </c>
      <c r="AR104" s="11" t="n">
        <v>0.9188090422809019</v>
      </c>
      <c r="AS104" s="11" t="n">
        <f>IF(AND(COUNT(I104:K104,AP104:AR104)=6,MIN(AP104:AR104)&gt;0),I104/7/AP104*0.5+J104/14/AQ104*0.3+K104/30/AR104*0.2,"")</f>
        <v>0.014511539090031087</v>
      </c>
      <c r="AT104" s="8" t="n">
        <v>15</v>
      </c>
      <c r="AU104" s="8" t="n">
        <v>0</v>
      </c>
      <c r="AV104" s="8" t="n">
        <v>85</v>
      </c>
      <c r="AW104" s="11" t="n">
        <f>IF(AND(COUNT(AT104:AV104)=3,AT104&gt;=AU104,AU104&gt;=0,AV104&gt;0),(AT104-AU104)/AV104,"")</f>
        <v>0.17647058823529413</v>
      </c>
      <c r="AX104" s="8" t="n">
        <v>47</v>
      </c>
      <c r="AY104" s="8" t="n">
        <v>0</v>
      </c>
      <c r="AZ104" s="8" t="n">
        <v>175</v>
      </c>
      <c r="BA104" s="11" t="n">
        <f>IF(AND(COUNT(AX104:AZ104)=3,AX104&gt;=AY104,AY104&gt;=0,AZ104&gt;0),(AX104-AY104)/AZ104,"")</f>
        <v>0.26857142857142857</v>
      </c>
      <c r="BB104" s="8" t="n">
        <f>IF(COUNT(AS104,AW104,BA104)=3,1,0)</f>
        <v>1</v>
      </c>
      <c r="BC104" s="11" t="n">
        <f>IF(SUMIF($AO$11:$AO$1309,AO104,$BB$11:$BB$1309)=COUNTIF($AO$11:$AO$1309,AO104),SUMIF($AO$11:$AO$1309,AO104,$AS$11:$AS$1309),"")</f>
        <v>2.689755745741675</v>
      </c>
      <c r="BD104" s="11" t="n">
        <f>IF(SUMIF($AO$11:$AO$1309,AO104,$BB$11:$BB$1309)=COUNTIF($AO$11:$AO$1309,AO104),SUMIF($AO$11:$AO$1309,AO104,$AW$11:$AW$1309),"")</f>
        <v>3.684342922121827</v>
      </c>
      <c r="BE104" s="11" t="n">
        <f>IF(SUMIF($AO$11:$AO$1309,AO104,$BB$11:$BB$1309)=COUNTIF($AO$11:$AO$1309,AO104),SUMIF($AO$11:$AO$1309,AO104,$BA$11:$BA$1309),"")</f>
        <v>3.3812436633385023</v>
      </c>
      <c r="BF104" s="12" t="n">
        <f>IF(COUNT(BD104:BE104)&lt;&gt;2,"",IF(AND(BD104&gt;0,BE104&gt;0),0.7*AW104/BD104+0.3*BA104/BE104,IF(BD104&gt;0,AW104/BD104,IF(BE104&gt;0,BA104/BE104,IF(AND(ISNUMBER(BH104),BH104=0),0,"")))))</f>
        <v>0.05735713985382103</v>
      </c>
      <c r="BG104" s="11" t="n">
        <f>IF(AND(COUNT(BN104:BU104)=8,MIN(BN104:BU104)&gt;=0),SUMPRODUCT(BN104:BQ104,BR104:BU104),"")</f>
        <v>94.47778160343367</v>
      </c>
      <c r="BH104" s="11" t="n">
        <f>IF(COUNT(BC104,BG104)=2,BC104*BG104,"")</f>
        <v>254.12215591276282</v>
      </c>
      <c r="BI104" s="11" t="n">
        <f>IF(ISNUMBER(CI104),CI104,"")</f>
        <v>14.575720036642853</v>
      </c>
      <c r="BJ104" s="8" t="str"/>
      <c r="BK104" s="8" t="str">
        <v>90天：2026-07-20 至 2026-10-17；180天：2026-04-21 至 2026-10-17</v>
      </c>
      <c r="BL104" s="8" t="str">
        <v>90天：2026-10-06、2026-10-07、2026-10-12、2026-10-13、2026-10-16；180天：2026-10-06、2026-10-07、2026-10-12、2026-10-13、2026-10-16</v>
      </c>
      <c r="BM104" s="8" t="str">
        <v>2026-10：12天 × 1.1090677182221615；2026-11：30天 × 1.0372741535934282；2026-12：31天 × 0.979949351738161；2027-01：17天 × 1.1571949690048173</v>
      </c>
      <c r="BN104" s="11" t="n">
        <v>1.1090677182221615</v>
      </c>
      <c r="BO104" s="11" t="n">
        <v>1.0372741535934282</v>
      </c>
      <c r="BP104" s="11" t="n">
        <v>0.979949351738161</v>
      </c>
      <c r="BQ104" s="11" t="n">
        <v>1.1571949690048173</v>
      </c>
      <c r="BR104" s="8" t="n">
        <v>12</v>
      </c>
      <c r="BS104" s="8" t="n">
        <v>30</v>
      </c>
      <c r="BT104" s="8" t="n">
        <v>31</v>
      </c>
      <c r="BU104" s="8" t="n">
        <v>17</v>
      </c>
      <c r="BV104" s="11" t="n">
        <f>IF(COUNT(BC104,BF104)=2,BC104*BF104,"")</f>
        <v>0.15427669648112394</v>
      </c>
      <c r="BW104" s="11" t="n">
        <f>IF(ISNUMBER(BN104),BN104,"")</f>
        <v>1.1090677182221615</v>
      </c>
      <c r="BX104" s="14" t="n">
        <f>IF(ISNUMBER(BR104),BR104,"")</f>
        <v>12</v>
      </c>
      <c r="BY104" s="13" t="n">
        <f>IF(AND(COUNT(BV104,BW104,BX104)=3,MIN(BV104,BW104,BX104)&gt;=0),BV104*BW104*BX104,"")</f>
        <v>2.0532396448940773</v>
      </c>
      <c r="BZ104" s="11" t="n">
        <f>IF(ISNUMBER(BO104),BO104,"")</f>
        <v>1.0372741535934282</v>
      </c>
      <c r="CA104" s="14" t="n">
        <f>IF(ISNUMBER(BS104),BS104,"")</f>
        <v>30</v>
      </c>
      <c r="CB104" s="13" t="n">
        <f>IF(AND(COUNT(BV104,BZ104,CA104)=3,MIN(BV104,BZ104,CA104)&gt;=0),BV104*BZ104*CA104,"")</f>
        <v>4.800816892849442</v>
      </c>
      <c r="CC104" s="11" t="n">
        <f>IF(ISNUMBER(BP104),BP104,"")</f>
        <v>0.979949351738161</v>
      </c>
      <c r="CD104" s="14" t="n">
        <f>IF(ISNUMBER(BT104),BT104,"")</f>
        <v>31</v>
      </c>
      <c r="CE104" s="13" t="n">
        <f>IF(AND(COUNT(BV104,CC104,CD104)=3,MIN(BV104,CC104,CD104)&gt;=0),BV104*CC104*CD104,"")</f>
        <v>4.686683809854455</v>
      </c>
      <c r="CF104" s="11" t="n">
        <f>IF(ISNUMBER(BQ104),BQ104,"")</f>
        <v>1.1571949690048173</v>
      </c>
      <c r="CG104" s="14" t="n">
        <f>IF(ISNUMBER(BU104),BU104,"")</f>
        <v>17</v>
      </c>
      <c r="CH104" s="13" t="n">
        <f>IF(AND(COUNT(BV104,CF104,CG104)=3,MIN(BV104,CF104,CG104)&gt;=0),BV104*CF104*CG104,"")</f>
        <v>3.034979689044877</v>
      </c>
      <c r="CI104" s="13" t="n">
        <f>IF(COUNT(BY104,CB104,CE104,CH104)=4,SUM(BY104,CB104,CE104,CH104),"")</f>
        <v>14.575720036642853</v>
      </c>
    </row>
    <row r="105" ht="72" customHeight="1">
      <c r="A105" s="16" t="str">
        <v>S02a-TN1-41</v>
      </c>
      <c r="B105" s="16" t="str">
        <v>3店-SANDIEX-US</v>
      </c>
      <c r="C105" s="16" t="str">
        <v>陈晨</v>
      </c>
      <c r="D105" s="26" t="n">
        <f>IF(NOT(ISNUMBER(E105)),"",IF(OR(E105&lt;=0,L105=0),0,IF(OR(NOT(ISNUMBER(F105)),F105&lt;0),"",MIN(E105,INT(F105)))))</f>
        <v>13</v>
      </c>
      <c r="E105" s="27" t="n">
        <f>IF(OR(NOT(ISNUMBER(L105)),COUNT(M105:O105)&lt;&gt;3,MIN(M105:O105)&lt;0),"",ROUNDUP(ROUND(BI105-SUM(M105:O105),10),0))</f>
        <v>62</v>
      </c>
      <c r="F105" s="28" t="n">
        <v>13</v>
      </c>
      <c r="G105" s="28" t="n">
        <f>IF(AND(ISNUMBER(D105),ISNUMBER(E105)),IF(OR(E105&lt;=0,L105=0),0,E105-D105),"")</f>
        <v>49</v>
      </c>
      <c r="H105" s="16" t="str">
        <f>IF(NOT(ISNUMBER(E105)),"销量或海外库存待补",IF(OR(E105&lt;=0,L105=0),IF(L105=0,"零日销，本批不发","本批无需补货"),IF(NOT(ISNUMBER(D105)),"国内库存待补",IF(D105=0,"国内无可用库存",IF(G105&gt;0,"先发国内现货","按建议量发货")))))</f>
        <v>先发国内现货</v>
      </c>
      <c r="I105" s="28" t="n">
        <f>IF(AND(COUNT(Z105,AA105,AB105)=3,Z105&gt;=AA105,AA105&gt;=0,AB105=7),Z105-AA105,"")</f>
        <v>2</v>
      </c>
      <c r="J105" s="28" t="n">
        <f>IF(AND(COUNT(AF105,AG105,AH105)=3,AF105&gt;=AG105,AG105&gt;=0,AH105=14),AF105-AG105,"")</f>
        <v>3</v>
      </c>
      <c r="K105" s="28" t="n">
        <f>IF(AND(COUNT(AL105,AM105,AN105)=3,AL105&gt;=AM105,AM105&gt;=0,AN105=30),AL105-AM105,"")</f>
        <v>10</v>
      </c>
      <c r="L105" s="29" t="n">
        <f>IF(ISNUMBER(BI105),BI105/90,"")</f>
        <v>0.9795215096934031</v>
      </c>
      <c r="M105" s="28" t="n">
        <v>27</v>
      </c>
      <c r="N105" s="28" t="n">
        <v>0</v>
      </c>
      <c r="O105" s="28" t="n">
        <v>0</v>
      </c>
      <c r="P105" s="30" t="n">
        <f>IF(AND(ISNUMBER(L105),L105&gt;0,COUNT(M105:O105)=3,MIN(M105:O105)&gt;=0),SUM(M105:O105)/L105,"")</f>
        <v>27.5644789142519</v>
      </c>
      <c r="Q105" s="16" t="str">
        <v>沿用同SPU原计划店铺</v>
      </c>
      <c r="R105" s="16" t="str">
        <v>已匹配</v>
      </c>
      <c r="S105" s="16" t="str">
        <v>在售</v>
      </c>
      <c r="T105" s="16" t="str">
        <v>S02a</v>
      </c>
      <c r="U105" s="16" t="str">
        <v>驼色</v>
      </c>
      <c r="V105" s="16" t="n">
        <v>9.5</v>
      </c>
      <c r="W105" s="8" t="str">
        <v>2026-10-11 至 2026-10-17</v>
      </c>
      <c r="X105" s="8" t="str">
        <v>2026-10-11、2026-10-12、2026-10-13、2026-10-14、2026-10-15、2026-10-16、2026-10-17</v>
      </c>
      <c r="Y105" s="8" t="str">
        <v>无</v>
      </c>
      <c r="Z105" s="8" t="n">
        <v>2</v>
      </c>
      <c r="AA105" s="8" t="n">
        <v>0</v>
      </c>
      <c r="AB105" s="8" t="n">
        <v>7</v>
      </c>
      <c r="AC105" s="8" t="str">
        <v>2026-10-02 至 2026-10-17</v>
      </c>
      <c r="AD105" s="8" t="str">
        <v>2026-10-02、2026-10-03、2026-10-04、2026-10-05、2026-10-08、2026-10-09、2026-10-10、2026-10-11、2026-10-12、2026-10-13、2026-10-14、2026-10-15、2026-10-16、2026-10-17</v>
      </c>
      <c r="AE105" s="8" t="str">
        <v>2026-10-06 大促；2026-10-07 大促</v>
      </c>
      <c r="AF105" s="8" t="n">
        <v>6</v>
      </c>
      <c r="AG105" s="8" t="n">
        <v>3</v>
      </c>
      <c r="AH105" s="8" t="n">
        <v>14</v>
      </c>
      <c r="AI105" s="8" t="str">
        <v>2026-09-16 至 2026-10-17</v>
      </c>
      <c r="AJ1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" s="8" t="str">
        <v>2026-10-06 大促；2026-10-07 大促</v>
      </c>
      <c r="AL105" s="8" t="n">
        <v>13</v>
      </c>
      <c r="AM105" s="8" t="n">
        <v>3</v>
      </c>
      <c r="AN105" s="8" t="n">
        <v>30</v>
      </c>
      <c r="AO105" s="8" t="str">
        <v>S02a / 驼色 / 6574</v>
      </c>
      <c r="AP105" s="11" t="n">
        <v>0.7647664488148722</v>
      </c>
      <c r="AQ105" s="11" t="n">
        <v>0.7647664488148722</v>
      </c>
      <c r="AR105" s="11" t="n">
        <v>0.8066052567225582</v>
      </c>
      <c r="AS105" s="11" t="n">
        <f>IF(AND(COUNT(I105:K105,AP105:AR105)=6,MIN(AP105:AR105)&gt;0),I105/7/AP105*0.5+J105/14/AQ105*0.3+K105/30/AR105*0.2,"")</f>
        <v>0.35350858848069233</v>
      </c>
      <c r="AT105" s="8" t="n">
        <v>34</v>
      </c>
      <c r="AU105" s="8" t="n">
        <v>3</v>
      </c>
      <c r="AV105" s="8" t="n">
        <v>88</v>
      </c>
      <c r="AW105" s="11" t="n">
        <f>IF(AND(COUNT(AT105:AV105)=3,AT105&gt;=AU105,AU105&gt;=0,AV105&gt;0),(AT105-AU105)/AV105,"")</f>
        <v>0.3522727272727273</v>
      </c>
      <c r="AX105" s="8" t="n">
        <v>43</v>
      </c>
      <c r="AY105" s="8" t="n">
        <v>3</v>
      </c>
      <c r="AZ105" s="8" t="n">
        <v>178</v>
      </c>
      <c r="BA105" s="11" t="n">
        <f>IF(AND(COUNT(AX105:AZ105)=3,AX105&gt;=AY105,AY105&gt;=0,AZ105&gt;0),(AX105-AY105)/AZ105,"")</f>
        <v>0.2247191011235955</v>
      </c>
      <c r="BB105" s="8" t="n">
        <f>IF(COUNT(AS105,AW105,BA105)=3,1,0)</f>
        <v>1</v>
      </c>
      <c r="BC105" s="11" t="n">
        <f>IF(SUMIF($AO$11:$AO$1309,AO105,$BB$11:$BB$1309)=COUNTIF($AO$11:$AO$1309,AO105),SUMIF($AO$11:$AO$1309,AO105,$AS$11:$AS$1309),"")</f>
        <v>4.646128546626029</v>
      </c>
      <c r="BD105" s="11" t="n">
        <f>IF(SUMIF($AO$11:$AO$1309,AO105,$BB$11:$BB$1309)=COUNTIF($AO$11:$AO$1309,AO105),SUMIF($AO$11:$AO$1309,AO105,$AW$11:$AW$1309),"")</f>
        <v>1.9772727272727275</v>
      </c>
      <c r="BE105" s="11" t="n">
        <f>IF(SUMIF($AO$11:$AO$1309,AO105,$BB$11:$BB$1309)=COUNTIF($AO$11:$AO$1309,AO105),SUMIF($AO$11:$AO$1309,AO105,$BA$11:$BA$1309),"")</f>
        <v>1.6629213483146066</v>
      </c>
      <c r="BF105" s="12" t="n">
        <f>IF(COUNT(BD105:BE105)&lt;&gt;2,"",IF(AND(BD105&gt;0,BE105&gt;0),0.7*AW105/BD105+0.3*BA105/BE105,IF(BD105&gt;0,AW105/BD105,IF(BE105&gt;0,BA105/BE105,IF(AND(ISNUMBER(BH105),BH105=0),0,"")))))</f>
        <v>0.16525318421870144</v>
      </c>
      <c r="BG105" s="11" t="n">
        <f>IF(AND(COUNT(BN105:BU105)=8,MIN(BN105:BU105)&gt;=0),SUMPRODUCT(BN105:BQ105,BR105:BU105),"")</f>
        <v>114.81944114457707</v>
      </c>
      <c r="BH105" s="11" t="n">
        <f>IF(COUNT(BC105,BG105)=2,BC105*BG105,"")</f>
        <v>533.4658832094667</v>
      </c>
      <c r="BI105" s="11" t="n">
        <f>IF(ISNUMBER(CI105),CI105,"")</f>
        <v>88.15693587240628</v>
      </c>
      <c r="BJ105" s="8" t="str"/>
      <c r="BK105" s="8" t="str">
        <v>90天：2026-07-20 至 2026-10-17；180天：2026-04-21 至 2026-10-17</v>
      </c>
      <c r="BL105" s="8" t="str">
        <v>90天：2026-10-06、2026-10-07；180天：2026-10-06、2026-10-07</v>
      </c>
      <c r="BM105" s="8" t="str">
        <v>2026-10：12天 × 0.7647664488148722；2026-11：30天 × 1.5248287781391903；2026-12：31天 × 1.2288250057360348；2027-01：17天 × 1.2825767786356366</v>
      </c>
      <c r="BN105" s="11" t="n">
        <v>0.7647664488148722</v>
      </c>
      <c r="BO105" s="11" t="n">
        <v>1.5248287781391903</v>
      </c>
      <c r="BP105" s="11" t="n">
        <v>1.2288250057360348</v>
      </c>
      <c r="BQ105" s="11" t="n">
        <v>1.2825767786356366</v>
      </c>
      <c r="BR105" s="8" t="n">
        <v>12</v>
      </c>
      <c r="BS105" s="8" t="n">
        <v>30</v>
      </c>
      <c r="BT105" s="8" t="n">
        <v>31</v>
      </c>
      <c r="BU105" s="8" t="n">
        <v>17</v>
      </c>
      <c r="BV105" s="11" t="n">
        <f>IF(COUNT(BC105,BF105)=2,BC105*BF105,"")</f>
        <v>0.7677875366193587</v>
      </c>
      <c r="BW105" s="11" t="n">
        <f>IF(ISNUMBER(BN105),BN105,"")</f>
        <v>0.7647664488148722</v>
      </c>
      <c r="BX105" s="14" t="n">
        <f>IF(ISNUMBER(BR105),BR105,"")</f>
        <v>12</v>
      </c>
      <c r="BY105" s="13" t="n">
        <f>IF(AND(COUNT(BV105,BW105,BX105)=3,MIN(BV105,BW105,BX105)&gt;=0),BV105*BW105*BX105,"")</f>
        <v>7.046137773896469</v>
      </c>
      <c r="BZ105" s="11" t="n">
        <f>IF(ISNUMBER(BO105),BO105,"")</f>
        <v>1.5248287781391903</v>
      </c>
      <c r="CA105" s="14" t="n">
        <f>IF(ISNUMBER(BS105),BS105,"")</f>
        <v>30</v>
      </c>
      <c r="CB105" s="13" t="n">
        <f>IF(AND(COUNT(BV105,BZ105,CA105)=3,MIN(BV105,BZ105,CA105)&gt;=0),BV105*BZ105*CA105,"")</f>
        <v>35.12233594001387</v>
      </c>
      <c r="CC105" s="11" t="n">
        <f>IF(ISNUMBER(BP105),BP105,"")</f>
        <v>1.2288250057360348</v>
      </c>
      <c r="CD105" s="14" t="n">
        <f>IF(ISNUMBER(BT105),BT105,"")</f>
        <v>31</v>
      </c>
      <c r="CE105" s="13" t="n">
        <f>IF(AND(COUNT(BV105,CC105,CD105)=3,MIN(BV105,CC105,CD105)&gt;=0),BV105*CC105*CD105,"")</f>
        <v>29.247772246800526</v>
      </c>
      <c r="CF105" s="11" t="n">
        <f>IF(ISNUMBER(BQ105),BQ105,"")</f>
        <v>1.2825767786356366</v>
      </c>
      <c r="CG105" s="14" t="n">
        <f>IF(ISNUMBER(BU105),BU105,"")</f>
        <v>17</v>
      </c>
      <c r="CH105" s="13" t="n">
        <f>IF(AND(COUNT(BV105,CF105,CG105)=3,MIN(BV105,CF105,CG105)&gt;=0),BV105*CF105*CG105,"")</f>
        <v>16.740689911695416</v>
      </c>
      <c r="CI105" s="13" t="n">
        <f>IF(COUNT(BY105,CB105,CE105,CH105)=4,SUM(BY105,CB105,CE105,CH105),"")</f>
        <v>88.15693587240628</v>
      </c>
    </row>
    <row r="106" ht="72" customHeight="1">
      <c r="A106" s="16" t="str">
        <v>2302153-CC-S-Z-7</v>
      </c>
      <c r="B106" s="16" t="str">
        <v>3店-SANDIEX-US</v>
      </c>
      <c r="C106" s="16" t="str">
        <v>徐新怡</v>
      </c>
      <c r="D106" s="26" t="n">
        <f>IF(NOT(ISNUMBER(E106)),"",IF(OR(E106&lt;=0,L106=0),0,IF(OR(NOT(ISNUMBER(F106)),F106&lt;0),"",MIN(E106,INT(F106)))))</f>
        <v>13</v>
      </c>
      <c r="E106" s="27" t="n">
        <f>IF(OR(NOT(ISNUMBER(L106)),COUNT(M106:O106)&lt;&gt;3,MIN(M106:O106)&lt;0),"",ROUNDUP(ROUND(BI106-SUM(M106:O106),10),0))</f>
        <v>13</v>
      </c>
      <c r="F106" s="28" t="n">
        <v>70</v>
      </c>
      <c r="G106" s="28" t="n">
        <f>IF(AND(ISNUMBER(D106),ISNUMBER(E106)),IF(OR(E106&lt;=0,L106=0),0,E106-D106),"")</f>
        <v>0</v>
      </c>
      <c r="H106" s="16" t="str">
        <f>IF(NOT(ISNUMBER(E106)),"销量或海外库存待补",IF(OR(E106&lt;=0,L106=0),IF(L106=0,"零日销，本批不发","本批无需补货"),IF(NOT(ISNUMBER(D106)),"国内库存待补",IF(D106=0,"国内无可用库存",IF(G106&gt;0,"先发国内现货","按建议量发货")))))</f>
        <v>按建议量发货</v>
      </c>
      <c r="I106" s="28" t="n">
        <f>IF(AND(COUNT(Z106,AA106,AB106)=3,Z106&gt;=AA106,AA106&gt;=0,AB106=7),Z106-AA106,"")</f>
        <v>1</v>
      </c>
      <c r="J106" s="28" t="n">
        <f>IF(AND(COUNT(AF106,AG106,AH106)=3,AF106&gt;=AG106,AG106&gt;=0,AH106=14),AF106-AG106,"")</f>
        <v>1</v>
      </c>
      <c r="K106" s="28" t="n">
        <f>IF(AND(COUNT(AL106,AM106,AN106)=3,AL106&gt;=AM106,AM106&gt;=0,AN106=30),AL106-AM106,"")</f>
        <v>4</v>
      </c>
      <c r="L106" s="29" t="n">
        <f>IF(ISNUMBER(BI106),BI106/90,"")</f>
        <v>0.14531880438400407</v>
      </c>
      <c r="M106" s="28" t="n">
        <v>1</v>
      </c>
      <c r="N106" s="28" t="n">
        <v>0</v>
      </c>
      <c r="O106" s="28" t="n">
        <v>0</v>
      </c>
      <c r="P106" s="30" t="n">
        <f>IF(AND(ISNUMBER(L106),L106&gt;0,COUNT(M106:O106)=3,MIN(M106:O106)&gt;=0),SUM(M106:O106)/L106,"")</f>
        <v>6.881421879562854</v>
      </c>
      <c r="Q106" s="16" t="str">
        <v>沿用原计划SKU店铺</v>
      </c>
      <c r="R106" s="16" t="str">
        <v>已匹配</v>
      </c>
      <c r="S106" s="16" t="str">
        <v>在售</v>
      </c>
      <c r="T106" s="16" t="str">
        <v>2302153</v>
      </c>
      <c r="U106" s="16" t="str">
        <v>驼色</v>
      </c>
      <c r="V106" s="16" t="n">
        <v>7</v>
      </c>
      <c r="W106" s="8" t="str">
        <v>2026-10-11 至 2026-10-17</v>
      </c>
      <c r="X106" s="8" t="str">
        <v>2026-10-11、2026-10-12、2026-10-13、2026-10-14、2026-10-15、2026-10-16、2026-10-17</v>
      </c>
      <c r="Y106" s="8" t="str">
        <v>无</v>
      </c>
      <c r="Z106" s="8" t="n">
        <v>1</v>
      </c>
      <c r="AA106" s="8" t="n">
        <v>0</v>
      </c>
      <c r="AB106" s="8" t="n">
        <v>7</v>
      </c>
      <c r="AC106" s="8" t="str">
        <v>2026-10-02 至 2026-10-17</v>
      </c>
      <c r="AD106" s="8" t="str">
        <v>2026-10-02、2026-10-03、2026-10-04、2026-10-05、2026-10-08、2026-10-09、2026-10-10、2026-10-11、2026-10-12、2026-10-13、2026-10-14、2026-10-15、2026-10-16、2026-10-17</v>
      </c>
      <c r="AE106" s="8" t="str">
        <v>2026-10-06 大促；2026-10-07 大促</v>
      </c>
      <c r="AF106" s="8" t="n">
        <v>1</v>
      </c>
      <c r="AG106" s="8" t="n">
        <v>0</v>
      </c>
      <c r="AH106" s="8" t="n">
        <v>14</v>
      </c>
      <c r="AI106" s="8" t="str">
        <v>2026-09-16 至 2026-10-17</v>
      </c>
      <c r="AJ1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" s="8" t="str">
        <v>2026-10-06 大促；2026-10-07 大促</v>
      </c>
      <c r="AL106" s="8" t="n">
        <v>4</v>
      </c>
      <c r="AM106" s="8" t="n">
        <v>0</v>
      </c>
      <c r="AN106" s="8" t="n">
        <v>30</v>
      </c>
      <c r="AO106" s="8" t="str">
        <v>2302153 / 驼色羊京绒 / 6574</v>
      </c>
      <c r="AP106" s="11" t="n">
        <v>1.7391279184229513</v>
      </c>
      <c r="AQ106" s="11" t="n">
        <v>1.7391279184229513</v>
      </c>
      <c r="AR106" s="11" t="n">
        <v>1.5731892896917212</v>
      </c>
      <c r="AS106" s="11" t="n">
        <f>IF(AND(COUNT(I106:K106,AP106:AR106)=6,MIN(AP106:AR106)&gt;0),I106/7/AP106*0.5+J106/14/AQ106*0.3+K106/30/AR106*0.2,"")</f>
        <v>0.0703436388304197</v>
      </c>
      <c r="AT106" s="8" t="n">
        <v>26</v>
      </c>
      <c r="AU106" s="8" t="n">
        <v>0</v>
      </c>
      <c r="AV106" s="8" t="n">
        <v>88</v>
      </c>
      <c r="AW106" s="11" t="n">
        <f>IF(AND(COUNT(AT106:AV106)=3,AT106&gt;=AU106,AU106&gt;=0,AV106&gt;0),(AT106-AU106)/AV106,"")</f>
        <v>0.29545454545454547</v>
      </c>
      <c r="AX106" s="8" t="n">
        <v>33</v>
      </c>
      <c r="AY106" s="8" t="n">
        <v>0</v>
      </c>
      <c r="AZ106" s="8" t="n">
        <v>178</v>
      </c>
      <c r="BA106" s="11" t="n">
        <f>IF(AND(COUNT(AX106:AZ106)=3,AX106&gt;=AY106,AY106&gt;=0,AZ106&gt;0),(AX106-AY106)/AZ106,"")</f>
        <v>0.1853932584269663</v>
      </c>
      <c r="BB106" s="8" t="n">
        <f>IF(COUNT(AS106,AW106,BA106)=3,1,0)</f>
        <v>1</v>
      </c>
      <c r="BC106" s="11" t="n">
        <f>IF(SUMIF($AO$11:$AO$1309,AO106,$BB$11:$BB$1309)=COUNTIF($AO$11:$AO$1309,AO106),SUMIF($AO$11:$AO$1309,AO106,$AS$11:$AS$1309),"")</f>
        <v>1.1381504473731563</v>
      </c>
      <c r="BD106" s="11" t="n">
        <f>IF(SUMIF($AO$11:$AO$1309,AO106,$BB$11:$BB$1309)=COUNTIF($AO$11:$AO$1309,AO106),SUMIF($AO$11:$AO$1309,AO106,$AW$11:$AW$1309),"")</f>
        <v>2.9545454545454546</v>
      </c>
      <c r="BE106" s="11" t="n">
        <f>IF(SUMIF($AO$11:$AO$1309,AO106,$BB$11:$BB$1309)=COUNTIF($AO$11:$AO$1309,AO106),SUMIF($AO$11:$AO$1309,AO106,$BA$11:$BA$1309),"")</f>
        <v>1.5898876404494382</v>
      </c>
      <c r="BF106" s="12" t="n">
        <f>IF(COUNT(BD106:BE106)&lt;&gt;2,"",IF(AND(BD106&gt;0,BE106&gt;0),0.7*AW106/BD106+0.3*BA106/BE106,IF(BD106&gt;0,AW106/BD106,IF(BE106&gt;0,BA106/BE106,IF(AND(ISNUMBER(BH106),BH106=0),0,"")))))</f>
        <v>0.10498233215547703</v>
      </c>
      <c r="BG106" s="11" t="n">
        <f>IF(AND(COUNT(BN106:BU106)=8,MIN(BN106:BU106)&gt;=0),SUMPRODUCT(BN106:BQ106,BR106:BU106),"")</f>
        <v>109.4582336985339</v>
      </c>
      <c r="BH106" s="11" t="n">
        <f>IF(COUNT(BC106,BG106)=2,BC106*BG106,"")</f>
        <v>124.57993765266185</v>
      </c>
      <c r="BI106" s="11" t="n">
        <f>IF(ISNUMBER(CI106),CI106,"")</f>
        <v>13.078692394560367</v>
      </c>
      <c r="BJ106" s="8" t="str"/>
      <c r="BK106" s="8" t="str">
        <v>90天：2026-07-20 至 2026-10-17；180天：2026-04-21 至 2026-10-17</v>
      </c>
      <c r="BL106" s="8" t="str">
        <v>90天：2026-10-06、2026-10-07；180天：2026-10-06、2026-10-07</v>
      </c>
      <c r="BM106" s="8" t="str">
        <v>2026-10：12天 × 1.7391279184229513；2026-11：30天 × 1.4002077845513243；2026-12：31天 × 1.079339935625147；2027-01：17天 × 0.7719368903846591</v>
      </c>
      <c r="BN106" s="11" t="n">
        <v>1.7391279184229513</v>
      </c>
      <c r="BO106" s="11" t="n">
        <v>1.4002077845513243</v>
      </c>
      <c r="BP106" s="11" t="n">
        <v>1.079339935625147</v>
      </c>
      <c r="BQ106" s="11" t="n">
        <v>0.7719368903846591</v>
      </c>
      <c r="BR106" s="8" t="n">
        <v>12</v>
      </c>
      <c r="BS106" s="8" t="n">
        <v>30</v>
      </c>
      <c r="BT106" s="8" t="n">
        <v>31</v>
      </c>
      <c r="BU106" s="8" t="n">
        <v>17</v>
      </c>
      <c r="BV106" s="11" t="n">
        <f>IF(COUNT(BC106,BF106)=2,BC106*BF106,"")</f>
        <v>0.11948568830903347</v>
      </c>
      <c r="BW106" s="11" t="n">
        <f>IF(ISNUMBER(BN106),BN106,"")</f>
        <v>1.7391279184229513</v>
      </c>
      <c r="BX106" s="14" t="n">
        <f>IF(ISNUMBER(BR106),BR106,"")</f>
        <v>12</v>
      </c>
      <c r="BY106" s="13" t="n">
        <f>IF(AND(COUNT(BV106,BW106,BX106)=3,MIN(BV106,BW106,BX106)&gt;=0),BV106*BW106*BX106,"")</f>
        <v>2.4936107566826755</v>
      </c>
      <c r="BZ106" s="11" t="n">
        <f>IF(ISNUMBER(BO106),BO106,"")</f>
        <v>1.4002077845513243</v>
      </c>
      <c r="CA106" s="14" t="n">
        <f>IF(ISNUMBER(BS106),BS106,"")</f>
        <v>30</v>
      </c>
      <c r="CB106" s="13" t="n">
        <f>IF(AND(COUNT(BV106,BZ106,CA106)=3,MIN(BV106,BZ106,CA106)&gt;=0),BV106*BZ106*CA106,"")</f>
        <v>5.0191437273834545</v>
      </c>
      <c r="CC106" s="11" t="n">
        <f>IF(ISNUMBER(BP106),BP106,"")</f>
        <v>1.079339935625147</v>
      </c>
      <c r="CD106" s="14" t="n">
        <f>IF(ISNUMBER(BT106),BT106,"")</f>
        <v>31</v>
      </c>
      <c r="CE106" s="13" t="n">
        <f>IF(AND(COUNT(BV106,CC106,CD106)=3,MIN(BV106,CC106,CD106)&gt;=0),BV106*CC106*CD106,"")</f>
        <v>3.9979359289555556</v>
      </c>
      <c r="CF106" s="11" t="n">
        <f>IF(ISNUMBER(BQ106),BQ106,"")</f>
        <v>0.7719368903846591</v>
      </c>
      <c r="CG106" s="14" t="n">
        <f>IF(ISNUMBER(BU106),BU106,"")</f>
        <v>17</v>
      </c>
      <c r="CH106" s="13" t="n">
        <f>IF(AND(COUNT(BV106,CF106,CG106)=3,MIN(BV106,CF106,CG106)&gt;=0),BV106*CF106*CG106,"")</f>
        <v>1.5680019815386805</v>
      </c>
      <c r="CI106" s="13" t="n">
        <f>IF(COUNT(BY106,CB106,CE106,CH106)=4,SUM(BY106,CB106,CE106,CH106),"")</f>
        <v>13.078692394560367</v>
      </c>
    </row>
    <row r="107" ht="72" customHeight="1">
      <c r="A107" s="16" t="str">
        <v>2302153-LP-S-Z-6.5</v>
      </c>
      <c r="B107" s="16" t="str">
        <v>3店-SANDIEX-US</v>
      </c>
      <c r="C107" s="16" t="str">
        <v>徐新怡</v>
      </c>
      <c r="D107" s="26" t="n">
        <f>IF(NOT(ISNUMBER(E107)),"",IF(OR(E107&lt;=0,L107=0),0,IF(OR(NOT(ISNUMBER(F107)),F107&lt;0),"",MIN(E107,INT(F107)))))</f>
        <v>13</v>
      </c>
      <c r="E107" s="27" t="n">
        <f>IF(OR(NOT(ISNUMBER(L107)),COUNT(M107:O107)&lt;&gt;3,MIN(M107:O107)&lt;0),"",ROUNDUP(ROUND(BI107-SUM(M107:O107),10),0))</f>
        <v>13</v>
      </c>
      <c r="F107" s="28" t="n">
        <v>72</v>
      </c>
      <c r="G107" s="28" t="n">
        <f>IF(AND(ISNUMBER(D107),ISNUMBER(E107)),IF(OR(E107&lt;=0,L107=0),0,E107-D107),"")</f>
        <v>0</v>
      </c>
      <c r="H107" s="16" t="str">
        <f>IF(NOT(ISNUMBER(E107)),"销量或海外库存待补",IF(OR(E107&lt;=0,L107=0),IF(L107=0,"零日销，本批不发","本批无需补货"),IF(NOT(ISNUMBER(D107)),"国内库存待补",IF(D107=0,"国内无可用库存",IF(G107&gt;0,"先发国内现货","按建议量发货")))))</f>
        <v>按建议量发货</v>
      </c>
      <c r="I107" s="28" t="n">
        <f>IF(AND(COUNT(Z107,AA107,AB107)=3,Z107&gt;=AA107,AA107&gt;=0,AB107=7),Z107-AA107,"")</f>
        <v>6</v>
      </c>
      <c r="J107" s="28" t="n">
        <f>IF(AND(COUNT(AF107,AG107,AH107)=3,AF107&gt;=AG107,AG107&gt;=0,AH107=14),AF107-AG107,"")</f>
        <v>14</v>
      </c>
      <c r="K107" s="28" t="n">
        <f>IF(AND(COUNT(AL107,AM107,AN107)=3,AL107&gt;=AM107,AM107&gt;=0,AN107=30),AL107-AM107,"")</f>
        <v>20</v>
      </c>
      <c r="L107" s="29" t="n">
        <f>IF(ISNUMBER(BI107),BI107/90,"")</f>
        <v>0.2851677925764306</v>
      </c>
      <c r="M107" s="28" t="n">
        <v>13</v>
      </c>
      <c r="N107" s="28" t="n">
        <v>0</v>
      </c>
      <c r="O107" s="28" t="n">
        <v>0</v>
      </c>
      <c r="P107" s="30" t="n">
        <f>IF(AND(ISNUMBER(L107),L107&gt;0,COUNT(M107:O107)=3,MIN(M107:O107)&gt;=0),SUM(M107:O107)/L107,"")</f>
        <v>45.58719581390224</v>
      </c>
      <c r="Q107" s="16" t="str">
        <v>沿用原计划SKU店铺</v>
      </c>
      <c r="R107" s="16" t="str">
        <v>已匹配</v>
      </c>
      <c r="S107" s="16" t="str">
        <v>在售</v>
      </c>
      <c r="T107" s="16" t="str">
        <v>2302153</v>
      </c>
      <c r="U107" s="16" t="str">
        <v>豹纹</v>
      </c>
      <c r="V107" s="16" t="n">
        <v>6.5</v>
      </c>
      <c r="W107" s="8" t="str">
        <v>2026-10-11 至 2026-10-17</v>
      </c>
      <c r="X107" s="8" t="str">
        <v>2026-10-11、2026-10-12、2026-10-13、2026-10-14、2026-10-15、2026-10-16、2026-10-17</v>
      </c>
      <c r="Y107" s="8" t="str">
        <v>无</v>
      </c>
      <c r="Z107" s="8" t="n">
        <v>6</v>
      </c>
      <c r="AA107" s="8" t="n">
        <v>0</v>
      </c>
      <c r="AB107" s="8" t="n">
        <v>7</v>
      </c>
      <c r="AC107" s="8" t="str">
        <v>2026-10-02 至 2026-10-17</v>
      </c>
      <c r="AD107" s="8" t="str">
        <v>2026-10-02、2026-10-03、2026-10-04、2026-10-05、2026-10-08、2026-10-09、2026-10-10、2026-10-11、2026-10-12、2026-10-13、2026-10-14、2026-10-15、2026-10-16、2026-10-17</v>
      </c>
      <c r="AE107" s="8" t="str">
        <v>2026-10-06 大促；2026-10-07 大促</v>
      </c>
      <c r="AF107" s="8" t="n">
        <v>20</v>
      </c>
      <c r="AG107" s="8" t="n">
        <v>6</v>
      </c>
      <c r="AH107" s="8" t="n">
        <v>14</v>
      </c>
      <c r="AI107" s="8" t="str">
        <v>2026-09-16 至 2026-10-17</v>
      </c>
      <c r="AJ1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" s="8" t="str">
        <v>2026-10-06 大促；2026-10-07 大促</v>
      </c>
      <c r="AL107" s="8" t="n">
        <v>26</v>
      </c>
      <c r="AM107" s="8" t="n">
        <v>6</v>
      </c>
      <c r="AN107" s="8" t="n">
        <v>30</v>
      </c>
      <c r="AO107" s="8" t="str">
        <v>2302153 / 豹纹羊京绒 / 6574</v>
      </c>
      <c r="AP107" s="11" t="n">
        <v>1.7391279184229513</v>
      </c>
      <c r="AQ107" s="11" t="n">
        <v>1.7391279184229513</v>
      </c>
      <c r="AR107" s="11" t="n">
        <v>1.5731892896917212</v>
      </c>
      <c r="AS107" s="11" t="n">
        <f>IF(AND(COUNT(I107:K107,AP107:AR107)=6,MIN(AP107:AR107)&gt;0),I107/7/AP107*0.5+J107/14/AQ107*0.3+K107/30/AR107*0.2,"")</f>
        <v>0.5036826997448612</v>
      </c>
      <c r="AT107" s="8" t="n">
        <v>36</v>
      </c>
      <c r="AU107" s="8" t="n">
        <v>6</v>
      </c>
      <c r="AV107" s="8" t="n">
        <v>88</v>
      </c>
      <c r="AW107" s="11" t="n">
        <f>IF(AND(COUNT(AT107:AV107)=3,AT107&gt;=AU107,AU107&gt;=0,AV107&gt;0),(AT107-AU107)/AV107,"")</f>
        <v>0.3409090909090909</v>
      </c>
      <c r="AX107" s="8" t="n">
        <v>45</v>
      </c>
      <c r="AY107" s="8" t="n">
        <v>6</v>
      </c>
      <c r="AZ107" s="8" t="n">
        <v>178</v>
      </c>
      <c r="BA107" s="11" t="n">
        <f>IF(AND(COUNT(AX107:AZ107)=3,AX107&gt;=AY107,AY107&gt;=0,AZ107&gt;0),(AX107-AY107)/AZ107,"")</f>
        <v>0.21910112359550563</v>
      </c>
      <c r="BB107" s="8" t="n">
        <f>IF(COUNT(AS107,AW107,BA107)=3,1,0)</f>
        <v>1</v>
      </c>
      <c r="BC107" s="11" t="n">
        <f>IF(SUMIF($AO$11:$AO$1309,AO107,$BB$11:$BB$1309)=COUNTIF($AO$11:$AO$1309,AO107),SUMIF($AO$11:$AO$1309,AO107,$AS$11:$AS$1309),"")</f>
        <v>4.164684574329155</v>
      </c>
      <c r="BD107" s="11" t="n">
        <f>IF(SUMIF($AO$11:$AO$1309,AO107,$BB$11:$BB$1309)=COUNTIF($AO$11:$AO$1309,AO107),SUMIF($AO$11:$AO$1309,AO107,$AW$11:$AW$1309),"")</f>
        <v>5.636363636363635</v>
      </c>
      <c r="BE107" s="11" t="n">
        <f>IF(SUMIF($AO$11:$AO$1309,AO107,$BB$11:$BB$1309)=COUNTIF($AO$11:$AO$1309,AO107),SUMIF($AO$11:$AO$1309,AO107,$BA$11:$BA$1309),"")</f>
        <v>4.707865168539326</v>
      </c>
      <c r="BF107" s="12" t="n">
        <f>IF(COUNT(BD107:BE107)&lt;&gt;2,"",IF(AND(BD107&gt;0,BE107&gt;0),0.7*AW107/BD107+0.3*BA107/BE107,IF(BD107&gt;0,AW107/BD107,IF(BE107&gt;0,BA107/BE107,IF(AND(ISNUMBER(BH107),BH107=0),0,"")))))</f>
        <v>0.05630052351990146</v>
      </c>
      <c r="BG107" s="11" t="n">
        <f>IF(AND(COUNT(BN107:BU107)=8,MIN(BN107:BU107)&gt;=0),SUMPRODUCT(BN107:BQ107,BR107:BU107),"")</f>
        <v>109.4582336985339</v>
      </c>
      <c r="BH107" s="11" t="n">
        <f>IF(COUNT(BC107,BG107)=2,BC107*BG107,"")</f>
        <v>455.85901741759983</v>
      </c>
      <c r="BI107" s="11" t="n">
        <f>IF(ISNUMBER(CI107),CI107,"")</f>
        <v>25.665101331878752</v>
      </c>
      <c r="BJ107" s="8" t="str"/>
      <c r="BK107" s="8" t="str">
        <v>90天：2026-07-20 至 2026-10-17；180天：2026-04-21 至 2026-10-17</v>
      </c>
      <c r="BL107" s="8" t="str">
        <v>90天：2026-10-06、2026-10-07；180天：2026-10-06、2026-10-07</v>
      </c>
      <c r="BM107" s="8" t="str">
        <v>2026-10：12天 × 1.7391279184229513；2026-11：30天 × 1.4002077845513243；2026-12：31天 × 1.079339935625147；2027-01：17天 × 0.7719368903846591</v>
      </c>
      <c r="BN107" s="11" t="n">
        <v>1.7391279184229513</v>
      </c>
      <c r="BO107" s="11" t="n">
        <v>1.4002077845513243</v>
      </c>
      <c r="BP107" s="11" t="n">
        <v>1.079339935625147</v>
      </c>
      <c r="BQ107" s="11" t="n">
        <v>0.7719368903846591</v>
      </c>
      <c r="BR107" s="8" t="n">
        <v>12</v>
      </c>
      <c r="BS107" s="8" t="n">
        <v>30</v>
      </c>
      <c r="BT107" s="8" t="n">
        <v>31</v>
      </c>
      <c r="BU107" s="8" t="n">
        <v>17</v>
      </c>
      <c r="BV107" s="11" t="n">
        <f>IF(COUNT(BC107,BF107)=2,BC107*BF107,"")</f>
        <v>0.2344739218299894</v>
      </c>
      <c r="BW107" s="11" t="n">
        <f>IF(ISNUMBER(BN107),BN107,"")</f>
        <v>1.7391279184229513</v>
      </c>
      <c r="BX107" s="14" t="n">
        <f>IF(ISNUMBER(BR107),BR107,"")</f>
        <v>12</v>
      </c>
      <c r="BY107" s="13" t="n">
        <f>IF(AND(COUNT(BV107,BW107,BX107)=3,MIN(BV107,BW107,BX107)&gt;=0),BV107*BW107*BX107,"")</f>
        <v>4.893361723159864</v>
      </c>
      <c r="BZ107" s="11" t="n">
        <f>IF(ISNUMBER(BO107),BO107,"")</f>
        <v>1.4002077845513243</v>
      </c>
      <c r="CA107" s="14" t="n">
        <f>IF(ISNUMBER(BS107),BS107,"")</f>
        <v>30</v>
      </c>
      <c r="CB107" s="13" t="n">
        <f>IF(AND(COUNT(BV107,BZ107,CA107)=3,MIN(BV107,BZ107,CA107)&gt;=0),BV107*BZ107*CA107,"")</f>
        <v>9.849366318618896</v>
      </c>
      <c r="CC107" s="11" t="n">
        <f>IF(ISNUMBER(BP107),BP107,"")</f>
        <v>1.079339935625147</v>
      </c>
      <c r="CD107" s="14" t="n">
        <f>IF(ISNUMBER(BT107),BT107,"")</f>
        <v>31</v>
      </c>
      <c r="CE107" s="13" t="n">
        <f>IF(AND(COUNT(BV107,CC107,CD107)=3,MIN(BV107,CC107,CD107)&gt;=0),BV107*CC107*CD107,"")</f>
        <v>7.845389098506451</v>
      </c>
      <c r="CF107" s="11" t="n">
        <f>IF(ISNUMBER(BQ107),BQ107,"")</f>
        <v>0.7719368903846591</v>
      </c>
      <c r="CG107" s="14" t="n">
        <f>IF(ISNUMBER(BU107),BU107,"")</f>
        <v>17</v>
      </c>
      <c r="CH107" s="13" t="n">
        <f>IF(AND(COUNT(BV107,CF107,CG107)=3,MIN(BV107,CF107,CG107)&gt;=0),BV107*CF107*CG107,"")</f>
        <v>3.0769841915935405</v>
      </c>
      <c r="CI107" s="13" t="n">
        <f>IF(COUNT(BY107,CB107,CE107,CH107)=4,SUM(BY107,CB107,CE107,CH107),"")</f>
        <v>25.665101331878752</v>
      </c>
    </row>
    <row r="108" ht="72" customHeight="1">
      <c r="A108" s="16" t="str">
        <v>B06-LP-37</v>
      </c>
      <c r="B108" s="16" t="str">
        <v>1店-MUSSHOE-US</v>
      </c>
      <c r="C108" s="16" t="str">
        <v>艾年</v>
      </c>
      <c r="D108" s="26" t="n">
        <f>IF(NOT(ISNUMBER(E108)),"",IF(OR(E108&lt;=0,L108=0),0,IF(OR(NOT(ISNUMBER(F108)),F108&lt;0),"",MIN(E108,INT(F108)))))</f>
        <v>13</v>
      </c>
      <c r="E108" s="27" t="n">
        <f>IF(OR(NOT(ISNUMBER(L108)),COUNT(M108:O108)&lt;&gt;3,MIN(M108:O108)&lt;0),"",ROUNDUP(ROUND(BI108-SUM(M108:O108),10),0))</f>
        <v>13</v>
      </c>
      <c r="F108" s="28" t="n">
        <v>59</v>
      </c>
      <c r="G108" s="28" t="n">
        <f>IF(AND(ISNUMBER(D108),ISNUMBER(E108)),IF(OR(E108&lt;=0,L108=0),0,E108-D108),"")</f>
        <v>0</v>
      </c>
      <c r="H108" s="16" t="str">
        <f>IF(NOT(ISNUMBER(E108)),"销量或海外库存待补",IF(OR(E108&lt;=0,L108=0),IF(L108=0,"零日销，本批不发","本批无需补货"),IF(NOT(ISNUMBER(D108)),"国内库存待补",IF(D108=0,"国内无可用库存",IF(G108&gt;0,"先发国内现货","按建议量发货")))))</f>
        <v>按建议量发货</v>
      </c>
      <c r="I108" s="28" t="n">
        <f>IF(AND(COUNT(Z108,AA108,AB108)=3,Z108&gt;=AA108,AA108&gt;=0,AB108=7),Z108-AA108,"")</f>
        <v>2</v>
      </c>
      <c r="J108" s="28" t="n">
        <f>IF(AND(COUNT(AF108,AG108,AH108)=3,AF108&gt;=AG108,AG108&gt;=0,AH108=14),AF108-AG108,"")</f>
        <v>4</v>
      </c>
      <c r="K108" s="28" t="n">
        <f>IF(AND(COUNT(AL108,AM108,AN108)=3,AL108&gt;=AM108,AM108&gt;=0,AN108=30),AL108-AM108,"")</f>
        <v>7</v>
      </c>
      <c r="L108" s="29" t="n">
        <f>IF(ISNUMBER(BI108),BI108/90,"")</f>
        <v>0.2761306791594495</v>
      </c>
      <c r="M108" s="28" t="n">
        <v>12</v>
      </c>
      <c r="N108" s="28" t="n">
        <v>0</v>
      </c>
      <c r="O108" s="28" t="n">
        <v>0</v>
      </c>
      <c r="P108" s="30" t="n">
        <f>IF(AND(ISNUMBER(L108),L108&gt;0,COUNT(M108:O108)=3,MIN(M108:O108)&gt;=0),SUM(M108:O108)/L108,"")</f>
        <v>43.45768473292565</v>
      </c>
      <c r="Q108" s="16" t="str">
        <v>沿用原计划SKU店铺</v>
      </c>
      <c r="R108" s="16" t="str">
        <v>已匹配</v>
      </c>
      <c r="S108" s="16" t="str">
        <v>在售</v>
      </c>
      <c r="T108" s="16" t="str">
        <v>B06</v>
      </c>
      <c r="U108" s="16" t="str">
        <v>豹纹羊京绒</v>
      </c>
      <c r="V108" s="16" t="n">
        <v>6</v>
      </c>
      <c r="W108" s="8" t="str">
        <v>2026-10-11 至 2026-10-17</v>
      </c>
      <c r="X108" s="8" t="str">
        <v>2026-10-11、2026-10-12、2026-10-13、2026-10-14、2026-10-15、2026-10-16、2026-10-17</v>
      </c>
      <c r="Y108" s="8" t="str">
        <v>无</v>
      </c>
      <c r="Z108" s="8" t="n">
        <v>2</v>
      </c>
      <c r="AA108" s="8" t="n">
        <v>0</v>
      </c>
      <c r="AB108" s="8" t="n">
        <v>7</v>
      </c>
      <c r="AC108" s="8" t="str">
        <v>2026-10-02 至 2026-10-17</v>
      </c>
      <c r="AD108" s="8" t="str">
        <v>2026-10-02、2026-10-03、2026-10-04、2026-10-05、2026-10-08、2026-10-09、2026-10-10、2026-10-11、2026-10-12、2026-10-13、2026-10-14、2026-10-15、2026-10-16、2026-10-17</v>
      </c>
      <c r="AE108" s="8" t="str">
        <v>2026-10-06 大促；2026-10-07 大促</v>
      </c>
      <c r="AF108" s="8" t="n">
        <v>9</v>
      </c>
      <c r="AG108" s="8" t="n">
        <v>5</v>
      </c>
      <c r="AH108" s="8" t="n">
        <v>14</v>
      </c>
      <c r="AI108" s="8" t="str">
        <v>2026-09-16 至 2026-10-17</v>
      </c>
      <c r="AJ1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" s="8" t="str">
        <v>2026-10-06 大促；2026-10-07 大促</v>
      </c>
      <c r="AL108" s="8" t="n">
        <v>12</v>
      </c>
      <c r="AM108" s="8" t="n">
        <v>5</v>
      </c>
      <c r="AN108" s="8" t="n">
        <v>30</v>
      </c>
      <c r="AO108" s="8" t="str">
        <v>B06 / 豹纹羊京绒 / 13120</v>
      </c>
      <c r="AP108" s="11" t="n">
        <v>1.2247029157699902</v>
      </c>
      <c r="AQ108" s="11" t="n">
        <v>1.2247029157699902</v>
      </c>
      <c r="AR108" s="11" t="n">
        <v>1.1136940657346173</v>
      </c>
      <c r="AS108" s="11" t="n">
        <f>IF(AND(COUNT(I108:K108,AP108:AR108)=6,MIN(AP108:AR108)&gt;0),I108/7/AP108*0.5+J108/14/AQ108*0.3+K108/30/AR108*0.2,"")</f>
        <v>0.22853677414144963</v>
      </c>
      <c r="AT108" s="8" t="n">
        <v>21</v>
      </c>
      <c r="AU108" s="8" t="n">
        <v>5</v>
      </c>
      <c r="AV108" s="8" t="n">
        <v>88</v>
      </c>
      <c r="AW108" s="11" t="n">
        <f>IF(AND(COUNT(AT108:AV108)=3,AT108&gt;=AU108,AU108&gt;=0,AV108&gt;0),(AT108-AU108)/AV108,"")</f>
        <v>0.18181818181818182</v>
      </c>
      <c r="AX108" s="8" t="n">
        <v>47</v>
      </c>
      <c r="AY108" s="8" t="n">
        <v>5</v>
      </c>
      <c r="AZ108" s="8" t="n">
        <v>178</v>
      </c>
      <c r="BA108" s="11" t="n">
        <f>IF(AND(COUNT(AX108:AZ108)=3,AX108&gt;=AY108,AY108&gt;=0,AZ108&gt;0),(AX108-AY108)/AZ108,"")</f>
        <v>0.23595505617977527</v>
      </c>
      <c r="BB108" s="8" t="n">
        <f>IF(COUNT(AS108,AW108,BA108)=3,1,0)</f>
        <v>1</v>
      </c>
      <c r="BC108" s="11" t="n">
        <f>IF(SUMIF($AO$11:$AO$1309,AO108,$BB$11:$BB$1309)=COUNTIF($AO$11:$AO$1309,AO108),SUMIF($AO$11:$AO$1309,AO108,$AS$11:$AS$1309),"")</f>
        <v>10.232422007128712</v>
      </c>
      <c r="BD108" s="11" t="n">
        <f>IF(SUMIF($AO$11:$AO$1309,AO108,$BB$11:$BB$1309)=COUNTIF($AO$11:$AO$1309,AO108),SUMIF($AO$11:$AO$1309,AO108,$AW$11:$AW$1309),"")</f>
        <v>6.3522727272727275</v>
      </c>
      <c r="BE108" s="11" t="n">
        <f>IF(SUMIF($AO$11:$AO$1309,AO108,$BB$11:$BB$1309)=COUNTIF($AO$11:$AO$1309,AO108),SUMIF($AO$11:$AO$1309,AO108,$BA$11:$BA$1309),"")</f>
        <v>5.5</v>
      </c>
      <c r="BF108" s="12" t="n">
        <f>IF(COUNT(BD108:BE108)&lt;&gt;2,"",IF(AND(BD108&gt;0,BE108&gt;0),0.7*AW108/BD108+0.3*BA108/BE108,IF(BD108&gt;0,AW108/BD108,IF(BE108&gt;0,BA108/BE108,IF(AND(ISNUMBER(BH108),BH108=0),0,"")))))</f>
        <v>0.03290605396693716</v>
      </c>
      <c r="BG108" s="11" t="n">
        <f>IF(AND(COUNT(BN108:BU108)=8,MIN(BN108:BU108)&gt;=0),SUMPRODUCT(BN108:BQ108,BR108:BU108),"")</f>
        <v>73.80791239847399</v>
      </c>
      <c r="BH108" s="11" t="n">
        <f>IF(COUNT(BC108,BG108)=2,BC108*BG108,"")</f>
        <v>755.2337071263734</v>
      </c>
      <c r="BI108" s="11" t="n">
        <f>IF(ISNUMBER(CI108),CI108,"")</f>
        <v>24.851761124350457</v>
      </c>
      <c r="BJ108" s="8" t="str">
        <v>低销提醒依据不完整</v>
      </c>
      <c r="BK108" s="8" t="str">
        <v>90天：2026-07-20 至 2026-10-17；180天：2026-04-21 至 2026-10-17</v>
      </c>
      <c r="BL108" s="8" t="str">
        <v>90天：2026-10-06、2026-10-07；180天：2026-10-06、2026-10-07</v>
      </c>
      <c r="BM108" s="8" t="str">
        <v>2026-10：12天 × 1.2247029157699902；2026-11：30天 × 0.8332682139098497；2026-12：31天 × 0.5511018253564084；2027-01：17天 × 1.0017220238758797</v>
      </c>
      <c r="BN108" s="11" t="n">
        <v>1.2247029157699902</v>
      </c>
      <c r="BO108" s="11" t="n">
        <v>0.8332682139098497</v>
      </c>
      <c r="BP108" s="11" t="n">
        <v>0.5511018253564084</v>
      </c>
      <c r="BQ108" s="11" t="n">
        <v>1.0017220238758797</v>
      </c>
      <c r="BR108" s="8" t="n">
        <v>12</v>
      </c>
      <c r="BS108" s="8" t="n">
        <v>30</v>
      </c>
      <c r="BT108" s="8" t="n">
        <v>31</v>
      </c>
      <c r="BU108" s="8" t="n">
        <v>17</v>
      </c>
      <c r="BV108" s="11" t="n">
        <f>IF(COUNT(BC108,BF108)=2,BC108*BF108,"")</f>
        <v>0.33670863077905283</v>
      </c>
      <c r="BW108" s="11" t="n">
        <f>IF(ISNUMBER(BN108),BN108,"")</f>
        <v>1.2247029157699902</v>
      </c>
      <c r="BX108" s="14" t="n">
        <f>IF(ISNUMBER(BR108),BR108,"")</f>
        <v>12</v>
      </c>
      <c r="BY108" s="13" t="n">
        <f>IF(AND(COUNT(BV108,BW108,BX108)=3,MIN(BV108,BW108,BX108)&gt;=0),BV108*BW108*BX108,"")</f>
        <v>4.948416502560325</v>
      </c>
      <c r="BZ108" s="11" t="n">
        <f>IF(ISNUMBER(BO108),BO108,"")</f>
        <v>0.8332682139098497</v>
      </c>
      <c r="CA108" s="14" t="n">
        <f>IF(ISNUMBER(BS108),BS108,"")</f>
        <v>30</v>
      </c>
      <c r="CB108" s="13" t="n">
        <f>IF(AND(COUNT(BV108,BZ108,CA108)=3,MIN(BV108,BZ108,CA108)&gt;=0),BV108*BZ108*CA108,"")</f>
        <v>8.417057981318772</v>
      </c>
      <c r="CC108" s="11" t="n">
        <f>IF(ISNUMBER(BP108),BP108,"")</f>
        <v>0.5511018253564084</v>
      </c>
      <c r="CD108" s="14" t="n">
        <f>IF(ISNUMBER(BT108),BT108,"")</f>
        <v>31</v>
      </c>
      <c r="CE108" s="13" t="n">
        <f>IF(AND(COUNT(BV108,CC108,CD108)=3,MIN(BV108,CC108,CD108)&gt;=0),BV108*CC108*CD108,"")</f>
        <v>5.752382972103383</v>
      </c>
      <c r="CF108" s="11" t="n">
        <f>IF(ISNUMBER(BQ108),BQ108,"")</f>
        <v>1.0017220238758797</v>
      </c>
      <c r="CG108" s="14" t="n">
        <f>IF(ISNUMBER(BU108),BU108,"")</f>
        <v>17</v>
      </c>
      <c r="CH108" s="13" t="n">
        <f>IF(AND(COUNT(BV108,CF108,CG108)=3,MIN(BV108,CF108,CG108)&gt;=0),BV108*CF108*CG108,"")</f>
        <v>5.733903668367975</v>
      </c>
      <c r="CI108" s="13" t="n">
        <f>IF(COUNT(BY108,CB108,CE108,CH108)=4,SUM(BY108,CB108,CE108,CH108),"")</f>
        <v>24.851761124350457</v>
      </c>
    </row>
    <row r="109" ht="72" customHeight="1">
      <c r="A109" s="16" t="str">
        <v>B07-LP-37.5</v>
      </c>
      <c r="B109" s="16" t="str">
        <v>4店-彬郁-US</v>
      </c>
      <c r="C109" s="16" t="str">
        <v>艾年</v>
      </c>
      <c r="D109" s="26" t="n">
        <f>IF(NOT(ISNUMBER(E109)),"",IF(OR(E109&lt;=0,L109=0),0,IF(OR(NOT(ISNUMBER(F109)),F109&lt;0),"",MIN(E109,INT(F109)))))</f>
        <v>13</v>
      </c>
      <c r="E109" s="27" t="n">
        <f>IF(OR(NOT(ISNUMBER(L109)),COUNT(M109:O109)&lt;&gt;3,MIN(M109:O109)&lt;0),"",ROUNDUP(ROUND(BI109-SUM(M109:O109),10),0))</f>
        <v>13</v>
      </c>
      <c r="F109" s="28" t="n">
        <v>62</v>
      </c>
      <c r="G109" s="28" t="n">
        <f>IF(AND(ISNUMBER(D109),ISNUMBER(E109)),IF(OR(E109&lt;=0,L109=0),0,E109-D109),"")</f>
        <v>0</v>
      </c>
      <c r="H109" s="16" t="str">
        <f>IF(NOT(ISNUMBER(E109)),"销量或海外库存待补",IF(OR(E109&lt;=0,L109=0),IF(L109=0,"零日销，本批不发","本批无需补货"),IF(NOT(ISNUMBER(D109)),"国内库存待补",IF(D109=0,"国内无可用库存",IF(G109&gt;0,"先发国内现货","按建议量发货")))))</f>
        <v>按建议量发货</v>
      </c>
      <c r="I109" s="28" t="n">
        <f>IF(AND(COUNT(Z109,AA109,AB109)=3,Z109&gt;=AA109,AA109&gt;=0,AB109=7),Z109-AA109,"")</f>
        <v>7</v>
      </c>
      <c r="J109" s="28" t="n">
        <f>IF(AND(COUNT(AF109,AG109,AH109)=3,AF109&gt;=AG109,AG109&gt;=0,AH109=14),AF109-AG109,"")</f>
        <v>10</v>
      </c>
      <c r="K109" s="28" t="n">
        <f>IF(AND(COUNT(AL109,AM109,AN109)=3,AL109&gt;=AM109,AM109&gt;=0,AN109=30),AL109-AM109,"")</f>
        <v>18</v>
      </c>
      <c r="L109" s="29" t="n">
        <f>IF(ISNUMBER(BI109),BI109/90,"")</f>
        <v>0.3875442338172008</v>
      </c>
      <c r="M109" s="28" t="n">
        <v>20</v>
      </c>
      <c r="N109" s="28" t="n">
        <v>0</v>
      </c>
      <c r="O109" s="28" t="n">
        <v>2</v>
      </c>
      <c r="P109" s="30" t="n">
        <f>IF(AND(ISNUMBER(L109),L109&gt;0,COUNT(M109:O109)=3,MIN(M109:O109)&gt;=0),SUM(M109:O109)/L109,"")</f>
        <v>56.76771341249549</v>
      </c>
      <c r="Q109" s="16" t="str">
        <v>沿用原计划SKU店铺</v>
      </c>
      <c r="R109" s="16" t="str">
        <v>已匹配</v>
      </c>
      <c r="S109" s="16" t="str">
        <v>在售</v>
      </c>
      <c r="T109" s="16" t="str">
        <v>B07</v>
      </c>
      <c r="U109" s="16" t="str">
        <v>豹纹羊京绒</v>
      </c>
      <c r="V109" s="16" t="n">
        <v>6.5</v>
      </c>
      <c r="W109" s="8" t="str">
        <v>2026-10-11 至 2026-10-17</v>
      </c>
      <c r="X109" s="8" t="str">
        <v>2026-10-11、2026-10-12、2026-10-13、2026-10-14、2026-10-15、2026-10-16、2026-10-17</v>
      </c>
      <c r="Y109" s="8" t="str">
        <v>无</v>
      </c>
      <c r="Z109" s="8" t="n">
        <v>7</v>
      </c>
      <c r="AA109" s="8" t="n">
        <v>0</v>
      </c>
      <c r="AB109" s="8" t="n">
        <v>7</v>
      </c>
      <c r="AC109" s="8" t="str">
        <v>2026-10-02 至 2026-10-17</v>
      </c>
      <c r="AD109" s="8" t="str">
        <v>2026-10-02、2026-10-03、2026-10-04、2026-10-05、2026-10-08、2026-10-09、2026-10-10、2026-10-11、2026-10-12、2026-10-13、2026-10-14、2026-10-15、2026-10-16、2026-10-17</v>
      </c>
      <c r="AE109" s="8" t="str">
        <v>2026-10-06 大促；2026-10-07 大促</v>
      </c>
      <c r="AF109" s="8" t="n">
        <v>12</v>
      </c>
      <c r="AG109" s="8" t="n">
        <v>2</v>
      </c>
      <c r="AH109" s="8" t="n">
        <v>14</v>
      </c>
      <c r="AI109" s="8" t="str">
        <v>2026-09-16 至 2026-10-17</v>
      </c>
      <c r="AJ1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" s="8" t="str">
        <v>2026-10-06 大促；2026-10-07 大促</v>
      </c>
      <c r="AL109" s="8" t="n">
        <v>20</v>
      </c>
      <c r="AM109" s="8" t="n">
        <v>2</v>
      </c>
      <c r="AN109" s="8" t="n">
        <v>30</v>
      </c>
      <c r="AO109" s="8" t="str">
        <v>B07 / 豹纹羊京绒 / 13306</v>
      </c>
      <c r="AP109" s="11" t="n">
        <v>0.7307750238224848</v>
      </c>
      <c r="AQ109" s="11" t="n">
        <v>0.7307750238224848</v>
      </c>
      <c r="AR109" s="11" t="n">
        <v>0.7449809054134506</v>
      </c>
      <c r="AS109" s="11" t="n">
        <f>IF(AND(COUNT(I109:K109,AP109:AR109)=6,MIN(AP109:AR109)&gt;0),I109/7/AP109*0.5+J109/14/AQ109*0.3+K109/30/AR109*0.2,"")</f>
        <v>1.1385138145425013</v>
      </c>
      <c r="AT109" s="8" t="n">
        <v>29</v>
      </c>
      <c r="AU109" s="8" t="n">
        <v>2</v>
      </c>
      <c r="AV109" s="8" t="n">
        <v>88</v>
      </c>
      <c r="AW109" s="11" t="n">
        <f>IF(AND(COUNT(AT109:AV109)=3,AT109&gt;=AU109,AU109&gt;=0,AV109&gt;0),(AT109-AU109)/AV109,"")</f>
        <v>0.3068181818181818</v>
      </c>
      <c r="AX109" s="8" t="n">
        <v>40</v>
      </c>
      <c r="AY109" s="8" t="n">
        <v>2</v>
      </c>
      <c r="AZ109" s="8" t="n">
        <v>178</v>
      </c>
      <c r="BA109" s="11" t="n">
        <f>IF(AND(COUNT(AX109:AZ109)=3,AX109&gt;=AY109,AY109&gt;=0,AZ109&gt;0),(AX109-AY109)/AZ109,"")</f>
        <v>0.21348314606741572</v>
      </c>
      <c r="BB109" s="8" t="n">
        <f>IF(COUNT(AS109,AW109,BA109)=3,1,0)</f>
        <v>1</v>
      </c>
      <c r="BC109" s="11" t="n">
        <f>IF(SUMIF($AO$11:$AO$1309,AO109,$BB$11:$BB$1309)=COUNTIF($AO$11:$AO$1309,AO109),SUMIF($AO$11:$AO$1309,AO109,$AS$11:$AS$1309),"")</f>
        <v>6.767888169262786</v>
      </c>
      <c r="BD109" s="11" t="n">
        <f>IF(SUMIF($AO$11:$AO$1309,AO109,$BB$11:$BB$1309)=COUNTIF($AO$11:$AO$1309,AO109),SUMIF($AO$11:$AO$1309,AO109,$AW$11:$AW$1309),"")</f>
        <v>4.467607105538139</v>
      </c>
      <c r="BE109" s="11" t="n">
        <f>IF(SUMIF($AO$11:$AO$1309,AO109,$BB$11:$BB$1309)=COUNTIF($AO$11:$AO$1309,AO109),SUMIF($AO$11:$AO$1309,AO109,$BA$11:$BA$1309),"")</f>
        <v>3.6192153875452298</v>
      </c>
      <c r="BF109" s="12" t="n">
        <f>IF(COUNT(BD109:BE109)&lt;&gt;2,"",IF(AND(BD109&gt;0,BE109&gt;0),0.7*AW109/BD109+0.3*BA109/BE109,IF(BD109&gt;0,AW109/BD109,IF(BE109&gt;0,BA109/BE109,IF(AND(ISNUMBER(BH109),BH109=0),0,"")))))</f>
        <v>0.0657691336447071</v>
      </c>
      <c r="BG109" s="11" t="n">
        <f>IF(AND(COUNT(BN109:BU109)=8,MIN(BN109:BU109)&gt;=0),SUMPRODUCT(BN109:BQ109,BR109:BU109),"")</f>
        <v>78.35892944347341</v>
      </c>
      <c r="BH109" s="11" t="n">
        <f>IF(COUNT(BC109,BG109)=2,BC109*BG109,"")</f>
        <v>530.3244715365811</v>
      </c>
      <c r="BI109" s="11" t="n">
        <f>IF(ISNUMBER(CI109),CI109,"")</f>
        <v>34.87898104354807</v>
      </c>
      <c r="BJ109" s="8" t="str"/>
      <c r="BK109" s="8" t="str">
        <v>90天：2026-07-20 至 2026-10-17；180天：2026-04-21 至 2026-10-17</v>
      </c>
      <c r="BL109" s="8" t="str">
        <v>90天：2026-10-06、2026-10-07；180天：2026-10-06、2026-10-07</v>
      </c>
      <c r="BM109" s="8" t="str">
        <v>2026-10：12天 × 0.7307750238224848；2026-11：30天 × 0.9523018155490097；2026-12：31天 × 0.5958545198749097；2027-01：17天 × 1.3264167397065354</v>
      </c>
      <c r="BN109" s="11" t="n">
        <v>0.7307750238224848</v>
      </c>
      <c r="BO109" s="11" t="n">
        <v>0.9523018155490097</v>
      </c>
      <c r="BP109" s="11" t="n">
        <v>0.5958545198749097</v>
      </c>
      <c r="BQ109" s="11" t="n">
        <v>1.3264167397065354</v>
      </c>
      <c r="BR109" s="8" t="n">
        <v>12</v>
      </c>
      <c r="BS109" s="8" t="n">
        <v>30</v>
      </c>
      <c r="BT109" s="8" t="n">
        <v>31</v>
      </c>
      <c r="BU109" s="8" t="n">
        <v>17</v>
      </c>
      <c r="BV109" s="11" t="n">
        <f>IF(COUNT(BC109,BF109)=2,BC109*BF109,"")</f>
        <v>0.4451181414966763</v>
      </c>
      <c r="BW109" s="11" t="n">
        <f>IF(ISNUMBER(BN109),BN109,"")</f>
        <v>0.7307750238224848</v>
      </c>
      <c r="BX109" s="14" t="n">
        <f>IF(ISNUMBER(BR109),BR109,"")</f>
        <v>12</v>
      </c>
      <c r="BY109" s="13" t="n">
        <f>IF(AND(COUNT(BV109,BW109,BX109)=3,MIN(BV109,BW109,BX109)&gt;=0),BV109*BW109*BX109,"")</f>
        <v>3.9033746454726455</v>
      </c>
      <c r="BZ109" s="11" t="n">
        <f>IF(ISNUMBER(BO109),BO109,"")</f>
        <v>0.9523018155490097</v>
      </c>
      <c r="CA109" s="14" t="n">
        <f>IF(ISNUMBER(BS109),BS109,"")</f>
        <v>30</v>
      </c>
      <c r="CB109" s="13" t="n">
        <f>IF(AND(COUNT(BV109,BZ109,CA109)=3,MIN(BV109,BZ109,CA109)&gt;=0),BV109*BZ109*CA109,"")</f>
        <v>12.716604428432575</v>
      </c>
      <c r="CC109" s="11" t="n">
        <f>IF(ISNUMBER(BP109),BP109,"")</f>
        <v>0.5958545198749097</v>
      </c>
      <c r="CD109" s="14" t="n">
        <f>IF(ISNUMBER(BT109),BT109,"")</f>
        <v>31</v>
      </c>
      <c r="CE109" s="13" t="n">
        <f>IF(AND(COUNT(BV109,CC109,CD109)=3,MIN(BV109,CC109,CD109)&gt;=0),BV109*CC109*CD109,"")</f>
        <v>8.221995351162539</v>
      </c>
      <c r="CF109" s="11" t="n">
        <f>IF(ISNUMBER(BQ109),BQ109,"")</f>
        <v>1.3264167397065354</v>
      </c>
      <c r="CG109" s="14" t="n">
        <f>IF(ISNUMBER(BU109),BU109,"")</f>
        <v>17</v>
      </c>
      <c r="CH109" s="13" t="n">
        <f>IF(AND(COUNT(BV109,CF109,CG109)=3,MIN(BV109,CF109,CG109)&gt;=0),BV109*CF109*CG109,"")</f>
        <v>10.037006618480312</v>
      </c>
      <c r="CI109" s="13" t="n">
        <f>IF(COUNT(BY109,CB109,CE109,CH109)=4,SUM(BY109,CB109,CE109,CH109),"")</f>
        <v>34.87898104354807</v>
      </c>
    </row>
    <row r="110" ht="72" customHeight="1">
      <c r="A110" s="16" t="str">
        <v>B06-BGP-39-N</v>
      </c>
      <c r="B110" s="16" t="str">
        <v>1店-MUSSHOE-US</v>
      </c>
      <c r="C110" s="16" t="str">
        <v>艾年</v>
      </c>
      <c r="D110" s="26" t="n">
        <f>IF(NOT(ISNUMBER(E110)),"",IF(OR(E110&lt;=0,L110=0),0,IF(OR(NOT(ISNUMBER(F110)),F110&lt;0),"",MIN(E110,INT(F110)))))</f>
        <v>12</v>
      </c>
      <c r="E110" s="27" t="n">
        <f>IF(OR(NOT(ISNUMBER(L110)),COUNT(M110:O110)&lt;&gt;3,MIN(M110:O110)&lt;0),"",ROUNDUP(ROUND(BI110-SUM(M110:O110),10),0))</f>
        <v>12</v>
      </c>
      <c r="F110" s="28" t="n">
        <v>19</v>
      </c>
      <c r="G110" s="28" t="n">
        <f>IF(AND(ISNUMBER(D110),ISNUMBER(E110)),IF(OR(E110&lt;=0,L110=0),0,E110-D110),"")</f>
        <v>0</v>
      </c>
      <c r="H110" s="16" t="str">
        <f>IF(NOT(ISNUMBER(E110)),"销量或海外库存待补",IF(OR(E110&lt;=0,L110=0),IF(L110=0,"零日销，本批不发","本批无需补货"),IF(NOT(ISNUMBER(D110)),"国内库存待补",IF(D110=0,"国内无可用库存",IF(G110&gt;0,"先发国内现货","按建议量发货")))))</f>
        <v>按建议量发货</v>
      </c>
      <c r="I110" s="28" t="n">
        <f>IF(AND(COUNT(Z110,AA110,AB110)=3,Z110&gt;=AA110,AA110&gt;=0,AB110=7),Z110-AA110,"")</f>
        <v>5</v>
      </c>
      <c r="J110" s="28" t="n">
        <f>IF(AND(COUNT(AF110,AG110,AH110)=3,AF110&gt;=AG110,AG110&gt;=0,AH110=14),AF110-AG110,"")</f>
        <v>9</v>
      </c>
      <c r="K110" s="28" t="n">
        <f>IF(AND(COUNT(AL110,AM110,AN110)=3,AL110&gt;=AM110,AM110&gt;=0,AN110=30),AL110-AM110,"")</f>
        <v>18</v>
      </c>
      <c r="L110" s="29" t="n">
        <f>IF(ISNUMBER(BI110),BI110/90,"")</f>
        <v>0.5015558365689112</v>
      </c>
      <c r="M110" s="28" t="n">
        <v>34</v>
      </c>
      <c r="N110" s="28" t="n">
        <v>0</v>
      </c>
      <c r="O110" s="28" t="n">
        <v>0</v>
      </c>
      <c r="P110" s="30" t="n">
        <f>IF(AND(ISNUMBER(L110),L110&gt;0,COUNT(M110:O110)=3,MIN(M110:O110)&gt;=0),SUM(M110:O110)/L110,"")</f>
        <v>67.78906259488534</v>
      </c>
      <c r="Q110" s="16" t="str">
        <v>沿用原计划SKU店铺</v>
      </c>
      <c r="R110" s="16" t="str">
        <v>已匹配</v>
      </c>
      <c r="S110" s="16" t="str">
        <v>在售</v>
      </c>
      <c r="T110" s="16" t="str">
        <v>B06</v>
      </c>
      <c r="U110" s="16" t="str">
        <v>米色PU</v>
      </c>
      <c r="V110" s="16" t="n">
        <v>8</v>
      </c>
      <c r="W110" s="8" t="str">
        <v>2026-10-11 至 2026-10-17</v>
      </c>
      <c r="X110" s="8" t="str">
        <v>2026-10-11、2026-10-12、2026-10-13、2026-10-14、2026-10-15、2026-10-16、2026-10-17</v>
      </c>
      <c r="Y110" s="8" t="str">
        <v>无</v>
      </c>
      <c r="Z110" s="8" t="n">
        <v>5</v>
      </c>
      <c r="AA110" s="8" t="n">
        <v>0</v>
      </c>
      <c r="AB110" s="8" t="n">
        <v>7</v>
      </c>
      <c r="AC110" s="8" t="str">
        <v>2026-10-02 至 2026-10-17</v>
      </c>
      <c r="AD110" s="8" t="str">
        <v>2026-10-02、2026-10-03、2026-10-04、2026-10-05、2026-10-08、2026-10-09、2026-10-10、2026-10-11、2026-10-12、2026-10-13、2026-10-14、2026-10-15、2026-10-16、2026-10-17</v>
      </c>
      <c r="AE110" s="8" t="str">
        <v>2026-10-06 大促；2026-10-07 大促</v>
      </c>
      <c r="AF110" s="8" t="n">
        <v>15</v>
      </c>
      <c r="AG110" s="8" t="n">
        <v>6</v>
      </c>
      <c r="AH110" s="8" t="n">
        <v>14</v>
      </c>
      <c r="AI110" s="8" t="str">
        <v>2026-09-16 至 2026-10-17</v>
      </c>
      <c r="AJ1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" s="8" t="str">
        <v>2026-10-06 大促；2026-10-07 大促</v>
      </c>
      <c r="AL110" s="8" t="n">
        <v>24</v>
      </c>
      <c r="AM110" s="8" t="n">
        <v>6</v>
      </c>
      <c r="AN110" s="8" t="n">
        <v>30</v>
      </c>
      <c r="AO110" s="8" t="str">
        <v>B06 / 米色PU / 13120</v>
      </c>
      <c r="AP110" s="11" t="n">
        <v>1.2247029157699902</v>
      </c>
      <c r="AQ110" s="11" t="n">
        <v>1.2247029157699902</v>
      </c>
      <c r="AR110" s="11" t="n">
        <v>1.1136940657346173</v>
      </c>
      <c r="AS110" s="11" t="n">
        <f>IF(AND(COUNT(I110:K110,AP110:AR110)=6,MIN(AP110:AR110)&gt;0),I110/7/AP110*0.5+J110/14/AQ110*0.3+K110/30/AR110*0.2,"")</f>
        <v>0.5568380228585111</v>
      </c>
      <c r="AT110" s="8" t="n">
        <v>57</v>
      </c>
      <c r="AU110" s="8" t="n">
        <v>6</v>
      </c>
      <c r="AV110" s="8" t="n">
        <v>88</v>
      </c>
      <c r="AW110" s="11" t="n">
        <f>IF(AND(COUNT(AT110:AV110)=3,AT110&gt;=AU110,AU110&gt;=0,AV110&gt;0),(AT110-AU110)/AV110,"")</f>
        <v>0.5795454545454546</v>
      </c>
      <c r="AX110" s="8" t="n">
        <v>104</v>
      </c>
      <c r="AY110" s="8" t="n">
        <v>6</v>
      </c>
      <c r="AZ110" s="8" t="n">
        <v>178</v>
      </c>
      <c r="BA110" s="11" t="n">
        <f>IF(AND(COUNT(AX110:AZ110)=3,AX110&gt;=AY110,AY110&gt;=0,AZ110&gt;0),(AX110-AY110)/AZ110,"")</f>
        <v>0.550561797752809</v>
      </c>
      <c r="BB110" s="8" t="n">
        <f>IF(COUNT(AS110,AW110,BA110)=3,1,0)</f>
        <v>1</v>
      </c>
      <c r="BC110" s="11" t="n">
        <f>IF(SUMIF($AO$11:$AO$1309,AO110,$BB$11:$BB$1309)=COUNTIF($AO$11:$AO$1309,AO110),SUMIF($AO$11:$AO$1309,AO110,$AS$11:$AS$1309),"")</f>
        <v>3.5783079906501625</v>
      </c>
      <c r="BD110" s="11" t="n">
        <f>IF(SUMIF($AO$11:$AO$1309,AO110,$BB$11:$BB$1309)=COUNTIF($AO$11:$AO$1309,AO110),SUMIF($AO$11:$AO$1309,AO110,$AW$11:$AW$1309),"")</f>
        <v>3.376306165099269</v>
      </c>
      <c r="BE110" s="11" t="n">
        <f>IF(SUMIF($AO$11:$AO$1309,AO110,$BB$11:$BB$1309)=COUNTIF($AO$11:$AO$1309,AO110),SUMIF($AO$11:$AO$1309,AO110,$BA$11:$BA$1309),"")</f>
        <v>3.2539198882752487</v>
      </c>
      <c r="BF110" s="12" t="n">
        <f>IF(COUNT(BD110:BE110)&lt;&gt;2,"",IF(AND(BD110&gt;0,BE110&gt;0),0.7*AW110/BD110+0.3*BA110/BE110,IF(BD110&gt;0,AW110/BD110,IF(BE110&gt;0,BA110/BE110,IF(AND(ISNUMBER(BH110),BH110=0),0,"")))))</f>
        <v>0.17091538514874557</v>
      </c>
      <c r="BG110" s="11" t="n">
        <f>IF(AND(COUNT(BN110:BU110)=8,MIN(BN110:BU110)&gt;=0),SUMPRODUCT(BN110:BQ110,BR110:BU110),"")</f>
        <v>73.80791239847399</v>
      </c>
      <c r="BH110" s="11" t="n">
        <f>IF(COUNT(BC110,BG110)=2,BC110*BG110,"")</f>
        <v>264.10744270866667</v>
      </c>
      <c r="BI110" s="11" t="n">
        <f>IF(ISNUMBER(CI110),CI110,"")</f>
        <v>45.140025291202015</v>
      </c>
      <c r="BJ110" s="8" t="str"/>
      <c r="BK110" s="8" t="str">
        <v>90天：2026-07-20 至 2026-10-17；180天：2026-04-21 至 2026-10-17</v>
      </c>
      <c r="BL110" s="8" t="str">
        <v>90天：2026-10-06、2026-10-07；180天：2026-10-06、2026-10-07</v>
      </c>
      <c r="BM110" s="8" t="str">
        <v>2026-10：12天 × 1.2247029157699902；2026-11：30天 × 0.8332682139098497；2026-12：31天 × 0.5511018253564084；2027-01：17天 × 1.0017220238758797</v>
      </c>
      <c r="BN110" s="11" t="n">
        <v>1.2247029157699902</v>
      </c>
      <c r="BO110" s="11" t="n">
        <v>0.8332682139098497</v>
      </c>
      <c r="BP110" s="11" t="n">
        <v>0.5511018253564084</v>
      </c>
      <c r="BQ110" s="11" t="n">
        <v>1.0017220238758797</v>
      </c>
      <c r="BR110" s="8" t="n">
        <v>12</v>
      </c>
      <c r="BS110" s="8" t="n">
        <v>30</v>
      </c>
      <c r="BT110" s="8" t="n">
        <v>31</v>
      </c>
      <c r="BU110" s="8" t="n">
        <v>17</v>
      </c>
      <c r="BV110" s="11" t="n">
        <f>IF(COUNT(BC110,BF110)=2,BC110*BF110,"")</f>
        <v>0.6115878884028064</v>
      </c>
      <c r="BW110" s="11" t="n">
        <f>IF(ISNUMBER(BN110),BN110,"")</f>
        <v>1.2247029157699902</v>
      </c>
      <c r="BX110" s="14" t="n">
        <f>IF(ISNUMBER(BR110),BR110,"")</f>
        <v>12</v>
      </c>
      <c r="BY110" s="13" t="n">
        <f>IF(AND(COUNT(BV110,BW110,BX110)=3,MIN(BV110,BW110,BX110)&gt;=0),BV110*BW110*BX110,"")</f>
        <v>8.98816164211834</v>
      </c>
      <c r="BZ110" s="11" t="n">
        <f>IF(ISNUMBER(BO110),BO110,"")</f>
        <v>0.8332682139098497</v>
      </c>
      <c r="CA110" s="14" t="n">
        <f>IF(ISNUMBER(BS110),BS110,"")</f>
        <v>30</v>
      </c>
      <c r="CB110" s="13" t="n">
        <f>IF(AND(COUNT(BV110,BZ110,CA110)=3,MIN(BV110,BZ110,CA110)&gt;=0),BV110*BZ110*CA110,"")</f>
        <v>15.28850242254909</v>
      </c>
      <c r="CC110" s="11" t="n">
        <f>IF(ISNUMBER(BP110),BP110,"")</f>
        <v>0.5511018253564084</v>
      </c>
      <c r="CD110" s="14" t="n">
        <f>IF(ISNUMBER(BT110),BT110,"")</f>
        <v>31</v>
      </c>
      <c r="CE110" s="13" t="n">
        <f>IF(AND(COUNT(BV110,CC110,CD110)=3,MIN(BV110,CC110,CD110)&gt;=0),BV110*CC110*CD110,"")</f>
        <v>10.448463251604398</v>
      </c>
      <c r="CF110" s="11" t="n">
        <f>IF(ISNUMBER(BQ110),BQ110,"")</f>
        <v>1.0017220238758797</v>
      </c>
      <c r="CG110" s="14" t="n">
        <f>IF(ISNUMBER(BU110),BU110,"")</f>
        <v>17</v>
      </c>
      <c r="CH110" s="13" t="n">
        <f>IF(AND(COUNT(BV110,CF110,CG110)=3,MIN(BV110,CF110,CG110)&gt;=0),BV110*CF110*CG110,"")</f>
        <v>10.414897974930193</v>
      </c>
      <c r="CI110" s="13" t="n">
        <f>IF(COUNT(BY110,CB110,CE110,CH110)=4,SUM(BY110,CB110,CE110,CH110),"")</f>
        <v>45.140025291202015</v>
      </c>
    </row>
    <row r="111" ht="72" customHeight="1">
      <c r="A111" s="16" t="str">
        <v>B06-CFP-39</v>
      </c>
      <c r="B111" s="16" t="str">
        <v>1店-MUSSHOE-US</v>
      </c>
      <c r="C111" s="16" t="str">
        <v>艾年</v>
      </c>
      <c r="D111" s="26" t="n">
        <f>IF(NOT(ISNUMBER(E111)),"",IF(OR(E111&lt;=0,L111=0),0,IF(OR(NOT(ISNUMBER(F111)),F111&lt;0),"",MIN(E111,INT(F111)))))</f>
        <v>12</v>
      </c>
      <c r="E111" s="27" t="n">
        <f>IF(OR(NOT(ISNUMBER(L111)),COUNT(M111:O111)&lt;&gt;3,MIN(M111:O111)&lt;0),"",ROUNDUP(ROUND(BI111-SUM(M111:O111),10),0))</f>
        <v>12</v>
      </c>
      <c r="F111" s="28" t="n">
        <v>21</v>
      </c>
      <c r="G111" s="28" t="n">
        <f>IF(AND(ISNUMBER(D111),ISNUMBER(E111)),IF(OR(E111&lt;=0,L111=0),0,E111-D111),"")</f>
        <v>0</v>
      </c>
      <c r="H111" s="16" t="str">
        <f>IF(NOT(ISNUMBER(E111)),"销量或海外库存待补",IF(OR(E111&lt;=0,L111=0),IF(L111=0,"零日销，本批不发","本批无需补货"),IF(NOT(ISNUMBER(D111)),"国内库存待补",IF(D111=0,"国内无可用库存",IF(G111&gt;0,"先发国内现货","按建议量发货")))))</f>
        <v>按建议量发货</v>
      </c>
      <c r="I111" s="28" t="n">
        <f>IF(AND(COUNT(Z111,AA111,AB111)=3,Z111&gt;=AA111,AA111&gt;=0,AB111=7),Z111-AA111,"")</f>
        <v>5</v>
      </c>
      <c r="J111" s="28" t="n">
        <f>IF(AND(COUNT(AF111,AG111,AH111)=3,AF111&gt;=AG111,AG111&gt;=0,AH111=14),AF111-AG111,"")</f>
        <v>6</v>
      </c>
      <c r="K111" s="28" t="n">
        <f>IF(AND(COUNT(AL111,AM111,AN111)=3,AL111&gt;=AM111,AM111&gt;=0,AN111=30),AL111-AM111,"")</f>
        <v>7</v>
      </c>
      <c r="L111" s="29" t="n">
        <f>IF(ISNUMBER(BI111),BI111/90,"")</f>
        <v>0.17966328985877936</v>
      </c>
      <c r="M111" s="28" t="n">
        <v>5</v>
      </c>
      <c r="N111" s="28" t="n">
        <v>0</v>
      </c>
      <c r="O111" s="28" t="n">
        <v>0</v>
      </c>
      <c r="P111" s="30" t="n">
        <f>IF(AND(ISNUMBER(L111),L111&gt;0,COUNT(M111:O111)=3,MIN(M111:O111)&gt;=0),SUM(M111:O111)/L111,"")</f>
        <v>27.829836601178503</v>
      </c>
      <c r="Q111" s="16" t="str">
        <v>沿用原计划SKU店铺</v>
      </c>
      <c r="R111" s="16" t="str">
        <v>已匹配</v>
      </c>
      <c r="S111" s="16" t="str">
        <v>在售</v>
      </c>
      <c r="T111" s="16" t="str">
        <v>B06</v>
      </c>
      <c r="U111" s="16" t="str">
        <v>咖色PU</v>
      </c>
      <c r="V111" s="16" t="n">
        <v>8</v>
      </c>
      <c r="W111" s="8" t="str">
        <v>2026-10-11 至 2026-10-17</v>
      </c>
      <c r="X111" s="8" t="str">
        <v>2026-10-11、2026-10-12、2026-10-13、2026-10-14、2026-10-15、2026-10-16、2026-10-17</v>
      </c>
      <c r="Y111" s="8" t="str">
        <v>无</v>
      </c>
      <c r="Z111" s="8" t="n">
        <v>5</v>
      </c>
      <c r="AA111" s="8" t="n">
        <v>0</v>
      </c>
      <c r="AB111" s="8" t="n">
        <v>7</v>
      </c>
      <c r="AC111" s="8" t="str">
        <v>2026-10-02 至 2026-10-17</v>
      </c>
      <c r="AD111" s="8" t="str">
        <v>2026-10-02、2026-10-03、2026-10-04、2026-10-05、2026-10-08、2026-10-09、2026-10-10、2026-10-11、2026-10-12、2026-10-13、2026-10-14、2026-10-15、2026-10-16、2026-10-17</v>
      </c>
      <c r="AE111" s="8" t="str">
        <v>2026-10-06 大促；2026-10-07 大促</v>
      </c>
      <c r="AF111" s="8" t="n">
        <v>7</v>
      </c>
      <c r="AG111" s="8" t="n">
        <v>1</v>
      </c>
      <c r="AH111" s="8" t="n">
        <v>14</v>
      </c>
      <c r="AI111" s="8" t="str">
        <v>2026-09-16 至 2026-10-17</v>
      </c>
      <c r="AJ1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" s="8" t="str">
        <v>2026-10-06 大促；2026-10-07 大促</v>
      </c>
      <c r="AL111" s="8" t="n">
        <v>8</v>
      </c>
      <c r="AM111" s="8" t="n">
        <v>1</v>
      </c>
      <c r="AN111" s="8" t="n">
        <v>30</v>
      </c>
      <c r="AO111" s="8" t="str">
        <v>B06 / 咖色PU / 13120</v>
      </c>
      <c r="AP111" s="11" t="n">
        <v>1.2247029157699902</v>
      </c>
      <c r="AQ111" s="11" t="n">
        <v>1.2247029157699902</v>
      </c>
      <c r="AR111" s="11" t="n">
        <v>1.1136940657346173</v>
      </c>
      <c r="AS111" s="11" t="n">
        <f>IF(AND(COUNT(I111:K111,AP111:AR111)=6,MIN(AP111:AR111)&gt;0),I111/7/AP111*0.5+J111/14/AQ111*0.3+K111/30/AR111*0.2,"")</f>
        <v>0.4385002304472488</v>
      </c>
      <c r="AT111" s="8" t="n">
        <v>12</v>
      </c>
      <c r="AU111" s="8" t="n">
        <v>1</v>
      </c>
      <c r="AV111" s="8" t="n">
        <v>88</v>
      </c>
      <c r="AW111" s="11" t="n">
        <f>IF(AND(COUNT(AT111:AV111)=3,AT111&gt;=AU111,AU111&gt;=0,AV111&gt;0),(AT111-AU111)/AV111,"")</f>
        <v>0.125</v>
      </c>
      <c r="AX111" s="8" t="n">
        <v>29</v>
      </c>
      <c r="AY111" s="8" t="n">
        <v>1</v>
      </c>
      <c r="AZ111" s="8" t="n">
        <v>178</v>
      </c>
      <c r="BA111" s="11" t="n">
        <f>IF(AND(COUNT(AX111:AZ111)=3,AX111&gt;=AY111,AY111&gt;=0,AZ111&gt;0),(AX111-AY111)/AZ111,"")</f>
        <v>0.15730337078651685</v>
      </c>
      <c r="BB111" s="8" t="n">
        <f>IF(COUNT(AS111,AW111,BA111)=3,1,0)</f>
        <v>1</v>
      </c>
      <c r="BC111" s="11" t="n">
        <f>IF(SUMIF($AO$11:$AO$1309,AO111,$BB$11:$BB$1309)=COUNTIF($AO$11:$AO$1309,AO111),SUMIF($AO$11:$AO$1309,AO111,$AS$11:$AS$1309),"")</f>
        <v>2.611458509464822</v>
      </c>
      <c r="BD111" s="11" t="n">
        <f>IF(SUMIF($AO$11:$AO$1309,AO111,$BB$11:$BB$1309)=COUNTIF($AO$11:$AO$1309,AO111),SUMIF($AO$11:$AO$1309,AO111,$AW$11:$AW$1309),"")</f>
        <v>1.6638477801268499</v>
      </c>
      <c r="BE111" s="11" t="n">
        <f>IF(SUMIF($AO$11:$AO$1309,AO111,$BB$11:$BB$1309)=COUNTIF($AO$11:$AO$1309,AO111),SUMIF($AO$11:$AO$1309,AO111,$BA$11:$BA$1309),"")</f>
        <v>1.5075970377936672</v>
      </c>
      <c r="BF111" s="12" t="n">
        <f>IF(COUNT(BD111:BE111)&lt;&gt;2,"",IF(AND(BD111&gt;0,BE111&gt;0),0.7*AW111/BD111+0.3*BA111/BE111,IF(BD111&gt;0,AW111/BD111,IF(BE111&gt;0,BA111/BE111,IF(AND(ISNUMBER(BH111),BH111=0),0,"")))))</f>
        <v>0.08389108383344529</v>
      </c>
      <c r="BG111" s="11" t="n">
        <f>IF(AND(COUNT(BN111:BU111)=8,MIN(BN111:BU111)&gt;=0),SUMPRODUCT(BN111:BQ111,BR111:BU111),"")</f>
        <v>73.80791239847399</v>
      </c>
      <c r="BH111" s="11" t="n">
        <f>IF(COUNT(BC111,BG111)=2,BC111*BG111,"")</f>
        <v>192.74630089882905</v>
      </c>
      <c r="BI111" s="11" t="n">
        <f>IF(ISNUMBER(CI111),CI111,"")</f>
        <v>16.16969608729014</v>
      </c>
      <c r="BJ111" s="8" t="str">
        <v>低销提醒依据不完整</v>
      </c>
      <c r="BK111" s="8" t="str">
        <v>90天：2026-07-20 至 2026-10-17；180天：2026-04-21 至 2026-10-17</v>
      </c>
      <c r="BL111" s="8" t="str">
        <v>90天：2026-10-06、2026-10-07；180天：2026-10-06、2026-10-07</v>
      </c>
      <c r="BM111" s="8" t="str">
        <v>2026-10：12天 × 1.2247029157699902；2026-11：30天 × 0.8332682139098497；2026-12：31天 × 0.5511018253564084；2027-01：17天 × 1.0017220238758797</v>
      </c>
      <c r="BN111" s="11" t="n">
        <v>1.2247029157699902</v>
      </c>
      <c r="BO111" s="11" t="n">
        <v>0.8332682139098497</v>
      </c>
      <c r="BP111" s="11" t="n">
        <v>0.5511018253564084</v>
      </c>
      <c r="BQ111" s="11" t="n">
        <v>1.0017220238758797</v>
      </c>
      <c r="BR111" s="8" t="n">
        <v>12</v>
      </c>
      <c r="BS111" s="8" t="n">
        <v>30</v>
      </c>
      <c r="BT111" s="8" t="n">
        <v>31</v>
      </c>
      <c r="BU111" s="8" t="n">
        <v>17</v>
      </c>
      <c r="BV111" s="11" t="n">
        <f>IF(COUNT(BC111,BF111)=2,BC111*BF111,"")</f>
        <v>0.21907808474507748</v>
      </c>
      <c r="BW111" s="11" t="n">
        <f>IF(ISNUMBER(BN111),BN111,"")</f>
        <v>1.2247029157699902</v>
      </c>
      <c r="BX111" s="14" t="n">
        <f>IF(ISNUMBER(BR111),BR111,"")</f>
        <v>12</v>
      </c>
      <c r="BY111" s="13" t="n">
        <f>IF(AND(COUNT(BV111,BW111,BX111)=3,MIN(BV111,BW111,BX111)&gt;=0),BV111*BW111*BX111,"")</f>
        <v>3.2196668300232174</v>
      </c>
      <c r="BZ111" s="11" t="n">
        <f>IF(ISNUMBER(BO111),BO111,"")</f>
        <v>0.8332682139098497</v>
      </c>
      <c r="CA111" s="14" t="n">
        <f>IF(ISNUMBER(BS111),BS111,"")</f>
        <v>30</v>
      </c>
      <c r="CB111" s="13" t="n">
        <f>IF(AND(COUNT(BV111,BZ111,CA111)=3,MIN(BV111,BZ111,CA111)&gt;=0),BV111*BZ111*CA111,"")</f>
        <v>5.476524131469642</v>
      </c>
      <c r="CC111" s="11" t="n">
        <f>IF(ISNUMBER(BP111),BP111,"")</f>
        <v>0.5511018253564084</v>
      </c>
      <c r="CD111" s="14" t="n">
        <f>IF(ISNUMBER(BT111),BT111,"")</f>
        <v>31</v>
      </c>
      <c r="CE111" s="13" t="n">
        <f>IF(AND(COUNT(BV111,CC111,CD111)=3,MIN(BV111,CC111,CD111)&gt;=0),BV111*CC111*CD111,"")</f>
        <v>3.742764304356542</v>
      </c>
      <c r="CF111" s="11" t="n">
        <f>IF(ISNUMBER(BQ111),BQ111,"")</f>
        <v>1.0017220238758797</v>
      </c>
      <c r="CG111" s="14" t="n">
        <f>IF(ISNUMBER(BU111),BU111,"")</f>
        <v>17</v>
      </c>
      <c r="CH111" s="13" t="n">
        <f>IF(AND(COUNT(BV111,CF111,CG111)=3,MIN(BV111,CF111,CG111)&gt;=0),BV111*CF111*CG111,"")</f>
        <v>3.7307408214407385</v>
      </c>
      <c r="CI111" s="13" t="n">
        <f>IF(COUNT(BY111,CB111,CE111,CH111)=4,SUM(BY111,CB111,CE111,CH111),"")</f>
        <v>16.16969608729014</v>
      </c>
    </row>
    <row r="112" ht="72" customHeight="1">
      <c r="A112" s="16" t="str">
        <v>B06-ND-37.5</v>
      </c>
      <c r="B112" s="16" t="str">
        <v>1店-MUSSHOE-US</v>
      </c>
      <c r="C112" s="16" t="str">
        <v>艾年</v>
      </c>
      <c r="D112" s="26" t="n">
        <f>IF(NOT(ISNUMBER(E112)),"",IF(OR(E112&lt;=0,L112=0),0,IF(OR(NOT(ISNUMBER(F112)),F112&lt;0),"",MIN(E112,INT(F112)))))</f>
        <v>12</v>
      </c>
      <c r="E112" s="27" t="n">
        <f>IF(OR(NOT(ISNUMBER(L112)),COUNT(M112:O112)&lt;&gt;3,MIN(M112:O112)&lt;0),"",ROUNDUP(ROUND(BI112-SUM(M112:O112),10),0))</f>
        <v>12</v>
      </c>
      <c r="F112" s="28" t="n">
        <v>58</v>
      </c>
      <c r="G112" s="28" t="n">
        <f>IF(AND(ISNUMBER(D112),ISNUMBER(E112)),IF(OR(E112&lt;=0,L112=0),0,E112-D112),"")</f>
        <v>0</v>
      </c>
      <c r="H112" s="16" t="str">
        <f>IF(NOT(ISNUMBER(E112)),"销量或海外库存待补",IF(OR(E112&lt;=0,L112=0),IF(L112=0,"零日销，本批不发","本批无需补货"),IF(NOT(ISNUMBER(D112)),"国内库存待补",IF(D112=0,"国内无可用库存",IF(G112&gt;0,"先发国内现货","按建议量发货")))))</f>
        <v>按建议量发货</v>
      </c>
      <c r="I112" s="28" t="n">
        <f>IF(AND(COUNT(Z112,AA112,AB112)=3,Z112&gt;=AA112,AA112&gt;=0,AB112=7),Z112-AA112,"")</f>
        <v>3</v>
      </c>
      <c r="J112" s="28" t="n">
        <f>IF(AND(COUNT(AF112,AG112,AH112)=3,AF112&gt;=AG112,AG112&gt;=0,AH112=14),AF112-AG112,"")</f>
        <v>6</v>
      </c>
      <c r="K112" s="28" t="n">
        <f>IF(AND(COUNT(AL112,AM112,AN112)=3,AL112&gt;=AM112,AM112&gt;=0,AN112=30),AL112-AM112,"")</f>
        <v>17</v>
      </c>
      <c r="L112" s="29" t="n">
        <f>IF(ISNUMBER(BI112),BI112/90,"")</f>
        <v>0.4744275651157912</v>
      </c>
      <c r="M112" s="28" t="n">
        <v>31</v>
      </c>
      <c r="N112" s="28" t="n">
        <v>0</v>
      </c>
      <c r="O112" s="28" t="n">
        <v>0</v>
      </c>
      <c r="P112" s="30" t="n">
        <f>IF(AND(ISNUMBER(L112),L112&gt;0,COUNT(M112:O112)=3,MIN(M112:O112)&gt;=0),SUM(M112:O112)/L112,"")</f>
        <v>65.34190312578905</v>
      </c>
      <c r="Q112" s="16" t="str">
        <v>沿用原计划SKU店铺</v>
      </c>
      <c r="R112" s="16" t="str">
        <v>已匹配</v>
      </c>
      <c r="S112" s="16" t="str">
        <v>在售</v>
      </c>
      <c r="T112" s="16" t="str">
        <v>B06</v>
      </c>
      <c r="U112" s="16" t="str">
        <v>裸色羊京绒</v>
      </c>
      <c r="V112" s="16" t="n">
        <v>6.5</v>
      </c>
      <c r="W112" s="8" t="str">
        <v>2026-10-11 至 2026-10-17</v>
      </c>
      <c r="X112" s="8" t="str">
        <v>2026-10-11、2026-10-12、2026-10-13、2026-10-14、2026-10-15、2026-10-16、2026-10-17</v>
      </c>
      <c r="Y112" s="8" t="str">
        <v>无</v>
      </c>
      <c r="Z112" s="8" t="n">
        <v>3</v>
      </c>
      <c r="AA112" s="8" t="n">
        <v>0</v>
      </c>
      <c r="AB112" s="8" t="n">
        <v>7</v>
      </c>
      <c r="AC112" s="8" t="str">
        <v>2026-10-02 至 2026-10-17</v>
      </c>
      <c r="AD112" s="8" t="str">
        <v>2026-10-02、2026-10-03、2026-10-04、2026-10-05、2026-10-08、2026-10-09、2026-10-10、2026-10-11、2026-10-12、2026-10-13、2026-10-14、2026-10-15、2026-10-16、2026-10-17</v>
      </c>
      <c r="AE112" s="8" t="str">
        <v>2026-10-06 大促；2026-10-07 大促</v>
      </c>
      <c r="AF112" s="8" t="n">
        <v>8</v>
      </c>
      <c r="AG112" s="8" t="n">
        <v>2</v>
      </c>
      <c r="AH112" s="8" t="n">
        <v>14</v>
      </c>
      <c r="AI112" s="8" t="str">
        <v>2026-09-16 至 2026-10-17</v>
      </c>
      <c r="AJ1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" s="8" t="str">
        <v>2026-10-06 大促；2026-10-07 大促</v>
      </c>
      <c r="AL112" s="8" t="n">
        <v>19</v>
      </c>
      <c r="AM112" s="8" t="n">
        <v>2</v>
      </c>
      <c r="AN112" s="8" t="n">
        <v>30</v>
      </c>
      <c r="AO112" s="8" t="str">
        <v>B06 / 裸色羊京绒 / 13120</v>
      </c>
      <c r="AP112" s="11" t="n">
        <v>1.2247029157699902</v>
      </c>
      <c r="AQ112" s="11" t="n">
        <v>1.2247029157699902</v>
      </c>
      <c r="AR112" s="11" t="n">
        <v>1.1136940657346173</v>
      </c>
      <c r="AS112" s="11" t="n">
        <f>IF(AND(COUNT(I112:K112,AP112:AR112)=6,MIN(AP112:AR112)&gt;0),I112/7/AP112*0.5+J112/14/AQ112*0.3+K112/30/AR112*0.2,"")</f>
        <v>0.38171470977365457</v>
      </c>
      <c r="AT112" s="8" t="n">
        <v>80</v>
      </c>
      <c r="AU112" s="8" t="n">
        <v>2</v>
      </c>
      <c r="AV112" s="8" t="n">
        <v>88</v>
      </c>
      <c r="AW112" s="11" t="n">
        <f>IF(AND(COUNT(AT112:AV112)=3,AT112&gt;=AU112,AU112&gt;=0,AV112&gt;0),(AT112-AU112)/AV112,"")</f>
        <v>0.8863636363636364</v>
      </c>
      <c r="AX112" s="8" t="n">
        <v>129</v>
      </c>
      <c r="AY112" s="8" t="n">
        <v>2</v>
      </c>
      <c r="AZ112" s="8" t="n">
        <v>178</v>
      </c>
      <c r="BA112" s="11" t="n">
        <f>IF(AND(COUNT(AX112:AZ112)=3,AX112&gt;=AY112,AY112&gt;=0,AZ112&gt;0),(AX112-AY112)/AZ112,"")</f>
        <v>0.7134831460674157</v>
      </c>
      <c r="BB112" s="8" t="n">
        <f>IF(COUNT(AS112,AW112,BA112)=3,1,0)</f>
        <v>1</v>
      </c>
      <c r="BC112" s="11" t="n">
        <f>IF(SUMIF($AO$11:$AO$1309,AO112,$BB$11:$BB$1309)=COUNTIF($AO$11:$AO$1309,AO112),SUMIF($AO$11:$AO$1309,AO112,$AS$11:$AS$1309),"")</f>
        <v>10.520823885219587</v>
      </c>
      <c r="BD112" s="11" t="n">
        <f>IF(SUMIF($AO$11:$AO$1309,AO112,$BB$11:$BB$1309)=COUNTIF($AO$11:$AO$1309,AO112),SUMIF($AO$11:$AO$1309,AO112,$AW$11:$AW$1309),"")</f>
        <v>15.750802139037434</v>
      </c>
      <c r="BE112" s="11" t="n">
        <f>IF(SUMIF($AO$11:$AO$1309,AO112,$BB$11:$BB$1309)=COUNTIF($AO$11:$AO$1309,AO112),SUMIF($AO$11:$AO$1309,AO112,$BA$11:$BA$1309),"")</f>
        <v>13.725200642054572</v>
      </c>
      <c r="BF112" s="12" t="n">
        <f>IF(COUNT(BD112:BE112)&lt;&gt;2,"",IF(AND(BD112&gt;0,BE112&gt;0),0.7*AW112/BD112+0.3*BA112/BE112,IF(BD112&gt;0,AW112/BD112,IF(BE112&gt;0,BA112/BE112,IF(AND(ISNUMBER(BH112),BH112=0),0,"")))))</f>
        <v>0.05498696522773322</v>
      </c>
      <c r="BG112" s="11" t="n">
        <f>IF(AND(COUNT(BN112:BU112)=8,MIN(BN112:BU112)&gt;=0),SUMPRODUCT(BN112:BQ112,BR112:BU112),"")</f>
        <v>73.80791239847399</v>
      </c>
      <c r="BH112" s="11" t="n">
        <f>IF(COUNT(BC112,BG112)=2,BC112*BG112,"")</f>
        <v>776.52004768006</v>
      </c>
      <c r="BI112" s="11" t="n">
        <f>IF(ISNUMBER(CI112),CI112,"")</f>
        <v>42.698480860421206</v>
      </c>
      <c r="BJ112" s="8" t="str">
        <v>低销提醒依据不完整</v>
      </c>
      <c r="BK112" s="8" t="str">
        <v>90天：2026-07-20 至 2026-10-17；180天：2026-04-21 至 2026-10-17</v>
      </c>
      <c r="BL112" s="8" t="str">
        <v>90天：2026-10-06、2026-10-07；180天：2026-10-06、2026-10-07</v>
      </c>
      <c r="BM112" s="8" t="str">
        <v>2026-10：12天 × 1.2247029157699902；2026-11：30天 × 0.8332682139098497；2026-12：31天 × 0.5511018253564084；2027-01：17天 × 1.0017220238758797</v>
      </c>
      <c r="BN112" s="11" t="n">
        <v>1.2247029157699902</v>
      </c>
      <c r="BO112" s="11" t="n">
        <v>0.8332682139098497</v>
      </c>
      <c r="BP112" s="11" t="n">
        <v>0.5511018253564084</v>
      </c>
      <c r="BQ112" s="11" t="n">
        <v>1.0017220238758797</v>
      </c>
      <c r="BR112" s="8" t="n">
        <v>12</v>
      </c>
      <c r="BS112" s="8" t="n">
        <v>30</v>
      </c>
      <c r="BT112" s="8" t="n">
        <v>31</v>
      </c>
      <c r="BU112" s="8" t="n">
        <v>17</v>
      </c>
      <c r="BV112" s="11" t="n">
        <f>IF(COUNT(BC112,BF112)=2,BC112*BF112,"")</f>
        <v>0.5785081771436745</v>
      </c>
      <c r="BW112" s="11" t="n">
        <f>IF(ISNUMBER(BN112),BN112,"")</f>
        <v>1.2247029157699902</v>
      </c>
      <c r="BX112" s="14" t="n">
        <f>IF(ISNUMBER(BR112),BR112,"")</f>
        <v>12</v>
      </c>
      <c r="BY112" s="13" t="n">
        <f>IF(AND(COUNT(BV112,BW112,BX112)=3,MIN(BV112,BW112,BX112)&gt;=0),BV112*BW112*BX112,"")</f>
        <v>8.502007816135682</v>
      </c>
      <c r="BZ112" s="11" t="n">
        <f>IF(ISNUMBER(BO112),BO112,"")</f>
        <v>0.8332682139098497</v>
      </c>
      <c r="CA112" s="14" t="n">
        <f>IF(ISNUMBER(BS112),BS112,"")</f>
        <v>30</v>
      </c>
      <c r="CB112" s="13" t="n">
        <f>IF(AND(COUNT(BV112,BZ112,CA112)=3,MIN(BV112,BZ112,CA112)&gt;=0),BV112*BZ112*CA112,"")</f>
        <v>14.461574265022579</v>
      </c>
      <c r="CC112" s="11" t="n">
        <f>IF(ISNUMBER(BP112),BP112,"")</f>
        <v>0.5511018253564084</v>
      </c>
      <c r="CD112" s="14" t="n">
        <f>IF(ISNUMBER(BT112),BT112,"")</f>
        <v>31</v>
      </c>
      <c r="CE112" s="13" t="n">
        <f>IF(AND(COUNT(BV112,CC112,CD112)=3,MIN(BV112,CC112,CD112)&gt;=0),BV112*CC112*CD112,"")</f>
        <v>9.883324284632112</v>
      </c>
      <c r="CF112" s="11" t="n">
        <f>IF(ISNUMBER(BQ112),BQ112,"")</f>
        <v>1.0017220238758797</v>
      </c>
      <c r="CG112" s="14" t="n">
        <f>IF(ISNUMBER(BU112),BU112,"")</f>
        <v>17</v>
      </c>
      <c r="CH112" s="13" t="n">
        <f>IF(AND(COUNT(BV112,CF112,CG112)=3,MIN(BV112,CF112,CG112)&gt;=0),BV112*CF112*CG112,"")</f>
        <v>9.85157449463083</v>
      </c>
      <c r="CI112" s="13" t="n">
        <f>IF(COUNT(BY112,CB112,CE112,CH112)=4,SUM(BY112,CB112,CE112,CH112),"")</f>
        <v>42.698480860421206</v>
      </c>
    </row>
    <row r="113" ht="72" customHeight="1">
      <c r="A113" s="16" t="str">
        <v>B06-SP-39.5</v>
      </c>
      <c r="B113" s="16" t="str">
        <v>1店-MUSSHOE-US</v>
      </c>
      <c r="C113" s="16" t="str">
        <v>艾年</v>
      </c>
      <c r="D113" s="26" t="n">
        <f>IF(NOT(ISNUMBER(E113)),"",IF(OR(E113&lt;=0,L113=0),0,IF(OR(NOT(ISNUMBER(F113)),F113&lt;0),"",MIN(E113,INT(F113)))))</f>
        <v>12</v>
      </c>
      <c r="E113" s="27" t="n">
        <f>IF(OR(NOT(ISNUMBER(L113)),COUNT(M113:O113)&lt;&gt;3,MIN(M113:O113)&lt;0),"",ROUNDUP(ROUND(BI113-SUM(M113:O113),10),0))</f>
        <v>12</v>
      </c>
      <c r="F113" s="28" t="n">
        <v>52</v>
      </c>
      <c r="G113" s="28" t="n">
        <f>IF(AND(ISNUMBER(D113),ISNUMBER(E113)),IF(OR(E113&lt;=0,L113=0),0,E113-D113),"")</f>
        <v>0</v>
      </c>
      <c r="H113" s="16" t="str">
        <f>IF(NOT(ISNUMBER(E113)),"销量或海外库存待补",IF(OR(E113&lt;=0,L113=0),IF(L113=0,"零日销，本批不发","本批无需补货"),IF(NOT(ISNUMBER(D113)),"国内库存待补",IF(D113=0,"国内无可用库存",IF(G113&gt;0,"先发国内现货","按建议量发货")))))</f>
        <v>按建议量发货</v>
      </c>
      <c r="I113" s="28" t="n">
        <f>IF(AND(COUNT(Z113,AA113,AB113)=3,Z113&gt;=AA113,AA113&gt;=0,AB113=7),Z113-AA113,"")</f>
        <v>0</v>
      </c>
      <c r="J113" s="28" t="n">
        <f>IF(AND(COUNT(AF113,AG113,AH113)=3,AF113&gt;=AG113,AG113&gt;=0,AH113=14),AF113-AG113,"")</f>
        <v>0</v>
      </c>
      <c r="K113" s="28" t="n">
        <f>IF(AND(COUNT(AL113,AM113,AN113)=3,AL113&gt;=AM113,AM113&gt;=0,AN113=30),AL113-AM113,"")</f>
        <v>2</v>
      </c>
      <c r="L113" s="29" t="n">
        <f>IF(ISNUMBER(BI113),BI113/90,"")</f>
        <v>0.14302285477624688</v>
      </c>
      <c r="M113" s="28" t="n">
        <v>1</v>
      </c>
      <c r="N113" s="28" t="n">
        <v>0</v>
      </c>
      <c r="O113" s="28" t="n">
        <v>0</v>
      </c>
      <c r="P113" s="30" t="n">
        <f>IF(AND(ISNUMBER(L113),L113&gt;0,COUNT(M113:O113)=3,MIN(M113:O113)&gt;=0),SUM(M113:O113)/L113,"")</f>
        <v>6.991889523981724</v>
      </c>
      <c r="Q113" s="16" t="str">
        <v>沿用原计划SKU店铺</v>
      </c>
      <c r="R113" s="16" t="str">
        <v>已匹配</v>
      </c>
      <c r="S113" s="16" t="str">
        <v>停售</v>
      </c>
      <c r="T113" s="16" t="str">
        <v>B06</v>
      </c>
      <c r="U113" s="16" t="str">
        <v>蛇纹PU</v>
      </c>
      <c r="V113" s="16" t="n">
        <v>8.5</v>
      </c>
      <c r="W113" s="8" t="str">
        <v>2026-10-08 至 2026-10-17</v>
      </c>
      <c r="X113" s="8" t="str">
        <v>2026-10-08、2026-10-09、2026-10-10、2026-10-11、2026-10-14、2026-10-15、2026-10-17</v>
      </c>
      <c r="Y113" s="8" t="str">
        <v>2026-10-12 有记录的停售日；2026-10-13 有记录的停售日；2026-10-16 有记录的停售日</v>
      </c>
      <c r="Z113" s="8" t="n">
        <v>0</v>
      </c>
      <c r="AA113" s="8" t="n">
        <v>0</v>
      </c>
      <c r="AB113" s="8" t="n">
        <v>7</v>
      </c>
      <c r="AC113" s="8" t="str">
        <v>2026-09-29 至 2026-10-17</v>
      </c>
      <c r="AD113" s="8" t="str">
        <v>2026-09-29、2026-09-30、2026-10-01、2026-10-02、2026-10-03、2026-10-04、2026-10-05、2026-10-08、2026-10-09、2026-10-10、2026-10-11、2026-10-14、2026-10-15、2026-10-17</v>
      </c>
      <c r="AE113" s="8" t="str">
        <v>2026-10-06 大促；2026-10-07 大促；2026-10-12 有记录的停售日；2026-10-13 有记录的停售日；2026-10-16 有记录的停售日</v>
      </c>
      <c r="AF113" s="8" t="n">
        <v>0</v>
      </c>
      <c r="AG113" s="8" t="n">
        <v>0</v>
      </c>
      <c r="AH113" s="8" t="n">
        <v>14</v>
      </c>
      <c r="AI113" s="8" t="str">
        <v>2026-09-13 至 2026-10-17</v>
      </c>
      <c r="AJ11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3" s="8" t="str">
        <v>2026-10-06 大促；2026-10-07 大促；2026-10-12 有记录的停售日；2026-10-13 有记录的停售日；2026-10-16 有记录的停售日</v>
      </c>
      <c r="AL113" s="8" t="n">
        <v>2</v>
      </c>
      <c r="AM113" s="8" t="n">
        <v>0</v>
      </c>
      <c r="AN113" s="8" t="n">
        <v>30</v>
      </c>
      <c r="AO113" s="8" t="str">
        <v>B06 / 蛇纹PU / 13120</v>
      </c>
      <c r="AP113" s="11" t="n">
        <v>1.2247029157699902</v>
      </c>
      <c r="AQ113" s="11" t="n">
        <v>1.1929861014741694</v>
      </c>
      <c r="AR113" s="11" t="n">
        <v>1.0914922957275428</v>
      </c>
      <c r="AS113" s="11" t="n">
        <f>IF(AND(COUNT(I113:K113,AP113:AR113)=6,MIN(AP113:AR113)&gt;0),I113/7/AP113*0.5+J113/14/AQ113*0.3+K113/30/AR113*0.2,"")</f>
        <v>0.012215691659505389</v>
      </c>
      <c r="AT113" s="8" t="n">
        <v>12</v>
      </c>
      <c r="AU113" s="8" t="n">
        <v>0</v>
      </c>
      <c r="AV113" s="8" t="n">
        <v>85</v>
      </c>
      <c r="AW113" s="11" t="n">
        <f>IF(AND(COUNT(AT113:AV113)=3,AT113&gt;=AU113,AU113&gt;=0,AV113&gt;0),(AT113-AU113)/AV113,"")</f>
        <v>0.1411764705882353</v>
      </c>
      <c r="AX113" s="8" t="n">
        <v>46</v>
      </c>
      <c r="AY113" s="8" t="n">
        <v>0</v>
      </c>
      <c r="AZ113" s="8" t="n">
        <v>175</v>
      </c>
      <c r="BA113" s="11" t="n">
        <f>IF(AND(COUNT(AX113:AZ113)=3,AX113&gt;=AY113,AY113&gt;=0,AZ113&gt;0),(AX113-AY113)/AZ113,"")</f>
        <v>0.26285714285714284</v>
      </c>
      <c r="BB113" s="8" t="n">
        <f>IF(COUNT(AS113,AW113,BA113)=3,1,0)</f>
        <v>1</v>
      </c>
      <c r="BC113" s="11" t="n">
        <f>IF(SUMIF($AO$11:$AO$1309,AO113,$BB$11:$BB$1309)=COUNTIF($AO$11:$AO$1309,AO113),SUMIF($AO$11:$AO$1309,AO113,$AS$11:$AS$1309),"")</f>
        <v>0.9486156980046698</v>
      </c>
      <c r="BD113" s="11" t="n">
        <f>IF(SUMIF($AO$11:$AO$1309,AO113,$BB$11:$BB$1309)=COUNTIF($AO$11:$AO$1309,AO113),SUMIF($AO$11:$AO$1309,AO113,$AW$11:$AW$1309),"")</f>
        <v>0.7897058823529413</v>
      </c>
      <c r="BE113" s="11" t="n">
        <f>IF(SUMIF($AO$11:$AO$1309,AO113,$BB$11:$BB$1309)=COUNTIF($AO$11:$AO$1309,AO113),SUMIF($AO$11:$AO$1309,AO113,$BA$11:$BA$1309),"")</f>
        <v>1.343242375601926</v>
      </c>
      <c r="BF113" s="12" t="n">
        <f>IF(COUNT(BD113:BE113)&lt;&gt;2,"",IF(AND(BD113&gt;0,BE113&gt;0),0.7*AW113/BD113+0.3*BA113/BE113,IF(BD113&gt;0,AW113/BD113,IF(BE113&gt;0,BA113/BE113,IF(AND(ISNUMBER(BH113),BH113=0),0,"")))))</f>
        <v>0.183846227588275</v>
      </c>
      <c r="BG113" s="11" t="n">
        <f>IF(AND(COUNT(BN113:BU113)=8,MIN(BN113:BU113)&gt;=0),SUMPRODUCT(BN113:BQ113,BR113:BU113),"")</f>
        <v>73.80791239847399</v>
      </c>
      <c r="BH113" s="11" t="n">
        <f>IF(COUNT(BC113,BG113)=2,BC113*BG113,"")</f>
        <v>70.01534433814592</v>
      </c>
      <c r="BI113" s="11" t="n">
        <f>IF(ISNUMBER(CI113),CI113,"")</f>
        <v>12.872056929862218</v>
      </c>
      <c r="BJ113" s="8" t="str"/>
      <c r="BK113" s="8" t="str">
        <v>90天：2026-07-20 至 2026-10-17；180天：2026-04-21 至 2026-10-17</v>
      </c>
      <c r="BL113" s="8" t="str">
        <v>90天：2026-10-06、2026-10-07、2026-10-12、2026-10-13、2026-10-16；180天：2026-10-06、2026-10-07、2026-10-12、2026-10-13、2026-10-16</v>
      </c>
      <c r="BM113" s="8" t="str">
        <v>2026-10：12天 × 1.2247029157699902；2026-11：30天 × 0.8332682139098497；2026-12：31天 × 0.5511018253564084；2027-01：17天 × 1.0017220238758797</v>
      </c>
      <c r="BN113" s="11" t="n">
        <v>1.2247029157699902</v>
      </c>
      <c r="BO113" s="11" t="n">
        <v>0.8332682139098497</v>
      </c>
      <c r="BP113" s="11" t="n">
        <v>0.5511018253564084</v>
      </c>
      <c r="BQ113" s="11" t="n">
        <v>1.0017220238758797</v>
      </c>
      <c r="BR113" s="8" t="n">
        <v>12</v>
      </c>
      <c r="BS113" s="8" t="n">
        <v>30</v>
      </c>
      <c r="BT113" s="8" t="n">
        <v>31</v>
      </c>
      <c r="BU113" s="8" t="n">
        <v>17</v>
      </c>
      <c r="BV113" s="11" t="n">
        <f>IF(COUNT(BC113,BF113)=2,BC113*BF113,"")</f>
        <v>0.1743994175091769</v>
      </c>
      <c r="BW113" s="11" t="n">
        <f>IF(ISNUMBER(BN113),BN113,"")</f>
        <v>1.2247029157699902</v>
      </c>
      <c r="BX113" s="14" t="n">
        <f>IF(ISNUMBER(BR113),BR113,"")</f>
        <v>12</v>
      </c>
      <c r="BY113" s="13" t="n">
        <f>IF(AND(COUNT(BV113,BW113,BX113)=3,MIN(BV113,BW113,BX113)&gt;=0),BV113*BW113*BX113,"")</f>
        <v>2.563049701584922</v>
      </c>
      <c r="BZ113" s="11" t="n">
        <f>IF(ISNUMBER(BO113),BO113,"")</f>
        <v>0.8332682139098497</v>
      </c>
      <c r="CA113" s="14" t="n">
        <f>IF(ISNUMBER(BS113),BS113,"")</f>
        <v>30</v>
      </c>
      <c r="CB113" s="13" t="n">
        <f>IF(AND(COUNT(BV113,BZ113,CA113)=3,MIN(BV113,BZ113,CA113)&gt;=0),BV113*BZ113*CA113,"")</f>
        <v>4.3596447340437</v>
      </c>
      <c r="CC113" s="11" t="n">
        <f>IF(ISNUMBER(BP113),BP113,"")</f>
        <v>0.5511018253564084</v>
      </c>
      <c r="CD113" s="14" t="n">
        <f>IF(ISNUMBER(BT113),BT113,"")</f>
        <v>31</v>
      </c>
      <c r="CE113" s="13" t="n">
        <f>IF(AND(COUNT(BV113,CC113,CD113)=3,MIN(BV113,CC113,CD113)&gt;=0),BV113*CC113*CD113,"")</f>
        <v>2.979466957242454</v>
      </c>
      <c r="CF113" s="11" t="n">
        <f>IF(ISNUMBER(BQ113),BQ113,"")</f>
        <v>1.0017220238758797</v>
      </c>
      <c r="CG113" s="14" t="n">
        <f>IF(ISNUMBER(BU113),BU113,"")</f>
        <v>17</v>
      </c>
      <c r="CH113" s="13" t="n">
        <f>IF(AND(COUNT(BV113,CF113,CG113)=3,MIN(BV113,CF113,CG113)&gt;=0),BV113*CF113*CG113,"")</f>
        <v>2.9698955369911424</v>
      </c>
      <c r="CI113" s="13" t="n">
        <f>IF(COUNT(BY113,CB113,CE113,CH113)=4,SUM(BY113,CB113,CE113,CH113),"")</f>
        <v>12.872056929862218</v>
      </c>
    </row>
    <row r="114" ht="72" customHeight="1">
      <c r="A114" s="16" t="str">
        <v>B06b-BK-41</v>
      </c>
      <c r="B114" s="16" t="str">
        <v>1店-MUSSHOE-US</v>
      </c>
      <c r="C114" s="16" t="str">
        <v>艾年</v>
      </c>
      <c r="D114" s="26" t="n">
        <f>IF(NOT(ISNUMBER(E114)),"",IF(OR(E114&lt;=0,L114=0),0,IF(OR(NOT(ISNUMBER(F114)),F114&lt;0),"",MIN(E114,INT(F114)))))</f>
        <v>12</v>
      </c>
      <c r="E114" s="27" t="n">
        <f>IF(OR(NOT(ISNUMBER(L114)),COUNT(M114:O114)&lt;&gt;3,MIN(M114:O114)&lt;0),"",ROUNDUP(ROUND(BI114-SUM(M114:O114),10),0))</f>
        <v>12</v>
      </c>
      <c r="F114" s="28" t="n">
        <v>67</v>
      </c>
      <c r="G114" s="28" t="n">
        <f>IF(AND(ISNUMBER(D114),ISNUMBER(E114)),IF(OR(E114&lt;=0,L114=0),0,E114-D114),"")</f>
        <v>0</v>
      </c>
      <c r="H114" s="16" t="str">
        <f>IF(NOT(ISNUMBER(E114)),"销量或海外库存待补",IF(OR(E114&lt;=0,L114=0),IF(L114=0,"零日销，本批不发","本批无需补货"),IF(NOT(ISNUMBER(D114)),"国内库存待补",IF(D114=0,"国内无可用库存",IF(G114&gt;0,"先发国内现货","按建议量发货")))))</f>
        <v>按建议量发货</v>
      </c>
      <c r="I114" s="28" t="n">
        <f>IF(AND(COUNT(Z114,AA114,AB114)=3,Z114&gt;=AA114,AA114&gt;=0,AB114=7),Z114-AA114,"")</f>
        <v>5</v>
      </c>
      <c r="J114" s="28" t="n">
        <f>IF(AND(COUNT(AF114,AG114,AH114)=3,AF114&gt;=AG114,AG114&gt;=0,AH114=14),AF114-AG114,"")</f>
        <v>6</v>
      </c>
      <c r="K114" s="28" t="n">
        <f>IF(AND(COUNT(AL114,AM114,AN114)=3,AL114&gt;=AM114,AM114&gt;=0,AN114=30),AL114-AM114,"")</f>
        <v>13</v>
      </c>
      <c r="L114" s="29" t="n">
        <f>IF(ISNUMBER(BI114),BI114/90,"")</f>
        <v>0.36541792321278277</v>
      </c>
      <c r="M114" s="28" t="n">
        <v>21</v>
      </c>
      <c r="N114" s="28" t="n">
        <v>0</v>
      </c>
      <c r="O114" s="28" t="n">
        <v>0</v>
      </c>
      <c r="P114" s="30" t="n">
        <f>IF(AND(ISNUMBER(L114),L114&gt;0,COUNT(M114:O114)=3,MIN(M114:O114)&gt;=0),SUM(M114:O114)/L114,"")</f>
        <v>57.468445486653664</v>
      </c>
      <c r="Q114" s="16" t="str">
        <v>沿用原计划SKU店铺</v>
      </c>
      <c r="R114" s="16" t="str">
        <v>已匹配</v>
      </c>
      <c r="S114" s="16" t="str">
        <v>在售</v>
      </c>
      <c r="T114" s="16" t="str">
        <v>B06b</v>
      </c>
      <c r="U114" s="16" t="str">
        <v>黑色羊京绒</v>
      </c>
      <c r="V114" s="16" t="n">
        <v>10</v>
      </c>
      <c r="W114" s="8" t="str">
        <v>2026-10-11 至 2026-10-17</v>
      </c>
      <c r="X114" s="8" t="str">
        <v>2026-10-11、2026-10-12、2026-10-13、2026-10-14、2026-10-15、2026-10-16、2026-10-17</v>
      </c>
      <c r="Y114" s="8" t="str">
        <v>无</v>
      </c>
      <c r="Z114" s="8" t="n">
        <v>5</v>
      </c>
      <c r="AA114" s="8" t="n">
        <v>0</v>
      </c>
      <c r="AB114" s="8" t="n">
        <v>7</v>
      </c>
      <c r="AC114" s="8" t="str">
        <v>2026-10-02 至 2026-10-17</v>
      </c>
      <c r="AD114" s="8" t="str">
        <v>2026-10-02、2026-10-03、2026-10-04、2026-10-05、2026-10-08、2026-10-09、2026-10-10、2026-10-11、2026-10-12、2026-10-13、2026-10-14、2026-10-15、2026-10-16、2026-10-17</v>
      </c>
      <c r="AE114" s="8" t="str">
        <v>2026-10-06 大促；2026-10-07 大促</v>
      </c>
      <c r="AF114" s="8" t="n">
        <v>9</v>
      </c>
      <c r="AG114" s="8" t="n">
        <v>3</v>
      </c>
      <c r="AH114" s="8" t="n">
        <v>14</v>
      </c>
      <c r="AI114" s="8" t="str">
        <v>2026-09-16 至 2026-10-17</v>
      </c>
      <c r="AJ1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" s="8" t="str">
        <v>2026-10-06 大促；2026-10-07 大促</v>
      </c>
      <c r="AL114" s="8" t="n">
        <v>16</v>
      </c>
      <c r="AM114" s="8" t="n">
        <v>3</v>
      </c>
      <c r="AN114" s="8" t="n">
        <v>30</v>
      </c>
      <c r="AO114" s="8" t="str">
        <v>B06b / 黑色羊京绒 / 13120</v>
      </c>
      <c r="AP114" s="11" t="n">
        <v>1.1090677182221615</v>
      </c>
      <c r="AQ114" s="11" t="n">
        <v>1.1090677182221615</v>
      </c>
      <c r="AR114" s="11" t="n">
        <v>0.9505188216044452</v>
      </c>
      <c r="AS114" s="11" t="n">
        <f>IF(AND(COUNT(I114:K114,AP114:AR114)=6,MIN(AP114:AR114)&gt;0),I114/7/AP114*0.5+J114/14/AQ114*0.3+K114/30/AR114*0.2,"")</f>
        <v>0.5291265426467575</v>
      </c>
      <c r="AT114" s="8" t="n">
        <v>23</v>
      </c>
      <c r="AU114" s="8" t="n">
        <v>3</v>
      </c>
      <c r="AV114" s="8" t="n">
        <v>88</v>
      </c>
      <c r="AW114" s="11" t="n">
        <f>IF(AND(COUNT(AT114:AV114)=3,AT114&gt;=AU114,AU114&gt;=0,AV114&gt;0),(AT114-AU114)/AV114,"")</f>
        <v>0.22727272727272727</v>
      </c>
      <c r="AX114" s="8" t="n">
        <v>42</v>
      </c>
      <c r="AY114" s="8" t="n">
        <v>3</v>
      </c>
      <c r="AZ114" s="8" t="n">
        <v>178</v>
      </c>
      <c r="BA114" s="11" t="n">
        <f>IF(AND(COUNT(AX114:AZ114)=3,AX114&gt;=AY114,AY114&gt;=0,AZ114&gt;0),(AX114-AY114)/AZ114,"")</f>
        <v>0.21910112359550563</v>
      </c>
      <c r="BB114" s="8" t="n">
        <f>IF(COUNT(AS114,AW114,BA114)=3,1,0)</f>
        <v>1</v>
      </c>
      <c r="BC114" s="11" t="n">
        <f>IF(SUMIF($AO$11:$AO$1309,AO114,$BB$11:$BB$1309)=COUNTIF($AO$11:$AO$1309,AO114),SUMIF($AO$11:$AO$1309,AO114,$AS$11:$AS$1309),"")</f>
        <v>8.918815730624303</v>
      </c>
      <c r="BD114" s="11" t="n">
        <f>IF(SUMIF($AO$11:$AO$1309,AO114,$BB$11:$BB$1309)=COUNTIF($AO$11:$AO$1309,AO114),SUMIF($AO$11:$AO$1309,AO114,$AW$11:$AW$1309),"")</f>
        <v>6.183288770053475</v>
      </c>
      <c r="BE114" s="11" t="n">
        <f>IF(SUMIF($AO$11:$AO$1309,AO114,$BB$11:$BB$1309)=COUNTIF($AO$11:$AO$1309,AO114),SUMIF($AO$11:$AO$1309,AO114,$BA$11:$BA$1309),"")</f>
        <v>4.941926163723917</v>
      </c>
      <c r="BF114" s="12" t="n">
        <f>IF(COUNT(BD114:BE114)&lt;&gt;2,"",IF(AND(BD114&gt;0,BE114&gt;0),0.7*AW114/BD114+0.3*BA114/BE114,IF(BD114&gt;0,AW114/BD114,IF(BE114&gt;0,BA114/BE114,IF(AND(ISNUMBER(BH114),BH114=0),0,"")))))</f>
        <v>0.03902972363407238</v>
      </c>
      <c r="BG114" s="11" t="n">
        <f>IF(AND(COUNT(BN114:BU114)=8,MIN(BN114:BU114)&gt;=0),SUMPRODUCT(BN114:BQ114,BR114:BU114),"")</f>
        <v>94.47778160343367</v>
      </c>
      <c r="BH114" s="11" t="n">
        <f>IF(COUNT(BC114,BG114)=2,BC114*BG114,"")</f>
        <v>842.6299247591916</v>
      </c>
      <c r="BI114" s="11" t="n">
        <f>IF(ISNUMBER(CI114),CI114,"")</f>
        <v>32.88761308915045</v>
      </c>
      <c r="BJ114" s="8" t="str"/>
      <c r="BK114" s="8" t="str">
        <v>90天：2026-07-20 至 2026-10-17；180天：2026-04-21 至 2026-10-17</v>
      </c>
      <c r="BL114" s="8" t="str">
        <v>90天：2026-10-06、2026-10-07；180天：2026-10-06、2026-10-07</v>
      </c>
      <c r="BM114" s="8" t="str">
        <v>2026-10：12天 × 1.1090677182221615；2026-11：30天 × 1.0372741535934282；2026-12：31天 × 0.979949351738161；2027-01：17天 × 1.1571949690048173</v>
      </c>
      <c r="BN114" s="11" t="n">
        <v>1.1090677182221615</v>
      </c>
      <c r="BO114" s="11" t="n">
        <v>1.0372741535934282</v>
      </c>
      <c r="BP114" s="11" t="n">
        <v>0.979949351738161</v>
      </c>
      <c r="BQ114" s="11" t="n">
        <v>1.1571949690048173</v>
      </c>
      <c r="BR114" s="8" t="n">
        <v>12</v>
      </c>
      <c r="BS114" s="8" t="n">
        <v>30</v>
      </c>
      <c r="BT114" s="8" t="n">
        <v>31</v>
      </c>
      <c r="BU114" s="8" t="n">
        <v>17</v>
      </c>
      <c r="BV114" s="11" t="n">
        <f>IF(COUNT(BC114,BF114)=2,BC114*BF114,"")</f>
        <v>0.3480989131094839</v>
      </c>
      <c r="BW114" s="11" t="n">
        <f>IF(ISNUMBER(BN114),BN114,"")</f>
        <v>1.1090677182221615</v>
      </c>
      <c r="BX114" s="14" t="n">
        <f>IF(ISNUMBER(BR114),BR114,"")</f>
        <v>12</v>
      </c>
      <c r="BY114" s="13" t="n">
        <f>IF(AND(COUNT(BV114,BW114,BX114)=3,MIN(BV114,BW114,BX114)&gt;=0),BV114*BW114*BX114,"")</f>
        <v>4.632783207335397</v>
      </c>
      <c r="BZ114" s="11" t="n">
        <f>IF(ISNUMBER(BO114),BO114,"")</f>
        <v>1.0372741535934282</v>
      </c>
      <c r="CA114" s="14" t="n">
        <f>IF(ISNUMBER(BS114),BS114,"")</f>
        <v>30</v>
      </c>
      <c r="CB114" s="13" t="n">
        <f>IF(AND(COUNT(BV114,BZ114,CA114)=3,MIN(BV114,BZ114,CA114)&gt;=0),BV114*BZ114*CA114,"")</f>
        <v>10.832220163872964</v>
      </c>
      <c r="CC114" s="11" t="n">
        <f>IF(ISNUMBER(BP114),BP114,"")</f>
        <v>0.979949351738161</v>
      </c>
      <c r="CD114" s="14" t="n">
        <f>IF(ISNUMBER(BT114),BT114,"")</f>
        <v>31</v>
      </c>
      <c r="CE114" s="13" t="n">
        <f>IF(AND(COUNT(BV114,CC114,CD114)=3,MIN(BV114,CC114,CD114)&gt;=0),BV114*CC114*CD114,"")</f>
        <v>10.574698431514312</v>
      </c>
      <c r="CF114" s="11" t="n">
        <f>IF(ISNUMBER(BQ114),BQ114,"")</f>
        <v>1.1571949690048173</v>
      </c>
      <c r="CG114" s="14" t="n">
        <f>IF(ISNUMBER(BU114),BU114,"")</f>
        <v>17</v>
      </c>
      <c r="CH114" s="13" t="n">
        <f>IF(AND(COUNT(BV114,CF114,CG114)=3,MIN(BV114,CF114,CG114)&gt;=0),BV114*CF114*CG114,"")</f>
        <v>6.8479112864277765</v>
      </c>
      <c r="CI114" s="13" t="n">
        <f>IF(COUNT(BY114,CB114,CE114,CH114)=4,SUM(BY114,CB114,CE114,CH114),"")</f>
        <v>32.88761308915045</v>
      </c>
    </row>
    <row r="115" ht="72" customHeight="1">
      <c r="A115" s="16" t="str">
        <v>B06b-BKP-40.5</v>
      </c>
      <c r="B115" s="16" t="str">
        <v>1店-MUSSHOE-US</v>
      </c>
      <c r="C115" s="16" t="str">
        <v>艾年</v>
      </c>
      <c r="D115" s="26" t="n">
        <f>IF(NOT(ISNUMBER(E115)),"",IF(OR(E115&lt;=0,L115=0),0,IF(OR(NOT(ISNUMBER(F115)),F115&lt;0),"",MIN(E115,INT(F115)))))</f>
        <v>12</v>
      </c>
      <c r="E115" s="27" t="n">
        <f>IF(OR(NOT(ISNUMBER(L115)),COUNT(M115:O115)&lt;&gt;3,MIN(M115:O115)&lt;0),"",ROUNDUP(ROUND(BI115-SUM(M115:O115),10),0))</f>
        <v>12</v>
      </c>
      <c r="F115" s="28" t="n">
        <v>29</v>
      </c>
      <c r="G115" s="28" t="n">
        <f>IF(AND(ISNUMBER(D115),ISNUMBER(E115)),IF(OR(E115&lt;=0,L115=0),0,E115-D115),"")</f>
        <v>0</v>
      </c>
      <c r="H115" s="16" t="str">
        <f>IF(NOT(ISNUMBER(E115)),"销量或海外库存待补",IF(OR(E115&lt;=0,L115=0),IF(L115=0,"零日销，本批不发","本批无需补货"),IF(NOT(ISNUMBER(D115)),"国内库存待补",IF(D115=0,"国内无可用库存",IF(G115&gt;0,"先发国内现货","按建议量发货")))))</f>
        <v>按建议量发货</v>
      </c>
      <c r="I115" s="28" t="n">
        <f>IF(AND(COUNT(Z115,AA115,AB115)=3,Z115&gt;=AA115,AA115&gt;=0,AB115=7),Z115-AA115,"")</f>
        <v>0</v>
      </c>
      <c r="J115" s="28" t="n">
        <f>IF(AND(COUNT(AF115,AG115,AH115)=3,AF115&gt;=AG115,AG115&gt;=0,AH115=14),AF115-AG115,"")</f>
        <v>1</v>
      </c>
      <c r="K115" s="28" t="n">
        <f>IF(AND(COUNT(AL115,AM115,AN115)=3,AL115&gt;=AM115,AM115&gt;=0,AN115=30),AL115-AM115,"")</f>
        <v>4</v>
      </c>
      <c r="L115" s="29" t="n">
        <f>IF(ISNUMBER(BI115),BI115/90,"")</f>
        <v>0.13113629517268763</v>
      </c>
      <c r="M115" s="28" t="n">
        <v>0</v>
      </c>
      <c r="N115" s="28" t="n">
        <v>0</v>
      </c>
      <c r="O115" s="28" t="n">
        <v>0</v>
      </c>
      <c r="P115" s="30" t="n">
        <f>IF(AND(ISNUMBER(L115),L115&gt;0,COUNT(M115:O115)=3,MIN(M115:O115)&gt;=0),SUM(M115:O115)/L115,"")</f>
        <v>0</v>
      </c>
      <c r="Q115" s="16" t="str">
        <v>沿用原计划SKU店铺</v>
      </c>
      <c r="R115" s="16" t="str">
        <v>已匹配</v>
      </c>
      <c r="S115" s="16" t="str">
        <v>停售</v>
      </c>
      <c r="T115" s="16" t="str">
        <v>B06b</v>
      </c>
      <c r="U115" s="16" t="str">
        <v>黑色PU</v>
      </c>
      <c r="V115" s="16" t="n">
        <v>9.5</v>
      </c>
      <c r="W115" s="8" t="str">
        <v>2026-10-08 至 2026-10-17</v>
      </c>
      <c r="X115" s="8" t="str">
        <v>2026-10-08、2026-10-09、2026-10-10、2026-10-11、2026-10-14、2026-10-15、2026-10-17</v>
      </c>
      <c r="Y115" s="8" t="str">
        <v>2026-10-12 有记录的停售日；2026-10-13 有记录的停售日；2026-10-16 有记录的停售日</v>
      </c>
      <c r="Z115" s="8" t="n">
        <v>0</v>
      </c>
      <c r="AA115" s="8" t="n">
        <v>0</v>
      </c>
      <c r="AB115" s="8" t="n">
        <v>7</v>
      </c>
      <c r="AC115" s="8" t="str">
        <v>2026-09-29 至 2026-10-17</v>
      </c>
      <c r="AD115" s="8" t="str">
        <v>2026-09-29、2026-09-30、2026-10-01、2026-10-02、2026-10-03、2026-10-04、2026-10-05、2026-10-08、2026-10-09、2026-10-10、2026-10-11、2026-10-14、2026-10-15、2026-10-17</v>
      </c>
      <c r="AE115" s="8" t="str">
        <v>2026-10-06 大促；2026-10-07 大促；2026-10-12 有记录的停售日；2026-10-13 有记录的停售日；2026-10-16 有记录的停售日</v>
      </c>
      <c r="AF115" s="8" t="n">
        <v>1</v>
      </c>
      <c r="AG115" s="8" t="n">
        <v>0</v>
      </c>
      <c r="AH115" s="8" t="n">
        <v>14</v>
      </c>
      <c r="AI115" s="8" t="str">
        <v>2026-09-13 至 2026-10-17</v>
      </c>
      <c r="AJ1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5" s="8" t="str">
        <v>2026-10-06 大促；2026-10-07 大促；2026-10-12 有记录的停售日；2026-10-13 有记录的停售日；2026-10-16 有记录的停售日</v>
      </c>
      <c r="AL115" s="8" t="n">
        <v>4</v>
      </c>
      <c r="AM115" s="8" t="n">
        <v>0</v>
      </c>
      <c r="AN115" s="8" t="n">
        <v>30</v>
      </c>
      <c r="AO115" s="8" t="str">
        <v>B06b / 黑色PU / 13120</v>
      </c>
      <c r="AP115" s="11" t="n">
        <v>1.1090677182221615</v>
      </c>
      <c r="AQ115" s="11" t="n">
        <v>1.0637680334742425</v>
      </c>
      <c r="AR115" s="11" t="n">
        <v>0.9188090422809019</v>
      </c>
      <c r="AS115" s="11" t="n">
        <f>IF(AND(COUNT(I115:K115,AP115:AR115)=6,MIN(AP115:AR115)&gt;0),I115/7/AP115*0.5+J115/14/AQ115*0.3+K115/30/AR115*0.2,"")</f>
        <v>0.04916710465412927</v>
      </c>
      <c r="AT115" s="8" t="n">
        <v>12</v>
      </c>
      <c r="AU115" s="8" t="n">
        <v>0</v>
      </c>
      <c r="AV115" s="8" t="n">
        <v>85</v>
      </c>
      <c r="AW115" s="11" t="n">
        <f>IF(AND(COUNT(AT115:AV115)=3,AT115&gt;=AU115,AU115&gt;=0,AV115&gt;0),(AT115-AU115)/AV115,"")</f>
        <v>0.1411764705882353</v>
      </c>
      <c r="AX115" s="8" t="n">
        <v>19</v>
      </c>
      <c r="AY115" s="8" t="n">
        <v>0</v>
      </c>
      <c r="AZ115" s="8" t="n">
        <v>175</v>
      </c>
      <c r="BA115" s="11" t="n">
        <f>IF(AND(COUNT(AX115:AZ115)=3,AX115&gt;=AY115,AY115&gt;=0,AZ115&gt;0),(AX115-AY115)/AZ115,"")</f>
        <v>0.10857142857142857</v>
      </c>
      <c r="BB115" s="8" t="n">
        <f>IF(COUNT(AS115,AW115,BA115)=3,1,0)</f>
        <v>1</v>
      </c>
      <c r="BC115" s="11" t="n">
        <f>IF(SUMIF($AO$11:$AO$1309,AO115,$BB$11:$BB$1309)=COUNTIF($AO$11:$AO$1309,AO115),SUMIF($AO$11:$AO$1309,AO115,$AS$11:$AS$1309),"")</f>
        <v>2.196839072529989</v>
      </c>
      <c r="BD115" s="11" t="n">
        <f>IF(SUMIF($AO$11:$AO$1309,AO115,$BB$11:$BB$1309)=COUNTIF($AO$11:$AO$1309,AO115),SUMIF($AO$11:$AO$1309,AO115,$AW$11:$AW$1309),"")</f>
        <v>2.461979838957527</v>
      </c>
      <c r="BE115" s="11" t="n">
        <f>IF(SUMIF($AO$11:$AO$1309,AO115,$BB$11:$BB$1309)=COUNTIF($AO$11:$AO$1309,AO115),SUMIF($AO$11:$AO$1309,AO115,$BA$11:$BA$1309),"")</f>
        <v>1.9475686263840901</v>
      </c>
      <c r="BF115" s="12" t="n">
        <f>IF(COUNT(BD115:BE115)&lt;&gt;2,"",IF(AND(BD115&gt;0,BE115&gt;0),0.7*AW115/BD115+0.3*BA115/BE115,IF(BD115&gt;0,AW115/BD115,IF(BE115&gt;0,BA115/BE115,IF(AND(ISNUMBER(BH115),BH115=0),0,"")))))</f>
        <v>0.056864010709116064</v>
      </c>
      <c r="BG115" s="11" t="n">
        <f>IF(AND(COUNT(BN115:BU115)=8,MIN(BN115:BU115)&gt;=0),SUMPRODUCT(BN115:BQ115,BR115:BU115),"")</f>
        <v>94.47778160343367</v>
      </c>
      <c r="BH115" s="11" t="n">
        <f>IF(COUNT(BC115,BG115)=2,BC115*BG115,"")</f>
        <v>207.55248211237807</v>
      </c>
      <c r="BI115" s="11" t="n">
        <f>IF(ISNUMBER(CI115),CI115,"")</f>
        <v>11.802266565541887</v>
      </c>
      <c r="BJ115" s="8" t="str"/>
      <c r="BK115" s="8" t="str">
        <v>90天：2026-07-20 至 2026-10-17；180天：2026-04-21 至 2026-10-17</v>
      </c>
      <c r="BL115" s="8" t="str">
        <v>90天：2026-10-06、2026-10-07、2026-10-12、2026-10-13、2026-10-16；180天：2026-10-06、2026-10-07、2026-10-12、2026-10-13、2026-10-16</v>
      </c>
      <c r="BM115" s="8" t="str">
        <v>2026-10：12天 × 1.1090677182221615；2026-11：30天 × 1.0372741535934282；2026-12：31天 × 0.979949351738161；2027-01：17天 × 1.1571949690048173</v>
      </c>
      <c r="BN115" s="11" t="n">
        <v>1.1090677182221615</v>
      </c>
      <c r="BO115" s="11" t="n">
        <v>1.0372741535934282</v>
      </c>
      <c r="BP115" s="11" t="n">
        <v>0.979949351738161</v>
      </c>
      <c r="BQ115" s="11" t="n">
        <v>1.1571949690048173</v>
      </c>
      <c r="BR115" s="8" t="n">
        <v>12</v>
      </c>
      <c r="BS115" s="8" t="n">
        <v>30</v>
      </c>
      <c r="BT115" s="8" t="n">
        <v>31</v>
      </c>
      <c r="BU115" s="8" t="n">
        <v>17</v>
      </c>
      <c r="BV115" s="11" t="n">
        <f>IF(COUNT(BC115,BF115)=2,BC115*BF115,"")</f>
        <v>0.12492108054654989</v>
      </c>
      <c r="BW115" s="11" t="n">
        <f>IF(ISNUMBER(BN115),BN115,"")</f>
        <v>1.1090677182221615</v>
      </c>
      <c r="BX115" s="14" t="n">
        <f>IF(ISNUMBER(BR115),BR115,"")</f>
        <v>12</v>
      </c>
      <c r="BY115" s="13" t="n">
        <f>IF(AND(COUNT(BV115,BW115,BX115)=3,MIN(BV115,BW115,BX115)&gt;=0),BV115*BW115*BX115,"")</f>
        <v>1.6625512531153073</v>
      </c>
      <c r="BZ115" s="11" t="n">
        <f>IF(ISNUMBER(BO115),BO115,"")</f>
        <v>1.0372741535934282</v>
      </c>
      <c r="CA115" s="14" t="n">
        <f>IF(ISNUMBER(BS115),BS115,"")</f>
        <v>30</v>
      </c>
      <c r="CB115" s="13" t="n">
        <f>IF(AND(COUNT(BV115,BZ115,CA115)=3,MIN(BV115,BZ115,CA115)&gt;=0),BV115*BZ115*CA115,"")</f>
        <v>3.8873222426969702</v>
      </c>
      <c r="CC115" s="11" t="n">
        <f>IF(ISNUMBER(BP115),BP115,"")</f>
        <v>0.979949351738161</v>
      </c>
      <c r="CD115" s="14" t="n">
        <f>IF(ISNUMBER(BT115),BT115,"")</f>
        <v>31</v>
      </c>
      <c r="CE115" s="13" t="n">
        <f>IF(AND(COUNT(BV115,CC115,CD115)=3,MIN(BV115,CC115,CD115)&gt;=0),BV115*CC115*CD115,"")</f>
        <v>3.794906288900687</v>
      </c>
      <c r="CF115" s="11" t="n">
        <f>IF(ISNUMBER(BQ115),BQ115,"")</f>
        <v>1.1571949690048173</v>
      </c>
      <c r="CG115" s="14" t="n">
        <f>IF(ISNUMBER(BU115),BU115,"")</f>
        <v>17</v>
      </c>
      <c r="CH115" s="13" t="n">
        <f>IF(AND(COUNT(BV115,CF115,CG115)=3,MIN(BV115,CF115,CG115)&gt;=0),BV115*CF115*CG115,"")</f>
        <v>2.4574867808289227</v>
      </c>
      <c r="CI115" s="13" t="n">
        <f>IF(COUNT(BY115,CB115,CE115,CH115)=4,SUM(BY115,CB115,CE115,CH115),"")</f>
        <v>11.802266565541887</v>
      </c>
    </row>
    <row r="116" ht="72" customHeight="1">
      <c r="A116" s="16" t="str">
        <v>1S01-LMN-39</v>
      </c>
      <c r="B116" s="16" t="str">
        <v>3店-SANDIEX-US</v>
      </c>
      <c r="C116" s="16" t="str">
        <v>徐新怡</v>
      </c>
      <c r="D116" s="26" t="n">
        <f>IF(NOT(ISNUMBER(E116)),"",IF(OR(E116&lt;=0,L116=0),0,IF(OR(NOT(ISNUMBER(F116)),F116&lt;0),"",MIN(E116,INT(F116)))))</f>
        <v>11</v>
      </c>
      <c r="E116" s="27" t="n">
        <f>IF(OR(NOT(ISNUMBER(L116)),COUNT(M116:O116)&lt;&gt;3,MIN(M116:O116)&lt;0),"",ROUNDUP(ROUND(BI116-SUM(M116:O116),10),0))</f>
        <v>11</v>
      </c>
      <c r="F116" s="28" t="n">
        <v>50</v>
      </c>
      <c r="G116" s="28" t="n">
        <f>IF(AND(ISNUMBER(D116),ISNUMBER(E116)),IF(OR(E116&lt;=0,L116=0),0,E116-D116),"")</f>
        <v>0</v>
      </c>
      <c r="H116" s="16" t="str">
        <f>IF(NOT(ISNUMBER(E116)),"销量或海外库存待补",IF(OR(E116&lt;=0,L116=0),IF(L116=0,"零日销，本批不发","本批无需补货"),IF(NOT(ISNUMBER(D116)),"国内库存待补",IF(D116=0,"国内无可用库存",IF(G116&gt;0,"先发国内现货","按建议量发货")))))</f>
        <v>按建议量发货</v>
      </c>
      <c r="I116" s="28" t="n">
        <f>IF(AND(COUNT(Z116,AA116,AB116)=3,Z116&gt;=AA116,AA116&gt;=0,AB116=7),Z116-AA116,"")</f>
        <v>2</v>
      </c>
      <c r="J116" s="28" t="n">
        <f>IF(AND(COUNT(AF116,AG116,AH116)=3,AF116&gt;=AG116,AG116&gt;=0,AH116=14),AF116-AG116,"")</f>
        <v>3</v>
      </c>
      <c r="K116" s="28" t="n">
        <f>IF(AND(COUNT(AL116,AM116,AN116)=3,AL116&gt;=AM116,AM116&gt;=0,AN116=30),AL116-AM116,"")</f>
        <v>11</v>
      </c>
      <c r="L116" s="29" t="n">
        <f>IF(ISNUMBER(BI116),BI116/90,"")</f>
        <v>0.3516118306456656</v>
      </c>
      <c r="M116" s="28" t="n">
        <v>1</v>
      </c>
      <c r="N116" s="28" t="n">
        <v>0</v>
      </c>
      <c r="O116" s="28" t="n">
        <v>20</v>
      </c>
      <c r="P116" s="30" t="n">
        <f>IF(AND(ISNUMBER(L116),L116&gt;0,COUNT(M116:O116)=3,MIN(M116:O116)&gt;=0),SUM(M116:O116)/L116,"")</f>
        <v>59.724952830619074</v>
      </c>
      <c r="Q116" s="16" t="str">
        <v>沿用原计划SKU店铺</v>
      </c>
      <c r="R116" s="16" t="str">
        <v>已匹配</v>
      </c>
      <c r="S116" s="16" t="str">
        <v>在售</v>
      </c>
      <c r="T116" s="16" t="str">
        <v>1S01</v>
      </c>
      <c r="U116" s="16" t="str">
        <v>豹纹</v>
      </c>
      <c r="V116" s="16" t="n">
        <v>8</v>
      </c>
      <c r="W116" s="8" t="str">
        <v>2026-10-11 至 2026-10-17</v>
      </c>
      <c r="X116" s="8" t="str">
        <v>2026-10-11、2026-10-12、2026-10-13、2026-10-14、2026-10-15、2026-10-16、2026-10-17</v>
      </c>
      <c r="Y116" s="8" t="str">
        <v>无</v>
      </c>
      <c r="Z116" s="8" t="n">
        <v>2</v>
      </c>
      <c r="AA116" s="8" t="n">
        <v>0</v>
      </c>
      <c r="AB116" s="8" t="n">
        <v>7</v>
      </c>
      <c r="AC116" s="8" t="str">
        <v>2026-10-02 至 2026-10-17</v>
      </c>
      <c r="AD116" s="8" t="str">
        <v>2026-10-02、2026-10-03、2026-10-04、2026-10-05、2026-10-08、2026-10-09、2026-10-10、2026-10-11、2026-10-12、2026-10-13、2026-10-14、2026-10-15、2026-10-16、2026-10-17</v>
      </c>
      <c r="AE116" s="8" t="str">
        <v>2026-10-06 大促；2026-10-07 大促</v>
      </c>
      <c r="AF116" s="8" t="n">
        <v>4</v>
      </c>
      <c r="AG116" s="8" t="n">
        <v>1</v>
      </c>
      <c r="AH116" s="8" t="n">
        <v>14</v>
      </c>
      <c r="AI116" s="8" t="str">
        <v>2026-09-16 至 2026-10-17</v>
      </c>
      <c r="AJ1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" s="8" t="str">
        <v>2026-10-06 大促；2026-10-07 大促</v>
      </c>
      <c r="AL116" s="8" t="n">
        <v>12</v>
      </c>
      <c r="AM116" s="8" t="n">
        <v>1</v>
      </c>
      <c r="AN116" s="8" t="n">
        <v>30</v>
      </c>
      <c r="AO116" s="8" t="str">
        <v>1S01 / 豹纹羊京绒 / 6574</v>
      </c>
      <c r="AP116" s="11" t="n">
        <v>0.8729500662042875</v>
      </c>
      <c r="AQ116" s="11" t="n">
        <v>0.8729500662042875</v>
      </c>
      <c r="AR116" s="11" t="n">
        <v>1.0921363354767095</v>
      </c>
      <c r="AS116" s="11" t="n">
        <f>IF(AND(COUNT(I116:K116,AP116:AR116)=6,MIN(AP116:AR116)&gt;0),I116/7/AP116*0.5+J116/14/AQ116*0.3+K116/30/AR116*0.2,"")</f>
        <v>0.3044372978694979</v>
      </c>
      <c r="AT116" s="8" t="n">
        <v>23</v>
      </c>
      <c r="AU116" s="8" t="n">
        <v>1</v>
      </c>
      <c r="AV116" s="8" t="n">
        <v>88</v>
      </c>
      <c r="AW116" s="11" t="n">
        <f>IF(AND(COUNT(AT116:AV116)=3,AT116&gt;=AU116,AU116&gt;=0,AV116&gt;0),(AT116-AU116)/AV116,"")</f>
        <v>0.25</v>
      </c>
      <c r="AX116" s="8" t="n">
        <v>49</v>
      </c>
      <c r="AY116" s="8" t="n">
        <v>1</v>
      </c>
      <c r="AZ116" s="8" t="n">
        <v>178</v>
      </c>
      <c r="BA116" s="11" t="n">
        <f>IF(AND(COUNT(AX116:AZ116)=3,AX116&gt;=AY116,AY116&gt;=0,AZ116&gt;0),(AX116-AY116)/AZ116,"")</f>
        <v>0.2696629213483146</v>
      </c>
      <c r="BB116" s="8" t="n">
        <f>IF(COUNT(AS116,AW116,BA116)=3,1,0)</f>
        <v>1</v>
      </c>
      <c r="BC116" s="11" t="n">
        <f>IF(SUMIF($AO$11:$AO$1309,AO116,$BB$11:$BB$1309)=COUNTIF($AO$11:$AO$1309,AO116),SUMIF($AO$11:$AO$1309,AO116,$AS$11:$AS$1309),"")</f>
        <v>2.9367051066815764</v>
      </c>
      <c r="BD116" s="11" t="n">
        <f>IF(SUMIF($AO$11:$AO$1309,AO116,$BB$11:$BB$1309)=COUNTIF($AO$11:$AO$1309,AO116),SUMIF($AO$11:$AO$1309,AO116,$AW$11:$AW$1309),"")</f>
        <v>1.6598930481283423</v>
      </c>
      <c r="BE116" s="11" t="n">
        <f>IF(SUMIF($AO$11:$AO$1309,AO116,$BB$11:$BB$1309)=COUNTIF($AO$11:$AO$1309,AO116),SUMIF($AO$11:$AO$1309,AO116,$BA$11:$BA$1309),"")</f>
        <v>1.2818619582664526</v>
      </c>
      <c r="BF116" s="12" t="n">
        <f>IF(COUNT(BD116:BE116)&lt;&gt;2,"",IF(AND(BD116&gt;0,BE116&gt;0),0.7*AW116/BD116+0.3*BA116/BE116,IF(BD116&gt;0,AW116/BD116,IF(BE116&gt;0,BA116/BE116,IF(AND(ISNUMBER(BH116),BH116=0),0,"")))))</f>
        <v>0.16853892265717582</v>
      </c>
      <c r="BG116" s="11" t="n">
        <f>IF(AND(COUNT(BN116:BU116)=8,MIN(BN116:BU116)&gt;=0),SUMPRODUCT(BN116:BQ116,BR116:BU116),"")</f>
        <v>63.935996265425516</v>
      </c>
      <c r="BH116" s="11" t="n">
        <f>IF(COUNT(BC116,BG116)=2,BC116*BG116,"")</f>
        <v>187.7611667334493</v>
      </c>
      <c r="BI116" s="11" t="n">
        <f>IF(ISNUMBER(CI116),CI116,"")</f>
        <v>31.645064758109903</v>
      </c>
      <c r="BJ116" s="8" t="str"/>
      <c r="BK116" s="8" t="str">
        <v>90天：2026-07-20 至 2026-10-17；180天：2026-04-21 至 2026-10-17</v>
      </c>
      <c r="BL116" s="8" t="str">
        <v>90天：2026-10-06、2026-10-07；180天：2026-10-06、2026-10-07</v>
      </c>
      <c r="BM116" s="8" t="str">
        <v>2026-10：12天 × 0.8729500662042875；2026-11：30天 × 0.8057375774163482；2026-12：31天 × 0.532550303142279；2027-01：17天 × 0.7517299265337036</v>
      </c>
      <c r="BN116" s="11" t="n">
        <v>0.8729500662042875</v>
      </c>
      <c r="BO116" s="11" t="n">
        <v>0.8057375774163482</v>
      </c>
      <c r="BP116" s="11" t="n">
        <v>0.532550303142279</v>
      </c>
      <c r="BQ116" s="11" t="n">
        <v>0.7517299265337036</v>
      </c>
      <c r="BR116" s="8" t="n">
        <v>12</v>
      </c>
      <c r="BS116" s="8" t="n">
        <v>30</v>
      </c>
      <c r="BT116" s="8" t="n">
        <v>31</v>
      </c>
      <c r="BU116" s="8" t="n">
        <v>17</v>
      </c>
      <c r="BV116" s="11" t="n">
        <f>IF(COUNT(BC116,BF116)=2,BC116*BF116,"")</f>
        <v>0.4949491148419395</v>
      </c>
      <c r="BW116" s="11" t="n">
        <f>IF(ISNUMBER(BN116),BN116,"")</f>
        <v>0.8729500662042875</v>
      </c>
      <c r="BX116" s="14" t="n">
        <f>IF(ISNUMBER(BR116),BR116,"")</f>
        <v>12</v>
      </c>
      <c r="BY116" s="13" t="n">
        <f>IF(AND(COUNT(BV116,BW116,BX116)=3,MIN(BV116,BW116,BX116)&gt;=0),BV116*BW116*BX116,"")</f>
        <v>5.184790350828295</v>
      </c>
      <c r="BZ116" s="11" t="n">
        <f>IF(ISNUMBER(BO116),BO116,"")</f>
        <v>0.8057375774163482</v>
      </c>
      <c r="CA116" s="14" t="n">
        <f>IF(ISNUMBER(BS116),BS116,"")</f>
        <v>30</v>
      </c>
      <c r="CB116" s="13" t="n">
        <f>IF(AND(COUNT(BV116,BZ116,CA116)=3,MIN(BV116,BZ116,CA116)&gt;=0),BV116*BZ116*CA116,"")</f>
        <v>11.963973022113306</v>
      </c>
      <c r="CC116" s="11" t="n">
        <f>IF(ISNUMBER(BP116),BP116,"")</f>
        <v>0.532550303142279</v>
      </c>
      <c r="CD116" s="14" t="n">
        <f>IF(ISNUMBER(BT116),BT116,"")</f>
        <v>31</v>
      </c>
      <c r="CE116" s="13" t="n">
        <f>IF(AND(COUNT(BV116,CC116,CD116)=3,MIN(BV116,CC116,CD116)&gt;=0),BV116*CC116*CD116,"")</f>
        <v>8.171144335621403</v>
      </c>
      <c r="CF116" s="11" t="n">
        <f>IF(ISNUMBER(BQ116),BQ116,"")</f>
        <v>0.7517299265337036</v>
      </c>
      <c r="CG116" s="14" t="n">
        <f>IF(ISNUMBER(BU116),BU116,"")</f>
        <v>17</v>
      </c>
      <c r="CH116" s="13" t="n">
        <f>IF(AND(COUNT(BV116,CF116,CG116)=3,MIN(BV116,CF116,CG116)&gt;=0),BV116*CF116*CG116,"")</f>
        <v>6.325157049546897</v>
      </c>
      <c r="CI116" s="13" t="n">
        <f>IF(COUNT(BY116,CB116,CE116,CH116)=4,SUM(BY116,CB116,CE116,CH116),"")</f>
        <v>31.645064758109903</v>
      </c>
    </row>
    <row r="117" ht="72" customHeight="1">
      <c r="A117" s="16" t="str">
        <v>2302153-BG-P-Z-37</v>
      </c>
      <c r="B117" s="16" t="str">
        <v>3店-SANDIEX-US</v>
      </c>
      <c r="C117" s="16" t="str">
        <v>徐新怡</v>
      </c>
      <c r="D117" s="26" t="n">
        <f>IF(NOT(ISNUMBER(E117)),"",IF(OR(E117&lt;=0,L117=0),0,IF(OR(NOT(ISNUMBER(F117)),F117&lt;0),"",MIN(E117,INT(F117)))))</f>
        <v>11</v>
      </c>
      <c r="E117" s="27" t="n">
        <f>IF(OR(NOT(ISNUMBER(L117)),COUNT(M117:O117)&lt;&gt;3,MIN(M117:O117)&lt;0),"",ROUNDUP(ROUND(BI117-SUM(M117:O117),10),0))</f>
        <v>11</v>
      </c>
      <c r="F117" s="28" t="n">
        <v>50</v>
      </c>
      <c r="G117" s="28" t="n">
        <f>IF(AND(ISNUMBER(D117),ISNUMBER(E117)),IF(OR(E117&lt;=0,L117=0),0,E117-D117),"")</f>
        <v>0</v>
      </c>
      <c r="H117" s="16" t="str">
        <f>IF(NOT(ISNUMBER(E117)),"销量或海外库存待补",IF(OR(E117&lt;=0,L117=0),IF(L117=0,"零日销，本批不发","本批无需补货"),IF(NOT(ISNUMBER(D117)),"国内库存待补",IF(D117=0,"国内无可用库存",IF(G117&gt;0,"先发国内现货","按建议量发货")))))</f>
        <v>按建议量发货</v>
      </c>
      <c r="I117" s="28" t="n">
        <f>IF(AND(COUNT(Z117,AA117,AB117)=3,Z117&gt;=AA117,AA117&gt;=0,AB117=7),Z117-AA117,"")</f>
        <v>3</v>
      </c>
      <c r="J117" s="28" t="n">
        <f>IF(AND(COUNT(AF117,AG117,AH117)=3,AF117&gt;=AG117,AG117&gt;=0,AH117=14),AF117-AG117,"")</f>
        <v>4</v>
      </c>
      <c r="K117" s="28" t="n">
        <f>IF(AND(COUNT(AL117,AM117,AN117)=3,AL117&gt;=AM117,AM117&gt;=0,AN117=30),AL117-AM117,"")</f>
        <v>7</v>
      </c>
      <c r="L117" s="29" t="n">
        <f>IF(ISNUMBER(BI117),BI117/90,"")</f>
        <v>0.14805760411412908</v>
      </c>
      <c r="M117" s="28" t="n">
        <v>3</v>
      </c>
      <c r="N117" s="28" t="n">
        <v>0</v>
      </c>
      <c r="O117" s="28" t="n">
        <v>0</v>
      </c>
      <c r="P117" s="30" t="n">
        <f>IF(AND(ISNUMBER(L117),L117&gt;0,COUNT(M117:O117)=3,MIN(M117:O117)&gt;=0),SUM(M117:O117)/L117,"")</f>
        <v>20.262383806288483</v>
      </c>
      <c r="Q117" s="16" t="str">
        <v>沿用原计划SKU店铺</v>
      </c>
      <c r="R117" s="16" t="str">
        <v>已匹配</v>
      </c>
      <c r="S117" s="16" t="str">
        <v>在售</v>
      </c>
      <c r="T117" s="16" t="str">
        <v>2302153</v>
      </c>
      <c r="U117" s="16" t="str">
        <v>米白</v>
      </c>
      <c r="V117" s="16" t="n">
        <v>6</v>
      </c>
      <c r="W117" s="8" t="str">
        <v>2026-10-11 至 2026-10-17</v>
      </c>
      <c r="X117" s="8" t="str">
        <v>2026-10-11、2026-10-12、2026-10-13、2026-10-14、2026-10-15、2026-10-16、2026-10-17</v>
      </c>
      <c r="Y117" s="8" t="str">
        <v>无</v>
      </c>
      <c r="Z117" s="8" t="n">
        <v>3</v>
      </c>
      <c r="AA117" s="8" t="n">
        <v>0</v>
      </c>
      <c r="AB117" s="8" t="n">
        <v>7</v>
      </c>
      <c r="AC117" s="8" t="str">
        <v>2026-10-02 至 2026-10-17</v>
      </c>
      <c r="AD117" s="8" t="str">
        <v>2026-10-02、2026-10-03、2026-10-04、2026-10-05、2026-10-08、2026-10-09、2026-10-10、2026-10-11、2026-10-12、2026-10-13、2026-10-14、2026-10-15、2026-10-16、2026-10-17</v>
      </c>
      <c r="AE117" s="8" t="str">
        <v>2026-10-06 大促；2026-10-07 大促</v>
      </c>
      <c r="AF117" s="8" t="n">
        <v>4</v>
      </c>
      <c r="AG117" s="8" t="n">
        <v>0</v>
      </c>
      <c r="AH117" s="8" t="n">
        <v>14</v>
      </c>
      <c r="AI117" s="8" t="str">
        <v>2026-09-16 至 2026-10-17</v>
      </c>
      <c r="AJ1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" s="8" t="str">
        <v>2026-10-06 大促；2026-10-07 大促</v>
      </c>
      <c r="AL117" s="8" t="n">
        <v>7</v>
      </c>
      <c r="AM117" s="8" t="n">
        <v>0</v>
      </c>
      <c r="AN117" s="8" t="n">
        <v>30</v>
      </c>
      <c r="AO117" s="8" t="str">
        <v>2302153 / 米白PU / 6574</v>
      </c>
      <c r="AP117" s="11" t="n">
        <v>1.7391279184229513</v>
      </c>
      <c r="AQ117" s="11" t="n">
        <v>1.7391279184229513</v>
      </c>
      <c r="AR117" s="11" t="n">
        <v>1.5731892896917212</v>
      </c>
      <c r="AS117" s="11" t="n">
        <f>IF(AND(COUNT(I117:K117,AP117:AR117)=6,MIN(AP117:AR117)&gt;0),I117/7/AP117*0.5+J117/14/AQ117*0.3+K117/30/AR117*0.2,"")</f>
        <v>0.2021639823494691</v>
      </c>
      <c r="AT117" s="8" t="n">
        <v>14</v>
      </c>
      <c r="AU117" s="8" t="n">
        <v>0</v>
      </c>
      <c r="AV117" s="8" t="n">
        <v>88</v>
      </c>
      <c r="AW117" s="11" t="n">
        <f>IF(AND(COUNT(AT117:AV117)=3,AT117&gt;=AU117,AU117&gt;=0,AV117&gt;0),(AT117-AU117)/AV117,"")</f>
        <v>0.1590909090909091</v>
      </c>
      <c r="AX117" s="8" t="n">
        <v>14</v>
      </c>
      <c r="AY117" s="8" t="n">
        <v>0</v>
      </c>
      <c r="AZ117" s="8" t="n">
        <v>178</v>
      </c>
      <c r="BA117" s="11" t="n">
        <f>IF(AND(COUNT(AX117:AZ117)=3,AX117&gt;=AY117,AY117&gt;=0,AZ117&gt;0),(AX117-AY117)/AZ117,"")</f>
        <v>0.07865168539325842</v>
      </c>
      <c r="BB117" s="8" t="n">
        <f>IF(COUNT(AS117,AW117,BA117)=3,1,0)</f>
        <v>1</v>
      </c>
      <c r="BC117" s="11" t="n">
        <f>IF(SUMIF($AO$11:$AO$1309,AO117,$BB$11:$BB$1309)=COUNTIF($AO$11:$AO$1309,AO117),SUMIF($AO$11:$AO$1309,AO117,$AS$11:$AS$1309),"")</f>
        <v>2.0955365955321814</v>
      </c>
      <c r="BD117" s="11" t="n">
        <f>IF(SUMIF($AO$11:$AO$1309,AO117,$BB$11:$BB$1309)=COUNTIF($AO$11:$AO$1309,AO117),SUMIF($AO$11:$AO$1309,AO117,$AW$11:$AW$1309),"")</f>
        <v>2.736485747612452</v>
      </c>
      <c r="BE117" s="11" t="n">
        <f>IF(SUMIF($AO$11:$AO$1309,AO117,$BB$11:$BB$1309)=COUNTIF($AO$11:$AO$1309,AO117),SUMIF($AO$11:$AO$1309,AO117,$BA$11:$BA$1309),"")</f>
        <v>1.3562265196239676</v>
      </c>
      <c r="BF117" s="12" t="n">
        <f>IF(COUNT(BD117:BE117)&lt;&gt;2,"",IF(AND(BD117&gt;0,BE117&gt;0),0.7*AW117/BD117+0.3*BA117/BE117,IF(BD117&gt;0,AW117/BD117,IF(BE117&gt;0,BA117/BE117,IF(AND(ISNUMBER(BH117),BH117=0),0,"")))))</f>
        <v>0.05809376738477833</v>
      </c>
      <c r="BG117" s="11" t="n">
        <f>IF(AND(COUNT(BN117:BU117)=8,MIN(BN117:BU117)&gt;=0),SUMPRODUCT(BN117:BQ117,BR117:BU117),"")</f>
        <v>109.4582336985339</v>
      </c>
      <c r="BH117" s="11" t="n">
        <f>IF(COUNT(BC117,BG117)=2,BC117*BG117,"")</f>
        <v>229.37373439759162</v>
      </c>
      <c r="BI117" s="11" t="n">
        <f>IF(ISNUMBER(CI117),CI117,"")</f>
        <v>13.325184370271616</v>
      </c>
      <c r="BJ117" s="8" t="str"/>
      <c r="BK117" s="8" t="str">
        <v>90天：2026-07-20 至 2026-10-17；180天：2026-04-21 至 2026-10-17</v>
      </c>
      <c r="BL117" s="8" t="str">
        <v>90天：2026-10-06、2026-10-07；180天：2026-10-06、2026-10-07</v>
      </c>
      <c r="BM117" s="8" t="str">
        <v>2026-10：12天 × 1.7391279184229513；2026-11：30天 × 1.4002077845513243；2026-12：31天 × 1.079339935625147；2027-01：17天 × 0.7719368903846591</v>
      </c>
      <c r="BN117" s="11" t="n">
        <v>1.7391279184229513</v>
      </c>
      <c r="BO117" s="11" t="n">
        <v>1.4002077845513243</v>
      </c>
      <c r="BP117" s="11" t="n">
        <v>1.079339935625147</v>
      </c>
      <c r="BQ117" s="11" t="n">
        <v>0.7719368903846591</v>
      </c>
      <c r="BR117" s="8" t="n">
        <v>12</v>
      </c>
      <c r="BS117" s="8" t="n">
        <v>30</v>
      </c>
      <c r="BT117" s="8" t="n">
        <v>31</v>
      </c>
      <c r="BU117" s="8" t="n">
        <v>17</v>
      </c>
      <c r="BV117" s="11" t="n">
        <f>IF(COUNT(BC117,BF117)=2,BC117*BF117,"")</f>
        <v>0.12173761552713687</v>
      </c>
      <c r="BW117" s="11" t="n">
        <f>IF(ISNUMBER(BN117),BN117,"")</f>
        <v>1.7391279184229513</v>
      </c>
      <c r="BX117" s="14" t="n">
        <f>IF(ISNUMBER(BR117),BR117,"")</f>
        <v>12</v>
      </c>
      <c r="BY117" s="13" t="n">
        <f>IF(AND(COUNT(BV117,BW117,BX117)=3,MIN(BV117,BW117,BX117)&gt;=0),BV117*BW117*BX117,"")</f>
        <v>2.5406074306257973</v>
      </c>
      <c r="BZ117" s="11" t="n">
        <f>IF(ISNUMBER(BO117),BO117,"")</f>
        <v>1.4002077845513243</v>
      </c>
      <c r="CA117" s="14" t="n">
        <f>IF(ISNUMBER(BS117),BS117,"")</f>
        <v>30</v>
      </c>
      <c r="CB117" s="13" t="n">
        <f>IF(AND(COUNT(BV117,BZ117,CA117)=3,MIN(BV117,BZ117,CA117)&gt;=0),BV117*BZ117*CA117,"")</f>
        <v>5.113738708014396</v>
      </c>
      <c r="CC117" s="11" t="n">
        <f>IF(ISNUMBER(BP117),BP117,"")</f>
        <v>1.079339935625147</v>
      </c>
      <c r="CD117" s="14" t="n">
        <f>IF(ISNUMBER(BT117),BT117,"")</f>
        <v>31</v>
      </c>
      <c r="CE117" s="13" t="n">
        <f>IF(AND(COUNT(BV117,CC117,CD117)=3,MIN(BV117,CC117,CD117)&gt;=0),BV117*CC117*CD117,"")</f>
        <v>4.073284373292783</v>
      </c>
      <c r="CF117" s="11" t="n">
        <f>IF(ISNUMBER(BQ117),BQ117,"")</f>
        <v>0.7719368903846591</v>
      </c>
      <c r="CG117" s="14" t="n">
        <f>IF(ISNUMBER(BU117),BU117,"")</f>
        <v>17</v>
      </c>
      <c r="CH117" s="13" t="n">
        <f>IF(AND(COUNT(BV117,CF117,CG117)=3,MIN(BV117,CF117,CG117)&gt;=0),BV117*CF117*CG117,"")</f>
        <v>1.5975538583386408</v>
      </c>
      <c r="CI117" s="13" t="n">
        <f>IF(COUNT(BY117,CB117,CE117,CH117)=4,SUM(BY117,CB117,CE117,CH117),"")</f>
        <v>13.325184370271616</v>
      </c>
    </row>
    <row r="118" ht="72" customHeight="1">
      <c r="A118" s="16" t="str">
        <v>2302153-ND-S-Z-8.5</v>
      </c>
      <c r="B118" s="16" t="str">
        <v>3店-SANDIEX-US</v>
      </c>
      <c r="C118" s="16" t="str">
        <v>徐新怡</v>
      </c>
      <c r="D118" s="26" t="n">
        <f>IF(NOT(ISNUMBER(E118)),"",IF(OR(E118&lt;=0,L118=0),0,IF(OR(NOT(ISNUMBER(F118)),F118&lt;0),"",MIN(E118,INT(F118)))))</f>
        <v>11</v>
      </c>
      <c r="E118" s="27" t="n">
        <f>IF(OR(NOT(ISNUMBER(L118)),COUNT(M118:O118)&lt;&gt;3,MIN(M118:O118)&lt;0),"",ROUNDUP(ROUND(BI118-SUM(M118:O118),10),0))</f>
        <v>11</v>
      </c>
      <c r="F118" s="28" t="n">
        <v>78</v>
      </c>
      <c r="G118" s="28" t="n">
        <f>IF(AND(ISNUMBER(D118),ISNUMBER(E118)),IF(OR(E118&lt;=0,L118=0),0,E118-D118),"")</f>
        <v>0</v>
      </c>
      <c r="H118" s="16" t="str">
        <f>IF(NOT(ISNUMBER(E118)),"销量或海外库存待补",IF(OR(E118&lt;=0,L118=0),IF(L118=0,"零日销，本批不发","本批无需补货"),IF(NOT(ISNUMBER(D118)),"国内库存待补",IF(D118=0,"国内无可用库存",IF(G118&gt;0,"先发国内现货","按建议量发货")))))</f>
        <v>按建议量发货</v>
      </c>
      <c r="I118" s="28" t="n">
        <f>IF(AND(COUNT(Z118,AA118,AB118)=3,Z118&gt;=AA118,AA118&gt;=0,AB118=7),Z118-AA118,"")</f>
        <v>39</v>
      </c>
      <c r="J118" s="28" t="n">
        <f>IF(AND(COUNT(AF118,AG118,AH118)=3,AF118&gt;=AG118,AG118&gt;=0,AH118=14),AF118-AG118,"")</f>
        <v>91</v>
      </c>
      <c r="K118" s="28" t="n">
        <f>IF(AND(COUNT(AL118,AM118,AN118)=3,AL118&gt;=AM118,AM118&gt;=0,AN118=30),AL118-AM118,"")</f>
        <v>199</v>
      </c>
      <c r="L118" s="29" t="n">
        <f>IF(ISNUMBER(BI118),BI118/90,"")</f>
        <v>4.52513803896718</v>
      </c>
      <c r="M118" s="28" t="n">
        <v>80</v>
      </c>
      <c r="N118" s="28" t="n">
        <v>25</v>
      </c>
      <c r="O118" s="28" t="n">
        <v>292</v>
      </c>
      <c r="P118" s="30" t="n">
        <f>IF(AND(ISNUMBER(L118),L118&gt;0,COUNT(M118:O118)=3,MIN(M118:O118)&gt;=0),SUM(M118:O118)/L118,"")</f>
        <v>87.73213028670646</v>
      </c>
      <c r="Q118" s="16" t="str">
        <v>沿用原计划SKU店铺</v>
      </c>
      <c r="R118" s="16" t="str">
        <v>已匹配</v>
      </c>
      <c r="S118" s="16" t="str">
        <v>在售</v>
      </c>
      <c r="T118" s="16" t="str">
        <v>2302153</v>
      </c>
      <c r="U118" s="16" t="str">
        <v>裸色</v>
      </c>
      <c r="V118" s="16" t="n">
        <v>8.5</v>
      </c>
      <c r="W118" s="8" t="str">
        <v>2026-10-11 至 2026-10-17</v>
      </c>
      <c r="X118" s="8" t="str">
        <v>2026-10-11、2026-10-12、2026-10-13、2026-10-14、2026-10-15、2026-10-16、2026-10-17</v>
      </c>
      <c r="Y118" s="8" t="str">
        <v>无</v>
      </c>
      <c r="Z118" s="8" t="n">
        <v>39</v>
      </c>
      <c r="AA118" s="8" t="n">
        <v>0</v>
      </c>
      <c r="AB118" s="8" t="n">
        <v>7</v>
      </c>
      <c r="AC118" s="8" t="str">
        <v>2026-10-02 至 2026-10-17</v>
      </c>
      <c r="AD118" s="8" t="str">
        <v>2026-10-02、2026-10-03、2026-10-04、2026-10-05、2026-10-08、2026-10-09、2026-10-10、2026-10-11、2026-10-12、2026-10-13、2026-10-14、2026-10-15、2026-10-16、2026-10-17</v>
      </c>
      <c r="AE118" s="8" t="str">
        <v>2026-10-06 大促；2026-10-07 大促</v>
      </c>
      <c r="AF118" s="8" t="n">
        <v>126</v>
      </c>
      <c r="AG118" s="8" t="n">
        <v>35</v>
      </c>
      <c r="AH118" s="8" t="n">
        <v>14</v>
      </c>
      <c r="AI118" s="8" t="str">
        <v>2026-09-16 至 2026-10-17</v>
      </c>
      <c r="AJ1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8" s="8" t="str">
        <v>2026-10-06 大促；2026-10-07 大促</v>
      </c>
      <c r="AL118" s="8" t="n">
        <v>234</v>
      </c>
      <c r="AM118" s="8" t="n">
        <v>35</v>
      </c>
      <c r="AN118" s="8" t="n">
        <v>30</v>
      </c>
      <c r="AO118" s="8" t="str">
        <v>2302153 / 裸色羊京绒 / 6574</v>
      </c>
      <c r="AP118" s="11" t="n">
        <v>1.7391279184229513</v>
      </c>
      <c r="AQ118" s="11" t="n">
        <v>1.7391279184229513</v>
      </c>
      <c r="AR118" s="11" t="n">
        <v>1.5731892896917212</v>
      </c>
      <c r="AS118" s="11" t="n">
        <f>IF(AND(COUNT(I118:K118,AP118:AR118)=6,MIN(AP118:AR118)&gt;0),I118/7/AP118*0.5+J118/14/AQ118*0.3+K118/30/AR118*0.2,"")</f>
        <v>3.566337199810202</v>
      </c>
      <c r="AT118" s="8" t="n">
        <v>537</v>
      </c>
      <c r="AU118" s="8" t="n">
        <v>35</v>
      </c>
      <c r="AV118" s="8" t="n">
        <v>88</v>
      </c>
      <c r="AW118" s="11" t="n">
        <f>IF(AND(COUNT(AT118:AV118)=3,AT118&gt;=AU118,AU118&gt;=0,AV118&gt;0),(AT118-AU118)/AV118,"")</f>
        <v>5.704545454545454</v>
      </c>
      <c r="AX118" s="8" t="n">
        <v>907</v>
      </c>
      <c r="AY118" s="8" t="n">
        <v>35</v>
      </c>
      <c r="AZ118" s="8" t="n">
        <v>178</v>
      </c>
      <c r="BA118" s="11" t="n">
        <f>IF(AND(COUNT(AX118:AZ118)=3,AX118&gt;=AY118,AY118&gt;=0,AZ118&gt;0),(AX118-AY118)/AZ118,"")</f>
        <v>4.898876404494382</v>
      </c>
      <c r="BB118" s="8" t="n">
        <f>IF(COUNT(AS118,AW118,BA118)=3,1,0)</f>
        <v>1</v>
      </c>
      <c r="BC118" s="11" t="n">
        <f>IF(SUMIF($AO$11:$AO$1309,AO118,$BB$11:$BB$1309)=COUNTIF($AO$11:$AO$1309,AO118),SUMIF($AO$11:$AO$1309,AO118,$AS$11:$AS$1309),"")</f>
        <v>21.8107478678746</v>
      </c>
      <c r="BD118" s="11" t="n">
        <f>IF(SUMIF($AO$11:$AO$1309,AO118,$BB$11:$BB$1309)=COUNTIF($AO$11:$AO$1309,AO118),SUMIF($AO$11:$AO$1309,AO118,$AW$11:$AW$1309),"")</f>
        <v>32.32954545454545</v>
      </c>
      <c r="BE118" s="11" t="n">
        <f>IF(SUMIF($AO$11:$AO$1309,AO118,$BB$11:$BB$1309)=COUNTIF($AO$11:$AO$1309,AO118),SUMIF($AO$11:$AO$1309,AO118,$BA$11:$BA$1309),"")</f>
        <v>31.219101123595507</v>
      </c>
      <c r="BF118" s="12" t="n">
        <f>IF(COUNT(BD118:BE118)&lt;&gt;2,"",IF(AND(BD118&gt;0,BE118&gt;0),0.7*AW118/BD118+0.3*BA118/BE118,IF(BD118&gt;0,AW118/BD118,IF(BE118&gt;0,BA118/BE118,IF(AND(ISNUMBER(BH118),BH118=0),0,"")))))</f>
        <v>0.17059069879089783</v>
      </c>
      <c r="BG118" s="11" t="n">
        <f>IF(AND(COUNT(BN118:BU118)=8,MIN(BN118:BU118)&gt;=0),SUMPRODUCT(BN118:BQ118,BR118:BU118),"")</f>
        <v>109.4582336985339</v>
      </c>
      <c r="BH118" s="11" t="n">
        <f>IF(COUNT(BC118,BG118)=2,BC118*BG118,"")</f>
        <v>2387.365937261618</v>
      </c>
      <c r="BI118" s="11" t="n">
        <f>IF(ISNUMBER(CI118),CI118,"")</f>
        <v>407.2624235070462</v>
      </c>
      <c r="BJ118" s="8" t="str"/>
      <c r="BK118" s="8" t="str">
        <v>90天：2026-07-20 至 2026-10-17；180天：2026-04-21 至 2026-10-17</v>
      </c>
      <c r="BL118" s="8" t="str">
        <v>90天：2026-10-06、2026-10-07；180天：2026-10-06、2026-10-07</v>
      </c>
      <c r="BM118" s="8" t="str">
        <v>2026-10：12天 × 1.7391279184229513；2026-11：30天 × 1.4002077845513243；2026-12：31天 × 1.079339935625147；2027-01：17天 × 0.7719368903846591</v>
      </c>
      <c r="BN118" s="11" t="n">
        <v>1.7391279184229513</v>
      </c>
      <c r="BO118" s="11" t="n">
        <v>1.4002077845513243</v>
      </c>
      <c r="BP118" s="11" t="n">
        <v>1.079339935625147</v>
      </c>
      <c r="BQ118" s="11" t="n">
        <v>0.7719368903846591</v>
      </c>
      <c r="BR118" s="8" t="n">
        <v>12</v>
      </c>
      <c r="BS118" s="8" t="n">
        <v>30</v>
      </c>
      <c r="BT118" s="8" t="n">
        <v>31</v>
      </c>
      <c r="BU118" s="8" t="n">
        <v>17</v>
      </c>
      <c r="BV118" s="11" t="n">
        <f>IF(COUNT(BC118,BF118)=2,BC118*BF118,"")</f>
        <v>3.720710719932813</v>
      </c>
      <c r="BW118" s="11" t="n">
        <f>IF(ISNUMBER(BN118),BN118,"")</f>
        <v>1.7391279184229513</v>
      </c>
      <c r="BX118" s="14" t="n">
        <f>IF(ISNUMBER(BR118),BR118,"")</f>
        <v>12</v>
      </c>
      <c r="BY118" s="13" t="n">
        <f>IF(AND(COUNT(BV118,BW118,BX118)=3,MIN(BV118,BW118,BX118)&gt;=0),BV118*BW118*BX118,"")</f>
        <v>77.64950267292856</v>
      </c>
      <c r="BZ118" s="11" t="n">
        <f>IF(ISNUMBER(BO118),BO118,"")</f>
        <v>1.4002077845513243</v>
      </c>
      <c r="CA118" s="14" t="n">
        <f>IF(ISNUMBER(BS118),BS118,"")</f>
        <v>30</v>
      </c>
      <c r="CB118" s="13" t="n">
        <f>IF(AND(COUNT(BV118,BZ118,CA118)=3,MIN(BV118,BZ118,CA118)&gt;=0),BV118*BZ118*CA118,"")</f>
        <v>156.2930434234046</v>
      </c>
      <c r="CC118" s="11" t="n">
        <f>IF(ISNUMBER(BP118),BP118,"")</f>
        <v>1.079339935625147</v>
      </c>
      <c r="CD118" s="14" t="n">
        <f>IF(ISNUMBER(BT118),BT118,"")</f>
        <v>31</v>
      </c>
      <c r="CE118" s="13" t="n">
        <f>IF(AND(COUNT(BV118,CC118,CD118)=3,MIN(BV118,CC118,CD118)&gt;=0),BV118*CC118*CD118,"")</f>
        <v>124.49326173689438</v>
      </c>
      <c r="CF118" s="11" t="n">
        <f>IF(ISNUMBER(BQ118),BQ118,"")</f>
        <v>0.7719368903846591</v>
      </c>
      <c r="CG118" s="14" t="n">
        <f>IF(ISNUMBER(BU118),BU118,"")</f>
        <v>17</v>
      </c>
      <c r="CH118" s="13" t="n">
        <f>IF(AND(COUNT(BV118,CF118,CG118)=3,MIN(BV118,CF118,CG118)&gt;=0),BV118*CF118*CG118,"")</f>
        <v>48.82661567381863</v>
      </c>
      <c r="CI118" s="13" t="n">
        <f>IF(COUNT(BY118,CB118,CE118,CH118)=4,SUM(BY118,CB118,CE118,CH118),"")</f>
        <v>407.2624235070462</v>
      </c>
    </row>
    <row r="119" ht="72" customHeight="1">
      <c r="A119" s="16" t="str">
        <v>2302153-NY-42</v>
      </c>
      <c r="B119" s="16" t="str">
        <v>3店-SANDIEX-US</v>
      </c>
      <c r="C119" s="16" t="str">
        <v>徐新怡</v>
      </c>
      <c r="D119" s="26" t="n">
        <f>IF(NOT(ISNUMBER(E119)),"",IF(OR(E119&lt;=0,L119=0),0,IF(OR(NOT(ISNUMBER(F119)),F119&lt;0),"",MIN(E119,INT(F119)))))</f>
        <v>11</v>
      </c>
      <c r="E119" s="27" t="n">
        <f>IF(OR(NOT(ISNUMBER(L119)),COUNT(M119:O119)&lt;&gt;3,MIN(M119:O119)&lt;0),"",ROUNDUP(ROUND(BI119-SUM(M119:O119),10),0))</f>
        <v>11</v>
      </c>
      <c r="F119" s="28" t="n">
        <v>39</v>
      </c>
      <c r="G119" s="28" t="n">
        <f>IF(AND(ISNUMBER(D119),ISNUMBER(E119)),IF(OR(E119&lt;=0,L119=0),0,E119-D119),"")</f>
        <v>0</v>
      </c>
      <c r="H119" s="16" t="str">
        <f>IF(NOT(ISNUMBER(E119)),"销量或海外库存待补",IF(OR(E119&lt;=0,L119=0),IF(L119=0,"零日销，本批不发","本批无需补货"),IF(NOT(ISNUMBER(D119)),"国内库存待补",IF(D119=0,"国内无可用库存",IF(G119&gt;0,"先发国内现货","按建议量发货")))))</f>
        <v>按建议量发货</v>
      </c>
      <c r="I119" s="28" t="n">
        <f>IF(AND(COUNT(Z119,AA119,AB119)=3,Z119&gt;=AA119,AA119&gt;=0,AB119=7),Z119-AA119,"")</f>
        <v>0</v>
      </c>
      <c r="J119" s="28" t="n">
        <f>IF(AND(COUNT(AF119,AG119,AH119)=3,AF119&gt;=AG119,AG119&gt;=0,AH119=14),AF119-AG119,"")</f>
        <v>0</v>
      </c>
      <c r="K119" s="28" t="n">
        <f>IF(AND(COUNT(AL119,AM119,AN119)=3,AL119&gt;=AM119,AM119&gt;=0,AN119=30),AL119-AM119,"")</f>
        <v>2</v>
      </c>
      <c r="L119" s="29" t="n">
        <f>IF(ISNUMBER(BI119),BI119/90,"")</f>
        <v>0.11204479322091447</v>
      </c>
      <c r="M119" s="28" t="n">
        <v>0</v>
      </c>
      <c r="N119" s="28" t="n">
        <v>0</v>
      </c>
      <c r="O119" s="28" t="n">
        <v>0</v>
      </c>
      <c r="P119" s="30" t="n">
        <f>IF(AND(ISNUMBER(L119),L119&gt;0,COUNT(M119:O119)=3,MIN(M119:O119)&gt;=0),SUM(M119:O119)/L119,"")</f>
        <v>0</v>
      </c>
      <c r="Q119" s="16" t="str">
        <v>沿用原计划SKU店铺</v>
      </c>
      <c r="R119" s="16" t="str">
        <v>已匹配</v>
      </c>
      <c r="S119" s="16" t="str">
        <v>在售</v>
      </c>
      <c r="T119" s="16" t="str">
        <v>2302153</v>
      </c>
      <c r="U119" s="16" t="str">
        <v>藏青色</v>
      </c>
      <c r="V119" s="16" t="n">
        <v>11</v>
      </c>
      <c r="W119" s="8" t="str">
        <v>2026-10-08 至 2026-10-17</v>
      </c>
      <c r="X119" s="8" t="str">
        <v>2026-10-08、2026-10-09、2026-10-10、2026-10-11、2026-10-14、2026-10-15、2026-10-17</v>
      </c>
      <c r="Y119" s="8" t="str">
        <v>2026-10-12 有记录的停售日；2026-10-13 有记录的停售日；2026-10-16 有记录的停售日</v>
      </c>
      <c r="Z119" s="8" t="n">
        <v>0</v>
      </c>
      <c r="AA119" s="8" t="n">
        <v>0</v>
      </c>
      <c r="AB119" s="8" t="n">
        <v>7</v>
      </c>
      <c r="AC119" s="8" t="str">
        <v>2026-09-29 至 2026-10-17</v>
      </c>
      <c r="AD119" s="8" t="str">
        <v>2026-09-29、2026-09-30、2026-10-01、2026-10-02、2026-10-03、2026-10-04、2026-10-05、2026-10-08、2026-10-09、2026-10-10、2026-10-11、2026-10-14、2026-10-15、2026-10-17</v>
      </c>
      <c r="AE119" s="8" t="str">
        <v>2026-10-06 大促；2026-10-07 大促；2026-10-12 有记录的停售日；2026-10-13 有记录的停售日；2026-10-16 有记录的停售日</v>
      </c>
      <c r="AF119" s="8" t="n">
        <v>0</v>
      </c>
      <c r="AG119" s="8" t="n">
        <v>0</v>
      </c>
      <c r="AH119" s="8" t="n">
        <v>14</v>
      </c>
      <c r="AI119" s="8" t="str">
        <v>2026-09-13 至 2026-10-17</v>
      </c>
      <c r="AJ11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" s="8" t="str">
        <v>2026-10-06 大促；2026-10-07 大促；2026-10-12 有记录的停售日；2026-10-13 有记录的停售日；2026-10-16 有记录的停售日</v>
      </c>
      <c r="AL119" s="8" t="n">
        <v>2</v>
      </c>
      <c r="AM119" s="8" t="n">
        <v>0</v>
      </c>
      <c r="AN119" s="8" t="n">
        <v>30</v>
      </c>
      <c r="AO119" s="8" t="str">
        <v>2302153 / 藏青色羊京绒 / 6574</v>
      </c>
      <c r="AP119" s="11" t="n">
        <v>1.7391279184229513</v>
      </c>
      <c r="AQ119" s="11" t="n">
        <v>1.6917168816426</v>
      </c>
      <c r="AR119" s="11" t="n">
        <v>1.5400015639454752</v>
      </c>
      <c r="AS119" s="11" t="n">
        <f>IF(AND(COUNT(I119:K119,AP119:AR119)=6,MIN(AP119:AR119)&gt;0),I119/7/AP119*0.5+J119/14/AQ119*0.3+K119/30/AR119*0.2,"")</f>
        <v>0.008657999865385468</v>
      </c>
      <c r="AT119" s="8" t="n">
        <v>12</v>
      </c>
      <c r="AU119" s="8" t="n">
        <v>0</v>
      </c>
      <c r="AV119" s="8" t="n">
        <v>85</v>
      </c>
      <c r="AW119" s="11" t="n">
        <f>IF(AND(COUNT(AT119:AV119)=3,AT119&gt;=AU119,AU119&gt;=0,AV119&gt;0),(AT119-AU119)/AV119,"")</f>
        <v>0.1411764705882353</v>
      </c>
      <c r="AX119" s="8" t="n">
        <v>12</v>
      </c>
      <c r="AY119" s="8" t="n">
        <v>0</v>
      </c>
      <c r="AZ119" s="8" t="n">
        <v>175</v>
      </c>
      <c r="BA119" s="11" t="n">
        <f>IF(AND(COUNT(AX119:AZ119)=3,AX119&gt;=AY119,AY119&gt;=0,AZ119&gt;0),(AX119-AY119)/AZ119,"")</f>
        <v>0.06857142857142857</v>
      </c>
      <c r="BB119" s="8" t="n">
        <f>IF(COUNT(AS119,AW119,BA119)=3,1,0)</f>
        <v>1</v>
      </c>
      <c r="BC119" s="11" t="n">
        <f>IF(SUMIF($AO$11:$AO$1309,AO119,$BB$11:$BB$1309)=COUNTIF($AO$11:$AO$1309,AO119),SUMIF($AO$11:$AO$1309,AO119,$AS$11:$AS$1309),"")</f>
        <v>1.647227964272497</v>
      </c>
      <c r="BD119" s="11" t="n">
        <f>IF(SUMIF($AO$11:$AO$1309,AO119,$BB$11:$BB$1309)=COUNTIF($AO$11:$AO$1309,AO119),SUMIF($AO$11:$AO$1309,AO119,$AW$11:$AW$1309),"")</f>
        <v>2.425267379679144</v>
      </c>
      <c r="BE119" s="11" t="n">
        <f>IF(SUMIF($AO$11:$AO$1309,AO119,$BB$11:$BB$1309)=COUNTIF($AO$11:$AO$1309,AO119),SUMIF($AO$11:$AO$1309,AO119,$BA$11:$BA$1309),"")</f>
        <v>1.3550882825040127</v>
      </c>
      <c r="BF119" s="12" t="n">
        <f>IF(COUNT(BD119:BE119)&lt;&gt;2,"",IF(AND(BD119&gt;0,BE119&gt;0),0.7*AW119/BD119+0.3*BA119/BE119,IF(BD119&gt;0,AW119/BD119,IF(BE119&gt;0,BA119/BE119,IF(AND(ISNUMBER(BH119),BH119=0),0,"")))))</f>
        <v>0.05592835511088531</v>
      </c>
      <c r="BG119" s="11" t="n">
        <f>IF(AND(COUNT(BN119:BU119)=8,MIN(BN119:BU119)&gt;=0),SUMPRODUCT(BN119:BQ119,BR119:BU119),"")</f>
        <v>109.4582336985339</v>
      </c>
      <c r="BH119" s="11" t="n">
        <f>IF(COUNT(BC119,BG119)=2,BC119*BG119,"")</f>
        <v>180.3026634680992</v>
      </c>
      <c r="BI119" s="11" t="n">
        <f>IF(ISNUMBER(CI119),CI119,"")</f>
        <v>10.084031389882302</v>
      </c>
      <c r="BJ119" s="8" t="str"/>
      <c r="BK119" s="8" t="str">
        <v>90天：2026-07-20 至 2026-10-17；180天：2026-04-21 至 2026-10-17</v>
      </c>
      <c r="BL119" s="8" t="str">
        <v>90天：2026-10-06、2026-10-07、2026-10-12、2026-10-13、2026-10-16；180天：2026-10-06、2026-10-07、2026-10-12、2026-10-13、2026-10-16</v>
      </c>
      <c r="BM119" s="8" t="str">
        <v>2026-10：12天 × 1.7391279184229513；2026-11：30天 × 1.4002077845513243；2026-12：31天 × 1.079339935625147；2027-01：17天 × 0.7719368903846591</v>
      </c>
      <c r="BN119" s="11" t="n">
        <v>1.7391279184229513</v>
      </c>
      <c r="BO119" s="11" t="n">
        <v>1.4002077845513243</v>
      </c>
      <c r="BP119" s="11" t="n">
        <v>1.079339935625147</v>
      </c>
      <c r="BQ119" s="11" t="n">
        <v>0.7719368903846591</v>
      </c>
      <c r="BR119" s="8" t="n">
        <v>12</v>
      </c>
      <c r="BS119" s="8" t="n">
        <v>30</v>
      </c>
      <c r="BT119" s="8" t="n">
        <v>31</v>
      </c>
      <c r="BU119" s="8" t="n">
        <v>17</v>
      </c>
      <c r="BV119" s="11" t="n">
        <f>IF(COUNT(BC119,BF119)=2,BC119*BF119,"")</f>
        <v>0.09212675053441291</v>
      </c>
      <c r="BW119" s="11" t="n">
        <f>IF(ISNUMBER(BN119),BN119,"")</f>
        <v>1.7391279184229513</v>
      </c>
      <c r="BX119" s="14" t="n">
        <f>IF(ISNUMBER(BR119),BR119,"")</f>
        <v>12</v>
      </c>
      <c r="BY119" s="13" t="n">
        <f>IF(AND(COUNT(BV119,BW119,BX119)=3,MIN(BV119,BW119,BX119)&gt;=0),BV119*BW119*BX119,"")</f>
        <v>1.9226424466558085</v>
      </c>
      <c r="BZ119" s="11" t="n">
        <f>IF(ISNUMBER(BO119),BO119,"")</f>
        <v>1.4002077845513243</v>
      </c>
      <c r="CA119" s="14" t="n">
        <f>IF(ISNUMBER(BS119),BS119,"")</f>
        <v>30</v>
      </c>
      <c r="CB119" s="13" t="n">
        <f>IF(AND(COUNT(BV119,BZ119,CA119)=3,MIN(BV119,BZ119,CA119)&gt;=0),BV119*BZ119*CA119,"")</f>
        <v>3.8698977979110847</v>
      </c>
      <c r="CC119" s="11" t="n">
        <f>IF(ISNUMBER(BP119),BP119,"")</f>
        <v>1.079339935625147</v>
      </c>
      <c r="CD119" s="14" t="n">
        <f>IF(ISNUMBER(BT119),BT119,"")</f>
        <v>31</v>
      </c>
      <c r="CE119" s="13" t="n">
        <f>IF(AND(COUNT(BV119,CC119,CD119)=3,MIN(BV119,CC119,CD119)&gt;=0),BV119*CC119*CD119,"")</f>
        <v>3.082518510726183</v>
      </c>
      <c r="CF119" s="11" t="n">
        <f>IF(ISNUMBER(BQ119),BQ119,"")</f>
        <v>0.7719368903846591</v>
      </c>
      <c r="CG119" s="14" t="n">
        <f>IF(ISNUMBER(BU119),BU119,"")</f>
        <v>17</v>
      </c>
      <c r="CH119" s="13" t="n">
        <f>IF(AND(COUNT(BV119,CF119,CG119)=3,MIN(BV119,CF119,CG119)&gt;=0),BV119*CF119*CG119,"")</f>
        <v>1.2089726345892249</v>
      </c>
      <c r="CI119" s="13" t="n">
        <f>IF(COUNT(BY119,CB119,CE119,CH119)=4,SUM(BY119,CB119,CE119,CH119),"")</f>
        <v>10.084031389882302</v>
      </c>
    </row>
    <row r="120" ht="72" customHeight="1">
      <c r="A120" s="16" t="str">
        <v>32582-LD-40.5</v>
      </c>
      <c r="B120" s="16" t="str">
        <v>3店-SANDIEX-US</v>
      </c>
      <c r="C120" s="16" t="str">
        <v>徐新怡</v>
      </c>
      <c r="D120" s="26" t="n">
        <f>IF(NOT(ISNUMBER(E120)),"",IF(OR(E120&lt;=0,L120=0),0,IF(OR(NOT(ISNUMBER(F120)),F120&lt;0),"",MIN(E120,INT(F120)))))</f>
        <v>11</v>
      </c>
      <c r="E120" s="27" t="n">
        <f>IF(OR(NOT(ISNUMBER(L120)),COUNT(M120:O120)&lt;&gt;3,MIN(M120:O120)&lt;0),"",ROUNDUP(ROUND(BI120-SUM(M120:O120),10),0))</f>
        <v>11</v>
      </c>
      <c r="F120" s="28" t="n">
        <v>32</v>
      </c>
      <c r="G120" s="28" t="n">
        <f>IF(AND(ISNUMBER(D120),ISNUMBER(E120)),IF(OR(E120&lt;=0,L120=0),0,E120-D120),"")</f>
        <v>0</v>
      </c>
      <c r="H120" s="16" t="str">
        <f>IF(NOT(ISNUMBER(E120)),"销量或海外库存待补",IF(OR(E120&lt;=0,L120=0),IF(L120=0,"零日销，本批不发","本批无需补货"),IF(NOT(ISNUMBER(D120)),"国内库存待补",IF(D120=0,"国内无可用库存",IF(G120&gt;0,"先发国内现货","按建议量发货")))))</f>
        <v>按建议量发货</v>
      </c>
      <c r="I120" s="28" t="n">
        <f>IF(AND(COUNT(Z120,AA120,AB120)=3,Z120&gt;=AA120,AA120&gt;=0,AB120=7),Z120-AA120,"")</f>
        <v>0</v>
      </c>
      <c r="J120" s="28" t="n">
        <f>IF(AND(COUNT(AF120,AG120,AH120)=3,AF120&gt;=AG120,AG120&gt;=0,AH120=14),AF120-AG120,"")</f>
        <v>5</v>
      </c>
      <c r="K120" s="28" t="n">
        <f>IF(AND(COUNT(AL120,AM120,AN120)=3,AL120&gt;=AM120,AM120&gt;=0,AN120=30),AL120-AM120,"")</f>
        <v>7</v>
      </c>
      <c r="L120" s="29" t="n">
        <f>IF(ISNUMBER(BI120),BI120/90,"")</f>
        <v>0.27610594826694246</v>
      </c>
      <c r="M120" s="28" t="n">
        <v>14</v>
      </c>
      <c r="N120" s="28" t="n">
        <v>0</v>
      </c>
      <c r="O120" s="28" t="n">
        <v>0</v>
      </c>
      <c r="P120" s="30" t="n">
        <f>IF(AND(ISNUMBER(L120),L120&gt;0,COUNT(M120:O120)=3,MIN(M120:O120)&gt;=0),SUM(M120:O120)/L120,"")</f>
        <v>50.705173459228185</v>
      </c>
      <c r="Q120" s="16" t="str">
        <v>沿用原计划SKU店铺</v>
      </c>
      <c r="R120" s="16" t="str">
        <v>已匹配</v>
      </c>
      <c r="S120" s="16" t="str">
        <v>在售</v>
      </c>
      <c r="T120" s="16" t="str">
        <v>32582</v>
      </c>
      <c r="U120" s="16" t="str">
        <v>豹纹</v>
      </c>
      <c r="V120" s="16" t="n">
        <v>9.5</v>
      </c>
      <c r="W120" s="8" t="str">
        <v>2026-10-11 至 2026-10-17</v>
      </c>
      <c r="X120" s="8" t="str">
        <v>2026-10-11、2026-10-12、2026-10-13、2026-10-14、2026-10-15、2026-10-16、2026-10-17</v>
      </c>
      <c r="Y120" s="8" t="str">
        <v>无</v>
      </c>
      <c r="Z120" s="8" t="n">
        <v>0</v>
      </c>
      <c r="AA120" s="8" t="n">
        <v>0</v>
      </c>
      <c r="AB120" s="8" t="n">
        <v>7</v>
      </c>
      <c r="AC120" s="8" t="str">
        <v>2026-10-02 至 2026-10-17</v>
      </c>
      <c r="AD120" s="8" t="str">
        <v>2026-10-02、2026-10-03、2026-10-04、2026-10-05、2026-10-08、2026-10-09、2026-10-10、2026-10-11、2026-10-12、2026-10-13、2026-10-14、2026-10-15、2026-10-16、2026-10-17</v>
      </c>
      <c r="AE120" s="8" t="str">
        <v>2026-10-06 大促；2026-10-07 大促</v>
      </c>
      <c r="AF120" s="8" t="n">
        <v>9</v>
      </c>
      <c r="AG120" s="8" t="n">
        <v>4</v>
      </c>
      <c r="AH120" s="8" t="n">
        <v>14</v>
      </c>
      <c r="AI120" s="8" t="str">
        <v>2026-09-16 至 2026-10-17</v>
      </c>
      <c r="AJ1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" s="8" t="str">
        <v>2026-10-06 大促；2026-10-07 大促</v>
      </c>
      <c r="AL120" s="8" t="n">
        <v>11</v>
      </c>
      <c r="AM120" s="8" t="n">
        <v>4</v>
      </c>
      <c r="AN120" s="8" t="n">
        <v>30</v>
      </c>
      <c r="AO120" s="8" t="str">
        <v>32582 / 豹纹羊京绒 / 6574</v>
      </c>
      <c r="AP120" s="11" t="n">
        <v>1.0395067087630607</v>
      </c>
      <c r="AQ120" s="11" t="n">
        <v>1.0395067087630607</v>
      </c>
      <c r="AR120" s="11" t="n">
        <v>1.0707336504782758</v>
      </c>
      <c r="AS120" s="11" t="n">
        <f>IF(AND(COUNT(I120:K120,AP120:AR120)=6,MIN(AP120:AR120)&gt;0),I120/7/AP120*0.5+J120/14/AQ120*0.3+K120/30/AR120*0.2,"")</f>
        <v>0.14665469015404037</v>
      </c>
      <c r="AT120" s="8" t="n">
        <v>23</v>
      </c>
      <c r="AU120" s="8" t="n">
        <v>4</v>
      </c>
      <c r="AV120" s="8" t="n">
        <v>88</v>
      </c>
      <c r="AW120" s="11" t="n">
        <f>IF(AND(COUNT(AT120:AV120)=3,AT120&gt;=AU120,AU120&gt;=0,AV120&gt;0),(AT120-AU120)/AV120,"")</f>
        <v>0.2159090909090909</v>
      </c>
      <c r="AX120" s="8" t="n">
        <v>42</v>
      </c>
      <c r="AY120" s="8" t="n">
        <v>4</v>
      </c>
      <c r="AZ120" s="8" t="n">
        <v>178</v>
      </c>
      <c r="BA120" s="11" t="n">
        <f>IF(AND(COUNT(AX120:AZ120)=3,AX120&gt;=AY120,AY120&gt;=0,AZ120&gt;0),(AX120-AY120)/AZ120,"")</f>
        <v>0.21348314606741572</v>
      </c>
      <c r="BB120" s="8" t="n">
        <f>IF(COUNT(AS120,AW120,BA120)=3,1,0)</f>
        <v>1</v>
      </c>
      <c r="BC120" s="11" t="n">
        <f>IF(SUMIF($AO$11:$AO$1309,AO120,$BB$11:$BB$1309)=COUNTIF($AO$11:$AO$1309,AO120),SUMIF($AO$11:$AO$1309,AO120,$AS$11:$AS$1309),"")</f>
        <v>2.517644694108243</v>
      </c>
      <c r="BD120" s="11" t="n">
        <f>IF(SUMIF($AO$11:$AO$1309,AO120,$BB$11:$BB$1309)=COUNTIF($AO$11:$AO$1309,AO120),SUMIF($AO$11:$AO$1309,AO120,$AW$11:$AW$1309),"")</f>
        <v>2.0255347593582886</v>
      </c>
      <c r="BE120" s="11" t="n">
        <f>IF(SUMIF($AO$11:$AO$1309,AO120,$BB$11:$BB$1309)=COUNTIF($AO$11:$AO$1309,AO120),SUMIF($AO$11:$AO$1309,AO120,$BA$11:$BA$1309),"")</f>
        <v>1.721701444622793</v>
      </c>
      <c r="BF120" s="12" t="n">
        <f>IF(COUNT(BD120:BE120)&lt;&gt;2,"",IF(AND(BD120&gt;0,BE120&gt;0),0.7*AW120/BD120+0.3*BA120/BE120,IF(BD120&gt;0,AW120/BD120,IF(BE120&gt;0,BA120/BE120,IF(AND(ISNUMBER(BH120),BH120=0),0,"")))))</f>
        <v>0.11181417204600463</v>
      </c>
      <c r="BG120" s="11" t="n">
        <f>IF(AND(COUNT(BN120:BU120)=8,MIN(BN120:BU120)&gt;=0),SUMPRODUCT(BN120:BQ120,BR120:BU120),"")</f>
        <v>88.27281580841549</v>
      </c>
      <c r="BH120" s="11" t="n">
        <f>IF(COUNT(BC120,BG120)=2,BC120*BG120,"")</f>
        <v>222.23958635405148</v>
      </c>
      <c r="BI120" s="11" t="n">
        <f>IF(ISNUMBER(CI120),CI120,"")</f>
        <v>24.849535344024822</v>
      </c>
      <c r="BJ120" s="8" t="str"/>
      <c r="BK120" s="8" t="str">
        <v>90天：2026-07-20 至 2026-10-17；180天：2026-04-21 至 2026-10-17</v>
      </c>
      <c r="BL120" s="8" t="str">
        <v>90天：2026-10-06、2026-10-07；180天：2026-10-06、2026-10-07</v>
      </c>
      <c r="BM120" s="8" t="str">
        <v>2026-10：12天 × 1.0395067087630607；2026-11：30天 × 0.9890368360033146；2026-12：31天 × 0.7800796503018808；2027-01：17天 × 1.2908918272824135</v>
      </c>
      <c r="BN120" s="11" t="n">
        <v>1.0395067087630607</v>
      </c>
      <c r="BO120" s="11" t="n">
        <v>0.9890368360033146</v>
      </c>
      <c r="BP120" s="11" t="n">
        <v>0.7800796503018808</v>
      </c>
      <c r="BQ120" s="11" t="n">
        <v>1.2908918272824135</v>
      </c>
      <c r="BR120" s="8" t="n">
        <v>12</v>
      </c>
      <c r="BS120" s="8" t="n">
        <v>30</v>
      </c>
      <c r="BT120" s="8" t="n">
        <v>31</v>
      </c>
      <c r="BU120" s="8" t="n">
        <v>17</v>
      </c>
      <c r="BV120" s="11" t="n">
        <f>IF(COUNT(BC120,BF120)=2,BC120*BF120,"")</f>
        <v>0.2815083569777298</v>
      </c>
      <c r="BW120" s="11" t="n">
        <f>IF(ISNUMBER(BN120),BN120,"")</f>
        <v>1.0395067087630607</v>
      </c>
      <c r="BX120" s="14" t="n">
        <f>IF(ISNUMBER(BR120),BR120,"")</f>
        <v>12</v>
      </c>
      <c r="BY120" s="13" t="n">
        <f>IF(AND(COUNT(BV120,BW120,BX120)=3,MIN(BV120,BW120,BX120)&gt;=0),BV120*BW120*BX120,"")</f>
        <v>3.5115579078146</v>
      </c>
      <c r="BZ120" s="11" t="n">
        <f>IF(ISNUMBER(BO120),BO120,"")</f>
        <v>0.9890368360033146</v>
      </c>
      <c r="CA120" s="14" t="n">
        <f>IF(ISNUMBER(BS120),BS120,"")</f>
        <v>30</v>
      </c>
      <c r="CB120" s="13" t="n">
        <f>IF(AND(COUNT(BV120,BZ120,CA120)=3,MIN(BV120,BZ120,CA120)&gt;=0),BV120*BZ120*CA120,"")</f>
        <v>8.352664040812364</v>
      </c>
      <c r="CC120" s="11" t="n">
        <f>IF(ISNUMBER(BP120),BP120,"")</f>
        <v>0.7800796503018808</v>
      </c>
      <c r="CD120" s="14" t="n">
        <f>IF(ISNUMBER(BT120),BT120,"")</f>
        <v>31</v>
      </c>
      <c r="CE120" s="13" t="n">
        <f>IF(AND(COUNT(BV120,CC120,CD120)=3,MIN(BV120,CC120,CD120)&gt;=0),BV120*CC120*CD120,"")</f>
        <v>6.807567160715579</v>
      </c>
      <c r="CF120" s="11" t="n">
        <f>IF(ISNUMBER(BQ120),BQ120,"")</f>
        <v>1.2908918272824135</v>
      </c>
      <c r="CG120" s="14" t="n">
        <f>IF(ISNUMBER(BU120),BU120,"")</f>
        <v>17</v>
      </c>
      <c r="CH120" s="13" t="n">
        <f>IF(AND(COUNT(BV120,CF120,CG120)=3,MIN(BV120,CF120,CG120)&gt;=0),BV120*CF120*CG120,"")</f>
        <v>6.177746234682277</v>
      </c>
      <c r="CI120" s="13" t="n">
        <f>IF(COUNT(BY120,CB120,CE120,CH120)=4,SUM(BY120,CB120,CE120,CH120),"")</f>
        <v>24.849535344024822</v>
      </c>
    </row>
    <row r="121" ht="72" customHeight="1">
      <c r="A121" s="16" t="str">
        <v>B06-BGP-41</v>
      </c>
      <c r="B121" s="16" t="str">
        <v>1店-MUSSHOE-US</v>
      </c>
      <c r="C121" s="16" t="str">
        <v>艾年</v>
      </c>
      <c r="D121" s="26" t="n">
        <f>IF(NOT(ISNUMBER(E121)),"",IF(OR(E121&lt;=0,L121=0),0,IF(OR(NOT(ISNUMBER(F121)),F121&lt;0),"",MIN(E121,INT(F121)))))</f>
        <v>11</v>
      </c>
      <c r="E121" s="27" t="n">
        <f>IF(OR(NOT(ISNUMBER(L121)),COUNT(M121:O121)&lt;&gt;3,MIN(M121:O121)&lt;0),"",ROUNDUP(ROUND(BI121-SUM(M121:O121),10),0))</f>
        <v>11</v>
      </c>
      <c r="F121" s="28" t="n">
        <v>28</v>
      </c>
      <c r="G121" s="28" t="n">
        <f>IF(AND(ISNUMBER(D121),ISNUMBER(E121)),IF(OR(E121&lt;=0,L121=0),0,E121-D121),"")</f>
        <v>0</v>
      </c>
      <c r="H121" s="16" t="str">
        <f>IF(NOT(ISNUMBER(E121)),"销量或海外库存待补",IF(OR(E121&lt;=0,L121=0),IF(L121=0,"零日销，本批不发","本批无需补货"),IF(NOT(ISNUMBER(D121)),"国内库存待补",IF(D121=0,"国内无可用库存",IF(G121&gt;0,"先发国内现货","按建议量发货")))))</f>
        <v>按建议量发货</v>
      </c>
      <c r="I121" s="28" t="n">
        <f>IF(AND(COUNT(Z121,AA121,AB121)=3,Z121&gt;=AA121,AA121&gt;=0,AB121=7),Z121-AA121,"")</f>
        <v>0</v>
      </c>
      <c r="J121" s="28" t="n">
        <f>IF(AND(COUNT(AF121,AG121,AH121)=3,AF121&gt;=AG121,AG121&gt;=0,AH121=14),AF121-AG121,"")</f>
        <v>0</v>
      </c>
      <c r="K121" s="28" t="n">
        <f>IF(AND(COUNT(AL121,AM121,AN121)=3,AL121&gt;=AM121,AM121&gt;=0,AN121=30),AL121-AM121,"")</f>
        <v>0</v>
      </c>
      <c r="L121" s="29" t="n">
        <f>IF(ISNUMBER(BI121),BI121/90,"")</f>
        <v>0.12343106505588627</v>
      </c>
      <c r="M121" s="28" t="n">
        <v>1</v>
      </c>
      <c r="N121" s="28" t="n">
        <v>0</v>
      </c>
      <c r="O121" s="28" t="n">
        <v>0</v>
      </c>
      <c r="P121" s="30" t="n">
        <f>IF(AND(ISNUMBER(L121),L121&gt;0,COUNT(M121:O121)=3,MIN(M121:O121)&gt;=0),SUM(M121:O121)/L121,"")</f>
        <v>8.101688173453148</v>
      </c>
      <c r="Q121" s="16" t="str">
        <v>沿用原计划SKU店铺</v>
      </c>
      <c r="R121" s="16" t="str">
        <v>已匹配</v>
      </c>
      <c r="S121" s="16" t="str">
        <v>在售</v>
      </c>
      <c r="T121" s="16" t="str">
        <v>B06</v>
      </c>
      <c r="U121" s="16" t="str">
        <v>米色PU</v>
      </c>
      <c r="V121" s="16" t="n">
        <v>10</v>
      </c>
      <c r="W121" s="8" t="str">
        <v>2026-10-10 至 2026-10-17</v>
      </c>
      <c r="X121" s="8" t="str">
        <v>2026-10-10、2026-10-11、2026-10-13、2026-10-14、2026-10-15、2026-10-16、2026-10-17</v>
      </c>
      <c r="Y121" s="8" t="str">
        <v>2026-10-12 有记录的停售日</v>
      </c>
      <c r="Z121" s="8" t="n">
        <v>0</v>
      </c>
      <c r="AA121" s="8" t="n">
        <v>0</v>
      </c>
      <c r="AB121" s="8" t="n">
        <v>7</v>
      </c>
      <c r="AC121" s="8" t="str">
        <v>2026-10-01 至 2026-10-17</v>
      </c>
      <c r="AD121" s="8" t="str">
        <v>2026-10-01、2026-10-02、2026-10-03、2026-10-04、2026-10-05、2026-10-08、2026-10-09、2026-10-10、2026-10-11、2026-10-13、2026-10-14、2026-10-15、2026-10-16、2026-10-17</v>
      </c>
      <c r="AE121" s="8" t="str">
        <v>2026-10-06 大促；2026-10-07 大促；2026-10-12 有记录的停售日</v>
      </c>
      <c r="AF121" s="8" t="n">
        <v>0</v>
      </c>
      <c r="AG121" s="8" t="n">
        <v>0</v>
      </c>
      <c r="AH121" s="8" t="n">
        <v>14</v>
      </c>
      <c r="AI121" s="8" t="str">
        <v>2026-09-15 至 2026-10-17</v>
      </c>
      <c r="AJ121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121" s="8" t="str">
        <v>2026-10-06 大促；2026-10-07 大促；2026-10-12 有记录的停售日</v>
      </c>
      <c r="AL121" s="8" t="n">
        <v>0</v>
      </c>
      <c r="AM121" s="8" t="n">
        <v>0</v>
      </c>
      <c r="AN121" s="8" t="n">
        <v>30</v>
      </c>
      <c r="AO121" s="8" t="str">
        <v>B06 / 米色PU / 13120</v>
      </c>
      <c r="AP121" s="11" t="n">
        <v>1.2247029157699902</v>
      </c>
      <c r="AQ121" s="11" t="n">
        <v>1.2247029157699902</v>
      </c>
      <c r="AR121" s="11" t="n">
        <v>1.106293475732259</v>
      </c>
      <c r="AS121" s="11" t="n">
        <f>IF(AND(COUNT(I121:K121,AP121:AR121)=6,MIN(AP121:AR121)&gt;0),I121/7/AP121*0.5+J121/14/AQ121*0.3+K121/30/AR121*0.2,"")</f>
        <v>0</v>
      </c>
      <c r="AT121" s="8" t="n">
        <v>10</v>
      </c>
      <c r="AU121" s="8" t="n">
        <v>0</v>
      </c>
      <c r="AV121" s="8" t="n">
        <v>87</v>
      </c>
      <c r="AW121" s="11" t="n">
        <f>IF(AND(COUNT(AT121:AV121)=3,AT121&gt;=AU121,AU121&gt;=0,AV121&gt;0),(AT121-AU121)/AV121,"")</f>
        <v>0.11494252873563218</v>
      </c>
      <c r="AX121" s="8" t="n">
        <v>35</v>
      </c>
      <c r="AY121" s="8" t="n">
        <v>0</v>
      </c>
      <c r="AZ121" s="8" t="n">
        <v>177</v>
      </c>
      <c r="BA121" s="11" t="n">
        <f>IF(AND(COUNT(AX121:AZ121)=3,AX121&gt;=AY121,AY121&gt;=0,AZ121&gt;0),(AX121-AY121)/AZ121,"")</f>
        <v>0.1977401129943503</v>
      </c>
      <c r="BB121" s="8" t="n">
        <f>IF(COUNT(AS121,AW121,BA121)=3,1,0)</f>
        <v>1</v>
      </c>
      <c r="BC121" s="11" t="n">
        <f>IF(SUMIF($AO$11:$AO$1309,AO121,$BB$11:$BB$1309)=COUNTIF($AO$11:$AO$1309,AO121),SUMIF($AO$11:$AO$1309,AO121,$AS$11:$AS$1309),"")</f>
        <v>3.5783079906501625</v>
      </c>
      <c r="BD121" s="11" t="n">
        <f>IF(SUMIF($AO$11:$AO$1309,AO121,$BB$11:$BB$1309)=COUNTIF($AO$11:$AO$1309,AO121),SUMIF($AO$11:$AO$1309,AO121,$AW$11:$AW$1309),"")</f>
        <v>3.376306165099269</v>
      </c>
      <c r="BE121" s="11" t="n">
        <f>IF(SUMIF($AO$11:$AO$1309,AO121,$BB$11:$BB$1309)=COUNTIF($AO$11:$AO$1309,AO121),SUMIF($AO$11:$AO$1309,AO121,$BA$11:$BA$1309),"")</f>
        <v>3.2539198882752487</v>
      </c>
      <c r="BF121" s="12" t="n">
        <f>IF(COUNT(BD121:BE121)&lt;&gt;2,"",IF(AND(BD121&gt;0,BE121&gt;0),0.7*AW121/BD121+0.3*BA121/BE121,IF(BD121&gt;0,AW121/BD121,IF(BE121&gt;0,BA121/BE121,IF(AND(ISNUMBER(BH121),BH121=0),0,"")))))</f>
        <v>0.042061653928033085</v>
      </c>
      <c r="BG121" s="11" t="n">
        <f>IF(AND(COUNT(BN121:BU121)=8,MIN(BN121:BU121)&gt;=0),SUMPRODUCT(BN121:BQ121,BR121:BU121),"")</f>
        <v>73.80791239847399</v>
      </c>
      <c r="BH121" s="11" t="n">
        <f>IF(COUNT(BC121,BG121)=2,BC121*BG121,"")</f>
        <v>264.10744270866667</v>
      </c>
      <c r="BI121" s="11" t="n">
        <f>IF(ISNUMBER(CI121),CI121,"")</f>
        <v>11.108795855029765</v>
      </c>
      <c r="BJ121" s="8" t="str"/>
      <c r="BK121" s="8" t="str">
        <v>90天：2026-07-20 至 2026-10-17；180天：2026-04-21 至 2026-10-17</v>
      </c>
      <c r="BL121" s="8" t="str">
        <v>90天：2026-10-06、2026-10-07、2026-10-12；180天：2026-10-06、2026-10-07、2026-10-12</v>
      </c>
      <c r="BM121" s="8" t="str">
        <v>2026-10：12天 × 1.2247029157699902；2026-11：30天 × 0.8332682139098497；2026-12：31天 × 0.5511018253564084；2027-01：17天 × 1.0017220238758797</v>
      </c>
      <c r="BN121" s="11" t="n">
        <v>1.2247029157699902</v>
      </c>
      <c r="BO121" s="11" t="n">
        <v>0.8332682139098497</v>
      </c>
      <c r="BP121" s="11" t="n">
        <v>0.5511018253564084</v>
      </c>
      <c r="BQ121" s="11" t="n">
        <v>1.0017220238758797</v>
      </c>
      <c r="BR121" s="8" t="n">
        <v>12</v>
      </c>
      <c r="BS121" s="8" t="n">
        <v>30</v>
      </c>
      <c r="BT121" s="8" t="n">
        <v>31</v>
      </c>
      <c r="BU121" s="8" t="n">
        <v>17</v>
      </c>
      <c r="BV121" s="11" t="n">
        <f>IF(COUNT(BC121,BF121)=2,BC121*BF121,"")</f>
        <v>0.1505095523506426</v>
      </c>
      <c r="BW121" s="11" t="n">
        <f>IF(ISNUMBER(BN121),BN121,"")</f>
        <v>1.2247029157699902</v>
      </c>
      <c r="BX121" s="14" t="n">
        <f>IF(ISNUMBER(BR121),BR121,"")</f>
        <v>12</v>
      </c>
      <c r="BY121" s="13" t="n">
        <f>IF(AND(COUNT(BV121,BW121,BX121)=3,MIN(BV121,BW121,BX121)&gt;=0),BV121*BW121*BX121,"")</f>
        <v>2.2119538513808155</v>
      </c>
      <c r="BZ121" s="11" t="n">
        <f>IF(ISNUMBER(BO121),BO121,"")</f>
        <v>0.8332682139098497</v>
      </c>
      <c r="CA121" s="14" t="n">
        <f>IF(ISNUMBER(BS121),BS121,"")</f>
        <v>30</v>
      </c>
      <c r="CB121" s="13" t="n">
        <f>IF(AND(COUNT(BV121,BZ121,CA121)=3,MIN(BV121,BZ121,CA121)&gt;=0),BV121*BZ121*CA121,"")</f>
        <v>3.7624447759077295</v>
      </c>
      <c r="CC121" s="11" t="n">
        <f>IF(ISNUMBER(BP121),BP121,"")</f>
        <v>0.5511018253564084</v>
      </c>
      <c r="CD121" s="14" t="n">
        <f>IF(ISNUMBER(BT121),BT121,"")</f>
        <v>31</v>
      </c>
      <c r="CE121" s="13" t="n">
        <f>IF(AND(COUNT(BV121,CC121,CD121)=3,MIN(BV121,CC121,CD121)&gt;=0),BV121*CC121*CD121,"")</f>
        <v>2.5713287600544663</v>
      </c>
      <c r="CF121" s="11" t="n">
        <f>IF(ISNUMBER(BQ121),BQ121,"")</f>
        <v>1.0017220238758797</v>
      </c>
      <c r="CG121" s="14" t="n">
        <f>IF(ISNUMBER(BU121),BU121,"")</f>
        <v>17</v>
      </c>
      <c r="CH121" s="13" t="n">
        <f>IF(AND(COUNT(BV121,CF121,CG121)=3,MIN(BV121,CF121,CG121)&gt;=0),BV121*CF121*CG121,"")</f>
        <v>2.5630684676867523</v>
      </c>
      <c r="CI121" s="13" t="n">
        <f>IF(COUNT(BY121,CB121,CE121,CH121)=4,SUM(BY121,CB121,CE121,CH121),"")</f>
        <v>11.108795855029765</v>
      </c>
    </row>
    <row r="122" ht="72" customHeight="1">
      <c r="A122" s="16" t="str">
        <v>S02b-LP-37</v>
      </c>
      <c r="B122" s="16" t="str">
        <v>3店-SANDIEX-US</v>
      </c>
      <c r="C122" s="16" t="str">
        <v>陈晨</v>
      </c>
      <c r="D122" s="26" t="n">
        <f>IF(NOT(ISNUMBER(E122)),"",IF(OR(E122&lt;=0,L122=0),0,IF(OR(NOT(ISNUMBER(F122)),F122&lt;0),"",MIN(E122,INT(F122)))))</f>
        <v>11</v>
      </c>
      <c r="E122" s="27" t="n">
        <f>IF(OR(NOT(ISNUMBER(L122)),COUNT(M122:O122)&lt;&gt;3,MIN(M122:O122)&lt;0),"",ROUNDUP(ROUND(BI122-SUM(M122:O122),10),0))</f>
        <v>11</v>
      </c>
      <c r="F122" s="28" t="n">
        <v>56</v>
      </c>
      <c r="G122" s="28" t="n">
        <f>IF(AND(ISNUMBER(D122),ISNUMBER(E122)),IF(OR(E122&lt;=0,L122=0),0,E122-D122),"")</f>
        <v>0</v>
      </c>
      <c r="H122" s="16" t="str">
        <f>IF(NOT(ISNUMBER(E122)),"销量或海外库存待补",IF(OR(E122&lt;=0,L122=0),IF(L122=0,"零日销，本批不发","本批无需补货"),IF(NOT(ISNUMBER(D122)),"国内库存待补",IF(D122=0,"国内无可用库存",IF(G122&gt;0,"先发国内现货","按建议量发货")))))</f>
        <v>按建议量发货</v>
      </c>
      <c r="I122" s="28" t="n">
        <f>IF(AND(COUNT(Z122,AA122,AB122)=3,Z122&gt;=AA122,AA122&gt;=0,AB122=7),Z122-AA122,"")</f>
        <v>4</v>
      </c>
      <c r="J122" s="28" t="n">
        <f>IF(AND(COUNT(AF122,AG122,AH122)=3,AF122&gt;=AG122,AG122&gt;=0,AH122=14),AF122-AG122,"")</f>
        <v>6</v>
      </c>
      <c r="K122" s="28" t="n">
        <f>IF(AND(COUNT(AL122,AM122,AN122)=3,AL122&gt;=AM122,AM122&gt;=0,AN122=30),AL122-AM122,"")</f>
        <v>10</v>
      </c>
      <c r="L122" s="29" t="n">
        <f>IF(ISNUMBER(BI122),BI122/90,"")</f>
        <v>0.3938202501371896</v>
      </c>
      <c r="M122" s="28" t="n">
        <v>25</v>
      </c>
      <c r="N122" s="28" t="n">
        <v>0</v>
      </c>
      <c r="O122" s="28" t="n">
        <v>0</v>
      </c>
      <c r="P122" s="30" t="n">
        <f>IF(AND(ISNUMBER(L122),L122&gt;0,COUNT(M122:O122)=3,MIN(M122:O122)&gt;=0),SUM(M122:O122)/L122,"")</f>
        <v>63.48073770023534</v>
      </c>
      <c r="Q122" s="16" t="str">
        <v>沿用原计划SKU店铺</v>
      </c>
      <c r="R122" s="16" t="str">
        <v>已匹配</v>
      </c>
      <c r="S122" s="16" t="str">
        <v>在售</v>
      </c>
      <c r="T122" s="16" t="str">
        <v>S02b</v>
      </c>
      <c r="U122" s="16" t="str">
        <v>豹纹</v>
      </c>
      <c r="V122" s="16" t="n">
        <v>6</v>
      </c>
      <c r="W122" s="8" t="str">
        <v>2026-10-11 至 2026-10-17</v>
      </c>
      <c r="X122" s="8" t="str">
        <v>2026-10-11、2026-10-12、2026-10-13、2026-10-14、2026-10-15、2026-10-16、2026-10-17</v>
      </c>
      <c r="Y122" s="8" t="str">
        <v>无</v>
      </c>
      <c r="Z122" s="8" t="n">
        <v>4</v>
      </c>
      <c r="AA122" s="8" t="n">
        <v>0</v>
      </c>
      <c r="AB122" s="8" t="n">
        <v>7</v>
      </c>
      <c r="AC122" s="8" t="str">
        <v>2026-10-02 至 2026-10-17</v>
      </c>
      <c r="AD122" s="8" t="str">
        <v>2026-10-02、2026-10-03、2026-10-04、2026-10-05、2026-10-08、2026-10-09、2026-10-10、2026-10-11、2026-10-12、2026-10-13、2026-10-14、2026-10-15、2026-10-16、2026-10-17</v>
      </c>
      <c r="AE122" s="8" t="str">
        <v>2026-10-06 大促；2026-10-07 大促</v>
      </c>
      <c r="AF122" s="8" t="n">
        <v>10</v>
      </c>
      <c r="AG122" s="8" t="n">
        <v>4</v>
      </c>
      <c r="AH122" s="8" t="n">
        <v>14</v>
      </c>
      <c r="AI122" s="8" t="str">
        <v>2026-09-16 至 2026-10-17</v>
      </c>
      <c r="AJ1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2" s="8" t="str">
        <v>2026-10-06 大促；2026-10-07 大促</v>
      </c>
      <c r="AL122" s="8" t="n">
        <v>14</v>
      </c>
      <c r="AM122" s="8" t="n">
        <v>4</v>
      </c>
      <c r="AN122" s="8" t="n">
        <v>30</v>
      </c>
      <c r="AO122" s="8" t="str">
        <v>S02b / 豹纹 / 6574</v>
      </c>
      <c r="AP122" s="11" t="n">
        <v>0.9658602967882928</v>
      </c>
      <c r="AQ122" s="11" t="n">
        <v>0.9658602967882928</v>
      </c>
      <c r="AR122" s="11" t="n">
        <v>0.9166270540270348</v>
      </c>
      <c r="AS122" s="11" t="n">
        <f>IF(AND(COUNT(I122:K122,AP122:AR122)=6,MIN(AP122:AR122)&gt;0),I122/7/AP122*0.5+J122/14/AQ122*0.3+K122/30/AR122*0.2,"")</f>
        <v>0.5016596466125243</v>
      </c>
      <c r="AT122" s="8" t="n">
        <v>26</v>
      </c>
      <c r="AU122" s="8" t="n">
        <v>4</v>
      </c>
      <c r="AV122" s="8" t="n">
        <v>88</v>
      </c>
      <c r="AW122" s="11" t="n">
        <f>IF(AND(COUNT(AT122:AV122)=3,AT122&gt;=AU122,AU122&gt;=0,AV122&gt;0),(AT122-AU122)/AV122,"")</f>
        <v>0.25</v>
      </c>
      <c r="AX122" s="8" t="n">
        <v>34</v>
      </c>
      <c r="AY122" s="8" t="n">
        <v>4</v>
      </c>
      <c r="AZ122" s="8" t="n">
        <v>178</v>
      </c>
      <c r="BA122" s="11" t="n">
        <f>IF(AND(COUNT(AX122:AZ122)=3,AX122&gt;=AY122,AY122&gt;=0,AZ122&gt;0),(AX122-AY122)/AZ122,"")</f>
        <v>0.16853932584269662</v>
      </c>
      <c r="BB122" s="8" t="n">
        <f>IF(COUNT(AS122,AW122,BA122)=3,1,0)</f>
        <v>1</v>
      </c>
      <c r="BC122" s="11" t="n">
        <f>IF(SUMIF($AO$11:$AO$1309,AO122,$BB$11:$BB$1309)=COUNTIF($AO$11:$AO$1309,AO122),SUMIF($AO$11:$AO$1309,AO122,$AS$11:$AS$1309),"")</f>
        <v>7.593711834893618</v>
      </c>
      <c r="BD122" s="11" t="n">
        <f>IF(SUMIF($AO$11:$AO$1309,AO122,$BB$11:$BB$1309)=COUNTIF($AO$11:$AO$1309,AO122),SUMIF($AO$11:$AO$1309,AO122,$AW$11:$AW$1309),"")</f>
        <v>4.863636363636363</v>
      </c>
      <c r="BE122" s="11" t="n">
        <f>IF(SUMIF($AO$11:$AO$1309,AO122,$BB$11:$BB$1309)=COUNTIF($AO$11:$AO$1309,AO122),SUMIF($AO$11:$AO$1309,AO122,$BA$11:$BA$1309),"")</f>
        <v>3.7977528089887644</v>
      </c>
      <c r="BF122" s="12" t="n">
        <f>IF(COUNT(BD122:BE122)&lt;&gt;2,"",IF(AND(BD122&gt;0,BE122&gt;0),0.7*AW122/BD122+0.3*BA122/BE122,IF(BD122&gt;0,AW122/BD122,IF(BE122&gt;0,BA122/BE122,IF(AND(ISNUMBER(BH122),BH122=0),0,"")))))</f>
        <v>0.049294917878670574</v>
      </c>
      <c r="BG122" s="11" t="n">
        <f>IF(AND(COUNT(BN122:BU122)=8,MIN(BN122:BU122)&gt;=0),SUMPRODUCT(BN122:BQ122,BR122:BU122),"")</f>
        <v>94.68567795727022</v>
      </c>
      <c r="BH122" s="11" t="n">
        <f>IF(COUNT(BC122,BG122)=2,BC122*BG122,"")</f>
        <v>719.0157532990486</v>
      </c>
      <c r="BI122" s="11" t="n">
        <f>IF(ISNUMBER(CI122),CI122,"")</f>
        <v>35.44382251234706</v>
      </c>
      <c r="BJ122" s="8" t="str"/>
      <c r="BK122" s="8" t="str">
        <v>90天：2026-07-20 至 2026-10-17；180天：2026-04-21 至 2026-10-17</v>
      </c>
      <c r="BL122" s="8" t="str">
        <v>90天：2026-10-06、2026-10-07；180天：2026-10-06、2026-10-07</v>
      </c>
      <c r="BM122" s="8" t="str">
        <v>2026-10：12天 × 0.9658602967882928；2026-11：30天 × 1.1727174450092641；2026-12：31天 × 0.8763339075184018；2027-01：17天 × 1.2204399948507247</v>
      </c>
      <c r="BN122" s="11" t="n">
        <v>0.9658602967882928</v>
      </c>
      <c r="BO122" s="11" t="n">
        <v>1.1727174450092641</v>
      </c>
      <c r="BP122" s="11" t="n">
        <v>0.8763339075184018</v>
      </c>
      <c r="BQ122" s="11" t="n">
        <v>1.2204399948507247</v>
      </c>
      <c r="BR122" s="8" t="n">
        <v>12</v>
      </c>
      <c r="BS122" s="8" t="n">
        <v>30</v>
      </c>
      <c r="BT122" s="8" t="n">
        <v>31</v>
      </c>
      <c r="BU122" s="8" t="n">
        <v>17</v>
      </c>
      <c r="BV122" s="11" t="n">
        <f>IF(COUNT(BC122,BF122)=2,BC122*BF122,"")</f>
        <v>0.37433140129536974</v>
      </c>
      <c r="BW122" s="11" t="n">
        <f>IF(ISNUMBER(BN122),BN122,"")</f>
        <v>0.9658602967882928</v>
      </c>
      <c r="BX122" s="14" t="n">
        <f>IF(ISNUMBER(BR122),BR122,"")</f>
        <v>12</v>
      </c>
      <c r="BY122" s="13" t="n">
        <f>IF(AND(COUNT(BV122,BW122,BX122)=3,MIN(BV122,BW122,BX122)&gt;=0),BV122*BW122*BX122,"")</f>
        <v>4.33862206022788</v>
      </c>
      <c r="BZ122" s="11" t="n">
        <f>IF(ISNUMBER(BO122),BO122,"")</f>
        <v>1.1727174450092641</v>
      </c>
      <c r="CA122" s="14" t="n">
        <f>IF(ISNUMBER(BS122),BS122,"")</f>
        <v>30</v>
      </c>
      <c r="CB122" s="13" t="n">
        <f>IF(AND(COUNT(BV122,BZ122,CA122)=3,MIN(BV122,BZ122,CA122)&gt;=0),BV122*BZ122*CA122,"")</f>
        <v>13.169548935415307</v>
      </c>
      <c r="CC122" s="11" t="n">
        <f>IF(ISNUMBER(BP122),BP122,"")</f>
        <v>0.8763339075184018</v>
      </c>
      <c r="CD122" s="14" t="n">
        <f>IF(ISNUMBER(BT122),BT122,"")</f>
        <v>31</v>
      </c>
      <c r="CE122" s="13" t="n">
        <f>IF(AND(COUNT(BV122,CC122,CD122)=3,MIN(BV122,CC122,CD122)&gt;=0),BV122*CC122*CD122,"")</f>
        <v>10.16921828772432</v>
      </c>
      <c r="CF122" s="11" t="n">
        <f>IF(ISNUMBER(BQ122),BQ122,"")</f>
        <v>1.2204399948507247</v>
      </c>
      <c r="CG122" s="14" t="n">
        <f>IF(ISNUMBER(BU122),BU122,"")</f>
        <v>17</v>
      </c>
      <c r="CH122" s="13" t="n">
        <f>IF(AND(COUNT(BV122,CF122,CG122)=3,MIN(BV122,CF122,CG122)&gt;=0),BV122*CF122*CG122,"")</f>
        <v>7.7664332289795555</v>
      </c>
      <c r="CI122" s="13" t="n">
        <f>IF(COUNT(BY122,CB122,CE122,CH122)=4,SUM(BY122,CB122,CE122,CH122),"")</f>
        <v>35.44382251234706</v>
      </c>
    </row>
    <row r="123" ht="72" customHeight="1">
      <c r="A123" s="16" t="str">
        <v>S02b-NY-39</v>
      </c>
      <c r="B123" s="16" t="str">
        <v>3店-SANDIEX-US</v>
      </c>
      <c r="C123" s="16" t="str">
        <v>陈晨</v>
      </c>
      <c r="D123" s="26" t="n">
        <f>IF(NOT(ISNUMBER(E123)),"",IF(OR(E123&lt;=0,L123=0),0,IF(OR(NOT(ISNUMBER(F123)),F123&lt;0),"",MIN(E123,INT(F123)))))</f>
        <v>11</v>
      </c>
      <c r="E123" s="27" t="n">
        <f>IF(OR(NOT(ISNUMBER(L123)),COUNT(M123:O123)&lt;&gt;3,MIN(M123:O123)&lt;0),"",ROUNDUP(ROUND(BI123-SUM(M123:O123),10),0))</f>
        <v>11</v>
      </c>
      <c r="F123" s="28" t="n">
        <v>67</v>
      </c>
      <c r="G123" s="28" t="n">
        <f>IF(AND(ISNUMBER(D123),ISNUMBER(E123)),IF(OR(E123&lt;=0,L123=0),0,E123-D123),"")</f>
        <v>0</v>
      </c>
      <c r="H123" s="16" t="str">
        <f>IF(NOT(ISNUMBER(E123)),"销量或海外库存待补",IF(OR(E123&lt;=0,L123=0),IF(L123=0,"零日销，本批不发","本批无需补货"),IF(NOT(ISNUMBER(D123)),"国内库存待补",IF(D123=0,"国内无可用库存",IF(G123&gt;0,"先发国内现货","按建议量发货")))))</f>
        <v>按建议量发货</v>
      </c>
      <c r="I123" s="28" t="n">
        <f>IF(AND(COUNT(Z123,AA123,AB123)=3,Z123&gt;=AA123,AA123&gt;=0,AB123=7),Z123-AA123,"")</f>
        <v>8</v>
      </c>
      <c r="J123" s="28" t="n">
        <f>IF(AND(COUNT(AF123,AG123,AH123)=3,AF123&gt;=AG123,AG123&gt;=0,AH123=14),AF123-AG123,"")</f>
        <v>14</v>
      </c>
      <c r="K123" s="28" t="n">
        <f>IF(AND(COUNT(AL123,AM123,AN123)=3,AL123&gt;=AM123,AM123&gt;=0,AN123=30),AL123-AM123,"")</f>
        <v>19</v>
      </c>
      <c r="L123" s="29" t="n">
        <f>IF(ISNUMBER(BI123),BI123/90,"")</f>
        <v>0.9082885029874432</v>
      </c>
      <c r="M123" s="28" t="n">
        <v>51</v>
      </c>
      <c r="N123" s="28" t="n">
        <v>0</v>
      </c>
      <c r="O123" s="28" t="n">
        <v>20</v>
      </c>
      <c r="P123" s="30" t="n">
        <f>IF(AND(ISNUMBER(L123),L123&gt;0,COUNT(M123:O123)=3,MIN(M123:O123)&gt;=0),SUM(M123:O123)/L123,"")</f>
        <v>78.16899560709462</v>
      </c>
      <c r="Q123" s="16" t="str">
        <v>沿用原计划SKU店铺</v>
      </c>
      <c r="R123" s="16" t="str">
        <v>已匹配</v>
      </c>
      <c r="S123" s="16" t="str">
        <v>在售</v>
      </c>
      <c r="T123" s="16" t="str">
        <v>S02b</v>
      </c>
      <c r="U123" s="16" t="str">
        <v>藏青色</v>
      </c>
      <c r="V123" s="16" t="n">
        <v>8</v>
      </c>
      <c r="W123" s="8" t="str">
        <v>2026-10-11 至 2026-10-17</v>
      </c>
      <c r="X123" s="8" t="str">
        <v>2026-10-11、2026-10-12、2026-10-13、2026-10-14、2026-10-15、2026-10-16、2026-10-17</v>
      </c>
      <c r="Y123" s="8" t="str">
        <v>无</v>
      </c>
      <c r="Z123" s="8" t="n">
        <v>8</v>
      </c>
      <c r="AA123" s="8" t="n">
        <v>0</v>
      </c>
      <c r="AB123" s="8" t="n">
        <v>7</v>
      </c>
      <c r="AC123" s="8" t="str">
        <v>2026-10-02 至 2026-10-17</v>
      </c>
      <c r="AD123" s="8" t="str">
        <v>2026-10-02、2026-10-03、2026-10-04、2026-10-05、2026-10-08、2026-10-09、2026-10-10、2026-10-11、2026-10-12、2026-10-13、2026-10-14、2026-10-15、2026-10-16、2026-10-17</v>
      </c>
      <c r="AE123" s="8" t="str">
        <v>2026-10-06 大促；2026-10-07 大促</v>
      </c>
      <c r="AF123" s="8" t="n">
        <v>19</v>
      </c>
      <c r="AG123" s="8" t="n">
        <v>5</v>
      </c>
      <c r="AH123" s="8" t="n">
        <v>14</v>
      </c>
      <c r="AI123" s="8" t="str">
        <v>2026-09-16 至 2026-10-17</v>
      </c>
      <c r="AJ1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3" s="8" t="str">
        <v>2026-10-06 大促；2026-10-07 大促</v>
      </c>
      <c r="AL123" s="8" t="n">
        <v>24</v>
      </c>
      <c r="AM123" s="8" t="n">
        <v>5</v>
      </c>
      <c r="AN123" s="8" t="n">
        <v>30</v>
      </c>
      <c r="AO123" s="8" t="str">
        <v>S02b / 藏青色 / 6574</v>
      </c>
      <c r="AP123" s="11" t="n">
        <v>0.9658602967882928</v>
      </c>
      <c r="AQ123" s="11" t="n">
        <v>0.9658602967882928</v>
      </c>
      <c r="AR123" s="11" t="n">
        <v>0.9166270540270348</v>
      </c>
      <c r="AS123" s="11" t="n">
        <f>IF(AND(COUNT(I123:K123,AP123:AR123)=6,MIN(AP123:AR123)&gt;0),I123/7/AP123*0.5+J123/14/AQ123*0.3+K123/30/AR123*0.2,"")</f>
        <v>1.0404182410630298</v>
      </c>
      <c r="AT123" s="8" t="n">
        <v>52</v>
      </c>
      <c r="AU123" s="8" t="n">
        <v>5</v>
      </c>
      <c r="AV123" s="8" t="n">
        <v>88</v>
      </c>
      <c r="AW123" s="11" t="n">
        <f>IF(AND(COUNT(AT123:AV123)=3,AT123&gt;=AU123,AU123&gt;=0,AV123&gt;0),(AT123-AU123)/AV123,"")</f>
        <v>0.5340909090909091</v>
      </c>
      <c r="AX123" s="8" t="n">
        <v>87</v>
      </c>
      <c r="AY123" s="8" t="n">
        <v>5</v>
      </c>
      <c r="AZ123" s="8" t="n">
        <v>178</v>
      </c>
      <c r="BA123" s="11" t="n">
        <f>IF(AND(COUNT(AX123:AZ123)=3,AX123&gt;=AY123,AY123&gt;=0,AZ123&gt;0),(AX123-AY123)/AZ123,"")</f>
        <v>0.4606741573033708</v>
      </c>
      <c r="BB123" s="8" t="n">
        <f>IF(COUNT(AS123,AW123,BA123)=3,1,0)</f>
        <v>1</v>
      </c>
      <c r="BC123" s="11" t="n">
        <f>IF(SUMIF($AO$11:$AO$1309,AO123,$BB$11:$BB$1309)=COUNTIF($AO$11:$AO$1309,AO123),SUMIF($AO$11:$AO$1309,AO123,$AS$11:$AS$1309),"")</f>
        <v>3.229983476717252</v>
      </c>
      <c r="BD123" s="11" t="n">
        <f>IF(SUMIF($AO$11:$AO$1309,AO123,$BB$11:$BB$1309)=COUNTIF($AO$11:$AO$1309,AO123),SUMIF($AO$11:$AO$1309,AO123,$AW$11:$AW$1309),"")</f>
        <v>1.9659090909090908</v>
      </c>
      <c r="BE123" s="11" t="n">
        <f>IF(SUMIF($AO$11:$AO$1309,AO123,$BB$11:$BB$1309)=COUNTIF($AO$11:$AO$1309,AO123),SUMIF($AO$11:$AO$1309,AO123,$BA$11:$BA$1309),"")</f>
        <v>1.792134831460674</v>
      </c>
      <c r="BF123" s="12" t="n">
        <f>IF(COUNT(BD123:BE123)&lt;&gt;2,"",IF(AND(BD123&gt;0,BE123&gt;0),0.7*AW123/BD123+0.3*BA123/BE123,IF(BD123&gt;0,AW123/BD123,IF(BE123&gt;0,BA123/BE123,IF(AND(ISNUMBER(BH123),BH123=0),0,"")))))</f>
        <v>0.2672893978654393</v>
      </c>
      <c r="BG123" s="11" t="n">
        <f>IF(AND(COUNT(BN123:BU123)=8,MIN(BN123:BU123)&gt;=0),SUMPRODUCT(BN123:BQ123,BR123:BU123),"")</f>
        <v>94.68567795727022</v>
      </c>
      <c r="BH123" s="11" t="n">
        <f>IF(COUNT(BC123,BG123)=2,BC123*BG123,"")</f>
        <v>305.83317528375375</v>
      </c>
      <c r="BI123" s="11" t="n">
        <f>IF(ISNUMBER(CI123),CI123,"")</f>
        <v>81.7459652688699</v>
      </c>
      <c r="BJ123" s="8" t="str"/>
      <c r="BK123" s="8" t="str">
        <v>90天：2026-07-20 至 2026-10-17；180天：2026-04-21 至 2026-10-17</v>
      </c>
      <c r="BL123" s="8" t="str">
        <v>90天：2026-10-06、2026-10-07；180天：2026-10-06、2026-10-07</v>
      </c>
      <c r="BM123" s="8" t="str">
        <v>2026-10：12天 × 0.9658602967882928；2026-11：30天 × 1.1727174450092641；2026-12：31天 × 0.8763339075184018；2027-01：17天 × 1.2204399948507247</v>
      </c>
      <c r="BN123" s="11" t="n">
        <v>0.9658602967882928</v>
      </c>
      <c r="BO123" s="11" t="n">
        <v>1.1727174450092641</v>
      </c>
      <c r="BP123" s="11" t="n">
        <v>0.8763339075184018</v>
      </c>
      <c r="BQ123" s="11" t="n">
        <v>1.2204399948507247</v>
      </c>
      <c r="BR123" s="8" t="n">
        <v>12</v>
      </c>
      <c r="BS123" s="8" t="n">
        <v>30</v>
      </c>
      <c r="BT123" s="8" t="n">
        <v>31</v>
      </c>
      <c r="BU123" s="8" t="n">
        <v>17</v>
      </c>
      <c r="BV123" s="11" t="n">
        <f>IF(COUNT(BC123,BF123)=2,BC123*BF123,"")</f>
        <v>0.8633403386070726</v>
      </c>
      <c r="BW123" s="11" t="n">
        <f>IF(ISNUMBER(BN123),BN123,"")</f>
        <v>0.9658602967882928</v>
      </c>
      <c r="BX123" s="14" t="n">
        <f>IF(ISNUMBER(BR123),BR123,"")</f>
        <v>12</v>
      </c>
      <c r="BY123" s="13" t="n">
        <f>IF(AND(COUNT(BV123,BW123,BX123)=3,MIN(BV123,BW123,BX123)&gt;=0),BV123*BW123*BX123,"")</f>
        <v>10.006393868115987</v>
      </c>
      <c r="BZ123" s="11" t="n">
        <f>IF(ISNUMBER(BO123),BO123,"")</f>
        <v>1.1727174450092641</v>
      </c>
      <c r="CA123" s="14" t="n">
        <f>IF(ISNUMBER(BS123),BS123,"")</f>
        <v>30</v>
      </c>
      <c r="CB123" s="13" t="n">
        <f>IF(AND(COUNT(BV123,BZ123,CA123)=3,MIN(BV123,BZ123,CA123)&gt;=0),BV123*BZ123*CA123,"")</f>
        <v>30.37362828194157</v>
      </c>
      <c r="CC123" s="11" t="n">
        <f>IF(ISNUMBER(BP123),BP123,"")</f>
        <v>0.8763339075184018</v>
      </c>
      <c r="CD123" s="14" t="n">
        <f>IF(ISNUMBER(BT123),BT123,"")</f>
        <v>31</v>
      </c>
      <c r="CE123" s="13" t="n">
        <f>IF(AND(COUNT(BV123,CC123,CD123)=3,MIN(BV123,CC123,CD123)&gt;=0),BV123*CC123*CD123,"")</f>
        <v>23.453806785943677</v>
      </c>
      <c r="CF123" s="11" t="n">
        <f>IF(ISNUMBER(BQ123),BQ123,"")</f>
        <v>1.2204399948507247</v>
      </c>
      <c r="CG123" s="14" t="n">
        <f>IF(ISNUMBER(BU123),BU123,"")</f>
        <v>17</v>
      </c>
      <c r="CH123" s="13" t="n">
        <f>IF(AND(COUNT(BV123,CF123,CG123)=3,MIN(BV123,CF123,CG123)&gt;=0),BV123*CF123*CG123,"")</f>
        <v>17.912136332868656</v>
      </c>
      <c r="CI123" s="13" t="n">
        <f>IF(COUNT(BY123,CB123,CE123,CH123)=4,SUM(BY123,CB123,CE123,CH123),"")</f>
        <v>81.7459652688699</v>
      </c>
    </row>
    <row r="124" ht="72" customHeight="1">
      <c r="A124" s="16" t="str">
        <v>S02b-LP-39</v>
      </c>
      <c r="B124" s="16" t="str">
        <v>3店-SANDIEX-US</v>
      </c>
      <c r="C124" s="16" t="str">
        <v>陈晨</v>
      </c>
      <c r="D124" s="26" t="n">
        <f>IF(NOT(ISNUMBER(E124)),"",IF(OR(E124&lt;=0,L124=0),0,IF(OR(NOT(ISNUMBER(F124)),F124&lt;0),"",MIN(E124,INT(F124)))))</f>
        <v>10</v>
      </c>
      <c r="E124" s="27" t="n">
        <f>IF(OR(NOT(ISNUMBER(L124)),COUNT(M124:O124)&lt;&gt;3,MIN(M124:O124)&lt;0),"",ROUNDUP(ROUND(BI124-SUM(M124:O124),10),0))</f>
        <v>74</v>
      </c>
      <c r="F124" s="28" t="n">
        <v>10</v>
      </c>
      <c r="G124" s="28" t="n">
        <f>IF(AND(ISNUMBER(D124),ISNUMBER(E124)),IF(OR(E124&lt;=0,L124=0),0,E124-D124),"")</f>
        <v>64</v>
      </c>
      <c r="H124" s="16" t="str">
        <f>IF(NOT(ISNUMBER(E124)),"销量或海外库存待补",IF(OR(E124&lt;=0,L124=0),IF(L124=0,"零日销，本批不发","本批无需补货"),IF(NOT(ISNUMBER(D124)),"国内库存待补",IF(D124=0,"国内无可用库存",IF(G124&gt;0,"先发国内现货","按建议量发货")))))</f>
        <v>先发国内现货</v>
      </c>
      <c r="I124" s="28" t="n">
        <f>IF(AND(COUNT(Z124,AA124,AB124)=3,Z124&gt;=AA124,AA124&gt;=0,AB124=7),Z124-AA124,"")</f>
        <v>8</v>
      </c>
      <c r="J124" s="28" t="n">
        <f>IF(AND(COUNT(AF124,AG124,AH124)=3,AF124&gt;=AG124,AG124&gt;=0,AH124=14),AF124-AG124,"")</f>
        <v>25</v>
      </c>
      <c r="K124" s="28" t="n">
        <f>IF(AND(COUNT(AL124,AM124,AN124)=3,AL124&gt;=AM124,AM124&gt;=0,AN124=30),AL124-AM124,"")</f>
        <v>55</v>
      </c>
      <c r="L124" s="29" t="n">
        <f>IF(ISNUMBER(BI124),BI124/90,"")</f>
        <v>1.6461898519589206</v>
      </c>
      <c r="M124" s="28" t="n">
        <v>49</v>
      </c>
      <c r="N124" s="28" t="n">
        <v>1</v>
      </c>
      <c r="O124" s="28" t="n">
        <v>25</v>
      </c>
      <c r="P124" s="30" t="n">
        <f>IF(AND(ISNUMBER(L124),L124&gt;0,COUNT(M124:O124)=3,MIN(M124:O124)&gt;=0),SUM(M124:O124)/L124,"")</f>
        <v>45.559751149450996</v>
      </c>
      <c r="Q124" s="16" t="str">
        <v>沿用原计划SKU店铺</v>
      </c>
      <c r="R124" s="16" t="str">
        <v>已匹配</v>
      </c>
      <c r="S124" s="16" t="str">
        <v>在售</v>
      </c>
      <c r="T124" s="16" t="str">
        <v>S02b</v>
      </c>
      <c r="U124" s="16" t="str">
        <v>豹纹</v>
      </c>
      <c r="V124" s="16" t="n">
        <v>8</v>
      </c>
      <c r="W124" s="8" t="str">
        <v>2026-10-11 至 2026-10-17</v>
      </c>
      <c r="X124" s="8" t="str">
        <v>2026-10-11、2026-10-12、2026-10-13、2026-10-14、2026-10-15、2026-10-16、2026-10-17</v>
      </c>
      <c r="Y124" s="8" t="str">
        <v>无</v>
      </c>
      <c r="Z124" s="8" t="n">
        <v>8</v>
      </c>
      <c r="AA124" s="8" t="n">
        <v>0</v>
      </c>
      <c r="AB124" s="8" t="n">
        <v>7</v>
      </c>
      <c r="AC124" s="8" t="str">
        <v>2026-10-02 至 2026-10-17</v>
      </c>
      <c r="AD124" s="8" t="str">
        <v>2026-10-02、2026-10-03、2026-10-04、2026-10-05、2026-10-08、2026-10-09、2026-10-10、2026-10-11、2026-10-12、2026-10-13、2026-10-14、2026-10-15、2026-10-16、2026-10-17</v>
      </c>
      <c r="AE124" s="8" t="str">
        <v>2026-10-06 大促；2026-10-07 大促</v>
      </c>
      <c r="AF124" s="8" t="n">
        <v>44</v>
      </c>
      <c r="AG124" s="8" t="n">
        <v>19</v>
      </c>
      <c r="AH124" s="8" t="n">
        <v>14</v>
      </c>
      <c r="AI124" s="8" t="str">
        <v>2026-09-16 至 2026-10-17</v>
      </c>
      <c r="AJ1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4" s="8" t="str">
        <v>2026-10-06 大促；2026-10-07 大促</v>
      </c>
      <c r="AL124" s="8" t="n">
        <v>74</v>
      </c>
      <c r="AM124" s="8" t="n">
        <v>19</v>
      </c>
      <c r="AN124" s="8" t="n">
        <v>30</v>
      </c>
      <c r="AO124" s="8" t="str">
        <v>S02b / 豹纹 / 6574</v>
      </c>
      <c r="AP124" s="11" t="n">
        <v>0.9658602967882928</v>
      </c>
      <c r="AQ124" s="11" t="n">
        <v>0.9658602967882928</v>
      </c>
      <c r="AR124" s="11" t="n">
        <v>0.9166270540270348</v>
      </c>
      <c r="AS124" s="11" t="n">
        <f>IF(AND(COUNT(I124:K124,AP124:AR124)=6,MIN(AP124:AR124)&gt;0),I124/7/AP124*0.5+J124/14/AQ124*0.3+K124/30/AR124*0.2,"")</f>
        <v>1.5462936792608897</v>
      </c>
      <c r="AT124" s="8" t="n">
        <v>107</v>
      </c>
      <c r="AU124" s="8" t="n">
        <v>19</v>
      </c>
      <c r="AV124" s="8" t="n">
        <v>88</v>
      </c>
      <c r="AW124" s="11" t="n">
        <f>IF(AND(COUNT(AT124:AV124)=3,AT124&gt;=AU124,AU124&gt;=0,AV124&gt;0),(AT124-AU124)/AV124,"")</f>
        <v>1</v>
      </c>
      <c r="AX124" s="8" t="n">
        <v>159</v>
      </c>
      <c r="AY124" s="8" t="n">
        <v>19</v>
      </c>
      <c r="AZ124" s="8" t="n">
        <v>178</v>
      </c>
      <c r="BA124" s="11" t="n">
        <f>IF(AND(COUNT(AX124:AZ124)=3,AX124&gt;=AY124,AY124&gt;=0,AZ124&gt;0),(AX124-AY124)/AZ124,"")</f>
        <v>0.7865168539325843</v>
      </c>
      <c r="BB124" s="8" t="n">
        <f>IF(COUNT(AS124,AW124,BA124)=3,1,0)</f>
        <v>1</v>
      </c>
      <c r="BC124" s="11" t="n">
        <f>IF(SUMIF($AO$11:$AO$1309,AO124,$BB$11:$BB$1309)=COUNTIF($AO$11:$AO$1309,AO124),SUMIF($AO$11:$AO$1309,AO124,$AS$11:$AS$1309),"")</f>
        <v>7.593711834893618</v>
      </c>
      <c r="BD124" s="11" t="n">
        <f>IF(SUMIF($AO$11:$AO$1309,AO124,$BB$11:$BB$1309)=COUNTIF($AO$11:$AO$1309,AO124),SUMIF($AO$11:$AO$1309,AO124,$AW$11:$AW$1309),"")</f>
        <v>4.863636363636363</v>
      </c>
      <c r="BE124" s="11" t="n">
        <f>IF(SUMIF($AO$11:$AO$1309,AO124,$BB$11:$BB$1309)=COUNTIF($AO$11:$AO$1309,AO124),SUMIF($AO$11:$AO$1309,AO124,$BA$11:$BA$1309),"")</f>
        <v>3.7977528089887644</v>
      </c>
      <c r="BF124" s="12" t="n">
        <f>IF(COUNT(BD124:BE124)&lt;&gt;2,"",IF(AND(BD124&gt;0,BE124&gt;0),0.7*AW124/BD124+0.3*BA124/BE124,IF(BD124&gt;0,AW124/BD124,IF(BE124&gt;0,BA124/BE124,IF(AND(ISNUMBER(BH124),BH124=0),0,"")))))</f>
        <v>0.2060554111596527</v>
      </c>
      <c r="BG124" s="11" t="n">
        <f>IF(AND(COUNT(BN124:BU124)=8,MIN(BN124:BU124)&gt;=0),SUMPRODUCT(BN124:BQ124,BR124:BU124),"")</f>
        <v>94.68567795727022</v>
      </c>
      <c r="BH124" s="11" t="n">
        <f>IF(COUNT(BC124,BG124)=2,BC124*BG124,"")</f>
        <v>719.0157532990486</v>
      </c>
      <c r="BI124" s="11" t="n">
        <f>IF(ISNUMBER(CI124),CI124,"")</f>
        <v>148.15708667630287</v>
      </c>
      <c r="BJ124" s="8" t="str"/>
      <c r="BK124" s="8" t="str">
        <v>90天：2026-07-20 至 2026-10-17；180天：2026-04-21 至 2026-10-17</v>
      </c>
      <c r="BL124" s="8" t="str">
        <v>90天：2026-10-06、2026-10-07；180天：2026-10-06、2026-10-07</v>
      </c>
      <c r="BM124" s="8" t="str">
        <v>2026-10：12天 × 0.9658602967882928；2026-11：30天 × 1.1727174450092641；2026-12：31天 × 0.8763339075184018；2027-01：17天 × 1.2204399948507247</v>
      </c>
      <c r="BN124" s="11" t="n">
        <v>0.9658602967882928</v>
      </c>
      <c r="BO124" s="11" t="n">
        <v>1.1727174450092641</v>
      </c>
      <c r="BP124" s="11" t="n">
        <v>0.8763339075184018</v>
      </c>
      <c r="BQ124" s="11" t="n">
        <v>1.2204399948507247</v>
      </c>
      <c r="BR124" s="8" t="n">
        <v>12</v>
      </c>
      <c r="BS124" s="8" t="n">
        <v>30</v>
      </c>
      <c r="BT124" s="8" t="n">
        <v>31</v>
      </c>
      <c r="BU124" s="8" t="n">
        <v>17</v>
      </c>
      <c r="BV124" s="11" t="n">
        <f>IF(COUNT(BC124,BF124)=2,BC124*BF124,"")</f>
        <v>1.5647254143669251</v>
      </c>
      <c r="BW124" s="11" t="n">
        <f>IF(ISNUMBER(BN124),BN124,"")</f>
        <v>0.9658602967882928</v>
      </c>
      <c r="BX124" s="14" t="n">
        <f>IF(ISNUMBER(BR124),BR124,"")</f>
        <v>12</v>
      </c>
      <c r="BY124" s="13" t="n">
        <f>IF(AND(COUNT(BV124,BW124,BX124)=3,MIN(BV124,BW124,BX124)&gt;=0),BV124*BW124*BX124,"")</f>
        <v>18.135673837351472</v>
      </c>
      <c r="BZ124" s="11" t="n">
        <f>IF(ISNUMBER(BO124),BO124,"")</f>
        <v>1.1727174450092641</v>
      </c>
      <c r="CA124" s="14" t="n">
        <f>IF(ISNUMBER(BS124),BS124,"")</f>
        <v>30</v>
      </c>
      <c r="CB124" s="13" t="n">
        <f>IF(AND(COUNT(BV124,BZ124,CA124)=3,MIN(BV124,BZ124,CA124)&gt;=0),BV124*BZ124*CA124,"")</f>
        <v>55.04942370232328</v>
      </c>
      <c r="CC124" s="11" t="n">
        <f>IF(ISNUMBER(BP124),BP124,"")</f>
        <v>0.8763339075184018</v>
      </c>
      <c r="CD124" s="14" t="n">
        <f>IF(ISNUMBER(BT124),BT124,"")</f>
        <v>31</v>
      </c>
      <c r="CE124" s="13" t="n">
        <f>IF(AND(COUNT(BV124,CC124,CD124)=3,MIN(BV124,CC124,CD124)&gt;=0),BV124*CC124*CD124,"")</f>
        <v>42.50788003353105</v>
      </c>
      <c r="CF124" s="11" t="n">
        <f>IF(ISNUMBER(BQ124),BQ124,"")</f>
        <v>1.2204399948507247</v>
      </c>
      <c r="CG124" s="14" t="n">
        <f>IF(ISNUMBER(BU124),BU124,"")</f>
        <v>17</v>
      </c>
      <c r="CH124" s="13" t="n">
        <f>IF(AND(COUNT(BV124,CF124,CG124)=3,MIN(BV124,CF124,CG124)&gt;=0),BV124*CF124*CG124,"")</f>
        <v>32.46410910309706</v>
      </c>
      <c r="CI124" s="13" t="n">
        <f>IF(COUNT(BY124,CB124,CE124,CH124)=4,SUM(BY124,CB124,CE124,CH124),"")</f>
        <v>148.15708667630287</v>
      </c>
    </row>
    <row r="125" ht="72" customHeight="1">
      <c r="A125" s="16" t="str">
        <v>S02-BKP-39</v>
      </c>
      <c r="B125" s="16" t="str">
        <v>3店-SANDIEX-US</v>
      </c>
      <c r="C125" s="16" t="str">
        <v>陈晨</v>
      </c>
      <c r="D125" s="26" t="n">
        <f>IF(NOT(ISNUMBER(E125)),"",IF(OR(E125&lt;=0,L125=0),0,IF(OR(NOT(ISNUMBER(F125)),F125&lt;0),"",MIN(E125,INT(F125)))))</f>
        <v>10</v>
      </c>
      <c r="E125" s="27" t="n">
        <f>IF(OR(NOT(ISNUMBER(L125)),COUNT(M125:O125)&lt;&gt;3,MIN(M125:O125)&lt;0),"",ROUNDUP(ROUND(BI125-SUM(M125:O125),10),0))</f>
        <v>71</v>
      </c>
      <c r="F125" s="28" t="n">
        <v>10</v>
      </c>
      <c r="G125" s="28" t="n">
        <f>IF(AND(ISNUMBER(D125),ISNUMBER(E125)),IF(OR(E125&lt;=0,L125=0),0,E125-D125),"")</f>
        <v>61</v>
      </c>
      <c r="H125" s="16" t="str">
        <f>IF(NOT(ISNUMBER(E125)),"销量或海外库存待补",IF(OR(E125&lt;=0,L125=0),IF(L125=0,"零日销，本批不发","本批无需补货"),IF(NOT(ISNUMBER(D125)),"国内库存待补",IF(D125=0,"国内无可用库存",IF(G125&gt;0,"先发国内现货","按建议量发货")))))</f>
        <v>先发国内现货</v>
      </c>
      <c r="I125" s="28" t="n">
        <f>IF(AND(COUNT(Z125,AA125,AB125)=3,Z125&gt;=AA125,AA125&gt;=0,AB125=7),Z125-AA125,"")</f>
        <v>9</v>
      </c>
      <c r="J125" s="28" t="n">
        <f>IF(AND(COUNT(AF125,AG125,AH125)=3,AF125&gt;=AG125,AG125&gt;=0,AH125=14),AF125-AG125,"")</f>
        <v>26</v>
      </c>
      <c r="K125" s="28" t="n">
        <f>IF(AND(COUNT(AL125,AM125,AN125)=3,AL125&gt;=AM125,AM125&gt;=0,AN125=30),AL125-AM125,"")</f>
        <v>66</v>
      </c>
      <c r="L125" s="29" t="n">
        <f>IF(ISNUMBER(BI125),BI125/90,"")</f>
        <v>2.050570129826734</v>
      </c>
      <c r="M125" s="28" t="n">
        <v>93</v>
      </c>
      <c r="N125" s="28" t="n">
        <v>0</v>
      </c>
      <c r="O125" s="28" t="n">
        <v>21</v>
      </c>
      <c r="P125" s="30" t="n">
        <f>IF(AND(ISNUMBER(L125),L125&gt;0,COUNT(M125:O125)=3,MIN(M125:O125)&gt;=0),SUM(M125:O125)/L125,"")</f>
        <v>55.59429465093818</v>
      </c>
      <c r="Q125" s="16" t="str">
        <v>沿用原计划SKU店铺</v>
      </c>
      <c r="R125" s="16" t="str">
        <v>已匹配</v>
      </c>
      <c r="S125" s="16" t="str">
        <v>在售</v>
      </c>
      <c r="T125" s="16" t="str">
        <v>S02</v>
      </c>
      <c r="U125" s="16" t="str">
        <v>黑色PU</v>
      </c>
      <c r="V125" s="16" t="n">
        <v>8</v>
      </c>
      <c r="W125" s="8" t="str">
        <v>2026-10-11 至 2026-10-17</v>
      </c>
      <c r="X125" s="8" t="str">
        <v>2026-10-11、2026-10-12、2026-10-13、2026-10-14、2026-10-15、2026-10-16、2026-10-17</v>
      </c>
      <c r="Y125" s="8" t="str">
        <v>无</v>
      </c>
      <c r="Z125" s="8" t="n">
        <v>9</v>
      </c>
      <c r="AA125" s="8" t="n">
        <v>0</v>
      </c>
      <c r="AB125" s="8" t="n">
        <v>7</v>
      </c>
      <c r="AC125" s="8" t="str">
        <v>2026-10-02 至 2026-10-17</v>
      </c>
      <c r="AD125" s="8" t="str">
        <v>2026-10-02、2026-10-03、2026-10-04、2026-10-05、2026-10-08、2026-10-09、2026-10-10、2026-10-11、2026-10-12、2026-10-13、2026-10-14、2026-10-15、2026-10-16、2026-10-17</v>
      </c>
      <c r="AE125" s="8" t="str">
        <v>2026-10-06 大促；2026-10-07 大促</v>
      </c>
      <c r="AF125" s="8" t="n">
        <v>54</v>
      </c>
      <c r="AG125" s="8" t="n">
        <v>28</v>
      </c>
      <c r="AH125" s="8" t="n">
        <v>14</v>
      </c>
      <c r="AI125" s="8" t="str">
        <v>2026-09-16 至 2026-10-17</v>
      </c>
      <c r="AJ1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5" s="8" t="str">
        <v>2026-10-06 大促；2026-10-07 大促</v>
      </c>
      <c r="AL125" s="8" t="n">
        <v>94</v>
      </c>
      <c r="AM125" s="8" t="n">
        <v>28</v>
      </c>
      <c r="AN125" s="8" t="n">
        <v>30</v>
      </c>
      <c r="AO125" s="8" t="str">
        <v>S02 / 黑色PU / 6574</v>
      </c>
      <c r="AP125" s="11" t="n">
        <v>0.9634503791704667</v>
      </c>
      <c r="AQ125" s="11" t="n">
        <v>0.9634503791704667</v>
      </c>
      <c r="AR125" s="11" t="n">
        <v>0.902244307144596</v>
      </c>
      <c r="AS125" s="11" t="n">
        <f>IF(AND(COUNT(I125:K125,AP125:AR125)=6,MIN(AP125:AR125)&gt;0),I125/7/AP125*0.5+J125/14/AQ125*0.3+K125/30/AR125*0.2,"")</f>
        <v>1.733196199940757</v>
      </c>
      <c r="AT125" s="8" t="n">
        <v>166</v>
      </c>
      <c r="AU125" s="8" t="n">
        <v>28</v>
      </c>
      <c r="AV125" s="8" t="n">
        <v>88</v>
      </c>
      <c r="AW125" s="11" t="n">
        <f>IF(AND(COUNT(AT125:AV125)=3,AT125&gt;=AU125,AU125&gt;=0,AV125&gt;0),(AT125-AU125)/AV125,"")</f>
        <v>1.5681818181818181</v>
      </c>
      <c r="AX125" s="8" t="n">
        <v>226</v>
      </c>
      <c r="AY125" s="8" t="n">
        <v>28</v>
      </c>
      <c r="AZ125" s="8" t="n">
        <v>178</v>
      </c>
      <c r="BA125" s="11" t="n">
        <f>IF(AND(COUNT(AX125:AZ125)=3,AX125&gt;=AY125,AY125&gt;=0,AZ125&gt;0),(AX125-AY125)/AZ125,"")</f>
        <v>1.1123595505617978</v>
      </c>
      <c r="BB125" s="8" t="n">
        <f>IF(COUNT(AS125,AW125,BA125)=3,1,0)</f>
        <v>1</v>
      </c>
      <c r="BC125" s="11" t="n">
        <f>IF(SUMIF($AO$11:$AO$1309,AO125,$BB$11:$BB$1309)=COUNTIF($AO$11:$AO$1309,AO125),SUMIF($AO$11:$AO$1309,AO125,$AS$11:$AS$1309),"")</f>
        <v>6.467825611843374</v>
      </c>
      <c r="BD125" s="11" t="n">
        <f>IF(SUMIF($AO$11:$AO$1309,AO125,$BB$11:$BB$1309)=COUNTIF($AO$11:$AO$1309,AO125),SUMIF($AO$11:$AO$1309,AO125,$AW$11:$AW$1309),"")</f>
        <v>4.170454545454546</v>
      </c>
      <c r="BE125" s="11" t="n">
        <f>IF(SUMIF($AO$11:$AO$1309,AO125,$BB$11:$BB$1309)=COUNTIF($AO$11:$AO$1309,AO125),SUMIF($AO$11:$AO$1309,AO125,$BA$11:$BA$1309),"")</f>
        <v>3.3820224719101124</v>
      </c>
      <c r="BF125" s="12" t="n">
        <f>IF(COUNT(BD125:BE125)&lt;&gt;2,"",IF(AND(BD125&gt;0,BE125&gt;0),0.7*AW125/BD125+0.3*BA125/BE125,IF(BD125&gt;0,AW125/BD125,IF(BE125&gt;0,BA125/BE125,IF(AND(ISNUMBER(BH125),BH125=0),0,"")))))</f>
        <v>0.36188635520110074</v>
      </c>
      <c r="BG125" s="11" t="n">
        <f>IF(AND(COUNT(BN125:BU125)=8,MIN(BN125:BU125)&gt;=0),SUMPRODUCT(BN125:BQ125,BR125:BU125),"")</f>
        <v>78.84726365280937</v>
      </c>
      <c r="BH125" s="11" t="n">
        <f>IF(COUNT(BC125,BG125)=2,BC125*BG125,"")</f>
        <v>509.9703512774076</v>
      </c>
      <c r="BI125" s="11" t="n">
        <f>IF(ISNUMBER(CI125),CI125,"")</f>
        <v>184.55131168440604</v>
      </c>
      <c r="BJ125" s="8" t="str"/>
      <c r="BK125" s="8" t="str">
        <v>90天：2026-07-20 至 2026-10-17；180天：2026-04-21 至 2026-10-17</v>
      </c>
      <c r="BL125" s="8" t="str">
        <v>90天：2026-10-06、2026-10-07；180天：2026-10-06、2026-10-07</v>
      </c>
      <c r="BM125" s="8" t="str">
        <v>2026-10：12天 × 0.9634503791704667；2026-11：30天 × 0.8585031562320637；2026-12：31天 × 0.7896606554092485；2027-01：17天 × 1.0030167116538329</v>
      </c>
      <c r="BN125" s="11" t="n">
        <v>0.9634503791704667</v>
      </c>
      <c r="BO125" s="11" t="n">
        <v>0.8585031562320637</v>
      </c>
      <c r="BP125" s="11" t="n">
        <v>0.7896606554092485</v>
      </c>
      <c r="BQ125" s="11" t="n">
        <v>1.0030167116538329</v>
      </c>
      <c r="BR125" s="8" t="n">
        <v>12</v>
      </c>
      <c r="BS125" s="8" t="n">
        <v>30</v>
      </c>
      <c r="BT125" s="8" t="n">
        <v>31</v>
      </c>
      <c r="BU125" s="8" t="n">
        <v>17</v>
      </c>
      <c r="BV125" s="11" t="n">
        <f>IF(COUNT(BC125,BF125)=2,BC125*BF125,"")</f>
        <v>2.3406178367463277</v>
      </c>
      <c r="BW125" s="11" t="n">
        <f>IF(ISNUMBER(BN125),BN125,"")</f>
        <v>0.9634503791704667</v>
      </c>
      <c r="BX125" s="14" t="n">
        <f>IF(ISNUMBER(BR125),BR125,"")</f>
        <v>12</v>
      </c>
      <c r="BY125" s="13" t="n">
        <f>IF(AND(COUNT(BV125,BW125,BX125)=3,MIN(BV125,BW125,BX125)&gt;=0),BV125*BW125*BX125,"")</f>
        <v>27.06082970767688</v>
      </c>
      <c r="BZ125" s="11" t="n">
        <f>IF(ISNUMBER(BO125),BO125,"")</f>
        <v>0.8585031562320637</v>
      </c>
      <c r="CA125" s="14" t="n">
        <f>IF(ISNUMBER(BS125),BS125,"")</f>
        <v>30</v>
      </c>
      <c r="CB125" s="13" t="n">
        <f>IF(AND(COUNT(BV125,BZ125,CA125)=3,MIN(BV125,BZ125,CA125)&gt;=0),BV125*BZ125*CA125,"")</f>
        <v>60.28283401139363</v>
      </c>
      <c r="CC125" s="11" t="n">
        <f>IF(ISNUMBER(BP125),BP125,"")</f>
        <v>0.7896606554092485</v>
      </c>
      <c r="CD125" s="14" t="n">
        <f>IF(ISNUMBER(BT125),BT125,"")</f>
        <v>31</v>
      </c>
      <c r="CE125" s="13" t="n">
        <f>IF(AND(COUNT(BV125,CC125,CD125)=3,MIN(BV125,CC125,CD125)&gt;=0),BV125*CC125*CD125,"")</f>
        <v>57.29710826585816</v>
      </c>
      <c r="CF125" s="11" t="n">
        <f>IF(ISNUMBER(BQ125),BQ125,"")</f>
        <v>1.0030167116538329</v>
      </c>
      <c r="CG125" s="14" t="n">
        <f>IF(ISNUMBER(BU125),BU125,"")</f>
        <v>17</v>
      </c>
      <c r="CH125" s="13" t="n">
        <f>IF(AND(COUNT(BV125,CF125,CG125)=3,MIN(BV125,CF125,CG125)&gt;=0),BV125*CF125*CG125,"")</f>
        <v>39.91053969947736</v>
      </c>
      <c r="CI125" s="13" t="n">
        <f>IF(COUNT(BY125,CB125,CE125,CH125)=4,SUM(BY125,CB125,CE125,CH125),"")</f>
        <v>184.55131168440604</v>
      </c>
    </row>
    <row r="126" ht="72" customHeight="1">
      <c r="A126" s="16" t="str">
        <v>2302153-CC-S-Z-11</v>
      </c>
      <c r="B126" s="16" t="str">
        <v>3店-SANDIEX-US</v>
      </c>
      <c r="C126" s="16" t="str">
        <v>徐新怡</v>
      </c>
      <c r="D126" s="26" t="n">
        <f>IF(NOT(ISNUMBER(E126)),"",IF(OR(E126&lt;=0,L126=0),0,IF(OR(NOT(ISNUMBER(F126)),F126&lt;0),"",MIN(E126,INT(F126)))))</f>
        <v>10</v>
      </c>
      <c r="E126" s="27" t="n">
        <f>IF(OR(NOT(ISNUMBER(L126)),COUNT(M126:O126)&lt;&gt;3,MIN(M126:O126)&lt;0),"",ROUNDUP(ROUND(BI126-SUM(M126:O126),10),0))</f>
        <v>10</v>
      </c>
      <c r="F126" s="28" t="n">
        <v>20</v>
      </c>
      <c r="G126" s="28" t="n">
        <f>IF(AND(ISNUMBER(D126),ISNUMBER(E126)),IF(OR(E126&lt;=0,L126=0),0,E126-D126),"")</f>
        <v>0</v>
      </c>
      <c r="H126" s="16" t="str">
        <f>IF(NOT(ISNUMBER(E126)),"销量或海外库存待补",IF(OR(E126&lt;=0,L126=0),IF(L126=0,"零日销，本批不发","本批无需补货"),IF(NOT(ISNUMBER(D126)),"国内库存待补",IF(D126=0,"国内无可用库存",IF(G126&gt;0,"先发国内现货","按建议量发货")))))</f>
        <v>按建议量发货</v>
      </c>
      <c r="I126" s="28" t="n">
        <f>IF(AND(COUNT(Z126,AA126,AB126)=3,Z126&gt;=AA126,AA126&gt;=0,AB126=7),Z126-AA126,"")</f>
        <v>2</v>
      </c>
      <c r="J126" s="28" t="n">
        <f>IF(AND(COUNT(AF126,AG126,AH126)=3,AF126&gt;=AG126,AG126&gt;=0,AH126=14),AF126-AG126,"")</f>
        <v>4</v>
      </c>
      <c r="K126" s="28" t="n">
        <f>IF(AND(COUNT(AL126,AM126,AN126)=3,AL126&gt;=AM126,AM126&gt;=0,AN126=30),AL126-AM126,"")</f>
        <v>13</v>
      </c>
      <c r="L126" s="29" t="n">
        <f>IF(ISNUMBER(BI126),BI126/90,"")</f>
        <v>0.129853072943659</v>
      </c>
      <c r="M126" s="28" t="n">
        <v>2</v>
      </c>
      <c r="N126" s="28" t="n">
        <v>0</v>
      </c>
      <c r="O126" s="28" t="n">
        <v>0</v>
      </c>
      <c r="P126" s="30" t="n">
        <f>IF(AND(ISNUMBER(L126),L126&gt;0,COUNT(M126:O126)=3,MIN(M126:O126)&gt;=0),SUM(M126:O126)/L126,"")</f>
        <v>15.402022876022082</v>
      </c>
      <c r="Q126" s="16" t="str">
        <v>沿用原计划SKU店铺</v>
      </c>
      <c r="R126" s="16" t="str">
        <v>已匹配</v>
      </c>
      <c r="S126" s="16" t="str">
        <v>在售</v>
      </c>
      <c r="T126" s="16" t="str">
        <v>2302153</v>
      </c>
      <c r="U126" s="16" t="str">
        <v>驼色</v>
      </c>
      <c r="V126" s="16" t="n">
        <v>11</v>
      </c>
      <c r="W126" s="8" t="str">
        <v>2026-10-11 至 2026-10-17</v>
      </c>
      <c r="X126" s="8" t="str">
        <v>2026-10-11、2026-10-12、2026-10-13、2026-10-14、2026-10-15、2026-10-16、2026-10-17</v>
      </c>
      <c r="Y126" s="8" t="str">
        <v>无</v>
      </c>
      <c r="Z126" s="8" t="n">
        <v>2</v>
      </c>
      <c r="AA126" s="8" t="n">
        <v>0</v>
      </c>
      <c r="AB126" s="8" t="n">
        <v>7</v>
      </c>
      <c r="AC126" s="8" t="str">
        <v>2026-10-02 至 2026-10-17</v>
      </c>
      <c r="AD126" s="8" t="str">
        <v>2026-10-02、2026-10-03、2026-10-04、2026-10-05、2026-10-08、2026-10-09、2026-10-10、2026-10-11、2026-10-12、2026-10-13、2026-10-14、2026-10-15、2026-10-16、2026-10-17</v>
      </c>
      <c r="AE126" s="8" t="str">
        <v>2026-10-06 大促；2026-10-07 大促</v>
      </c>
      <c r="AF126" s="8" t="n">
        <v>4</v>
      </c>
      <c r="AG126" s="8" t="n">
        <v>0</v>
      </c>
      <c r="AH126" s="8" t="n">
        <v>14</v>
      </c>
      <c r="AI126" s="8" t="str">
        <v>2026-09-16 至 2026-10-17</v>
      </c>
      <c r="AJ1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6" s="8" t="str">
        <v>2026-10-06 大促；2026-10-07 大促</v>
      </c>
      <c r="AL126" s="8" t="n">
        <v>13</v>
      </c>
      <c r="AM126" s="8" t="n">
        <v>0</v>
      </c>
      <c r="AN126" s="8" t="n">
        <v>30</v>
      </c>
      <c r="AO126" s="8" t="str">
        <v>2302153 / 驼色羊京绒 / 6574</v>
      </c>
      <c r="AP126" s="11" t="n">
        <v>1.7391279184229513</v>
      </c>
      <c r="AQ126" s="11" t="n">
        <v>1.7391279184229513</v>
      </c>
      <c r="AR126" s="11" t="n">
        <v>1.5731892896917212</v>
      </c>
      <c r="AS126" s="11" t="n">
        <f>IF(AND(COUNT(I126:K126,AP126:AR126)=6,MIN(AP126:AR126)&gt;0),I126/7/AP126*0.5+J126/14/AQ126*0.3+K126/30/AR126*0.2,"")</f>
        <v>0.18651855100086898</v>
      </c>
      <c r="AT126" s="8" t="n">
        <v>25</v>
      </c>
      <c r="AU126" s="8" t="n">
        <v>0</v>
      </c>
      <c r="AV126" s="8" t="n">
        <v>88</v>
      </c>
      <c r="AW126" s="11" t="n">
        <f>IF(AND(COUNT(AT126:AV126)=3,AT126&gt;=AU126,AU126&gt;=0,AV126&gt;0),(AT126-AU126)/AV126,"")</f>
        <v>0.2840909090909091</v>
      </c>
      <c r="AX126" s="8" t="n">
        <v>25</v>
      </c>
      <c r="AY126" s="8" t="n">
        <v>0</v>
      </c>
      <c r="AZ126" s="8" t="n">
        <v>178</v>
      </c>
      <c r="BA126" s="11" t="n">
        <f>IF(AND(COUNT(AX126:AZ126)=3,AX126&gt;=AY126,AY126&gt;=0,AZ126&gt;0),(AX126-AY126)/AZ126,"")</f>
        <v>0.1404494382022472</v>
      </c>
      <c r="BB126" s="8" t="n">
        <f>IF(COUNT(AS126,AW126,BA126)=3,1,0)</f>
        <v>1</v>
      </c>
      <c r="BC126" s="11" t="n">
        <f>IF(SUMIF($AO$11:$AO$1309,AO126,$BB$11:$BB$1309)=COUNTIF($AO$11:$AO$1309,AO126),SUMIF($AO$11:$AO$1309,AO126,$AS$11:$AS$1309),"")</f>
        <v>1.1381504473731563</v>
      </c>
      <c r="BD126" s="11" t="n">
        <f>IF(SUMIF($AO$11:$AO$1309,AO126,$BB$11:$BB$1309)=COUNTIF($AO$11:$AO$1309,AO126),SUMIF($AO$11:$AO$1309,AO126,$AW$11:$AW$1309),"")</f>
        <v>2.9545454545454546</v>
      </c>
      <c r="BE126" s="11" t="n">
        <f>IF(SUMIF($AO$11:$AO$1309,AO126,$BB$11:$BB$1309)=COUNTIF($AO$11:$AO$1309,AO126),SUMIF($AO$11:$AO$1309,AO126,$BA$11:$BA$1309),"")</f>
        <v>1.5898876404494382</v>
      </c>
      <c r="BF126" s="12" t="n">
        <f>IF(COUNT(BD126:BE126)&lt;&gt;2,"",IF(AND(BD126&gt;0,BE126&gt;0),0.7*AW126/BD126+0.3*BA126/BE126,IF(BD126&gt;0,AW126/BD126,IF(BE126&gt;0,BA126/BE126,IF(AND(ISNUMBER(BH126),BH126=0),0,"")))))</f>
        <v>0.09380945909214461</v>
      </c>
      <c r="BG126" s="11" t="n">
        <f>IF(AND(COUNT(BN126:BU126)=8,MIN(BN126:BU126)&gt;=0),SUMPRODUCT(BN126:BQ126,BR126:BU126),"")</f>
        <v>109.4582336985339</v>
      </c>
      <c r="BH126" s="11" t="n">
        <f>IF(COUNT(BC126,BG126)=2,BC126*BG126,"")</f>
        <v>124.57993765266185</v>
      </c>
      <c r="BI126" s="11" t="n">
        <f>IF(ISNUMBER(CI126),CI126,"")</f>
        <v>11.686776564929309</v>
      </c>
      <c r="BJ126" s="8" t="str"/>
      <c r="BK126" s="8" t="str">
        <v>90天：2026-07-20 至 2026-10-17；180天：2026-04-21 至 2026-10-17</v>
      </c>
      <c r="BL126" s="8" t="str">
        <v>90天：2026-10-06、2026-10-07；180天：2026-10-06、2026-10-07</v>
      </c>
      <c r="BM126" s="8" t="str">
        <v>2026-10：12天 × 1.7391279184229513；2026-11：30天 × 1.4002077845513243；2026-12：31天 × 1.079339935625147；2027-01：17天 × 0.7719368903846591</v>
      </c>
      <c r="BN126" s="11" t="n">
        <v>1.7391279184229513</v>
      </c>
      <c r="BO126" s="11" t="n">
        <v>1.4002077845513243</v>
      </c>
      <c r="BP126" s="11" t="n">
        <v>1.079339935625147</v>
      </c>
      <c r="BQ126" s="11" t="n">
        <v>0.7719368903846591</v>
      </c>
      <c r="BR126" s="8" t="n">
        <v>12</v>
      </c>
      <c r="BS126" s="8" t="n">
        <v>30</v>
      </c>
      <c r="BT126" s="8" t="n">
        <v>31</v>
      </c>
      <c r="BU126" s="8" t="n">
        <v>17</v>
      </c>
      <c r="BV126" s="11" t="n">
        <f>IF(COUNT(BC126,BF126)=2,BC126*BF126,"")</f>
        <v>0.10676927783355819</v>
      </c>
      <c r="BW126" s="11" t="n">
        <f>IF(ISNUMBER(BN126),BN126,"")</f>
        <v>1.7391279184229513</v>
      </c>
      <c r="BX126" s="14" t="n">
        <f>IF(ISNUMBER(BR126),BR126,"")</f>
        <v>12</v>
      </c>
      <c r="BY126" s="13" t="n">
        <f>IF(AND(COUNT(BV126,BW126,BX126)=3,MIN(BV126,BW126,BX126)&gt;=0),BV126*BW126*BX126,"")</f>
        <v>2.228225182922374</v>
      </c>
      <c r="BZ126" s="11" t="n">
        <f>IF(ISNUMBER(BO126),BO126,"")</f>
        <v>1.4002077845513243</v>
      </c>
      <c r="CA126" s="14" t="n">
        <f>IF(ISNUMBER(BS126),BS126,"")</f>
        <v>30</v>
      </c>
      <c r="CB126" s="13" t="n">
        <f>IF(AND(COUNT(BV126,BZ126,CA126)=3,MIN(BV126,BZ126,CA126)&gt;=0),BV126*BZ126*CA126,"")</f>
        <v>4.4849752192041406</v>
      </c>
      <c r="CC126" s="11" t="n">
        <f>IF(ISNUMBER(BP126),BP126,"")</f>
        <v>1.079339935625147</v>
      </c>
      <c r="CD126" s="14" t="n">
        <f>IF(ISNUMBER(BT126),BT126,"")</f>
        <v>31</v>
      </c>
      <c r="CE126" s="13" t="n">
        <f>IF(AND(COUNT(BV126,CC126,CD126)=3,MIN(BV126,CC126,CD126)&gt;=0),BV126*CC126*CD126,"")</f>
        <v>3.5724507093721</v>
      </c>
      <c r="CF126" s="11" t="n">
        <f>IF(ISNUMBER(BQ126),BQ126,"")</f>
        <v>0.7719368903846591</v>
      </c>
      <c r="CG126" s="14" t="n">
        <f>IF(ISNUMBER(BU126),BU126,"")</f>
        <v>17</v>
      </c>
      <c r="CH126" s="13" t="n">
        <f>IF(AND(COUNT(BV126,CF126,CG126)=3,MIN(BV126,CF126,CG126)&gt;=0),BV126*CF126*CG126,"")</f>
        <v>1.4011254534306945</v>
      </c>
      <c r="CI126" s="13" t="n">
        <f>IF(COUNT(BY126,CB126,CE126,CH126)=4,SUM(BY126,CB126,CE126,CH126),"")</f>
        <v>11.686776564929309</v>
      </c>
    </row>
    <row r="127" ht="72" customHeight="1">
      <c r="A127" s="16" t="str">
        <v>32582-LPB-40</v>
      </c>
      <c r="B127" s="16" t="str">
        <v>3店-SANDIEX-US</v>
      </c>
      <c r="C127" s="16" t="str">
        <v>徐新怡</v>
      </c>
      <c r="D127" s="26" t="n">
        <f>IF(NOT(ISNUMBER(E127)),"",IF(OR(E127&lt;=0,L127=0),0,IF(OR(NOT(ISNUMBER(F127)),F127&lt;0),"",MIN(E127,INT(F127)))))</f>
        <v>10</v>
      </c>
      <c r="E127" s="27" t="n">
        <f>IF(OR(NOT(ISNUMBER(L127)),COUNT(M127:O127)&lt;&gt;3,MIN(M127:O127)&lt;0),"",ROUNDUP(ROUND(BI127-SUM(M127:O127),10),0))</f>
        <v>10</v>
      </c>
      <c r="F127" s="28" t="n">
        <v>56</v>
      </c>
      <c r="G127" s="28" t="n">
        <f>IF(AND(ISNUMBER(D127),ISNUMBER(E127)),IF(OR(E127&lt;=0,L127=0),0,E127-D127),"")</f>
        <v>0</v>
      </c>
      <c r="H127" s="16" t="str">
        <f>IF(NOT(ISNUMBER(E127)),"销量或海外库存待补",IF(OR(E127&lt;=0,L127=0),IF(L127=0,"零日销，本批不发","本批无需补货"),IF(NOT(ISNUMBER(D127)),"国内库存待补",IF(D127=0,"国内无可用库存",IF(G127&gt;0,"先发国内现货","按建议量发货")))))</f>
        <v>按建议量发货</v>
      </c>
      <c r="I127" s="28" t="n">
        <f>IF(AND(COUNT(Z127,AA127,AB127)=3,Z127&gt;=AA127,AA127&gt;=0,AB127=7),Z127-AA127,"")</f>
        <v>2</v>
      </c>
      <c r="J127" s="28" t="n">
        <f>IF(AND(COUNT(AF127,AG127,AH127)=3,AF127&gt;=AG127,AG127&gt;=0,AH127=14),AF127-AG127,"")</f>
        <v>7</v>
      </c>
      <c r="K127" s="28" t="n">
        <f>IF(AND(COUNT(AL127,AM127,AN127)=3,AL127&gt;=AM127,AM127&gt;=0,AN127=30),AL127-AM127,"")</f>
        <v>8</v>
      </c>
      <c r="L127" s="29" t="n">
        <f>IF(ISNUMBER(BI127),BI127/90,"")</f>
        <v>0.3270805143650817</v>
      </c>
      <c r="M127" s="28" t="n">
        <v>0</v>
      </c>
      <c r="N127" s="28" t="n">
        <v>0</v>
      </c>
      <c r="O127" s="28" t="n">
        <v>20</v>
      </c>
      <c r="P127" s="30" t="n">
        <f>IF(AND(ISNUMBER(L127),L127&gt;0,COUNT(M127:O127)=3,MIN(M127:O127)&gt;=0),SUM(M127:O127)/L127,"")</f>
        <v>61.147023811012915</v>
      </c>
      <c r="Q127" s="16" t="str">
        <v>沿用原计划SKU店铺</v>
      </c>
      <c r="R127" s="16" t="str">
        <v>已匹配</v>
      </c>
      <c r="S127" s="16" t="str">
        <v>在售</v>
      </c>
      <c r="T127" s="16" t="str">
        <v>32582</v>
      </c>
      <c r="U127" s="16" t="str">
        <v>豹纹黑色内里</v>
      </c>
      <c r="V127" s="16" t="n">
        <v>9</v>
      </c>
      <c r="W127" s="8" t="str">
        <v>2026-10-11 至 2026-10-17</v>
      </c>
      <c r="X127" s="8" t="str">
        <v>2026-10-11、2026-10-12、2026-10-13、2026-10-14、2026-10-15、2026-10-16、2026-10-17</v>
      </c>
      <c r="Y127" s="8" t="str">
        <v>无</v>
      </c>
      <c r="Z127" s="8" t="n">
        <v>2</v>
      </c>
      <c r="AA127" s="8" t="n">
        <v>0</v>
      </c>
      <c r="AB127" s="8" t="n">
        <v>7</v>
      </c>
      <c r="AC127" s="8" t="str">
        <v>2026-10-02 至 2026-10-17</v>
      </c>
      <c r="AD127" s="8" t="str">
        <v>2026-10-02、2026-10-03、2026-10-04、2026-10-05、2026-10-08、2026-10-09、2026-10-10、2026-10-11、2026-10-12、2026-10-13、2026-10-14、2026-10-15、2026-10-16、2026-10-17</v>
      </c>
      <c r="AE127" s="8" t="str">
        <v>2026-10-06 大促；2026-10-07 大促</v>
      </c>
      <c r="AF127" s="8" t="n">
        <v>11</v>
      </c>
      <c r="AG127" s="8" t="n">
        <v>4</v>
      </c>
      <c r="AH127" s="8" t="n">
        <v>14</v>
      </c>
      <c r="AI127" s="8" t="str">
        <v>2026-09-16 至 2026-10-17</v>
      </c>
      <c r="AJ1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" s="8" t="str">
        <v>2026-10-06 大促；2026-10-07 大促</v>
      </c>
      <c r="AL127" s="8" t="n">
        <v>12</v>
      </c>
      <c r="AM127" s="8" t="n">
        <v>4</v>
      </c>
      <c r="AN127" s="8" t="n">
        <v>30</v>
      </c>
      <c r="AO127" s="8" t="str">
        <v>32582 / 豹纹黑色内里羊京绒 / 6574</v>
      </c>
      <c r="AP127" s="11" t="n">
        <v>1.0395067087630607</v>
      </c>
      <c r="AQ127" s="11" t="n">
        <v>1.0395067087630607</v>
      </c>
      <c r="AR127" s="11" t="n">
        <v>1.0707336504782758</v>
      </c>
      <c r="AS127" s="11" t="n">
        <f>IF(AND(COUNT(I127:K127,AP127:AR127)=6,MIN(AP127:AR127)&gt;0),I127/7/AP127*0.5+J127/14/AQ127*0.3+K127/30/AR127*0.2,"")</f>
        <v>0.33153711918131484</v>
      </c>
      <c r="AT127" s="8" t="n">
        <v>23</v>
      </c>
      <c r="AU127" s="8" t="n">
        <v>4</v>
      </c>
      <c r="AV127" s="8" t="n">
        <v>88</v>
      </c>
      <c r="AW127" s="11" t="n">
        <f>IF(AND(COUNT(AT127:AV127)=3,AT127&gt;=AU127,AU127&gt;=0,AV127&gt;0),(AT127-AU127)/AV127,"")</f>
        <v>0.2159090909090909</v>
      </c>
      <c r="AX127" s="8" t="n">
        <v>31</v>
      </c>
      <c r="AY127" s="8" t="n">
        <v>4</v>
      </c>
      <c r="AZ127" s="8" t="n">
        <v>178</v>
      </c>
      <c r="BA127" s="11" t="n">
        <f>IF(AND(COUNT(AX127:AZ127)=3,AX127&gt;=AY127,AY127&gt;=0,AZ127&gt;0),(AX127-AY127)/AZ127,"")</f>
        <v>0.15168539325842698</v>
      </c>
      <c r="BB127" s="8" t="n">
        <f>IF(COUNT(AS127,AW127,BA127)=3,1,0)</f>
        <v>1</v>
      </c>
      <c r="BC127" s="11" t="n">
        <f>IF(SUMIF($AO$11:$AO$1309,AO127,$BB$11:$BB$1309)=COUNTIF($AO$11:$AO$1309,AO127),SUMIF($AO$11:$AO$1309,AO127,$AS$11:$AS$1309),"")</f>
        <v>1.9131647321216234</v>
      </c>
      <c r="BD127" s="11" t="n">
        <f>IF(SUMIF($AO$11:$AO$1309,AO127,$BB$11:$BB$1309)=COUNTIF($AO$11:$AO$1309,AO127),SUMIF($AO$11:$AO$1309,AO127,$AW$11:$AW$1309),"")</f>
        <v>1.2065508021390374</v>
      </c>
      <c r="BE127" s="11" t="n">
        <f>IF(SUMIF($AO$11:$AO$1309,AO127,$BB$11:$BB$1309)=COUNTIF($AO$11:$AO$1309,AO127),SUMIF($AO$11:$AO$1309,AO127,$BA$11:$BA$1309),"")</f>
        <v>0.9278330658105939</v>
      </c>
      <c r="BF127" s="12" t="n">
        <f>IF(COUNT(BD127:BE127)&lt;&gt;2,"",IF(AND(BD127&gt;0,BE127&gt;0),0.7*AW127/BD127+0.3*BA127/BE127,IF(BD127&gt;0,AW127/BD127,IF(BE127&gt;0,BA127/BE127,IF(AND(ISNUMBER(BH127),BH127=0),0,"")))))</f>
        <v>0.174308206680288</v>
      </c>
      <c r="BG127" s="11" t="n">
        <f>IF(AND(COUNT(BN127:BU127)=8,MIN(BN127:BU127)&gt;=0),SUMPRODUCT(BN127:BQ127,BR127:BU127),"")</f>
        <v>88.27281580841549</v>
      </c>
      <c r="BH127" s="11" t="n">
        <f>IF(COUNT(BC127,BG127)=2,BC127*BG127,"")</f>
        <v>168.8804380097286</v>
      </c>
      <c r="BI127" s="11" t="n">
        <f>IF(ISNUMBER(CI127),CI127,"")</f>
        <v>29.43724629285735</v>
      </c>
      <c r="BJ127" s="8" t="str"/>
      <c r="BK127" s="8" t="str">
        <v>90天：2026-07-20 至 2026-10-17；180天：2026-04-21 至 2026-10-17</v>
      </c>
      <c r="BL127" s="8" t="str">
        <v>90天：2026-10-06、2026-10-07；180天：2026-10-06、2026-10-07</v>
      </c>
      <c r="BM127" s="8" t="str">
        <v>2026-10：12天 × 1.0395067087630607；2026-11：30天 × 0.9890368360033146；2026-12：31天 × 0.7800796503018808；2027-01：17天 × 1.2908918272824135</v>
      </c>
      <c r="BN127" s="11" t="n">
        <v>1.0395067087630607</v>
      </c>
      <c r="BO127" s="11" t="n">
        <v>0.9890368360033146</v>
      </c>
      <c r="BP127" s="11" t="n">
        <v>0.7800796503018808</v>
      </c>
      <c r="BQ127" s="11" t="n">
        <v>1.2908918272824135</v>
      </c>
      <c r="BR127" s="8" t="n">
        <v>12</v>
      </c>
      <c r="BS127" s="8" t="n">
        <v>30</v>
      </c>
      <c r="BT127" s="8" t="n">
        <v>31</v>
      </c>
      <c r="BU127" s="8" t="n">
        <v>17</v>
      </c>
      <c r="BV127" s="11" t="n">
        <f>IF(COUNT(BC127,BF127)=2,BC127*BF127,"")</f>
        <v>0.3334803135400938</v>
      </c>
      <c r="BW127" s="11" t="n">
        <f>IF(ISNUMBER(BN127),BN127,"")</f>
        <v>1.0395067087630607</v>
      </c>
      <c r="BX127" s="14" t="n">
        <f>IF(ISNUMBER(BR127),BR127,"")</f>
        <v>12</v>
      </c>
      <c r="BY127" s="13" t="n">
        <f>IF(AND(COUNT(BV127,BW127,BX127)=3,MIN(BV127,BW127,BX127)&gt;=0),BV127*BW127*BX127,"")</f>
        <v>4.159860277984037</v>
      </c>
      <c r="BZ127" s="11" t="n">
        <f>IF(ISNUMBER(BO127),BO127,"")</f>
        <v>0.9890368360033146</v>
      </c>
      <c r="CA127" s="14" t="n">
        <f>IF(ISNUMBER(BS127),BS127,"")</f>
        <v>30</v>
      </c>
      <c r="CB127" s="13" t="n">
        <f>IF(AND(COUNT(BV127,BZ127,CA127)=3,MIN(BV127,BZ127,CA127)&gt;=0),BV127*BZ127*CA127,"")</f>
        <v>9.89472942519263</v>
      </c>
      <c r="CC127" s="11" t="n">
        <f>IF(ISNUMBER(BP127),BP127,"")</f>
        <v>0.7800796503018808</v>
      </c>
      <c r="CD127" s="14" t="n">
        <f>IF(ISNUMBER(BT127),BT127,"")</f>
        <v>31</v>
      </c>
      <c r="CE127" s="13" t="n">
        <f>IF(AND(COUNT(BV127,CC127,CD127)=3,MIN(BV127,CC127,CD127)&gt;=0),BV127*CC127*CD127,"")</f>
        <v>8.064377397436456</v>
      </c>
      <c r="CF127" s="11" t="n">
        <f>IF(ISNUMBER(BQ127),BQ127,"")</f>
        <v>1.2908918272824135</v>
      </c>
      <c r="CG127" s="14" t="n">
        <f>IF(ISNUMBER(BU127),BU127,"")</f>
        <v>17</v>
      </c>
      <c r="CH127" s="13" t="n">
        <f>IF(AND(COUNT(BV127,CF127,CG127)=3,MIN(BV127,CF127,CG127)&gt;=0),BV127*CF127*CG127,"")</f>
        <v>7.318279192244225</v>
      </c>
      <c r="CI127" s="13" t="n">
        <f>IF(COUNT(BY127,CB127,CE127,CH127)=4,SUM(BY127,CB127,CE127,CH127),"")</f>
        <v>29.43724629285735</v>
      </c>
    </row>
    <row r="128" ht="72" customHeight="1">
      <c r="A128" s="16" t="str">
        <v>32582-LPB-41</v>
      </c>
      <c r="B128" s="16" t="str">
        <v>3店-SANDIEX-US</v>
      </c>
      <c r="C128" s="16" t="str">
        <v>徐新怡</v>
      </c>
      <c r="D128" s="26" t="n">
        <f>IF(NOT(ISNUMBER(E128)),"",IF(OR(E128&lt;=0,L128=0),0,IF(OR(NOT(ISNUMBER(F128)),F128&lt;0),"",MIN(E128,INT(F128)))))</f>
        <v>10</v>
      </c>
      <c r="E128" s="27" t="n">
        <f>IF(OR(NOT(ISNUMBER(L128)),COUNT(M128:O128)&lt;&gt;3,MIN(M128:O128)&lt;0),"",ROUNDUP(ROUND(BI128-SUM(M128:O128),10),0))</f>
        <v>10</v>
      </c>
      <c r="F128" s="28" t="n">
        <v>46</v>
      </c>
      <c r="G128" s="28" t="n">
        <f>IF(AND(ISNUMBER(D128),ISNUMBER(E128)),IF(OR(E128&lt;=0,L128=0),0,E128-D128),"")</f>
        <v>0</v>
      </c>
      <c r="H128" s="16" t="str">
        <f>IF(NOT(ISNUMBER(E128)),"销量或海外库存待补",IF(OR(E128&lt;=0,L128=0),IF(L128=0,"零日销，本批不发","本批无需补货"),IF(NOT(ISNUMBER(D128)),"国内库存待补",IF(D128=0,"国内无可用库存",IF(G128&gt;0,"先发国内现货","按建议量发货")))))</f>
        <v>按建议量发货</v>
      </c>
      <c r="I128" s="28" t="n">
        <f>IF(AND(COUNT(Z128,AA128,AB128)=3,Z128&gt;=AA128,AA128&gt;=0,AB128=7),Z128-AA128,"")</f>
        <v>1</v>
      </c>
      <c r="J128" s="28" t="n">
        <f>IF(AND(COUNT(AF128,AG128,AH128)=3,AF128&gt;=AG128,AG128&gt;=0,AH128=14),AF128-AG128,"")</f>
        <v>5</v>
      </c>
      <c r="K128" s="28" t="n">
        <f>IF(AND(COUNT(AL128,AM128,AN128)=3,AL128&gt;=AM128,AM128&gt;=0,AN128=30),AL128-AM128,"")</f>
        <v>10</v>
      </c>
      <c r="L128" s="29" t="n">
        <f>IF(ISNUMBER(BI128),BI128/90,"")</f>
        <v>0.3113009246891395</v>
      </c>
      <c r="M128" s="28" t="n">
        <v>19</v>
      </c>
      <c r="N128" s="28" t="n">
        <v>0</v>
      </c>
      <c r="O128" s="28" t="n">
        <v>0</v>
      </c>
      <c r="P128" s="30" t="n">
        <f>IF(AND(ISNUMBER(L128),L128&gt;0,COUNT(M128:O128)=3,MIN(M128:O128)&gt;=0),SUM(M128:O128)/L128,"")</f>
        <v>61.034190691765914</v>
      </c>
      <c r="Q128" s="16" t="str">
        <v>沿用原计划SKU店铺</v>
      </c>
      <c r="R128" s="16" t="str">
        <v>已匹配</v>
      </c>
      <c r="S128" s="16" t="str">
        <v>在售</v>
      </c>
      <c r="T128" s="16" t="str">
        <v>32582</v>
      </c>
      <c r="U128" s="16" t="str">
        <v>豹纹黑色内里</v>
      </c>
      <c r="V128" s="16" t="n">
        <v>10</v>
      </c>
      <c r="W128" s="8" t="str">
        <v>2026-10-11 至 2026-10-17</v>
      </c>
      <c r="X128" s="8" t="str">
        <v>2026-10-11、2026-10-12、2026-10-13、2026-10-14、2026-10-15、2026-10-16、2026-10-17</v>
      </c>
      <c r="Y128" s="8" t="str">
        <v>无</v>
      </c>
      <c r="Z128" s="8" t="n">
        <v>1</v>
      </c>
      <c r="AA128" s="8" t="n">
        <v>0</v>
      </c>
      <c r="AB128" s="8" t="n">
        <v>7</v>
      </c>
      <c r="AC128" s="8" t="str">
        <v>2026-10-02 至 2026-10-17</v>
      </c>
      <c r="AD128" s="8" t="str">
        <v>2026-10-02、2026-10-03、2026-10-04、2026-10-05、2026-10-08、2026-10-09、2026-10-10、2026-10-11、2026-10-12、2026-10-13、2026-10-14、2026-10-15、2026-10-16、2026-10-17</v>
      </c>
      <c r="AE128" s="8" t="str">
        <v>2026-10-06 大促；2026-10-07 大促</v>
      </c>
      <c r="AF128" s="8" t="n">
        <v>7</v>
      </c>
      <c r="AG128" s="8" t="n">
        <v>2</v>
      </c>
      <c r="AH128" s="8" t="n">
        <v>14</v>
      </c>
      <c r="AI128" s="8" t="str">
        <v>2026-09-16 至 2026-10-17</v>
      </c>
      <c r="AJ1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" s="8" t="str">
        <v>2026-10-06 大促；2026-10-07 大促</v>
      </c>
      <c r="AL128" s="8" t="n">
        <v>12</v>
      </c>
      <c r="AM128" s="8" t="n">
        <v>2</v>
      </c>
      <c r="AN128" s="8" t="n">
        <v>30</v>
      </c>
      <c r="AO128" s="8" t="str">
        <v>32582 / 豹纹黑色内里羊京绒 / 6574</v>
      </c>
      <c r="AP128" s="11" t="n">
        <v>1.0395067087630607</v>
      </c>
      <c r="AQ128" s="11" t="n">
        <v>1.0395067087630607</v>
      </c>
      <c r="AR128" s="11" t="n">
        <v>1.0707336504782758</v>
      </c>
      <c r="AS128" s="11" t="n">
        <f>IF(AND(COUNT(I128:K128,AP128:AR128)=6,MIN(AP128:AR128)&gt;0),I128/7/AP128*0.5+J128/14/AQ128*0.3+K128/30/AR128*0.2,"")</f>
        <v>0.23404738270587633</v>
      </c>
      <c r="AT128" s="8" t="n">
        <v>20</v>
      </c>
      <c r="AU128" s="8" t="n">
        <v>2</v>
      </c>
      <c r="AV128" s="8" t="n">
        <v>88</v>
      </c>
      <c r="AW128" s="11" t="n">
        <f>IF(AND(COUNT(AT128:AV128)=3,AT128&gt;=AU128,AU128&gt;=0,AV128&gt;0),(AT128-AU128)/AV128,"")</f>
        <v>0.20454545454545456</v>
      </c>
      <c r="AX128" s="8" t="n">
        <v>28</v>
      </c>
      <c r="AY128" s="8" t="n">
        <v>2</v>
      </c>
      <c r="AZ128" s="8" t="n">
        <v>178</v>
      </c>
      <c r="BA128" s="11" t="n">
        <f>IF(AND(COUNT(AX128:AZ128)=3,AX128&gt;=AY128,AY128&gt;=0,AZ128&gt;0),(AX128-AY128)/AZ128,"")</f>
        <v>0.14606741573033707</v>
      </c>
      <c r="BB128" s="8" t="n">
        <f>IF(COUNT(AS128,AW128,BA128)=3,1,0)</f>
        <v>1</v>
      </c>
      <c r="BC128" s="11" t="n">
        <f>IF(SUMIF($AO$11:$AO$1309,AO128,$BB$11:$BB$1309)=COUNTIF($AO$11:$AO$1309,AO128),SUMIF($AO$11:$AO$1309,AO128,$AS$11:$AS$1309),"")</f>
        <v>1.9131647321216234</v>
      </c>
      <c r="BD128" s="11" t="n">
        <f>IF(SUMIF($AO$11:$AO$1309,AO128,$BB$11:$BB$1309)=COUNTIF($AO$11:$AO$1309,AO128),SUMIF($AO$11:$AO$1309,AO128,$AW$11:$AW$1309),"")</f>
        <v>1.2065508021390374</v>
      </c>
      <c r="BE128" s="11" t="n">
        <f>IF(SUMIF($AO$11:$AO$1309,AO128,$BB$11:$BB$1309)=COUNTIF($AO$11:$AO$1309,AO128),SUMIF($AO$11:$AO$1309,AO128,$BA$11:$BA$1309),"")</f>
        <v>0.9278330658105939</v>
      </c>
      <c r="BF128" s="12" t="n">
        <f>IF(COUNT(BD128:BE128)&lt;&gt;2,"",IF(AND(BD128&gt;0,BE128&gt;0),0.7*AW128/BD128+0.3*BA128/BE128,IF(BD128&gt;0,AW128/BD128,IF(BE128&gt;0,BA128/BE128,IF(AND(ISNUMBER(BH128),BH128=0),0,"")))))</f>
        <v>0.16589892560800076</v>
      </c>
      <c r="BG128" s="11" t="n">
        <f>IF(AND(COUNT(BN128:BU128)=8,MIN(BN128:BU128)&gt;=0),SUMPRODUCT(BN128:BQ128,BR128:BU128),"")</f>
        <v>88.27281580841549</v>
      </c>
      <c r="BH128" s="11" t="n">
        <f>IF(COUNT(BC128,BG128)=2,BC128*BG128,"")</f>
        <v>168.8804380097286</v>
      </c>
      <c r="BI128" s="11" t="n">
        <f>IF(ISNUMBER(CI128),CI128,"")</f>
        <v>28.017083222022556</v>
      </c>
      <c r="BJ128" s="8" t="str"/>
      <c r="BK128" s="8" t="str">
        <v>90天：2026-07-20 至 2026-10-17；180天：2026-04-21 至 2026-10-17</v>
      </c>
      <c r="BL128" s="8" t="str">
        <v>90天：2026-10-06、2026-10-07；180天：2026-10-06、2026-10-07</v>
      </c>
      <c r="BM128" s="8" t="str">
        <v>2026-10：12天 × 1.0395067087630607；2026-11：30天 × 0.9890368360033146；2026-12：31天 × 0.7800796503018808；2027-01：17天 × 1.2908918272824135</v>
      </c>
      <c r="BN128" s="11" t="n">
        <v>1.0395067087630607</v>
      </c>
      <c r="BO128" s="11" t="n">
        <v>0.9890368360033146</v>
      </c>
      <c r="BP128" s="11" t="n">
        <v>0.7800796503018808</v>
      </c>
      <c r="BQ128" s="11" t="n">
        <v>1.2908918272824135</v>
      </c>
      <c r="BR128" s="8" t="n">
        <v>12</v>
      </c>
      <c r="BS128" s="8" t="n">
        <v>30</v>
      </c>
      <c r="BT128" s="8" t="n">
        <v>31</v>
      </c>
      <c r="BU128" s="8" t="n">
        <v>17</v>
      </c>
      <c r="BV128" s="11" t="n">
        <f>IF(COUNT(BC128,BF128)=2,BC128*BF128,"")</f>
        <v>0.3173919735700959</v>
      </c>
      <c r="BW128" s="11" t="n">
        <f>IF(ISNUMBER(BN128),BN128,"")</f>
        <v>1.0395067087630607</v>
      </c>
      <c r="BX128" s="14" t="n">
        <f>IF(ISNUMBER(BR128),BR128,"")</f>
        <v>12</v>
      </c>
      <c r="BY128" s="13" t="n">
        <f>IF(AND(COUNT(BV128,BW128,BX128)=3,MIN(BV128,BW128,BX128)&gt;=0),BV128*BW128*BX128,"")</f>
        <v>3.959173030003953</v>
      </c>
      <c r="BZ128" s="11" t="n">
        <f>IF(ISNUMBER(BO128),BO128,"")</f>
        <v>0.9890368360033146</v>
      </c>
      <c r="CA128" s="14" t="n">
        <f>IF(ISNUMBER(BS128),BS128,"")</f>
        <v>30</v>
      </c>
      <c r="CB128" s="13" t="n">
        <f>IF(AND(COUNT(BV128,BZ128,CA128)=3,MIN(BV128,BZ128,CA128)&gt;=0),BV128*BZ128*CA128,"")</f>
        <v>9.41737059937846</v>
      </c>
      <c r="CC128" s="11" t="n">
        <f>IF(ISNUMBER(BP128),BP128,"")</f>
        <v>0.7800796503018808</v>
      </c>
      <c r="CD128" s="14" t="n">
        <f>IF(ISNUMBER(BT128),BT128,"")</f>
        <v>31</v>
      </c>
      <c r="CE128" s="13" t="n">
        <f>IF(AND(COUNT(BV128,CC128,CD128)=3,MIN(BV128,CC128,CD128)&gt;=0),BV128*CC128*CD128,"")</f>
        <v>7.67532161228671</v>
      </c>
      <c r="CF128" s="11" t="n">
        <f>IF(ISNUMBER(BQ128),BQ128,"")</f>
        <v>1.2908918272824135</v>
      </c>
      <c r="CG128" s="14" t="n">
        <f>IF(ISNUMBER(BU128),BU128,"")</f>
        <v>17</v>
      </c>
      <c r="CH128" s="13" t="n">
        <f>IF(AND(COUNT(BV128,CF128,CG128)=3,MIN(BV128,CF128,CG128)&gt;=0),BV128*CF128*CG128,"")</f>
        <v>6.965217980353434</v>
      </c>
      <c r="CI128" s="13" t="n">
        <f>IF(COUNT(BY128,CB128,CE128,CH128)=4,SUM(BY128,CB128,CE128,CH128),"")</f>
        <v>28.017083222022556</v>
      </c>
    </row>
    <row r="129" ht="72" customHeight="1">
      <c r="A129" s="16" t="str">
        <v>8392-NY-S-K-38</v>
      </c>
      <c r="B129" s="16" t="str">
        <v>3店-SANDIEX-US</v>
      </c>
      <c r="C129" s="16" t="str">
        <v>徐新怡</v>
      </c>
      <c r="D129" s="26" t="n">
        <f>IF(NOT(ISNUMBER(E129)),"",IF(OR(E129&lt;=0,L129=0),0,IF(OR(NOT(ISNUMBER(F129)),F129&lt;0),"",MIN(E129,INT(F129)))))</f>
        <v>10</v>
      </c>
      <c r="E129" s="27" t="n">
        <f>IF(OR(NOT(ISNUMBER(L129)),COUNT(M129:O129)&lt;&gt;3,MIN(M129:O129)&lt;0),"",ROUNDUP(ROUND(BI129-SUM(M129:O129),10),0))</f>
        <v>10</v>
      </c>
      <c r="F129" s="28" t="n">
        <v>13</v>
      </c>
      <c r="G129" s="28" t="n">
        <f>IF(AND(ISNUMBER(D129),ISNUMBER(E129)),IF(OR(E129&lt;=0,L129=0),0,E129-D129),"")</f>
        <v>0</v>
      </c>
      <c r="H129" s="16" t="str">
        <f>IF(NOT(ISNUMBER(E129)),"销量或海外库存待补",IF(OR(E129&lt;=0,L129=0),IF(L129=0,"零日销，本批不发","本批无需补货"),IF(NOT(ISNUMBER(D129)),"国内库存待补",IF(D129=0,"国内无可用库存",IF(G129&gt;0,"先发国内现货","按建议量发货")))))</f>
        <v>按建议量发货</v>
      </c>
      <c r="I129" s="28" t="n">
        <f>IF(AND(COUNT(Z129,AA129,AB129)=3,Z129&gt;=AA129,AA129&gt;=0,AB129=7),Z129-AA129,"")</f>
        <v>2</v>
      </c>
      <c r="J129" s="28" t="n">
        <f>IF(AND(COUNT(AF129,AG129,AH129)=3,AF129&gt;=AG129,AG129&gt;=0,AH129=14),AF129-AG129,"")</f>
        <v>2</v>
      </c>
      <c r="K129" s="28" t="n">
        <f>IF(AND(COUNT(AL129,AM129,AN129)=3,AL129&gt;=AM129,AM129&gt;=0,AN129=30),AL129-AM129,"")</f>
        <v>2</v>
      </c>
      <c r="L129" s="29" t="n">
        <f>IF(ISNUMBER(BI129),BI129/90,"")</f>
        <v>0.13670916096270988</v>
      </c>
      <c r="M129" s="28" t="n">
        <v>3</v>
      </c>
      <c r="N129" s="28" t="n">
        <v>0</v>
      </c>
      <c r="O129" s="28" t="n">
        <v>0</v>
      </c>
      <c r="P129" s="30" t="n">
        <f>IF(AND(ISNUMBER(L129),L129&gt;0,COUNT(M129:O129)=3,MIN(M129:O129)&gt;=0),SUM(M129:O129)/L129,"")</f>
        <v>21.94439625606589</v>
      </c>
      <c r="Q129" s="16" t="str">
        <v>按本SKU唯一未删除Listing店铺核实</v>
      </c>
      <c r="R129" s="16" t="str">
        <v>已匹配</v>
      </c>
      <c r="S129" s="16" t="str">
        <v>在售</v>
      </c>
      <c r="T129" s="16" t="str">
        <v>8392</v>
      </c>
      <c r="U129" s="16" t="str">
        <v>藏青色</v>
      </c>
      <c r="V129" s="16" t="n">
        <v>7</v>
      </c>
      <c r="W129" s="8" t="str">
        <v>2026-10-11 至 2026-10-17</v>
      </c>
      <c r="X129" s="8" t="str">
        <v>2026-10-11、2026-10-12、2026-10-13、2026-10-14、2026-10-15、2026-10-16、2026-10-17</v>
      </c>
      <c r="Y129" s="8" t="str">
        <v>无</v>
      </c>
      <c r="Z129" s="8" t="n">
        <v>2</v>
      </c>
      <c r="AA129" s="8" t="n">
        <v>0</v>
      </c>
      <c r="AB129" s="8" t="n">
        <v>7</v>
      </c>
      <c r="AC129" s="8" t="str">
        <v>2026-10-02 至 2026-10-17</v>
      </c>
      <c r="AD129" s="8" t="str">
        <v>2026-10-02、2026-10-03、2026-10-04、2026-10-05、2026-10-08、2026-10-09、2026-10-10、2026-10-11、2026-10-12、2026-10-13、2026-10-14、2026-10-15、2026-10-16、2026-10-17</v>
      </c>
      <c r="AE129" s="8" t="str">
        <v>2026-10-06 大促；2026-10-07 大促</v>
      </c>
      <c r="AF129" s="8" t="n">
        <v>3</v>
      </c>
      <c r="AG129" s="8" t="n">
        <v>1</v>
      </c>
      <c r="AH129" s="8" t="n">
        <v>14</v>
      </c>
      <c r="AI129" s="8" t="str">
        <v>2026-09-16 至 2026-10-17</v>
      </c>
      <c r="AJ1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" s="8" t="str">
        <v>2026-10-06 大促；2026-10-07 大促</v>
      </c>
      <c r="AL129" s="8" t="n">
        <v>3</v>
      </c>
      <c r="AM129" s="8" t="n">
        <v>1</v>
      </c>
      <c r="AN129" s="8" t="n">
        <v>30</v>
      </c>
      <c r="AO129" s="8" t="str">
        <v>8392 / 藏青色羊京绒 / 6574</v>
      </c>
      <c r="AP129" s="11" t="n">
        <v>1.1743420411079069</v>
      </c>
      <c r="AQ129" s="11" t="n">
        <v>1.1743420411079069</v>
      </c>
      <c r="AR129" s="11" t="n">
        <v>1.144331424468921</v>
      </c>
      <c r="AS129" s="11" t="n">
        <f>IF(AND(COUNT(I129:K129,AP129:AR129)=6,MIN(AP129:AR129)&gt;0),I129/7/AP129*0.5+J129/14/AQ129*0.3+K129/30/AR129*0.2,"")</f>
        <v>0.16979490204034078</v>
      </c>
      <c r="AT129" s="8" t="n">
        <v>5</v>
      </c>
      <c r="AU129" s="8" t="n">
        <v>1</v>
      </c>
      <c r="AV129" s="8" t="n">
        <v>88</v>
      </c>
      <c r="AW129" s="11" t="n">
        <f>IF(AND(COUNT(AT129:AV129)=3,AT129&gt;=AU129,AU129&gt;=0,AV129&gt;0),(AT129-AU129)/AV129,"")</f>
        <v>0.045454545454545456</v>
      </c>
      <c r="AX129" s="8" t="n">
        <v>20</v>
      </c>
      <c r="AY129" s="8" t="n">
        <v>1</v>
      </c>
      <c r="AZ129" s="8" t="n">
        <v>178</v>
      </c>
      <c r="BA129" s="11" t="n">
        <f>IF(AND(COUNT(AX129:AZ129)=3,AX129&gt;=AY129,AY129&gt;=0,AZ129&gt;0),(AX129-AY129)/AZ129,"")</f>
        <v>0.10674157303370786</v>
      </c>
      <c r="BB129" s="8" t="n">
        <f>IF(COUNT(AS129,AW129,BA129)=3,1,0)</f>
        <v>1</v>
      </c>
      <c r="BC129" s="11" t="n">
        <f>IF(SUMIF($AO$11:$AO$1309,AO129,$BB$11:$BB$1309)=COUNTIF($AO$11:$AO$1309,AO129),SUMIF($AO$11:$AO$1309,AO129,$AS$11:$AS$1309),"")</f>
        <v>0.6185202058446071</v>
      </c>
      <c r="BD129" s="11" t="n">
        <f>IF(SUMIF($AO$11:$AO$1309,AO129,$BB$11:$BB$1309)=COUNTIF($AO$11:$AO$1309,AO129),SUMIF($AO$11:$AO$1309,AO129,$AW$11:$AW$1309),"")</f>
        <v>0.20655080213903745</v>
      </c>
      <c r="BE129" s="11" t="n">
        <f>IF(SUMIF($AO$11:$AO$1309,AO129,$BB$11:$BB$1309)=COUNTIF($AO$11:$AO$1309,AO129),SUMIF($AO$11:$AO$1309,AO129,$BA$11:$BA$1309),"")</f>
        <v>0.6192937399678973</v>
      </c>
      <c r="BF129" s="12" t="n">
        <f>IF(COUNT(BD129:BE129)&lt;&gt;2,"",IF(AND(BD129&gt;0,BE129&gt;0),0.7*AW129/BD129+0.3*BA129/BE129,IF(BD129&gt;0,AW129/BD129,IF(BE129&gt;0,BA129/BE129,IF(AND(ISNUMBER(BH129),BH129=0),0,"")))))</f>
        <v>0.20575335782955612</v>
      </c>
      <c r="BG129" s="11" t="n">
        <f>IF(AND(COUNT(BN129:BU129)=8,MIN(BN129:BU129)&gt;=0),SUMPRODUCT(BN129:BQ129,BR129:BU129),"")</f>
        <v>96.68059267618935</v>
      </c>
      <c r="BH129" s="11" t="n">
        <f>IF(COUNT(BC129,BG129)=2,BC129*BG129,"")</f>
        <v>59.79890008325525</v>
      </c>
      <c r="BI129" s="11" t="n">
        <f>IF(ISNUMBER(CI129),CI129,"")</f>
        <v>12.30382448664389</v>
      </c>
      <c r="BJ129" s="8" t="str"/>
      <c r="BK129" s="8" t="str">
        <v>90天：2026-07-20 至 2026-10-17；180天：2026-04-21 至 2026-10-17</v>
      </c>
      <c r="BL129" s="8" t="str">
        <v>90天：2026-10-06、2026-10-07；180天：2026-10-06、2026-10-07</v>
      </c>
      <c r="BM129" s="8" t="str">
        <v>2026-10：12天 × 1.1743420411079069；2026-11：30天 × 1.281694931279211；2026-12：31天 × 0.9007634642750235；2027-01：17天 × 0.9537631089407297</v>
      </c>
      <c r="BN129" s="11" t="n">
        <v>1.1743420411079069</v>
      </c>
      <c r="BO129" s="11" t="n">
        <v>1.281694931279211</v>
      </c>
      <c r="BP129" s="11" t="n">
        <v>0.9007634642750235</v>
      </c>
      <c r="BQ129" s="11" t="n">
        <v>0.9537631089407297</v>
      </c>
      <c r="BR129" s="8" t="n">
        <v>12</v>
      </c>
      <c r="BS129" s="8" t="n">
        <v>30</v>
      </c>
      <c r="BT129" s="8" t="n">
        <v>31</v>
      </c>
      <c r="BU129" s="8" t="n">
        <v>17</v>
      </c>
      <c r="BV129" s="11" t="n">
        <f>IF(COUNT(BC129,BF129)=2,BC129*BF129,"")</f>
        <v>0.12726260923795615</v>
      </c>
      <c r="BW129" s="11" t="n">
        <f>IF(ISNUMBER(BN129),BN129,"")</f>
        <v>1.1743420411079069</v>
      </c>
      <c r="BX129" s="14" t="n">
        <f>IF(ISNUMBER(BR129),BR129,"")</f>
        <v>12</v>
      </c>
      <c r="BY129" s="13" t="n">
        <f>IF(AND(COUNT(BV129,BW129,BX129)=3,MIN(BV129,BW129,BX129)&gt;=0),BV129*BW129*BX129,"")</f>
        <v>1.793397987470633</v>
      </c>
      <c r="BZ129" s="11" t="n">
        <f>IF(ISNUMBER(BO129),BO129,"")</f>
        <v>1.281694931279211</v>
      </c>
      <c r="CA129" s="14" t="n">
        <f>IF(ISNUMBER(BS129),BS129,"")</f>
        <v>30</v>
      </c>
      <c r="CB129" s="13" t="n">
        <f>IF(AND(COUNT(BV129,BZ129,CA129)=3,MIN(BV129,BZ129,CA129)&gt;=0),BV129*BZ129*CA129,"")</f>
        <v>4.893355236049659</v>
      </c>
      <c r="CC129" s="11" t="n">
        <f>IF(ISNUMBER(BP129),BP129,"")</f>
        <v>0.9007634642750235</v>
      </c>
      <c r="CD129" s="14" t="n">
        <f>IF(ISNUMBER(BT129),BT129,"")</f>
        <v>31</v>
      </c>
      <c r="CE129" s="13" t="n">
        <f>IF(AND(COUNT(BV129,CC129,CD129)=3,MIN(BV129,CC129,CD129)&gt;=0),BV129*CC129*CD129,"")</f>
        <v>3.5536387718656597</v>
      </c>
      <c r="CF129" s="11" t="n">
        <f>IF(ISNUMBER(BQ129),BQ129,"")</f>
        <v>0.9537631089407297</v>
      </c>
      <c r="CG129" s="14" t="n">
        <f>IF(ISNUMBER(BU129),BU129,"")</f>
        <v>17</v>
      </c>
      <c r="CH129" s="13" t="n">
        <f>IF(AND(COUNT(BV129,CF129,CG129)=3,MIN(BV129,CF129,CG129)&gt;=0),BV129*CF129*CG129,"")</f>
        <v>2.063432491257939</v>
      </c>
      <c r="CI129" s="13" t="n">
        <f>IF(COUNT(BY129,CB129,CE129,CH129)=4,SUM(BY129,CB129,CE129,CH129),"")</f>
        <v>12.30382448664389</v>
      </c>
    </row>
    <row r="130" ht="72" customHeight="1">
      <c r="A130" s="16" t="str">
        <v>8392-TN-39</v>
      </c>
      <c r="B130" s="16" t="str">
        <v>3店-SANDIEX-US</v>
      </c>
      <c r="C130" s="16" t="str">
        <v>徐新怡</v>
      </c>
      <c r="D130" s="26" t="n">
        <f>IF(NOT(ISNUMBER(E130)),"",IF(OR(E130&lt;=0,L130=0),0,IF(OR(NOT(ISNUMBER(F130)),F130&lt;0),"",MIN(E130,INT(F130)))))</f>
        <v>10</v>
      </c>
      <c r="E130" s="27" t="n">
        <f>IF(OR(NOT(ISNUMBER(L130)),COUNT(M130:O130)&lt;&gt;3,MIN(M130:O130)&lt;0),"",ROUNDUP(ROUND(BI130-SUM(M130:O130),10),0))</f>
        <v>10</v>
      </c>
      <c r="F130" s="28" t="n">
        <v>99</v>
      </c>
      <c r="G130" s="28" t="n">
        <f>IF(AND(ISNUMBER(D130),ISNUMBER(E130)),IF(OR(E130&lt;=0,L130=0),0,E130-D130),"")</f>
        <v>0</v>
      </c>
      <c r="H130" s="16" t="str">
        <f>IF(NOT(ISNUMBER(E130)),"销量或海外库存待补",IF(OR(E130&lt;=0,L130=0),IF(L130=0,"零日销，本批不发","本批无需补货"),IF(NOT(ISNUMBER(D130)),"国内库存待补",IF(D130=0,"国内无可用库存",IF(G130&gt;0,"先发国内现货","按建议量发货")))))</f>
        <v>按建议量发货</v>
      </c>
      <c r="I130" s="28" t="n">
        <f>IF(AND(COUNT(Z130,AA130,AB130)=3,Z130&gt;=AA130,AA130&gt;=0,AB130=7),Z130-AA130,"")</f>
        <v>0</v>
      </c>
      <c r="J130" s="28" t="n">
        <f>IF(AND(COUNT(AF130,AG130,AH130)=3,AF130&gt;=AG130,AG130&gt;=0,AH130=14),AF130-AG130,"")</f>
        <v>0</v>
      </c>
      <c r="K130" s="28" t="n">
        <f>IF(AND(COUNT(AL130,AM130,AN130)=3,AL130&gt;=AM130,AM130&gt;=0,AN130=30),AL130-AM130,"")</f>
        <v>0</v>
      </c>
      <c r="L130" s="29" t="n">
        <f>IF(ISNUMBER(BI130),BI130/90,"")</f>
        <v>0.10587626489820104</v>
      </c>
      <c r="M130" s="28" t="n">
        <v>0</v>
      </c>
      <c r="N130" s="28" t="n">
        <v>0</v>
      </c>
      <c r="O130" s="28" t="n">
        <v>0</v>
      </c>
      <c r="P130" s="30" t="n">
        <f>IF(AND(ISNUMBER(L130),L130&gt;0,COUNT(M130:O130)=3,MIN(M130:O130)&gt;=0),SUM(M130:O130)/L130,"")</f>
        <v>0</v>
      </c>
      <c r="Q130" s="16" t="str">
        <v>按本SKU唯一未删除Listing店铺核实</v>
      </c>
      <c r="R130" s="16" t="str">
        <v>已匹配</v>
      </c>
      <c r="S130" s="16" t="str">
        <v>停售</v>
      </c>
      <c r="T130" s="16" t="str">
        <v>8392</v>
      </c>
      <c r="U130" s="16" t="str">
        <v>驼色</v>
      </c>
      <c r="V130" s="16" t="n">
        <v>8</v>
      </c>
      <c r="W130" s="8" t="str">
        <v>2026-10-08 至 2026-10-17</v>
      </c>
      <c r="X130" s="8" t="str">
        <v>2026-10-08、2026-10-09、2026-10-10、2026-10-11、2026-10-14、2026-10-15、2026-10-17</v>
      </c>
      <c r="Y130" s="8" t="str">
        <v>2026-10-12 有记录的停售日；2026-10-13 有记录的停售日；2026-10-16 有记录的停售日</v>
      </c>
      <c r="Z130" s="8" t="n">
        <v>0</v>
      </c>
      <c r="AA130" s="8" t="n">
        <v>0</v>
      </c>
      <c r="AB130" s="8" t="n">
        <v>7</v>
      </c>
      <c r="AC130" s="8" t="str">
        <v>2026-09-29 至 2026-10-17</v>
      </c>
      <c r="AD130" s="8" t="str">
        <v>2026-09-29、2026-09-30、2026-10-01、2026-10-02、2026-10-03、2026-10-04、2026-10-05、2026-10-08、2026-10-09、2026-10-10、2026-10-11、2026-10-14、2026-10-15、2026-10-17</v>
      </c>
      <c r="AE130" s="8" t="str">
        <v>2026-10-06 大促；2026-10-07 大促；2026-10-12 有记录的停售日；2026-10-13 有记录的停售日；2026-10-16 有记录的停售日</v>
      </c>
      <c r="AF130" s="8" t="n">
        <v>0</v>
      </c>
      <c r="AG130" s="8" t="n">
        <v>0</v>
      </c>
      <c r="AH130" s="8" t="n">
        <v>14</v>
      </c>
      <c r="AI130" s="8" t="str">
        <v>2026-09-13 至 2026-10-17</v>
      </c>
      <c r="AJ13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30" s="8" t="str">
        <v>2026-10-06 大促；2026-10-07 大促；2026-10-12 有记录的停售日；2026-10-13 有记录的停售日；2026-10-16 有记录的停售日</v>
      </c>
      <c r="AL130" s="8" t="n">
        <v>0</v>
      </c>
      <c r="AM130" s="8" t="n">
        <v>0</v>
      </c>
      <c r="AN130" s="8" t="n">
        <v>30</v>
      </c>
      <c r="AO130" s="8" t="str">
        <v>8392 / 驼色羊京绒 / 6574</v>
      </c>
      <c r="AP130" s="11" t="n">
        <v>1.1743420411079069</v>
      </c>
      <c r="AQ130" s="11" t="n">
        <v>1.1657675792110538</v>
      </c>
      <c r="AR130" s="11" t="n">
        <v>1.138329301141124</v>
      </c>
      <c r="AS130" s="11" t="n">
        <f>IF(AND(COUNT(I130:K130,AP130:AR130)=6,MIN(AP130:AR130)&gt;0),I130/7/AP130*0.5+J130/14/AQ130*0.3+K130/30/AR130*0.2,"")</f>
        <v>0</v>
      </c>
      <c r="AT130" s="8" t="n">
        <v>3</v>
      </c>
      <c r="AU130" s="8" t="n">
        <v>0</v>
      </c>
      <c r="AV130" s="8" t="n">
        <v>85</v>
      </c>
      <c r="AW130" s="11" t="n">
        <f>IF(AND(COUNT(AT130:AV130)=3,AT130&gt;=AU130,AU130&gt;=0,AV130&gt;0),(AT130-AU130)/AV130,"")</f>
        <v>0.03529411764705882</v>
      </c>
      <c r="AX130" s="8" t="n">
        <v>19</v>
      </c>
      <c r="AY130" s="8" t="n">
        <v>0</v>
      </c>
      <c r="AZ130" s="8" t="n">
        <v>175</v>
      </c>
      <c r="BA130" s="11" t="n">
        <f>IF(AND(COUNT(AX130:AZ130)=3,AX130&gt;=AY130,AY130&gt;=0,AZ130&gt;0),(AX130-AY130)/AZ130,"")</f>
        <v>0.10857142857142857</v>
      </c>
      <c r="BB130" s="8" t="n">
        <f>IF(COUNT(AS130,AW130,BA130)=3,1,0)</f>
        <v>1</v>
      </c>
      <c r="BC130" s="11" t="n">
        <f>IF(SUMIF($AO$11:$AO$1309,AO130,$BB$11:$BB$1309)=COUNTIF($AO$11:$AO$1309,AO130),SUMIF($AO$11:$AO$1309,AO130,$AS$11:$AS$1309),"")</f>
        <v>0.7013954528820118</v>
      </c>
      <c r="BD130" s="11" t="n">
        <f>IF(SUMIF($AO$11:$AO$1309,AO130,$BB$11:$BB$1309)=COUNTIF($AO$11:$AO$1309,AO130),SUMIF($AO$11:$AO$1309,AO130,$AW$11:$AW$1309),"")</f>
        <v>0.33235294117647063</v>
      </c>
      <c r="BE130" s="11" t="n">
        <f>IF(SUMIF($AO$11:$AO$1309,AO130,$BB$11:$BB$1309)=COUNTIF($AO$11:$AO$1309,AO130),SUMIF($AO$11:$AO$1309,AO130,$BA$11:$BA$1309),"")</f>
        <v>0.4921348314606742</v>
      </c>
      <c r="BF130" s="12" t="n">
        <f>IF(COUNT(BD130:BE130)&lt;&gt;2,"",IF(AND(BD130&gt;0,BE130&gt;0),0.7*AW130/BD130+0.3*BA130/BE130,IF(BD130&gt;0,AW130/BD130,IF(BE130&gt;0,BA130/BE130,IF(AND(ISNUMBER(BH130),BH130=0),0,"")))))</f>
        <v>0.14052023621910878</v>
      </c>
      <c r="BG130" s="11" t="n">
        <f>IF(AND(COUNT(BN130:BU130)=8,MIN(BN130:BU130)&gt;=0),SUMPRODUCT(BN130:BQ130,BR130:BU130),"")</f>
        <v>96.68059267618935</v>
      </c>
      <c r="BH130" s="11" t="n">
        <f>IF(COUNT(BC130,BG130)=2,BC130*BG130,"")</f>
        <v>67.81132808501714</v>
      </c>
      <c r="BI130" s="11" t="n">
        <f>IF(ISNUMBER(CI130),CI130,"")</f>
        <v>9.528863840838094</v>
      </c>
      <c r="BJ130" s="8" t="str"/>
      <c r="BK130" s="8" t="str">
        <v>90天：2026-07-20 至 2026-10-17；180天：2026-04-21 至 2026-10-17</v>
      </c>
      <c r="BL130" s="8" t="str">
        <v>90天：2026-10-06、2026-10-07、2026-10-12、2026-10-13、2026-10-16；180天：2026-10-06、2026-10-07、2026-10-12、2026-10-13、2026-10-16</v>
      </c>
      <c r="BM130" s="8" t="str">
        <v>2026-10：12天 × 1.1743420411079069；2026-11：30天 × 1.281694931279211；2026-12：31天 × 0.9007634642750235；2027-01：17天 × 0.9537631089407297</v>
      </c>
      <c r="BN130" s="11" t="n">
        <v>1.1743420411079069</v>
      </c>
      <c r="BO130" s="11" t="n">
        <v>1.281694931279211</v>
      </c>
      <c r="BP130" s="11" t="n">
        <v>0.9007634642750235</v>
      </c>
      <c r="BQ130" s="11" t="n">
        <v>0.9537631089407297</v>
      </c>
      <c r="BR130" s="8" t="n">
        <v>12</v>
      </c>
      <c r="BS130" s="8" t="n">
        <v>30</v>
      </c>
      <c r="BT130" s="8" t="n">
        <v>31</v>
      </c>
      <c r="BU130" s="8" t="n">
        <v>17</v>
      </c>
      <c r="BV130" s="11" t="n">
        <f>IF(COUNT(BC130,BF130)=2,BC130*BF130,"")</f>
        <v>0.09856025472198908</v>
      </c>
      <c r="BW130" s="11" t="n">
        <f>IF(ISNUMBER(BN130),BN130,"")</f>
        <v>1.1743420411079069</v>
      </c>
      <c r="BX130" s="14" t="n">
        <f>IF(ISNUMBER(BR130),BR130,"")</f>
        <v>12</v>
      </c>
      <c r="BY130" s="13" t="n">
        <f>IF(AND(COUNT(BV130,BW130,BX130)=3,MIN(BV130,BW130,BX130)&gt;=0),BV130*BW130*BX130,"")</f>
        <v>1.3889214084280304</v>
      </c>
      <c r="BZ130" s="11" t="n">
        <f>IF(ISNUMBER(BO130),BO130,"")</f>
        <v>1.281694931279211</v>
      </c>
      <c r="CA130" s="14" t="n">
        <f>IF(ISNUMBER(BS130),BS130,"")</f>
        <v>30</v>
      </c>
      <c r="CB130" s="13" t="n">
        <f>IF(AND(COUNT(BV130,BZ130,CA130)=3,MIN(BV130,BZ130,CA130)&gt;=0),BV130*BZ130*CA130,"")</f>
        <v>3.7897253670828395</v>
      </c>
      <c r="CC130" s="11" t="n">
        <f>IF(ISNUMBER(BP130),BP130,"")</f>
        <v>0.9007634642750235</v>
      </c>
      <c r="CD130" s="14" t="n">
        <f>IF(ISNUMBER(BT130),BT130,"")</f>
        <v>31</v>
      </c>
      <c r="CE130" s="13" t="n">
        <f>IF(AND(COUNT(BV130,CC130,CD130)=3,MIN(BV130,CC130,CD130)&gt;=0),BV130*CC130*CD130,"")</f>
        <v>2.752163770979436</v>
      </c>
      <c r="CF130" s="11" t="n">
        <f>IF(ISNUMBER(BQ130),BQ130,"")</f>
        <v>0.9537631089407297</v>
      </c>
      <c r="CG130" s="14" t="n">
        <f>IF(ISNUMBER(BU130),BU130,"")</f>
        <v>17</v>
      </c>
      <c r="CH130" s="13" t="n">
        <f>IF(AND(COUNT(BV130,CF130,CG130)=3,MIN(BV130,CF130,CG130)&gt;=0),BV130*CF130*CG130,"")</f>
        <v>1.5980532943477872</v>
      </c>
      <c r="CI130" s="13" t="n">
        <f>IF(COUNT(BY130,CB130,CE130,CH130)=4,SUM(BY130,CB130,CE130,CH130),"")</f>
        <v>9.528863840838094</v>
      </c>
    </row>
    <row r="131" ht="72" customHeight="1">
      <c r="A131" s="16" t="str">
        <v>B06-RD-39</v>
      </c>
      <c r="B131" s="16" t="str">
        <v>1店-MUSSHOE-US</v>
      </c>
      <c r="C131" s="16" t="str">
        <v>艾年</v>
      </c>
      <c r="D131" s="26" t="n">
        <f>IF(NOT(ISNUMBER(E131)),"",IF(OR(E131&lt;=0,L131=0),0,IF(OR(NOT(ISNUMBER(F131)),F131&lt;0),"",MIN(E131,INT(F131)))))</f>
        <v>10</v>
      </c>
      <c r="E131" s="27" t="n">
        <f>IF(OR(NOT(ISNUMBER(L131)),COUNT(M131:O131)&lt;&gt;3,MIN(M131:O131)&lt;0),"",ROUNDUP(ROUND(BI131-SUM(M131:O131),10),0))</f>
        <v>10</v>
      </c>
      <c r="F131" s="28" t="n">
        <v>23</v>
      </c>
      <c r="G131" s="28" t="n">
        <f>IF(AND(ISNUMBER(D131),ISNUMBER(E131)),IF(OR(E131&lt;=0,L131=0),0,E131-D131),"")</f>
        <v>0</v>
      </c>
      <c r="H131" s="16" t="str">
        <f>IF(NOT(ISNUMBER(E131)),"销量或海外库存待补",IF(OR(E131&lt;=0,L131=0),IF(L131=0,"零日销，本批不发","本批无需补货"),IF(NOT(ISNUMBER(D131)),"国内库存待补",IF(D131=0,"国内无可用库存",IF(G131&gt;0,"先发国内现货","按建议量发货")))))</f>
        <v>按建议量发货</v>
      </c>
      <c r="I131" s="28" t="n">
        <f>IF(AND(COUNT(Z131,AA131,AB131)=3,Z131&gt;=AA131,AA131&gt;=0,AB131=7),Z131-AA131,"")</f>
        <v>0</v>
      </c>
      <c r="J131" s="28" t="n">
        <f>IF(AND(COUNT(AF131,AG131,AH131)=3,AF131&gt;=AG131,AG131&gt;=0,AH131=14),AF131-AG131,"")</f>
        <v>1</v>
      </c>
      <c r="K131" s="28" t="n">
        <f>IF(AND(COUNT(AL131,AM131,AN131)=3,AL131&gt;=AM131,AM131&gt;=0,AN131=30),AL131-AM131,"")</f>
        <v>3</v>
      </c>
      <c r="L131" s="29" t="n">
        <f>IF(ISNUMBER(BI131),BI131/90,"")</f>
        <v>0.11616467540938154</v>
      </c>
      <c r="M131" s="28" t="n">
        <v>1</v>
      </c>
      <c r="N131" s="28" t="n">
        <v>0</v>
      </c>
      <c r="O131" s="28" t="n">
        <v>0</v>
      </c>
      <c r="P131" s="30" t="n">
        <f>IF(AND(ISNUMBER(L131),L131&gt;0,COUNT(M131:O131)=3,MIN(M131:O131)&gt;=0),SUM(M131:O131)/L131,"")</f>
        <v>8.60846893839157</v>
      </c>
      <c r="Q131" s="16" t="str">
        <v>沿用原计划SKU店铺</v>
      </c>
      <c r="R131" s="16" t="str">
        <v>已匹配</v>
      </c>
      <c r="S131" s="16" t="str">
        <v>在售</v>
      </c>
      <c r="T131" s="16" t="str">
        <v>B06</v>
      </c>
      <c r="U131" s="16" t="str">
        <v>红色羊京绒</v>
      </c>
      <c r="V131" s="16" t="n">
        <v>8</v>
      </c>
      <c r="W131" s="8" t="str">
        <v>2026-10-11 至 2026-10-17</v>
      </c>
      <c r="X131" s="8" t="str">
        <v>2026-10-11、2026-10-12、2026-10-13、2026-10-14、2026-10-15、2026-10-16、2026-10-17</v>
      </c>
      <c r="Y131" s="8" t="str">
        <v>无</v>
      </c>
      <c r="Z131" s="8" t="n">
        <v>0</v>
      </c>
      <c r="AA131" s="8" t="n">
        <v>0</v>
      </c>
      <c r="AB131" s="8" t="n">
        <v>7</v>
      </c>
      <c r="AC131" s="8" t="str">
        <v>2026-10-02 至 2026-10-17</v>
      </c>
      <c r="AD131" s="8" t="str">
        <v>2026-10-02、2026-10-03、2026-10-04、2026-10-05、2026-10-08、2026-10-09、2026-10-10、2026-10-11、2026-10-12、2026-10-13、2026-10-14、2026-10-15、2026-10-16、2026-10-17</v>
      </c>
      <c r="AE131" s="8" t="str">
        <v>2026-10-06 大促；2026-10-07 大促</v>
      </c>
      <c r="AF131" s="8" t="n">
        <v>1</v>
      </c>
      <c r="AG131" s="8" t="n">
        <v>0</v>
      </c>
      <c r="AH131" s="8" t="n">
        <v>14</v>
      </c>
      <c r="AI131" s="8" t="str">
        <v>2026-09-16 至 2026-10-17</v>
      </c>
      <c r="AJ1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1" s="8" t="str">
        <v>2026-10-06 大促；2026-10-07 大促</v>
      </c>
      <c r="AL131" s="8" t="n">
        <v>3</v>
      </c>
      <c r="AM131" s="8" t="n">
        <v>0</v>
      </c>
      <c r="AN131" s="8" t="n">
        <v>30</v>
      </c>
      <c r="AO131" s="8" t="str">
        <v>B06 / 红色羊京绒 / 13120</v>
      </c>
      <c r="AP131" s="11" t="n">
        <v>1.2247029157699902</v>
      </c>
      <c r="AQ131" s="11" t="n">
        <v>1.2247029157699902</v>
      </c>
      <c r="AR131" s="11" t="n">
        <v>1.1136940657346173</v>
      </c>
      <c r="AS131" s="11" t="n">
        <f>IF(AND(COUNT(I131:K131,AP131:AR131)=6,MIN(AP131:AR131)&gt;0),I131/7/AP131*0.5+J131/14/AQ131*0.3+K131/30/AR131*0.2,"")</f>
        <v>0.03545520787437152</v>
      </c>
      <c r="AT131" s="8" t="n">
        <v>13</v>
      </c>
      <c r="AU131" s="8" t="n">
        <v>0</v>
      </c>
      <c r="AV131" s="8" t="n">
        <v>88</v>
      </c>
      <c r="AW131" s="11" t="n">
        <f>IF(AND(COUNT(AT131:AV131)=3,AT131&gt;=AU131,AU131&gt;=0,AV131&gt;0),(AT131-AU131)/AV131,"")</f>
        <v>0.14772727272727273</v>
      </c>
      <c r="AX131" s="8" t="n">
        <v>35</v>
      </c>
      <c r="AY131" s="8" t="n">
        <v>0</v>
      </c>
      <c r="AZ131" s="8" t="n">
        <v>178</v>
      </c>
      <c r="BA131" s="11" t="n">
        <f>IF(AND(COUNT(AX131:AZ131)=3,AX131&gt;=AY131,AY131&gt;=0,AZ131&gt;0),(AX131-AY131)/AZ131,"")</f>
        <v>0.19662921348314608</v>
      </c>
      <c r="BB131" s="8" t="n">
        <f>IF(COUNT(AS131,AW131,BA131)=3,1,0)</f>
        <v>1</v>
      </c>
      <c r="BC131" s="11" t="n">
        <f>IF(SUMIF($AO$11:$AO$1309,AO131,$BB$11:$BB$1309)=COUNTIF($AO$11:$AO$1309,AO131),SUMIF($AO$11:$AO$1309,AO131,$AS$11:$AS$1309),"")</f>
        <v>0.8439809959730303</v>
      </c>
      <c r="BD131" s="11" t="n">
        <f>IF(SUMIF($AO$11:$AO$1309,AO131,$BB$11:$BB$1309)=COUNTIF($AO$11:$AO$1309,AO131),SUMIF($AO$11:$AO$1309,AO131,$AW$11:$AW$1309),"")</f>
        <v>0.8696244248227831</v>
      </c>
      <c r="BE131" s="11" t="n">
        <f>IF(SUMIF($AO$11:$AO$1309,AO131,$BB$11:$BB$1309)=COUNTIF($AO$11:$AO$1309,AO131),SUMIF($AO$11:$AO$1309,AO131,$BA$11:$BA$1309),"")</f>
        <v>1.2057704654895667</v>
      </c>
      <c r="BF131" s="12" t="n">
        <f>IF(COUNT(BD131:BE131)&lt;&gt;2,"",IF(AND(BD131&gt;0,BE131&gt;0),0.7*AW131/BD131+0.3*BA131/BE131,IF(BD131&gt;0,AW131/BD131,IF(BE131&gt;0,BA131/BE131,IF(AND(ISNUMBER(BH131),BH131=0),0,"")))))</f>
        <v>0.16783440884149545</v>
      </c>
      <c r="BG131" s="11" t="n">
        <f>IF(AND(COUNT(BN131:BU131)=8,MIN(BN131:BU131)&gt;=0),SUMPRODUCT(BN131:BQ131,BR131:BU131),"")</f>
        <v>73.80791239847399</v>
      </c>
      <c r="BH131" s="11" t="n">
        <f>IF(COUNT(BC131,BG131)=2,BC131*BG131,"")</f>
        <v>62.29247541675425</v>
      </c>
      <c r="BI131" s="11" t="n">
        <f>IF(ISNUMBER(CI131),CI131,"")</f>
        <v>10.454820786844339</v>
      </c>
      <c r="BJ131" s="8" t="str">
        <v>低销提醒依据不完整</v>
      </c>
      <c r="BK131" s="8" t="str">
        <v>90天：2026-07-20 至 2026-10-17；180天：2026-04-21 至 2026-10-17</v>
      </c>
      <c r="BL131" s="8" t="str">
        <v>90天：2026-10-06、2026-10-07；180天：2026-10-06、2026-10-07</v>
      </c>
      <c r="BM131" s="8" t="str">
        <v>2026-10：12天 × 1.2247029157699902；2026-11：30天 × 0.8332682139098497；2026-12：31天 × 0.5511018253564084；2027-01：17天 × 1.0017220238758797</v>
      </c>
      <c r="BN131" s="11" t="n">
        <v>1.2247029157699902</v>
      </c>
      <c r="BO131" s="11" t="n">
        <v>0.8332682139098497</v>
      </c>
      <c r="BP131" s="11" t="n">
        <v>0.5511018253564084</v>
      </c>
      <c r="BQ131" s="11" t="n">
        <v>1.0017220238758797</v>
      </c>
      <c r="BR131" s="8" t="n">
        <v>12</v>
      </c>
      <c r="BS131" s="8" t="n">
        <v>30</v>
      </c>
      <c r="BT131" s="8" t="n">
        <v>31</v>
      </c>
      <c r="BU131" s="8" t="n">
        <v>17</v>
      </c>
      <c r="BV131" s="11" t="n">
        <f>IF(COUNT(BC131,BF131)=2,BC131*BF131,"")</f>
        <v>0.1416490515325901</v>
      </c>
      <c r="BW131" s="11" t="n">
        <f>IF(ISNUMBER(BN131),BN131,"")</f>
        <v>1.2247029157699902</v>
      </c>
      <c r="BX131" s="14" t="n">
        <f>IF(ISNUMBER(BR131),BR131,"")</f>
        <v>12</v>
      </c>
      <c r="BY131" s="13" t="n">
        <f>IF(AND(COUNT(BV131,BW131,BX131)=3,MIN(BV131,BW131,BX131)&gt;=0),BV131*BW131*BX131,"")</f>
        <v>2.081736077136201</v>
      </c>
      <c r="BZ131" s="11" t="n">
        <f>IF(ISNUMBER(BO131),BO131,"")</f>
        <v>0.8332682139098497</v>
      </c>
      <c r="CA131" s="14" t="n">
        <f>IF(ISNUMBER(BS131),BS131,"")</f>
        <v>30</v>
      </c>
      <c r="CB131" s="13" t="n">
        <f>IF(AND(COUNT(BV131,BZ131,CA131)=3,MIN(BV131,BZ131,CA131)&gt;=0),BV131*BZ131*CA131,"")</f>
        <v>3.5409495651775686</v>
      </c>
      <c r="CC131" s="11" t="n">
        <f>IF(ISNUMBER(BP131),BP131,"")</f>
        <v>0.5511018253564084</v>
      </c>
      <c r="CD131" s="14" t="n">
        <f>IF(ISNUMBER(BT131),BT131,"")</f>
        <v>31</v>
      </c>
      <c r="CE131" s="13" t="n">
        <f>IF(AND(COUNT(BV131,CC131,CD131)=3,MIN(BV131,CC131,CD131)&gt;=0),BV131*CC131*CD131,"")</f>
        <v>2.419954576648045</v>
      </c>
      <c r="CF131" s="11" t="n">
        <f>IF(ISNUMBER(BQ131),BQ131,"")</f>
        <v>1.0017220238758797</v>
      </c>
      <c r="CG131" s="14" t="n">
        <f>IF(ISNUMBER(BU131),BU131,"")</f>
        <v>17</v>
      </c>
      <c r="CH131" s="13" t="n">
        <f>IF(AND(COUNT(BV131,CF131,CG131)=3,MIN(BV131,CF131,CG131)&gt;=0),BV131*CF131*CG131,"")</f>
        <v>2.412180567882524</v>
      </c>
      <c r="CI131" s="13" t="n">
        <f>IF(COUNT(BY131,CB131,CE131,CH131)=4,SUM(BY131,CB131,CE131,CH131),"")</f>
        <v>10.454820786844339</v>
      </c>
    </row>
    <row r="132" ht="72" customHeight="1">
      <c r="A132" s="16" t="str">
        <v>B06b-NU-41.5</v>
      </c>
      <c r="B132" s="16" t="str">
        <v>1店-MUSSHOE-US</v>
      </c>
      <c r="C132" s="16" t="str">
        <v>艾年</v>
      </c>
      <c r="D132" s="26" t="n">
        <f>IF(NOT(ISNUMBER(E132)),"",IF(OR(E132&lt;=0,L132=0),0,IF(OR(NOT(ISNUMBER(F132)),F132&lt;0),"",MIN(E132,INT(F132)))))</f>
        <v>10</v>
      </c>
      <c r="E132" s="27" t="n">
        <f>IF(OR(NOT(ISNUMBER(L132)),COUNT(M132:O132)&lt;&gt;3,MIN(M132:O132)&lt;0),"",ROUNDUP(ROUND(BI132-SUM(M132:O132),10),0))</f>
        <v>10</v>
      </c>
      <c r="F132" s="28" t="n">
        <v>10</v>
      </c>
      <c r="G132" s="28" t="n">
        <f>IF(AND(ISNUMBER(D132),ISNUMBER(E132)),IF(OR(E132&lt;=0,L132=0),0,E132-D132),"")</f>
        <v>0</v>
      </c>
      <c r="H132" s="16" t="str">
        <f>IF(NOT(ISNUMBER(E132)),"销量或海外库存待补",IF(OR(E132&lt;=0,L132=0),IF(L132=0,"零日销，本批不发","本批无需补货"),IF(NOT(ISNUMBER(D132)),"国内库存待补",IF(D132=0,"国内无可用库存",IF(G132&gt;0,"先发国内现货","按建议量发货")))))</f>
        <v>按建议量发货</v>
      </c>
      <c r="I132" s="28" t="n">
        <f>IF(AND(COUNT(Z132,AA132,AB132)=3,Z132&gt;=AA132,AA132&gt;=0,AB132=7),Z132-AA132,"")</f>
        <v>0</v>
      </c>
      <c r="J132" s="28" t="n">
        <f>IF(AND(COUNT(AF132,AG132,AH132)=3,AF132&gt;=AG132,AG132&gt;=0,AH132=14),AF132-AG132,"")</f>
        <v>1</v>
      </c>
      <c r="K132" s="28" t="n">
        <f>IF(AND(COUNT(AL132,AM132,AN132)=3,AL132&gt;=AM132,AM132&gt;=0,AN132=30),AL132-AM132,"")</f>
        <v>2</v>
      </c>
      <c r="L132" s="29" t="n">
        <f>IF(ISNUMBER(BI132),BI132/90,"")</f>
        <v>0.11093931527157805</v>
      </c>
      <c r="M132" s="28" t="n">
        <v>0</v>
      </c>
      <c r="N132" s="28" t="n">
        <v>0</v>
      </c>
      <c r="O132" s="28" t="n">
        <v>0</v>
      </c>
      <c r="P132" s="30" t="n">
        <f>IF(AND(ISNUMBER(L132),L132&gt;0,COUNT(M132:O132)=3,MIN(M132:O132)&gt;=0),SUM(M132:O132)/L132,"")</f>
        <v>0</v>
      </c>
      <c r="Q132" s="16" t="str">
        <v>沿用原计划SKU店铺</v>
      </c>
      <c r="R132" s="16" t="str">
        <v>已匹配</v>
      </c>
      <c r="S132" s="16" t="str">
        <v>停售</v>
      </c>
      <c r="T132" s="16" t="str">
        <v>B06b</v>
      </c>
      <c r="U132" s="16" t="str">
        <v>裸色羊京绒</v>
      </c>
      <c r="V132" s="16" t="n">
        <v>10.5</v>
      </c>
      <c r="W132" s="8" t="str">
        <v>2026-10-08 至 2026-10-17</v>
      </c>
      <c r="X132" s="8" t="str">
        <v>2026-10-08、2026-10-09、2026-10-10、2026-10-11、2026-10-14、2026-10-15、2026-10-17</v>
      </c>
      <c r="Y132" s="8" t="str">
        <v>2026-10-12 有记录的停售日；2026-10-13 有记录的停售日；2026-10-16 有记录的停售日</v>
      </c>
      <c r="Z132" s="8" t="n">
        <v>0</v>
      </c>
      <c r="AA132" s="8" t="n">
        <v>0</v>
      </c>
      <c r="AB132" s="8" t="n">
        <v>7</v>
      </c>
      <c r="AC132" s="8" t="str">
        <v>2026-09-29 至 2026-10-17</v>
      </c>
      <c r="AD132" s="8" t="str">
        <v>2026-09-29、2026-09-30、2026-10-01、2026-10-02、2026-10-03、2026-10-04、2026-10-05、2026-10-08、2026-10-09、2026-10-10、2026-10-11、2026-10-14、2026-10-15、2026-10-17</v>
      </c>
      <c r="AE132" s="8" t="str">
        <v>2026-10-06 大促；2026-10-07 大促；2026-10-12 有记录的停售日；2026-10-13 有记录的停售日；2026-10-16 有记录的停售日</v>
      </c>
      <c r="AF132" s="8" t="n">
        <v>1</v>
      </c>
      <c r="AG132" s="8" t="n">
        <v>0</v>
      </c>
      <c r="AH132" s="8" t="n">
        <v>14</v>
      </c>
      <c r="AI132" s="8" t="str">
        <v>2026-09-13 至 2026-10-17</v>
      </c>
      <c r="AJ13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32" s="8" t="str">
        <v>2026-10-06 大促；2026-10-07 大促；2026-10-12 有记录的停售日；2026-10-13 有记录的停售日；2026-10-16 有记录的停售日</v>
      </c>
      <c r="AL132" s="8" t="n">
        <v>2</v>
      </c>
      <c r="AM132" s="8" t="n">
        <v>0</v>
      </c>
      <c r="AN132" s="8" t="n">
        <v>30</v>
      </c>
      <c r="AO132" s="8" t="str">
        <v>B06b / 裸色羊京绒 / 13120</v>
      </c>
      <c r="AP132" s="11" t="n">
        <v>1.1090677182221615</v>
      </c>
      <c r="AQ132" s="11" t="n">
        <v>1.0637680334742425</v>
      </c>
      <c r="AR132" s="11" t="n">
        <v>0.9188090422809019</v>
      </c>
      <c r="AS132" s="11" t="n">
        <f>IF(AND(COUNT(I132:K132,AP132:AR132)=6,MIN(AP132:AR132)&gt;0),I132/7/AP132*0.5+J132/14/AQ132*0.3+K132/30/AR132*0.2,"")</f>
        <v>0.03465556556409818</v>
      </c>
      <c r="AT132" s="8" t="n">
        <v>11</v>
      </c>
      <c r="AU132" s="8" t="n">
        <v>0</v>
      </c>
      <c r="AV132" s="8" t="n">
        <v>85</v>
      </c>
      <c r="AW132" s="11" t="n">
        <f>IF(AND(COUNT(AT132:AV132)=3,AT132&gt;=AU132,AU132&gt;=0,AV132&gt;0),(AT132-AU132)/AV132,"")</f>
        <v>0.12941176470588237</v>
      </c>
      <c r="AX132" s="8" t="n">
        <v>29</v>
      </c>
      <c r="AY132" s="8" t="n">
        <v>0</v>
      </c>
      <c r="AZ132" s="8" t="n">
        <v>175</v>
      </c>
      <c r="BA132" s="11" t="n">
        <f>IF(AND(COUNT(AX132:AZ132)=3,AX132&gt;=AY132,AY132&gt;=0,AZ132&gt;0),(AX132-AY132)/AZ132,"")</f>
        <v>0.1657142857142857</v>
      </c>
      <c r="BB132" s="8" t="n">
        <f>IF(COUNT(AS132,AW132,BA132)=3,1,0)</f>
        <v>1</v>
      </c>
      <c r="BC132" s="11" t="n">
        <f>IF(SUMIF($AO$11:$AO$1309,AO132,$BB$11:$BB$1309)=COUNTIF($AO$11:$AO$1309,AO132),SUMIF($AO$11:$AO$1309,AO132,$AS$11:$AS$1309),"")</f>
        <v>2.689755745741675</v>
      </c>
      <c r="BD132" s="11" t="n">
        <f>IF(SUMIF($AO$11:$AO$1309,AO132,$BB$11:$BB$1309)=COUNTIF($AO$11:$AO$1309,AO132),SUMIF($AO$11:$AO$1309,AO132,$AW$11:$AW$1309),"")</f>
        <v>3.684342922121827</v>
      </c>
      <c r="BE132" s="11" t="n">
        <f>IF(SUMIF($AO$11:$AO$1309,AO132,$BB$11:$BB$1309)=COUNTIF($AO$11:$AO$1309,AO132),SUMIF($AO$11:$AO$1309,AO132,$BA$11:$BA$1309),"")</f>
        <v>3.3812436633385023</v>
      </c>
      <c r="BF132" s="12" t="n">
        <f>IF(COUNT(BD132:BE132)&lt;&gt;2,"",IF(AND(BD132&gt;0,BE132&gt;0),0.7*AW132/BD132+0.3*BA132/BE132,IF(BD132&gt;0,AW132/BD132,IF(BE132&gt;0,BA132/BE132,IF(AND(ISNUMBER(BH132),BH132=0),0,"")))))</f>
        <v>0.03929031035715595</v>
      </c>
      <c r="BG132" s="11" t="n">
        <f>IF(AND(COUNT(BN132:BU132)=8,MIN(BN132:BU132)&gt;=0),SUMPRODUCT(BN132:BQ132,BR132:BU132),"")</f>
        <v>94.47778160343367</v>
      </c>
      <c r="BH132" s="11" t="n">
        <f>IF(COUNT(BC132,BG132)=2,BC132*BG132,"")</f>
        <v>254.12215591276282</v>
      </c>
      <c r="BI132" s="11" t="n">
        <f>IF(ISNUMBER(CI132),CI132,"")</f>
        <v>9.984538374442025</v>
      </c>
      <c r="BJ132" s="8" t="str"/>
      <c r="BK132" s="8" t="str">
        <v>90天：2026-07-20 至 2026-10-17；180天：2026-04-21 至 2026-10-17</v>
      </c>
      <c r="BL132" s="8" t="str">
        <v>90天：2026-10-06、2026-10-07、2026-10-12、2026-10-13、2026-10-16；180天：2026-10-06、2026-10-07、2026-10-12、2026-10-13、2026-10-16</v>
      </c>
      <c r="BM132" s="8" t="str">
        <v>2026-10：12天 × 1.1090677182221615；2026-11：30天 × 1.0372741535934282；2026-12：31天 × 0.979949351738161；2027-01：17天 × 1.1571949690048173</v>
      </c>
      <c r="BN132" s="11" t="n">
        <v>1.1090677182221615</v>
      </c>
      <c r="BO132" s="11" t="n">
        <v>1.0372741535934282</v>
      </c>
      <c r="BP132" s="11" t="n">
        <v>0.979949351738161</v>
      </c>
      <c r="BQ132" s="11" t="n">
        <v>1.1571949690048173</v>
      </c>
      <c r="BR132" s="8" t="n">
        <v>12</v>
      </c>
      <c r="BS132" s="8" t="n">
        <v>30</v>
      </c>
      <c r="BT132" s="8" t="n">
        <v>31</v>
      </c>
      <c r="BU132" s="8" t="n">
        <v>17</v>
      </c>
      <c r="BV132" s="11" t="n">
        <f>IF(COUNT(BC132,BF132)=2,BC132*BF132,"")</f>
        <v>0.10568133803513387</v>
      </c>
      <c r="BW132" s="11" t="n">
        <f>IF(ISNUMBER(BN132),BN132,"")</f>
        <v>1.1090677182221615</v>
      </c>
      <c r="BX132" s="14" t="n">
        <f>IF(ISNUMBER(BR132),BR132,"")</f>
        <v>12</v>
      </c>
      <c r="BY132" s="13" t="n">
        <f>IF(AND(COUNT(BV132,BW132,BX132)=3,MIN(BV132,BW132,BX132)&gt;=0),BV132*BW132*BX132,"")</f>
        <v>1.4064931251994903</v>
      </c>
      <c r="BZ132" s="11" t="n">
        <f>IF(ISNUMBER(BO132),BO132,"")</f>
        <v>1.0372741535934282</v>
      </c>
      <c r="CA132" s="14" t="n">
        <f>IF(ISNUMBER(BS132),BS132,"")</f>
        <v>30</v>
      </c>
      <c r="CB132" s="13" t="n">
        <f>IF(AND(COUNT(BV132,BZ132,CA132)=3,MIN(BV132,BZ132,CA132)&gt;=0),BV132*BZ132*CA132,"")</f>
        <v>3.2886156138304337</v>
      </c>
      <c r="CC132" s="11" t="n">
        <f>IF(ISNUMBER(BP132),BP132,"")</f>
        <v>0.979949351738161</v>
      </c>
      <c r="CD132" s="14" t="n">
        <f>IF(ISNUMBER(BT132),BT132,"")</f>
        <v>31</v>
      </c>
      <c r="CE132" s="13" t="n">
        <f>IF(AND(COUNT(BV132,CC132,CD132)=3,MIN(BV132,CC132,CD132)&gt;=0),BV132*CC132*CD132,"")</f>
        <v>3.2104331196488776</v>
      </c>
      <c r="CF132" s="11" t="n">
        <f>IF(ISNUMBER(BQ132),BQ132,"")</f>
        <v>1.1571949690048173</v>
      </c>
      <c r="CG132" s="14" t="n">
        <f>IF(ISNUMBER(BU132),BU132,"")</f>
        <v>17</v>
      </c>
      <c r="CH132" s="13" t="n">
        <f>IF(AND(COUNT(BV132,CF132,CG132)=3,MIN(BV132,CF132,CG132)&gt;=0),BV132*CF132*CG132,"")</f>
        <v>2.078996515763224</v>
      </c>
      <c r="CI132" s="13" t="n">
        <f>IF(COUNT(BY132,CB132,CE132,CH132)=4,SUM(BY132,CB132,CE132,CH132),"")</f>
        <v>9.984538374442025</v>
      </c>
    </row>
    <row r="133" ht="72" customHeight="1">
      <c r="A133" s="16" t="str">
        <v>B07-BK-V-0-42</v>
      </c>
      <c r="B133" s="16" t="str">
        <v>4店-彬郁-US</v>
      </c>
      <c r="C133" s="16" t="str">
        <v>艾年</v>
      </c>
      <c r="D133" s="26" t="n">
        <f>IF(NOT(ISNUMBER(E133)),"",IF(OR(E133&lt;=0,L133=0),0,IF(OR(NOT(ISNUMBER(F133)),F133&lt;0),"",MIN(E133,INT(F133)))))</f>
        <v>10</v>
      </c>
      <c r="E133" s="27" t="n">
        <f>IF(OR(NOT(ISNUMBER(L133)),COUNT(M133:O133)&lt;&gt;3,MIN(M133:O133)&lt;0),"",ROUNDUP(ROUND(BI133-SUM(M133:O133),10),0))</f>
        <v>10</v>
      </c>
      <c r="F133" s="28" t="n">
        <v>52</v>
      </c>
      <c r="G133" s="28" t="n">
        <f>IF(AND(ISNUMBER(D133),ISNUMBER(E133)),IF(OR(E133&lt;=0,L133=0),0,E133-D133),"")</f>
        <v>0</v>
      </c>
      <c r="H133" s="16" t="str">
        <f>IF(NOT(ISNUMBER(E133)),"销量或海外库存待补",IF(OR(E133&lt;=0,L133=0),IF(L133=0,"零日销，本批不发","本批无需补货"),IF(NOT(ISNUMBER(D133)),"国内库存待补",IF(D133=0,"国内无可用库存",IF(G133&gt;0,"先发国内现货","按建议量发货")))))</f>
        <v>按建议量发货</v>
      </c>
      <c r="I133" s="28" t="n">
        <f>IF(AND(COUNT(Z133,AA133,AB133)=3,Z133&gt;=AA133,AA133&gt;=0,AB133=7),Z133-AA133,"")</f>
        <v>3</v>
      </c>
      <c r="J133" s="28" t="n">
        <f>IF(AND(COUNT(AF133,AG133,AH133)=3,AF133&gt;=AG133,AG133&gt;=0,AH133=14),AF133-AG133,"")</f>
        <v>4</v>
      </c>
      <c r="K133" s="28" t="n">
        <f>IF(AND(COUNT(AL133,AM133,AN133)=3,AL133&gt;=AM133,AM133&gt;=0,AN133=30),AL133-AM133,"")</f>
        <v>6</v>
      </c>
      <c r="L133" s="29" t="n">
        <f>IF(ISNUMBER(BI133),BI133/90,"")</f>
        <v>0.31053225263597223</v>
      </c>
      <c r="M133" s="28" t="n">
        <v>10</v>
      </c>
      <c r="N133" s="28" t="n">
        <v>0</v>
      </c>
      <c r="O133" s="28" t="n">
        <v>8</v>
      </c>
      <c r="P133" s="30" t="n">
        <f>IF(AND(ISNUMBER(L133),L133&gt;0,COUNT(M133:O133)=3,MIN(M133:O133)&gt;=0),SUM(M133:O133)/L133,"")</f>
        <v>57.964993482016396</v>
      </c>
      <c r="Q133" s="16" t="str">
        <v>沿用原计划SKU店铺</v>
      </c>
      <c r="R133" s="16" t="str">
        <v>已匹配</v>
      </c>
      <c r="S133" s="16" t="str">
        <v>在售</v>
      </c>
      <c r="T133" s="16" t="str">
        <v>B07</v>
      </c>
      <c r="U133" s="16" t="str">
        <v>黑色天鹅绒</v>
      </c>
      <c r="V133" s="16" t="n">
        <v>11</v>
      </c>
      <c r="W133" s="8" t="str">
        <v>2026-10-11 至 2026-10-17</v>
      </c>
      <c r="X133" s="8" t="str">
        <v>2026-10-11、2026-10-12、2026-10-13、2026-10-14、2026-10-15、2026-10-16、2026-10-17</v>
      </c>
      <c r="Y133" s="8" t="str">
        <v>无</v>
      </c>
      <c r="Z133" s="8" t="n">
        <v>3</v>
      </c>
      <c r="AA133" s="8" t="n">
        <v>0</v>
      </c>
      <c r="AB133" s="8" t="n">
        <v>7</v>
      </c>
      <c r="AC133" s="8" t="str">
        <v>2026-10-02 至 2026-10-17</v>
      </c>
      <c r="AD133" s="8" t="str">
        <v>2026-10-02、2026-10-03、2026-10-04、2026-10-05、2026-10-08、2026-10-09、2026-10-10、2026-10-11、2026-10-12、2026-10-13、2026-10-14、2026-10-15、2026-10-16、2026-10-17</v>
      </c>
      <c r="AE133" s="8" t="str">
        <v>2026-10-06 大促；2026-10-07 大促</v>
      </c>
      <c r="AF133" s="8" t="n">
        <v>6</v>
      </c>
      <c r="AG133" s="8" t="n">
        <v>2</v>
      </c>
      <c r="AH133" s="8" t="n">
        <v>14</v>
      </c>
      <c r="AI133" s="8" t="str">
        <v>2026-09-16 至 2026-10-17</v>
      </c>
      <c r="AJ1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3" s="8" t="str">
        <v>2026-10-06 大促；2026-10-07 大促</v>
      </c>
      <c r="AL133" s="8" t="n">
        <v>8</v>
      </c>
      <c r="AM133" s="8" t="n">
        <v>2</v>
      </c>
      <c r="AN133" s="8" t="n">
        <v>30</v>
      </c>
      <c r="AO133" s="8" t="str">
        <v>B07 / 黑色天鹅绒 / 13306</v>
      </c>
      <c r="AP133" s="11" t="n">
        <v>0.7307750238224848</v>
      </c>
      <c r="AQ133" s="11" t="n">
        <v>0.7307750238224848</v>
      </c>
      <c r="AR133" s="11" t="n">
        <v>0.7449809054134506</v>
      </c>
      <c r="AS133" s="11" t="n">
        <f>IF(AND(COUNT(I133:K133,AP133:AR133)=6,MIN(AP133:AR133)&gt;0),I133/7/AP133*0.5+J133/14/AQ133*0.3+K133/30/AR133*0.2,"")</f>
        <v>0.46421571276270385</v>
      </c>
      <c r="AT133" s="8" t="n">
        <v>18</v>
      </c>
      <c r="AU133" s="8" t="n">
        <v>2</v>
      </c>
      <c r="AV133" s="8" t="n">
        <v>88</v>
      </c>
      <c r="AW133" s="11" t="n">
        <f>IF(AND(COUNT(AT133:AV133)=3,AT133&gt;=AU133,AU133&gt;=0,AV133&gt;0),(AT133-AU133)/AV133,"")</f>
        <v>0.18181818181818182</v>
      </c>
      <c r="AX133" s="8" t="n">
        <v>27</v>
      </c>
      <c r="AY133" s="8" t="n">
        <v>2</v>
      </c>
      <c r="AZ133" s="8" t="n">
        <v>178</v>
      </c>
      <c r="BA133" s="11" t="n">
        <f>IF(AND(COUNT(AX133:AZ133)=3,AX133&gt;=AY133,AY133&gt;=0,AZ133&gt;0),(AX133-AY133)/AZ133,"")</f>
        <v>0.1404494382022472</v>
      </c>
      <c r="BB133" s="8" t="n">
        <f>IF(COUNT(AS133,AW133,BA133)=3,1,0)</f>
        <v>1</v>
      </c>
      <c r="BC133" s="11" t="n">
        <f>IF(SUMIF($AO$11:$AO$1309,AO133,$BB$11:$BB$1309)=COUNTIF($AO$11:$AO$1309,AO133),SUMIF($AO$11:$AO$1309,AO133,$AS$11:$AS$1309),"")</f>
        <v>11.92937132043239</v>
      </c>
      <c r="BD133" s="11" t="n">
        <f>IF(SUMIF($AO$11:$AO$1309,AO133,$BB$11:$BB$1309)=COUNTIF($AO$11:$AO$1309,AO133),SUMIF($AO$11:$AO$1309,AO133,$AW$11:$AW$1309),"")</f>
        <v>5.794919786096258</v>
      </c>
      <c r="BE133" s="11" t="n">
        <f>IF(SUMIF($AO$11:$AO$1309,AO133,$BB$11:$BB$1309)=COUNTIF($AO$11:$AO$1309,AO133),SUMIF($AO$11:$AO$1309,AO133,$BA$11:$BA$1309),"")</f>
        <v>5.3098234349919755</v>
      </c>
      <c r="BF133" s="12" t="n">
        <f>IF(COUNT(BD133:BE133)&lt;&gt;2,"",IF(AND(BD133&gt;0,BE133&gt;0),0.7*AW133/BD133+0.3*BA133/BE133,IF(BD133&gt;0,AW133/BD133,IF(BE133&gt;0,BA133/BE133,IF(AND(ISNUMBER(BH133),BH133=0),0,"")))))</f>
        <v>0.0298980712378973</v>
      </c>
      <c r="BG133" s="11" t="n">
        <f>IF(AND(COUNT(BN133:BU133)=8,MIN(BN133:BU133)&gt;=0),SUMPRODUCT(BN133:BQ133,BR133:BU133),"")</f>
        <v>78.35892944347341</v>
      </c>
      <c r="BH133" s="11" t="n">
        <f>IF(COUNT(BC133,BG133)=2,BC133*BG133,"")</f>
        <v>934.7727656027569</v>
      </c>
      <c r="BI133" s="11" t="n">
        <f>IF(ISNUMBER(CI133),CI133,"")</f>
        <v>27.9479027372375</v>
      </c>
      <c r="BJ133" s="8" t="str">
        <v>低销提醒依据不完整</v>
      </c>
      <c r="BK133" s="8" t="str">
        <v>90天：2026-07-20 至 2026-10-17；180天：2026-04-21 至 2026-10-17</v>
      </c>
      <c r="BL133" s="8" t="str">
        <v>90天：2026-10-06、2026-10-07；180天：2026-10-06、2026-10-07</v>
      </c>
      <c r="BM133" s="8" t="str">
        <v>2026-10：12天 × 0.7307750238224848；2026-11：30天 × 0.9523018155490097；2026-12：31天 × 0.5958545198749097；2027-01：17天 × 1.3264167397065354</v>
      </c>
      <c r="BN133" s="11" t="n">
        <v>0.7307750238224848</v>
      </c>
      <c r="BO133" s="11" t="n">
        <v>0.9523018155490097</v>
      </c>
      <c r="BP133" s="11" t="n">
        <v>0.5958545198749097</v>
      </c>
      <c r="BQ133" s="11" t="n">
        <v>1.3264167397065354</v>
      </c>
      <c r="BR133" s="8" t="n">
        <v>12</v>
      </c>
      <c r="BS133" s="8" t="n">
        <v>30</v>
      </c>
      <c r="BT133" s="8" t="n">
        <v>31</v>
      </c>
      <c r="BU133" s="8" t="n">
        <v>17</v>
      </c>
      <c r="BV133" s="11" t="n">
        <f>IF(COUNT(BC133,BF133)=2,BC133*BF133,"")</f>
        <v>0.3566651935616166</v>
      </c>
      <c r="BW133" s="11" t="n">
        <f>IF(ISNUMBER(BN133),BN133,"")</f>
        <v>0.7307750238224848</v>
      </c>
      <c r="BX133" s="14" t="n">
        <f>IF(ISNUMBER(BR133),BR133,"")</f>
        <v>12</v>
      </c>
      <c r="BY133" s="13" t="n">
        <f>IF(AND(COUNT(BV133,BW133,BX133)=3,MIN(BV133,BW133,BX133)&gt;=0),BV133*BW133*BX133,"")</f>
        <v>3.1277041838596977</v>
      </c>
      <c r="BZ133" s="11" t="n">
        <f>IF(ISNUMBER(BO133),BO133,"")</f>
        <v>0.9523018155490097</v>
      </c>
      <c r="CA133" s="14" t="n">
        <f>IF(ISNUMBER(BS133),BS133,"")</f>
        <v>30</v>
      </c>
      <c r="CB133" s="13" t="n">
        <f>IF(AND(COUNT(BV133,BZ133,CA133)=3,MIN(BV133,BZ133,CA133)&gt;=0),BV133*BZ133*CA133,"")</f>
        <v>10.189587341155994</v>
      </c>
      <c r="CC133" s="11" t="n">
        <f>IF(ISNUMBER(BP133),BP133,"")</f>
        <v>0.5958545198749097</v>
      </c>
      <c r="CD133" s="14" t="n">
        <f>IF(ISNUMBER(BT133),BT133,"")</f>
        <v>31</v>
      </c>
      <c r="CE133" s="13" t="n">
        <f>IF(AND(COUNT(BV133,CC133,CD133)=3,MIN(BV133,CC133,CD133)&gt;=0),BV133*CC133*CD133,"")</f>
        <v>6.588137597638212</v>
      </c>
      <c r="CF133" s="11" t="n">
        <f>IF(ISNUMBER(BQ133),BQ133,"")</f>
        <v>1.3264167397065354</v>
      </c>
      <c r="CG133" s="14" t="n">
        <f>IF(ISNUMBER(BU133),BU133,"")</f>
        <v>17</v>
      </c>
      <c r="CH133" s="13" t="n">
        <f>IF(AND(COUNT(BV133,CF133,CG133)=3,MIN(BV133,CF133,CG133)&gt;=0),BV133*CF133*CG133,"")</f>
        <v>8.042473614583598</v>
      </c>
      <c r="CI133" s="13" t="n">
        <f>IF(COUNT(BY133,CB133,CE133,CH133)=4,SUM(BY133,CB133,CE133,CH133),"")</f>
        <v>27.9479027372375</v>
      </c>
    </row>
    <row r="134" ht="72" customHeight="1">
      <c r="A134" s="16" t="str">
        <v>2302153-BK-S-Z-11</v>
      </c>
      <c r="B134" s="16" t="str">
        <v>3店-SANDIEX-US</v>
      </c>
      <c r="C134" s="16" t="str">
        <v>徐新怡</v>
      </c>
      <c r="D134" s="26" t="n">
        <f>IF(NOT(ISNUMBER(E134)),"",IF(OR(E134&lt;=0,L134=0),0,IF(OR(NOT(ISNUMBER(F134)),F134&lt;0),"",MIN(E134,INT(F134)))))</f>
        <v>9</v>
      </c>
      <c r="E134" s="27" t="n">
        <f>IF(OR(NOT(ISNUMBER(L134)),COUNT(M134:O134)&lt;&gt;3,MIN(M134:O134)&lt;0),"",ROUNDUP(ROUND(BI134-SUM(M134:O134),10),0))</f>
        <v>20</v>
      </c>
      <c r="F134" s="28" t="n">
        <v>9</v>
      </c>
      <c r="G134" s="28" t="n">
        <f>IF(AND(ISNUMBER(D134),ISNUMBER(E134)),IF(OR(E134&lt;=0,L134=0),0,E134-D134),"")</f>
        <v>11</v>
      </c>
      <c r="H134" s="16" t="str">
        <f>IF(NOT(ISNUMBER(E134)),"销量或海外库存待补",IF(OR(E134&lt;=0,L134=0),IF(L134=0,"零日销，本批不发","本批无需补货"),IF(NOT(ISNUMBER(D134)),"国内库存待补",IF(D134=0,"国内无可用库存",IF(G134&gt;0,"先发国内现货","按建议量发货")))))</f>
        <v>先发国内现货</v>
      </c>
      <c r="I134" s="28" t="n">
        <f>IF(AND(COUNT(Z134,AA134,AB134)=3,Z134&gt;=AA134,AA134&gt;=0,AB134=7),Z134-AA134,"")</f>
        <v>5</v>
      </c>
      <c r="J134" s="28" t="n">
        <f>IF(AND(COUNT(AF134,AG134,AH134)=3,AF134&gt;=AG134,AG134&gt;=0,AH134=14),AF134-AG134,"")</f>
        <v>16</v>
      </c>
      <c r="K134" s="28" t="n">
        <f>IF(AND(COUNT(AL134,AM134,AN134)=3,AL134&gt;=AM134,AM134&gt;=0,AN134=30),AL134-AM134,"")</f>
        <v>31</v>
      </c>
      <c r="L134" s="29" t="n">
        <f>IF(ISNUMBER(BI134),BI134/90,"")</f>
        <v>0.8438447265048991</v>
      </c>
      <c r="M134" s="28" t="n">
        <v>26</v>
      </c>
      <c r="N134" s="28" t="n">
        <v>0</v>
      </c>
      <c r="O134" s="28" t="n">
        <v>30</v>
      </c>
      <c r="P134" s="30" t="n">
        <f>IF(AND(ISNUMBER(L134),L134&gt;0,COUNT(M134:O134)=3,MIN(M134:O134)&gt;=0),SUM(M134:O134)/L134,"")</f>
        <v>66.36291990819817</v>
      </c>
      <c r="Q134" s="16" t="str">
        <v>沿用原计划SKU店铺</v>
      </c>
      <c r="R134" s="16" t="str">
        <v>已匹配</v>
      </c>
      <c r="S134" s="16" t="str">
        <v>在售</v>
      </c>
      <c r="T134" s="16" t="str">
        <v>2302153</v>
      </c>
      <c r="U134" s="16" t="str">
        <v>黑色</v>
      </c>
      <c r="V134" s="16" t="n">
        <v>11</v>
      </c>
      <c r="W134" s="8" t="str">
        <v>2026-10-11 至 2026-10-17</v>
      </c>
      <c r="X134" s="8" t="str">
        <v>2026-10-11、2026-10-12、2026-10-13、2026-10-14、2026-10-15、2026-10-16、2026-10-17</v>
      </c>
      <c r="Y134" s="8" t="str">
        <v>无</v>
      </c>
      <c r="Z134" s="8" t="n">
        <v>5</v>
      </c>
      <c r="AA134" s="8" t="n">
        <v>0</v>
      </c>
      <c r="AB134" s="8" t="n">
        <v>7</v>
      </c>
      <c r="AC134" s="8" t="str">
        <v>2026-10-02 至 2026-10-17</v>
      </c>
      <c r="AD134" s="8" t="str">
        <v>2026-10-02、2026-10-03、2026-10-04、2026-10-05、2026-10-08、2026-10-09、2026-10-10、2026-10-11、2026-10-12、2026-10-13、2026-10-14、2026-10-15、2026-10-16、2026-10-17</v>
      </c>
      <c r="AE134" s="8" t="str">
        <v>2026-10-06 大促；2026-10-07 大促</v>
      </c>
      <c r="AF134" s="8" t="n">
        <v>20</v>
      </c>
      <c r="AG134" s="8" t="n">
        <v>4</v>
      </c>
      <c r="AH134" s="8" t="n">
        <v>14</v>
      </c>
      <c r="AI134" s="8" t="str">
        <v>2026-09-16 至 2026-10-17</v>
      </c>
      <c r="AJ1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4" s="8" t="str">
        <v>2026-10-06 大促；2026-10-07 大促</v>
      </c>
      <c r="AL134" s="8" t="n">
        <v>35</v>
      </c>
      <c r="AM134" s="8" t="n">
        <v>4</v>
      </c>
      <c r="AN134" s="8" t="n">
        <v>30</v>
      </c>
      <c r="AO134" s="8" t="str">
        <v>2302153 / 黑色羊京绒 / 6574</v>
      </c>
      <c r="AP134" s="11" t="n">
        <v>1.7391279184229513</v>
      </c>
      <c r="AQ134" s="11" t="n">
        <v>1.7391279184229513</v>
      </c>
      <c r="AR134" s="11" t="n">
        <v>1.5731892896917212</v>
      </c>
      <c r="AS134" s="11" t="n">
        <f>IF(AND(COUNT(I134:K134,AP134:AR134)=6,MIN(AP134:AR134)&gt;0),I134/7/AP134*0.5+J134/14/AQ134*0.3+K134/30/AR134*0.2,"")</f>
        <v>0.5338685417362907</v>
      </c>
      <c r="AT134" s="8" t="n">
        <v>77</v>
      </c>
      <c r="AU134" s="8" t="n">
        <v>4</v>
      </c>
      <c r="AV134" s="8" t="n">
        <v>88</v>
      </c>
      <c r="AW134" s="11" t="n">
        <f>IF(AND(COUNT(AT134:AV134)=3,AT134&gt;=AU134,AU134&gt;=0,AV134&gt;0),(AT134-AU134)/AV134,"")</f>
        <v>0.8295454545454546</v>
      </c>
      <c r="AX134" s="8" t="n">
        <v>91</v>
      </c>
      <c r="AY134" s="8" t="n">
        <v>4</v>
      </c>
      <c r="AZ134" s="8" t="n">
        <v>178</v>
      </c>
      <c r="BA134" s="11" t="n">
        <f>IF(AND(COUNT(AX134:AZ134)=3,AX134&gt;=AY134,AY134&gt;=0,AZ134&gt;0),(AX134-AY134)/AZ134,"")</f>
        <v>0.4887640449438202</v>
      </c>
      <c r="BB134" s="8" t="n">
        <f>IF(COUNT(AS134,AW134,BA134)=3,1,0)</f>
        <v>1</v>
      </c>
      <c r="BC134" s="11" t="n">
        <f>IF(SUMIF($AO$11:$AO$1309,AO134,$BB$11:$BB$1309)=COUNTIF($AO$11:$AO$1309,AO134),SUMIF($AO$11:$AO$1309,AO134,$AS$11:$AS$1309),"")</f>
        <v>14.203593194271557</v>
      </c>
      <c r="BD134" s="11" t="n">
        <f>IF(SUMIF($AO$11:$AO$1309,AO134,$BB$11:$BB$1309)=COUNTIF($AO$11:$AO$1309,AO134),SUMIF($AO$11:$AO$1309,AO134,$AW$11:$AW$1309),"")</f>
        <v>15.818181818181818</v>
      </c>
      <c r="BE134" s="11" t="n">
        <f>IF(SUMIF($AO$11:$AO$1309,AO134,$BB$11:$BB$1309)=COUNTIF($AO$11:$AO$1309,AO134),SUMIF($AO$11:$AO$1309,AO134,$BA$11:$BA$1309),"")</f>
        <v>12.07865168539326</v>
      </c>
      <c r="BF134" s="12" t="n">
        <f>IF(COUNT(BD134:BE134)&lt;&gt;2,"",IF(AND(BD134&gt;0,BE134&gt;0),0.7*AW134/BD134+0.3*BA134/BE134,IF(BD134&gt;0,AW134/BD134,IF(BE134&gt;0,BA134/BE134,IF(AND(ISNUMBER(BH134),BH134=0),0,"")))))</f>
        <v>0.04884930499866346</v>
      </c>
      <c r="BG134" s="11" t="n">
        <f>IF(AND(COUNT(BN134:BU134)=8,MIN(BN134:BU134)&gt;=0),SUMPRODUCT(BN134:BQ134,BR134:BU134),"")</f>
        <v>109.4582336985339</v>
      </c>
      <c r="BH134" s="11" t="n">
        <f>IF(COUNT(BC134,BG134)=2,BC134*BG134,"")</f>
        <v>1554.7002232174816</v>
      </c>
      <c r="BI134" s="11" t="n">
        <f>IF(ISNUMBER(CI134),CI134,"")</f>
        <v>75.94602538544092</v>
      </c>
      <c r="BJ134" s="8" t="str"/>
      <c r="BK134" s="8" t="str">
        <v>90天：2026-07-20 至 2026-10-17；180天：2026-04-21 至 2026-10-17</v>
      </c>
      <c r="BL134" s="8" t="str">
        <v>90天：2026-10-06、2026-10-07；180天：2026-10-06、2026-10-07</v>
      </c>
      <c r="BM134" s="8" t="str">
        <v>2026-10：12天 × 1.7391279184229513；2026-11：30天 × 1.4002077845513243；2026-12：31天 × 1.079339935625147；2027-01：17天 × 0.7719368903846591</v>
      </c>
      <c r="BN134" s="11" t="n">
        <v>1.7391279184229513</v>
      </c>
      <c r="BO134" s="11" t="n">
        <v>1.4002077845513243</v>
      </c>
      <c r="BP134" s="11" t="n">
        <v>1.079339935625147</v>
      </c>
      <c r="BQ134" s="11" t="n">
        <v>0.7719368903846591</v>
      </c>
      <c r="BR134" s="8" t="n">
        <v>12</v>
      </c>
      <c r="BS134" s="8" t="n">
        <v>30</v>
      </c>
      <c r="BT134" s="8" t="n">
        <v>31</v>
      </c>
      <c r="BU134" s="8" t="n">
        <v>17</v>
      </c>
      <c r="BV134" s="11" t="n">
        <f>IF(COUNT(BC134,BF134)=2,BC134*BF134,"")</f>
        <v>0.6938356560239118</v>
      </c>
      <c r="BW134" s="11" t="n">
        <f>IF(ISNUMBER(BN134),BN134,"")</f>
        <v>1.7391279184229513</v>
      </c>
      <c r="BX134" s="14" t="n">
        <f>IF(ISNUMBER(BR134),BR134,"")</f>
        <v>12</v>
      </c>
      <c r="BY134" s="13" t="n">
        <f>IF(AND(COUNT(BV134,BW134,BX134)=3,MIN(BV134,BW134,BX134)&gt;=0),BV134*BW134*BX134,"")</f>
        <v>14.480027522261864</v>
      </c>
      <c r="BZ134" s="11" t="n">
        <f>IF(ISNUMBER(BO134),BO134,"")</f>
        <v>1.4002077845513243</v>
      </c>
      <c r="CA134" s="14" t="n">
        <f>IF(ISNUMBER(BS134),BS134,"")</f>
        <v>30</v>
      </c>
      <c r="CB134" s="13" t="n">
        <f>IF(AND(COUNT(BV134,BZ134,CA134)=3,MIN(BV134,BZ134,CA134)&gt;=0),BV134*BZ134*CA134,"")</f>
        <v>29.14542260291869</v>
      </c>
      <c r="CC134" s="11" t="n">
        <f>IF(ISNUMBER(BP134),BP134,"")</f>
        <v>1.079339935625147</v>
      </c>
      <c r="CD134" s="14" t="n">
        <f>IF(ISNUMBER(BT134),BT134,"")</f>
        <v>31</v>
      </c>
      <c r="CE134" s="13" t="n">
        <f>IF(AND(COUNT(BV134,CC134,CD134)=3,MIN(BV134,CC134,CD134)&gt;=0),BV134*CC134*CD134,"")</f>
        <v>23.2154205015257</v>
      </c>
      <c r="CF134" s="11" t="n">
        <f>IF(ISNUMBER(BQ134),BQ134,"")</f>
        <v>0.7719368903846591</v>
      </c>
      <c r="CG134" s="14" t="n">
        <f>IF(ISNUMBER(BU134),BU134,"")</f>
        <v>17</v>
      </c>
      <c r="CH134" s="13" t="n">
        <f>IF(AND(COUNT(BV134,CF134,CG134)=3,MIN(BV134,CF134,CG134)&gt;=0),BV134*CF134*CG134,"")</f>
        <v>9.105154758734674</v>
      </c>
      <c r="CI134" s="13" t="n">
        <f>IF(COUNT(BY134,CB134,CE134,CH134)=4,SUM(BY134,CB134,CE134,CH134),"")</f>
        <v>75.94602538544092</v>
      </c>
    </row>
    <row r="135" ht="72" customHeight="1">
      <c r="A135" s="16" t="str">
        <v>1S01-LMN-41.5</v>
      </c>
      <c r="B135" s="16" t="str">
        <v>3店-SANDIEX-US</v>
      </c>
      <c r="C135" s="16" t="str">
        <v>徐新怡</v>
      </c>
      <c r="D135" s="26" t="n">
        <f>IF(NOT(ISNUMBER(E135)),"",IF(OR(E135&lt;=0,L135=0),0,IF(OR(NOT(ISNUMBER(F135)),F135&lt;0),"",MIN(E135,INT(F135)))))</f>
        <v>9</v>
      </c>
      <c r="E135" s="27" t="n">
        <f>IF(OR(NOT(ISNUMBER(L135)),COUNT(M135:O135)&lt;&gt;3,MIN(M135:O135)&lt;0),"",ROUNDUP(ROUND(BI135-SUM(M135:O135),10),0))</f>
        <v>9</v>
      </c>
      <c r="F135" s="28" t="n">
        <v>19</v>
      </c>
      <c r="G135" s="28" t="n">
        <f>IF(AND(ISNUMBER(D135),ISNUMBER(E135)),IF(OR(E135&lt;=0,L135=0),0,E135-D135),"")</f>
        <v>0</v>
      </c>
      <c r="H135" s="16" t="str">
        <f>IF(NOT(ISNUMBER(E135)),"销量或海外库存待补",IF(OR(E135&lt;=0,L135=0),IF(L135=0,"零日销，本批不发","本批无需补货"),IF(NOT(ISNUMBER(D135)),"国内库存待补",IF(D135=0,"国内无可用库存",IF(G135&gt;0,"先发国内现货","按建议量发货")))))</f>
        <v>按建议量发货</v>
      </c>
      <c r="I135" s="28" t="n">
        <f>IF(AND(COUNT(Z135,AA135,AB135)=3,Z135&gt;=AA135,AA135&gt;=0,AB135=7),Z135-AA135,"")</f>
        <v>1</v>
      </c>
      <c r="J135" s="28" t="n">
        <f>IF(AND(COUNT(AF135,AG135,AH135)=3,AF135&gt;=AG135,AG135&gt;=0,AH135=14),AF135-AG135,"")</f>
        <v>4</v>
      </c>
      <c r="K135" s="28" t="n">
        <f>IF(AND(COUNT(AL135,AM135,AN135)=3,AL135&gt;=AM135,AM135&gt;=0,AN135=30),AL135-AM135,"")</f>
        <v>8</v>
      </c>
      <c r="L135" s="29" t="n">
        <f>IF(ISNUMBER(BI135),BI135/90,"")</f>
        <v>0.1366097004280041</v>
      </c>
      <c r="M135" s="28" t="n">
        <v>4</v>
      </c>
      <c r="N135" s="28" t="n">
        <v>0</v>
      </c>
      <c r="O135" s="28" t="n">
        <v>0</v>
      </c>
      <c r="P135" s="30" t="n">
        <f>IF(AND(ISNUMBER(L135),L135&gt;0,COUNT(M135:O135)=3,MIN(M135:O135)&gt;=0),SUM(M135:O135)/L135,"")</f>
        <v>29.280497559601017</v>
      </c>
      <c r="Q135" s="16" t="str">
        <v>沿用同SPU原计划店铺</v>
      </c>
      <c r="R135" s="16" t="str">
        <v>已匹配</v>
      </c>
      <c r="S135" s="16" t="str">
        <v>在售</v>
      </c>
      <c r="T135" s="16" t="str">
        <v>1S01</v>
      </c>
      <c r="U135" s="16" t="str">
        <v>豹纹</v>
      </c>
      <c r="V135" s="16" t="n">
        <v>10.5</v>
      </c>
      <c r="W135" s="8" t="str">
        <v>2026-10-11 至 2026-10-17</v>
      </c>
      <c r="X135" s="8" t="str">
        <v>2026-10-11、2026-10-12、2026-10-13、2026-10-14、2026-10-15、2026-10-16、2026-10-17</v>
      </c>
      <c r="Y135" s="8" t="str">
        <v>无</v>
      </c>
      <c r="Z135" s="8" t="n">
        <v>1</v>
      </c>
      <c r="AA135" s="8" t="n">
        <v>0</v>
      </c>
      <c r="AB135" s="8" t="n">
        <v>7</v>
      </c>
      <c r="AC135" s="8" t="str">
        <v>2026-10-02 至 2026-10-17</v>
      </c>
      <c r="AD135" s="8" t="str">
        <v>2026-10-02、2026-10-03、2026-10-04、2026-10-05、2026-10-08、2026-10-09、2026-10-10、2026-10-11、2026-10-12、2026-10-13、2026-10-14、2026-10-15、2026-10-16、2026-10-17</v>
      </c>
      <c r="AE135" s="8" t="str">
        <v>2026-10-06 大促；2026-10-07 大促</v>
      </c>
      <c r="AF135" s="8" t="n">
        <v>6</v>
      </c>
      <c r="AG135" s="8" t="n">
        <v>2</v>
      </c>
      <c r="AH135" s="8" t="n">
        <v>14</v>
      </c>
      <c r="AI135" s="8" t="str">
        <v>2026-09-16 至 2026-10-17</v>
      </c>
      <c r="AJ1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5" s="8" t="str">
        <v>2026-10-06 大促；2026-10-07 大促</v>
      </c>
      <c r="AL135" s="8" t="n">
        <v>10</v>
      </c>
      <c r="AM135" s="8" t="n">
        <v>2</v>
      </c>
      <c r="AN135" s="8" t="n">
        <v>30</v>
      </c>
      <c r="AO135" s="8" t="str">
        <v>1S01 / 豹纹羊京绒 / 6574</v>
      </c>
      <c r="AP135" s="11" t="n">
        <v>0.8729500662042875</v>
      </c>
      <c r="AQ135" s="11" t="n">
        <v>0.8729500662042875</v>
      </c>
      <c r="AR135" s="11" t="n">
        <v>1.0921363354767095</v>
      </c>
      <c r="AS135" s="11" t="n">
        <f>IF(AND(COUNT(I135:K135,AP135:AR135)=6,MIN(AP135:AR135)&gt;0),I135/7/AP135*0.5+J135/14/AQ135*0.3+K135/30/AR135*0.2,"")</f>
        <v>0.22884752114438237</v>
      </c>
      <c r="AT135" s="8" t="n">
        <v>11</v>
      </c>
      <c r="AU135" s="8" t="n">
        <v>2</v>
      </c>
      <c r="AV135" s="8" t="n">
        <v>88</v>
      </c>
      <c r="AW135" s="11" t="n">
        <f>IF(AND(COUNT(AT135:AV135)=3,AT135&gt;=AU135,AU135&gt;=0,AV135&gt;0),(AT135-AU135)/AV135,"")</f>
        <v>0.10227272727272728</v>
      </c>
      <c r="AX135" s="8" t="n">
        <v>19</v>
      </c>
      <c r="AY135" s="8" t="n">
        <v>2</v>
      </c>
      <c r="AZ135" s="8" t="n">
        <v>178</v>
      </c>
      <c r="BA135" s="11" t="n">
        <f>IF(AND(COUNT(AX135:AZ135)=3,AX135&gt;=AY135,AY135&gt;=0,AZ135&gt;0),(AX135-AY135)/AZ135,"")</f>
        <v>0.09550561797752809</v>
      </c>
      <c r="BB135" s="8" t="n">
        <f>IF(COUNT(AS135,AW135,BA135)=3,1,0)</f>
        <v>1</v>
      </c>
      <c r="BC135" s="11" t="n">
        <f>IF(SUMIF($AO$11:$AO$1309,AO135,$BB$11:$BB$1309)=COUNTIF($AO$11:$AO$1309,AO135),SUMIF($AO$11:$AO$1309,AO135,$AS$11:$AS$1309),"")</f>
        <v>2.9367051066815764</v>
      </c>
      <c r="BD135" s="11" t="n">
        <f>IF(SUMIF($AO$11:$AO$1309,AO135,$BB$11:$BB$1309)=COUNTIF($AO$11:$AO$1309,AO135),SUMIF($AO$11:$AO$1309,AO135,$AW$11:$AW$1309),"")</f>
        <v>1.6598930481283423</v>
      </c>
      <c r="BE135" s="11" t="n">
        <f>IF(SUMIF($AO$11:$AO$1309,AO135,$BB$11:$BB$1309)=COUNTIF($AO$11:$AO$1309,AO135),SUMIF($AO$11:$AO$1309,AO135,$BA$11:$BA$1309),"")</f>
        <v>1.2818619582664526</v>
      </c>
      <c r="BF135" s="12" t="n">
        <f>IF(COUNT(BD135:BE135)&lt;&gt;2,"",IF(AND(BD135&gt;0,BE135&gt;0),0.7*AW135/BD135+0.3*BA135/BE135,IF(BD135&gt;0,AW135/BD135,IF(BE135&gt;0,BA135/BE135,IF(AND(ISNUMBER(BH135),BH135=0),0,"")))))</f>
        <v>0.06548144780104874</v>
      </c>
      <c r="BG135" s="11" t="n">
        <f>IF(AND(COUNT(BN135:BU135)=8,MIN(BN135:BU135)&gt;=0),SUMPRODUCT(BN135:BQ135,BR135:BU135),"")</f>
        <v>63.935996265425516</v>
      </c>
      <c r="BH135" s="11" t="n">
        <f>IF(COUNT(BC135,BG135)=2,BC135*BG135,"")</f>
        <v>187.7611667334493</v>
      </c>
      <c r="BI135" s="11" t="n">
        <f>IF(ISNUMBER(CI135),CI135,"")</f>
        <v>12.29487303852037</v>
      </c>
      <c r="BJ135" s="8" t="str"/>
      <c r="BK135" s="8" t="str">
        <v>90天：2026-07-20 至 2026-10-17；180天：2026-04-21 至 2026-10-17</v>
      </c>
      <c r="BL135" s="8" t="str">
        <v>90天：2026-10-06、2026-10-07；180天：2026-10-06、2026-10-07</v>
      </c>
      <c r="BM135" s="8" t="str">
        <v>2026-10：12天 × 0.8729500662042875；2026-11：30天 × 0.8057375774163482；2026-12：31天 × 0.532550303142279；2027-01：17天 × 0.7517299265337036</v>
      </c>
      <c r="BN135" s="11" t="n">
        <v>0.8729500662042875</v>
      </c>
      <c r="BO135" s="11" t="n">
        <v>0.8057375774163482</v>
      </c>
      <c r="BP135" s="11" t="n">
        <v>0.532550303142279</v>
      </c>
      <c r="BQ135" s="11" t="n">
        <v>0.7517299265337036</v>
      </c>
      <c r="BR135" s="8" t="n">
        <v>12</v>
      </c>
      <c r="BS135" s="8" t="n">
        <v>30</v>
      </c>
      <c r="BT135" s="8" t="n">
        <v>31</v>
      </c>
      <c r="BU135" s="8" t="n">
        <v>17</v>
      </c>
      <c r="BV135" s="11" t="n">
        <f>IF(COUNT(BC135,BF135)=2,BC135*BF135,"")</f>
        <v>0.19229970215024292</v>
      </c>
      <c r="BW135" s="11" t="n">
        <f>IF(ISNUMBER(BN135),BN135,"")</f>
        <v>0.8729500662042875</v>
      </c>
      <c r="BX135" s="14" t="n">
        <f>IF(ISNUMBER(BR135),BR135,"")</f>
        <v>12</v>
      </c>
      <c r="BY135" s="13" t="n">
        <f>IF(AND(COUNT(BV135,BW135,BX135)=3,MIN(BV135,BW135,BX135)&gt;=0),BV135*BW135*BX135,"")</f>
        <v>2.0144164526774317</v>
      </c>
      <c r="BZ135" s="11" t="n">
        <f>IF(ISNUMBER(BO135),BO135,"")</f>
        <v>0.8057375774163482</v>
      </c>
      <c r="CA135" s="14" t="n">
        <f>IF(ISNUMBER(BS135),BS135,"")</f>
        <v>30</v>
      </c>
      <c r="CB135" s="13" t="n">
        <f>IF(AND(COUNT(BV135,BZ135,CA135)=3,MIN(BV135,BZ135,CA135)&gt;=0),BV135*BZ135*CA135,"")</f>
        <v>4.648292884452662</v>
      </c>
      <c r="CC135" s="11" t="n">
        <f>IF(ISNUMBER(BP135),BP135,"")</f>
        <v>0.532550303142279</v>
      </c>
      <c r="CD135" s="14" t="n">
        <f>IF(ISNUMBER(BT135),BT135,"")</f>
        <v>31</v>
      </c>
      <c r="CE135" s="13" t="n">
        <f>IF(AND(COUNT(BV135,CC135,CD135)=3,MIN(BV135,CC135,CD135)&gt;=0),BV135*CC135*CD135,"")</f>
        <v>3.174687204902737</v>
      </c>
      <c r="CF135" s="11" t="n">
        <f>IF(ISNUMBER(BQ135),BQ135,"")</f>
        <v>0.7517299265337036</v>
      </c>
      <c r="CG135" s="14" t="n">
        <f>IF(ISNUMBER(BU135),BU135,"")</f>
        <v>17</v>
      </c>
      <c r="CH135" s="13" t="n">
        <f>IF(AND(COUNT(BV135,CF135,CG135)=3,MIN(BV135,CF135,CG135)&gt;=0),BV135*CF135*CG135,"")</f>
        <v>2.4574764964875384</v>
      </c>
      <c r="CI135" s="13" t="n">
        <f>IF(COUNT(BY135,CB135,CE135,CH135)=4,SUM(BY135,CB135,CE135,CH135),"")</f>
        <v>12.29487303852037</v>
      </c>
    </row>
    <row r="136" ht="72" customHeight="1">
      <c r="A136" s="16" t="str">
        <v>2302153-CC-S-Z-6</v>
      </c>
      <c r="B136" s="16" t="str">
        <v>3店-SANDIEX-US</v>
      </c>
      <c r="C136" s="16" t="str">
        <v>徐新怡</v>
      </c>
      <c r="D136" s="26" t="n">
        <f>IF(NOT(ISNUMBER(E136)),"",IF(OR(E136&lt;=0,L136=0),0,IF(OR(NOT(ISNUMBER(F136)),F136&lt;0),"",MIN(E136,INT(F136)))))</f>
        <v>9</v>
      </c>
      <c r="E136" s="27" t="n">
        <f>IF(OR(NOT(ISNUMBER(L136)),COUNT(M136:O136)&lt;&gt;3,MIN(M136:O136)&lt;0),"",ROUNDUP(ROUND(BI136-SUM(M136:O136),10),0))</f>
        <v>9</v>
      </c>
      <c r="F136" s="28" t="n">
        <v>20</v>
      </c>
      <c r="G136" s="28" t="n">
        <f>IF(AND(ISNUMBER(D136),ISNUMBER(E136)),IF(OR(E136&lt;=0,L136=0),0,E136-D136),"")</f>
        <v>0</v>
      </c>
      <c r="H136" s="16" t="str">
        <f>IF(NOT(ISNUMBER(E136)),"销量或海外库存待补",IF(OR(E136&lt;=0,L136=0),IF(L136=0,"零日销，本批不发","本批无需补货"),IF(NOT(ISNUMBER(D136)),"国内库存待补",IF(D136=0,"国内无可用库存",IF(G136&gt;0,"先发国内现货","按建议量发货")))))</f>
        <v>按建议量发货</v>
      </c>
      <c r="I136" s="28" t="n">
        <f>IF(AND(COUNT(Z136,AA136,AB136)=3,Z136&gt;=AA136,AA136&gt;=0,AB136=7),Z136-AA136,"")</f>
        <v>2</v>
      </c>
      <c r="J136" s="28" t="n">
        <f>IF(AND(COUNT(AF136,AG136,AH136)=3,AF136&gt;=AG136,AG136&gt;=0,AH136=14),AF136-AG136,"")</f>
        <v>3</v>
      </c>
      <c r="K136" s="28" t="n">
        <f>IF(AND(COUNT(AL136,AM136,AN136)=3,AL136&gt;=AM136,AM136&gt;=0,AN136=30),AL136-AM136,"")</f>
        <v>9</v>
      </c>
      <c r="L136" s="29" t="n">
        <f>IF(ISNUMBER(BI136),BI136/90,"")</f>
        <v>0.13504719586140532</v>
      </c>
      <c r="M136" s="28" t="n">
        <v>4</v>
      </c>
      <c r="N136" s="28" t="n">
        <v>0</v>
      </c>
      <c r="O136" s="28" t="n">
        <v>0</v>
      </c>
      <c r="P136" s="30" t="n">
        <f>IF(AND(ISNUMBER(L136),L136&gt;0,COUNT(M136:O136)=3,MIN(M136:O136)&gt;=0),SUM(M136:O136)/L136,"")</f>
        <v>29.619274761580936</v>
      </c>
      <c r="Q136" s="16" t="str">
        <v>沿用原计划SKU店铺</v>
      </c>
      <c r="R136" s="16" t="str">
        <v>已匹配</v>
      </c>
      <c r="S136" s="16" t="str">
        <v>在售</v>
      </c>
      <c r="T136" s="16" t="str">
        <v>2302153</v>
      </c>
      <c r="U136" s="16" t="str">
        <v>驼色</v>
      </c>
      <c r="V136" s="16" t="n">
        <v>6</v>
      </c>
      <c r="W136" s="8" t="str">
        <v>2026-10-11 至 2026-10-17</v>
      </c>
      <c r="X136" s="8" t="str">
        <v>2026-10-11、2026-10-12、2026-10-13、2026-10-14、2026-10-15、2026-10-16、2026-10-17</v>
      </c>
      <c r="Y136" s="8" t="str">
        <v>无</v>
      </c>
      <c r="Z136" s="8" t="n">
        <v>2</v>
      </c>
      <c r="AA136" s="8" t="n">
        <v>0</v>
      </c>
      <c r="AB136" s="8" t="n">
        <v>7</v>
      </c>
      <c r="AC136" s="8" t="str">
        <v>2026-10-02 至 2026-10-17</v>
      </c>
      <c r="AD136" s="8" t="str">
        <v>2026-10-02、2026-10-03、2026-10-04、2026-10-05、2026-10-08、2026-10-09、2026-10-10、2026-10-11、2026-10-12、2026-10-13、2026-10-14、2026-10-15、2026-10-16、2026-10-17</v>
      </c>
      <c r="AE136" s="8" t="str">
        <v>2026-10-06 大促；2026-10-07 大促</v>
      </c>
      <c r="AF136" s="8" t="n">
        <v>4</v>
      </c>
      <c r="AG136" s="8" t="n">
        <v>1</v>
      </c>
      <c r="AH136" s="8" t="n">
        <v>14</v>
      </c>
      <c r="AI136" s="8" t="str">
        <v>2026-09-16 至 2026-10-17</v>
      </c>
      <c r="AJ1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6" s="8" t="str">
        <v>2026-10-06 大促；2026-10-07 大促</v>
      </c>
      <c r="AL136" s="8" t="n">
        <v>10</v>
      </c>
      <c r="AM136" s="8" t="n">
        <v>1</v>
      </c>
      <c r="AN136" s="8" t="n">
        <v>30</v>
      </c>
      <c r="AO136" s="8" t="str">
        <v>2302153 / 驼色羊京绒 / 6574</v>
      </c>
      <c r="AP136" s="11" t="n">
        <v>1.7391279184229513</v>
      </c>
      <c r="AQ136" s="11" t="n">
        <v>1.7391279184229513</v>
      </c>
      <c r="AR136" s="11" t="n">
        <v>1.5731892896917212</v>
      </c>
      <c r="AS136" s="11" t="n">
        <f>IF(AND(COUNT(I136:K136,AP136:AR136)=6,MIN(AP136:AR136)&gt;0),I136/7/AP136*0.5+J136/14/AQ136*0.3+K136/30/AR136*0.2,"")</f>
        <v>0.15724640016849323</v>
      </c>
      <c r="AT136" s="8" t="n">
        <v>27</v>
      </c>
      <c r="AU136" s="8" t="n">
        <v>1</v>
      </c>
      <c r="AV136" s="8" t="n">
        <v>88</v>
      </c>
      <c r="AW136" s="11" t="n">
        <f>IF(AND(COUNT(AT136:AV136)=3,AT136&gt;=AU136,AU136&gt;=0,AV136&gt;0),(AT136-AU136)/AV136,"")</f>
        <v>0.29545454545454547</v>
      </c>
      <c r="AX136" s="8" t="n">
        <v>27</v>
      </c>
      <c r="AY136" s="8" t="n">
        <v>1</v>
      </c>
      <c r="AZ136" s="8" t="n">
        <v>178</v>
      </c>
      <c r="BA136" s="11" t="n">
        <f>IF(AND(COUNT(AX136:AZ136)=3,AX136&gt;=AY136,AY136&gt;=0,AZ136&gt;0),(AX136-AY136)/AZ136,"")</f>
        <v>0.14606741573033707</v>
      </c>
      <c r="BB136" s="8" t="n">
        <f>IF(COUNT(AS136,AW136,BA136)=3,1,0)</f>
        <v>1</v>
      </c>
      <c r="BC136" s="11" t="n">
        <f>IF(SUMIF($AO$11:$AO$1309,AO136,$BB$11:$BB$1309)=COUNTIF($AO$11:$AO$1309,AO136),SUMIF($AO$11:$AO$1309,AO136,$AS$11:$AS$1309),"")</f>
        <v>1.1381504473731563</v>
      </c>
      <c r="BD136" s="11" t="n">
        <f>IF(SUMIF($AO$11:$AO$1309,AO136,$BB$11:$BB$1309)=COUNTIF($AO$11:$AO$1309,AO136),SUMIF($AO$11:$AO$1309,AO136,$AW$11:$AW$1309),"")</f>
        <v>2.9545454545454546</v>
      </c>
      <c r="BE136" s="11" t="n">
        <f>IF(SUMIF($AO$11:$AO$1309,AO136,$BB$11:$BB$1309)=COUNTIF($AO$11:$AO$1309,AO136),SUMIF($AO$11:$AO$1309,AO136,$BA$11:$BA$1309),"")</f>
        <v>1.5898876404494382</v>
      </c>
      <c r="BF136" s="12" t="n">
        <f>IF(COUNT(BD136:BE136)&lt;&gt;2,"",IF(AND(BD136&gt;0,BE136&gt;0),0.7*AW136/BD136+0.3*BA136/BE136,IF(BD136&gt;0,AW136/BD136,IF(BE136&gt;0,BA136/BE136,IF(AND(ISNUMBER(BH136),BH136=0),0,"")))))</f>
        <v>0.09756183745583039</v>
      </c>
      <c r="BG136" s="11" t="n">
        <f>IF(AND(COUNT(BN136:BU136)=8,MIN(BN136:BU136)&gt;=0),SUMPRODUCT(BN136:BQ136,BR136:BU136),"")</f>
        <v>109.4582336985339</v>
      </c>
      <c r="BH136" s="11" t="n">
        <f>IF(COUNT(BC136,BG136)=2,BC136*BG136,"")</f>
        <v>124.57993765266185</v>
      </c>
      <c r="BI136" s="11" t="n">
        <f>IF(ISNUMBER(CI136),CI136,"")</f>
        <v>12.154247627526479</v>
      </c>
      <c r="BJ136" s="8" t="str"/>
      <c r="BK136" s="8" t="str">
        <v>90天：2026-07-20 至 2026-10-17；180天：2026-04-21 至 2026-10-17</v>
      </c>
      <c r="BL136" s="8" t="str">
        <v>90天：2026-10-06、2026-10-07；180天：2026-10-06、2026-10-07</v>
      </c>
      <c r="BM136" s="8" t="str">
        <v>2026-10：12天 × 1.7391279184229513；2026-11：30天 × 1.4002077845513243；2026-12：31天 × 1.079339935625147；2027-01：17天 × 0.7719368903846591</v>
      </c>
      <c r="BN136" s="11" t="n">
        <v>1.7391279184229513</v>
      </c>
      <c r="BO136" s="11" t="n">
        <v>1.4002077845513243</v>
      </c>
      <c r="BP136" s="11" t="n">
        <v>1.079339935625147</v>
      </c>
      <c r="BQ136" s="11" t="n">
        <v>0.7719368903846591</v>
      </c>
      <c r="BR136" s="8" t="n">
        <v>12</v>
      </c>
      <c r="BS136" s="8" t="n">
        <v>30</v>
      </c>
      <c r="BT136" s="8" t="n">
        <v>31</v>
      </c>
      <c r="BU136" s="8" t="n">
        <v>17</v>
      </c>
      <c r="BV136" s="11" t="n">
        <f>IF(COUNT(BC136,BF136)=2,BC136*BF136,"")</f>
        <v>0.1110400489469005</v>
      </c>
      <c r="BW136" s="11" t="n">
        <f>IF(ISNUMBER(BN136),BN136,"")</f>
        <v>1.7391279184229513</v>
      </c>
      <c r="BX136" s="14" t="n">
        <f>IF(ISNUMBER(BR136),BR136,"")</f>
        <v>12</v>
      </c>
      <c r="BY136" s="13" t="n">
        <f>IF(AND(COUNT(BV136,BW136,BX136)=3,MIN(BV136,BW136,BX136)&gt;=0),BV136*BW136*BX136,"")</f>
        <v>2.3173541902392687</v>
      </c>
      <c r="BZ136" s="11" t="n">
        <f>IF(ISNUMBER(BO136),BO136,"")</f>
        <v>1.4002077845513243</v>
      </c>
      <c r="CA136" s="14" t="n">
        <f>IF(ISNUMBER(BS136),BS136,"")</f>
        <v>30</v>
      </c>
      <c r="CB136" s="13" t="n">
        <f>IF(AND(COUNT(BV136,BZ136,CA136)=3,MIN(BV136,BZ136,CA136)&gt;=0),BV136*BZ136*CA136,"")</f>
        <v>4.664374227972305</v>
      </c>
      <c r="CC136" s="11" t="n">
        <f>IF(ISNUMBER(BP136),BP136,"")</f>
        <v>1.079339935625147</v>
      </c>
      <c r="CD136" s="14" t="n">
        <f>IF(ISNUMBER(BT136),BT136,"")</f>
        <v>31</v>
      </c>
      <c r="CE136" s="13" t="n">
        <f>IF(AND(COUNT(BV136,CC136,CD136)=3,MIN(BV136,CC136,CD136)&gt;=0),BV136*CC136*CD136,"")</f>
        <v>3.7153487377469836</v>
      </c>
      <c r="CF136" s="11" t="n">
        <f>IF(ISNUMBER(BQ136),BQ136,"")</f>
        <v>0.7719368903846591</v>
      </c>
      <c r="CG136" s="14" t="n">
        <f>IF(ISNUMBER(BU136),BU136,"")</f>
        <v>17</v>
      </c>
      <c r="CH136" s="13" t="n">
        <f>IF(AND(COUNT(BV136,CF136,CG136)=3,MIN(BV136,CF136,CG136)&gt;=0),BV136*CF136*CG136,"")</f>
        <v>1.4571704715679221</v>
      </c>
      <c r="CI136" s="13" t="n">
        <f>IF(COUNT(BY136,CB136,CE136,CH136)=4,SUM(BY136,CB136,CE136,CH136),"")</f>
        <v>12.154247627526479</v>
      </c>
    </row>
    <row r="137" ht="72" customHeight="1">
      <c r="A137" s="16" t="str">
        <v>B06b-BK-39.5</v>
      </c>
      <c r="B137" s="16" t="str">
        <v>1店-MUSSHOE-US</v>
      </c>
      <c r="C137" s="16" t="str">
        <v>艾年</v>
      </c>
      <c r="D137" s="26" t="n">
        <f>IF(NOT(ISNUMBER(E137)),"",IF(OR(E137&lt;=0,L137=0),0,IF(OR(NOT(ISNUMBER(F137)),F137&lt;0),"",MIN(E137,INT(F137)))))</f>
        <v>9</v>
      </c>
      <c r="E137" s="27" t="n">
        <f>IF(OR(NOT(ISNUMBER(L137)),COUNT(M137:O137)&lt;&gt;3,MIN(M137:O137)&lt;0),"",ROUNDUP(ROUND(BI137-SUM(M137:O137),10),0))</f>
        <v>9</v>
      </c>
      <c r="F137" s="28" t="n">
        <v>67</v>
      </c>
      <c r="G137" s="28" t="n">
        <f>IF(AND(ISNUMBER(D137),ISNUMBER(E137)),IF(OR(E137&lt;=0,L137=0),0,E137-D137),"")</f>
        <v>0</v>
      </c>
      <c r="H137" s="16" t="str">
        <f>IF(NOT(ISNUMBER(E137)),"销量或海外库存待补",IF(OR(E137&lt;=0,L137=0),IF(L137=0,"零日销，本批不发","本批无需补货"),IF(NOT(ISNUMBER(D137)),"国内库存待补",IF(D137=0,"国内无可用库存",IF(G137&gt;0,"先发国内现货","按建议量发货")))))</f>
        <v>按建议量发货</v>
      </c>
      <c r="I137" s="28" t="n">
        <f>IF(AND(COUNT(Z137,AA137,AB137)=3,Z137&gt;=AA137,AA137&gt;=0,AB137=7),Z137-AA137,"")</f>
        <v>15</v>
      </c>
      <c r="J137" s="28" t="n">
        <f>IF(AND(COUNT(AF137,AG137,AH137)=3,AF137&gt;=AG137,AG137&gt;=0,AH137=14),AF137-AG137,"")</f>
        <v>26</v>
      </c>
      <c r="K137" s="28" t="n">
        <f>IF(AND(COUNT(AL137,AM137,AN137)=3,AL137&gt;=AM137,AM137&gt;=0,AN137=30),AL137-AM137,"")</f>
        <v>43</v>
      </c>
      <c r="L137" s="29" t="n">
        <f>IF(ISNUMBER(BI137),BI137/90,"")</f>
        <v>1.6929834769807577</v>
      </c>
      <c r="M137" s="28" t="n">
        <v>103</v>
      </c>
      <c r="N137" s="28" t="n">
        <v>12</v>
      </c>
      <c r="O137" s="28" t="n">
        <v>29</v>
      </c>
      <c r="P137" s="30" t="n">
        <f>IF(AND(ISNUMBER(L137),L137&gt;0,COUNT(M137:O137)=3,MIN(M137:O137)&gt;=0),SUM(M137:O137)/L137,"")</f>
        <v>85.05694353072336</v>
      </c>
      <c r="Q137" s="16" t="str">
        <v>沿用原计划SKU店铺</v>
      </c>
      <c r="R137" s="16" t="str">
        <v>已匹配</v>
      </c>
      <c r="S137" s="16" t="str">
        <v>在售</v>
      </c>
      <c r="T137" s="16" t="str">
        <v>B06b</v>
      </c>
      <c r="U137" s="16" t="str">
        <v>黑色羊京绒</v>
      </c>
      <c r="V137" s="16" t="n">
        <v>8.5</v>
      </c>
      <c r="W137" s="8" t="str">
        <v>2026-10-11 至 2026-10-17</v>
      </c>
      <c r="X137" s="8" t="str">
        <v>2026-10-11、2026-10-12、2026-10-13、2026-10-14、2026-10-15、2026-10-16、2026-10-17</v>
      </c>
      <c r="Y137" s="8" t="str">
        <v>无</v>
      </c>
      <c r="Z137" s="8" t="n">
        <v>15</v>
      </c>
      <c r="AA137" s="8" t="n">
        <v>0</v>
      </c>
      <c r="AB137" s="8" t="n">
        <v>7</v>
      </c>
      <c r="AC137" s="8" t="str">
        <v>2026-10-02 至 2026-10-17</v>
      </c>
      <c r="AD137" s="8" t="str">
        <v>2026-10-02、2026-10-03、2026-10-04、2026-10-05、2026-10-08、2026-10-09、2026-10-10、2026-10-11、2026-10-12、2026-10-13、2026-10-14、2026-10-15、2026-10-16、2026-10-17</v>
      </c>
      <c r="AE137" s="8" t="str">
        <v>2026-10-06 大促；2026-10-07 大促</v>
      </c>
      <c r="AF137" s="8" t="n">
        <v>29</v>
      </c>
      <c r="AG137" s="8" t="n">
        <v>3</v>
      </c>
      <c r="AH137" s="8" t="n">
        <v>14</v>
      </c>
      <c r="AI137" s="8" t="str">
        <v>2026-09-16 至 2026-10-17</v>
      </c>
      <c r="AJ1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7" s="8" t="str">
        <v>2026-10-06 大促；2026-10-07 大促</v>
      </c>
      <c r="AL137" s="8" t="n">
        <v>46</v>
      </c>
      <c r="AM137" s="8" t="n">
        <v>3</v>
      </c>
      <c r="AN137" s="8" t="n">
        <v>30</v>
      </c>
      <c r="AO137" s="8" t="str">
        <v>B06b / 黑色羊京绒 / 13120</v>
      </c>
      <c r="AP137" s="11" t="n">
        <v>1.1090677182221615</v>
      </c>
      <c r="AQ137" s="11" t="n">
        <v>1.1090677182221615</v>
      </c>
      <c r="AR137" s="11" t="n">
        <v>0.9505188216044452</v>
      </c>
      <c r="AS137" s="11" t="n">
        <f>IF(AND(COUNT(I137:K137,AP137:AR137)=6,MIN(AP137:AR137)&gt;0),I137/7/AP137*0.5+J137/14/AQ137*0.3+K137/30/AR137*0.2,"")</f>
        <v>1.77000445859542</v>
      </c>
      <c r="AT137" s="8" t="n">
        <v>103</v>
      </c>
      <c r="AU137" s="8" t="n">
        <v>3</v>
      </c>
      <c r="AV137" s="8" t="n">
        <v>88</v>
      </c>
      <c r="AW137" s="11" t="n">
        <f>IF(AND(COUNT(AT137:AV137)=3,AT137&gt;=AU137,AU137&gt;=0,AV137&gt;0),(AT137-AU137)/AV137,"")</f>
        <v>1.1363636363636365</v>
      </c>
      <c r="AX137" s="8" t="n">
        <v>156</v>
      </c>
      <c r="AY137" s="8" t="n">
        <v>3</v>
      </c>
      <c r="AZ137" s="8" t="n">
        <v>178</v>
      </c>
      <c r="BA137" s="11" t="n">
        <f>IF(AND(COUNT(AX137:AZ137)=3,AX137&gt;=AY137,AY137&gt;=0,AZ137&gt;0),(AX137-AY137)/AZ137,"")</f>
        <v>0.8595505617977528</v>
      </c>
      <c r="BB137" s="8" t="n">
        <f>IF(COUNT(AS137,AW137,BA137)=3,1,0)</f>
        <v>1</v>
      </c>
      <c r="BC137" s="11" t="n">
        <f>IF(SUMIF($AO$11:$AO$1309,AO137,$BB$11:$BB$1309)=COUNTIF($AO$11:$AO$1309,AO137),SUMIF($AO$11:$AO$1309,AO137,$AS$11:$AS$1309),"")</f>
        <v>8.918815730624303</v>
      </c>
      <c r="BD137" s="11" t="n">
        <f>IF(SUMIF($AO$11:$AO$1309,AO137,$BB$11:$BB$1309)=COUNTIF($AO$11:$AO$1309,AO137),SUMIF($AO$11:$AO$1309,AO137,$AW$11:$AW$1309),"")</f>
        <v>6.183288770053475</v>
      </c>
      <c r="BE137" s="11" t="n">
        <f>IF(SUMIF($AO$11:$AO$1309,AO137,$BB$11:$BB$1309)=COUNTIF($AO$11:$AO$1309,AO137),SUMIF($AO$11:$AO$1309,AO137,$BA$11:$BA$1309),"")</f>
        <v>4.941926163723917</v>
      </c>
      <c r="BF137" s="12" t="n">
        <f>IF(COUNT(BD137:BE137)&lt;&gt;2,"",IF(AND(BD137&gt;0,BE137&gt;0),0.7*AW137/BD137+0.3*BA137/BE137,IF(BD137&gt;0,AW137/BD137,IF(BE137&gt;0,BA137/BE137,IF(AND(ISNUMBER(BH137),BH137=0),0,"")))))</f>
        <v>0.18082494871258264</v>
      </c>
      <c r="BG137" s="11" t="n">
        <f>IF(AND(COUNT(BN137:BU137)=8,MIN(BN137:BU137)&gt;=0),SUMPRODUCT(BN137:BQ137,BR137:BU137),"")</f>
        <v>94.47778160343367</v>
      </c>
      <c r="BH137" s="11" t="n">
        <f>IF(COUNT(BC137,BG137)=2,BC137*BG137,"")</f>
        <v>842.6299247591916</v>
      </c>
      <c r="BI137" s="11" t="n">
        <f>IF(ISNUMBER(CI137),CI137,"")</f>
        <v>152.3685129282682</v>
      </c>
      <c r="BJ137" s="8" t="str"/>
      <c r="BK137" s="8" t="str">
        <v>90天：2026-07-20 至 2026-10-17；180天：2026-04-21 至 2026-10-17</v>
      </c>
      <c r="BL137" s="8" t="str">
        <v>90天：2026-10-06、2026-10-07；180天：2026-10-06、2026-10-07</v>
      </c>
      <c r="BM137" s="8" t="str">
        <v>2026-10：12天 × 1.1090677182221615；2026-11：30天 × 1.0372741535934282；2026-12：31天 × 0.979949351738161；2027-01：17天 × 1.1571949690048173</v>
      </c>
      <c r="BN137" s="11" t="n">
        <v>1.1090677182221615</v>
      </c>
      <c r="BO137" s="11" t="n">
        <v>1.0372741535934282</v>
      </c>
      <c r="BP137" s="11" t="n">
        <v>0.979949351738161</v>
      </c>
      <c r="BQ137" s="11" t="n">
        <v>1.1571949690048173</v>
      </c>
      <c r="BR137" s="8" t="n">
        <v>12</v>
      </c>
      <c r="BS137" s="8" t="n">
        <v>30</v>
      </c>
      <c r="BT137" s="8" t="n">
        <v>31</v>
      </c>
      <c r="BU137" s="8" t="n">
        <v>17</v>
      </c>
      <c r="BV137" s="11" t="n">
        <f>IF(COUNT(BC137,BF137)=2,BC137*BF137,"")</f>
        <v>1.612744397067115</v>
      </c>
      <c r="BW137" s="11" t="n">
        <f>IF(ISNUMBER(BN137),BN137,"")</f>
        <v>1.1090677182221615</v>
      </c>
      <c r="BX137" s="14" t="n">
        <f>IF(ISNUMBER(BR137),BR137,"")</f>
        <v>12</v>
      </c>
      <c r="BY137" s="13" t="n">
        <f>IF(AND(COUNT(BV137,BW137,BX137)=3,MIN(BV137,BW137,BX137)&gt;=0),BV137*BW137*BX137,"")</f>
        <v>21.463712982369607</v>
      </c>
      <c r="BZ137" s="11" t="n">
        <f>IF(ISNUMBER(BO137),BO137,"")</f>
        <v>1.0372741535934282</v>
      </c>
      <c r="CA137" s="14" t="n">
        <f>IF(ISNUMBER(BS137),BS137,"")</f>
        <v>30</v>
      </c>
      <c r="CB137" s="13" t="n">
        <f>IF(AND(COUNT(BV137,BZ137,CA137)=3,MIN(BV137,BZ137,CA137)&gt;=0),BV137*BZ137*CA137,"")</f>
        <v>50.185742382910064</v>
      </c>
      <c r="CC137" s="11" t="n">
        <f>IF(ISNUMBER(BP137),BP137,"")</f>
        <v>0.979949351738161</v>
      </c>
      <c r="CD137" s="14" t="n">
        <f>IF(ISNUMBER(BT137),BT137,"")</f>
        <v>31</v>
      </c>
      <c r="CE137" s="13" t="n">
        <f>IF(AND(COUNT(BV137,CC137,CD137)=3,MIN(BV137,CC137,CD137)&gt;=0),BV137*CC137*CD137,"")</f>
        <v>48.992642619183385</v>
      </c>
      <c r="CF137" s="11" t="n">
        <f>IF(ISNUMBER(BQ137),BQ137,"")</f>
        <v>1.1571949690048173</v>
      </c>
      <c r="CG137" s="14" t="n">
        <f>IF(ISNUMBER(BU137),BU137,"")</f>
        <v>17</v>
      </c>
      <c r="CH137" s="13" t="n">
        <f>IF(AND(COUNT(BV137,CF137,CG137)=3,MIN(BV137,CF137,CG137)&gt;=0),BV137*CF137*CG137,"")</f>
        <v>31.72641494380514</v>
      </c>
      <c r="CI137" s="13" t="n">
        <f>IF(COUNT(BY137,CB137,CE137,CH137)=4,SUM(BY137,CB137,CE137,CH137),"")</f>
        <v>152.3685129282682</v>
      </c>
    </row>
    <row r="138" ht="72" customHeight="1">
      <c r="A138" s="16" t="str">
        <v>B06b-BKP-40</v>
      </c>
      <c r="B138" s="16" t="str">
        <v>1店-MUSSHOE-US</v>
      </c>
      <c r="C138" s="16" t="str">
        <v>艾年</v>
      </c>
      <c r="D138" s="26" t="n">
        <f>IF(NOT(ISNUMBER(E138)),"",IF(OR(E138&lt;=0,L138=0),0,IF(OR(NOT(ISNUMBER(F138)),F138&lt;0),"",MIN(E138,INT(F138)))))</f>
        <v>9</v>
      </c>
      <c r="E138" s="27" t="n">
        <f>IF(OR(NOT(ISNUMBER(L138)),COUNT(M138:O138)&lt;&gt;3,MIN(M138:O138)&lt;0),"",ROUNDUP(ROUND(BI138-SUM(M138:O138),10),0))</f>
        <v>9</v>
      </c>
      <c r="F138" s="28" t="n">
        <v>70</v>
      </c>
      <c r="G138" s="28" t="n">
        <f>IF(AND(ISNUMBER(D138),ISNUMBER(E138)),IF(OR(E138&lt;=0,L138=0),0,E138-D138),"")</f>
        <v>0</v>
      </c>
      <c r="H138" s="16" t="str">
        <f>IF(NOT(ISNUMBER(E138)),"销量或海外库存待补",IF(OR(E138&lt;=0,L138=0),IF(L138=0,"零日销，本批不发","本批无需补货"),IF(NOT(ISNUMBER(D138)),"国内库存待补",IF(D138=0,"国内无可用库存",IF(G138&gt;0,"先发国内现货","按建议量发货")))))</f>
        <v>按建议量发货</v>
      </c>
      <c r="I138" s="28" t="n">
        <f>IF(AND(COUNT(Z138,AA138,AB138)=3,Z138&gt;=AA138,AA138&gt;=0,AB138=7),Z138-AA138,"")</f>
        <v>2</v>
      </c>
      <c r="J138" s="28" t="n">
        <f>IF(AND(COUNT(AF138,AG138,AH138)=3,AF138&gt;=AG138,AG138&gt;=0,AH138=14),AF138-AG138,"")</f>
        <v>2</v>
      </c>
      <c r="K138" s="28" t="n">
        <f>IF(AND(COUNT(AL138,AM138,AN138)=3,AL138&gt;=AM138,AM138&gt;=0,AN138=30),AL138-AM138,"")</f>
        <v>6</v>
      </c>
      <c r="L138" s="29" t="n">
        <f>IF(ISNUMBER(BI138),BI138/90,"")</f>
        <v>0.293511462812432</v>
      </c>
      <c r="M138" s="28" t="n">
        <v>1</v>
      </c>
      <c r="N138" s="28" t="n">
        <v>0</v>
      </c>
      <c r="O138" s="28" t="n">
        <v>17</v>
      </c>
      <c r="P138" s="30" t="n">
        <f>IF(AND(ISNUMBER(L138),L138&gt;0,COUNT(M138:O138)=3,MIN(M138:O138)&gt;=0),SUM(M138:O138)/L138,"")</f>
        <v>61.32639532208958</v>
      </c>
      <c r="Q138" s="16" t="str">
        <v>沿用原计划SKU店铺</v>
      </c>
      <c r="R138" s="16" t="str">
        <v>已匹配</v>
      </c>
      <c r="S138" s="16" t="str">
        <v>在售</v>
      </c>
      <c r="T138" s="16" t="str">
        <v>B06b</v>
      </c>
      <c r="U138" s="16" t="str">
        <v>黑色PU</v>
      </c>
      <c r="V138" s="16" t="n">
        <v>9</v>
      </c>
      <c r="W138" s="8" t="str">
        <v>2026-10-11 至 2026-10-17</v>
      </c>
      <c r="X138" s="8" t="str">
        <v>2026-10-11、2026-10-12、2026-10-13、2026-10-14、2026-10-15、2026-10-16、2026-10-17</v>
      </c>
      <c r="Y138" s="8" t="str">
        <v>无</v>
      </c>
      <c r="Z138" s="8" t="n">
        <v>2</v>
      </c>
      <c r="AA138" s="8" t="n">
        <v>0</v>
      </c>
      <c r="AB138" s="8" t="n">
        <v>7</v>
      </c>
      <c r="AC138" s="8" t="str">
        <v>2026-10-02 至 2026-10-17</v>
      </c>
      <c r="AD138" s="8" t="str">
        <v>2026-10-02、2026-10-03、2026-10-04、2026-10-05、2026-10-08、2026-10-09、2026-10-10、2026-10-11、2026-10-12、2026-10-13、2026-10-14、2026-10-15、2026-10-16、2026-10-17</v>
      </c>
      <c r="AE138" s="8" t="str">
        <v>2026-10-06 大促；2026-10-07 大促</v>
      </c>
      <c r="AF138" s="8" t="n">
        <v>2</v>
      </c>
      <c r="AG138" s="8" t="n">
        <v>0</v>
      </c>
      <c r="AH138" s="8" t="n">
        <v>14</v>
      </c>
      <c r="AI138" s="8" t="str">
        <v>2026-09-16 至 2026-10-17</v>
      </c>
      <c r="AJ1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8" s="8" t="str">
        <v>2026-10-06 大促；2026-10-07 大促</v>
      </c>
      <c r="AL138" s="8" t="n">
        <v>6</v>
      </c>
      <c r="AM138" s="8" t="n">
        <v>0</v>
      </c>
      <c r="AN138" s="8" t="n">
        <v>30</v>
      </c>
      <c r="AO138" s="8" t="str">
        <v>B06b / 黑色PU / 13120</v>
      </c>
      <c r="AP138" s="11" t="n">
        <v>1.1090677182221615</v>
      </c>
      <c r="AQ138" s="11" t="n">
        <v>1.1090677182221615</v>
      </c>
      <c r="AR138" s="11" t="n">
        <v>0.9505188216044452</v>
      </c>
      <c r="AS138" s="11" t="n">
        <f>IF(AND(COUNT(I138:K138,AP138:AR138)=6,MIN(AP138:AR138)&gt;0),I138/7/AP138*0.5+J138/14/AQ138*0.3+K138/30/AR138*0.2,"")</f>
        <v>0.20953308900024964</v>
      </c>
      <c r="AT138" s="8" t="n">
        <v>26</v>
      </c>
      <c r="AU138" s="8" t="n">
        <v>0</v>
      </c>
      <c r="AV138" s="8" t="n">
        <v>88</v>
      </c>
      <c r="AW138" s="11" t="n">
        <f>IF(AND(COUNT(AT138:AV138)=3,AT138&gt;=AU138,AU138&gt;=0,AV138&gt;0),(AT138-AU138)/AV138,"")</f>
        <v>0.29545454545454547</v>
      </c>
      <c r="AX138" s="8" t="n">
        <v>50</v>
      </c>
      <c r="AY138" s="8" t="n">
        <v>0</v>
      </c>
      <c r="AZ138" s="8" t="n">
        <v>178</v>
      </c>
      <c r="BA138" s="11" t="n">
        <f>IF(AND(COUNT(AX138:AZ138)=3,AX138&gt;=AY138,AY138&gt;=0,AZ138&gt;0),(AX138-AY138)/AZ138,"")</f>
        <v>0.2808988764044944</v>
      </c>
      <c r="BB138" s="8" t="n">
        <f>IF(COUNT(AS138,AW138,BA138)=3,1,0)</f>
        <v>1</v>
      </c>
      <c r="BC138" s="11" t="n">
        <f>IF(SUMIF($AO$11:$AO$1309,AO138,$BB$11:$BB$1309)=COUNTIF($AO$11:$AO$1309,AO138),SUMIF($AO$11:$AO$1309,AO138,$AS$11:$AS$1309),"")</f>
        <v>2.196839072529989</v>
      </c>
      <c r="BD138" s="11" t="n">
        <f>IF(SUMIF($AO$11:$AO$1309,AO138,$BB$11:$BB$1309)=COUNTIF($AO$11:$AO$1309,AO138),SUMIF($AO$11:$AO$1309,AO138,$AW$11:$AW$1309),"")</f>
        <v>2.461979838957527</v>
      </c>
      <c r="BE138" s="11" t="n">
        <f>IF(SUMIF($AO$11:$AO$1309,AO138,$BB$11:$BB$1309)=COUNTIF($AO$11:$AO$1309,AO138),SUMIF($AO$11:$AO$1309,AO138,$BA$11:$BA$1309),"")</f>
        <v>1.9475686263840901</v>
      </c>
      <c r="BF138" s="12" t="n">
        <f>IF(COUNT(BD138:BE138)&lt;&gt;2,"",IF(AND(BD138&gt;0,BE138&gt;0),0.7*AW138/BD138+0.3*BA138/BE138,IF(BD138&gt;0,AW138/BD138,IF(BE138&gt;0,BA138/BE138,IF(AND(ISNUMBER(BH138),BH138=0),0,"")))))</f>
        <v>0.12727398576142335</v>
      </c>
      <c r="BG138" s="11" t="n">
        <f>IF(AND(COUNT(BN138:BU138)=8,MIN(BN138:BU138)&gt;=0),SUMPRODUCT(BN138:BQ138,BR138:BU138),"")</f>
        <v>94.47778160343367</v>
      </c>
      <c r="BH138" s="11" t="n">
        <f>IF(COUNT(BC138,BG138)=2,BC138*BG138,"")</f>
        <v>207.55248211237807</v>
      </c>
      <c r="BI138" s="11" t="n">
        <f>IF(ISNUMBER(CI138),CI138,"")</f>
        <v>26.416031653118882</v>
      </c>
      <c r="BJ138" s="8" t="str"/>
      <c r="BK138" s="8" t="str">
        <v>90天：2026-07-20 至 2026-10-17；180天：2026-04-21 至 2026-10-17</v>
      </c>
      <c r="BL138" s="8" t="str">
        <v>90天：2026-10-06、2026-10-07；180天：2026-10-06、2026-10-07</v>
      </c>
      <c r="BM138" s="8" t="str">
        <v>2026-10：12天 × 1.1090677182221615；2026-11：30天 × 1.0372741535934282；2026-12：31天 × 0.979949351738161；2027-01：17天 × 1.1571949690048173</v>
      </c>
      <c r="BN138" s="11" t="n">
        <v>1.1090677182221615</v>
      </c>
      <c r="BO138" s="11" t="n">
        <v>1.0372741535934282</v>
      </c>
      <c r="BP138" s="11" t="n">
        <v>0.979949351738161</v>
      </c>
      <c r="BQ138" s="11" t="n">
        <v>1.1571949690048173</v>
      </c>
      <c r="BR138" s="8" t="n">
        <v>12</v>
      </c>
      <c r="BS138" s="8" t="n">
        <v>30</v>
      </c>
      <c r="BT138" s="8" t="n">
        <v>31</v>
      </c>
      <c r="BU138" s="8" t="n">
        <v>17</v>
      </c>
      <c r="BV138" s="11" t="n">
        <f>IF(COUNT(BC138,BF138)=2,BC138*BF138,"")</f>
        <v>0.27960046483732026</v>
      </c>
      <c r="BW138" s="11" t="n">
        <f>IF(ISNUMBER(BN138),BN138,"")</f>
        <v>1.1090677182221615</v>
      </c>
      <c r="BX138" s="14" t="n">
        <f>IF(ISNUMBER(BR138),BR138,"")</f>
        <v>12</v>
      </c>
      <c r="BY138" s="13" t="n">
        <f>IF(AND(COUNT(BV138,BW138,BX138)=3,MIN(BV138,BW138,BX138)&gt;=0),BV138*BW138*BX138,"")</f>
        <v>3.7211501946117904</v>
      </c>
      <c r="BZ138" s="11" t="n">
        <f>IF(ISNUMBER(BO138),BO138,"")</f>
        <v>1.0372741535934282</v>
      </c>
      <c r="CA138" s="14" t="n">
        <f>IF(ISNUMBER(BS138),BS138,"")</f>
        <v>30</v>
      </c>
      <c r="CB138" s="13" t="n">
        <f>IF(AND(COUNT(BV138,BZ138,CA138)=3,MIN(BV138,BZ138,CA138)&gt;=0),BV138*BZ138*CA138,"")</f>
        <v>8.700670065253814</v>
      </c>
      <c r="CC138" s="11" t="n">
        <f>IF(ISNUMBER(BP138),BP138,"")</f>
        <v>0.979949351738161</v>
      </c>
      <c r="CD138" s="14" t="n">
        <f>IF(ISNUMBER(BT138),BT138,"")</f>
        <v>31</v>
      </c>
      <c r="CE138" s="13" t="n">
        <f>IF(AND(COUNT(BV138,CC138,CD138)=3,MIN(BV138,CC138,CD138)&gt;=0),BV138*CC138*CD138,"")</f>
        <v>8.493823122153634</v>
      </c>
      <c r="CF138" s="11" t="n">
        <f>IF(ISNUMBER(BQ138),BQ138,"")</f>
        <v>1.1571949690048173</v>
      </c>
      <c r="CG138" s="14" t="n">
        <f>IF(ISNUMBER(BU138),BU138,"")</f>
        <v>17</v>
      </c>
      <c r="CH138" s="13" t="n">
        <f>IF(AND(COUNT(BV138,CF138,CG138)=3,MIN(BV138,CF138,CG138)&gt;=0),BV138*CF138*CG138,"")</f>
        <v>5.500388271099641</v>
      </c>
      <c r="CI138" s="13" t="n">
        <f>IF(COUNT(BY138,CB138,CE138,CH138)=4,SUM(BY138,CB138,CE138,CH138),"")</f>
        <v>26.416031653118882</v>
      </c>
    </row>
    <row r="139" ht="72" customHeight="1">
      <c r="A139" s="16" t="str">
        <v>B07-BKP-40-New</v>
      </c>
      <c r="B139" s="16" t="str">
        <v>4店-彬郁-US</v>
      </c>
      <c r="C139" s="16" t="str">
        <v>艾年</v>
      </c>
      <c r="D139" s="26" t="n">
        <f>IF(NOT(ISNUMBER(E139)),"",IF(OR(E139&lt;=0,L139=0),0,IF(OR(NOT(ISNUMBER(F139)),F139&lt;0),"",MIN(E139,INT(F139)))))</f>
        <v>9</v>
      </c>
      <c r="E139" s="27" t="n">
        <f>IF(OR(NOT(ISNUMBER(L139)),COUNT(M139:O139)&lt;&gt;3,MIN(M139:O139)&lt;0),"",ROUNDUP(ROUND(BI139-SUM(M139:O139),10),0))</f>
        <v>9</v>
      </c>
      <c r="F139" s="28" t="n">
        <v>67</v>
      </c>
      <c r="G139" s="28" t="n">
        <f>IF(AND(ISNUMBER(D139),ISNUMBER(E139)),IF(OR(E139&lt;=0,L139=0),0,E139-D139),"")</f>
        <v>0</v>
      </c>
      <c r="H139" s="16" t="str">
        <f>IF(NOT(ISNUMBER(E139)),"销量或海外库存待补",IF(OR(E139&lt;=0,L139=0),IF(L139=0,"零日销，本批不发","本批无需补货"),IF(NOT(ISNUMBER(D139)),"国内库存待补",IF(D139=0,"国内无可用库存",IF(G139&gt;0,"先发国内现货","按建议量发货")))))</f>
        <v>按建议量发货</v>
      </c>
      <c r="I139" s="28" t="n">
        <f>IF(AND(COUNT(Z139,AA139,AB139)=3,Z139&gt;=AA139,AA139&gt;=0,AB139=7),Z139-AA139,"")</f>
        <v>0</v>
      </c>
      <c r="J139" s="28" t="n">
        <f>IF(AND(COUNT(AF139,AG139,AH139)=3,AF139&gt;=AG139,AG139&gt;=0,AH139=14),AF139-AG139,"")</f>
        <v>0</v>
      </c>
      <c r="K139" s="28" t="n">
        <f>IF(AND(COUNT(AL139,AM139,AN139)=3,AL139&gt;=AM139,AM139&gt;=0,AN139=30),AL139-AM139,"")</f>
        <v>0</v>
      </c>
      <c r="L139" s="29" t="n">
        <f>IF(ISNUMBER(BI139),BI139/90,"")</f>
        <v>0.1070210528012318</v>
      </c>
      <c r="M139" s="28" t="n">
        <v>1</v>
      </c>
      <c r="N139" s="28" t="n">
        <v>0</v>
      </c>
      <c r="O139" s="28" t="n">
        <v>0</v>
      </c>
      <c r="P139" s="30" t="n">
        <f>IF(AND(ISNUMBER(L139),L139&gt;0,COUNT(M139:O139)=3,MIN(M139:O139)&gt;=0),SUM(M139:O139)/L139,"")</f>
        <v>9.343955921058647</v>
      </c>
      <c r="Q139" s="16" t="str">
        <v>沿用原计划SKU店铺</v>
      </c>
      <c r="R139" s="16" t="str">
        <v>已匹配</v>
      </c>
      <c r="S139" s="16" t="str">
        <v>停售</v>
      </c>
      <c r="T139" s="16" t="str">
        <v>B07</v>
      </c>
      <c r="U139" s="16" t="str">
        <v>黑色PU</v>
      </c>
      <c r="V139" s="16" t="n">
        <v>9</v>
      </c>
      <c r="W139" s="8" t="str">
        <v>2026-10-08 至 2026-10-17</v>
      </c>
      <c r="X139" s="8" t="str">
        <v>2026-10-08、2026-10-09、2026-10-10、2026-10-11、2026-10-14、2026-10-15、2026-10-17</v>
      </c>
      <c r="Y139" s="8" t="str">
        <v>2026-10-12 有记录的停售日；2026-10-13 有记录的停售日；2026-10-16 有记录的停售日</v>
      </c>
      <c r="Z139" s="8" t="n">
        <v>0</v>
      </c>
      <c r="AA139" s="8" t="n">
        <v>0</v>
      </c>
      <c r="AB139" s="8" t="n">
        <v>7</v>
      </c>
      <c r="AC139" s="8" t="str">
        <v>2026-09-29 至 2026-10-17</v>
      </c>
      <c r="AD139" s="8" t="str">
        <v>2026-09-29、2026-09-30、2026-10-01、2026-10-02、2026-10-03、2026-10-04、2026-10-05、2026-10-08、2026-10-09、2026-10-10、2026-10-11、2026-10-14、2026-10-15、2026-10-17</v>
      </c>
      <c r="AE139" s="8" t="str">
        <v>2026-10-06 大促；2026-10-07 大促；2026-10-12 有记录的停售日；2026-10-13 有记录的停售日；2026-10-16 有记录的停售日</v>
      </c>
      <c r="AF139" s="8" t="n">
        <v>0</v>
      </c>
      <c r="AG139" s="8" t="n">
        <v>0</v>
      </c>
      <c r="AH139" s="8" t="n">
        <v>14</v>
      </c>
      <c r="AI139" s="8" t="str">
        <v>2026-09-13 至 2026-10-17</v>
      </c>
      <c r="AJ1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39" s="8" t="str">
        <v>2026-10-06 大促；2026-10-07 大促；2026-10-12 有记录的停售日；2026-10-13 有记录的停售日；2026-10-16 有记录的停售日</v>
      </c>
      <c r="AL139" s="8" t="n">
        <v>0</v>
      </c>
      <c r="AM139" s="8" t="n">
        <v>0</v>
      </c>
      <c r="AN139" s="8" t="n">
        <v>30</v>
      </c>
      <c r="AO139" s="8" t="str">
        <v>B07 / 黑色PU / 13306</v>
      </c>
      <c r="AP139" s="11" t="n">
        <v>0.7307750238224848</v>
      </c>
      <c r="AQ139" s="11" t="n">
        <v>0.7348338471341894</v>
      </c>
      <c r="AR139" s="11" t="n">
        <v>0.7478220817316438</v>
      </c>
      <c r="AS139" s="11" t="n">
        <f>IF(AND(COUNT(I139:K139,AP139:AR139)=6,MIN(AP139:AR139)&gt;0),I139/7/AP139*0.5+J139/14/AQ139*0.3+K139/30/AR139*0.2,"")</f>
        <v>0</v>
      </c>
      <c r="AT139" s="8" t="n">
        <v>2</v>
      </c>
      <c r="AU139" s="8" t="n">
        <v>0</v>
      </c>
      <c r="AV139" s="8" t="n">
        <v>85</v>
      </c>
      <c r="AW139" s="11" t="n">
        <f>IF(AND(COUNT(AT139:AV139)=3,AT139&gt;=AU139,AU139&gt;=0,AV139&gt;0),(AT139-AU139)/AV139,"")</f>
        <v>0.023529411764705882</v>
      </c>
      <c r="AX139" s="8" t="n">
        <v>28</v>
      </c>
      <c r="AY139" s="8" t="n">
        <v>0</v>
      </c>
      <c r="AZ139" s="8" t="n">
        <v>175</v>
      </c>
      <c r="BA139" s="11" t="n">
        <f>IF(AND(COUNT(AX139:AZ139)=3,AX139&gt;=AY139,AY139&gt;=0,AZ139&gt;0),(AX139-AY139)/AZ139,"")</f>
        <v>0.16</v>
      </c>
      <c r="BB139" s="8" t="n">
        <f>IF(COUNT(AS139,AW139,BA139)=3,1,0)</f>
        <v>1</v>
      </c>
      <c r="BC139" s="11" t="n">
        <f>IF(SUMIF($AO$11:$AO$1309,AO139,$BB$11:$BB$1309)=COUNTIF($AO$11:$AO$1309,AO139),SUMIF($AO$11:$AO$1309,AO139,$AS$11:$AS$1309),"")</f>
        <v>1.9452610587450656</v>
      </c>
      <c r="BD139" s="11" t="n">
        <f>IF(SUMIF($AO$11:$AO$1309,AO139,$BB$11:$BB$1309)=COUNTIF($AO$11:$AO$1309,AO139),SUMIF($AO$11:$AO$1309,AO139,$AW$11:$AW$1309),"")</f>
        <v>0.8570855614973261</v>
      </c>
      <c r="BE139" s="11" t="n">
        <f>IF(SUMIF($AO$11:$AO$1309,AO139,$BB$11:$BB$1309)=COUNTIF($AO$11:$AO$1309,AO139),SUMIF($AO$11:$AO$1309,AO139,$BA$11:$BA$1309),"")</f>
        <v>1.091589085072231</v>
      </c>
      <c r="BF139" s="12" t="n">
        <f>IF(COUNT(BD139:BE139)&lt;&gt;2,"",IF(AND(BD139&gt;0,BE139&gt;0),0.7*AW139/BD139+0.3*BA139/BE139,IF(BD139&gt;0,AW139/BD139,IF(BE139&gt;0,BA139/BE139,IF(AND(ISNUMBER(BH139),BH139=0),0,"")))))</f>
        <v>0.06318956148514941</v>
      </c>
      <c r="BG139" s="11" t="n">
        <f>IF(AND(COUNT(BN139:BU139)=8,MIN(BN139:BU139)&gt;=0),SUMPRODUCT(BN139:BQ139,BR139:BU139),"")</f>
        <v>78.35892944347341</v>
      </c>
      <c r="BH139" s="11" t="n">
        <f>IF(COUNT(BC139,BG139)=2,BC139*BG139,"")</f>
        <v>152.428574051341</v>
      </c>
      <c r="BI139" s="11" t="n">
        <f>IF(ISNUMBER(CI139),CI139,"")</f>
        <v>9.631894752110862</v>
      </c>
      <c r="BJ139" s="8" t="str">
        <v>低销提醒依据不完整</v>
      </c>
      <c r="BK139" s="8" t="str">
        <v>90天：2026-07-20 至 2026-10-17；180天：2026-04-21 至 2026-10-17</v>
      </c>
      <c r="BL139" s="8" t="str">
        <v>90天：2026-10-06、2026-10-07、2026-10-12、2026-10-13、2026-10-16；180天：2026-10-06、2026-10-07、2026-10-12、2026-10-13、2026-10-16</v>
      </c>
      <c r="BM139" s="8" t="str">
        <v>2026-10：12天 × 0.7307750238224848；2026-11：30天 × 0.9523018155490097；2026-12：31天 × 0.5958545198749097；2027-01：17天 × 1.3264167397065354</v>
      </c>
      <c r="BN139" s="11" t="n">
        <v>0.7307750238224848</v>
      </c>
      <c r="BO139" s="11" t="n">
        <v>0.9523018155490097</v>
      </c>
      <c r="BP139" s="11" t="n">
        <v>0.5958545198749097</v>
      </c>
      <c r="BQ139" s="11" t="n">
        <v>1.3264167397065354</v>
      </c>
      <c r="BR139" s="8" t="n">
        <v>12</v>
      </c>
      <c r="BS139" s="8" t="n">
        <v>30</v>
      </c>
      <c r="BT139" s="8" t="n">
        <v>31</v>
      </c>
      <c r="BU139" s="8" t="n">
        <v>17</v>
      </c>
      <c r="BV139" s="11" t="n">
        <f>IF(COUNT(BC139,BF139)=2,BC139*BF139,"")</f>
        <v>0.12292019327623817</v>
      </c>
      <c r="BW139" s="11" t="n">
        <f>IF(ISNUMBER(BN139),BN139,"")</f>
        <v>0.7307750238224848</v>
      </c>
      <c r="BX139" s="14" t="n">
        <f>IF(ISNUMBER(BR139),BR139,"")</f>
        <v>12</v>
      </c>
      <c r="BY139" s="13" t="n">
        <f>IF(AND(COUNT(BV139,BW139,BX139)=3,MIN(BV139,BW139,BX139)&gt;=0),BV139*BW139*BX139,"")</f>
        <v>1.0779240860364887</v>
      </c>
      <c r="BZ139" s="11" t="n">
        <f>IF(ISNUMBER(BO139),BO139,"")</f>
        <v>0.9523018155490097</v>
      </c>
      <c r="CA139" s="14" t="n">
        <f>IF(ISNUMBER(BS139),BS139,"")</f>
        <v>30</v>
      </c>
      <c r="CB139" s="13" t="n">
        <f>IF(AND(COUNT(BV139,BZ139,CA139)=3,MIN(BV139,BZ139,CA139)&gt;=0),BV139*BZ139*CA139,"")</f>
        <v>3.5117136967379037</v>
      </c>
      <c r="CC139" s="11" t="n">
        <f>IF(ISNUMBER(BP139),BP139,"")</f>
        <v>0.5958545198749097</v>
      </c>
      <c r="CD139" s="14" t="n">
        <f>IF(ISNUMBER(BT139),BT139,"")</f>
        <v>31</v>
      </c>
      <c r="CE139" s="13" t="n">
        <f>IF(AND(COUNT(BV139,CC139,CD139)=3,MIN(BV139,CC139,CD139)&gt;=0),BV139*CC139*CD139,"")</f>
        <v>2.2705191351738634</v>
      </c>
      <c r="CF139" s="11" t="n">
        <f>IF(ISNUMBER(BQ139),BQ139,"")</f>
        <v>1.3264167397065354</v>
      </c>
      <c r="CG139" s="14" t="n">
        <f>IF(ISNUMBER(BU139),BU139,"")</f>
        <v>17</v>
      </c>
      <c r="CH139" s="13" t="n">
        <f>IF(AND(COUNT(BV139,CF139,CG139)=3,MIN(BV139,CF139,CG139)&gt;=0),BV139*CF139*CG139,"")</f>
        <v>2.7717378341626056</v>
      </c>
      <c r="CI139" s="13" t="n">
        <f>IF(COUNT(BY139,CB139,CE139,CH139)=4,SUM(BY139,CB139,CE139,CH139),"")</f>
        <v>9.631894752110862</v>
      </c>
    </row>
    <row r="140" ht="72" customHeight="1">
      <c r="A140" s="16" t="str">
        <v>32582-LD-37.5</v>
      </c>
      <c r="B140" s="16" t="str">
        <v>3店-SANDIEX-US</v>
      </c>
      <c r="C140" s="16" t="str">
        <v>徐新怡</v>
      </c>
      <c r="D140" s="26" t="n">
        <f>IF(NOT(ISNUMBER(E140)),"",IF(OR(E140&lt;=0,L140=0),0,IF(OR(NOT(ISNUMBER(F140)),F140&lt;0),"",MIN(E140,INT(F140)))))</f>
        <v>8</v>
      </c>
      <c r="E140" s="27" t="n">
        <f>IF(OR(NOT(ISNUMBER(L140)),COUNT(M140:O140)&lt;&gt;3,MIN(M140:O140)&lt;0),"",ROUNDUP(ROUND(BI140-SUM(M140:O140),10),0))</f>
        <v>8</v>
      </c>
      <c r="F140" s="28" t="n">
        <v>140</v>
      </c>
      <c r="G140" s="28" t="n">
        <f>IF(AND(ISNUMBER(D140),ISNUMBER(E140)),IF(OR(E140&lt;=0,L140=0),0,E140-D140),"")</f>
        <v>0</v>
      </c>
      <c r="H140" s="16" t="str">
        <f>IF(NOT(ISNUMBER(E140)),"销量或海外库存待补",IF(OR(E140&lt;=0,L140=0),IF(L140=0,"零日销，本批不发","本批无需补货"),IF(NOT(ISNUMBER(D140)),"国内库存待补",IF(D140=0,"国内无可用库存",IF(G140&gt;0,"先发国内现货","按建议量发货")))))</f>
        <v>按建议量发货</v>
      </c>
      <c r="I140" s="28" t="n">
        <f>IF(AND(COUNT(Z140,AA140,AB140)=3,Z140&gt;=AA140,AA140&gt;=0,AB140=7),Z140-AA140,"")</f>
        <v>2</v>
      </c>
      <c r="J140" s="28" t="n">
        <f>IF(AND(COUNT(AF140,AG140,AH140)=3,AF140&gt;=AG140,AG140&gt;=0,AH140=14),AF140-AG140,"")</f>
        <v>4</v>
      </c>
      <c r="K140" s="28" t="n">
        <f>IF(AND(COUNT(AL140,AM140,AN140)=3,AL140&gt;=AM140,AM140&gt;=0,AN140=30),AL140-AM140,"")</f>
        <v>7</v>
      </c>
      <c r="L140" s="29" t="n">
        <f>IF(ISNUMBER(BI140),BI140/90,"")</f>
        <v>0.2058921093313524</v>
      </c>
      <c r="M140" s="28" t="n">
        <v>11</v>
      </c>
      <c r="N140" s="28" t="n">
        <v>0</v>
      </c>
      <c r="O140" s="28" t="n">
        <v>0</v>
      </c>
      <c r="P140" s="30" t="n">
        <f>IF(AND(ISNUMBER(L140),L140&gt;0,COUNT(M140:O140)=3,MIN(M140:O140)&gt;=0),SUM(M140:O140)/L140,"")</f>
        <v>53.426039665741406</v>
      </c>
      <c r="Q140" s="16" t="str">
        <v>沿用原计划SKU店铺</v>
      </c>
      <c r="R140" s="16" t="str">
        <v>已匹配</v>
      </c>
      <c r="S140" s="16" t="str">
        <v>在售</v>
      </c>
      <c r="T140" s="16" t="str">
        <v>32582</v>
      </c>
      <c r="U140" s="16" t="str">
        <v>豹纹</v>
      </c>
      <c r="V140" s="16" t="n">
        <v>6.5</v>
      </c>
      <c r="W140" s="8" t="str">
        <v>2026-10-11 至 2026-10-17</v>
      </c>
      <c r="X140" s="8" t="str">
        <v>2026-10-11、2026-10-12、2026-10-13、2026-10-14、2026-10-15、2026-10-16、2026-10-17</v>
      </c>
      <c r="Y140" s="8" t="str">
        <v>无</v>
      </c>
      <c r="Z140" s="8" t="n">
        <v>2</v>
      </c>
      <c r="AA140" s="8" t="n">
        <v>0</v>
      </c>
      <c r="AB140" s="8" t="n">
        <v>7</v>
      </c>
      <c r="AC140" s="8" t="str">
        <v>2026-10-02 至 2026-10-17</v>
      </c>
      <c r="AD140" s="8" t="str">
        <v>2026-10-02、2026-10-03、2026-10-04、2026-10-05、2026-10-08、2026-10-09、2026-10-10、2026-10-11、2026-10-12、2026-10-13、2026-10-14、2026-10-15、2026-10-16、2026-10-17</v>
      </c>
      <c r="AE140" s="8" t="str">
        <v>2026-10-06 大促；2026-10-07 大促</v>
      </c>
      <c r="AF140" s="8" t="n">
        <v>7</v>
      </c>
      <c r="AG140" s="8" t="n">
        <v>3</v>
      </c>
      <c r="AH140" s="8" t="n">
        <v>14</v>
      </c>
      <c r="AI140" s="8" t="str">
        <v>2026-09-16 至 2026-10-17</v>
      </c>
      <c r="AJ1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0" s="8" t="str">
        <v>2026-10-06 大促；2026-10-07 大促</v>
      </c>
      <c r="AL140" s="8" t="n">
        <v>10</v>
      </c>
      <c r="AM140" s="8" t="n">
        <v>3</v>
      </c>
      <c r="AN140" s="8" t="n">
        <v>30</v>
      </c>
      <c r="AO140" s="8" t="str">
        <v>32582 / 豹纹羊京绒 / 6574</v>
      </c>
      <c r="AP140" s="11" t="n">
        <v>1.0395067087630607</v>
      </c>
      <c r="AQ140" s="11" t="n">
        <v>1.0395067087630607</v>
      </c>
      <c r="AR140" s="11" t="n">
        <v>1.0707336504782758</v>
      </c>
      <c r="AS140" s="11" t="n">
        <f>IF(AND(COUNT(I140:K140,AP140:AR140)=6,MIN(AP140:AR140)&gt;0),I140/7/AP140*0.5+J140/14/AQ140*0.3+K140/30/AR140*0.2,"")</f>
        <v>0.2634683387865372</v>
      </c>
      <c r="AT140" s="8" t="n">
        <v>18</v>
      </c>
      <c r="AU140" s="8" t="n">
        <v>3</v>
      </c>
      <c r="AV140" s="8" t="n">
        <v>88</v>
      </c>
      <c r="AW140" s="11" t="n">
        <f>IF(AND(COUNT(AT140:AV140)=3,AT140&gt;=AU140,AU140&gt;=0,AV140&gt;0),(AT140-AU140)/AV140,"")</f>
        <v>0.17045454545454544</v>
      </c>
      <c r="AX140" s="8" t="n">
        <v>28</v>
      </c>
      <c r="AY140" s="8" t="n">
        <v>3</v>
      </c>
      <c r="AZ140" s="8" t="n">
        <v>178</v>
      </c>
      <c r="BA140" s="11" t="n">
        <f>IF(AND(COUNT(AX140:AZ140)=3,AX140&gt;=AY140,AY140&gt;=0,AZ140&gt;0),(AX140-AY140)/AZ140,"")</f>
        <v>0.1404494382022472</v>
      </c>
      <c r="BB140" s="8" t="n">
        <f>IF(COUNT(AS140,AW140,BA140)=3,1,0)</f>
        <v>1</v>
      </c>
      <c r="BC140" s="11" t="n">
        <f>IF(SUMIF($AO$11:$AO$1309,AO140,$BB$11:$BB$1309)=COUNTIF($AO$11:$AO$1309,AO140),SUMIF($AO$11:$AO$1309,AO140,$AS$11:$AS$1309),"")</f>
        <v>2.517644694108243</v>
      </c>
      <c r="BD140" s="11" t="n">
        <f>IF(SUMIF($AO$11:$AO$1309,AO140,$BB$11:$BB$1309)=COUNTIF($AO$11:$AO$1309,AO140),SUMIF($AO$11:$AO$1309,AO140,$AW$11:$AW$1309),"")</f>
        <v>2.0255347593582886</v>
      </c>
      <c r="BE140" s="11" t="n">
        <f>IF(SUMIF($AO$11:$AO$1309,AO140,$BB$11:$BB$1309)=COUNTIF($AO$11:$AO$1309,AO140),SUMIF($AO$11:$AO$1309,AO140,$BA$11:$BA$1309),"")</f>
        <v>1.721701444622793</v>
      </c>
      <c r="BF140" s="12" t="n">
        <f>IF(COUNT(BD140:BE140)&lt;&gt;2,"",IF(AND(BD140&gt;0,BE140&gt;0),0.7*AW140/BD140+0.3*BA140/BE140,IF(BD140&gt;0,AW140/BD140,IF(BE140&gt;0,BA140/BE140,IF(AND(ISNUMBER(BH140),BH140=0),0,"")))))</f>
        <v>0.0833797890997735</v>
      </c>
      <c r="BG140" s="11" t="n">
        <f>IF(AND(COUNT(BN140:BU140)=8,MIN(BN140:BU140)&gt;=0),SUMPRODUCT(BN140:BQ140,BR140:BU140),"")</f>
        <v>88.27281580841549</v>
      </c>
      <c r="BH140" s="11" t="n">
        <f>IF(COUNT(BC140,BG140)=2,BC140*BG140,"")</f>
        <v>222.23958635405148</v>
      </c>
      <c r="BI140" s="11" t="n">
        <f>IF(ISNUMBER(CI140),CI140,"")</f>
        <v>18.530289839821716</v>
      </c>
      <c r="BJ140" s="8" t="str"/>
      <c r="BK140" s="8" t="str">
        <v>90天：2026-07-20 至 2026-10-17；180天：2026-04-21 至 2026-10-17</v>
      </c>
      <c r="BL140" s="8" t="str">
        <v>90天：2026-10-06、2026-10-07；180天：2026-10-06、2026-10-07</v>
      </c>
      <c r="BM140" s="8" t="str">
        <v>2026-10：12天 × 1.0395067087630607；2026-11：30天 × 0.9890368360033146；2026-12：31天 × 0.7800796503018808；2027-01：17天 × 1.2908918272824135</v>
      </c>
      <c r="BN140" s="11" t="n">
        <v>1.0395067087630607</v>
      </c>
      <c r="BO140" s="11" t="n">
        <v>0.9890368360033146</v>
      </c>
      <c r="BP140" s="11" t="n">
        <v>0.7800796503018808</v>
      </c>
      <c r="BQ140" s="11" t="n">
        <v>1.2908918272824135</v>
      </c>
      <c r="BR140" s="8" t="n">
        <v>12</v>
      </c>
      <c r="BS140" s="8" t="n">
        <v>30</v>
      </c>
      <c r="BT140" s="8" t="n">
        <v>31</v>
      </c>
      <c r="BU140" s="8" t="n">
        <v>17</v>
      </c>
      <c r="BV140" s="11" t="n">
        <f>IF(COUNT(BC140,BF140)=2,BC140*BF140,"")</f>
        <v>0.20992068362290908</v>
      </c>
      <c r="BW140" s="11" t="n">
        <f>IF(ISNUMBER(BN140),BN140,"")</f>
        <v>1.0395067087630607</v>
      </c>
      <c r="BX140" s="14" t="n">
        <f>IF(ISNUMBER(BR140),BR140,"")</f>
        <v>12</v>
      </c>
      <c r="BY140" s="13" t="n">
        <f>IF(AND(COUNT(BV140,BW140,BX140)=3,MIN(BV140,BW140,BX140)&gt;=0),BV140*BW140*BX140,"")</f>
        <v>2.6185675072097037</v>
      </c>
      <c r="BZ140" s="11" t="n">
        <f>IF(ISNUMBER(BO140),BO140,"")</f>
        <v>0.9890368360033146</v>
      </c>
      <c r="CA140" s="14" t="n">
        <f>IF(ISNUMBER(BS140),BS140,"")</f>
        <v>30</v>
      </c>
      <c r="CB140" s="13" t="n">
        <f>IF(AND(COUNT(BV140,BZ140,CA140)=3,MIN(BV140,BZ140,CA140)&gt;=0),BV140*BZ140*CA140,"")</f>
        <v>6.228578662261644</v>
      </c>
      <c r="CC140" s="11" t="n">
        <f>IF(ISNUMBER(BP140),BP140,"")</f>
        <v>0.7800796503018808</v>
      </c>
      <c r="CD140" s="14" t="n">
        <f>IF(ISNUMBER(BT140),BT140,"")</f>
        <v>31</v>
      </c>
      <c r="CE140" s="13" t="n">
        <f>IF(AND(COUNT(BV140,CC140,CD140)=3,MIN(BV140,CC140,CD140)&gt;=0),BV140*CC140*CD140,"")</f>
        <v>5.076400457622411</v>
      </c>
      <c r="CF140" s="11" t="n">
        <f>IF(ISNUMBER(BQ140),BQ140,"")</f>
        <v>1.2908918272824135</v>
      </c>
      <c r="CG140" s="14" t="n">
        <f>IF(ISNUMBER(BU140),BU140,"")</f>
        <v>17</v>
      </c>
      <c r="CH140" s="13" t="n">
        <f>IF(AND(COUNT(BV140,CF140,CG140)=3,MIN(BV140,CF140,CG140)&gt;=0),BV140*CF140*CG140,"")</f>
        <v>4.606743212727959</v>
      </c>
      <c r="CI140" s="13" t="n">
        <f>IF(COUNT(BY140,CB140,CE140,CH140)=4,SUM(BY140,CB140,CE140,CH140),"")</f>
        <v>18.530289839821716</v>
      </c>
    </row>
    <row r="141" ht="72" customHeight="1">
      <c r="A141" s="16" t="str">
        <v>60516-RD-S-K-9</v>
      </c>
      <c r="B141" s="16" t="str">
        <v>3店-SANDIEX-US</v>
      </c>
      <c r="C141" s="16" t="str">
        <v>徐新怡</v>
      </c>
      <c r="D141" s="26" t="n">
        <f>IF(NOT(ISNUMBER(E141)),"",IF(OR(E141&lt;=0,L141=0),0,IF(OR(NOT(ISNUMBER(F141)),F141&lt;0),"",MIN(E141,INT(F141)))))</f>
        <v>8</v>
      </c>
      <c r="E141" s="27" t="n">
        <f>IF(OR(NOT(ISNUMBER(L141)),COUNT(M141:O141)&lt;&gt;3,MIN(M141:O141)&lt;0),"",ROUNDUP(ROUND(BI141-SUM(M141:O141),10),0))</f>
        <v>8</v>
      </c>
      <c r="F141" s="28" t="n">
        <v>22</v>
      </c>
      <c r="G141" s="28" t="n">
        <f>IF(AND(ISNUMBER(D141),ISNUMBER(E141)),IF(OR(E141&lt;=0,L141=0),0,E141-D141),"")</f>
        <v>0</v>
      </c>
      <c r="H141" s="16" t="str">
        <f>IF(NOT(ISNUMBER(E141)),"销量或海外库存待补",IF(OR(E141&lt;=0,L141=0),IF(L141=0,"零日销，本批不发","本批无需补货"),IF(NOT(ISNUMBER(D141)),"国内库存待补",IF(D141=0,"国内无可用库存",IF(G141&gt;0,"先发国内现货","按建议量发货")))))</f>
        <v>按建议量发货</v>
      </c>
      <c r="I141" s="28" t="n">
        <f>IF(AND(COUNT(Z141,AA141,AB141)=3,Z141&gt;=AA141,AA141&gt;=0,AB141=7),Z141-AA141,"")</f>
        <v>2</v>
      </c>
      <c r="J141" s="28" t="n">
        <f>IF(AND(COUNT(AF141,AG141,AH141)=3,AF141&gt;=AG141,AG141&gt;=0,AH141=14),AF141-AG141,"")</f>
        <v>3</v>
      </c>
      <c r="K141" s="28" t="n">
        <f>IF(AND(COUNT(AL141,AM141,AN141)=3,AL141&gt;=AM141,AM141&gt;=0,AN141=30),AL141-AM141,"")</f>
        <v>5</v>
      </c>
      <c r="L141" s="29" t="n">
        <f>IF(ISNUMBER(BI141),BI141/90,"")</f>
        <v>0.09461975340124949</v>
      </c>
      <c r="M141" s="28" t="n">
        <v>1</v>
      </c>
      <c r="N141" s="28" t="n">
        <v>0</v>
      </c>
      <c r="O141" s="28" t="n">
        <v>0</v>
      </c>
      <c r="P141" s="30" t="n">
        <f>IF(AND(ISNUMBER(L141),L141&gt;0,COUNT(M141:O141)=3,MIN(M141:O141)&gt;=0),SUM(M141:O141)/L141,"")</f>
        <v>10.56861769401731</v>
      </c>
      <c r="Q141" s="16" t="str">
        <v>沿用原计划SKU店铺</v>
      </c>
      <c r="R141" s="16" t="str">
        <v>已匹配</v>
      </c>
      <c r="S141" s="16" t="str">
        <v>停售</v>
      </c>
      <c r="T141" s="16" t="str">
        <v>60516</v>
      </c>
      <c r="U141" s="16" t="str">
        <v>红色</v>
      </c>
      <c r="V141" s="16" t="n">
        <v>9</v>
      </c>
      <c r="W141" s="8" t="str">
        <v>2026-10-11 至 2026-10-17</v>
      </c>
      <c r="X141" s="8" t="str">
        <v>2026-10-11、2026-10-12、2026-10-13、2026-10-14、2026-10-15、2026-10-16、2026-10-17</v>
      </c>
      <c r="Y141" s="8" t="str">
        <v>无</v>
      </c>
      <c r="Z141" s="8" t="n">
        <v>2</v>
      </c>
      <c r="AA141" s="8" t="n">
        <v>0</v>
      </c>
      <c r="AB141" s="8" t="n">
        <v>7</v>
      </c>
      <c r="AC141" s="8" t="str">
        <v>2026-10-02 至 2026-10-17</v>
      </c>
      <c r="AD141" s="8" t="str">
        <v>2026-10-02、2026-10-03、2026-10-04、2026-10-05、2026-10-08、2026-10-09、2026-10-10、2026-10-11、2026-10-12、2026-10-13、2026-10-14、2026-10-15、2026-10-16、2026-10-17</v>
      </c>
      <c r="AE141" s="8" t="str">
        <v>2026-10-06 大促；2026-10-07 大促</v>
      </c>
      <c r="AF141" s="8" t="n">
        <v>5</v>
      </c>
      <c r="AG141" s="8" t="n">
        <v>2</v>
      </c>
      <c r="AH141" s="8" t="n">
        <v>14</v>
      </c>
      <c r="AI141" s="8" t="str">
        <v>2026-09-16 至 2026-10-17</v>
      </c>
      <c r="AJ1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1" s="8" t="str">
        <v>2026-10-06 大促；2026-10-07 大促</v>
      </c>
      <c r="AL141" s="8" t="n">
        <v>7</v>
      </c>
      <c r="AM141" s="8" t="n">
        <v>2</v>
      </c>
      <c r="AN141" s="8" t="n">
        <v>30</v>
      </c>
      <c r="AO141" s="8" t="str">
        <v>60516 / 红色羊京绒 / 6574</v>
      </c>
      <c r="AP141" s="11" t="n">
        <v>1.8609238953732312</v>
      </c>
      <c r="AQ141" s="11" t="n">
        <v>1.8609238953732312</v>
      </c>
      <c r="AR141" s="11" t="n">
        <v>1.7598476169692943</v>
      </c>
      <c r="AS141" s="11" t="n">
        <f>IF(AND(COUNT(I141:K141,AP141:AR141)=6,MIN(AP141:AR141)&gt;0),I141/7/AP141*0.5+J141/14/AQ141*0.3+K141/30/AR141*0.2,"")</f>
        <v>0.13025287078765715</v>
      </c>
      <c r="AT141" s="8" t="n">
        <v>10</v>
      </c>
      <c r="AU141" s="8" t="n">
        <v>2</v>
      </c>
      <c r="AV141" s="8" t="n">
        <v>88</v>
      </c>
      <c r="AW141" s="11" t="n">
        <f>IF(AND(COUNT(AT141:AV141)=3,AT141&gt;=AU141,AU141&gt;=0,AV141&gt;0),(AT141-AU141)/AV141,"")</f>
        <v>0.09090909090909091</v>
      </c>
      <c r="AX141" s="8" t="n">
        <v>16</v>
      </c>
      <c r="AY141" s="8" t="n">
        <v>2</v>
      </c>
      <c r="AZ141" s="8" t="n">
        <v>178</v>
      </c>
      <c r="BA141" s="11" t="n">
        <f>IF(AND(COUNT(AX141:AZ141)=3,AX141&gt;=AY141,AY141&gt;=0,AZ141&gt;0),(AX141-AY141)/AZ141,"")</f>
        <v>0.07865168539325842</v>
      </c>
      <c r="BB141" s="8" t="n">
        <f>IF(COUNT(AS141,AW141,BA141)=3,1,0)</f>
        <v>1</v>
      </c>
      <c r="BC141" s="11" t="n">
        <f>IF(SUMIF($AO$11:$AO$1309,AO141,$BB$11:$BB$1309)=COUNTIF($AO$11:$AO$1309,AO141),SUMIF($AO$11:$AO$1309,AO141,$AS$11:$AS$1309),"")</f>
        <v>0.3946219562135558</v>
      </c>
      <c r="BD141" s="11" t="n">
        <f>IF(SUMIF($AO$11:$AO$1309,AO141,$BB$11:$BB$1309)=COUNTIF($AO$11:$AO$1309,AO141),SUMIF($AO$11:$AO$1309,AO141,$AW$11:$AW$1309),"")</f>
        <v>0.4780748663101604</v>
      </c>
      <c r="BE141" s="11" t="n">
        <f>IF(SUMIF($AO$11:$AO$1309,AO141,$BB$11:$BB$1309)=COUNTIF($AO$11:$AO$1309,AO141),SUMIF($AO$11:$AO$1309,AO141,$BA$11:$BA$1309),"")</f>
        <v>0.3713643659711075</v>
      </c>
      <c r="BF141" s="12" t="n">
        <f>IF(COUNT(BD141:BE141)&lt;&gt;2,"",IF(AND(BD141&gt;0,BE141&gt;0),0.7*AW141/BD141+0.3*BA141/BE141,IF(BD141&gt;0,AW141/BD141,IF(BE141&gt;0,BA141/BE141,IF(AND(ISNUMBER(BH141),BH141=0),0,"")))))</f>
        <v>0.19664696408514115</v>
      </c>
      <c r="BG141" s="11" t="n">
        <f>IF(AND(COUNT(BN141:BU141)=8,MIN(BN141:BU141)&gt;=0),SUMPRODUCT(BN141:BQ141,BR141:BU141),"")</f>
        <v>109.73769409574882</v>
      </c>
      <c r="BH141" s="11" t="n">
        <f>IF(COUNT(BC141,BG141)=2,BC141*BG141,"")</f>
        <v>43.30490351442917</v>
      </c>
      <c r="BI141" s="11" t="n">
        <f>IF(ISNUMBER(CI141),CI141,"")</f>
        <v>8.515777806112455</v>
      </c>
      <c r="BJ141" s="8" t="str">
        <v>近180天本色销量78双（＜90），无有效新采购，请运营判断</v>
      </c>
      <c r="BK141" s="8" t="str">
        <v>90天：2026-07-20 至 2026-10-17；180天：2026-04-21 至 2026-10-17</v>
      </c>
      <c r="BL141" s="8" t="str">
        <v>90天：2026-10-06、2026-10-07；180天：2026-10-06、2026-10-07</v>
      </c>
      <c r="BM141" s="8" t="str">
        <v>2026-10：12天 × 1.8609238953732312；2026-11：30天 × 1.438375649833085；2026-12：31天 × 0.9519742599124907；2027-01：17天 × 0.8673021058229575</v>
      </c>
      <c r="BN141" s="11" t="n">
        <v>1.8609238953732312</v>
      </c>
      <c r="BO141" s="11" t="n">
        <v>1.438375649833085</v>
      </c>
      <c r="BP141" s="11" t="n">
        <v>0.9519742599124907</v>
      </c>
      <c r="BQ141" s="11" t="n">
        <v>0.8673021058229575</v>
      </c>
      <c r="BR141" s="8" t="n">
        <v>12</v>
      </c>
      <c r="BS141" s="8" t="n">
        <v>30</v>
      </c>
      <c r="BT141" s="8" t="n">
        <v>31</v>
      </c>
      <c r="BU141" s="8" t="n">
        <v>17</v>
      </c>
      <c r="BV141" s="11" t="n">
        <f>IF(COUNT(BC141,BF141)=2,BC141*BF141,"")</f>
        <v>0.07760120965073525</v>
      </c>
      <c r="BW141" s="11" t="n">
        <f>IF(ISNUMBER(BN141),BN141,"")</f>
        <v>1.8609238953732312</v>
      </c>
      <c r="BX141" s="14" t="n">
        <f>IF(ISNUMBER(BR141),BR141,"")</f>
        <v>12</v>
      </c>
      <c r="BY141" s="13" t="n">
        <f>IF(AND(COUNT(BV141,BW141,BX141)=3,MIN(BV141,BW141,BX141)&gt;=0),BV141*BW141*BX141,"")</f>
        <v>1.732919344187052</v>
      </c>
      <c r="BZ141" s="11" t="n">
        <f>IF(ISNUMBER(BO141),BO141,"")</f>
        <v>1.438375649833085</v>
      </c>
      <c r="CA141" s="14" t="n">
        <f>IF(ISNUMBER(BS141),BS141,"")</f>
        <v>30</v>
      </c>
      <c r="CB141" s="13" t="n">
        <f>IF(AND(COUNT(BV141,BZ141,CA141)=3,MIN(BV141,BZ141,CA141)&gt;=0),BV141*BZ141*CA141,"")</f>
        <v>3.3485907107762936</v>
      </c>
      <c r="CC141" s="11" t="n">
        <f>IF(ISNUMBER(BP141),BP141,"")</f>
        <v>0.9519742599124907</v>
      </c>
      <c r="CD141" s="14" t="n">
        <f>IF(ISNUMBER(BT141),BT141,"")</f>
        <v>31</v>
      </c>
      <c r="CE141" s="13" t="n">
        <f>IF(AND(COUNT(BV141,CC141,CD141)=3,MIN(BV141,CC141,CD141)&gt;=0),BV141*CC141*CD141,"")</f>
        <v>2.2901049778927542</v>
      </c>
      <c r="CF141" s="11" t="n">
        <f>IF(ISNUMBER(BQ141),BQ141,"")</f>
        <v>0.8673021058229575</v>
      </c>
      <c r="CG141" s="14" t="n">
        <f>IF(ISNUMBER(BU141),BU141,"")</f>
        <v>17</v>
      </c>
      <c r="CH141" s="13" t="n">
        <f>IF(AND(COUNT(BV141,CF141,CG141)=3,MIN(BV141,CF141,CG141)&gt;=0),BV141*CF141*CG141,"")</f>
        <v>1.1441627732563553</v>
      </c>
      <c r="CI141" s="13" t="n">
        <f>IF(COUNT(BY141,CB141,CE141,CH141)=4,SUM(BY141,CB141,CE141,CH141),"")</f>
        <v>8.515777806112455</v>
      </c>
    </row>
    <row r="142" ht="72" customHeight="1">
      <c r="A142" s="16" t="str">
        <v>8392-TN-40.5</v>
      </c>
      <c r="B142" s="16" t="str">
        <v>3店-SANDIEX-US</v>
      </c>
      <c r="C142" s="16" t="str">
        <v>徐新怡</v>
      </c>
      <c r="D142" s="26" t="n">
        <f>IF(NOT(ISNUMBER(E142)),"",IF(OR(E142&lt;=0,L142=0),0,IF(OR(NOT(ISNUMBER(F142)),F142&lt;0),"",MIN(E142,INT(F142)))))</f>
        <v>8</v>
      </c>
      <c r="E142" s="27" t="n">
        <f>IF(OR(NOT(ISNUMBER(L142)),COUNT(M142:O142)&lt;&gt;3,MIN(M142:O142)&lt;0),"",ROUNDUP(ROUND(BI142-SUM(M142:O142),10),0))</f>
        <v>8</v>
      </c>
      <c r="F142" s="28" t="n">
        <v>28</v>
      </c>
      <c r="G142" s="28" t="n">
        <f>IF(AND(ISNUMBER(D142),ISNUMBER(E142)),IF(OR(E142&lt;=0,L142=0),0,E142-D142),"")</f>
        <v>0</v>
      </c>
      <c r="H142" s="16" t="str">
        <f>IF(NOT(ISNUMBER(E142)),"销量或海外库存待补",IF(OR(E142&lt;=0,L142=0),IF(L142=0,"零日销，本批不发","本批无需补货"),IF(NOT(ISNUMBER(D142)),"国内库存待补",IF(D142=0,"国内无可用库存",IF(G142&gt;0,"先发国内现货","按建议量发货")))))</f>
        <v>按建议量发货</v>
      </c>
      <c r="I142" s="28" t="n">
        <f>IF(AND(COUNT(Z142,AA142,AB142)=3,Z142&gt;=AA142,AA142&gt;=0,AB142=7),Z142-AA142,"")</f>
        <v>2</v>
      </c>
      <c r="J142" s="28" t="n">
        <f>IF(AND(COUNT(AF142,AG142,AH142)=3,AF142&gt;=AG142,AG142&gt;=0,AH142=14),AF142-AG142,"")</f>
        <v>3</v>
      </c>
      <c r="K142" s="28" t="n">
        <f>IF(AND(COUNT(AL142,AM142,AN142)=3,AL142&gt;=AM142,AM142&gt;=0,AN142=30),AL142-AM142,"")</f>
        <v>4</v>
      </c>
      <c r="L142" s="29" t="n">
        <f>IF(ISNUMBER(BI142),BI142/90,"")</f>
        <v>0.20100493588497534</v>
      </c>
      <c r="M142" s="28" t="n">
        <v>11</v>
      </c>
      <c r="N142" s="28" t="n">
        <v>0</v>
      </c>
      <c r="O142" s="28" t="n">
        <v>0</v>
      </c>
      <c r="P142" s="30" t="n">
        <f>IF(AND(ISNUMBER(L142),L142&gt;0,COUNT(M142:O142)=3,MIN(M142:O142)&gt;=0),SUM(M142:O142)/L142,"")</f>
        <v>54.72502429639204</v>
      </c>
      <c r="Q142" s="16" t="str">
        <v>按本SKU唯一未删除Listing店铺核实</v>
      </c>
      <c r="R142" s="16" t="str">
        <v>已匹配</v>
      </c>
      <c r="S142" s="16" t="str">
        <v>在售</v>
      </c>
      <c r="T142" s="16" t="str">
        <v>8392</v>
      </c>
      <c r="U142" s="16" t="str">
        <v>驼色</v>
      </c>
      <c r="V142" s="16" t="n">
        <v>9.5</v>
      </c>
      <c r="W142" s="8" t="str">
        <v>2026-10-11 至 2026-10-17</v>
      </c>
      <c r="X142" s="8" t="str">
        <v>2026-10-11、2026-10-12、2026-10-13、2026-10-14、2026-10-15、2026-10-16、2026-10-17</v>
      </c>
      <c r="Y142" s="8" t="str">
        <v>无</v>
      </c>
      <c r="Z142" s="8" t="n">
        <v>2</v>
      </c>
      <c r="AA142" s="8" t="n">
        <v>0</v>
      </c>
      <c r="AB142" s="8" t="n">
        <v>7</v>
      </c>
      <c r="AC142" s="8" t="str">
        <v>2026-10-02 至 2026-10-17</v>
      </c>
      <c r="AD142" s="8" t="str">
        <v>2026-10-02、2026-10-03、2026-10-04、2026-10-05、2026-10-08、2026-10-09、2026-10-10、2026-10-11、2026-10-12、2026-10-13、2026-10-14、2026-10-15、2026-10-16、2026-10-17</v>
      </c>
      <c r="AE142" s="8" t="str">
        <v>2026-10-06 大促；2026-10-07 大促</v>
      </c>
      <c r="AF142" s="8" t="n">
        <v>4</v>
      </c>
      <c r="AG142" s="8" t="n">
        <v>1</v>
      </c>
      <c r="AH142" s="8" t="n">
        <v>14</v>
      </c>
      <c r="AI142" s="8" t="str">
        <v>2026-09-16 至 2026-10-17</v>
      </c>
      <c r="AJ1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2" s="8" t="str">
        <v>2026-10-06 大促；2026-10-07 大促</v>
      </c>
      <c r="AL142" s="8" t="n">
        <v>5</v>
      </c>
      <c r="AM142" s="8" t="n">
        <v>1</v>
      </c>
      <c r="AN142" s="8" t="n">
        <v>30</v>
      </c>
      <c r="AO142" s="8" t="str">
        <v>8392 / 驼色羊京绒 / 6574</v>
      </c>
      <c r="AP142" s="11" t="n">
        <v>1.1743420411079069</v>
      </c>
      <c r="AQ142" s="11" t="n">
        <v>1.1743420411079069</v>
      </c>
      <c r="AR142" s="11" t="n">
        <v>1.144331424468921</v>
      </c>
      <c r="AS142" s="11" t="n">
        <f>IF(AND(COUNT(I142:K142,AP142:AR142)=6,MIN(AP142:AR142)&gt;0),I142/7/AP142*0.5+J142/14/AQ142*0.3+K142/30/AR142*0.2,"")</f>
        <v>0.19969383805469937</v>
      </c>
      <c r="AT142" s="8" t="n">
        <v>10</v>
      </c>
      <c r="AU142" s="8" t="n">
        <v>1</v>
      </c>
      <c r="AV142" s="8" t="n">
        <v>88</v>
      </c>
      <c r="AW142" s="11" t="n">
        <f>IF(AND(COUNT(AT142:AV142)=3,AT142&gt;=AU142,AU142&gt;=0,AV142&gt;0),(AT142-AU142)/AV142,"")</f>
        <v>0.10227272727272728</v>
      </c>
      <c r="AX142" s="8" t="n">
        <v>16</v>
      </c>
      <c r="AY142" s="8" t="n">
        <v>1</v>
      </c>
      <c r="AZ142" s="8" t="n">
        <v>178</v>
      </c>
      <c r="BA142" s="11" t="n">
        <f>IF(AND(COUNT(AX142:AZ142)=3,AX142&gt;=AY142,AY142&gt;=0,AZ142&gt;0),(AX142-AY142)/AZ142,"")</f>
        <v>0.08426966292134831</v>
      </c>
      <c r="BB142" s="8" t="n">
        <f>IF(COUNT(AS142,AW142,BA142)=3,1,0)</f>
        <v>1</v>
      </c>
      <c r="BC142" s="11" t="n">
        <f>IF(SUMIF($AO$11:$AO$1309,AO142,$BB$11:$BB$1309)=COUNTIF($AO$11:$AO$1309,AO142),SUMIF($AO$11:$AO$1309,AO142,$AS$11:$AS$1309),"")</f>
        <v>0.7013954528820118</v>
      </c>
      <c r="BD142" s="11" t="n">
        <f>IF(SUMIF($AO$11:$AO$1309,AO142,$BB$11:$BB$1309)=COUNTIF($AO$11:$AO$1309,AO142),SUMIF($AO$11:$AO$1309,AO142,$AW$11:$AW$1309),"")</f>
        <v>0.33235294117647063</v>
      </c>
      <c r="BE142" s="11" t="n">
        <f>IF(SUMIF($AO$11:$AO$1309,AO142,$BB$11:$BB$1309)=COUNTIF($AO$11:$AO$1309,AO142),SUMIF($AO$11:$AO$1309,AO142,$BA$11:$BA$1309),"")</f>
        <v>0.4921348314606742</v>
      </c>
      <c r="BF142" s="12" t="n">
        <f>IF(COUNT(BD142:BE142)&lt;&gt;2,"",IF(AND(BD142&gt;0,BE142&gt;0),0.7*AW142/BD142+0.3*BA142/BE142,IF(BD142&gt;0,AW142/BD142,IF(BE142&gt;0,BA142/BE142,IF(AND(ISNUMBER(BH142),BH142=0),0,"")))))</f>
        <v>0.26677613815448703</v>
      </c>
      <c r="BG142" s="11" t="n">
        <f>IF(AND(COUNT(BN142:BU142)=8,MIN(BN142:BU142)&gt;=0),SUMPRODUCT(BN142:BQ142,BR142:BU142),"")</f>
        <v>96.68059267618935</v>
      </c>
      <c r="BH142" s="11" t="n">
        <f>IF(COUNT(BC142,BG142)=2,BC142*BG142,"")</f>
        <v>67.81132808501714</v>
      </c>
      <c r="BI142" s="11" t="n">
        <f>IF(ISNUMBER(CI142),CI142,"")</f>
        <v>18.09044422964778</v>
      </c>
      <c r="BJ142" s="8" t="str"/>
      <c r="BK142" s="8" t="str">
        <v>90天：2026-07-20 至 2026-10-17；180天：2026-04-21 至 2026-10-17</v>
      </c>
      <c r="BL142" s="8" t="str">
        <v>90天：2026-10-06、2026-10-07；180天：2026-10-06、2026-10-07</v>
      </c>
      <c r="BM142" s="8" t="str">
        <v>2026-10：12天 × 1.1743420411079069；2026-11：30天 × 1.281694931279211；2026-12：31天 × 0.9007634642750235；2027-01：17天 × 0.9537631089407297</v>
      </c>
      <c r="BN142" s="11" t="n">
        <v>1.1743420411079069</v>
      </c>
      <c r="BO142" s="11" t="n">
        <v>1.281694931279211</v>
      </c>
      <c r="BP142" s="11" t="n">
        <v>0.9007634642750235</v>
      </c>
      <c r="BQ142" s="11" t="n">
        <v>0.9537631089407297</v>
      </c>
      <c r="BR142" s="8" t="n">
        <v>12</v>
      </c>
      <c r="BS142" s="8" t="n">
        <v>30</v>
      </c>
      <c r="BT142" s="8" t="n">
        <v>31</v>
      </c>
      <c r="BU142" s="8" t="n">
        <v>17</v>
      </c>
      <c r="BV142" s="11" t="n">
        <f>IF(COUNT(BC142,BF142)=2,BC142*BF142,"")</f>
        <v>0.18711557023898057</v>
      </c>
      <c r="BW142" s="11" t="n">
        <f>IF(ISNUMBER(BN142),BN142,"")</f>
        <v>1.1743420411079069</v>
      </c>
      <c r="BX142" s="14" t="n">
        <f>IF(ISNUMBER(BR142),BR142,"")</f>
        <v>12</v>
      </c>
      <c r="BY142" s="13" t="n">
        <f>IF(AND(COUNT(BV142,BW142,BX142)=3,MIN(BV142,BW142,BX142)&gt;=0),BV142*BW142*BX142,"")</f>
        <v>2.636852168130172</v>
      </c>
      <c r="BZ142" s="11" t="n">
        <f>IF(ISNUMBER(BO142),BO142,"")</f>
        <v>1.281694931279211</v>
      </c>
      <c r="CA142" s="14" t="n">
        <f>IF(ISNUMBER(BS142),BS142,"")</f>
        <v>30</v>
      </c>
      <c r="CB142" s="13" t="n">
        <f>IF(AND(COUNT(BV142,BZ142,CA142)=3,MIN(BV142,BZ142,CA142)&gt;=0),BV142*BZ142*CA142,"")</f>
        <v>7.194752338161617</v>
      </c>
      <c r="CC142" s="11" t="n">
        <f>IF(ISNUMBER(BP142),BP142,"")</f>
        <v>0.9007634642750235</v>
      </c>
      <c r="CD142" s="14" t="n">
        <f>IF(ISNUMBER(BT142),BT142,"")</f>
        <v>31</v>
      </c>
      <c r="CE142" s="13" t="n">
        <f>IF(AND(COUNT(BV142,CC142,CD142)=3,MIN(BV142,CC142,CD142)&gt;=0),BV142*CC142*CD142,"")</f>
        <v>5.224952947316079</v>
      </c>
      <c r="CF142" s="11" t="n">
        <f>IF(ISNUMBER(BQ142),BQ142,"")</f>
        <v>0.9537631089407297</v>
      </c>
      <c r="CG142" s="14" t="n">
        <f>IF(ISNUMBER(BU142),BU142,"")</f>
        <v>17</v>
      </c>
      <c r="CH142" s="13" t="n">
        <f>IF(AND(COUNT(BV142,CF142,CG142)=3,MIN(BV142,CF142,CG142)&gt;=0),BV142*CF142*CG142,"")</f>
        <v>3.033886776039909</v>
      </c>
      <c r="CI142" s="13" t="n">
        <f>IF(COUNT(BY142,CB142,CE142,CH142)=4,SUM(BY142,CB142,CE142,CH142),"")</f>
        <v>18.09044422964778</v>
      </c>
    </row>
    <row r="143" ht="72" customHeight="1">
      <c r="A143" s="16" t="str">
        <v>B06-ND-38.5</v>
      </c>
      <c r="B143" s="16" t="str">
        <v>1店-MUSSHOE-US</v>
      </c>
      <c r="C143" s="16" t="str">
        <v>艾年</v>
      </c>
      <c r="D143" s="26" t="n">
        <f>IF(NOT(ISNUMBER(E143)),"",IF(OR(E143&lt;=0,L143=0),0,IF(OR(NOT(ISNUMBER(F143)),F143&lt;0),"",MIN(E143,INT(F143)))))</f>
        <v>8</v>
      </c>
      <c r="E143" s="27" t="n">
        <f>IF(OR(NOT(ISNUMBER(L143)),COUNT(M143:O143)&lt;&gt;3,MIN(M143:O143)&lt;0),"",ROUNDUP(ROUND(BI143-SUM(M143:O143),10),0))</f>
        <v>8</v>
      </c>
      <c r="F143" s="28" t="n">
        <v>17</v>
      </c>
      <c r="G143" s="28" t="n">
        <f>IF(AND(ISNUMBER(D143),ISNUMBER(E143)),IF(OR(E143&lt;=0,L143=0),0,E143-D143),"")</f>
        <v>0</v>
      </c>
      <c r="H143" s="16" t="str">
        <f>IF(NOT(ISNUMBER(E143)),"销量或海外库存待补",IF(OR(E143&lt;=0,L143=0),IF(L143=0,"零日销，本批不发","本批无需补货"),IF(NOT(ISNUMBER(D143)),"国内库存待补",IF(D143=0,"国内无可用库存",IF(G143&gt;0,"先发国内现货","按建议量发货")))))</f>
        <v>按建议量发货</v>
      </c>
      <c r="I143" s="28" t="n">
        <f>IF(AND(COUNT(Z143,AA143,AB143)=3,Z143&gt;=AA143,AA143&gt;=0,AB143=7),Z143-AA143,"")</f>
        <v>12</v>
      </c>
      <c r="J143" s="28" t="n">
        <f>IF(AND(COUNT(AF143,AG143,AH143)=3,AF143&gt;=AG143,AG143&gt;=0,AH143=14),AF143-AG143,"")</f>
        <v>26</v>
      </c>
      <c r="K143" s="28" t="n">
        <f>IF(AND(COUNT(AL143,AM143,AN143)=3,AL143&gt;=AM143,AM143&gt;=0,AN143=30),AL143-AM143,"")</f>
        <v>62</v>
      </c>
      <c r="L143" s="29" t="n">
        <f>IF(ISNUMBER(BI143),BI143/90,"")</f>
        <v>1.0655482144267636</v>
      </c>
      <c r="M143" s="28" t="n">
        <v>38</v>
      </c>
      <c r="N143" s="28" t="n">
        <v>0</v>
      </c>
      <c r="O143" s="28" t="n">
        <v>50</v>
      </c>
      <c r="P143" s="30" t="n">
        <f>IF(AND(ISNUMBER(L143),L143&gt;0,COUNT(M143:O143)=3,MIN(M143:O143)&gt;=0),SUM(M143:O143)/L143,"")</f>
        <v>82.5865960906721</v>
      </c>
      <c r="Q143" s="16" t="str">
        <v>沿用原计划SKU店铺</v>
      </c>
      <c r="R143" s="16" t="str">
        <v>已匹配</v>
      </c>
      <c r="S143" s="16" t="str">
        <v>在售</v>
      </c>
      <c r="T143" s="16" t="str">
        <v>B06</v>
      </c>
      <c r="U143" s="16" t="str">
        <v>裸色羊京绒</v>
      </c>
      <c r="V143" s="16" t="n">
        <v>7.5</v>
      </c>
      <c r="W143" s="8" t="str">
        <v>2026-10-11 至 2026-10-17</v>
      </c>
      <c r="X143" s="8" t="str">
        <v>2026-10-11、2026-10-12、2026-10-13、2026-10-14、2026-10-15、2026-10-16、2026-10-17</v>
      </c>
      <c r="Y143" s="8" t="str">
        <v>无</v>
      </c>
      <c r="Z143" s="8" t="n">
        <v>12</v>
      </c>
      <c r="AA143" s="8" t="n">
        <v>0</v>
      </c>
      <c r="AB143" s="8" t="n">
        <v>7</v>
      </c>
      <c r="AC143" s="8" t="str">
        <v>2026-10-02 至 2026-10-17</v>
      </c>
      <c r="AD143" s="8" t="str">
        <v>2026-10-02、2026-10-03、2026-10-04、2026-10-05、2026-10-08、2026-10-09、2026-10-10、2026-10-11、2026-10-12、2026-10-13、2026-10-14、2026-10-15、2026-10-16、2026-10-17</v>
      </c>
      <c r="AE143" s="8" t="str">
        <v>2026-10-06 大促；2026-10-07 大促</v>
      </c>
      <c r="AF143" s="8" t="n">
        <v>29</v>
      </c>
      <c r="AG143" s="8" t="n">
        <v>3</v>
      </c>
      <c r="AH143" s="8" t="n">
        <v>14</v>
      </c>
      <c r="AI143" s="8" t="str">
        <v>2026-09-16 至 2026-10-17</v>
      </c>
      <c r="AJ1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3" s="8" t="str">
        <v>2026-10-06 大促；2026-10-07 大促</v>
      </c>
      <c r="AL143" s="8" t="n">
        <v>65</v>
      </c>
      <c r="AM143" s="8" t="n">
        <v>3</v>
      </c>
      <c r="AN143" s="8" t="n">
        <v>30</v>
      </c>
      <c r="AO143" s="8" t="str">
        <v>B06 / 裸色羊京绒 / 13120</v>
      </c>
      <c r="AP143" s="11" t="n">
        <v>1.2247029157699902</v>
      </c>
      <c r="AQ143" s="11" t="n">
        <v>1.2247029157699902</v>
      </c>
      <c r="AR143" s="11" t="n">
        <v>1.1136940657346173</v>
      </c>
      <c r="AS143" s="11" t="n">
        <f>IF(AND(COUNT(I143:K143,AP143:AR143)=6,MIN(AP143:AR143)&gt;0),I143/7/AP143*0.5+J143/14/AQ143*0.3+K143/30/AR143*0.2,"")</f>
        <v>1.5259362421144749</v>
      </c>
      <c r="AT143" s="8" t="n">
        <v>178</v>
      </c>
      <c r="AU143" s="8" t="n">
        <v>3</v>
      </c>
      <c r="AV143" s="8" t="n">
        <v>88</v>
      </c>
      <c r="AW143" s="11" t="n">
        <f>IF(AND(COUNT(AT143:AV143)=3,AT143&gt;=AU143,AU143&gt;=0,AV143&gt;0),(AT143-AU143)/AV143,"")</f>
        <v>1.9886363636363635</v>
      </c>
      <c r="AX143" s="8" t="n">
        <v>289</v>
      </c>
      <c r="AY143" s="8" t="n">
        <v>3</v>
      </c>
      <c r="AZ143" s="8" t="n">
        <v>178</v>
      </c>
      <c r="BA143" s="11" t="n">
        <f>IF(AND(COUNT(AX143:AZ143)=3,AX143&gt;=AY143,AY143&gt;=0,AZ143&gt;0),(AX143-AY143)/AZ143,"")</f>
        <v>1.6067415730337078</v>
      </c>
      <c r="BB143" s="8" t="n">
        <f>IF(COUNT(AS143,AW143,BA143)=3,1,0)</f>
        <v>1</v>
      </c>
      <c r="BC143" s="11" t="n">
        <f>IF(SUMIF($AO$11:$AO$1309,AO143,$BB$11:$BB$1309)=COUNTIF($AO$11:$AO$1309,AO143),SUMIF($AO$11:$AO$1309,AO143,$AS$11:$AS$1309),"")</f>
        <v>10.520823885219587</v>
      </c>
      <c r="BD143" s="11" t="n">
        <f>IF(SUMIF($AO$11:$AO$1309,AO143,$BB$11:$BB$1309)=COUNTIF($AO$11:$AO$1309,AO143),SUMIF($AO$11:$AO$1309,AO143,$AW$11:$AW$1309),"")</f>
        <v>15.750802139037434</v>
      </c>
      <c r="BE143" s="11" t="n">
        <f>IF(SUMIF($AO$11:$AO$1309,AO143,$BB$11:$BB$1309)=COUNTIF($AO$11:$AO$1309,AO143),SUMIF($AO$11:$AO$1309,AO143,$BA$11:$BA$1309),"")</f>
        <v>13.725200642054572</v>
      </c>
      <c r="BF143" s="12" t="n">
        <f>IF(COUNT(BD143:BE143)&lt;&gt;2,"",IF(AND(BD143&gt;0,BE143&gt;0),0.7*AW143/BD143+0.3*BA143/BE143,IF(BD143&gt;0,AW143/BD143,IF(BE143&gt;0,BA143/BE143,IF(AND(ISNUMBER(BH143),BH143=0),0,"")))))</f>
        <v>0.12349885825217091</v>
      </c>
      <c r="BG143" s="11" t="n">
        <f>IF(AND(COUNT(BN143:BU143)=8,MIN(BN143:BU143)&gt;=0),SUMPRODUCT(BN143:BQ143,BR143:BU143),"")</f>
        <v>73.80791239847399</v>
      </c>
      <c r="BH143" s="11" t="n">
        <f>IF(COUNT(BC143,BG143)=2,BC143*BG143,"")</f>
        <v>776.52004768006</v>
      </c>
      <c r="BI143" s="11" t="n">
        <f>IF(ISNUMBER(CI143),CI143,"")</f>
        <v>95.89933929840873</v>
      </c>
      <c r="BJ143" s="8" t="str">
        <v>低销提醒依据不完整</v>
      </c>
      <c r="BK143" s="8" t="str">
        <v>90天：2026-07-20 至 2026-10-17；180天：2026-04-21 至 2026-10-17</v>
      </c>
      <c r="BL143" s="8" t="str">
        <v>90天：2026-10-06、2026-10-07；180天：2026-10-06、2026-10-07</v>
      </c>
      <c r="BM143" s="8" t="str">
        <v>2026-10：12天 × 1.2247029157699902；2026-11：30天 × 0.8332682139098497；2026-12：31天 × 0.5511018253564084；2027-01：17天 × 1.0017220238758797</v>
      </c>
      <c r="BN143" s="11" t="n">
        <v>1.2247029157699902</v>
      </c>
      <c r="BO143" s="11" t="n">
        <v>0.8332682139098497</v>
      </c>
      <c r="BP143" s="11" t="n">
        <v>0.5511018253564084</v>
      </c>
      <c r="BQ143" s="11" t="n">
        <v>1.0017220238758797</v>
      </c>
      <c r="BR143" s="8" t="n">
        <v>12</v>
      </c>
      <c r="BS143" s="8" t="n">
        <v>30</v>
      </c>
      <c r="BT143" s="8" t="n">
        <v>31</v>
      </c>
      <c r="BU143" s="8" t="n">
        <v>17</v>
      </c>
      <c r="BV143" s="11" t="n">
        <f>IF(COUNT(BC143,BF143)=2,BC143*BF143,"")</f>
        <v>1.2993097376967877</v>
      </c>
      <c r="BW143" s="11" t="n">
        <f>IF(ISNUMBER(BN143),BN143,"")</f>
        <v>1.2247029157699902</v>
      </c>
      <c r="BX143" s="14" t="n">
        <f>IF(ISNUMBER(BR143),BR143,"")</f>
        <v>12</v>
      </c>
      <c r="BY143" s="13" t="n">
        <f>IF(AND(COUNT(BV143,BW143,BX143)=3,MIN(BV143,BW143,BX143)&gt;=0),BV143*BW143*BX143,"")</f>
        <v>19.095221090947163</v>
      </c>
      <c r="BZ143" s="11" t="n">
        <f>IF(ISNUMBER(BO143),BO143,"")</f>
        <v>0.8332682139098497</v>
      </c>
      <c r="CA143" s="14" t="n">
        <f>IF(ISNUMBER(BS143),BS143,"")</f>
        <v>30</v>
      </c>
      <c r="CB143" s="13" t="n">
        <f>IF(AND(COUNT(BV143,BZ143,CA143)=3,MIN(BV143,BZ143,CA143)&gt;=0),BV143*BZ143*CA143,"")</f>
        <v>32.48020513338833</v>
      </c>
      <c r="CC143" s="11" t="n">
        <f>IF(ISNUMBER(BP143),BP143,"")</f>
        <v>0.5511018253564084</v>
      </c>
      <c r="CD143" s="14" t="n">
        <f>IF(ISNUMBER(BT143),BT143,"")</f>
        <v>31</v>
      </c>
      <c r="CE143" s="13" t="n">
        <f>IF(AND(COUNT(BV143,CC143,CD143)=3,MIN(BV143,CC143,CD143)&gt;=0),BV143*CC143*CD143,"")</f>
        <v>22.197611012589736</v>
      </c>
      <c r="CF143" s="11" t="n">
        <f>IF(ISNUMBER(BQ143),BQ143,"")</f>
        <v>1.0017220238758797</v>
      </c>
      <c r="CG143" s="14" t="n">
        <f>IF(ISNUMBER(BU143),BU143,"")</f>
        <v>17</v>
      </c>
      <c r="CH143" s="13" t="n">
        <f>IF(AND(COUNT(BV143,CF143,CG143)=3,MIN(BV143,CF143,CG143)&gt;=0),BV143*CF143*CG143,"")</f>
        <v>22.1263020614835</v>
      </c>
      <c r="CI143" s="13" t="n">
        <f>IF(COUNT(BY143,CB143,CE143,CH143)=4,SUM(BY143,CB143,CE143,CH143),"")</f>
        <v>95.89933929840873</v>
      </c>
    </row>
    <row r="144" ht="72" customHeight="1">
      <c r="A144" s="16" t="str">
        <v>B06-NY-38.5</v>
      </c>
      <c r="B144" s="16" t="str">
        <v>1店-MUSSHOE-US</v>
      </c>
      <c r="C144" s="16" t="str">
        <v>艾年</v>
      </c>
      <c r="D144" s="26" t="n">
        <f>IF(NOT(ISNUMBER(E144)),"",IF(OR(E144&lt;=0,L144=0),0,IF(OR(NOT(ISNUMBER(F144)),F144&lt;0),"",MIN(E144,INT(F144)))))</f>
        <v>8</v>
      </c>
      <c r="E144" s="27" t="n">
        <f>IF(OR(NOT(ISNUMBER(L144)),COUNT(M144:O144)&lt;&gt;3,MIN(M144:O144)&lt;0),"",ROUNDUP(ROUND(BI144-SUM(M144:O144),10),0))</f>
        <v>8</v>
      </c>
      <c r="F144" s="28" t="n">
        <v>39</v>
      </c>
      <c r="G144" s="28" t="n">
        <f>IF(AND(ISNUMBER(D144),ISNUMBER(E144)),IF(OR(E144&lt;=0,L144=0),0,E144-D144),"")</f>
        <v>0</v>
      </c>
      <c r="H144" s="16" t="str">
        <f>IF(NOT(ISNUMBER(E144)),"销量或海外库存待补",IF(OR(E144&lt;=0,L144=0),IF(L144=0,"零日销，本批不发","本批无需补货"),IF(NOT(ISNUMBER(D144)),"国内库存待补",IF(D144=0,"国内无可用库存",IF(G144&gt;0,"先发国内现货","按建议量发货")))))</f>
        <v>按建议量发货</v>
      </c>
      <c r="I144" s="28" t="n">
        <f>IF(AND(COUNT(Z144,AA144,AB144)=3,Z144&gt;=AA144,AA144&gt;=0,AB144=7),Z144-AA144,"")</f>
        <v>1</v>
      </c>
      <c r="J144" s="28" t="n">
        <f>IF(AND(COUNT(AF144,AG144,AH144)=3,AF144&gt;=AG144,AG144&gt;=0,AH144=14),AF144-AG144,"")</f>
        <v>2</v>
      </c>
      <c r="K144" s="28" t="n">
        <f>IF(AND(COUNT(AL144,AM144,AN144)=3,AL144&gt;=AM144,AM144&gt;=0,AN144=30),AL144-AM144,"")</f>
        <v>3</v>
      </c>
      <c r="L144" s="29" t="n">
        <f>IF(ISNUMBER(BI144),BI144/90,"")</f>
        <v>0.09750765552888233</v>
      </c>
      <c r="M144" s="28" t="n">
        <v>1</v>
      </c>
      <c r="N144" s="28" t="n">
        <v>0</v>
      </c>
      <c r="O144" s="28" t="n">
        <v>0</v>
      </c>
      <c r="P144" s="30" t="n">
        <f>IF(AND(ISNUMBER(L144),L144&gt;0,COUNT(M144:O144)=3,MIN(M144:O144)&gt;=0),SUM(M144:O144)/L144,"")</f>
        <v>10.25560500430445</v>
      </c>
      <c r="Q144" s="16" t="str">
        <v>沿用原计划SKU店铺</v>
      </c>
      <c r="R144" s="16" t="str">
        <v>已匹配</v>
      </c>
      <c r="S144" s="16" t="str">
        <v>在售</v>
      </c>
      <c r="T144" s="16" t="str">
        <v>B06</v>
      </c>
      <c r="U144" s="16" t="str">
        <v>藏青色羊京绒</v>
      </c>
      <c r="V144" s="16" t="n">
        <v>7.5</v>
      </c>
      <c r="W144" s="8" t="str">
        <v>2026-10-11 至 2026-10-17</v>
      </c>
      <c r="X144" s="8" t="str">
        <v>2026-10-11、2026-10-12、2026-10-13、2026-10-14、2026-10-15、2026-10-16、2026-10-17</v>
      </c>
      <c r="Y144" s="8" t="str">
        <v>无</v>
      </c>
      <c r="Z144" s="8" t="n">
        <v>1</v>
      </c>
      <c r="AA144" s="8" t="n">
        <v>0</v>
      </c>
      <c r="AB144" s="8" t="n">
        <v>7</v>
      </c>
      <c r="AC144" s="8" t="str">
        <v>2026-10-02 至 2026-10-17</v>
      </c>
      <c r="AD144" s="8" t="str">
        <v>2026-10-02、2026-10-03、2026-10-04、2026-10-05、2026-10-08、2026-10-09、2026-10-10、2026-10-11、2026-10-12、2026-10-13、2026-10-14、2026-10-15、2026-10-16、2026-10-17</v>
      </c>
      <c r="AE144" s="8" t="str">
        <v>2026-10-06 大促；2026-10-07 大促</v>
      </c>
      <c r="AF144" s="8" t="n">
        <v>4</v>
      </c>
      <c r="AG144" s="8" t="n">
        <v>2</v>
      </c>
      <c r="AH144" s="8" t="n">
        <v>14</v>
      </c>
      <c r="AI144" s="8" t="str">
        <v>2026-09-16 至 2026-10-17</v>
      </c>
      <c r="AJ1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4" s="8" t="str">
        <v>2026-10-06 大促；2026-10-07 大促</v>
      </c>
      <c r="AL144" s="8" t="n">
        <v>5</v>
      </c>
      <c r="AM144" s="8" t="n">
        <v>2</v>
      </c>
      <c r="AN144" s="8" t="n">
        <v>30</v>
      </c>
      <c r="AO144" s="8" t="str">
        <v>B06 / 藏青色羊京绒 / 13120</v>
      </c>
      <c r="AP144" s="11" t="n">
        <v>1.2247029157699902</v>
      </c>
      <c r="AQ144" s="11" t="n">
        <v>1.2247029157699902</v>
      </c>
      <c r="AR144" s="11" t="n">
        <v>1.1136940657346173</v>
      </c>
      <c r="AS144" s="11" t="n">
        <f>IF(AND(COUNT(I144:K144,AP144:AR144)=6,MIN(AP144:AR144)&gt;0),I144/7/AP144*0.5+J144/14/AQ144*0.3+K144/30/AR144*0.2,"")</f>
        <v>0.11127534487368787</v>
      </c>
      <c r="AT144" s="8" t="n">
        <v>10</v>
      </c>
      <c r="AU144" s="8" t="n">
        <v>2</v>
      </c>
      <c r="AV144" s="8" t="n">
        <v>88</v>
      </c>
      <c r="AW144" s="11" t="n">
        <f>IF(AND(COUNT(AT144:AV144)=3,AT144&gt;=AU144,AU144&gt;=0,AV144&gt;0),(AT144-AU144)/AV144,"")</f>
        <v>0.09090909090909091</v>
      </c>
      <c r="AX144" s="8" t="n">
        <v>23</v>
      </c>
      <c r="AY144" s="8" t="n">
        <v>2</v>
      </c>
      <c r="AZ144" s="8" t="n">
        <v>178</v>
      </c>
      <c r="BA144" s="11" t="n">
        <f>IF(AND(COUNT(AX144:AZ144)=3,AX144&gt;=AY144,AY144&gt;=0,AZ144&gt;0),(AX144-AY144)/AZ144,"")</f>
        <v>0.11797752808988764</v>
      </c>
      <c r="BB144" s="8" t="n">
        <f>IF(COUNT(AS144,AW144,BA144)=3,1,0)</f>
        <v>1</v>
      </c>
      <c r="BC144" s="11" t="n">
        <f>IF(SUMIF($AO$11:$AO$1309,AO144,$BB$11:$BB$1309)=COUNTIF($AO$11:$AO$1309,AO144),SUMIF($AO$11:$AO$1309,AO144,$AS$11:$AS$1309),"")</f>
        <v>1.8232025777957794</v>
      </c>
      <c r="BD144" s="11" t="n">
        <f>IF(SUMIF($AO$11:$AO$1309,AO144,$BB$11:$BB$1309)=COUNTIF($AO$11:$AO$1309,AO144),SUMIF($AO$11:$AO$1309,AO144,$AW$11:$AW$1309),"")</f>
        <v>1.5588235294117647</v>
      </c>
      <c r="BE144" s="11" t="n">
        <f>IF(SUMIF($AO$11:$AO$1309,AO144,$BB$11:$BB$1309)=COUNTIF($AO$11:$AO$1309,AO144),SUMIF($AO$11:$AO$1309,AO144,$BA$11:$BA$1309),"")</f>
        <v>1.4510754414125202</v>
      </c>
      <c r="BF144" s="12" t="n">
        <f>IF(COUNT(BD144:BE144)&lt;&gt;2,"",IF(AND(BD144&gt;0,BE144&gt;0),0.7*AW144/BD144+0.3*BA144/BE144,IF(BD144&gt;0,AW144/BD144,IF(BE144&gt;0,BA144/BE144,IF(AND(ISNUMBER(BH144),BH144=0),0,"")))))</f>
        <v>0.06521438091106152</v>
      </c>
      <c r="BG144" s="11" t="n">
        <f>IF(AND(COUNT(BN144:BU144)=8,MIN(BN144:BU144)&gt;=0),SUMPRODUCT(BN144:BQ144,BR144:BU144),"")</f>
        <v>73.80791239847399</v>
      </c>
      <c r="BH144" s="11" t="n">
        <f>IF(COUNT(BC144,BG144)=2,BC144*BG144,"")</f>
        <v>134.56677614662286</v>
      </c>
      <c r="BI144" s="11" t="n">
        <f>IF(ISNUMBER(CI144),CI144,"")</f>
        <v>8.77568899759941</v>
      </c>
      <c r="BJ144" s="8" t="str">
        <v>低销提醒依据不完整</v>
      </c>
      <c r="BK144" s="8" t="str">
        <v>90天：2026-07-20 至 2026-10-17；180天：2026-04-21 至 2026-10-17</v>
      </c>
      <c r="BL144" s="8" t="str">
        <v>90天：2026-10-06、2026-10-07；180天：2026-10-06、2026-10-07</v>
      </c>
      <c r="BM144" s="8" t="str">
        <v>2026-10：12天 × 1.2247029157699902；2026-11：30天 × 0.8332682139098497；2026-12：31天 × 0.5511018253564084；2027-01：17天 × 1.0017220238758797</v>
      </c>
      <c r="BN144" s="11" t="n">
        <v>1.2247029157699902</v>
      </c>
      <c r="BO144" s="11" t="n">
        <v>0.8332682139098497</v>
      </c>
      <c r="BP144" s="11" t="n">
        <v>0.5511018253564084</v>
      </c>
      <c r="BQ144" s="11" t="n">
        <v>1.0017220238758797</v>
      </c>
      <c r="BR144" s="8" t="n">
        <v>12</v>
      </c>
      <c r="BS144" s="8" t="n">
        <v>30</v>
      </c>
      <c r="BT144" s="8" t="n">
        <v>31</v>
      </c>
      <c r="BU144" s="8" t="n">
        <v>17</v>
      </c>
      <c r="BV144" s="11" t="n">
        <f>IF(COUNT(BC144,BF144)=2,BC144*BF144,"")</f>
        <v>0.11889902738640323</v>
      </c>
      <c r="BW144" s="11" t="n">
        <f>IF(ISNUMBER(BN144),BN144,"")</f>
        <v>1.2247029157699902</v>
      </c>
      <c r="BX144" s="14" t="n">
        <f>IF(ISNUMBER(BR144),BR144,"")</f>
        <v>12</v>
      </c>
      <c r="BY144" s="13" t="n">
        <f>IF(AND(COUNT(BV144,BW144,BX144)=3,MIN(BV144,BW144,BX144)&gt;=0),BV144*BW144*BX144,"")</f>
        <v>1.7473918262681274</v>
      </c>
      <c r="BZ144" s="11" t="n">
        <f>IF(ISNUMBER(BO144),BO144,"")</f>
        <v>0.8332682139098497</v>
      </c>
      <c r="CA144" s="14" t="n">
        <f>IF(ISNUMBER(BS144),BS144,"")</f>
        <v>30</v>
      </c>
      <c r="CB144" s="13" t="n">
        <f>IF(AND(COUNT(BV144,BZ144,CA144)=3,MIN(BV144,BZ144,CA144)&gt;=0),BV144*BZ144*CA144,"")</f>
        <v>2.972243405576596</v>
      </c>
      <c r="CC144" s="11" t="n">
        <f>IF(ISNUMBER(BP144),BP144,"")</f>
        <v>0.5511018253564084</v>
      </c>
      <c r="CD144" s="14" t="n">
        <f>IF(ISNUMBER(BT144),BT144,"")</f>
        <v>31</v>
      </c>
      <c r="CE144" s="13" t="n">
        <f>IF(AND(COUNT(BV144,CC144,CD144)=3,MIN(BV144,CC144,CD144)&gt;=0),BV144*CC144*CD144,"")</f>
        <v>2.031289601798201</v>
      </c>
      <c r="CF144" s="11" t="n">
        <f>IF(ISNUMBER(BQ144),BQ144,"")</f>
        <v>1.0017220238758797</v>
      </c>
      <c r="CG144" s="14" t="n">
        <f>IF(ISNUMBER(BU144),BU144,"")</f>
        <v>17</v>
      </c>
      <c r="CH144" s="13" t="n">
        <f>IF(AND(COUNT(BV144,CF144,CG144)=3,MIN(BV144,CF144,CG144)&gt;=0),BV144*CF144*CG144,"")</f>
        <v>2.0247641639564855</v>
      </c>
      <c r="CI144" s="13" t="n">
        <f>IF(COUNT(BY144,CB144,CE144,CH144)=4,SUM(BY144,CB144,CE144,CH144),"")</f>
        <v>8.77568899759941</v>
      </c>
    </row>
    <row r="145" ht="72" customHeight="1">
      <c r="A145" s="16" t="str">
        <v>S02-SP-40</v>
      </c>
      <c r="B145" s="16" t="str">
        <v>3店-SANDIEX-US</v>
      </c>
      <c r="C145" s="16" t="str">
        <v>陈晨</v>
      </c>
      <c r="D145" s="26" t="n">
        <f>IF(NOT(ISNUMBER(E145)),"",IF(OR(E145&lt;=0,L145=0),0,IF(OR(NOT(ISNUMBER(F145)),F145&lt;0),"",MIN(E145,INT(F145)))))</f>
        <v>8</v>
      </c>
      <c r="E145" s="27" t="n">
        <f>IF(OR(NOT(ISNUMBER(L145)),COUNT(M145:O145)&lt;&gt;3,MIN(M145:O145)&lt;0),"",ROUNDUP(ROUND(BI145-SUM(M145:O145),10),0))</f>
        <v>8</v>
      </c>
      <c r="F145" s="28" t="n">
        <v>138</v>
      </c>
      <c r="G145" s="28" t="n">
        <f>IF(AND(ISNUMBER(D145),ISNUMBER(E145)),IF(OR(E145&lt;=0,L145=0),0,E145-D145),"")</f>
        <v>0</v>
      </c>
      <c r="H145" s="16" t="str">
        <f>IF(NOT(ISNUMBER(E145)),"销量或海外库存待补",IF(OR(E145&lt;=0,L145=0),IF(L145=0,"零日销，本批不发","本批无需补货"),IF(NOT(ISNUMBER(D145)),"国内库存待补",IF(D145=0,"国内无可用库存",IF(G145&gt;0,"先发国内现货","按建议量发货")))))</f>
        <v>按建议量发货</v>
      </c>
      <c r="I145" s="28" t="n">
        <f>IF(AND(COUNT(Z145,AA145,AB145)=3,Z145&gt;=AA145,AA145&gt;=0,AB145=7),Z145-AA145,"")</f>
        <v>0</v>
      </c>
      <c r="J145" s="28" t="n">
        <f>IF(AND(COUNT(AF145,AG145,AH145)=3,AF145&gt;=AG145,AG145&gt;=0,AH145=14),AF145-AG145,"")</f>
        <v>0</v>
      </c>
      <c r="K145" s="28" t="n">
        <f>IF(AND(COUNT(AL145,AM145,AN145)=3,AL145&gt;=AM145,AM145&gt;=0,AN145=30),AL145-AM145,"")</f>
        <v>0</v>
      </c>
      <c r="L145" s="29" t="n">
        <f>IF(ISNUMBER(BI145),BI145/90,"")</f>
        <v>0.07921796829878676</v>
      </c>
      <c r="M145" s="28" t="n">
        <v>0</v>
      </c>
      <c r="N145" s="28" t="n">
        <v>0</v>
      </c>
      <c r="O145" s="28" t="n">
        <v>0</v>
      </c>
      <c r="P145" s="30" t="n">
        <f>IF(AND(ISNUMBER(L145),L145&gt;0,COUNT(M145:O145)=3,MIN(M145:O145)&gt;=0),SUM(M145:O145)/L145,"")</f>
        <v>0</v>
      </c>
      <c r="Q145" s="16" t="str">
        <v>沿用原计划SKU店铺</v>
      </c>
      <c r="R145" s="16" t="str">
        <v>已匹配</v>
      </c>
      <c r="S145" s="16" t="str">
        <v>停售</v>
      </c>
      <c r="T145" s="16" t="str">
        <v>S02</v>
      </c>
      <c r="U145" s="16" t="str">
        <v>黑白蛇纹</v>
      </c>
      <c r="V145" s="16" t="n">
        <v>9</v>
      </c>
      <c r="W145" s="8" t="str">
        <v>2026-10-08 至 2026-10-17</v>
      </c>
      <c r="X145" s="8" t="str">
        <v>2026-10-08、2026-10-09、2026-10-10、2026-10-11、2026-10-14、2026-10-15、2026-10-17</v>
      </c>
      <c r="Y145" s="8" t="str">
        <v>2026-10-12 有记录的停售日；2026-10-13 有记录的停售日；2026-10-16 有记录的停售日</v>
      </c>
      <c r="Z145" s="8" t="n">
        <v>0</v>
      </c>
      <c r="AA145" s="8" t="n">
        <v>0</v>
      </c>
      <c r="AB145" s="8" t="n">
        <v>7</v>
      </c>
      <c r="AC145" s="8" t="str">
        <v>2026-09-29 至 2026-10-17</v>
      </c>
      <c r="AD145" s="8" t="str">
        <v>2026-09-29、2026-09-30、2026-10-01、2026-10-02、2026-10-03、2026-10-04、2026-10-05、2026-10-08、2026-10-09、2026-10-10、2026-10-11、2026-10-14、2026-10-15、2026-10-17</v>
      </c>
      <c r="AE145" s="8" t="str">
        <v>2026-10-06 大促；2026-10-07 大促；2026-10-12 有记录的停售日；2026-10-13 有记录的停售日；2026-10-16 有记录的停售日</v>
      </c>
      <c r="AF145" s="8" t="n">
        <v>0</v>
      </c>
      <c r="AG145" s="8" t="n">
        <v>0</v>
      </c>
      <c r="AH145" s="8" t="n">
        <v>14</v>
      </c>
      <c r="AI145" s="8" t="str">
        <v>2026-09-13 至 2026-10-17</v>
      </c>
      <c r="AJ14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45" s="8" t="str">
        <v>2026-10-06 大促；2026-10-07 大促；2026-10-12 有记录的停售日；2026-10-13 有记录的停售日；2026-10-16 有记录的停售日</v>
      </c>
      <c r="AL145" s="8" t="n">
        <v>0</v>
      </c>
      <c r="AM145" s="8" t="n">
        <v>0</v>
      </c>
      <c r="AN145" s="8" t="n">
        <v>30</v>
      </c>
      <c r="AO145" s="8" t="str">
        <v>S02 / 黑白蛇纹 / 6574</v>
      </c>
      <c r="AP145" s="11" t="n">
        <v>0.9634503791704667</v>
      </c>
      <c r="AQ145" s="11" t="n">
        <v>0.9459629300202179</v>
      </c>
      <c r="AR145" s="11" t="n">
        <v>0.8900030927394219</v>
      </c>
      <c r="AS145" s="11" t="n">
        <f>IF(AND(COUNT(I145:K145,AP145:AR145)=6,MIN(AP145:AR145)&gt;0),I145/7/AP145*0.5+J145/14/AQ145*0.3+K145/30/AR145*0.2,"")</f>
        <v>0</v>
      </c>
      <c r="AT145" s="8" t="n">
        <v>1</v>
      </c>
      <c r="AU145" s="8" t="n">
        <v>0</v>
      </c>
      <c r="AV145" s="8" t="n">
        <v>85</v>
      </c>
      <c r="AW145" s="11" t="n">
        <f>IF(AND(COUNT(AT145:AV145)=3,AT145&gt;=AU145,AU145&gt;=0,AV145&gt;0),(AT145-AU145)/AV145,"")</f>
        <v>0.011764705882352941</v>
      </c>
      <c r="AX145" s="8" t="n">
        <v>26</v>
      </c>
      <c r="AY145" s="8" t="n">
        <v>0</v>
      </c>
      <c r="AZ145" s="8" t="n">
        <v>175</v>
      </c>
      <c r="BA145" s="11" t="n">
        <f>IF(AND(COUNT(AX145:AZ145)=3,AX145&gt;=AY145,AY145&gt;=0,AZ145&gt;0),(AX145-AY145)/AZ145,"")</f>
        <v>0.14857142857142858</v>
      </c>
      <c r="BB145" s="8" t="n">
        <f>IF(COUNT(AS145,AW145,BA145)=3,1,0)</f>
        <v>1</v>
      </c>
      <c r="BC145" s="11" t="n">
        <f>IF(SUMIF($AO$11:$AO$1309,AO145,$BB$11:$BB$1309)=COUNTIF($AO$11:$AO$1309,AO145),SUMIF($AO$11:$AO$1309,AO145,$AS$11:$AS$1309),"")</f>
        <v>0.7927579792962208</v>
      </c>
      <c r="BD145" s="11" t="n">
        <f>IF(SUMIF($AO$11:$AO$1309,AO145,$BB$11:$BB$1309)=COUNTIF($AO$11:$AO$1309,AO145),SUMIF($AO$11:$AO$1309,AO145,$AW$11:$AW$1309),"")</f>
        <v>0.4094919786096257</v>
      </c>
      <c r="BE145" s="11" t="n">
        <f>IF(SUMIF($AO$11:$AO$1309,AO145,$BB$11:$BB$1309)=COUNTIF($AO$11:$AO$1309,AO145),SUMIF($AO$11:$AO$1309,AO145,$BA$11:$BA$1309),"")</f>
        <v>0.4744141252006421</v>
      </c>
      <c r="BF145" s="12" t="n">
        <f>IF(COUNT(BD145:BE145)&lt;&gt;2,"",IF(AND(BD145&gt;0,BE145&gt;0),0.7*AW145/BD145+0.3*BA145/BE145,IF(BD145&gt;0,AW145/BD145,IF(BE145&gt;0,BA145/BE145,IF(AND(ISNUMBER(BH145),BH145=0),0,"")))))</f>
        <v>0.11406146919561319</v>
      </c>
      <c r="BG145" s="11" t="n">
        <f>IF(AND(COUNT(BN145:BU145)=8,MIN(BN145:BU145)&gt;=0),SUMPRODUCT(BN145:BQ145,BR145:BU145),"")</f>
        <v>78.84726365280937</v>
      </c>
      <c r="BH145" s="11" t="n">
        <f>IF(COUNT(BC145,BG145)=2,BC145*BG145,"")</f>
        <v>62.50679740643752</v>
      </c>
      <c r="BI145" s="11" t="n">
        <f>IF(ISNUMBER(CI145),CI145,"")</f>
        <v>7.1296171468908085</v>
      </c>
      <c r="BJ145" s="8" t="str"/>
      <c r="BK145" s="8" t="str">
        <v>90天：2026-07-20 至 2026-10-17；180天：2026-04-21 至 2026-10-17</v>
      </c>
      <c r="BL145" s="8" t="str">
        <v>90天：2026-10-06、2026-10-07、2026-10-12、2026-10-13、2026-10-16；180天：2026-10-06、2026-10-07、2026-10-12、2026-10-13、2026-10-16</v>
      </c>
      <c r="BM145" s="8" t="str">
        <v>2026-10：12天 × 0.9634503791704667；2026-11：30天 × 0.8585031562320637；2026-12：31天 × 0.7896606554092485；2027-01：17天 × 1.0030167116538329</v>
      </c>
      <c r="BN145" s="11" t="n">
        <v>0.9634503791704667</v>
      </c>
      <c r="BO145" s="11" t="n">
        <v>0.8585031562320637</v>
      </c>
      <c r="BP145" s="11" t="n">
        <v>0.7896606554092485</v>
      </c>
      <c r="BQ145" s="11" t="n">
        <v>1.0030167116538329</v>
      </c>
      <c r="BR145" s="8" t="n">
        <v>12</v>
      </c>
      <c r="BS145" s="8" t="n">
        <v>30</v>
      </c>
      <c r="BT145" s="8" t="n">
        <v>31</v>
      </c>
      <c r="BU145" s="8" t="n">
        <v>17</v>
      </c>
      <c r="BV145" s="11" t="n">
        <f>IF(COUNT(BC145,BF145)=2,BC145*BF145,"")</f>
        <v>0.09042313983507246</v>
      </c>
      <c r="BW145" s="11" t="n">
        <f>IF(ISNUMBER(BN145),BN145,"")</f>
        <v>0.9634503791704667</v>
      </c>
      <c r="BX145" s="14" t="n">
        <f>IF(ISNUMBER(BR145),BR145,"")</f>
        <v>12</v>
      </c>
      <c r="BY145" s="13" t="n">
        <f>IF(AND(COUNT(BV145,BW145,BX145)=3,MIN(BV145,BW145,BX145)&gt;=0),BV145*BW145*BX145,"")</f>
        <v>1.0454185003186163</v>
      </c>
      <c r="BZ145" s="11" t="n">
        <f>IF(ISNUMBER(BO145),BO145,"")</f>
        <v>0.8585031562320637</v>
      </c>
      <c r="CA145" s="14" t="n">
        <f>IF(ISNUMBER(BS145),BS145,"")</f>
        <v>30</v>
      </c>
      <c r="CB145" s="13" t="n">
        <f>IF(AND(COUNT(BV145,BZ145,CA145)=3,MIN(BV145,BZ145,CA145)&gt;=0),BV145*BZ145*CA145,"")</f>
        <v>2.328856528344689</v>
      </c>
      <c r="CC145" s="11" t="n">
        <f>IF(ISNUMBER(BP145),BP145,"")</f>
        <v>0.7896606554092485</v>
      </c>
      <c r="CD145" s="14" t="n">
        <f>IF(ISNUMBER(BT145),BT145,"")</f>
        <v>31</v>
      </c>
      <c r="CE145" s="13" t="n">
        <f>IF(AND(COUNT(BV145,CC145,CD145)=3,MIN(BV145,CC145,CD145)&gt;=0),BV145*CC145*CD145,"")</f>
        <v>2.213511471856089</v>
      </c>
      <c r="CF145" s="11" t="n">
        <f>IF(ISNUMBER(BQ145),BQ145,"")</f>
        <v>1.0030167116538329</v>
      </c>
      <c r="CG145" s="14" t="n">
        <f>IF(ISNUMBER(BU145),BU145,"")</f>
        <v>17</v>
      </c>
      <c r="CH145" s="13" t="n">
        <f>IF(AND(COUNT(BV145,CF145,CG145)=3,MIN(BV145,CF145,CG145)&gt;=0),BV145*CF145*CG145,"")</f>
        <v>1.5418306463714142</v>
      </c>
      <c r="CI145" s="13" t="n">
        <f>IF(COUNT(BY145,CB145,CE145,CH145)=4,SUM(BY145,CB145,CE145,CH145),"")</f>
        <v>7.1296171468908085</v>
      </c>
    </row>
    <row r="146" ht="72" customHeight="1">
      <c r="A146" s="16" t="str">
        <v>S02a-BKP-39</v>
      </c>
      <c r="B146" s="16" t="str">
        <v>3店-SANDIEX-US</v>
      </c>
      <c r="C146" s="16" t="str">
        <v>陈晨</v>
      </c>
      <c r="D146" s="26" t="n">
        <f>IF(NOT(ISNUMBER(E146)),"",IF(OR(E146&lt;=0,L146=0),0,IF(OR(NOT(ISNUMBER(F146)),F146&lt;0),"",MIN(E146,INT(F146)))))</f>
        <v>8</v>
      </c>
      <c r="E146" s="27" t="n">
        <f>IF(OR(NOT(ISNUMBER(L146)),COUNT(M146:O146)&lt;&gt;3,MIN(M146:O146)&lt;0),"",ROUNDUP(ROUND(BI146-SUM(M146:O146),10),0))</f>
        <v>8</v>
      </c>
      <c r="F146" s="28" t="n">
        <v>102</v>
      </c>
      <c r="G146" s="28" t="n">
        <f>IF(AND(ISNUMBER(D146),ISNUMBER(E146)),IF(OR(E146&lt;=0,L146=0),0,E146-D146),"")</f>
        <v>0</v>
      </c>
      <c r="H146" s="16" t="str">
        <f>IF(NOT(ISNUMBER(E146)),"销量或海外库存待补",IF(OR(E146&lt;=0,L146=0),IF(L146=0,"零日销，本批不发","本批无需补货"),IF(NOT(ISNUMBER(D146)),"国内库存待补",IF(D146=0,"国内无可用库存",IF(G146&gt;0,"先发国内现货","按建议量发货")))))</f>
        <v>按建议量发货</v>
      </c>
      <c r="I146" s="28" t="n">
        <f>IF(AND(COUNT(Z146,AA146,AB146)=3,Z146&gt;=AA146,AA146&gt;=0,AB146=7),Z146-AA146,"")</f>
        <v>0</v>
      </c>
      <c r="J146" s="28" t="n">
        <f>IF(AND(COUNT(AF146,AG146,AH146)=3,AF146&gt;=AG146,AG146&gt;=0,AH146=14),AF146-AG146,"")</f>
        <v>1</v>
      </c>
      <c r="K146" s="28" t="n">
        <f>IF(AND(COUNT(AL146,AM146,AN146)=3,AL146&gt;=AM146,AM146&gt;=0,AN146=30),AL146-AM146,"")</f>
        <v>6</v>
      </c>
      <c r="L146" s="29" t="n">
        <f>IF(ISNUMBER(BI146),BI146/90,"")</f>
        <v>0.5137380288808274</v>
      </c>
      <c r="M146" s="28" t="n">
        <v>39</v>
      </c>
      <c r="N146" s="28" t="n">
        <v>0</v>
      </c>
      <c r="O146" s="28" t="n">
        <v>0</v>
      </c>
      <c r="P146" s="30" t="n">
        <f>IF(AND(ISNUMBER(L146),L146&gt;0,COUNT(M146:O146)=3,MIN(M146:O146)&gt;=0),SUM(M146:O146)/L146,"")</f>
        <v>75.91417766942631</v>
      </c>
      <c r="Q146" s="16" t="str">
        <v>沿用原计划SKU店铺</v>
      </c>
      <c r="R146" s="16" t="str">
        <v>已匹配</v>
      </c>
      <c r="S146" s="16" t="str">
        <v>在售</v>
      </c>
      <c r="T146" s="16" t="str">
        <v>S02a</v>
      </c>
      <c r="U146" s="16" t="str">
        <v>黑色PU</v>
      </c>
      <c r="V146" s="16" t="n">
        <v>8</v>
      </c>
      <c r="W146" s="8" t="str">
        <v>2026-10-11 至 2026-10-17</v>
      </c>
      <c r="X146" s="8" t="str">
        <v>2026-10-11、2026-10-12、2026-10-13、2026-10-14、2026-10-15、2026-10-16、2026-10-17</v>
      </c>
      <c r="Y146" s="8" t="str">
        <v>无</v>
      </c>
      <c r="Z146" s="8" t="n">
        <v>0</v>
      </c>
      <c r="AA146" s="8" t="n">
        <v>0</v>
      </c>
      <c r="AB146" s="8" t="n">
        <v>7</v>
      </c>
      <c r="AC146" s="8" t="str">
        <v>2026-10-02 至 2026-10-17</v>
      </c>
      <c r="AD146" s="8" t="str">
        <v>2026-10-02、2026-10-03、2026-10-04、2026-10-05、2026-10-08、2026-10-09、2026-10-10、2026-10-11、2026-10-12、2026-10-13、2026-10-14、2026-10-15、2026-10-16、2026-10-17</v>
      </c>
      <c r="AE146" s="8" t="str">
        <v>2026-10-06 大促；2026-10-07 大促</v>
      </c>
      <c r="AF146" s="8" t="n">
        <v>1</v>
      </c>
      <c r="AG146" s="8" t="n">
        <v>0</v>
      </c>
      <c r="AH146" s="8" t="n">
        <v>14</v>
      </c>
      <c r="AI146" s="8" t="str">
        <v>2026-09-16 至 2026-10-17</v>
      </c>
      <c r="AJ1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6" s="8" t="str">
        <v>2026-10-06 大促；2026-10-07 大促</v>
      </c>
      <c r="AL146" s="8" t="n">
        <v>6</v>
      </c>
      <c r="AM146" s="8" t="n">
        <v>0</v>
      </c>
      <c r="AN146" s="8" t="n">
        <v>30</v>
      </c>
      <c r="AO146" s="8" t="str">
        <v>S02a / 黑色PU / 6574</v>
      </c>
      <c r="AP146" s="11" t="n">
        <v>0.7647664488148722</v>
      </c>
      <c r="AQ146" s="11" t="n">
        <v>0.7647664488148722</v>
      </c>
      <c r="AR146" s="11" t="n">
        <v>0.8066052567225582</v>
      </c>
      <c r="AS146" s="11" t="n">
        <f>IF(AND(COUNT(I146:K146,AP146:AR146)=6,MIN(AP146:AR146)&gt;0),I146/7/AP146*0.5+J146/14/AQ146*0.3+K146/30/AR146*0.2,"")</f>
        <v>0.07761031088327364</v>
      </c>
      <c r="AT146" s="8" t="n">
        <v>14</v>
      </c>
      <c r="AU146" s="8" t="n">
        <v>0</v>
      </c>
      <c r="AV146" s="8" t="n">
        <v>88</v>
      </c>
      <c r="AW146" s="11" t="n">
        <f>IF(AND(COUNT(AT146:AV146)=3,AT146&gt;=AU146,AU146&gt;=0,AV146&gt;0),(AT146-AU146)/AV146,"")</f>
        <v>0.1590909090909091</v>
      </c>
      <c r="AX146" s="8" t="n">
        <v>40</v>
      </c>
      <c r="AY146" s="8" t="n">
        <v>0</v>
      </c>
      <c r="AZ146" s="8" t="n">
        <v>178</v>
      </c>
      <c r="BA146" s="11" t="n">
        <f>IF(AND(COUNT(AX146:AZ146)=3,AX146&gt;=AY146,AY146&gt;=0,AZ146&gt;0),(AX146-AY146)/AZ146,"")</f>
        <v>0.2247191011235955</v>
      </c>
      <c r="BB146" s="8" t="n">
        <f>IF(COUNT(AS146,AW146,BA146)=3,1,0)</f>
        <v>1</v>
      </c>
      <c r="BC146" s="11" t="n">
        <f>IF(SUMIF($AO$11:$AO$1309,AO146,$BB$11:$BB$1309)=COUNTIF($AO$11:$AO$1309,AO146),SUMIF($AO$11:$AO$1309,AO146,$AS$11:$AS$1309),"")</f>
        <v>1.3346079165193463</v>
      </c>
      <c r="BD146" s="11" t="n">
        <f>IF(SUMIF($AO$11:$AO$1309,AO146,$BB$11:$BB$1309)=COUNTIF($AO$11:$AO$1309,AO146),SUMIF($AO$11:$AO$1309,AO146,$AW$11:$AW$1309),"")</f>
        <v>0.5454545454545454</v>
      </c>
      <c r="BE146" s="11" t="n">
        <f>IF(SUMIF($AO$11:$AO$1309,AO146,$BB$11:$BB$1309)=COUNTIF($AO$11:$AO$1309,AO146),SUMIF($AO$11:$AO$1309,AO146,$BA$11:$BA$1309),"")</f>
        <v>0.6910112359550562</v>
      </c>
      <c r="BF146" s="12" t="n">
        <f>IF(COUNT(BD146:BE146)&lt;&gt;2,"",IF(AND(BD146&gt;0,BE146&gt;0),0.7*AW146/BD146+0.3*BA146/BE146,IF(BD146&gt;0,AW146/BD146,IF(BE146&gt;0,BA146/BE146,IF(AND(ISNUMBER(BH146),BH146=0),0,"")))))</f>
        <v>0.30172764227642274</v>
      </c>
      <c r="BG146" s="11" t="n">
        <f>IF(AND(COUNT(BN146:BU146)=8,MIN(BN146:BU146)&gt;=0),SUMPRODUCT(BN146:BQ146,BR146:BU146),"")</f>
        <v>114.81944114457707</v>
      </c>
      <c r="BH146" s="11" t="n">
        <f>IF(COUNT(BC146,BG146)=2,BC146*BG146,"")</f>
        <v>153.2389351218797</v>
      </c>
      <c r="BI146" s="11" t="n">
        <f>IF(ISNUMBER(CI146),CI146,"")</f>
        <v>46.23642259927447</v>
      </c>
      <c r="BJ146" s="8" t="str"/>
      <c r="BK146" s="8" t="str">
        <v>90天：2026-07-20 至 2026-10-17；180天：2026-04-21 至 2026-10-17</v>
      </c>
      <c r="BL146" s="8" t="str">
        <v>90天：2026-10-06、2026-10-07；180天：2026-10-06、2026-10-07</v>
      </c>
      <c r="BM146" s="8" t="str">
        <v>2026-10：12天 × 0.7647664488148722；2026-11：30天 × 1.5248287781391903；2026-12：31天 × 1.2288250057360348；2027-01：17天 × 1.2825767786356366</v>
      </c>
      <c r="BN146" s="11" t="n">
        <v>0.7647664488148722</v>
      </c>
      <c r="BO146" s="11" t="n">
        <v>1.5248287781391903</v>
      </c>
      <c r="BP146" s="11" t="n">
        <v>1.2288250057360348</v>
      </c>
      <c r="BQ146" s="11" t="n">
        <v>1.2825767786356366</v>
      </c>
      <c r="BR146" s="8" t="n">
        <v>12</v>
      </c>
      <c r="BS146" s="8" t="n">
        <v>30</v>
      </c>
      <c r="BT146" s="8" t="n">
        <v>31</v>
      </c>
      <c r="BU146" s="8" t="n">
        <v>17</v>
      </c>
      <c r="BV146" s="11" t="n">
        <f>IF(COUNT(BC146,BF146)=2,BC146*BF146,"")</f>
        <v>0.4026881000148312</v>
      </c>
      <c r="BW146" s="11" t="n">
        <f>IF(ISNUMBER(BN146),BN146,"")</f>
        <v>0.7647664488148722</v>
      </c>
      <c r="BX146" s="14" t="n">
        <f>IF(ISNUMBER(BR146),BR146,"")</f>
        <v>12</v>
      </c>
      <c r="BY146" s="13" t="n">
        <f>IF(AND(COUNT(BV146,BW146,BX146)=3,MIN(BV146,BW146,BX146)&gt;=0),BV146*BW146*BX146,"")</f>
        <v>3.6955481787402067</v>
      </c>
      <c r="BZ146" s="11" t="n">
        <f>IF(ISNUMBER(BO146),BO146,"")</f>
        <v>1.5248287781391903</v>
      </c>
      <c r="CA146" s="14" t="n">
        <f>IF(ISNUMBER(BS146),BS146,"")</f>
        <v>30</v>
      </c>
      <c r="CB146" s="13" t="n">
        <f>IF(AND(COUNT(BV146,BZ146,CA146)=3,MIN(BV146,BZ146,CA146)&gt;=0),BV146*BZ146*CA146,"")</f>
        <v>18.42091210550421</v>
      </c>
      <c r="CC146" s="11" t="n">
        <f>IF(ISNUMBER(BP146),BP146,"")</f>
        <v>1.2288250057360348</v>
      </c>
      <c r="CD146" s="14" t="n">
        <f>IF(ISNUMBER(BT146),BT146,"")</f>
        <v>31</v>
      </c>
      <c r="CE146" s="13" t="n">
        <f>IF(AND(COUNT(BV146,CC146,CD146)=3,MIN(BV146,CC146,CD146)&gt;=0),BV146*CC146*CD146,"")</f>
        <v>15.339829411127294</v>
      </c>
      <c r="CF146" s="11" t="n">
        <f>IF(ISNUMBER(BQ146),BQ146,"")</f>
        <v>1.2825767786356366</v>
      </c>
      <c r="CG146" s="14" t="n">
        <f>IF(ISNUMBER(BU146),BU146,"")</f>
        <v>17</v>
      </c>
      <c r="CH146" s="13" t="n">
        <f>IF(AND(COUNT(BV146,CF146,CG146)=3,MIN(BV146,CF146,CG146)&gt;=0),BV146*CF146*CG146,"")</f>
        <v>8.780132903902762</v>
      </c>
      <c r="CI146" s="13" t="n">
        <f>IF(COUNT(BY146,CB146,CE146,CH146)=4,SUM(BY146,CB146,CE146,CH146),"")</f>
        <v>46.23642259927447</v>
      </c>
    </row>
    <row r="147" ht="72" customHeight="1">
      <c r="A147" s="16" t="str">
        <v>1S01-ND-9</v>
      </c>
      <c r="B147" s="16" t="str">
        <v>3店-SANDIEX-US</v>
      </c>
      <c r="C147" s="16" t="str">
        <v>徐新怡</v>
      </c>
      <c r="D147" s="26" t="n">
        <f>IF(NOT(ISNUMBER(E147)),"",IF(OR(E147&lt;=0,L147=0),0,IF(OR(NOT(ISNUMBER(F147)),F147&lt;0),"",MIN(E147,INT(F147)))))</f>
        <v>7</v>
      </c>
      <c r="E147" s="27" t="n">
        <f>IF(OR(NOT(ISNUMBER(L147)),COUNT(M147:O147)&lt;&gt;3,MIN(M147:O147)&lt;0),"",ROUNDUP(ROUND(BI147-SUM(M147:O147),10),0))</f>
        <v>7</v>
      </c>
      <c r="F147" s="28" t="n">
        <v>110</v>
      </c>
      <c r="G147" s="28" t="n">
        <f>IF(AND(ISNUMBER(D147),ISNUMBER(E147)),IF(OR(E147&lt;=0,L147=0),0,E147-D147),"")</f>
        <v>0</v>
      </c>
      <c r="H147" s="16" t="str">
        <f>IF(NOT(ISNUMBER(E147)),"销量或海外库存待补",IF(OR(E147&lt;=0,L147=0),IF(L147=0,"零日销，本批不发","本批无需补货"),IF(NOT(ISNUMBER(D147)),"国内库存待补",IF(D147=0,"国内无可用库存",IF(G147&gt;0,"先发国内现货","按建议量发货")))))</f>
        <v>按建议量发货</v>
      </c>
      <c r="I147" s="28" t="n">
        <f>IF(AND(COUNT(Z147,AA147,AB147)=3,Z147&gt;=AA147,AA147&gt;=0,AB147=7),Z147-AA147,"")</f>
        <v>0</v>
      </c>
      <c r="J147" s="28" t="n">
        <f>IF(AND(COUNT(AF147,AG147,AH147)=3,AF147&gt;=AG147,AG147&gt;=0,AH147=14),AF147-AG147,"")</f>
        <v>0</v>
      </c>
      <c r="K147" s="28" t="n">
        <f>IF(AND(COUNT(AL147,AM147,AN147)=3,AL147&gt;=AM147,AM147&gt;=0,AN147=30),AL147-AM147,"")</f>
        <v>2</v>
      </c>
      <c r="L147" s="29" t="n">
        <f>IF(ISNUMBER(BI147),BI147/90,"")</f>
        <v>0.07492703224072557</v>
      </c>
      <c r="M147" s="28" t="n">
        <v>0</v>
      </c>
      <c r="N147" s="28" t="n">
        <v>0</v>
      </c>
      <c r="O147" s="28" t="n">
        <v>0</v>
      </c>
      <c r="P147" s="30" t="n">
        <f>IF(AND(ISNUMBER(L147),L147&gt;0,COUNT(M147:O147)=3,MIN(M147:O147)&gt;=0),SUM(M147:O147)/L147,"")</f>
        <v>0</v>
      </c>
      <c r="Q147" s="16" t="str">
        <v>沿用原计划SKU店铺</v>
      </c>
      <c r="R147" s="16" t="str">
        <v>已匹配</v>
      </c>
      <c r="S147" s="16" t="str">
        <v>在售</v>
      </c>
      <c r="T147" s="16" t="str">
        <v>1S01</v>
      </c>
      <c r="U147" s="16" t="str">
        <v>裸色</v>
      </c>
      <c r="V147" s="16" t="n">
        <v>9</v>
      </c>
      <c r="W147" s="8" t="str">
        <v>2026-10-10 至 2026-10-17</v>
      </c>
      <c r="X147" s="8" t="str">
        <v>2026-10-10、2026-10-11、2026-10-12、2026-10-13、2026-10-14、2026-10-15、2026-10-17</v>
      </c>
      <c r="Y147" s="8" t="str">
        <v>2026-10-16 有记录的停售日</v>
      </c>
      <c r="Z147" s="8" t="n">
        <v>0</v>
      </c>
      <c r="AA147" s="8" t="n">
        <v>0</v>
      </c>
      <c r="AB147" s="8" t="n">
        <v>7</v>
      </c>
      <c r="AC147" s="8" t="str">
        <v>2026-10-01 至 2026-10-17</v>
      </c>
      <c r="AD147" s="8" t="str">
        <v>2026-10-01、2026-10-02、2026-10-03、2026-10-04、2026-10-05、2026-10-08、2026-10-09、2026-10-10、2026-10-11、2026-10-12、2026-10-13、2026-10-14、2026-10-15、2026-10-17</v>
      </c>
      <c r="AE147" s="8" t="str">
        <v>2026-10-06 大促；2026-10-07 大促；2026-10-16 有记录的停售日</v>
      </c>
      <c r="AF147" s="8" t="n">
        <v>1</v>
      </c>
      <c r="AG147" s="8" t="n">
        <v>1</v>
      </c>
      <c r="AH147" s="8" t="n">
        <v>14</v>
      </c>
      <c r="AI147" s="8" t="str">
        <v>2026-09-15 至 2026-10-17</v>
      </c>
      <c r="AJ147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147" s="8" t="str">
        <v>2026-10-06 大促；2026-10-07 大促；2026-10-16 有记录的停售日</v>
      </c>
      <c r="AL147" s="8" t="n">
        <v>3</v>
      </c>
      <c r="AM147" s="8" t="n">
        <v>1</v>
      </c>
      <c r="AN147" s="8" t="n">
        <v>30</v>
      </c>
      <c r="AO147" s="8" t="str">
        <v>1S01 / 裸色PU / 6574</v>
      </c>
      <c r="AP147" s="11" t="n">
        <v>0.8729500662042875</v>
      </c>
      <c r="AQ147" s="11" t="n">
        <v>0.8729500662042875</v>
      </c>
      <c r="AR147" s="11" t="n">
        <v>1.1067487534282043</v>
      </c>
      <c r="AS147" s="11" t="n">
        <f>IF(AND(COUNT(I147:K147,AP147:AR147)=6,MIN(AP147:AR147)&gt;0),I147/7/AP147*0.5+J147/14/AQ147*0.3+K147/30/AR147*0.2,"")</f>
        <v>0.012047299165264681</v>
      </c>
      <c r="AT147" s="8" t="n">
        <v>10</v>
      </c>
      <c r="AU147" s="8" t="n">
        <v>1</v>
      </c>
      <c r="AV147" s="8" t="n">
        <v>87</v>
      </c>
      <c r="AW147" s="11" t="n">
        <f>IF(AND(COUNT(AT147:AV147)=3,AT147&gt;=AU147,AU147&gt;=0,AV147&gt;0),(AT147-AU147)/AV147,"")</f>
        <v>0.10344827586206896</v>
      </c>
      <c r="AX147" s="8" t="n">
        <v>22</v>
      </c>
      <c r="AY147" s="8" t="n">
        <v>1</v>
      </c>
      <c r="AZ147" s="8" t="n">
        <v>177</v>
      </c>
      <c r="BA147" s="11" t="n">
        <f>IF(AND(COUNT(AX147:AZ147)=3,AX147&gt;=AY147,AY147&gt;=0,AZ147&gt;0),(AX147-AY147)/AZ147,"")</f>
        <v>0.11864406779661017</v>
      </c>
      <c r="BB147" s="8" t="n">
        <f>IF(COUNT(AS147,AW147,BA147)=3,1,0)</f>
        <v>1</v>
      </c>
      <c r="BC147" s="11" t="n">
        <f>IF(SUMIF($AO$11:$AO$1309,AO147,$BB$11:$BB$1309)=COUNTIF($AO$11:$AO$1309,AO147),SUMIF($AO$11:$AO$1309,AO147,$AS$11:$AS$1309),"")</f>
        <v>0.2859633770638296</v>
      </c>
      <c r="BD147" s="11" t="n">
        <f>IF(SUMIF($AO$11:$AO$1309,AO147,$BB$11:$BB$1309)=COUNTIF($AO$11:$AO$1309,AO147),SUMIF($AO$11:$AO$1309,AO147,$AW$11:$AW$1309),"")</f>
        <v>0.262539184952978</v>
      </c>
      <c r="BE147" s="11" t="n">
        <f>IF(SUMIF($AO$11:$AO$1309,AO147,$BB$11:$BB$1309)=COUNTIF($AO$11:$AO$1309,AO147),SUMIF($AO$11:$AO$1309,AO147,$BA$11:$BA$1309),"")</f>
        <v>0.3826890116168349</v>
      </c>
      <c r="BF147" s="12" t="n">
        <f>IF(COUNT(BD147:BE147)&lt;&gt;2,"",IF(AND(BD147&gt;0,BE147&gt;0),0.7*AW147/BD147+0.3*BA147/BE147,IF(BD147&gt;0,AW147/BD147,IF(BE147&gt;0,BA147/BE147,IF(AND(ISNUMBER(BH147),BH147=0),0,"")))))</f>
        <v>0.3688291065201487</v>
      </c>
      <c r="BG147" s="11" t="n">
        <f>IF(AND(COUNT(BN147:BU147)=8,MIN(BN147:BU147)&gt;=0),SUMPRODUCT(BN147:BQ147,BR147:BU147),"")</f>
        <v>63.935996265425516</v>
      </c>
      <c r="BH147" s="11" t="n">
        <f>IF(COUNT(BC147,BG147)=2,BC147*BG147,"")</f>
        <v>18.283353408001478</v>
      </c>
      <c r="BI147" s="11" t="n">
        <f>IF(ISNUMBER(CI147),CI147,"")</f>
        <v>6.743432901665301</v>
      </c>
      <c r="BJ147" s="8" t="str">
        <v>低销提醒依据不完整</v>
      </c>
      <c r="BK147" s="8" t="str">
        <v>90天：2026-07-20 至 2026-10-17；180天：2026-04-21 至 2026-10-17</v>
      </c>
      <c r="BL147" s="8" t="str">
        <v>90天：2026-10-06、2026-10-07、2026-10-16；180天：2026-10-06、2026-10-07、2026-10-16</v>
      </c>
      <c r="BM147" s="8" t="str">
        <v>2026-10：12天 × 0.8729500662042875；2026-11：30天 × 0.8057375774163482；2026-12：31天 × 0.532550303142279；2027-01：17天 × 0.7517299265337036</v>
      </c>
      <c r="BN147" s="11" t="n">
        <v>0.8729500662042875</v>
      </c>
      <c r="BO147" s="11" t="n">
        <v>0.8057375774163482</v>
      </c>
      <c r="BP147" s="11" t="n">
        <v>0.532550303142279</v>
      </c>
      <c r="BQ147" s="11" t="n">
        <v>0.7517299265337036</v>
      </c>
      <c r="BR147" s="8" t="n">
        <v>12</v>
      </c>
      <c r="BS147" s="8" t="n">
        <v>30</v>
      </c>
      <c r="BT147" s="8" t="n">
        <v>31</v>
      </c>
      <c r="BU147" s="8" t="n">
        <v>17</v>
      </c>
      <c r="BV147" s="11" t="n">
        <f>IF(COUNT(BC147,BF147)=2,BC147*BF147,"")</f>
        <v>0.10547161685993667</v>
      </c>
      <c r="BW147" s="11" t="n">
        <f>IF(ISNUMBER(BN147),BN147,"")</f>
        <v>0.8729500662042875</v>
      </c>
      <c r="BX147" s="14" t="n">
        <f>IF(ISNUMBER(BR147),BR147,"")</f>
        <v>12</v>
      </c>
      <c r="BY147" s="13" t="n">
        <f>IF(AND(COUNT(BV147,BW147,BX147)=3,MIN(BV147,BW147,BX147)&gt;=0),BV147*BW147*BX147,"")</f>
        <v>1.1048574590466596</v>
      </c>
      <c r="BZ147" s="11" t="n">
        <f>IF(ISNUMBER(BO147),BO147,"")</f>
        <v>0.8057375774163482</v>
      </c>
      <c r="CA147" s="14" t="n">
        <f>IF(ISNUMBER(BS147),BS147,"")</f>
        <v>30</v>
      </c>
      <c r="CB147" s="13" t="n">
        <f>IF(AND(COUNT(BV147,BZ147,CA147)=3,MIN(BV147,BZ147,CA147)&gt;=0),BV147*BZ147*CA147,"")</f>
        <v>2.549473351647319</v>
      </c>
      <c r="CC147" s="11" t="n">
        <f>IF(ISNUMBER(BP147),BP147,"")</f>
        <v>0.532550303142279</v>
      </c>
      <c r="CD147" s="14" t="n">
        <f>IF(ISNUMBER(BT147),BT147,"")</f>
        <v>31</v>
      </c>
      <c r="CE147" s="13" t="n">
        <f>IF(AND(COUNT(BV147,CC147,CD147)=3,MIN(BV147,CC147,CD147)&gt;=0),BV147*CC147*CD147,"")</f>
        <v>1.741237187481633</v>
      </c>
      <c r="CF147" s="11" t="n">
        <f>IF(ISNUMBER(BQ147),BQ147,"")</f>
        <v>0.7517299265337036</v>
      </c>
      <c r="CG147" s="14" t="n">
        <f>IF(ISNUMBER(BU147),BU147,"")</f>
        <v>17</v>
      </c>
      <c r="CH147" s="13" t="n">
        <f>IF(AND(COUNT(BV147,CF147,CG147)=3,MIN(BV147,CF147,CG147)&gt;=0),BV147*CF147*CG147,"")</f>
        <v>1.3478649034896892</v>
      </c>
      <c r="CI147" s="13" t="n">
        <f>IF(COUNT(BY147,CB147,CE147,CH147)=4,SUM(BY147,CB147,CE147,CH147),"")</f>
        <v>6.743432901665301</v>
      </c>
    </row>
    <row r="148" ht="72" customHeight="1">
      <c r="A148" s="16" t="str">
        <v>8392-BK-38</v>
      </c>
      <c r="B148" s="16" t="str">
        <v>3店-SANDIEX-US</v>
      </c>
      <c r="C148" s="16" t="str">
        <v>徐新怡</v>
      </c>
      <c r="D148" s="26" t="n">
        <f>IF(NOT(ISNUMBER(E148)),"",IF(OR(E148&lt;=0,L148=0),0,IF(OR(NOT(ISNUMBER(F148)),F148&lt;0),"",MIN(E148,INT(F148)))))</f>
        <v>7</v>
      </c>
      <c r="E148" s="27" t="n">
        <f>IF(OR(NOT(ISNUMBER(L148)),COUNT(M148:O148)&lt;&gt;3,MIN(M148:O148)&lt;0),"",ROUNDUP(ROUND(BI148-SUM(M148:O148),10),0))</f>
        <v>7</v>
      </c>
      <c r="F148" s="28" t="n">
        <v>78</v>
      </c>
      <c r="G148" s="28" t="n">
        <f>IF(AND(ISNUMBER(D148),ISNUMBER(E148)),IF(OR(E148&lt;=0,L148=0),0,E148-D148),"")</f>
        <v>0</v>
      </c>
      <c r="H148" s="16" t="str">
        <f>IF(NOT(ISNUMBER(E148)),"销量或海外库存待补",IF(OR(E148&lt;=0,L148=0),IF(L148=0,"零日销，本批不发","本批无需补货"),IF(NOT(ISNUMBER(D148)),"国内库存待补",IF(D148=0,"国内无可用库存",IF(G148&gt;0,"先发国内现货","按建议量发货")))))</f>
        <v>按建议量发货</v>
      </c>
      <c r="I148" s="28" t="n">
        <f>IF(AND(COUNT(Z148,AA148,AB148)=3,Z148&gt;=AA148,AA148&gt;=0,AB148=7),Z148-AA148,"")</f>
        <v>8</v>
      </c>
      <c r="J148" s="28" t="n">
        <f>IF(AND(COUNT(AF148,AG148,AH148)=3,AF148&gt;=AG148,AG148&gt;=0,AH148=14),AF148-AG148,"")</f>
        <v>15</v>
      </c>
      <c r="K148" s="28" t="n">
        <f>IF(AND(COUNT(AL148,AM148,AN148)=3,AL148&gt;=AM148,AM148&gt;=0,AN148=30),AL148-AM148,"")</f>
        <v>22</v>
      </c>
      <c r="L148" s="29" t="n">
        <f>IF(ISNUMBER(BI148),BI148/90,"")</f>
        <v>1.1140266513479709</v>
      </c>
      <c r="M148" s="28" t="n">
        <v>94</v>
      </c>
      <c r="N148" s="28" t="n">
        <v>0</v>
      </c>
      <c r="O148" s="28" t="n">
        <v>0</v>
      </c>
      <c r="P148" s="30" t="n">
        <f>IF(AND(ISNUMBER(L148),L148&gt;0,COUNT(M148:O148)=3,MIN(M148:O148)&gt;=0),SUM(M148:O148)/L148,"")</f>
        <v>84.37859173859091</v>
      </c>
      <c r="Q148" s="16" t="str">
        <v>按本SKU唯一未删除Listing店铺核实</v>
      </c>
      <c r="R148" s="16" t="str">
        <v>已匹配</v>
      </c>
      <c r="S148" s="16" t="str">
        <v>在售</v>
      </c>
      <c r="T148" s="16" t="str">
        <v>8392</v>
      </c>
      <c r="U148" s="16" t="str">
        <v>黑色</v>
      </c>
      <c r="V148" s="16" t="n">
        <v>7</v>
      </c>
      <c r="W148" s="8" t="str">
        <v>2026-10-11 至 2026-10-17</v>
      </c>
      <c r="X148" s="8" t="str">
        <v>2026-10-11、2026-10-12、2026-10-13、2026-10-14、2026-10-15、2026-10-16、2026-10-17</v>
      </c>
      <c r="Y148" s="8" t="str">
        <v>无</v>
      </c>
      <c r="Z148" s="8" t="n">
        <v>8</v>
      </c>
      <c r="AA148" s="8" t="n">
        <v>0</v>
      </c>
      <c r="AB148" s="8" t="n">
        <v>7</v>
      </c>
      <c r="AC148" s="8" t="str">
        <v>2026-10-02 至 2026-10-17</v>
      </c>
      <c r="AD148" s="8" t="str">
        <v>2026-10-02、2026-10-03、2026-10-04、2026-10-05、2026-10-08、2026-10-09、2026-10-10、2026-10-11、2026-10-12、2026-10-13、2026-10-14、2026-10-15、2026-10-16、2026-10-17</v>
      </c>
      <c r="AE148" s="8" t="str">
        <v>2026-10-06 大促；2026-10-07 大促</v>
      </c>
      <c r="AF148" s="8" t="n">
        <v>23</v>
      </c>
      <c r="AG148" s="8" t="n">
        <v>8</v>
      </c>
      <c r="AH148" s="8" t="n">
        <v>14</v>
      </c>
      <c r="AI148" s="8" t="str">
        <v>2026-09-16 至 2026-10-17</v>
      </c>
      <c r="AJ1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8" s="8" t="str">
        <v>2026-10-06 大促；2026-10-07 大促</v>
      </c>
      <c r="AL148" s="8" t="n">
        <v>30</v>
      </c>
      <c r="AM148" s="8" t="n">
        <v>8</v>
      </c>
      <c r="AN148" s="8" t="n">
        <v>30</v>
      </c>
      <c r="AO148" s="8" t="str">
        <v>8392 / 黑色羊京绒 / 6574</v>
      </c>
      <c r="AP148" s="11" t="n">
        <v>1.1743420411079069</v>
      </c>
      <c r="AQ148" s="11" t="n">
        <v>1.1743420411079069</v>
      </c>
      <c r="AR148" s="11" t="n">
        <v>1.144331424468921</v>
      </c>
      <c r="AS148" s="11" t="n">
        <f>IF(AND(COUNT(I148:K148,AP148:AR148)=6,MIN(AP148:AR148)&gt;0),I148/7/AP148*0.5+J148/14/AQ148*0.3+K148/30/AR148*0.2,"")</f>
        <v>0.8884721602618733</v>
      </c>
      <c r="AT148" s="8" t="n">
        <v>50</v>
      </c>
      <c r="AU148" s="8" t="n">
        <v>8</v>
      </c>
      <c r="AV148" s="8" t="n">
        <v>88</v>
      </c>
      <c r="AW148" s="11" t="n">
        <f>IF(AND(COUNT(AT148:AV148)=3,AT148&gt;=AU148,AU148&gt;=0,AV148&gt;0),(AT148-AU148)/AV148,"")</f>
        <v>0.4772727272727273</v>
      </c>
      <c r="AX148" s="8" t="n">
        <v>85</v>
      </c>
      <c r="AY148" s="8" t="n">
        <v>8</v>
      </c>
      <c r="AZ148" s="8" t="n">
        <v>178</v>
      </c>
      <c r="BA148" s="11" t="n">
        <f>IF(AND(COUNT(AX148:AZ148)=3,AX148&gt;=AY148,AY148&gt;=0,AZ148&gt;0),(AX148-AY148)/AZ148,"")</f>
        <v>0.43258426966292135</v>
      </c>
      <c r="BB148" s="8" t="n">
        <f>IF(COUNT(AS148,AW148,BA148)=3,1,0)</f>
        <v>1</v>
      </c>
      <c r="BC148" s="11" t="n">
        <f>IF(SUMIF($AO$11:$AO$1309,AO148,$BB$11:$BB$1309)=COUNTIF($AO$11:$AO$1309,AO148),SUMIF($AO$11:$AO$1309,AO148,$AS$11:$AS$1309),"")</f>
        <v>5.8206872914932575</v>
      </c>
      <c r="BD148" s="11" t="n">
        <f>IF(SUMIF($AO$11:$AO$1309,AO148,$BB$11:$BB$1309)=COUNTIF($AO$11:$AO$1309,AO148),SUMIF($AO$11:$AO$1309,AO148,$AW$11:$AW$1309),"")</f>
        <v>2.7613636363636367</v>
      </c>
      <c r="BE148" s="11" t="n">
        <f>IF(SUMIF($AO$11:$AO$1309,AO148,$BB$11:$BB$1309)=COUNTIF($AO$11:$AO$1309,AO148),SUMIF($AO$11:$AO$1309,AO148,$BA$11:$BA$1309),"")</f>
        <v>2.2696629213483144</v>
      </c>
      <c r="BF148" s="12" t="n">
        <f>IF(COUNT(BD148:BE148)&lt;&gt;2,"",IF(AND(BD148&gt;0,BE148&gt;0),0.7*AW148/BD148+0.3*BA148/BE148,IF(BD148&gt;0,AW148/BD148,IF(BE148&gt;0,BA148/BE148,IF(AND(ISNUMBER(BH148),BH148=0),0,"")))))</f>
        <v>0.17816587214276983</v>
      </c>
      <c r="BG148" s="11" t="n">
        <f>IF(AND(COUNT(BN148:BU148)=8,MIN(BN148:BU148)&gt;=0),SUMPRODUCT(BN148:BQ148,BR148:BU148),"")</f>
        <v>96.68059267618935</v>
      </c>
      <c r="BH148" s="11" t="n">
        <f>IF(COUNT(BC148,BG148)=2,BC148*BG148,"")</f>
        <v>562.7474971243314</v>
      </c>
      <c r="BI148" s="11" t="n">
        <f>IF(ISNUMBER(CI148),CI148,"")</f>
        <v>100.26239862131737</v>
      </c>
      <c r="BJ148" s="8" t="str"/>
      <c r="BK148" s="8" t="str">
        <v>90天：2026-07-20 至 2026-10-17；180天：2026-04-21 至 2026-10-17</v>
      </c>
      <c r="BL148" s="8" t="str">
        <v>90天：2026-10-06、2026-10-07；180天：2026-10-06、2026-10-07</v>
      </c>
      <c r="BM148" s="8" t="str">
        <v>2026-10：12天 × 1.1743420411079069；2026-11：30天 × 1.281694931279211；2026-12：31天 × 0.9007634642750235；2027-01：17天 × 0.9537631089407297</v>
      </c>
      <c r="BN148" s="11" t="n">
        <v>1.1743420411079069</v>
      </c>
      <c r="BO148" s="11" t="n">
        <v>1.281694931279211</v>
      </c>
      <c r="BP148" s="11" t="n">
        <v>0.9007634642750235</v>
      </c>
      <c r="BQ148" s="11" t="n">
        <v>0.9537631089407297</v>
      </c>
      <c r="BR148" s="8" t="n">
        <v>12</v>
      </c>
      <c r="BS148" s="8" t="n">
        <v>30</v>
      </c>
      <c r="BT148" s="8" t="n">
        <v>31</v>
      </c>
      <c r="BU148" s="8" t="n">
        <v>17</v>
      </c>
      <c r="BV148" s="11" t="n">
        <f>IF(COUNT(BC148,BF148)=2,BC148*BF148,"")</f>
        <v>1.037047827759233</v>
      </c>
      <c r="BW148" s="11" t="n">
        <f>IF(ISNUMBER(BN148),BN148,"")</f>
        <v>1.1743420411079069</v>
      </c>
      <c r="BX148" s="14" t="n">
        <f>IF(ISNUMBER(BR148),BR148,"")</f>
        <v>12</v>
      </c>
      <c r="BY148" s="13" t="n">
        <f>IF(AND(COUNT(BV148,BW148,BX148)=3,MIN(BV148,BW148,BX148)&gt;=0),BV148*BW148*BX148,"")</f>
        <v>14.614186353327586</v>
      </c>
      <c r="BZ148" s="11" t="n">
        <f>IF(ISNUMBER(BO148),BO148,"")</f>
        <v>1.281694931279211</v>
      </c>
      <c r="CA148" s="14" t="n">
        <f>IF(ISNUMBER(BS148),BS148,"")</f>
        <v>30</v>
      </c>
      <c r="CB148" s="13" t="n">
        <f>IF(AND(COUNT(BV148,BZ148,CA148)=3,MIN(BV148,BZ148,CA148)&gt;=0),BV148*BZ148*CA148,"")</f>
        <v>39.875368329993755</v>
      </c>
      <c r="CC148" s="11" t="n">
        <f>IF(ISNUMBER(BP148),BP148,"")</f>
        <v>0.9007634642750235</v>
      </c>
      <c r="CD148" s="14" t="n">
        <f>IF(ISNUMBER(BT148),BT148,"")</f>
        <v>31</v>
      </c>
      <c r="CE148" s="13" t="n">
        <f>IF(AND(COUNT(BV148,CC148,CD148)=3,MIN(BV148,CC148,CD148)&gt;=0),BV148*CC148*CD148,"")</f>
        <v>28.958178612490133</v>
      </c>
      <c r="CF148" s="11" t="n">
        <f>IF(ISNUMBER(BQ148),BQ148,"")</f>
        <v>0.9537631089407297</v>
      </c>
      <c r="CG148" s="14" t="n">
        <f>IF(ISNUMBER(BU148),BU148,"")</f>
        <v>17</v>
      </c>
      <c r="CH148" s="13" t="n">
        <f>IF(AND(COUNT(BV148,CF148,CG148)=3,MIN(BV148,CF148,CG148)&gt;=0),BV148*CF148*CG148,"")</f>
        <v>16.8146653255059</v>
      </c>
      <c r="CI148" s="13" t="n">
        <f>IF(COUNT(BY148,CB148,CE148,CH148)=4,SUM(BY148,CB148,CE148,CH148),"")</f>
        <v>100.26239862131737</v>
      </c>
    </row>
    <row r="149" ht="72" customHeight="1">
      <c r="A149" s="16" t="str">
        <v>B06-BGP-40-N</v>
      </c>
      <c r="B149" s="16" t="str">
        <v>1店-MUSSHOE-US</v>
      </c>
      <c r="C149" s="16" t="str">
        <v>艾年</v>
      </c>
      <c r="D149" s="26" t="n">
        <f>IF(NOT(ISNUMBER(E149)),"",IF(OR(E149&lt;=0,L149=0),0,IF(OR(NOT(ISNUMBER(F149)),F149&lt;0),"",MIN(E149,INT(F149)))))</f>
        <v>7</v>
      </c>
      <c r="E149" s="27" t="n">
        <f>IF(OR(NOT(ISNUMBER(L149)),COUNT(M149:O149)&lt;&gt;3,MIN(M149:O149)&lt;0),"",ROUNDUP(ROUND(BI149-SUM(M149:O149),10),0))</f>
        <v>7</v>
      </c>
      <c r="F149" s="28" t="n">
        <v>24</v>
      </c>
      <c r="G149" s="28" t="n">
        <f>IF(AND(ISNUMBER(D149),ISNUMBER(E149)),IF(OR(E149&lt;=0,L149=0),0,E149-D149),"")</f>
        <v>0</v>
      </c>
      <c r="H149" s="16" t="str">
        <f>IF(NOT(ISNUMBER(E149)),"销量或海外库存待补",IF(OR(E149&lt;=0,L149=0),IF(L149=0,"零日销，本批不发","本批无需补货"),IF(NOT(ISNUMBER(D149)),"国内库存待补",IF(D149=0,"国内无可用库存",IF(G149&gt;0,"先发国内现货","按建议量发货")))))</f>
        <v>按建议量发货</v>
      </c>
      <c r="I149" s="28" t="n">
        <f>IF(AND(COUNT(Z149,AA149,AB149)=3,Z149&gt;=AA149,AA149&gt;=0,AB149=7),Z149-AA149,"")</f>
        <v>3</v>
      </c>
      <c r="J149" s="28" t="n">
        <f>IF(AND(COUNT(AF149,AG149,AH149)=3,AF149&gt;=AG149,AG149&gt;=0,AH149=14),AF149-AG149,"")</f>
        <v>7</v>
      </c>
      <c r="K149" s="28" t="n">
        <f>IF(AND(COUNT(AL149,AM149,AN149)=3,AL149&gt;=AM149,AM149&gt;=0,AN149=30),AL149-AM149,"")</f>
        <v>11</v>
      </c>
      <c r="L149" s="29" t="n">
        <f>IF(ISNUMBER(BI149),BI149/90,"")</f>
        <v>0.3384237878106876</v>
      </c>
      <c r="M149" s="28" t="n">
        <v>20</v>
      </c>
      <c r="N149" s="28" t="n">
        <v>2</v>
      </c>
      <c r="O149" s="28" t="n">
        <v>2</v>
      </c>
      <c r="P149" s="30" t="n">
        <f>IF(AND(ISNUMBER(L149),L149&gt;0,COUNT(M149:O149)=3,MIN(M149:O149)&gt;=0),SUM(M149:O149)/L149,"")</f>
        <v>70.91700070866611</v>
      </c>
      <c r="Q149" s="16" t="str">
        <v>沿用原计划SKU店铺</v>
      </c>
      <c r="R149" s="16" t="str">
        <v>已匹配</v>
      </c>
      <c r="S149" s="16" t="str">
        <v>在售</v>
      </c>
      <c r="T149" s="16" t="str">
        <v>B06</v>
      </c>
      <c r="U149" s="16" t="str">
        <v>米色PU</v>
      </c>
      <c r="V149" s="16" t="n">
        <v>9</v>
      </c>
      <c r="W149" s="8" t="str">
        <v>2026-10-11 至 2026-10-17</v>
      </c>
      <c r="X149" s="8" t="str">
        <v>2026-10-11、2026-10-12、2026-10-13、2026-10-14、2026-10-15、2026-10-16、2026-10-17</v>
      </c>
      <c r="Y149" s="8" t="str">
        <v>无</v>
      </c>
      <c r="Z149" s="8" t="n">
        <v>3</v>
      </c>
      <c r="AA149" s="8" t="n">
        <v>0</v>
      </c>
      <c r="AB149" s="8" t="n">
        <v>7</v>
      </c>
      <c r="AC149" s="8" t="str">
        <v>2026-10-02 至 2026-10-17</v>
      </c>
      <c r="AD149" s="8" t="str">
        <v>2026-10-02、2026-10-03、2026-10-04、2026-10-05、2026-10-08、2026-10-09、2026-10-10、2026-10-11、2026-10-12、2026-10-13、2026-10-14、2026-10-15、2026-10-16、2026-10-17</v>
      </c>
      <c r="AE149" s="8" t="str">
        <v>2026-10-06 大促；2026-10-07 大促</v>
      </c>
      <c r="AF149" s="8" t="n">
        <v>9</v>
      </c>
      <c r="AG149" s="8" t="n">
        <v>2</v>
      </c>
      <c r="AH149" s="8" t="n">
        <v>14</v>
      </c>
      <c r="AI149" s="8" t="str">
        <v>2026-09-16 至 2026-10-17</v>
      </c>
      <c r="AJ1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49" s="8" t="str">
        <v>2026-10-06 大促；2026-10-07 大促</v>
      </c>
      <c r="AL149" s="8" t="n">
        <v>13</v>
      </c>
      <c r="AM149" s="8" t="n">
        <v>2</v>
      </c>
      <c r="AN149" s="8" t="n">
        <v>30</v>
      </c>
      <c r="AO149" s="8" t="str">
        <v>B06 / 米色PU / 13120</v>
      </c>
      <c r="AP149" s="11" t="n">
        <v>1.2247029157699902</v>
      </c>
      <c r="AQ149" s="11" t="n">
        <v>1.2247029157699902</v>
      </c>
      <c r="AR149" s="11" t="n">
        <v>1.1136940657346173</v>
      </c>
      <c r="AS149" s="11" t="n">
        <f>IF(AND(COUNT(I149:K149,AP149:AR149)=6,MIN(AP149:AR149)&gt;0),I149/7/AP149*0.5+J149/14/AQ149*0.3+K149/30/AR149*0.2,"")</f>
        <v>0.36329515810136126</v>
      </c>
      <c r="AT149" s="8" t="n">
        <v>36</v>
      </c>
      <c r="AU149" s="8" t="n">
        <v>2</v>
      </c>
      <c r="AV149" s="8" t="n">
        <v>88</v>
      </c>
      <c r="AW149" s="11" t="n">
        <f>IF(AND(COUNT(AT149:AV149)=3,AT149&gt;=AU149,AU149&gt;=0,AV149&gt;0),(AT149-AU149)/AV149,"")</f>
        <v>0.38636363636363635</v>
      </c>
      <c r="AX149" s="8" t="n">
        <v>70</v>
      </c>
      <c r="AY149" s="8" t="n">
        <v>2</v>
      </c>
      <c r="AZ149" s="8" t="n">
        <v>178</v>
      </c>
      <c r="BA149" s="11" t="n">
        <f>IF(AND(COUNT(AX149:AZ149)=3,AX149&gt;=AY149,AY149&gt;=0,AZ149&gt;0),(AX149-AY149)/AZ149,"")</f>
        <v>0.38202247191011235</v>
      </c>
      <c r="BB149" s="8" t="n">
        <f>IF(COUNT(AS149,AW149,BA149)=3,1,0)</f>
        <v>1</v>
      </c>
      <c r="BC149" s="11" t="n">
        <f>IF(SUMIF($AO$11:$AO$1309,AO149,$BB$11:$BB$1309)=COUNTIF($AO$11:$AO$1309,AO149),SUMIF($AO$11:$AO$1309,AO149,$AS$11:$AS$1309),"")</f>
        <v>3.5783079906501625</v>
      </c>
      <c r="BD149" s="11" t="n">
        <f>IF(SUMIF($AO$11:$AO$1309,AO149,$BB$11:$BB$1309)=COUNTIF($AO$11:$AO$1309,AO149),SUMIF($AO$11:$AO$1309,AO149,$AW$11:$AW$1309),"")</f>
        <v>3.376306165099269</v>
      </c>
      <c r="BE149" s="11" t="n">
        <f>IF(SUMIF($AO$11:$AO$1309,AO149,$BB$11:$BB$1309)=COUNTIF($AO$11:$AO$1309,AO149),SUMIF($AO$11:$AO$1309,AO149,$BA$11:$BA$1309),"")</f>
        <v>3.2539198882752487</v>
      </c>
      <c r="BF149" s="12" t="n">
        <f>IF(COUNT(BD149:BE149)&lt;&gt;2,"",IF(AND(BD149&gt;0,BE149&gt;0),0.7*AW149/BD149+0.3*BA149/BE149,IF(BD149&gt;0,AW149/BD149,IF(BE149&gt;0,BA149/BE149,IF(AND(ISNUMBER(BH149),BH149=0),0,"")))))</f>
        <v>0.11532481095793973</v>
      </c>
      <c r="BG149" s="11" t="n">
        <f>IF(AND(COUNT(BN149:BU149)=8,MIN(BN149:BU149)&gt;=0),SUMPRODUCT(BN149:BQ149,BR149:BU149),"")</f>
        <v>73.80791239847399</v>
      </c>
      <c r="BH149" s="11" t="n">
        <f>IF(COUNT(BC149,BG149)=2,BC149*BG149,"")</f>
        <v>264.10744270866667</v>
      </c>
      <c r="BI149" s="11" t="n">
        <f>IF(ISNUMBER(CI149),CI149,"")</f>
        <v>30.458140902961883</v>
      </c>
      <c r="BJ149" s="8" t="str"/>
      <c r="BK149" s="8" t="str">
        <v>90天：2026-07-20 至 2026-10-17；180天：2026-04-21 至 2026-10-17</v>
      </c>
      <c r="BL149" s="8" t="str">
        <v>90天：2026-10-06、2026-10-07；180天：2026-10-06、2026-10-07</v>
      </c>
      <c r="BM149" s="8" t="str">
        <v>2026-10：12天 × 1.2247029157699902；2026-11：30天 × 0.8332682139098497；2026-12：31天 × 0.5511018253564084；2027-01：17天 × 1.0017220238758797</v>
      </c>
      <c r="BN149" s="11" t="n">
        <v>1.2247029157699902</v>
      </c>
      <c r="BO149" s="11" t="n">
        <v>0.8332682139098497</v>
      </c>
      <c r="BP149" s="11" t="n">
        <v>0.5511018253564084</v>
      </c>
      <c r="BQ149" s="11" t="n">
        <v>1.0017220238758797</v>
      </c>
      <c r="BR149" s="8" t="n">
        <v>12</v>
      </c>
      <c r="BS149" s="8" t="n">
        <v>30</v>
      </c>
      <c r="BT149" s="8" t="n">
        <v>31</v>
      </c>
      <c r="BU149" s="8" t="n">
        <v>17</v>
      </c>
      <c r="BV149" s="11" t="n">
        <f>IF(COUNT(BC149,BF149)=2,BC149*BF149,"")</f>
        <v>0.41266769257101515</v>
      </c>
      <c r="BW149" s="11" t="n">
        <f>IF(ISNUMBER(BN149),BN149,"")</f>
        <v>1.2247029157699902</v>
      </c>
      <c r="BX149" s="14" t="n">
        <f>IF(ISNUMBER(BR149),BR149,"")</f>
        <v>12</v>
      </c>
      <c r="BY149" s="13" t="n">
        <f>IF(AND(COUNT(BV149,BW149,BX149)=3,MIN(BV149,BW149,BX149)&gt;=0),BV149*BW149*BX149,"")</f>
        <v>6.064743916029554</v>
      </c>
      <c r="BZ149" s="11" t="n">
        <f>IF(ISNUMBER(BO149),BO149,"")</f>
        <v>0.8332682139098497</v>
      </c>
      <c r="CA149" s="14" t="n">
        <f>IF(ISNUMBER(BS149),BS149,"")</f>
        <v>30</v>
      </c>
      <c r="CB149" s="13" t="n">
        <f>IF(AND(COUNT(BV149,BZ149,CA149)=3,MIN(BV149,BZ149,CA149)&gt;=0),BV149*BZ149*CA149,"")</f>
        <v>10.315886133808462</v>
      </c>
      <c r="CC149" s="11" t="n">
        <f>IF(ISNUMBER(BP149),BP149,"")</f>
        <v>0.5511018253564084</v>
      </c>
      <c r="CD149" s="14" t="n">
        <f>IF(ISNUMBER(BT149),BT149,"")</f>
        <v>31</v>
      </c>
      <c r="CE149" s="13" t="n">
        <f>IF(AND(COUNT(BV149,CC149,CD149)=3,MIN(BV149,CC149,CD149)&gt;=0),BV149*CC149*CD149,"")</f>
        <v>7.050079477886612</v>
      </c>
      <c r="CF149" s="11" t="n">
        <f>IF(ISNUMBER(BQ149),BQ149,"")</f>
        <v>1.0017220238758797</v>
      </c>
      <c r="CG149" s="14" t="n">
        <f>IF(ISNUMBER(BU149),BU149,"")</f>
        <v>17</v>
      </c>
      <c r="CH149" s="13" t="n">
        <f>IF(AND(COUNT(BV149,CF149,CG149)=3,MIN(BV149,CF149,CG149)&gt;=0),BV149*CF149*CG149,"")</f>
        <v>7.027431375237253</v>
      </c>
      <c r="CI149" s="13" t="n">
        <f>IF(COUNT(BY149,CB149,CE149,CH149)=4,SUM(BY149,CB149,CE149,CH149),"")</f>
        <v>30.458140902961883</v>
      </c>
    </row>
    <row r="150" ht="72" customHeight="1">
      <c r="A150" s="16" t="str">
        <v>B06-NY-41</v>
      </c>
      <c r="B150" s="16" t="str">
        <v>1店-MUSSHOE-US</v>
      </c>
      <c r="C150" s="16" t="str">
        <v>艾年</v>
      </c>
      <c r="D150" s="26" t="n">
        <f>IF(NOT(ISNUMBER(E150)),"",IF(OR(E150&lt;=0,L150=0),0,IF(OR(NOT(ISNUMBER(F150)),F150&lt;0),"",MIN(E150,INT(F150)))))</f>
        <v>7</v>
      </c>
      <c r="E150" s="27" t="n">
        <f>IF(OR(NOT(ISNUMBER(L150)),COUNT(M150:O150)&lt;&gt;3,MIN(M150:O150)&lt;0),"",ROUNDUP(ROUND(BI150-SUM(M150:O150),10),0))</f>
        <v>7</v>
      </c>
      <c r="F150" s="28" t="n">
        <v>36</v>
      </c>
      <c r="G150" s="28" t="n">
        <f>IF(AND(ISNUMBER(D150),ISNUMBER(E150)),IF(OR(E150&lt;=0,L150=0),0,E150-D150),"")</f>
        <v>0</v>
      </c>
      <c r="H150" s="16" t="str">
        <f>IF(NOT(ISNUMBER(E150)),"销量或海外库存待补",IF(OR(E150&lt;=0,L150=0),IF(L150=0,"零日销，本批不发","本批无需补货"),IF(NOT(ISNUMBER(D150)),"国内库存待补",IF(D150=0,"国内无可用库存",IF(G150&gt;0,"先发国内现货","按建议量发货")))))</f>
        <v>按建议量发货</v>
      </c>
      <c r="I150" s="28" t="n">
        <f>IF(AND(COUNT(Z150,AA150,AB150)=3,Z150&gt;=AA150,AA150&gt;=0,AB150=7),Z150-AA150,"")</f>
        <v>0</v>
      </c>
      <c r="J150" s="28" t="n">
        <f>IF(AND(COUNT(AF150,AG150,AH150)=3,AF150&gt;=AG150,AG150&gt;=0,AH150=14),AF150-AG150,"")</f>
        <v>1</v>
      </c>
      <c r="K150" s="28" t="n">
        <f>IF(AND(COUNT(AL150,AM150,AN150)=3,AL150&gt;=AM150,AM150&gt;=0,AN150=30),AL150-AM150,"")</f>
        <v>1</v>
      </c>
      <c r="L150" s="29" t="n">
        <f>IF(ISNUMBER(BI150),BI150/90,"")</f>
        <v>0.06952425504536676</v>
      </c>
      <c r="M150" s="28" t="n">
        <v>0</v>
      </c>
      <c r="N150" s="28" t="n">
        <v>0</v>
      </c>
      <c r="O150" s="28" t="n">
        <v>0</v>
      </c>
      <c r="P150" s="30" t="n">
        <f>IF(AND(ISNUMBER(L150),L150&gt;0,COUNT(M150:O150)=3,MIN(M150:O150)&gt;=0),SUM(M150:O150)/L150,"")</f>
        <v>0</v>
      </c>
      <c r="Q150" s="16" t="str">
        <v>沿用原计划SKU店铺</v>
      </c>
      <c r="R150" s="16" t="str">
        <v>已匹配</v>
      </c>
      <c r="S150" s="16" t="str">
        <v>停售</v>
      </c>
      <c r="T150" s="16" t="str">
        <v>B06</v>
      </c>
      <c r="U150" s="16" t="str">
        <v>藏青色羊京绒</v>
      </c>
      <c r="V150" s="16" t="n">
        <v>10</v>
      </c>
      <c r="W150" s="8" t="str">
        <v>2026-10-08 至 2026-10-17</v>
      </c>
      <c r="X150" s="8" t="str">
        <v>2026-10-08、2026-10-09、2026-10-10、2026-10-11、2026-10-14、2026-10-15、2026-10-17</v>
      </c>
      <c r="Y150" s="8" t="str">
        <v>2026-10-12 有记录的停售日；2026-10-13 有记录的停售日；2026-10-16 有记录的停售日</v>
      </c>
      <c r="Z150" s="8" t="n">
        <v>0</v>
      </c>
      <c r="AA150" s="8" t="n">
        <v>0</v>
      </c>
      <c r="AB150" s="8" t="n">
        <v>7</v>
      </c>
      <c r="AC150" s="8" t="str">
        <v>2026-09-29 至 2026-10-17</v>
      </c>
      <c r="AD150" s="8" t="str">
        <v>2026-09-29、2026-09-30、2026-10-01、2026-10-02、2026-10-03、2026-10-04、2026-10-05、2026-10-08、2026-10-09、2026-10-10、2026-10-11、2026-10-14、2026-10-15、2026-10-17</v>
      </c>
      <c r="AE150" s="8" t="str">
        <v>2026-10-06 大促；2026-10-07 大促；2026-10-12 有记录的停售日；2026-10-13 有记录的停售日；2026-10-16 有记录的停售日</v>
      </c>
      <c r="AF150" s="8" t="n">
        <v>1</v>
      </c>
      <c r="AG150" s="8" t="n">
        <v>0</v>
      </c>
      <c r="AH150" s="8" t="n">
        <v>14</v>
      </c>
      <c r="AI150" s="8" t="str">
        <v>2026-09-13 至 2026-10-17</v>
      </c>
      <c r="AJ15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50" s="8" t="str">
        <v>2026-10-06 大促；2026-10-07 大促；2026-10-12 有记录的停售日；2026-10-13 有记录的停售日；2026-10-16 有记录的停售日</v>
      </c>
      <c r="AL150" s="8" t="n">
        <v>1</v>
      </c>
      <c r="AM150" s="8" t="n">
        <v>0</v>
      </c>
      <c r="AN150" s="8" t="n">
        <v>30</v>
      </c>
      <c r="AO150" s="8" t="str">
        <v>B06 / 藏青色羊京绒 / 13120</v>
      </c>
      <c r="AP150" s="11" t="n">
        <v>1.2247029157699902</v>
      </c>
      <c r="AQ150" s="11" t="n">
        <v>1.1929861014741694</v>
      </c>
      <c r="AR150" s="11" t="n">
        <v>1.0914922957275428</v>
      </c>
      <c r="AS150" s="11" t="n">
        <f>IF(AND(COUNT(I150:K150,AP150:AR150)=6,MIN(AP150:AR150)&gt;0),I150/7/AP150*0.5+J150/14/AQ150*0.3+K150/30/AR150*0.2,"")</f>
        <v>0.0240699758177653</v>
      </c>
      <c r="AT150" s="8" t="n">
        <v>5</v>
      </c>
      <c r="AU150" s="8" t="n">
        <v>0</v>
      </c>
      <c r="AV150" s="8" t="n">
        <v>85</v>
      </c>
      <c r="AW150" s="11" t="n">
        <f>IF(AND(COUNT(AT150:AV150)=3,AT150&gt;=AU150,AU150&gt;=0,AV150&gt;0),(AT150-AU150)/AV150,"")</f>
        <v>0.058823529411764705</v>
      </c>
      <c r="AX150" s="8" t="n">
        <v>17</v>
      </c>
      <c r="AY150" s="8" t="n">
        <v>0</v>
      </c>
      <c r="AZ150" s="8" t="n">
        <v>175</v>
      </c>
      <c r="BA150" s="11" t="n">
        <f>IF(AND(COUNT(AX150:AZ150)=3,AX150&gt;=AY150,AY150&gt;=0,AZ150&gt;0),(AX150-AY150)/AZ150,"")</f>
        <v>0.09714285714285714</v>
      </c>
      <c r="BB150" s="8" t="n">
        <f>IF(COUNT(AS150,AW150,BA150)=3,1,0)</f>
        <v>1</v>
      </c>
      <c r="BC150" s="11" t="n">
        <f>IF(SUMIF($AO$11:$AO$1309,AO150,$BB$11:$BB$1309)=COUNTIF($AO$11:$AO$1309,AO150),SUMIF($AO$11:$AO$1309,AO150,$AS$11:$AS$1309),"")</f>
        <v>1.8232025777957794</v>
      </c>
      <c r="BD150" s="11" t="n">
        <f>IF(SUMIF($AO$11:$AO$1309,AO150,$BB$11:$BB$1309)=COUNTIF($AO$11:$AO$1309,AO150),SUMIF($AO$11:$AO$1309,AO150,$AW$11:$AW$1309),"")</f>
        <v>1.5588235294117647</v>
      </c>
      <c r="BE150" s="11" t="n">
        <f>IF(SUMIF($AO$11:$AO$1309,AO150,$BB$11:$BB$1309)=COUNTIF($AO$11:$AO$1309,AO150),SUMIF($AO$11:$AO$1309,AO150,$BA$11:$BA$1309),"")</f>
        <v>1.4510754414125202</v>
      </c>
      <c r="BF150" s="12" t="n">
        <f>IF(COUNT(BD150:BE150)&lt;&gt;2,"",IF(AND(BD150&gt;0,BE150&gt;0),0.7*AW150/BD150+0.3*BA150/BE150,IF(BD150&gt;0,AW150/BD150,IF(BE150&gt;0,BA150/BE150,IF(AND(ISNUMBER(BH150),BH150=0),0,"")))))</f>
        <v>0.0464987208080636</v>
      </c>
      <c r="BG150" s="11" t="n">
        <f>IF(AND(COUNT(BN150:BU150)=8,MIN(BN150:BU150)&gt;=0),SUMPRODUCT(BN150:BQ150,BR150:BU150),"")</f>
        <v>73.80791239847399</v>
      </c>
      <c r="BH150" s="11" t="n">
        <f>IF(COUNT(BC150,BG150)=2,BC150*BG150,"")</f>
        <v>134.56677614662286</v>
      </c>
      <c r="BI150" s="11" t="n">
        <f>IF(ISNUMBER(CI150),CI150,"")</f>
        <v>6.257182954083008</v>
      </c>
      <c r="BJ150" s="8" t="str">
        <v>低销提醒依据不完整</v>
      </c>
      <c r="BK150" s="8" t="str">
        <v>90天：2026-07-20 至 2026-10-17；180天：2026-04-21 至 2026-10-17</v>
      </c>
      <c r="BL150" s="8" t="str">
        <v>90天：2026-10-06、2026-10-07、2026-10-12、2026-10-13、2026-10-16；180天：2026-10-06、2026-10-07、2026-10-12、2026-10-13、2026-10-16</v>
      </c>
      <c r="BM150" s="8" t="str">
        <v>2026-10：12天 × 1.2247029157699902；2026-11：30天 × 0.8332682139098497；2026-12：31天 × 0.5511018253564084；2027-01：17天 × 1.0017220238758797</v>
      </c>
      <c r="BN150" s="11" t="n">
        <v>1.2247029157699902</v>
      </c>
      <c r="BO150" s="11" t="n">
        <v>0.8332682139098497</v>
      </c>
      <c r="BP150" s="11" t="n">
        <v>0.5511018253564084</v>
      </c>
      <c r="BQ150" s="11" t="n">
        <v>1.0017220238758797</v>
      </c>
      <c r="BR150" s="8" t="n">
        <v>12</v>
      </c>
      <c r="BS150" s="8" t="n">
        <v>30</v>
      </c>
      <c r="BT150" s="8" t="n">
        <v>31</v>
      </c>
      <c r="BU150" s="8" t="n">
        <v>17</v>
      </c>
      <c r="BV150" s="11" t="n">
        <f>IF(COUNT(BC150,BF150)=2,BC150*BF150,"")</f>
        <v>0.08477658764146781</v>
      </c>
      <c r="BW150" s="11" t="n">
        <f>IF(ISNUMBER(BN150),BN150,"")</f>
        <v>1.2247029157699902</v>
      </c>
      <c r="BX150" s="14" t="n">
        <f>IF(ISNUMBER(BR150),BR150,"")</f>
        <v>12</v>
      </c>
      <c r="BY150" s="13" t="n">
        <f>IF(AND(COUNT(BV150,BW150,BX150)=3,MIN(BV150,BW150,BX150)&gt;=0),BV150*BW150*BX150,"")</f>
        <v>1.245913608882429</v>
      </c>
      <c r="BZ150" s="11" t="n">
        <f>IF(ISNUMBER(BO150),BO150,"")</f>
        <v>0.8332682139098497</v>
      </c>
      <c r="CA150" s="14" t="n">
        <f>IF(ISNUMBER(BS150),BS150,"")</f>
        <v>30</v>
      </c>
      <c r="CB150" s="13" t="n">
        <f>IF(AND(COUNT(BV150,BZ150,CA150)=3,MIN(BV150,BZ150,CA150)&gt;=0),BV150*BZ150*CA150,"")</f>
        <v>2.119249072961332</v>
      </c>
      <c r="CC150" s="11" t="n">
        <f>IF(ISNUMBER(BP150),BP150,"")</f>
        <v>0.5511018253564084</v>
      </c>
      <c r="CD150" s="14" t="n">
        <f>IF(ISNUMBER(BT150),BT150,"")</f>
        <v>31</v>
      </c>
      <c r="CE150" s="13" t="n">
        <f>IF(AND(COUNT(BV150,CC150,CD150)=3,MIN(BV150,CC150,CD150)&gt;=0),BV150*CC150*CD150,"")</f>
        <v>1.4483364980977138</v>
      </c>
      <c r="CF150" s="11" t="n">
        <f>IF(ISNUMBER(BQ150),BQ150,"")</f>
        <v>1.0017220238758797</v>
      </c>
      <c r="CG150" s="14" t="n">
        <f>IF(ISNUMBER(BU150),BU150,"")</f>
        <v>17</v>
      </c>
      <c r="CH150" s="13" t="n">
        <f>IF(AND(COUNT(BV150,CF150,CG150)=3,MIN(BV150,CF150,CG150)&gt;=0),BV150*CF150*CG150,"")</f>
        <v>1.4436837741415345</v>
      </c>
      <c r="CI150" s="13" t="n">
        <f>IF(COUNT(BY150,CB150,CE150,CH150)=4,SUM(BY150,CB150,CE150,CH150),"")</f>
        <v>6.257182954083008</v>
      </c>
    </row>
    <row r="151" ht="72" customHeight="1">
      <c r="A151" s="16" t="str">
        <v>B06-RD-39.5</v>
      </c>
      <c r="B151" s="16" t="str">
        <v>1店-MUSSHOE-US</v>
      </c>
      <c r="C151" s="16" t="str">
        <v>艾年</v>
      </c>
      <c r="D151" s="26" t="n">
        <f>IF(NOT(ISNUMBER(E151)),"",IF(OR(E151&lt;=0,L151=0),0,IF(OR(NOT(ISNUMBER(F151)),F151&lt;0),"",MIN(E151,INT(F151)))))</f>
        <v>7</v>
      </c>
      <c r="E151" s="27" t="n">
        <f>IF(OR(NOT(ISNUMBER(L151)),COUNT(M151:O151)&lt;&gt;3,MIN(M151:O151)&lt;0),"",ROUNDUP(ROUND(BI151-SUM(M151:O151),10),0))</f>
        <v>7</v>
      </c>
      <c r="F151" s="28" t="n">
        <v>25</v>
      </c>
      <c r="G151" s="28" t="n">
        <f>IF(AND(ISNUMBER(D151),ISNUMBER(E151)),IF(OR(E151&lt;=0,L151=0),0,E151-D151),"")</f>
        <v>0</v>
      </c>
      <c r="H151" s="16" t="str">
        <f>IF(NOT(ISNUMBER(E151)),"销量或海外库存待补",IF(OR(E151&lt;=0,L151=0),IF(L151=0,"零日销，本批不发","本批无需补货"),IF(NOT(ISNUMBER(D151)),"国内库存待补",IF(D151=0,"国内无可用库存",IF(G151&gt;0,"先发国内现货","按建议量发货")))))</f>
        <v>按建议量发货</v>
      </c>
      <c r="I151" s="28" t="n">
        <f>IF(AND(COUNT(Z151,AA151,AB151)=3,Z151&gt;=AA151,AA151&gt;=0,AB151=7),Z151-AA151,"")</f>
        <v>0</v>
      </c>
      <c r="J151" s="28" t="n">
        <f>IF(AND(COUNT(AF151,AG151,AH151)=3,AF151&gt;=AG151,AG151&gt;=0,AH151=14),AF151-AG151,"")</f>
        <v>0</v>
      </c>
      <c r="K151" s="28" t="n">
        <f>IF(AND(COUNT(AL151,AM151,AN151)=3,AL151&gt;=AM151,AM151&gt;=0,AN151=30),AL151-AM151,"")</f>
        <v>1</v>
      </c>
      <c r="L151" s="29" t="n">
        <f>IF(ISNUMBER(BI151),BI151/90,"")</f>
        <v>0.07113282064569194</v>
      </c>
      <c r="M151" s="28" t="n">
        <v>0</v>
      </c>
      <c r="N151" s="28" t="n">
        <v>0</v>
      </c>
      <c r="O151" s="28" t="n">
        <v>0</v>
      </c>
      <c r="P151" s="30" t="n">
        <f>IF(AND(ISNUMBER(L151),L151&gt;0,COUNT(M151:O151)=3,MIN(M151:O151)&gt;=0),SUM(M151:O151)/L151,"")</f>
        <v>0</v>
      </c>
      <c r="Q151" s="16" t="str">
        <v>沿用原计划SKU店铺</v>
      </c>
      <c r="R151" s="16" t="str">
        <v>已匹配</v>
      </c>
      <c r="S151" s="16" t="str">
        <v>停售</v>
      </c>
      <c r="T151" s="16" t="str">
        <v>B06</v>
      </c>
      <c r="U151" s="16" t="str">
        <v>红色羊京绒</v>
      </c>
      <c r="V151" s="16" t="n">
        <v>8.5</v>
      </c>
      <c r="W151" s="8" t="str">
        <v>2026-10-08 至 2026-10-17</v>
      </c>
      <c r="X151" s="8" t="str">
        <v>2026-10-08、2026-10-09、2026-10-10、2026-10-11、2026-10-14、2026-10-15、2026-10-17</v>
      </c>
      <c r="Y151" s="8" t="str">
        <v>2026-10-12 有记录的停售日；2026-10-13 有记录的停售日；2026-10-16 有记录的停售日</v>
      </c>
      <c r="Z151" s="8" t="n">
        <v>0</v>
      </c>
      <c r="AA151" s="8" t="n">
        <v>0</v>
      </c>
      <c r="AB151" s="8" t="n">
        <v>7</v>
      </c>
      <c r="AC151" s="8" t="str">
        <v>2026-09-29 至 2026-10-17</v>
      </c>
      <c r="AD151" s="8" t="str">
        <v>2026-09-29、2026-09-30、2026-10-01、2026-10-02、2026-10-03、2026-10-04、2026-10-05、2026-10-08、2026-10-09、2026-10-10、2026-10-11、2026-10-14、2026-10-15、2026-10-17</v>
      </c>
      <c r="AE151" s="8" t="str">
        <v>2026-10-06 大促；2026-10-07 大促；2026-10-12 有记录的停售日；2026-10-13 有记录的停售日；2026-10-16 有记录的停售日</v>
      </c>
      <c r="AF151" s="8" t="n">
        <v>0</v>
      </c>
      <c r="AG151" s="8" t="n">
        <v>0</v>
      </c>
      <c r="AH151" s="8" t="n">
        <v>14</v>
      </c>
      <c r="AI151" s="8" t="str">
        <v>2026-09-13 至 2026-10-17</v>
      </c>
      <c r="AJ1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51" s="8" t="str">
        <v>2026-10-06 大促；2026-10-07 大促；2026-10-12 有记录的停售日；2026-10-13 有记录的停售日；2026-10-16 有记录的停售日</v>
      </c>
      <c r="AL151" s="8" t="n">
        <v>1</v>
      </c>
      <c r="AM151" s="8" t="n">
        <v>0</v>
      </c>
      <c r="AN151" s="8" t="n">
        <v>30</v>
      </c>
      <c r="AO151" s="8" t="str">
        <v>B06 / 红色羊京绒 / 13120</v>
      </c>
      <c r="AP151" s="11" t="n">
        <v>1.2247029157699902</v>
      </c>
      <c r="AQ151" s="11" t="n">
        <v>1.1929861014741694</v>
      </c>
      <c r="AR151" s="11" t="n">
        <v>1.0914922957275428</v>
      </c>
      <c r="AS151" s="11" t="n">
        <f>IF(AND(COUNT(I151:K151,AP151:AR151)=6,MIN(AP151:AR151)&gt;0),I151/7/AP151*0.5+J151/14/AQ151*0.3+K151/30/AR151*0.2,"")</f>
        <v>0.006107845829752694</v>
      </c>
      <c r="AT151" s="8" t="n">
        <v>8</v>
      </c>
      <c r="AU151" s="8" t="n">
        <v>0</v>
      </c>
      <c r="AV151" s="8" t="n">
        <v>85</v>
      </c>
      <c r="AW151" s="11" t="n">
        <f>IF(AND(COUNT(AT151:AV151)=3,AT151&gt;=AU151,AU151&gt;=0,AV151&gt;0),(AT151-AU151)/AV151,"")</f>
        <v>0.09411764705882353</v>
      </c>
      <c r="AX151" s="8" t="n">
        <v>19</v>
      </c>
      <c r="AY151" s="8" t="n">
        <v>0</v>
      </c>
      <c r="AZ151" s="8" t="n">
        <v>175</v>
      </c>
      <c r="BA151" s="11" t="n">
        <f>IF(AND(COUNT(AX151:AZ151)=3,AX151&gt;=AY151,AY151&gt;=0,AZ151&gt;0),(AX151-AY151)/AZ151,"")</f>
        <v>0.10857142857142857</v>
      </c>
      <c r="BB151" s="8" t="n">
        <f>IF(COUNT(AS151,AW151,BA151)=3,1,0)</f>
        <v>1</v>
      </c>
      <c r="BC151" s="11" t="n">
        <f>IF(SUMIF($AO$11:$AO$1309,AO151,$BB$11:$BB$1309)=COUNTIF($AO$11:$AO$1309,AO151),SUMIF($AO$11:$AO$1309,AO151,$AS$11:$AS$1309),"")</f>
        <v>0.8439809959730303</v>
      </c>
      <c r="BD151" s="11" t="n">
        <f>IF(SUMIF($AO$11:$AO$1309,AO151,$BB$11:$BB$1309)=COUNTIF($AO$11:$AO$1309,AO151),SUMIF($AO$11:$AO$1309,AO151,$AW$11:$AW$1309),"")</f>
        <v>0.8696244248227831</v>
      </c>
      <c r="BE151" s="11" t="n">
        <f>IF(SUMIF($AO$11:$AO$1309,AO151,$BB$11:$BB$1309)=COUNTIF($AO$11:$AO$1309,AO151),SUMIF($AO$11:$AO$1309,AO151,$BA$11:$BA$1309),"")</f>
        <v>1.2057704654895667</v>
      </c>
      <c r="BF151" s="12" t="n">
        <f>IF(COUNT(BD151:BE151)&lt;&gt;2,"",IF(AND(BD151&gt;0,BE151&gt;0),0.7*AW151/BD151+0.3*BA151/BE151,IF(BD151&gt;0,AW151/BD151,IF(BE151&gt;0,BA151/BE151,IF(AND(ISNUMBER(BH151),BH151=0),0,"")))))</f>
        <v>0.10277250687633453</v>
      </c>
      <c r="BG151" s="11" t="n">
        <f>IF(AND(COUNT(BN151:BU151)=8,MIN(BN151:BU151)&gt;=0),SUMPRODUCT(BN151:BQ151,BR151:BU151),"")</f>
        <v>73.80791239847399</v>
      </c>
      <c r="BH151" s="11" t="n">
        <f>IF(COUNT(BC151,BG151)=2,BC151*BG151,"")</f>
        <v>62.29247541675425</v>
      </c>
      <c r="BI151" s="11" t="n">
        <f>IF(ISNUMBER(CI151),CI151,"")</f>
        <v>6.401953858112275</v>
      </c>
      <c r="BJ151" s="8" t="str">
        <v>低销提醒依据不完整</v>
      </c>
      <c r="BK151" s="8" t="str">
        <v>90天：2026-07-20 至 2026-10-17；180天：2026-04-21 至 2026-10-17</v>
      </c>
      <c r="BL151" s="8" t="str">
        <v>90天：2026-10-06、2026-10-07、2026-10-12、2026-10-13、2026-10-16；180天：2026-10-06、2026-10-07、2026-10-12、2026-10-13、2026-10-16</v>
      </c>
      <c r="BM151" s="8" t="str">
        <v>2026-10：12天 × 1.2247029157699902；2026-11：30天 × 0.8332682139098497；2026-12：31天 × 0.5511018253564084；2027-01：17天 × 1.0017220238758797</v>
      </c>
      <c r="BN151" s="11" t="n">
        <v>1.2247029157699902</v>
      </c>
      <c r="BO151" s="11" t="n">
        <v>0.8332682139098497</v>
      </c>
      <c r="BP151" s="11" t="n">
        <v>0.5511018253564084</v>
      </c>
      <c r="BQ151" s="11" t="n">
        <v>1.0017220238758797</v>
      </c>
      <c r="BR151" s="8" t="n">
        <v>12</v>
      </c>
      <c r="BS151" s="8" t="n">
        <v>30</v>
      </c>
      <c r="BT151" s="8" t="n">
        <v>31</v>
      </c>
      <c r="BU151" s="8" t="n">
        <v>17</v>
      </c>
      <c r="BV151" s="11" t="n">
        <f>IF(COUNT(BC151,BF151)=2,BC151*BF151,"")</f>
        <v>0.08673804271213392</v>
      </c>
      <c r="BW151" s="11" t="n">
        <f>IF(ISNUMBER(BN151),BN151,"")</f>
        <v>1.2247029157699902</v>
      </c>
      <c r="BX151" s="14" t="n">
        <f>IF(ISNUMBER(BR151),BR151,"")</f>
        <v>12</v>
      </c>
      <c r="BY151" s="13" t="n">
        <f>IF(AND(COUNT(BV151,BW151,BX151)=3,MIN(BV151,BW151,BX151)&gt;=0),BV151*BW151*BX151,"")</f>
        <v>1.2747400058127885</v>
      </c>
      <c r="BZ151" s="11" t="n">
        <f>IF(ISNUMBER(BO151),BO151,"")</f>
        <v>0.8332682139098497</v>
      </c>
      <c r="CA151" s="14" t="n">
        <f>IF(ISNUMBER(BS151),BS151,"")</f>
        <v>30</v>
      </c>
      <c r="CB151" s="13" t="n">
        <f>IF(AND(COUNT(BV151,BZ151,CA151)=3,MIN(BV151,BZ151,CA151)&gt;=0),BV151*BZ151*CA151,"")</f>
        <v>2.1682816178632827</v>
      </c>
      <c r="CC151" s="11" t="n">
        <f>IF(ISNUMBER(BP151),BP151,"")</f>
        <v>0.5511018253564084</v>
      </c>
      <c r="CD151" s="14" t="n">
        <f>IF(ISNUMBER(BT151),BT151,"")</f>
        <v>31</v>
      </c>
      <c r="CE151" s="13" t="n">
        <f>IF(AND(COUNT(BV151,CC151,CD151)=3,MIN(BV151,CC151,CD151)&gt;=0),BV151*CC151*CD151,"")</f>
        <v>1.4818463036614726</v>
      </c>
      <c r="CF151" s="11" t="n">
        <f>IF(ISNUMBER(BQ151),BQ151,"")</f>
        <v>1.0017220238758797</v>
      </c>
      <c r="CG151" s="14" t="n">
        <f>IF(ISNUMBER(BU151),BU151,"")</f>
        <v>17</v>
      </c>
      <c r="CH151" s="13" t="n">
        <f>IF(AND(COUNT(BV151,CF151,CG151)=3,MIN(BV151,CF151,CG151)&gt;=0),BV151*CF151*CG151,"")</f>
        <v>1.477085930774732</v>
      </c>
      <c r="CI151" s="13" t="n">
        <f>IF(COUNT(BY151,CB151,CE151,CH151)=4,SUM(BY151,CB151,CE151,CH151),"")</f>
        <v>6.401953858112275</v>
      </c>
    </row>
    <row r="152" ht="72" customHeight="1">
      <c r="A152" s="16" t="str">
        <v>B06-RD-40</v>
      </c>
      <c r="B152" s="16" t="str">
        <v>1店-MUSSHOE-US</v>
      </c>
      <c r="C152" s="16" t="str">
        <v>艾年</v>
      </c>
      <c r="D152" s="26" t="n">
        <f>IF(NOT(ISNUMBER(E152)),"",IF(OR(E152&lt;=0,L152=0),0,IF(OR(NOT(ISNUMBER(F152)),F152&lt;0),"",MIN(E152,INT(F152)))))</f>
        <v>7</v>
      </c>
      <c r="E152" s="27" t="n">
        <f>IF(OR(NOT(ISNUMBER(L152)),COUNT(M152:O152)&lt;&gt;3,MIN(M152:O152)&lt;0),"",ROUNDUP(ROUND(BI152-SUM(M152:O152),10),0))</f>
        <v>7</v>
      </c>
      <c r="F152" s="28" t="n">
        <v>18</v>
      </c>
      <c r="G152" s="28" t="n">
        <f>IF(AND(ISNUMBER(D152),ISNUMBER(E152)),IF(OR(E152&lt;=0,L152=0),0,E152-D152),"")</f>
        <v>0</v>
      </c>
      <c r="H152" s="16" t="str">
        <f>IF(NOT(ISNUMBER(E152)),"销量或海外库存待补",IF(OR(E152&lt;=0,L152=0),IF(L152=0,"零日销，本批不发","本批无需补货"),IF(NOT(ISNUMBER(D152)),"国内库存待补",IF(D152=0,"国内无可用库存",IF(G152&gt;0,"先发国内现货","按建议量发货")))))</f>
        <v>按建议量发货</v>
      </c>
      <c r="I152" s="28" t="n">
        <f>IF(AND(COUNT(Z152,AA152,AB152)=3,Z152&gt;=AA152,AA152&gt;=0,AB152=7),Z152-AA152,"")</f>
        <v>0</v>
      </c>
      <c r="J152" s="28" t="n">
        <f>IF(AND(COUNT(AF152,AG152,AH152)=3,AF152&gt;=AG152,AG152&gt;=0,AH152=14),AF152-AG152,"")</f>
        <v>0</v>
      </c>
      <c r="K152" s="28" t="n">
        <f>IF(AND(COUNT(AL152,AM152,AN152)=3,AL152&gt;=AM152,AM152&gt;=0,AN152=30),AL152-AM152,"")</f>
        <v>2</v>
      </c>
      <c r="L152" s="29" t="n">
        <f>IF(ISNUMBER(BI152),BI152/90,"")</f>
        <v>0.07983050450702384</v>
      </c>
      <c r="M152" s="28" t="n">
        <v>1</v>
      </c>
      <c r="N152" s="28" t="n">
        <v>0</v>
      </c>
      <c r="O152" s="28" t="n">
        <v>0</v>
      </c>
      <c r="P152" s="30" t="n">
        <f>IF(AND(ISNUMBER(L152),L152&gt;0,COUNT(M152:O152)=3,MIN(M152:O152)&gt;=0),SUM(M152:O152)/L152,"")</f>
        <v>12.526539900696928</v>
      </c>
      <c r="Q152" s="16" t="str">
        <v>沿用原计划SKU店铺</v>
      </c>
      <c r="R152" s="16" t="str">
        <v>已匹配</v>
      </c>
      <c r="S152" s="16" t="str">
        <v>在售</v>
      </c>
      <c r="T152" s="16" t="str">
        <v>B06</v>
      </c>
      <c r="U152" s="16" t="str">
        <v>红色羊京绒</v>
      </c>
      <c r="V152" s="16" t="n">
        <v>9</v>
      </c>
      <c r="W152" s="8" t="str">
        <v>2026-10-09 至 2026-10-17</v>
      </c>
      <c r="X152" s="8" t="str">
        <v>2026-10-09、2026-10-10、2026-10-11、2026-10-14、2026-10-15、2026-10-16、2026-10-17</v>
      </c>
      <c r="Y152" s="8" t="str">
        <v>2026-10-12 有记录的停售日；2026-10-13 有记录的停售日</v>
      </c>
      <c r="Z152" s="8" t="n">
        <v>0</v>
      </c>
      <c r="AA152" s="8" t="n">
        <v>0</v>
      </c>
      <c r="AB152" s="8" t="n">
        <v>7</v>
      </c>
      <c r="AC152" s="8" t="str">
        <v>2026-09-30 至 2026-10-17</v>
      </c>
      <c r="AD152" s="8" t="str">
        <v>2026-09-30、2026-10-01、2026-10-02、2026-10-03、2026-10-04、2026-10-05、2026-10-08、2026-10-09、2026-10-10、2026-10-11、2026-10-14、2026-10-15、2026-10-16、2026-10-17</v>
      </c>
      <c r="AE152" s="8" t="str">
        <v>2026-10-06 大促；2026-10-07 大促；2026-10-12 有记录的停售日；2026-10-13 有记录的停售日</v>
      </c>
      <c r="AF152" s="8" t="n">
        <v>0</v>
      </c>
      <c r="AG152" s="8" t="n">
        <v>0</v>
      </c>
      <c r="AH152" s="8" t="n">
        <v>14</v>
      </c>
      <c r="AI152" s="8" t="str">
        <v>2026-09-14 至 2026-10-17</v>
      </c>
      <c r="AJ152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152" s="8" t="str">
        <v>2026-10-06 大促；2026-10-07 大促；2026-10-12 有记录的停售日；2026-10-13 有记录的停售日</v>
      </c>
      <c r="AL152" s="8" t="n">
        <v>2</v>
      </c>
      <c r="AM152" s="8" t="n">
        <v>0</v>
      </c>
      <c r="AN152" s="8" t="n">
        <v>30</v>
      </c>
      <c r="AO152" s="8" t="str">
        <v>B06 / 红色羊京绒 / 13120</v>
      </c>
      <c r="AP152" s="11" t="n">
        <v>1.2247029157699902</v>
      </c>
      <c r="AQ152" s="11" t="n">
        <v>1.2088445086220798</v>
      </c>
      <c r="AR152" s="11" t="n">
        <v>1.0988928857299007</v>
      </c>
      <c r="AS152" s="11" t="n">
        <f>IF(AND(COUNT(I152:K152,AP152:AR152)=6,MIN(AP152:AR152)&gt;0),I152/7/AP152*0.5+J152/14/AQ152*0.3+K152/30/AR152*0.2,"")</f>
        <v>0.012133424018372035</v>
      </c>
      <c r="AT152" s="8" t="n">
        <v>9</v>
      </c>
      <c r="AU152" s="8" t="n">
        <v>0</v>
      </c>
      <c r="AV152" s="8" t="n">
        <v>86</v>
      </c>
      <c r="AW152" s="11" t="n">
        <f>IF(AND(COUNT(AT152:AV152)=3,AT152&gt;=AU152,AU152&gt;=0,AV152&gt;0),(AT152-AU152)/AV152,"")</f>
        <v>0.10465116279069768</v>
      </c>
      <c r="AX152" s="8" t="n">
        <v>22</v>
      </c>
      <c r="AY152" s="8" t="n">
        <v>0</v>
      </c>
      <c r="AZ152" s="8" t="n">
        <v>176</v>
      </c>
      <c r="BA152" s="11" t="n">
        <f>IF(AND(COUNT(AX152:AZ152)=3,AX152&gt;=AY152,AY152&gt;=0,AZ152&gt;0),(AX152-AY152)/AZ152,"")</f>
        <v>0.125</v>
      </c>
      <c r="BB152" s="8" t="n">
        <f>IF(COUNT(AS152,AW152,BA152)=3,1,0)</f>
        <v>1</v>
      </c>
      <c r="BC152" s="11" t="n">
        <f>IF(SUMIF($AO$11:$AO$1309,AO152,$BB$11:$BB$1309)=COUNTIF($AO$11:$AO$1309,AO152),SUMIF($AO$11:$AO$1309,AO152,$AS$11:$AS$1309),"")</f>
        <v>0.8439809959730303</v>
      </c>
      <c r="BD152" s="11" t="n">
        <f>IF(SUMIF($AO$11:$AO$1309,AO152,$BB$11:$BB$1309)=COUNTIF($AO$11:$AO$1309,AO152),SUMIF($AO$11:$AO$1309,AO152,$AW$11:$AW$1309),"")</f>
        <v>0.8696244248227831</v>
      </c>
      <c r="BE152" s="11" t="n">
        <f>IF(SUMIF($AO$11:$AO$1309,AO152,$BB$11:$BB$1309)=COUNTIF($AO$11:$AO$1309,AO152),SUMIF($AO$11:$AO$1309,AO152,$BA$11:$BA$1309),"")</f>
        <v>1.2057704654895667</v>
      </c>
      <c r="BF152" s="12" t="n">
        <f>IF(COUNT(BD152:BE152)&lt;&gt;2,"",IF(AND(BD152&gt;0,BE152&gt;0),0.7*AW152/BD152+0.3*BA152/BE152,IF(BD152&gt;0,AW152/BD152,IF(BE152&gt;0,BA152/BE152,IF(AND(ISNUMBER(BH152),BH152=0),0,"")))))</f>
        <v>0.11533889699460761</v>
      </c>
      <c r="BG152" s="11" t="n">
        <f>IF(AND(COUNT(BN152:BU152)=8,MIN(BN152:BU152)&gt;=0),SUMPRODUCT(BN152:BQ152,BR152:BU152),"")</f>
        <v>73.80791239847399</v>
      </c>
      <c r="BH152" s="11" t="n">
        <f>IF(COUNT(BC152,BG152)=2,BC152*BG152,"")</f>
        <v>62.29247541675425</v>
      </c>
      <c r="BI152" s="11" t="n">
        <f>IF(ISNUMBER(CI152),CI152,"")</f>
        <v>7.184745405632145</v>
      </c>
      <c r="BJ152" s="8" t="str">
        <v>低销提醒依据不完整</v>
      </c>
      <c r="BK152" s="8" t="str">
        <v>90天：2026-07-20 至 2026-10-17；180天：2026-04-21 至 2026-10-17</v>
      </c>
      <c r="BL152" s="8" t="str">
        <v>90天：2026-10-06、2026-10-07、2026-10-12、2026-10-13；180天：2026-10-06、2026-10-07、2026-10-12、2026-10-13</v>
      </c>
      <c r="BM152" s="8" t="str">
        <v>2026-10：12天 × 1.2247029157699902；2026-11：30天 × 0.8332682139098497；2026-12：31天 × 0.5511018253564084；2027-01：17天 × 1.0017220238758797</v>
      </c>
      <c r="BN152" s="11" t="n">
        <v>1.2247029157699902</v>
      </c>
      <c r="BO152" s="11" t="n">
        <v>0.8332682139098497</v>
      </c>
      <c r="BP152" s="11" t="n">
        <v>0.5511018253564084</v>
      </c>
      <c r="BQ152" s="11" t="n">
        <v>1.0017220238758797</v>
      </c>
      <c r="BR152" s="8" t="n">
        <v>12</v>
      </c>
      <c r="BS152" s="8" t="n">
        <v>30</v>
      </c>
      <c r="BT152" s="8" t="n">
        <v>31</v>
      </c>
      <c r="BU152" s="8" t="n">
        <v>17</v>
      </c>
      <c r="BV152" s="11" t="n">
        <f>IF(COUNT(BC152,BF152)=2,BC152*BF152,"")</f>
        <v>0.09734383715993969</v>
      </c>
      <c r="BW152" s="11" t="n">
        <f>IF(ISNUMBER(BN152),BN152,"")</f>
        <v>1.2247029157699902</v>
      </c>
      <c r="BX152" s="14" t="n">
        <f>IF(ISNUMBER(BR152),BR152,"")</f>
        <v>12</v>
      </c>
      <c r="BY152" s="13" t="n">
        <f>IF(AND(COUNT(BV152,BW152,BX152)=3,MIN(BV152,BW152,BX152)&gt;=0),BV152*BW152*BX152,"")</f>
        <v>1.4306073744242072</v>
      </c>
      <c r="BZ152" s="11" t="n">
        <f>IF(ISNUMBER(BO152),BO152,"")</f>
        <v>0.8332682139098497</v>
      </c>
      <c r="CA152" s="14" t="n">
        <f>IF(ISNUMBER(BS152),BS152,"")</f>
        <v>30</v>
      </c>
      <c r="CB152" s="13" t="n">
        <f>IF(AND(COUNT(BV152,BZ152,CA152)=3,MIN(BV152,BZ152,CA152)&gt;=0),BV152*BZ152*CA152,"")</f>
        <v>2.433405759761826</v>
      </c>
      <c r="CC152" s="11" t="n">
        <f>IF(ISNUMBER(BP152),BP152,"")</f>
        <v>0.5511018253564084</v>
      </c>
      <c r="CD152" s="14" t="n">
        <f>IF(ISNUMBER(BT152),BT152,"")</f>
        <v>31</v>
      </c>
      <c r="CE152" s="13" t="n">
        <f>IF(AND(COUNT(BV152,CC152,CD152)=3,MIN(BV152,CC152,CD152)&gt;=0),BV152*CC152*CD152,"")</f>
        <v>1.6630373567272319</v>
      </c>
      <c r="CF152" s="11" t="n">
        <f>IF(ISNUMBER(BQ152),BQ152,"")</f>
        <v>1.0017220238758797</v>
      </c>
      <c r="CG152" s="14" t="n">
        <f>IF(ISNUMBER(BU152),BU152,"")</f>
        <v>17</v>
      </c>
      <c r="CH152" s="13" t="n">
        <f>IF(AND(COUNT(BV152,CF152,CG152)=3,MIN(BV152,CF152,CG152)&gt;=0),BV152*CF152*CG152,"")</f>
        <v>1.6576949147188804</v>
      </c>
      <c r="CI152" s="13" t="n">
        <f>IF(COUNT(BY152,CB152,CE152,CH152)=4,SUM(BY152,CB152,CE152,CH152),"")</f>
        <v>7.184745405632145</v>
      </c>
    </row>
    <row r="153" ht="72" customHeight="1">
      <c r="A153" s="16" t="str">
        <v>B06-SP-37.5</v>
      </c>
      <c r="B153" s="16" t="str">
        <v>1店-MUSSHOE-US</v>
      </c>
      <c r="C153" s="16" t="str">
        <v>艾年</v>
      </c>
      <c r="D153" s="26" t="n">
        <f>IF(NOT(ISNUMBER(E153)),"",IF(OR(E153&lt;=0,L153=0),0,IF(OR(NOT(ISNUMBER(F153)),F153&lt;0),"",MIN(E153,INT(F153)))))</f>
        <v>7</v>
      </c>
      <c r="E153" s="27" t="n">
        <f>IF(OR(NOT(ISNUMBER(L153)),COUNT(M153:O153)&lt;&gt;3,MIN(M153:O153)&lt;0),"",ROUNDUP(ROUND(BI153-SUM(M153:O153),10),0))</f>
        <v>7</v>
      </c>
      <c r="F153" s="28" t="n">
        <v>17</v>
      </c>
      <c r="G153" s="28" t="n">
        <f>IF(AND(ISNUMBER(D153),ISNUMBER(E153)),IF(OR(E153&lt;=0,L153=0),0,E153-D153),"")</f>
        <v>0</v>
      </c>
      <c r="H153" s="16" t="str">
        <f>IF(NOT(ISNUMBER(E153)),"销量或海外库存待补",IF(OR(E153&lt;=0,L153=0),IF(L153=0,"零日销，本批不发","本批无需补货"),IF(NOT(ISNUMBER(D153)),"国内库存待补",IF(D153=0,"国内无可用库存",IF(G153&gt;0,"先发国内现货","按建议量发货")))))</f>
        <v>按建议量发货</v>
      </c>
      <c r="I153" s="28" t="n">
        <f>IF(AND(COUNT(Z153,AA153,AB153)=3,Z153&gt;=AA153,AA153&gt;=0,AB153=7),Z153-AA153,"")</f>
        <v>0</v>
      </c>
      <c r="J153" s="28" t="n">
        <f>IF(AND(COUNT(AF153,AG153,AH153)=3,AF153&gt;=AG153,AG153&gt;=0,AH153=14),AF153-AG153,"")</f>
        <v>0</v>
      </c>
      <c r="K153" s="28" t="n">
        <f>IF(AND(COUNT(AL153,AM153,AN153)=3,AL153&gt;=AM153,AM153&gt;=0,AN153=30),AL153-AM153,"")</f>
        <v>2</v>
      </c>
      <c r="L153" s="29" t="n">
        <f>IF(ISNUMBER(BI153),BI153/90,"")</f>
        <v>0.0949277049841895</v>
      </c>
      <c r="M153" s="28" t="n">
        <v>2</v>
      </c>
      <c r="N153" s="28" t="n">
        <v>0</v>
      </c>
      <c r="O153" s="28" t="n">
        <v>0</v>
      </c>
      <c r="P153" s="30" t="n">
        <f>IF(AND(ISNUMBER(L153),L153&gt;0,COUNT(M153:O153)=3,MIN(M153:O153)&gt;=0),SUM(M153:O153)/L153,"")</f>
        <v>21.068664836394245</v>
      </c>
      <c r="Q153" s="16" t="str">
        <v>沿用原计划SKU店铺</v>
      </c>
      <c r="R153" s="16" t="str">
        <v>已匹配</v>
      </c>
      <c r="S153" s="16" t="str">
        <v>在售</v>
      </c>
      <c r="T153" s="16" t="str">
        <v>B06</v>
      </c>
      <c r="U153" s="16" t="str">
        <v>蛇纹PU</v>
      </c>
      <c r="V153" s="16" t="n">
        <v>6.5</v>
      </c>
      <c r="W153" s="8" t="str">
        <v>2026-10-11 至 2026-10-17</v>
      </c>
      <c r="X153" s="8" t="str">
        <v>2026-10-11、2026-10-12、2026-10-13、2026-10-14、2026-10-15、2026-10-16、2026-10-17</v>
      </c>
      <c r="Y153" s="8" t="str">
        <v>无</v>
      </c>
      <c r="Z153" s="8" t="n">
        <v>0</v>
      </c>
      <c r="AA153" s="8" t="n">
        <v>0</v>
      </c>
      <c r="AB153" s="8" t="n">
        <v>7</v>
      </c>
      <c r="AC153" s="8" t="str">
        <v>2026-10-02 至 2026-10-17</v>
      </c>
      <c r="AD153" s="8" t="str">
        <v>2026-10-02、2026-10-03、2026-10-04、2026-10-05、2026-10-08、2026-10-09、2026-10-10、2026-10-11、2026-10-12、2026-10-13、2026-10-14、2026-10-15、2026-10-16、2026-10-17</v>
      </c>
      <c r="AE153" s="8" t="str">
        <v>2026-10-06 大促；2026-10-07 大促</v>
      </c>
      <c r="AF153" s="8" t="n">
        <v>1</v>
      </c>
      <c r="AG153" s="8" t="n">
        <v>1</v>
      </c>
      <c r="AH153" s="8" t="n">
        <v>14</v>
      </c>
      <c r="AI153" s="8" t="str">
        <v>2026-09-16 至 2026-10-17</v>
      </c>
      <c r="AJ1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3" s="8" t="str">
        <v>2026-10-06 大促；2026-10-07 大促</v>
      </c>
      <c r="AL153" s="8" t="n">
        <v>3</v>
      </c>
      <c r="AM153" s="8" t="n">
        <v>1</v>
      </c>
      <c r="AN153" s="8" t="n">
        <v>30</v>
      </c>
      <c r="AO153" s="8" t="str">
        <v>B06 / 蛇纹PU / 13120</v>
      </c>
      <c r="AP153" s="11" t="n">
        <v>1.2247029157699902</v>
      </c>
      <c r="AQ153" s="11" t="n">
        <v>1.2247029157699902</v>
      </c>
      <c r="AR153" s="11" t="n">
        <v>1.1136940657346173</v>
      </c>
      <c r="AS153" s="11" t="n">
        <f>IF(AND(COUNT(I153:K153,AP153:AR153)=6,MIN(AP153:AR153)&gt;0),I153/7/AP153*0.5+J153/14/AQ153*0.3+K153/30/AR153*0.2,"")</f>
        <v>0.011972168788147733</v>
      </c>
      <c r="AT153" s="8" t="n">
        <v>10</v>
      </c>
      <c r="AU153" s="8" t="n">
        <v>1</v>
      </c>
      <c r="AV153" s="8" t="n">
        <v>88</v>
      </c>
      <c r="AW153" s="11" t="n">
        <f>IF(AND(COUNT(AT153:AV153)=3,AT153&gt;=AU153,AU153&gt;=0,AV153&gt;0),(AT153-AU153)/AV153,"")</f>
        <v>0.10227272727272728</v>
      </c>
      <c r="AX153" s="8" t="n">
        <v>26</v>
      </c>
      <c r="AY153" s="8" t="n">
        <v>1</v>
      </c>
      <c r="AZ153" s="8" t="n">
        <v>178</v>
      </c>
      <c r="BA153" s="11" t="n">
        <f>IF(AND(COUNT(AX153:AZ153)=3,AX153&gt;=AY153,AY153&gt;=0,AZ153&gt;0),(AX153-AY153)/AZ153,"")</f>
        <v>0.1404494382022472</v>
      </c>
      <c r="BB153" s="8" t="n">
        <f>IF(COUNT(AS153,AW153,BA153)=3,1,0)</f>
        <v>1</v>
      </c>
      <c r="BC153" s="11" t="n">
        <f>IF(SUMIF($AO$11:$AO$1309,AO153,$BB$11:$BB$1309)=COUNTIF($AO$11:$AO$1309,AO153),SUMIF($AO$11:$AO$1309,AO153,$AS$11:$AS$1309),"")</f>
        <v>0.9486156980046698</v>
      </c>
      <c r="BD153" s="11" t="n">
        <f>IF(SUMIF($AO$11:$AO$1309,AO153,$BB$11:$BB$1309)=COUNTIF($AO$11:$AO$1309,AO153),SUMIF($AO$11:$AO$1309,AO153,$AW$11:$AW$1309),"")</f>
        <v>0.7897058823529413</v>
      </c>
      <c r="BE153" s="11" t="n">
        <f>IF(SUMIF($AO$11:$AO$1309,AO153,$BB$11:$BB$1309)=COUNTIF($AO$11:$AO$1309,AO153),SUMIF($AO$11:$AO$1309,AO153,$BA$11:$BA$1309),"")</f>
        <v>1.343242375601926</v>
      </c>
      <c r="BF153" s="12" t="n">
        <f>IF(COUNT(BD153:BE153)&lt;&gt;2,"",IF(AND(BD153&gt;0,BE153&gt;0),0.7*AW153/BD153+0.3*BA153/BE153,IF(BD153&gt;0,AW153/BD153,IF(BE153&gt;0,BA153/BE153,IF(AND(ISNUMBER(BH153),BH153=0),0,"")))))</f>
        <v>0.12202315834248305</v>
      </c>
      <c r="BG153" s="11" t="n">
        <f>IF(AND(COUNT(BN153:BU153)=8,MIN(BN153:BU153)&gt;=0),SUMPRODUCT(BN153:BQ153,BR153:BU153),"")</f>
        <v>73.80791239847399</v>
      </c>
      <c r="BH153" s="11" t="n">
        <f>IF(COUNT(BC153,BG153)=2,BC153*BG153,"")</f>
        <v>70.01534433814592</v>
      </c>
      <c r="BI153" s="11" t="n">
        <f>IF(ISNUMBER(CI153),CI153,"")</f>
        <v>8.543493448577054</v>
      </c>
      <c r="BJ153" s="8" t="str"/>
      <c r="BK153" s="8" t="str">
        <v>90天：2026-07-20 至 2026-10-17；180天：2026-04-21 至 2026-10-17</v>
      </c>
      <c r="BL153" s="8" t="str">
        <v>90天：2026-10-06、2026-10-07；180天：2026-10-06、2026-10-07</v>
      </c>
      <c r="BM153" s="8" t="str">
        <v>2026-10：12天 × 1.2247029157699902；2026-11：30天 × 0.8332682139098497；2026-12：31天 × 0.5511018253564084；2027-01：17天 × 1.0017220238758797</v>
      </c>
      <c r="BN153" s="11" t="n">
        <v>1.2247029157699902</v>
      </c>
      <c r="BO153" s="11" t="n">
        <v>0.8332682139098497</v>
      </c>
      <c r="BP153" s="11" t="n">
        <v>0.5511018253564084</v>
      </c>
      <c r="BQ153" s="11" t="n">
        <v>1.0017220238758797</v>
      </c>
      <c r="BR153" s="8" t="n">
        <v>12</v>
      </c>
      <c r="BS153" s="8" t="n">
        <v>30</v>
      </c>
      <c r="BT153" s="8" t="n">
        <v>31</v>
      </c>
      <c r="BU153" s="8" t="n">
        <v>17</v>
      </c>
      <c r="BV153" s="11" t="n">
        <f>IF(COUNT(BC153,BF153)=2,BC153*BF153,"")</f>
        <v>0.11575308352378891</v>
      </c>
      <c r="BW153" s="11" t="n">
        <f>IF(ISNUMBER(BN153),BN153,"")</f>
        <v>1.2247029157699902</v>
      </c>
      <c r="BX153" s="14" t="n">
        <f>IF(ISNUMBER(BR153),BR153,"")</f>
        <v>12</v>
      </c>
      <c r="BY153" s="13" t="n">
        <f>IF(AND(COUNT(BV153,BW153,BX153)=3,MIN(BV153,BW153,BX153)&gt;=0),BV153*BW153*BX153,"")</f>
        <v>1.701157666811418</v>
      </c>
      <c r="BZ153" s="11" t="n">
        <f>IF(ISNUMBER(BO153),BO153,"")</f>
        <v>0.8332682139098497</v>
      </c>
      <c r="CA153" s="14" t="n">
        <f>IF(ISNUMBER(BS153),BS153,"")</f>
        <v>30</v>
      </c>
      <c r="CB153" s="13" t="n">
        <f>IF(AND(COUNT(BV153,BZ153,CA153)=3,MIN(BV153,BZ153,CA153)&gt;=0),BV153*BZ153*CA153,"")</f>
        <v>2.893600954872757</v>
      </c>
      <c r="CC153" s="11" t="n">
        <f>IF(ISNUMBER(BP153),BP153,"")</f>
        <v>0.5511018253564084</v>
      </c>
      <c r="CD153" s="14" t="n">
        <f>IF(ISNUMBER(BT153),BT153,"")</f>
        <v>31</v>
      </c>
      <c r="CE153" s="13" t="n">
        <f>IF(AND(COUNT(BV153,CC153,CD153)=3,MIN(BV153,CC153,CD153)&gt;=0),BV153*CC153*CD153,"")</f>
        <v>1.977543804238379</v>
      </c>
      <c r="CF153" s="11" t="n">
        <f>IF(ISNUMBER(BQ153),BQ153,"")</f>
        <v>1.0017220238758797</v>
      </c>
      <c r="CG153" s="14" t="n">
        <f>IF(ISNUMBER(BU153),BU153,"")</f>
        <v>17</v>
      </c>
      <c r="CH153" s="13" t="n">
        <f>IF(AND(COUNT(BV153,CF153,CG153)=3,MIN(BV153,CF153,CG153)&gt;=0),BV153*CF153*CG153,"")</f>
        <v>1.9711910226545006</v>
      </c>
      <c r="CI153" s="13" t="n">
        <f>IF(COUNT(BY153,CB153,CE153,CH153)=4,SUM(BY153,CB153,CE153,CH153),"")</f>
        <v>8.543493448577054</v>
      </c>
    </row>
    <row r="154" ht="72" customHeight="1">
      <c r="A154" s="16" t="str">
        <v>B06b-BK-42</v>
      </c>
      <c r="B154" s="16" t="str">
        <v>1店-MUSSHOE-US</v>
      </c>
      <c r="C154" s="16" t="str">
        <v>艾年</v>
      </c>
      <c r="D154" s="26" t="n">
        <f>IF(NOT(ISNUMBER(E154)),"",IF(OR(E154&lt;=0,L154=0),0,IF(OR(NOT(ISNUMBER(F154)),F154&lt;0),"",MIN(E154,INT(F154)))))</f>
        <v>7</v>
      </c>
      <c r="E154" s="27" t="n">
        <f>IF(OR(NOT(ISNUMBER(L154)),COUNT(M154:O154)&lt;&gt;3,MIN(M154:O154)&lt;0),"",ROUNDUP(ROUND(BI154-SUM(M154:O154),10),0))</f>
        <v>7</v>
      </c>
      <c r="F154" s="28" t="n">
        <v>136</v>
      </c>
      <c r="G154" s="28" t="n">
        <f>IF(AND(ISNUMBER(D154),ISNUMBER(E154)),IF(OR(E154&lt;=0,L154=0),0,E154-D154),"")</f>
        <v>0</v>
      </c>
      <c r="H154" s="16" t="str">
        <f>IF(NOT(ISNUMBER(E154)),"销量或海外库存待补",IF(OR(E154&lt;=0,L154=0),IF(L154=0,"零日销，本批不发","本批无需补货"),IF(NOT(ISNUMBER(D154)),"国内库存待补",IF(D154=0,"国内无可用库存",IF(G154&gt;0,"先发国内现货","按建议量发货")))))</f>
        <v>按建议量发货</v>
      </c>
      <c r="I154" s="28" t="n">
        <f>IF(AND(COUNT(Z154,AA154,AB154)=3,Z154&gt;=AA154,AA154&gt;=0,AB154=7),Z154-AA154,"")</f>
        <v>0</v>
      </c>
      <c r="J154" s="28" t="n">
        <f>IF(AND(COUNT(AF154,AG154,AH154)=3,AF154&gt;=AG154,AG154&gt;=0,AH154=14),AF154-AG154,"")</f>
        <v>0</v>
      </c>
      <c r="K154" s="28" t="n">
        <f>IF(AND(COUNT(AL154,AM154,AN154)=3,AL154&gt;=AM154,AM154&gt;=0,AN154=30),AL154-AM154,"")</f>
        <v>0</v>
      </c>
      <c r="L154" s="29" t="n">
        <f>IF(ISNUMBER(BI154),BI154/90,"")</f>
        <v>0.28604079472139754</v>
      </c>
      <c r="M154" s="28" t="n">
        <v>0</v>
      </c>
      <c r="N154" s="28" t="n">
        <v>0</v>
      </c>
      <c r="O154" s="28" t="n">
        <v>19</v>
      </c>
      <c r="P154" s="30" t="n">
        <f>IF(AND(ISNUMBER(L154),L154&gt;0,COUNT(M154:O154)=3,MIN(M154:O154)&gt;=0),SUM(M154:O154)/L154,"")</f>
        <v>66.4240917751117</v>
      </c>
      <c r="Q154" s="16" t="str">
        <v>沿用原计划SKU店铺</v>
      </c>
      <c r="R154" s="16" t="str">
        <v>已匹配</v>
      </c>
      <c r="S154" s="16" t="str">
        <v>停售</v>
      </c>
      <c r="T154" s="16" t="str">
        <v>B06b</v>
      </c>
      <c r="U154" s="16" t="str">
        <v>黑色羊京绒</v>
      </c>
      <c r="V154" s="16" t="n">
        <v>11</v>
      </c>
      <c r="W154" s="8" t="str">
        <v>2026-10-08 至 2026-10-17</v>
      </c>
      <c r="X154" s="8" t="str">
        <v>2026-10-08、2026-10-09、2026-10-10、2026-10-11、2026-10-14、2026-10-15、2026-10-17</v>
      </c>
      <c r="Y154" s="8" t="str">
        <v>2026-10-12 有记录的停售日；2026-10-13 有记录的停售日；2026-10-16 有记录的停售日</v>
      </c>
      <c r="Z154" s="8" t="n">
        <v>0</v>
      </c>
      <c r="AA154" s="8" t="n">
        <v>0</v>
      </c>
      <c r="AB154" s="8" t="n">
        <v>7</v>
      </c>
      <c r="AC154" s="8" t="str">
        <v>2026-09-29 至 2026-10-17</v>
      </c>
      <c r="AD154" s="8" t="str">
        <v>2026-09-29、2026-09-30、2026-10-01、2026-10-02、2026-10-03、2026-10-04、2026-10-05、2026-10-08、2026-10-09、2026-10-10、2026-10-11、2026-10-14、2026-10-15、2026-10-17</v>
      </c>
      <c r="AE154" s="8" t="str">
        <v>2026-10-06 大促；2026-10-07 大促；2026-10-12 有记录的停售日；2026-10-13 有记录的停售日；2026-10-16 有记录的停售日</v>
      </c>
      <c r="AF154" s="8" t="n">
        <v>0</v>
      </c>
      <c r="AG154" s="8" t="n">
        <v>0</v>
      </c>
      <c r="AH154" s="8" t="n">
        <v>14</v>
      </c>
      <c r="AI154" s="8" t="str">
        <v>2026-09-13 至 2026-10-17</v>
      </c>
      <c r="AJ15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54" s="8" t="str">
        <v>2026-10-06 大促；2026-10-07 大促；2026-10-12 有记录的停售日；2026-10-13 有记录的停售日；2026-10-16 有记录的停售日</v>
      </c>
      <c r="AL154" s="8" t="n">
        <v>0</v>
      </c>
      <c r="AM154" s="8" t="n">
        <v>0</v>
      </c>
      <c r="AN154" s="8" t="n">
        <v>30</v>
      </c>
      <c r="AO154" s="8" t="str">
        <v>B06b / 黑色羊京绒 / 13120</v>
      </c>
      <c r="AP154" s="11" t="n">
        <v>1.1090677182221615</v>
      </c>
      <c r="AQ154" s="11" t="n">
        <v>1.0637680334742425</v>
      </c>
      <c r="AR154" s="11" t="n">
        <v>0.9188090422809019</v>
      </c>
      <c r="AS154" s="11" t="n">
        <f>IF(AND(COUNT(I154:K154,AP154:AR154)=6,MIN(AP154:AR154)&gt;0),I154/7/AP154*0.5+J154/14/AQ154*0.3+K154/30/AR154*0.2,"")</f>
        <v>0</v>
      </c>
      <c r="AT154" s="8" t="n">
        <v>12</v>
      </c>
      <c r="AU154" s="8" t="n">
        <v>0</v>
      </c>
      <c r="AV154" s="8" t="n">
        <v>85</v>
      </c>
      <c r="AW154" s="11" t="n">
        <f>IF(AND(COUNT(AT154:AV154)=3,AT154&gt;=AU154,AU154&gt;=0,AV154&gt;0),(AT154-AU154)/AV154,"")</f>
        <v>0.1411764705882353</v>
      </c>
      <c r="AX154" s="8" t="n">
        <v>42</v>
      </c>
      <c r="AY154" s="8" t="n">
        <v>0</v>
      </c>
      <c r="AZ154" s="8" t="n">
        <v>175</v>
      </c>
      <c r="BA154" s="11" t="n">
        <f>IF(AND(COUNT(AX154:AZ154)=3,AX154&gt;=AY154,AY154&gt;=0,AZ154&gt;0),(AX154-AY154)/AZ154,"")</f>
        <v>0.24</v>
      </c>
      <c r="BB154" s="8" t="n">
        <f>IF(COUNT(AS154,AW154,BA154)=3,1,0)</f>
        <v>1</v>
      </c>
      <c r="BC154" s="11" t="n">
        <f>IF(SUMIF($AO$11:$AO$1309,AO154,$BB$11:$BB$1309)=COUNTIF($AO$11:$AO$1309,AO154),SUMIF($AO$11:$AO$1309,AO154,$AS$11:$AS$1309),"")</f>
        <v>8.918815730624303</v>
      </c>
      <c r="BD154" s="11" t="n">
        <f>IF(SUMIF($AO$11:$AO$1309,AO154,$BB$11:$BB$1309)=COUNTIF($AO$11:$AO$1309,AO154),SUMIF($AO$11:$AO$1309,AO154,$AW$11:$AW$1309),"")</f>
        <v>6.183288770053475</v>
      </c>
      <c r="BE154" s="11" t="n">
        <f>IF(SUMIF($AO$11:$AO$1309,AO154,$BB$11:$BB$1309)=COUNTIF($AO$11:$AO$1309,AO154),SUMIF($AO$11:$AO$1309,AO154,$BA$11:$BA$1309),"")</f>
        <v>4.941926163723917</v>
      </c>
      <c r="BF154" s="12" t="n">
        <f>IF(COUNT(BD154:BE154)&lt;&gt;2,"",IF(AND(BD154&gt;0,BE154&gt;0),0.7*AW154/BD154+0.3*BA154/BE154,IF(BD154&gt;0,AW154/BD154,IF(BE154&gt;0,BA154/BE154,IF(AND(ISNUMBER(BH154),BH154=0),0,"")))))</f>
        <v>0.030551575215279535</v>
      </c>
      <c r="BG154" s="11" t="n">
        <f>IF(AND(COUNT(BN154:BU154)=8,MIN(BN154:BU154)&gt;=0),SUMPRODUCT(BN154:BQ154,BR154:BU154),"")</f>
        <v>94.47778160343367</v>
      </c>
      <c r="BH154" s="11" t="n">
        <f>IF(COUNT(BC154,BG154)=2,BC154*BG154,"")</f>
        <v>842.6299247591916</v>
      </c>
      <c r="BI154" s="11" t="n">
        <f>IF(ISNUMBER(CI154),CI154,"")</f>
        <v>25.743671524925777</v>
      </c>
      <c r="BJ154" s="8" t="str"/>
      <c r="BK154" s="8" t="str">
        <v>90天：2026-07-20 至 2026-10-17；180天：2026-04-21 至 2026-10-17</v>
      </c>
      <c r="BL154" s="8" t="str">
        <v>90天：2026-10-06、2026-10-07、2026-10-12、2026-10-13、2026-10-16；180天：2026-10-06、2026-10-07、2026-10-12、2026-10-13、2026-10-16</v>
      </c>
      <c r="BM154" s="8" t="str">
        <v>2026-10：12天 × 1.1090677182221615；2026-11：30天 × 1.0372741535934282；2026-12：31天 × 0.979949351738161；2027-01：17天 × 1.1571949690048173</v>
      </c>
      <c r="BN154" s="11" t="n">
        <v>1.1090677182221615</v>
      </c>
      <c r="BO154" s="11" t="n">
        <v>1.0372741535934282</v>
      </c>
      <c r="BP154" s="11" t="n">
        <v>0.979949351738161</v>
      </c>
      <c r="BQ154" s="11" t="n">
        <v>1.1571949690048173</v>
      </c>
      <c r="BR154" s="8" t="n">
        <v>12</v>
      </c>
      <c r="BS154" s="8" t="n">
        <v>30</v>
      </c>
      <c r="BT154" s="8" t="n">
        <v>31</v>
      </c>
      <c r="BU154" s="8" t="n">
        <v>17</v>
      </c>
      <c r="BV154" s="11" t="n">
        <f>IF(COUNT(BC154,BF154)=2,BC154*BF154,"")</f>
        <v>0.2724838696253867</v>
      </c>
      <c r="BW154" s="11" t="n">
        <f>IF(ISNUMBER(BN154),BN154,"")</f>
        <v>1.1090677182221615</v>
      </c>
      <c r="BX154" s="14" t="n">
        <f>IF(ISNUMBER(BR154),BR154,"")</f>
        <v>12</v>
      </c>
      <c r="BY154" s="13" t="n">
        <f>IF(AND(COUNT(BV154,BW154,BX154)=3,MIN(BV154,BW154,BX154)&gt;=0),BV154*BW154*BX154,"")</f>
        <v>3.6264367624532703</v>
      </c>
      <c r="BZ154" s="11" t="n">
        <f>IF(ISNUMBER(BO154),BO154,"")</f>
        <v>1.0372741535934282</v>
      </c>
      <c r="CA154" s="14" t="n">
        <f>IF(ISNUMBER(BS154),BS154,"")</f>
        <v>30</v>
      </c>
      <c r="CB154" s="13" t="n">
        <f>IF(AND(COUNT(BV154,BZ154,CA154)=3,MIN(BV154,BZ154,CA154)&gt;=0),BV154*BZ154*CA154,"")</f>
        <v>8.479214257006051</v>
      </c>
      <c r="CC154" s="11" t="n">
        <f>IF(ISNUMBER(BP154),BP154,"")</f>
        <v>0.979949351738161</v>
      </c>
      <c r="CD154" s="14" t="n">
        <f>IF(ISNUMBER(BT154),BT154,"")</f>
        <v>31</v>
      </c>
      <c r="CE154" s="13" t="n">
        <f>IF(AND(COUNT(BV154,CC154,CD154)=3,MIN(BV154,CC154,CD154)&gt;=0),BV154*CC154*CD154,"")</f>
        <v>8.2776321333536</v>
      </c>
      <c r="CF154" s="11" t="n">
        <f>IF(ISNUMBER(BQ154),BQ154,"")</f>
        <v>1.1571949690048173</v>
      </c>
      <c r="CG154" s="14" t="n">
        <f>IF(ISNUMBER(BU154),BU154,"")</f>
        <v>17</v>
      </c>
      <c r="CH154" s="13" t="n">
        <f>IF(AND(COUNT(BV154,CF154,CG154)=3,MIN(BV154,CF154,CG154)&gt;=0),BV154*CF154*CG154,"")</f>
        <v>5.360388372112855</v>
      </c>
      <c r="CI154" s="13" t="n">
        <f>IF(COUNT(BY154,CB154,CE154,CH154)=4,SUM(BY154,CB154,CE154,CH154),"")</f>
        <v>25.743671524925777</v>
      </c>
    </row>
    <row r="155" ht="72" customHeight="1">
      <c r="A155" s="16" t="str">
        <v>S02-SP-38</v>
      </c>
      <c r="B155" s="16" t="str">
        <v>3店-SANDIEX-US</v>
      </c>
      <c r="C155" s="16" t="str">
        <v>陈晨</v>
      </c>
      <c r="D155" s="26" t="n">
        <f>IF(NOT(ISNUMBER(E155)),"",IF(OR(E155&lt;=0,L155=0),0,IF(OR(NOT(ISNUMBER(F155)),F155&lt;0),"",MIN(E155,INT(F155)))))</f>
        <v>7</v>
      </c>
      <c r="E155" s="27" t="n">
        <f>IF(OR(NOT(ISNUMBER(L155)),COUNT(M155:O155)&lt;&gt;3,MIN(M155:O155)&lt;0),"",ROUNDUP(ROUND(BI155-SUM(M155:O155),10),0))</f>
        <v>7</v>
      </c>
      <c r="F155" s="28" t="n">
        <v>99</v>
      </c>
      <c r="G155" s="28" t="n">
        <f>IF(AND(ISNUMBER(D155),ISNUMBER(E155)),IF(OR(E155&lt;=0,L155=0),0,E155-D155),"")</f>
        <v>0</v>
      </c>
      <c r="H155" s="16" t="str">
        <f>IF(NOT(ISNUMBER(E155)),"销量或海外库存待补",IF(OR(E155&lt;=0,L155=0),IF(L155=0,"零日销，本批不发","本批无需补货"),IF(NOT(ISNUMBER(D155)),"国内库存待补",IF(D155=0,"国内无可用库存",IF(G155&gt;0,"先发国内现货","按建议量发货")))))</f>
        <v>按建议量发货</v>
      </c>
      <c r="I155" s="28" t="n">
        <f>IF(AND(COUNT(Z155,AA155,AB155)=3,Z155&gt;=AA155,AA155&gt;=0,AB155=7),Z155-AA155,"")</f>
        <v>0</v>
      </c>
      <c r="J155" s="28" t="n">
        <f>IF(AND(COUNT(AF155,AG155,AH155)=3,AF155&gt;=AG155,AG155&gt;=0,AH155=14),AF155-AG155,"")</f>
        <v>4</v>
      </c>
      <c r="K155" s="28" t="n">
        <f>IF(AND(COUNT(AL155,AM155,AN155)=3,AL155&gt;=AM155,AM155&gt;=0,AN155=30),AL155-AM155,"")</f>
        <v>4</v>
      </c>
      <c r="L155" s="29" t="n">
        <f>IF(ISNUMBER(BI155),BI155/90,"")</f>
        <v>0.19281666685400412</v>
      </c>
      <c r="M155" s="28" t="n">
        <v>4</v>
      </c>
      <c r="N155" s="28" t="n">
        <v>0</v>
      </c>
      <c r="O155" s="28" t="n">
        <v>7</v>
      </c>
      <c r="P155" s="30" t="n">
        <f>IF(AND(ISNUMBER(L155),L155&gt;0,COUNT(M155:O155)=3,MIN(M155:O155)&gt;=0),SUM(M155:O155)/L155,"")</f>
        <v>57.04901023068157</v>
      </c>
      <c r="Q155" s="16" t="str">
        <v>沿用原计划SKU店铺</v>
      </c>
      <c r="R155" s="16" t="str">
        <v>已匹配</v>
      </c>
      <c r="S155" s="16" t="str">
        <v>在售</v>
      </c>
      <c r="T155" s="16" t="str">
        <v>S02</v>
      </c>
      <c r="U155" s="16" t="str">
        <v>黑白蛇纹</v>
      </c>
      <c r="V155" s="16" t="n">
        <v>7</v>
      </c>
      <c r="W155" s="8" t="str">
        <v>2026-10-11 至 2026-10-17</v>
      </c>
      <c r="X155" s="8" t="str">
        <v>2026-10-11、2026-10-12、2026-10-13、2026-10-14、2026-10-15、2026-10-16、2026-10-17</v>
      </c>
      <c r="Y155" s="8" t="str">
        <v>无</v>
      </c>
      <c r="Z155" s="8" t="n">
        <v>0</v>
      </c>
      <c r="AA155" s="8" t="n">
        <v>0</v>
      </c>
      <c r="AB155" s="8" t="n">
        <v>7</v>
      </c>
      <c r="AC155" s="8" t="str">
        <v>2026-10-02 至 2026-10-17</v>
      </c>
      <c r="AD155" s="8" t="str">
        <v>2026-10-02、2026-10-03、2026-10-04、2026-10-05、2026-10-08、2026-10-09、2026-10-10、2026-10-11、2026-10-12、2026-10-13、2026-10-14、2026-10-15、2026-10-16、2026-10-17</v>
      </c>
      <c r="AE155" s="8" t="str">
        <v>2026-10-06 大促；2026-10-07 大促</v>
      </c>
      <c r="AF155" s="8" t="n">
        <v>4</v>
      </c>
      <c r="AG155" s="8" t="n">
        <v>0</v>
      </c>
      <c r="AH155" s="8" t="n">
        <v>14</v>
      </c>
      <c r="AI155" s="8" t="str">
        <v>2026-09-16 至 2026-10-17</v>
      </c>
      <c r="AJ1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5" s="8" t="str">
        <v>2026-10-06 大促；2026-10-07 大促</v>
      </c>
      <c r="AL155" s="8" t="n">
        <v>4</v>
      </c>
      <c r="AM155" s="8" t="n">
        <v>0</v>
      </c>
      <c r="AN155" s="8" t="n">
        <v>30</v>
      </c>
      <c r="AO155" s="8" t="str">
        <v>S02 / 黑白蛇纹 / 6574</v>
      </c>
      <c r="AP155" s="11" t="n">
        <v>0.9634503791704667</v>
      </c>
      <c r="AQ155" s="11" t="n">
        <v>0.9634503791704667</v>
      </c>
      <c r="AR155" s="11" t="n">
        <v>0.902244307144596</v>
      </c>
      <c r="AS155" s="11" t="n">
        <f>IF(AND(COUNT(I155:K155,AP155:AR155)=6,MIN(AP155:AR155)&gt;0),I155/7/AP155*0.5+J155/14/AQ155*0.3+K155/30/AR155*0.2,"")</f>
        <v>0.11852188450190695</v>
      </c>
      <c r="AT155" s="8" t="n">
        <v>11</v>
      </c>
      <c r="AU155" s="8" t="n">
        <v>0</v>
      </c>
      <c r="AV155" s="8" t="n">
        <v>88</v>
      </c>
      <c r="AW155" s="11" t="n">
        <f>IF(AND(COUNT(AT155:AV155)=3,AT155&gt;=AU155,AU155&gt;=0,AV155&gt;0),(AT155-AU155)/AV155,"")</f>
        <v>0.125</v>
      </c>
      <c r="AX155" s="8" t="n">
        <v>18</v>
      </c>
      <c r="AY155" s="8" t="n">
        <v>0</v>
      </c>
      <c r="AZ155" s="8" t="n">
        <v>178</v>
      </c>
      <c r="BA155" s="11" t="n">
        <f>IF(AND(COUNT(AX155:AZ155)=3,AX155&gt;=AY155,AY155&gt;=0,AZ155&gt;0),(AX155-AY155)/AZ155,"")</f>
        <v>0.10112359550561797</v>
      </c>
      <c r="BB155" s="8" t="n">
        <f>IF(COUNT(AS155,AW155,BA155)=3,1,0)</f>
        <v>1</v>
      </c>
      <c r="BC155" s="11" t="n">
        <f>IF(SUMIF($AO$11:$AO$1309,AO155,$BB$11:$BB$1309)=COUNTIF($AO$11:$AO$1309,AO155),SUMIF($AO$11:$AO$1309,AO155,$AS$11:$AS$1309),"")</f>
        <v>0.7927579792962208</v>
      </c>
      <c r="BD155" s="11" t="n">
        <f>IF(SUMIF($AO$11:$AO$1309,AO155,$BB$11:$BB$1309)=COUNTIF($AO$11:$AO$1309,AO155),SUMIF($AO$11:$AO$1309,AO155,$AW$11:$AW$1309),"")</f>
        <v>0.4094919786096257</v>
      </c>
      <c r="BE155" s="11" t="n">
        <f>IF(SUMIF($AO$11:$AO$1309,AO155,$BB$11:$BB$1309)=COUNTIF($AO$11:$AO$1309,AO155),SUMIF($AO$11:$AO$1309,AO155,$BA$11:$BA$1309),"")</f>
        <v>0.4744141252006421</v>
      </c>
      <c r="BF155" s="12" t="n">
        <f>IF(COUNT(BD155:BE155)&lt;&gt;2,"",IF(AND(BD155&gt;0,BE155&gt;0),0.7*AW155/BD155+0.3*BA155/BE155,IF(BD155&gt;0,AW155/BD155,IF(BE155&gt;0,BA155/BE155,IF(AND(ISNUMBER(BH155),BH155=0),0,"")))))</f>
        <v>0.27762580610269993</v>
      </c>
      <c r="BG155" s="11" t="n">
        <f>IF(AND(COUNT(BN155:BU155)=8,MIN(BN155:BU155)&gt;=0),SUMPRODUCT(BN155:BQ155,BR155:BU155),"")</f>
        <v>78.84726365280937</v>
      </c>
      <c r="BH155" s="11" t="n">
        <f>IF(COUNT(BC155,BG155)=2,BC155*BG155,"")</f>
        <v>62.50679740643752</v>
      </c>
      <c r="BI155" s="11" t="n">
        <f>IF(ISNUMBER(CI155),CI155,"")</f>
        <v>17.35350001686037</v>
      </c>
      <c r="BJ155" s="8" t="str"/>
      <c r="BK155" s="8" t="str">
        <v>90天：2026-07-20 至 2026-10-17；180天：2026-04-21 至 2026-10-17</v>
      </c>
      <c r="BL155" s="8" t="str">
        <v>90天：2026-10-06、2026-10-07；180天：2026-10-06、2026-10-07</v>
      </c>
      <c r="BM155" s="8" t="str">
        <v>2026-10：12天 × 0.9634503791704667；2026-11：30天 × 0.8585031562320637；2026-12：31天 × 0.7896606554092485；2027-01：17天 × 1.0030167116538329</v>
      </c>
      <c r="BN155" s="11" t="n">
        <v>0.9634503791704667</v>
      </c>
      <c r="BO155" s="11" t="n">
        <v>0.8585031562320637</v>
      </c>
      <c r="BP155" s="11" t="n">
        <v>0.7896606554092485</v>
      </c>
      <c r="BQ155" s="11" t="n">
        <v>1.0030167116538329</v>
      </c>
      <c r="BR155" s="8" t="n">
        <v>12</v>
      </c>
      <c r="BS155" s="8" t="n">
        <v>30</v>
      </c>
      <c r="BT155" s="8" t="n">
        <v>31</v>
      </c>
      <c r="BU155" s="8" t="n">
        <v>17</v>
      </c>
      <c r="BV155" s="11" t="n">
        <f>IF(COUNT(BC155,BF155)=2,BC155*BF155,"")</f>
        <v>0.2200900730464608</v>
      </c>
      <c r="BW155" s="11" t="n">
        <f>IF(ISNUMBER(BN155),BN155,"")</f>
        <v>0.9634503791704667</v>
      </c>
      <c r="BX155" s="14" t="n">
        <f>IF(ISNUMBER(BR155),BR155,"")</f>
        <v>12</v>
      </c>
      <c r="BY155" s="13" t="n">
        <f>IF(AND(COUNT(BV155,BW155,BX155)=3,MIN(BV155,BW155,BX155)&gt;=0),BV155*BW155*BX155,"")</f>
        <v>2.544550371939221</v>
      </c>
      <c r="BZ155" s="11" t="n">
        <f>IF(ISNUMBER(BO155),BO155,"")</f>
        <v>0.8585031562320637</v>
      </c>
      <c r="CA155" s="14" t="n">
        <f>IF(ISNUMBER(BS155),BS155,"")</f>
        <v>30</v>
      </c>
      <c r="CB155" s="13" t="n">
        <f>IF(AND(COUNT(BV155,BZ155,CA155)=3,MIN(BV155,BZ155,CA155)&gt;=0),BV155*BZ155*CA155,"")</f>
        <v>5.668440670971961</v>
      </c>
      <c r="CC155" s="11" t="n">
        <f>IF(ISNUMBER(BP155),BP155,"")</f>
        <v>0.7896606554092485</v>
      </c>
      <c r="CD155" s="14" t="n">
        <f>IF(ISNUMBER(BT155),BT155,"")</f>
        <v>31</v>
      </c>
      <c r="CE155" s="13" t="n">
        <f>IF(AND(COUNT(BV155,CC155,CD155)=3,MIN(BV155,CC155,CD155)&gt;=0),BV155*CC155*CD155,"")</f>
        <v>5.387690611259067</v>
      </c>
      <c r="CF155" s="11" t="n">
        <f>IF(ISNUMBER(BQ155),BQ155,"")</f>
        <v>1.0030167116538329</v>
      </c>
      <c r="CG155" s="14" t="n">
        <f>IF(ISNUMBER(BU155),BU155,"")</f>
        <v>17</v>
      </c>
      <c r="CH155" s="13" t="n">
        <f>IF(AND(COUNT(BV155,CF155,CG155)=3,MIN(BV155,CF155,CG155)&gt;=0),BV155*CF155*CG155,"")</f>
        <v>3.752818362690121</v>
      </c>
      <c r="CI155" s="13" t="n">
        <f>IF(COUNT(BY155,CB155,CE155,CH155)=4,SUM(BY155,CB155,CE155,CH155),"")</f>
        <v>17.35350001686037</v>
      </c>
    </row>
    <row r="156" ht="72" customHeight="1">
      <c r="A156" s="16" t="str">
        <v>9967-CT-37</v>
      </c>
      <c r="B156" s="16" t="str">
        <v>1店-MUSSHOE-US</v>
      </c>
      <c r="C156" s="16" t="str">
        <v>徐新怡</v>
      </c>
      <c r="D156" s="26" t="n">
        <f>IF(NOT(ISNUMBER(E156)),"",IF(OR(E156&lt;=0,L156=0),0,IF(OR(NOT(ISNUMBER(F156)),F156&lt;0),"",MIN(E156,INT(F156)))))</f>
        <v>6</v>
      </c>
      <c r="E156" s="27" t="n">
        <f>IF(OR(NOT(ISNUMBER(L156)),COUNT(M156:O156)&lt;&gt;3,MIN(M156:O156)&lt;0),"",ROUNDUP(ROUND(BI156-SUM(M156:O156),10),0))</f>
        <v>32</v>
      </c>
      <c r="F156" s="28" t="n">
        <v>6</v>
      </c>
      <c r="G156" s="28" t="n">
        <f>IF(AND(ISNUMBER(D156),ISNUMBER(E156)),IF(OR(E156&lt;=0,L156=0),0,E156-D156),"")</f>
        <v>26</v>
      </c>
      <c r="H156" s="16" t="str">
        <f>IF(NOT(ISNUMBER(E156)),"销量或海外库存待补",IF(OR(E156&lt;=0,L156=0),IF(L156=0,"零日销，本批不发","本批无需补货"),IF(NOT(ISNUMBER(D156)),"国内库存待补",IF(D156=0,"国内无可用库存",IF(G156&gt;0,"先发国内现货","按建议量发货")))))</f>
        <v>先发国内现货</v>
      </c>
      <c r="I156" s="28" t="n">
        <f>IF(AND(COUNT(Z156,AA156,AB156)=3,Z156&gt;=AA156,AA156&gt;=0,AB156=7),Z156-AA156,"")</f>
        <v>1</v>
      </c>
      <c r="J156" s="28" t="n">
        <f>IF(AND(COUNT(AF156,AG156,AH156)=3,AF156&gt;=AG156,AG156&gt;=0,AH156=14),AF156-AG156,"")</f>
        <v>1</v>
      </c>
      <c r="K156" s="28" t="n">
        <f>IF(AND(COUNT(AL156,AM156,AN156)=3,AL156&gt;=AM156,AM156&gt;=0,AN156=30),AL156-AM156,"")</f>
        <v>1</v>
      </c>
      <c r="L156" s="29" t="n">
        <f>IF(ISNUMBER(BI156),BI156/90,"")</f>
        <v>0.5169984249587141</v>
      </c>
      <c r="M156" s="28" t="n">
        <v>2</v>
      </c>
      <c r="N156" s="28" t="n">
        <v>0</v>
      </c>
      <c r="O156" s="28" t="n">
        <v>13</v>
      </c>
      <c r="P156" s="30" t="n">
        <f>IF(AND(ISNUMBER(L156),L156&gt;0,COUNT(M156:O156)=3,MIN(M156:O156)&gt;=0),SUM(M156:O156)/L156,"")</f>
        <v>29.01362804189946</v>
      </c>
      <c r="Q156" s="16" t="str">
        <v>沿用原计划SKU店铺</v>
      </c>
      <c r="R156" s="16" t="str">
        <v>已匹配</v>
      </c>
      <c r="S156" s="16" t="str">
        <v>在售</v>
      </c>
      <c r="T156" s="16" t="str">
        <v>9967</v>
      </c>
      <c r="U156" s="16" t="str">
        <v>棕色</v>
      </c>
      <c r="V156" s="16" t="n">
        <v>6</v>
      </c>
      <c r="W156" s="8" t="str">
        <v>2026-10-10 至 2026-10-17</v>
      </c>
      <c r="X156" s="8" t="str">
        <v>2026-10-10、2026-10-11、2026-10-13、2026-10-14、2026-10-15、2026-10-16、2026-10-17</v>
      </c>
      <c r="Y156" s="8" t="str">
        <v>2026-10-12 有记录的停售日</v>
      </c>
      <c r="Z156" s="8" t="n">
        <v>1</v>
      </c>
      <c r="AA156" s="8" t="n">
        <v>0</v>
      </c>
      <c r="AB156" s="8" t="n">
        <v>7</v>
      </c>
      <c r="AC156" s="8" t="str">
        <v>2026-10-01 至 2026-10-17</v>
      </c>
      <c r="AD156" s="8" t="str">
        <v>2026-10-01、2026-10-02、2026-10-03、2026-10-04、2026-10-05、2026-10-08、2026-10-09、2026-10-10、2026-10-11、2026-10-13、2026-10-14、2026-10-15、2026-10-16、2026-10-17</v>
      </c>
      <c r="AE156" s="8" t="str">
        <v>2026-10-06 大促；2026-10-07 大促；2026-10-12 有记录的停售日</v>
      </c>
      <c r="AF156" s="8" t="n">
        <v>1</v>
      </c>
      <c r="AG156" s="8" t="n">
        <v>0</v>
      </c>
      <c r="AH156" s="8" t="n">
        <v>14</v>
      </c>
      <c r="AI156" s="8" t="str">
        <v>2026-09-15 至 2026-10-17</v>
      </c>
      <c r="AJ156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156" s="8" t="str">
        <v>2026-10-06 大促；2026-10-07 大促；2026-10-12 有记录的停售日</v>
      </c>
      <c r="AL156" s="8" t="n">
        <v>1</v>
      </c>
      <c r="AM156" s="8" t="n">
        <v>0</v>
      </c>
      <c r="AN156" s="8" t="n">
        <v>30</v>
      </c>
      <c r="AO156" s="8" t="str">
        <v>9967 / 棕色PU / 13120</v>
      </c>
      <c r="AP156" s="11" t="n">
        <v>0.624562333197096</v>
      </c>
      <c r="AQ156" s="11" t="n">
        <v>0.624562333197096</v>
      </c>
      <c r="AR156" s="11" t="n">
        <v>0.3455232583925147</v>
      </c>
      <c r="AS156" s="11" t="n">
        <f>IF(AND(COUNT(I156:K156,AP156:AR156)=6,MIN(AP156:AR156)&gt;0),I156/7/AP156*0.5+J156/14/AQ156*0.3+K156/30/AR156*0.2,"")</f>
        <v>0.16796994897243614</v>
      </c>
      <c r="AT156" s="8" t="n">
        <v>1</v>
      </c>
      <c r="AU156" s="8" t="n">
        <v>0</v>
      </c>
      <c r="AV156" s="8" t="n">
        <v>87</v>
      </c>
      <c r="AW156" s="11" t="n">
        <f>IF(AND(COUNT(AT156:AV156)=3,AT156&gt;=AU156,AU156&gt;=0,AV156&gt;0),(AT156-AU156)/AV156,"")</f>
        <v>0.011494252873563218</v>
      </c>
      <c r="AX156" s="8" t="n">
        <v>2</v>
      </c>
      <c r="AY156" s="8" t="n">
        <v>0</v>
      </c>
      <c r="AZ156" s="8" t="n">
        <v>177</v>
      </c>
      <c r="BA156" s="11" t="n">
        <f>IF(AND(COUNT(AX156:AZ156)=3,AX156&gt;=AY156,AY156&gt;=0,AZ156&gt;0),(AX156-AY156)/AZ156,"")</f>
        <v>0.011299435028248588</v>
      </c>
      <c r="BB156" s="8" t="n">
        <f>IF(COUNT(AS156,AW156,BA156)=3,1,0)</f>
        <v>1</v>
      </c>
      <c r="BC156" s="11" t="n">
        <f>IF(SUMIF($AO$11:$AO$1309,AO156,$BB$11:$BB$1309)=COUNTIF($AO$11:$AO$1309,AO156),SUMIF($AO$11:$AO$1309,AO156,$AS$11:$AS$1309),"")</f>
        <v>0.3359398979448723</v>
      </c>
      <c r="BD156" s="11" t="n">
        <f>IF(SUMIF($AO$11:$AO$1309,AO156,$BB$11:$BB$1309)=COUNTIF($AO$11:$AO$1309,AO156),SUMIF($AO$11:$AO$1309,AO156,$AW$11:$AW$1309),"")</f>
        <v>0.022988505747126436</v>
      </c>
      <c r="BE156" s="11" t="n">
        <f>IF(SUMIF($AO$11:$AO$1309,AO156,$BB$11:$BB$1309)=COUNTIF($AO$11:$AO$1309,AO156),SUMIF($AO$11:$AO$1309,AO156,$BA$11:$BA$1309),"")</f>
        <v>0.01694915254237288</v>
      </c>
      <c r="BF156" s="12" t="n">
        <f>IF(COUNT(BD156:BE156)&lt;&gt;2,"",IF(AND(BD156&gt;0,BE156&gt;0),0.7*AW156/BD156+0.3*BA156/BE156,IF(BD156&gt;0,AW156/BD156,IF(BE156&gt;0,BA156/BE156,IF(AND(ISNUMBER(BH156),BH156=0),0,"")))))</f>
        <v>0.5499999999999999</v>
      </c>
      <c r="BG156" s="11" t="n">
        <f>IF(AND(COUNT(BN156:BU156)=8,MIN(BN156:BU156)&gt;=0),SUMPRODUCT(BN156:BQ156,BR156:BU156),"")</f>
        <v>251.82999335153164</v>
      </c>
      <c r="BH156" s="11" t="n">
        <f>IF(COUNT(BC156,BG156)=2,BC156*BG156,"")</f>
        <v>84.5997422659714</v>
      </c>
      <c r="BI156" s="11" t="n">
        <f>IF(ISNUMBER(CI156),CI156,"")</f>
        <v>46.52985824628427</v>
      </c>
      <c r="BJ156" s="8" t="str"/>
      <c r="BK156" s="8" t="str">
        <v>90天：2026-07-20 至 2026-10-17；180天：2026-04-21 至 2026-10-17</v>
      </c>
      <c r="BL156" s="8" t="str">
        <v>90天：2026-10-06、2026-10-07、2026-10-12；180天：2026-10-06、2026-10-07、2026-10-12</v>
      </c>
      <c r="BM156" s="8" t="str">
        <v>2026-10：12天 × 0.624562333197096；2026-11：30天 × 2.028100514629496；2026-12：31天 × 4.058791976082533；2027-01：17天 × 3.3923340385719465</v>
      </c>
      <c r="BN156" s="11" t="n">
        <v>0.624562333197096</v>
      </c>
      <c r="BO156" s="11" t="n">
        <v>2.028100514629496</v>
      </c>
      <c r="BP156" s="11" t="n">
        <v>4.058791976082533</v>
      </c>
      <c r="BQ156" s="11" t="n">
        <v>3.3923340385719465</v>
      </c>
      <c r="BR156" s="8" t="n">
        <v>12</v>
      </c>
      <c r="BS156" s="8" t="n">
        <v>30</v>
      </c>
      <c r="BT156" s="8" t="n">
        <v>31</v>
      </c>
      <c r="BU156" s="8" t="n">
        <v>17</v>
      </c>
      <c r="BV156" s="11" t="n">
        <f>IF(COUNT(BC156,BF156)=2,BC156*BF156,"")</f>
        <v>0.18476694386967973</v>
      </c>
      <c r="BW156" s="11" t="n">
        <f>IF(ISNUMBER(BN156),BN156,"")</f>
        <v>0.624562333197096</v>
      </c>
      <c r="BX156" s="14" t="n">
        <f>IF(ISNUMBER(BR156),BR156,"")</f>
        <v>12</v>
      </c>
      <c r="BY156" s="13" t="n">
        <f>IF(AND(COUNT(BV156,BW156,BX156)=3,MIN(BV156,BW156,BX156)&gt;=0),BV156*BW156*BX156,"")</f>
        <v>1.3847816827313286</v>
      </c>
      <c r="BZ156" s="11" t="n">
        <f>IF(ISNUMBER(BO156),BO156,"")</f>
        <v>2.028100514629496</v>
      </c>
      <c r="CA156" s="14" t="n">
        <f>IF(ISNUMBER(BS156),BS156,"")</f>
        <v>30</v>
      </c>
      <c r="CB156" s="13" t="n">
        <f>IF(AND(COUNT(BV156,BZ156,CA156)=3,MIN(BV156,BZ156,CA156)&gt;=0),BV156*BZ156*CA156,"")</f>
        <v>11.2417780184585</v>
      </c>
      <c r="CC156" s="11" t="n">
        <f>IF(ISNUMBER(BP156),BP156,"")</f>
        <v>4.058791976082533</v>
      </c>
      <c r="CD156" s="14" t="n">
        <f>IF(ISNUMBER(BT156),BT156,"")</f>
        <v>31</v>
      </c>
      <c r="CE156" s="13" t="n">
        <f>IF(AND(COUNT(BV156,CC156,CD156)=3,MIN(BV156,CC156,CD156)&gt;=0),BV156*CC156*CD156,"")</f>
        <v>23.247848265929985</v>
      </c>
      <c r="CF156" s="11" t="n">
        <f>IF(ISNUMBER(BQ156),BQ156,"")</f>
        <v>3.3923340385719465</v>
      </c>
      <c r="CG156" s="14" t="n">
        <f>IF(ISNUMBER(BU156),BU156,"")</f>
        <v>17</v>
      </c>
      <c r="CH156" s="13" t="n">
        <f>IF(AND(COUNT(BV156,CF156,CG156)=3,MIN(BV156,CF156,CG156)&gt;=0),BV156*CF156*CG156,"")</f>
        <v>10.655450279164455</v>
      </c>
      <c r="CI156" s="13" t="n">
        <f>IF(COUNT(BY156,CB156,CE156,CH156)=4,SUM(BY156,CB156,CE156,CH156),"")</f>
        <v>46.52985824628427</v>
      </c>
    </row>
    <row r="157" ht="72" customHeight="1">
      <c r="A157" s="16" t="str">
        <v>32582-LD-37</v>
      </c>
      <c r="B157" s="16" t="str">
        <v>3店-SANDIEX-US</v>
      </c>
      <c r="C157" s="16" t="str">
        <v>徐新怡</v>
      </c>
      <c r="D157" s="26" t="n">
        <f>IF(NOT(ISNUMBER(E157)),"",IF(OR(E157&lt;=0,L157=0),0,IF(OR(NOT(ISNUMBER(F157)),F157&lt;0),"",MIN(E157,INT(F157)))))</f>
        <v>6</v>
      </c>
      <c r="E157" s="27" t="n">
        <f>IF(OR(NOT(ISNUMBER(L157)),COUNT(M157:O157)&lt;&gt;3,MIN(M157:O157)&lt;0),"",ROUNDUP(ROUND(BI157-SUM(M157:O157),10),0))</f>
        <v>6</v>
      </c>
      <c r="F157" s="28" t="n">
        <v>195</v>
      </c>
      <c r="G157" s="28" t="n">
        <f>IF(AND(ISNUMBER(D157),ISNUMBER(E157)),IF(OR(E157&lt;=0,L157=0),0,E157-D157),"")</f>
        <v>0</v>
      </c>
      <c r="H157" s="16" t="str">
        <f>IF(NOT(ISNUMBER(E157)),"销量或海外库存待补",IF(OR(E157&lt;=0,L157=0),IF(L157=0,"零日销，本批不发","本批无需补货"),IF(NOT(ISNUMBER(D157)),"国内库存待补",IF(D157=0,"国内无可用库存",IF(G157&gt;0,"先发国内现货","按建议量发货")))))</f>
        <v>按建议量发货</v>
      </c>
      <c r="I157" s="28" t="n">
        <f>IF(AND(COUNT(Z157,AA157,AB157)=3,Z157&gt;=AA157,AA157&gt;=0,AB157=7),Z157-AA157,"")</f>
        <v>2</v>
      </c>
      <c r="J157" s="28" t="n">
        <f>IF(AND(COUNT(AF157,AG157,AH157)=3,AF157&gt;=AG157,AG157&gt;=0,AH157=14),AF157-AG157,"")</f>
        <v>3</v>
      </c>
      <c r="K157" s="28" t="n">
        <f>IF(AND(COUNT(AL157,AM157,AN157)=3,AL157&gt;=AM157,AM157&gt;=0,AN157=30),AL157-AM157,"")</f>
        <v>6</v>
      </c>
      <c r="L157" s="29" t="n">
        <f>IF(ISNUMBER(BI157),BI157/90,"")</f>
        <v>0.1768566922620329</v>
      </c>
      <c r="M157" s="28" t="n">
        <v>10</v>
      </c>
      <c r="N157" s="28" t="n">
        <v>0</v>
      </c>
      <c r="O157" s="28" t="n">
        <v>0</v>
      </c>
      <c r="P157" s="30" t="n">
        <f>IF(AND(ISNUMBER(L157),L157&gt;0,COUNT(M157:O157)=3,MIN(M157:O157)&gt;=0),SUM(M157:O157)/L157,"")</f>
        <v>56.54295504511577</v>
      </c>
      <c r="Q157" s="16" t="str">
        <v>沿用原计划SKU店铺</v>
      </c>
      <c r="R157" s="16" t="str">
        <v>已匹配</v>
      </c>
      <c r="S157" s="16" t="str">
        <v>在售</v>
      </c>
      <c r="T157" s="16" t="str">
        <v>32582</v>
      </c>
      <c r="U157" s="16" t="str">
        <v>豹纹</v>
      </c>
      <c r="V157" s="16" t="n">
        <v>6</v>
      </c>
      <c r="W157" s="8" t="str">
        <v>2026-10-11 至 2026-10-17</v>
      </c>
      <c r="X157" s="8" t="str">
        <v>2026-10-11、2026-10-12、2026-10-13、2026-10-14、2026-10-15、2026-10-16、2026-10-17</v>
      </c>
      <c r="Y157" s="8" t="str">
        <v>无</v>
      </c>
      <c r="Z157" s="8" t="n">
        <v>2</v>
      </c>
      <c r="AA157" s="8" t="n">
        <v>0</v>
      </c>
      <c r="AB157" s="8" t="n">
        <v>7</v>
      </c>
      <c r="AC157" s="8" t="str">
        <v>2026-10-02 至 2026-10-17</v>
      </c>
      <c r="AD157" s="8" t="str">
        <v>2026-10-02、2026-10-03、2026-10-04、2026-10-05、2026-10-08、2026-10-09、2026-10-10、2026-10-11、2026-10-12、2026-10-13、2026-10-14、2026-10-15、2026-10-16、2026-10-17</v>
      </c>
      <c r="AE157" s="8" t="str">
        <v>2026-10-06 大促；2026-10-07 大促</v>
      </c>
      <c r="AF157" s="8" t="n">
        <v>3</v>
      </c>
      <c r="AG157" s="8" t="n">
        <v>0</v>
      </c>
      <c r="AH157" s="8" t="n">
        <v>14</v>
      </c>
      <c r="AI157" s="8" t="str">
        <v>2026-09-16 至 2026-10-17</v>
      </c>
      <c r="AJ1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7" s="8" t="str">
        <v>2026-10-06 大促；2026-10-07 大促</v>
      </c>
      <c r="AL157" s="8" t="n">
        <v>6</v>
      </c>
      <c r="AM157" s="8" t="n">
        <v>0</v>
      </c>
      <c r="AN157" s="8" t="n">
        <v>30</v>
      </c>
      <c r="AO157" s="8" t="str">
        <v>32582 / 豹纹羊京绒 / 6574</v>
      </c>
      <c r="AP157" s="11" t="n">
        <v>1.0395067087630607</v>
      </c>
      <c r="AQ157" s="11" t="n">
        <v>1.0395067087630607</v>
      </c>
      <c r="AR157" s="11" t="n">
        <v>1.0707336504782758</v>
      </c>
      <c r="AS157" s="11" t="n">
        <f>IF(AND(COUNT(I157:K157,AP157:AR157)=6,MIN(AP157:AR157)&gt;0),I157/7/AP157*0.5+J157/14/AQ157*0.3+K157/30/AR157*0.2,"")</f>
        <v>0.23662790496793495</v>
      </c>
      <c r="AT157" s="8" t="n">
        <v>14</v>
      </c>
      <c r="AU157" s="8" t="n">
        <v>0</v>
      </c>
      <c r="AV157" s="8" t="n">
        <v>88</v>
      </c>
      <c r="AW157" s="11" t="n">
        <f>IF(AND(COUNT(AT157:AV157)=3,AT157&gt;=AU157,AU157&gt;=0,AV157&gt;0),(AT157-AU157)/AV157,"")</f>
        <v>0.1590909090909091</v>
      </c>
      <c r="AX157" s="8" t="n">
        <v>17</v>
      </c>
      <c r="AY157" s="8" t="n">
        <v>0</v>
      </c>
      <c r="AZ157" s="8" t="n">
        <v>178</v>
      </c>
      <c r="BA157" s="11" t="n">
        <f>IF(AND(COUNT(AX157:AZ157)=3,AX157&gt;=AY157,AY157&gt;=0,AZ157&gt;0),(AX157-AY157)/AZ157,"")</f>
        <v>0.09550561797752809</v>
      </c>
      <c r="BB157" s="8" t="n">
        <f>IF(COUNT(AS157,AW157,BA157)=3,1,0)</f>
        <v>1</v>
      </c>
      <c r="BC157" s="11" t="n">
        <f>IF(SUMIF($AO$11:$AO$1309,AO157,$BB$11:$BB$1309)=COUNTIF($AO$11:$AO$1309,AO157),SUMIF($AO$11:$AO$1309,AO157,$AS$11:$AS$1309),"")</f>
        <v>2.517644694108243</v>
      </c>
      <c r="BD157" s="11" t="n">
        <f>IF(SUMIF($AO$11:$AO$1309,AO157,$BB$11:$BB$1309)=COUNTIF($AO$11:$AO$1309,AO157),SUMIF($AO$11:$AO$1309,AO157,$AW$11:$AW$1309),"")</f>
        <v>2.0255347593582886</v>
      </c>
      <c r="BE157" s="11" t="n">
        <f>IF(SUMIF($AO$11:$AO$1309,AO157,$BB$11:$BB$1309)=COUNTIF($AO$11:$AO$1309,AO157),SUMIF($AO$11:$AO$1309,AO157,$BA$11:$BA$1309),"")</f>
        <v>1.721701444622793</v>
      </c>
      <c r="BF157" s="12" t="n">
        <f>IF(COUNT(BD157:BE157)&lt;&gt;2,"",IF(AND(BD157&gt;0,BE157&gt;0),0.7*AW157/BD157+0.3*BA157/BE157,IF(BD157&gt;0,AW157/BD157,IF(BE157&gt;0,BA157/BE157,IF(AND(ISNUMBER(BH157),BH157=0),0,"")))))</f>
        <v>0.0716213639734971</v>
      </c>
      <c r="BG157" s="11" t="n">
        <f>IF(AND(COUNT(BN157:BU157)=8,MIN(BN157:BU157)&gt;=0),SUMPRODUCT(BN157:BQ157,BR157:BU157),"")</f>
        <v>88.27281580841549</v>
      </c>
      <c r="BH157" s="11" t="n">
        <f>IF(COUNT(BC157,BG157)=2,BC157*BG157,"")</f>
        <v>222.23958635405148</v>
      </c>
      <c r="BI157" s="11" t="n">
        <f>IF(ISNUMBER(CI157),CI157,"")</f>
        <v>15.917102303582961</v>
      </c>
      <c r="BJ157" s="8" t="str"/>
      <c r="BK157" s="8" t="str">
        <v>90天：2026-07-20 至 2026-10-17；180天：2026-04-21 至 2026-10-17</v>
      </c>
      <c r="BL157" s="8" t="str">
        <v>90天：2026-10-06、2026-10-07；180天：2026-10-06、2026-10-07</v>
      </c>
      <c r="BM157" s="8" t="str">
        <v>2026-10：12天 × 1.0395067087630607；2026-11：30天 × 0.9890368360033146；2026-12：31天 × 0.7800796503018808；2027-01：17天 × 1.2908918272824135</v>
      </c>
      <c r="BN157" s="11" t="n">
        <v>1.0395067087630607</v>
      </c>
      <c r="BO157" s="11" t="n">
        <v>0.9890368360033146</v>
      </c>
      <c r="BP157" s="11" t="n">
        <v>0.7800796503018808</v>
      </c>
      <c r="BQ157" s="11" t="n">
        <v>1.2908918272824135</v>
      </c>
      <c r="BR157" s="8" t="n">
        <v>12</v>
      </c>
      <c r="BS157" s="8" t="n">
        <v>30</v>
      </c>
      <c r="BT157" s="8" t="n">
        <v>31</v>
      </c>
      <c r="BU157" s="8" t="n">
        <v>17</v>
      </c>
      <c r="BV157" s="11" t="n">
        <f>IF(COUNT(BC157,BF157)=2,BC157*BF157,"")</f>
        <v>0.18031714699267024</v>
      </c>
      <c r="BW157" s="11" t="n">
        <f>IF(ISNUMBER(BN157),BN157,"")</f>
        <v>1.0395067087630607</v>
      </c>
      <c r="BX157" s="14" t="n">
        <f>IF(ISNUMBER(BR157),BR157,"")</f>
        <v>12</v>
      </c>
      <c r="BY157" s="13" t="n">
        <f>IF(AND(COUNT(BV157,BW157,BX157)=3,MIN(BV157,BW157,BX157)&gt;=0),BV157*BW157*BX157,"")</f>
        <v>2.249290608046748</v>
      </c>
      <c r="BZ157" s="11" t="n">
        <f>IF(ISNUMBER(BO157),BO157,"")</f>
        <v>0.9890368360033146</v>
      </c>
      <c r="CA157" s="14" t="n">
        <f>IF(ISNUMBER(BS157),BS157,"")</f>
        <v>30</v>
      </c>
      <c r="CB157" s="13" t="n">
        <f>IF(AND(COUNT(BV157,BZ157,CA157)=3,MIN(BV157,BZ157,CA157)&gt;=0),BV157*BZ157*CA157,"")</f>
        <v>5.350209016163255</v>
      </c>
      <c r="CC157" s="11" t="n">
        <f>IF(ISNUMBER(BP157),BP157,"")</f>
        <v>0.7800796503018808</v>
      </c>
      <c r="CD157" s="14" t="n">
        <f>IF(ISNUMBER(BT157),BT157,"")</f>
        <v>31</v>
      </c>
      <c r="CE157" s="13" t="n">
        <f>IF(AND(COUNT(BV157,CC157,CD157)=3,MIN(BV157,CC157,CD157)&gt;=0),BV157*CC157*CD157,"")</f>
        <v>4.360513846053726</v>
      </c>
      <c r="CF157" s="11" t="n">
        <f>IF(ISNUMBER(BQ157),BQ157,"")</f>
        <v>1.2908918272824135</v>
      </c>
      <c r="CG157" s="14" t="n">
        <f>IF(ISNUMBER(BU157),BU157,"")</f>
        <v>17</v>
      </c>
      <c r="CH157" s="13" t="n">
        <f>IF(AND(COUNT(BV157,CF157,CG157)=3,MIN(BV157,CF157,CG157)&gt;=0),BV157*CF157*CG157,"")</f>
        <v>3.957088833319234</v>
      </c>
      <c r="CI157" s="13" t="n">
        <f>IF(COUNT(BY157,CB157,CE157,CH157)=4,SUM(BY157,CB157,CE157,CH157),"")</f>
        <v>15.917102303582961</v>
      </c>
    </row>
    <row r="158" ht="72" customHeight="1">
      <c r="A158" s="16" t="str">
        <v>8392-ND-39</v>
      </c>
      <c r="B158" s="16" t="str">
        <v>3店-SANDIEX-US</v>
      </c>
      <c r="C158" s="16" t="str">
        <v>徐新怡</v>
      </c>
      <c r="D158" s="26" t="n">
        <f>IF(NOT(ISNUMBER(E158)),"",IF(OR(E158&lt;=0,L158=0),0,IF(OR(NOT(ISNUMBER(F158)),F158&lt;0),"",MIN(E158,INT(F158)))))</f>
        <v>6</v>
      </c>
      <c r="E158" s="27" t="n">
        <f>IF(OR(NOT(ISNUMBER(L158)),COUNT(M158:O158)&lt;&gt;3,MIN(M158:O158)&lt;0),"",ROUNDUP(ROUND(BI158-SUM(M158:O158),10),0))</f>
        <v>6</v>
      </c>
      <c r="F158" s="28" t="n">
        <v>15</v>
      </c>
      <c r="G158" s="28" t="n">
        <f>IF(AND(ISNUMBER(D158),ISNUMBER(E158)),IF(OR(E158&lt;=0,L158=0),0,E158-D158),"")</f>
        <v>0</v>
      </c>
      <c r="H158" s="16" t="str">
        <f>IF(NOT(ISNUMBER(E158)),"销量或海外库存待补",IF(OR(E158&lt;=0,L158=0),IF(L158=0,"零日销，本批不发","本批无需补货"),IF(NOT(ISNUMBER(D158)),"国内库存待补",IF(D158=0,"国内无可用库存",IF(G158&gt;0,"先发国内现货","按建议量发货")))))</f>
        <v>按建议量发货</v>
      </c>
      <c r="I158" s="28" t="n">
        <f>IF(AND(COUNT(Z158,AA158,AB158)=3,Z158&gt;=AA158,AA158&gt;=0,AB158=7),Z158-AA158,"")</f>
        <v>8</v>
      </c>
      <c r="J158" s="28" t="n">
        <f>IF(AND(COUNT(AF158,AG158,AH158)=3,AF158&gt;=AG158,AG158&gt;=0,AH158=14),AF158-AG158,"")</f>
        <v>9</v>
      </c>
      <c r="K158" s="28" t="n">
        <f>IF(AND(COUNT(AL158,AM158,AN158)=3,AL158&gt;=AM158,AM158&gt;=0,AN158=30),AL158-AM158,"")</f>
        <v>15</v>
      </c>
      <c r="L158" s="29" t="n">
        <f>IF(ISNUMBER(BI158),BI158/90,"")</f>
        <v>0.6975346799492985</v>
      </c>
      <c r="M158" s="28" t="n">
        <v>57</v>
      </c>
      <c r="N158" s="28" t="n">
        <v>0</v>
      </c>
      <c r="O158" s="28" t="n">
        <v>0</v>
      </c>
      <c r="P158" s="30" t="n">
        <f>IF(AND(ISNUMBER(L158),L158&gt;0,COUNT(M158:O158)=3,MIN(M158:O158)&gt;=0),SUM(M158:O158)/L158,"")</f>
        <v>81.71636714054581</v>
      </c>
      <c r="Q158" s="16" t="str">
        <v>按本SKU唯一未删除Listing店铺核实</v>
      </c>
      <c r="R158" s="16" t="str">
        <v>已匹配</v>
      </c>
      <c r="S158" s="16" t="str">
        <v>在售</v>
      </c>
      <c r="T158" s="16" t="str">
        <v>8392</v>
      </c>
      <c r="U158" s="16" t="str">
        <v>裸色</v>
      </c>
      <c r="V158" s="16" t="n">
        <v>8</v>
      </c>
      <c r="W158" s="8" t="str">
        <v>2026-10-11 至 2026-10-17</v>
      </c>
      <c r="X158" s="8" t="str">
        <v>2026-10-11、2026-10-12、2026-10-13、2026-10-14、2026-10-15、2026-10-16、2026-10-17</v>
      </c>
      <c r="Y158" s="8" t="str">
        <v>无</v>
      </c>
      <c r="Z158" s="8" t="n">
        <v>8</v>
      </c>
      <c r="AA158" s="8" t="n">
        <v>0</v>
      </c>
      <c r="AB158" s="8" t="n">
        <v>7</v>
      </c>
      <c r="AC158" s="8" t="str">
        <v>2026-10-02 至 2026-10-17</v>
      </c>
      <c r="AD158" s="8" t="str">
        <v>2026-10-02、2026-10-03、2026-10-04、2026-10-05、2026-10-08、2026-10-09、2026-10-10、2026-10-11、2026-10-12、2026-10-13、2026-10-14、2026-10-15、2026-10-16、2026-10-17</v>
      </c>
      <c r="AE158" s="8" t="str">
        <v>2026-10-06 大促；2026-10-07 大促</v>
      </c>
      <c r="AF158" s="8" t="n">
        <v>14</v>
      </c>
      <c r="AG158" s="8" t="n">
        <v>5</v>
      </c>
      <c r="AH158" s="8" t="n">
        <v>14</v>
      </c>
      <c r="AI158" s="8" t="str">
        <v>2026-09-16 至 2026-10-17</v>
      </c>
      <c r="AJ1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8" s="8" t="str">
        <v>2026-10-06 大促；2026-10-07 大促</v>
      </c>
      <c r="AL158" s="8" t="n">
        <v>20</v>
      </c>
      <c r="AM158" s="8" t="n">
        <v>5</v>
      </c>
      <c r="AN158" s="8" t="n">
        <v>30</v>
      </c>
      <c r="AO158" s="8" t="str">
        <v>8392 / 裸色羊京绒 / 6574</v>
      </c>
      <c r="AP158" s="11" t="n">
        <v>1.1743420411079069</v>
      </c>
      <c r="AQ158" s="11" t="n">
        <v>1.1743420411079069</v>
      </c>
      <c r="AR158" s="11" t="n">
        <v>1.144331424468921</v>
      </c>
      <c r="AS158" s="11" t="n">
        <f>IF(AND(COUNT(I158:K158,AP158:AR158)=6,MIN(AP158:AR158)&gt;0),I158/7/AP158*0.5+J158/14/AQ158*0.3+K158/30/AR158*0.2,"")</f>
        <v>0.738207634420537</v>
      </c>
      <c r="AT158" s="8" t="n">
        <v>34</v>
      </c>
      <c r="AU158" s="8" t="n">
        <v>5</v>
      </c>
      <c r="AV158" s="8" t="n">
        <v>88</v>
      </c>
      <c r="AW158" s="11" t="n">
        <f>IF(AND(COUNT(AT158:AV158)=3,AT158&gt;=AU158,AU158&gt;=0,AV158&gt;0),(AT158-AU158)/AV158,"")</f>
        <v>0.32954545454545453</v>
      </c>
      <c r="AX158" s="8" t="n">
        <v>70</v>
      </c>
      <c r="AY158" s="8" t="n">
        <v>5</v>
      </c>
      <c r="AZ158" s="8" t="n">
        <v>178</v>
      </c>
      <c r="BA158" s="11" t="n">
        <f>IF(AND(COUNT(AX158:AZ158)=3,AX158&gt;=AY158,AY158&gt;=0,AZ158&gt;0),(AX158-AY158)/AZ158,"")</f>
        <v>0.3651685393258427</v>
      </c>
      <c r="BB158" s="8" t="n">
        <f>IF(COUNT(AS158,AW158,BA158)=3,1,0)</f>
        <v>1</v>
      </c>
      <c r="BC158" s="11" t="n">
        <f>IF(SUMIF($AO$11:$AO$1309,AO158,$BB$11:$BB$1309)=COUNTIF($AO$11:$AO$1309,AO158),SUMIF($AO$11:$AO$1309,AO158,$AS$11:$AS$1309),"")</f>
        <v>2.532116178578144</v>
      </c>
      <c r="BD158" s="11" t="n">
        <f>IF(SUMIF($AO$11:$AO$1309,AO158,$BB$11:$BB$1309)=COUNTIF($AO$11:$AO$1309,AO158),SUMIF($AO$11:$AO$1309,AO158,$AW$11:$AW$1309),"")</f>
        <v>1.3068181818181819</v>
      </c>
      <c r="BE158" s="11" t="n">
        <f>IF(SUMIF($AO$11:$AO$1309,AO158,$BB$11:$BB$1309)=COUNTIF($AO$11:$AO$1309,AO158),SUMIF($AO$11:$AO$1309,AO158,$BA$11:$BA$1309),"")</f>
        <v>1.3707865168539328</v>
      </c>
      <c r="BF158" s="12" t="n">
        <f>IF(COUNT(BD158:BE158)&lt;&gt;2,"",IF(AND(BD158&gt;0,BE158&gt;0),0.7*AW158/BD158+0.3*BA158/BE158,IF(BD158&gt;0,AW158/BD158,IF(BE158&gt;0,BA158/BE158,IF(AND(ISNUMBER(BH158),BH158=0),0,"")))))</f>
        <v>0.25643977191732</v>
      </c>
      <c r="BG158" s="11" t="n">
        <f>IF(AND(COUNT(BN158:BU158)=8,MIN(BN158:BU158)&gt;=0),SUMPRODUCT(BN158:BQ158,BR158:BU158),"")</f>
        <v>96.68059267618935</v>
      </c>
      <c r="BH158" s="11" t="n">
        <f>IF(COUNT(BC158,BG158)=2,BC158*BG158,"")</f>
        <v>244.80649286990268</v>
      </c>
      <c r="BI158" s="11" t="n">
        <f>IF(ISNUMBER(CI158),CI158,"")</f>
        <v>62.77812119543687</v>
      </c>
      <c r="BJ158" s="8" t="str"/>
      <c r="BK158" s="8" t="str">
        <v>90天：2026-07-20 至 2026-10-17；180天：2026-04-21 至 2026-10-17</v>
      </c>
      <c r="BL158" s="8" t="str">
        <v>90天：2026-10-06、2026-10-07；180天：2026-10-06、2026-10-07</v>
      </c>
      <c r="BM158" s="8" t="str">
        <v>2026-10：12天 × 1.1743420411079069；2026-11：30天 × 1.281694931279211；2026-12：31天 × 0.9007634642750235；2027-01：17天 × 0.9537631089407297</v>
      </c>
      <c r="BN158" s="11" t="n">
        <v>1.1743420411079069</v>
      </c>
      <c r="BO158" s="11" t="n">
        <v>1.281694931279211</v>
      </c>
      <c r="BP158" s="11" t="n">
        <v>0.9007634642750235</v>
      </c>
      <c r="BQ158" s="11" t="n">
        <v>0.9537631089407297</v>
      </c>
      <c r="BR158" s="8" t="n">
        <v>12</v>
      </c>
      <c r="BS158" s="8" t="n">
        <v>30</v>
      </c>
      <c r="BT158" s="8" t="n">
        <v>31</v>
      </c>
      <c r="BU158" s="8" t="n">
        <v>17</v>
      </c>
      <c r="BV158" s="11" t="n">
        <f>IF(COUNT(BC158,BF158)=2,BC158*BF158,"")</f>
        <v>0.6493352953027351</v>
      </c>
      <c r="BW158" s="11" t="n">
        <f>IF(ISNUMBER(BN158),BN158,"")</f>
        <v>1.1743420411079069</v>
      </c>
      <c r="BX158" s="14" t="n">
        <f>IF(ISNUMBER(BR158),BR158,"")</f>
        <v>12</v>
      </c>
      <c r="BY158" s="13" t="n">
        <f>IF(AND(COUNT(BV158,BW158,BX158)=3,MIN(BV158,BW158,BX158)&gt;=0),BV158*BW158*BX158,"")</f>
        <v>9.150500832590634</v>
      </c>
      <c r="BZ158" s="11" t="n">
        <f>IF(ISNUMBER(BO158),BO158,"")</f>
        <v>1.281694931279211</v>
      </c>
      <c r="CA158" s="14" t="n">
        <f>IF(ISNUMBER(BS158),BS158,"")</f>
        <v>30</v>
      </c>
      <c r="CB158" s="13" t="n">
        <f>IF(AND(COUNT(BV158,BZ158,CA158)=3,MIN(BV158,BZ158,CA158)&gt;=0),BV158*BZ158*CA158,"")</f>
        <v>24.96749270070616</v>
      </c>
      <c r="CC158" s="11" t="n">
        <f>IF(ISNUMBER(BP158),BP158,"")</f>
        <v>0.9007634642750235</v>
      </c>
      <c r="CD158" s="14" t="n">
        <f>IF(ISNUMBER(BT158),BT158,"")</f>
        <v>31</v>
      </c>
      <c r="CE158" s="13" t="n">
        <f>IF(AND(COUNT(BV158,CC158,CD158)=3,MIN(BV158,CC158,CD158)&gt;=0),BV158*CC158*CD158,"")</f>
        <v>18.13182281226105</v>
      </c>
      <c r="CF158" s="11" t="n">
        <f>IF(ISNUMBER(BQ158),BQ158,"")</f>
        <v>0.9537631089407297</v>
      </c>
      <c r="CG158" s="14" t="n">
        <f>IF(ISNUMBER(BU158),BU158,"")</f>
        <v>17</v>
      </c>
      <c r="CH158" s="13" t="n">
        <f>IF(AND(COUNT(BV158,CF158,CG158)=3,MIN(BV158,CF158,CG158)&gt;=0),BV158*CF158*CG158,"")</f>
        <v>10.528304849879019</v>
      </c>
      <c r="CI158" s="13" t="n">
        <f>IF(COUNT(BY158,CB158,CE158,CH158)=4,SUM(BY158,CB158,CE158,CH158),"")</f>
        <v>62.77812119543687</v>
      </c>
    </row>
    <row r="159" ht="72" customHeight="1">
      <c r="A159" s="16" t="str">
        <v>B07-LP1-41-by</v>
      </c>
      <c r="B159" s="16" t="str">
        <v>4店-彬郁-US</v>
      </c>
      <c r="C159" s="16" t="str">
        <v>艾年</v>
      </c>
      <c r="D159" s="26" t="n">
        <f>IF(NOT(ISNUMBER(E159)),"",IF(OR(E159&lt;=0,L159=0),0,IF(OR(NOT(ISNUMBER(F159)),F159&lt;0),"",MIN(E159,INT(F159)))))</f>
        <v>6</v>
      </c>
      <c r="E159" s="27" t="n">
        <f>IF(OR(NOT(ISNUMBER(L159)),COUNT(M159:O159)&lt;&gt;3,MIN(M159:O159)&lt;0),"",ROUNDUP(ROUND(BI159-SUM(M159:O159),10),0))</f>
        <v>6</v>
      </c>
      <c r="F159" s="28" t="n">
        <v>16</v>
      </c>
      <c r="G159" s="28" t="n">
        <f>IF(AND(ISNUMBER(D159),ISNUMBER(E159)),IF(OR(E159&lt;=0,L159=0),0,E159-D159),"")</f>
        <v>0</v>
      </c>
      <c r="H159" s="16" t="str">
        <f>IF(NOT(ISNUMBER(E159)),"销量或海外库存待补",IF(OR(E159&lt;=0,L159=0),IF(L159=0,"零日销，本批不发","本批无需补货"),IF(NOT(ISNUMBER(D159)),"国内库存待补",IF(D159=0,"国内无可用库存",IF(G159&gt;0,"先发国内现货","按建议量发货")))))</f>
        <v>按建议量发货</v>
      </c>
      <c r="I159" s="28" t="n">
        <f>IF(AND(COUNT(Z159,AA159,AB159)=3,Z159&gt;=AA159,AA159&gt;=0,AB159=7),Z159-AA159,"")</f>
        <v>6</v>
      </c>
      <c r="J159" s="28" t="n">
        <f>IF(AND(COUNT(AF159,AG159,AH159)=3,AF159&gt;=AG159,AG159&gt;=0,AH159=14),AF159-AG159,"")</f>
        <v>11</v>
      </c>
      <c r="K159" s="28" t="n">
        <f>IF(AND(COUNT(AL159,AM159,AN159)=3,AL159&gt;=AM159,AM159&gt;=0,AN159=30),AL159-AM159,"")</f>
        <v>15</v>
      </c>
      <c r="L159" s="29" t="n">
        <f>IF(ISNUMBER(BI159),BI159/90,"")</f>
        <v>0.32039743723218733</v>
      </c>
      <c r="M159" s="28" t="n">
        <v>3</v>
      </c>
      <c r="N159" s="28" t="n">
        <v>0</v>
      </c>
      <c r="O159" s="28" t="n">
        <v>20</v>
      </c>
      <c r="P159" s="30" t="n">
        <f>IF(AND(ISNUMBER(L159),L159&gt;0,COUNT(M159:O159)=3,MIN(M159:O159)&gt;=0),SUM(M159:O159)/L159,"")</f>
        <v>71.78584260439087</v>
      </c>
      <c r="Q159" s="16" t="str">
        <v>沿用原计划SKU店铺</v>
      </c>
      <c r="R159" s="16" t="str">
        <v>已匹配</v>
      </c>
      <c r="S159" s="16" t="str">
        <v>在售</v>
      </c>
      <c r="T159" s="16" t="str">
        <v>B07</v>
      </c>
      <c r="U159" s="16" t="str">
        <v>豹纹羊京绒</v>
      </c>
      <c r="V159" s="16" t="n">
        <v>10</v>
      </c>
      <c r="W159" s="8" t="str">
        <v>2026-10-11 至 2026-10-17</v>
      </c>
      <c r="X159" s="8" t="str">
        <v>2026-10-11、2026-10-12、2026-10-13、2026-10-14、2026-10-15、2026-10-16、2026-10-17</v>
      </c>
      <c r="Y159" s="8" t="str">
        <v>无</v>
      </c>
      <c r="Z159" s="8" t="n">
        <v>6</v>
      </c>
      <c r="AA159" s="8" t="n">
        <v>0</v>
      </c>
      <c r="AB159" s="8" t="n">
        <v>7</v>
      </c>
      <c r="AC159" s="8" t="str">
        <v>2026-10-02 至 2026-10-17</v>
      </c>
      <c r="AD159" s="8" t="str">
        <v>2026-10-02、2026-10-03、2026-10-04、2026-10-05、2026-10-08、2026-10-09、2026-10-10、2026-10-11、2026-10-12、2026-10-13、2026-10-14、2026-10-15、2026-10-16、2026-10-17</v>
      </c>
      <c r="AE159" s="8" t="str">
        <v>2026-10-06 大促；2026-10-07 大促</v>
      </c>
      <c r="AF159" s="8" t="n">
        <v>14</v>
      </c>
      <c r="AG159" s="8" t="n">
        <v>3</v>
      </c>
      <c r="AH159" s="8" t="n">
        <v>14</v>
      </c>
      <c r="AI159" s="8" t="str">
        <v>2026-09-16 至 2026-10-17</v>
      </c>
      <c r="AJ1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59" s="8" t="str">
        <v>2026-10-06 大促；2026-10-07 大促</v>
      </c>
      <c r="AL159" s="8" t="n">
        <v>18</v>
      </c>
      <c r="AM159" s="8" t="n">
        <v>3</v>
      </c>
      <c r="AN159" s="8" t="n">
        <v>30</v>
      </c>
      <c r="AO159" s="8" t="str">
        <v>B07 / 豹纹羊京绒 / 13306</v>
      </c>
      <c r="AP159" s="11" t="n">
        <v>0.7307750238224848</v>
      </c>
      <c r="AQ159" s="11" t="n">
        <v>0.7307750238224848</v>
      </c>
      <c r="AR159" s="11" t="n">
        <v>0.7449809054134506</v>
      </c>
      <c r="AS159" s="11" t="n">
        <f>IF(AND(COUNT(I159:K159,AP159:AR159)=6,MIN(AP159:AR159)&gt;0),I159/7/AP159*0.5+J159/14/AQ159*0.3+K159/30/AR159*0.2,"")</f>
        <v>1.0432469786395548</v>
      </c>
      <c r="AT159" s="8" t="n">
        <v>27</v>
      </c>
      <c r="AU159" s="8" t="n">
        <v>3</v>
      </c>
      <c r="AV159" s="8" t="n">
        <v>88</v>
      </c>
      <c r="AW159" s="11" t="n">
        <f>IF(AND(COUNT(AT159:AV159)=3,AT159&gt;=AU159,AU159&gt;=0,AV159&gt;0),(AT159-AU159)/AV159,"")</f>
        <v>0.2727272727272727</v>
      </c>
      <c r="AX159" s="8" t="n">
        <v>28</v>
      </c>
      <c r="AY159" s="8" t="n">
        <v>3</v>
      </c>
      <c r="AZ159" s="8" t="n">
        <v>178</v>
      </c>
      <c r="BA159" s="11" t="n">
        <f>IF(AND(COUNT(AX159:AZ159)=3,AX159&gt;=AY159,AY159&gt;=0,AZ159&gt;0),(AX159-AY159)/AZ159,"")</f>
        <v>0.1404494382022472</v>
      </c>
      <c r="BB159" s="8" t="n">
        <f>IF(COUNT(AS159,AW159,BA159)=3,1,0)</f>
        <v>1</v>
      </c>
      <c r="BC159" s="11" t="n">
        <f>IF(SUMIF($AO$11:$AO$1309,AO159,$BB$11:$BB$1309)=COUNTIF($AO$11:$AO$1309,AO159),SUMIF($AO$11:$AO$1309,AO159,$AS$11:$AS$1309),"")</f>
        <v>6.767888169262786</v>
      </c>
      <c r="BD159" s="11" t="n">
        <f>IF(SUMIF($AO$11:$AO$1309,AO159,$BB$11:$BB$1309)=COUNTIF($AO$11:$AO$1309,AO159),SUMIF($AO$11:$AO$1309,AO159,$AW$11:$AW$1309),"")</f>
        <v>4.467607105538139</v>
      </c>
      <c r="BE159" s="11" t="n">
        <f>IF(SUMIF($AO$11:$AO$1309,AO159,$BB$11:$BB$1309)=COUNTIF($AO$11:$AO$1309,AO159),SUMIF($AO$11:$AO$1309,AO159,$BA$11:$BA$1309),"")</f>
        <v>3.6192153875452298</v>
      </c>
      <c r="BF159" s="12" t="n">
        <f>IF(COUNT(BD159:BE159)&lt;&gt;2,"",IF(AND(BD159&gt;0,BE159&gt;0),0.7*AW159/BD159+0.3*BA159/BE159,IF(BD159&gt;0,AW159/BD159,IF(BE159&gt;0,BA159/BE159,IF(AND(ISNUMBER(BH159),BH159=0),0,"")))))</f>
        <v>0.05437382375990885</v>
      </c>
      <c r="BG159" s="11" t="n">
        <f>IF(AND(COUNT(BN159:BU159)=8,MIN(BN159:BU159)&gt;=0),SUMPRODUCT(BN159:BQ159,BR159:BU159),"")</f>
        <v>78.35892944347341</v>
      </c>
      <c r="BH159" s="11" t="n">
        <f>IF(COUNT(BC159,BG159)=2,BC159*BG159,"")</f>
        <v>530.3244715365811</v>
      </c>
      <c r="BI159" s="11" t="n">
        <f>IF(ISNUMBER(CI159),CI159,"")</f>
        <v>28.83576935089686</v>
      </c>
      <c r="BJ159" s="8" t="str"/>
      <c r="BK159" s="8" t="str">
        <v>90天：2026-07-20 至 2026-10-17；180天：2026-04-21 至 2026-10-17</v>
      </c>
      <c r="BL159" s="8" t="str">
        <v>90天：2026-10-06、2026-10-07；180天：2026-10-06、2026-10-07</v>
      </c>
      <c r="BM159" s="8" t="str">
        <v>2026-10：12天 × 0.7307750238224848；2026-11：30天 × 0.9523018155490097；2026-12：31天 × 0.5958545198749097；2027-01：17天 × 1.3264167397065354</v>
      </c>
      <c r="BN159" s="11" t="n">
        <v>0.7307750238224848</v>
      </c>
      <c r="BO159" s="11" t="n">
        <v>0.9523018155490097</v>
      </c>
      <c r="BP159" s="11" t="n">
        <v>0.5958545198749097</v>
      </c>
      <c r="BQ159" s="11" t="n">
        <v>1.3264167397065354</v>
      </c>
      <c r="BR159" s="8" t="n">
        <v>12</v>
      </c>
      <c r="BS159" s="8" t="n">
        <v>30</v>
      </c>
      <c r="BT159" s="8" t="n">
        <v>31</v>
      </c>
      <c r="BU159" s="8" t="n">
        <v>17</v>
      </c>
      <c r="BV159" s="11" t="n">
        <f>IF(COUNT(BC159,BF159)=2,BC159*BF159,"")</f>
        <v>0.3679959585422669</v>
      </c>
      <c r="BW159" s="11" t="n">
        <f>IF(ISNUMBER(BN159),BN159,"")</f>
        <v>0.7307750238224848</v>
      </c>
      <c r="BX159" s="14" t="n">
        <f>IF(ISNUMBER(BR159),BR159,"")</f>
        <v>12</v>
      </c>
      <c r="BY159" s="13" t="n">
        <f>IF(AND(COUNT(BV159,BW159,BX159)=3,MIN(BV159,BW159,BX159)&gt;=0),BV159*BW159*BX159,"")</f>
        <v>3.2270670644436388</v>
      </c>
      <c r="BZ159" s="11" t="n">
        <f>IF(ISNUMBER(BO159),BO159,"")</f>
        <v>0.9523018155490097</v>
      </c>
      <c r="CA159" s="14" t="n">
        <f>IF(ISNUMBER(BS159),BS159,"")</f>
        <v>30</v>
      </c>
      <c r="CB159" s="13" t="n">
        <f>IF(AND(COUNT(BV159,BZ159,CA159)=3,MIN(BV159,BZ159,CA159)&gt;=0),BV159*BZ159*CA159,"")</f>
        <v>10.513296583034967</v>
      </c>
      <c r="CC159" s="11" t="n">
        <f>IF(ISNUMBER(BP159),BP159,"")</f>
        <v>0.5958545198749097</v>
      </c>
      <c r="CD159" s="14" t="n">
        <f>IF(ISNUMBER(BT159),BT159,"")</f>
        <v>31</v>
      </c>
      <c r="CE159" s="13" t="n">
        <f>IF(AND(COUNT(BV159,CC159,CD159)=3,MIN(BV159,CC159,CD159)&gt;=0),BV159*CC159*CD159,"")</f>
        <v>6.797433710986398</v>
      </c>
      <c r="CF159" s="11" t="n">
        <f>IF(ISNUMBER(BQ159),BQ159,"")</f>
        <v>1.3264167397065354</v>
      </c>
      <c r="CG159" s="14" t="n">
        <f>IF(ISNUMBER(BU159),BU159,"")</f>
        <v>17</v>
      </c>
      <c r="CH159" s="13" t="n">
        <f>IF(AND(COUNT(BV159,CF159,CG159)=3,MIN(BV159,CF159,CG159)&gt;=0),BV159*CF159*CG159,"")</f>
        <v>8.297971992431856</v>
      </c>
      <c r="CI159" s="13" t="n">
        <f>IF(COUNT(BY159,CB159,CE159,CH159)=4,SUM(BY159,CB159,CE159,CH159),"")</f>
        <v>28.83576935089686</v>
      </c>
    </row>
    <row r="160" ht="72" customHeight="1">
      <c r="A160" s="16" t="str">
        <v>S02a-TN1-40</v>
      </c>
      <c r="B160" s="16" t="str">
        <v>3店-SANDIEX-US</v>
      </c>
      <c r="C160" s="16" t="str">
        <v>陈晨</v>
      </c>
      <c r="D160" s="26" t="n">
        <f>IF(NOT(ISNUMBER(E160)),"",IF(OR(E160&lt;=0,L160=0),0,IF(OR(NOT(ISNUMBER(F160)),F160&lt;0),"",MIN(E160,INT(F160)))))</f>
        <v>6</v>
      </c>
      <c r="E160" s="27" t="n">
        <f>IF(OR(NOT(ISNUMBER(L160)),COUNT(M160:O160)&lt;&gt;3,MIN(M160:O160)&lt;0),"",ROUNDUP(ROUND(BI160-SUM(M160:O160),10),0))</f>
        <v>6</v>
      </c>
      <c r="F160" s="28" t="n">
        <v>72</v>
      </c>
      <c r="G160" s="28" t="n">
        <f>IF(AND(ISNUMBER(D160),ISNUMBER(E160)),IF(OR(E160&lt;=0,L160=0),0,E160-D160),"")</f>
        <v>0</v>
      </c>
      <c r="H160" s="16" t="str">
        <f>IF(NOT(ISNUMBER(E160)),"销量或海外库存待补",IF(OR(E160&lt;=0,L160=0),IF(L160=0,"零日销，本批不发","本批无需补货"),IF(NOT(ISNUMBER(D160)),"国内库存待补",IF(D160=0,"国内无可用库存",IF(G160&gt;0,"先发国内现货","按建议量发货")))))</f>
        <v>按建议量发货</v>
      </c>
      <c r="I160" s="28" t="n">
        <f>IF(AND(COUNT(Z160,AA160,AB160)=3,Z160&gt;=AA160,AA160&gt;=0,AB160=7),Z160-AA160,"")</f>
        <v>3</v>
      </c>
      <c r="J160" s="28" t="n">
        <f>IF(AND(COUNT(AF160,AG160,AH160)=3,AF160&gt;=AG160,AG160&gt;=0,AH160=14),AF160-AG160,"")</f>
        <v>4</v>
      </c>
      <c r="K160" s="28" t="n">
        <f>IF(AND(COUNT(AL160,AM160,AN160)=3,AL160&gt;=AM160,AM160&gt;=0,AN160=30),AL160-AM160,"")</f>
        <v>5</v>
      </c>
      <c r="L160" s="29" t="n">
        <f>IF(ISNUMBER(BI160),BI160/90,"")</f>
        <v>0.161281775035757</v>
      </c>
      <c r="M160" s="28" t="n">
        <v>9</v>
      </c>
      <c r="N160" s="28" t="n">
        <v>0</v>
      </c>
      <c r="O160" s="28" t="n">
        <v>0</v>
      </c>
      <c r="P160" s="30" t="n">
        <f>IF(AND(ISNUMBER(L160),L160&gt;0,COUNT(M160:O160)=3,MIN(M160:O160)&gt;=0),SUM(M160:O160)/L160,"")</f>
        <v>55.80295726534913</v>
      </c>
      <c r="Q160" s="16" t="str">
        <v>沿用同SPU原计划店铺</v>
      </c>
      <c r="R160" s="16" t="str">
        <v>已匹配</v>
      </c>
      <c r="S160" s="16" t="str">
        <v>在售</v>
      </c>
      <c r="T160" s="16" t="str">
        <v>S02a</v>
      </c>
      <c r="U160" s="16" t="str">
        <v>驼色</v>
      </c>
      <c r="V160" s="16" t="n">
        <v>8.5</v>
      </c>
      <c r="W160" s="8" t="str">
        <v>2026-10-11 至 2026-10-17</v>
      </c>
      <c r="X160" s="8" t="str">
        <v>2026-10-11、2026-10-12、2026-10-13、2026-10-14、2026-10-15、2026-10-16、2026-10-17</v>
      </c>
      <c r="Y160" s="8" t="str">
        <v>无</v>
      </c>
      <c r="Z160" s="8" t="n">
        <v>3</v>
      </c>
      <c r="AA160" s="8" t="n">
        <v>0</v>
      </c>
      <c r="AB160" s="8" t="n">
        <v>7</v>
      </c>
      <c r="AC160" s="8" t="str">
        <v>2026-10-02 至 2026-10-17</v>
      </c>
      <c r="AD160" s="8" t="str">
        <v>2026-10-02、2026-10-03、2026-10-04、2026-10-05、2026-10-08、2026-10-09、2026-10-10、2026-10-11、2026-10-12、2026-10-13、2026-10-14、2026-10-15、2026-10-16、2026-10-17</v>
      </c>
      <c r="AE160" s="8" t="str">
        <v>2026-10-06 大促；2026-10-07 大促</v>
      </c>
      <c r="AF160" s="8" t="n">
        <v>6</v>
      </c>
      <c r="AG160" s="8" t="n">
        <v>2</v>
      </c>
      <c r="AH160" s="8" t="n">
        <v>14</v>
      </c>
      <c r="AI160" s="8" t="str">
        <v>2026-09-16 至 2026-10-17</v>
      </c>
      <c r="AJ1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0" s="8" t="str">
        <v>2026-10-06 大促；2026-10-07 大促</v>
      </c>
      <c r="AL160" s="8" t="n">
        <v>7</v>
      </c>
      <c r="AM160" s="8" t="n">
        <v>2</v>
      </c>
      <c r="AN160" s="8" t="n">
        <v>30</v>
      </c>
      <c r="AO160" s="8" t="str">
        <v>S02a / 驼色 / 6574</v>
      </c>
      <c r="AP160" s="11" t="n">
        <v>0.7647664488148722</v>
      </c>
      <c r="AQ160" s="11" t="n">
        <v>0.7647664488148722</v>
      </c>
      <c r="AR160" s="11" t="n">
        <v>0.8066052567225582</v>
      </c>
      <c r="AS160" s="11" t="n">
        <f>IF(AND(COUNT(I160:K160,AP160:AR160)=6,MIN(AP160:AR160)&gt;0),I160/7/AP160*0.5+J160/14/AQ160*0.3+K160/30/AR160*0.2,"")</f>
        <v>0.4336020831737766</v>
      </c>
      <c r="AT160" s="8" t="n">
        <v>7</v>
      </c>
      <c r="AU160" s="8" t="n">
        <v>2</v>
      </c>
      <c r="AV160" s="8" t="n">
        <v>88</v>
      </c>
      <c r="AW160" s="11" t="n">
        <f>IF(AND(COUNT(AT160:AV160)=3,AT160&gt;=AU160,AU160&gt;=0,AV160&gt;0),(AT160-AU160)/AV160,"")</f>
        <v>0.056818181818181816</v>
      </c>
      <c r="AX160" s="8" t="n">
        <v>9</v>
      </c>
      <c r="AY160" s="8" t="n">
        <v>2</v>
      </c>
      <c r="AZ160" s="8" t="n">
        <v>178</v>
      </c>
      <c r="BA160" s="11" t="n">
        <f>IF(AND(COUNT(AX160:AZ160)=3,AX160&gt;=AY160,AY160&gt;=0,AZ160&gt;0),(AX160-AY160)/AZ160,"")</f>
        <v>0.03932584269662921</v>
      </c>
      <c r="BB160" s="8" t="n">
        <f>IF(COUNT(AS160,AW160,BA160)=3,1,0)</f>
        <v>1</v>
      </c>
      <c r="BC160" s="11" t="n">
        <f>IF(SUMIF($AO$11:$AO$1309,AO160,$BB$11:$BB$1309)=COUNTIF($AO$11:$AO$1309,AO160),SUMIF($AO$11:$AO$1309,AO160,$AS$11:$AS$1309),"")</f>
        <v>4.646128546626029</v>
      </c>
      <c r="BD160" s="11" t="n">
        <f>IF(SUMIF($AO$11:$AO$1309,AO160,$BB$11:$BB$1309)=COUNTIF($AO$11:$AO$1309,AO160),SUMIF($AO$11:$AO$1309,AO160,$AW$11:$AW$1309),"")</f>
        <v>1.9772727272727275</v>
      </c>
      <c r="BE160" s="11" t="n">
        <f>IF(SUMIF($AO$11:$AO$1309,AO160,$BB$11:$BB$1309)=COUNTIF($AO$11:$AO$1309,AO160),SUMIF($AO$11:$AO$1309,AO160,$BA$11:$BA$1309),"")</f>
        <v>1.6629213483146066</v>
      </c>
      <c r="BF160" s="12" t="n">
        <f>IF(COUNT(BD160:BE160)&lt;&gt;2,"",IF(AND(BD160&gt;0,BE160&gt;0),0.7*AW160/BD160+0.3*BA160/BE160,IF(BD160&gt;0,AW160/BD160,IF(BE160&gt;0,BA160/BE160,IF(AND(ISNUMBER(BH160),BH160=0),0,"")))))</f>
        <v>0.027209537123330223</v>
      </c>
      <c r="BG160" s="11" t="n">
        <f>IF(AND(COUNT(BN160:BU160)=8,MIN(BN160:BU160)&gt;=0),SUMPRODUCT(BN160:BQ160,BR160:BU160),"")</f>
        <v>114.81944114457707</v>
      </c>
      <c r="BH160" s="11" t="n">
        <f>IF(COUNT(BC160,BG160)=2,BC160*BG160,"")</f>
        <v>533.4658832094667</v>
      </c>
      <c r="BI160" s="11" t="n">
        <f>IF(ISNUMBER(CI160),CI160,"")</f>
        <v>14.51535975321813</v>
      </c>
      <c r="BJ160" s="8" t="str"/>
      <c r="BK160" s="8" t="str">
        <v>90天：2026-07-20 至 2026-10-17；180天：2026-04-21 至 2026-10-17</v>
      </c>
      <c r="BL160" s="8" t="str">
        <v>90天：2026-10-06、2026-10-07；180天：2026-10-06、2026-10-07</v>
      </c>
      <c r="BM160" s="8" t="str">
        <v>2026-10：12天 × 0.7647664488148722；2026-11：30天 × 1.5248287781391903；2026-12：31天 × 1.2288250057360348；2027-01：17天 × 1.2825767786356366</v>
      </c>
      <c r="BN160" s="11" t="n">
        <v>0.7647664488148722</v>
      </c>
      <c r="BO160" s="11" t="n">
        <v>1.5248287781391903</v>
      </c>
      <c r="BP160" s="11" t="n">
        <v>1.2288250057360348</v>
      </c>
      <c r="BQ160" s="11" t="n">
        <v>1.2825767786356366</v>
      </c>
      <c r="BR160" s="8" t="n">
        <v>12</v>
      </c>
      <c r="BS160" s="8" t="n">
        <v>30</v>
      </c>
      <c r="BT160" s="8" t="n">
        <v>31</v>
      </c>
      <c r="BU160" s="8" t="n">
        <v>17</v>
      </c>
      <c r="BV160" s="11" t="n">
        <f>IF(COUNT(BC160,BF160)=2,BC160*BF160,"")</f>
        <v>0.12641900716918522</v>
      </c>
      <c r="BW160" s="11" t="n">
        <f>IF(ISNUMBER(BN160),BN160,"")</f>
        <v>0.7647664488148722</v>
      </c>
      <c r="BX160" s="14" t="n">
        <f>IF(ISNUMBER(BR160),BR160,"")</f>
        <v>12</v>
      </c>
      <c r="BY160" s="13" t="n">
        <f>IF(AND(COUNT(BV160,BW160,BX160)=3,MIN(BV160,BW160,BX160)&gt;=0),BV160*BW160*BX160,"")</f>
        <v>1.1601721821057558</v>
      </c>
      <c r="BZ160" s="11" t="n">
        <f>IF(ISNUMBER(BO160),BO160,"")</f>
        <v>1.5248287781391903</v>
      </c>
      <c r="CA160" s="14" t="n">
        <f>IF(ISNUMBER(BS160),BS160,"")</f>
        <v>30</v>
      </c>
      <c r="CB160" s="13" t="n">
        <f>IF(AND(COUNT(BV160,BZ160,CA160)=3,MIN(BV160,BZ160,CA160)&gt;=0),BV160*BZ160*CA160,"")</f>
        <v>5.783020207060748</v>
      </c>
      <c r="CC160" s="11" t="n">
        <f>IF(ISNUMBER(BP160),BP160,"")</f>
        <v>1.2288250057360348</v>
      </c>
      <c r="CD160" s="14" t="n">
        <f>IF(ISNUMBER(BT160),BT160,"")</f>
        <v>31</v>
      </c>
      <c r="CE160" s="13" t="n">
        <f>IF(AND(COUNT(BV160,CC160,CD160)=3,MIN(BV160,CC160,CD160)&gt;=0),BV160*CC160*CD160,"")</f>
        <v>4.815751953504353</v>
      </c>
      <c r="CF160" s="11" t="n">
        <f>IF(ISNUMBER(BQ160),BQ160,"")</f>
        <v>1.2825767786356366</v>
      </c>
      <c r="CG160" s="14" t="n">
        <f>IF(ISNUMBER(BU160),BU160,"")</f>
        <v>17</v>
      </c>
      <c r="CH160" s="13" t="n">
        <f>IF(AND(COUNT(BV160,CF160,CG160)=3,MIN(BV160,CF160,CG160)&gt;=0),BV160*CF160*CG160,"")</f>
        <v>2.756415410547273</v>
      </c>
      <c r="CI160" s="13" t="n">
        <f>IF(COUNT(BY160,CB160,CE160,CH160)=4,SUM(BY160,CB160,CE160,CH160),"")</f>
        <v>14.51535975321813</v>
      </c>
    </row>
    <row r="161" ht="72" customHeight="1">
      <c r="A161" s="16" t="str">
        <v>B06-BK-39-NEW</v>
      </c>
      <c r="B161" s="16" t="str">
        <v>1店-MUSSHOE-US</v>
      </c>
      <c r="C161" s="16" t="str">
        <v>艾年</v>
      </c>
      <c r="D161" s="26" t="n">
        <f>IF(NOT(ISNUMBER(E161)),"",IF(OR(E161&lt;=0,L161=0),0,IF(OR(NOT(ISNUMBER(F161)),F161&lt;0),"",MIN(E161,INT(F161)))))</f>
        <v>5</v>
      </c>
      <c r="E161" s="27" t="n">
        <f>IF(OR(NOT(ISNUMBER(L161)),COUNT(M161:O161)&lt;&gt;3,MIN(M161:O161)&lt;0),"",ROUNDUP(ROUND(BI161-SUM(M161:O161),10),0))</f>
        <v>31</v>
      </c>
      <c r="F161" s="28" t="n">
        <v>5</v>
      </c>
      <c r="G161" s="28" t="n">
        <f>IF(AND(ISNUMBER(D161),ISNUMBER(E161)),IF(OR(E161&lt;=0,L161=0),0,E161-D161),"")</f>
        <v>26</v>
      </c>
      <c r="H161" s="16" t="str">
        <f>IF(NOT(ISNUMBER(E161)),"销量或海外库存待补",IF(OR(E161&lt;=0,L161=0),IF(L161=0,"零日销，本批不发","本批无需补货"),IF(NOT(ISNUMBER(D161)),"国内库存待补",IF(D161=0,"国内无可用库存",IF(G161&gt;0,"先发国内现货","按建议量发货")))))</f>
        <v>先发国内现货</v>
      </c>
      <c r="I161" s="28" t="n">
        <f>IF(AND(COUNT(Z161,AA161,AB161)=3,Z161&gt;=AA161,AA161&gt;=0,AB161=7),Z161-AA161,"")</f>
        <v>19</v>
      </c>
      <c r="J161" s="28" t="n">
        <f>IF(AND(COUNT(AF161,AG161,AH161)=3,AF161&gt;=AG161,AG161&gt;=0,AH161=14),AF161-AG161,"")</f>
        <v>29</v>
      </c>
      <c r="K161" s="28" t="n">
        <f>IF(AND(COUNT(AL161,AM161,AN161)=3,AL161&gt;=AM161,AM161&gt;=0,AN161=30),AL161-AM161,"")</f>
        <v>68</v>
      </c>
      <c r="L161" s="29" t="n">
        <f>IF(ISNUMBER(BI161),BI161/90,"")</f>
        <v>1.6088272228694183</v>
      </c>
      <c r="M161" s="28" t="n">
        <v>54</v>
      </c>
      <c r="N161" s="28" t="n">
        <v>0</v>
      </c>
      <c r="O161" s="28" t="n">
        <v>60</v>
      </c>
      <c r="P161" s="30" t="n">
        <f>IF(AND(ISNUMBER(L161),L161&gt;0,COUNT(M161:O161)=3,MIN(M161:O161)&gt;=0),SUM(M161:O161)/L161,"")</f>
        <v>70.8590695007483</v>
      </c>
      <c r="Q161" s="16" t="str">
        <v>沿用原计划SKU店铺</v>
      </c>
      <c r="R161" s="16" t="str">
        <v>已匹配</v>
      </c>
      <c r="S161" s="16" t="str">
        <v>在售</v>
      </c>
      <c r="T161" s="16" t="str">
        <v>B06</v>
      </c>
      <c r="U161" s="16" t="str">
        <v>黑色羊京绒</v>
      </c>
      <c r="V161" s="16" t="n">
        <v>8</v>
      </c>
      <c r="W161" s="8" t="str">
        <v>2026-10-11 至 2026-10-17</v>
      </c>
      <c r="X161" s="8" t="str">
        <v>2026-10-11、2026-10-12、2026-10-13、2026-10-14、2026-10-15、2026-10-16、2026-10-17</v>
      </c>
      <c r="Y161" s="8" t="str">
        <v>无</v>
      </c>
      <c r="Z161" s="8" t="n">
        <v>19</v>
      </c>
      <c r="AA161" s="8" t="n">
        <v>0</v>
      </c>
      <c r="AB161" s="8" t="n">
        <v>7</v>
      </c>
      <c r="AC161" s="8" t="str">
        <v>2026-10-02 至 2026-10-17</v>
      </c>
      <c r="AD161" s="8" t="str">
        <v>2026-10-02、2026-10-03、2026-10-04、2026-10-05、2026-10-08、2026-10-09、2026-10-10、2026-10-11、2026-10-12、2026-10-13、2026-10-14、2026-10-15、2026-10-16、2026-10-17</v>
      </c>
      <c r="AE161" s="8" t="str">
        <v>2026-10-06 大促；2026-10-07 大促</v>
      </c>
      <c r="AF161" s="8" t="n">
        <v>32</v>
      </c>
      <c r="AG161" s="8" t="n">
        <v>3</v>
      </c>
      <c r="AH161" s="8" t="n">
        <v>14</v>
      </c>
      <c r="AI161" s="8" t="str">
        <v>2026-09-16 至 2026-10-17</v>
      </c>
      <c r="AJ1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1" s="8" t="str">
        <v>2026-10-06 大促；2026-10-07 大促</v>
      </c>
      <c r="AL161" s="8" t="n">
        <v>71</v>
      </c>
      <c r="AM161" s="8" t="n">
        <v>3</v>
      </c>
      <c r="AN161" s="8" t="n">
        <v>30</v>
      </c>
      <c r="AO161" s="8" t="str">
        <v>B06 / 黑色羊京绒 / 13120</v>
      </c>
      <c r="AP161" s="11" t="n">
        <v>1.2247029157699902</v>
      </c>
      <c r="AQ161" s="11" t="n">
        <v>1.2247029157699902</v>
      </c>
      <c r="AR161" s="11" t="n">
        <v>1.1136940657346173</v>
      </c>
      <c r="AS161" s="11" t="n">
        <f>IF(AND(COUNT(I161:K161,AP161:AR161)=6,MIN(AP161:AR161)&gt;0),I161/7/AP161*0.5+J161/14/AQ161*0.3+K161/30/AR161*0.2,"")</f>
        <v>2.0226058887055327</v>
      </c>
      <c r="AT161" s="8" t="n">
        <v>191</v>
      </c>
      <c r="AU161" s="8" t="n">
        <v>3</v>
      </c>
      <c r="AV161" s="8" t="n">
        <v>88</v>
      </c>
      <c r="AW161" s="11" t="n">
        <f>IF(AND(COUNT(AT161:AV161)=3,AT161&gt;=AU161,AU161&gt;=0,AV161&gt;0),(AT161-AU161)/AV161,"")</f>
        <v>2.1363636363636362</v>
      </c>
      <c r="AX161" s="8" t="n">
        <v>292</v>
      </c>
      <c r="AY161" s="8" t="n">
        <v>3</v>
      </c>
      <c r="AZ161" s="8" t="n">
        <v>178</v>
      </c>
      <c r="BA161" s="11" t="n">
        <f>IF(AND(COUNT(AX161:AZ161)=3,AX161&gt;=AY161,AY161&gt;=0,AZ161&gt;0),(AX161-AY161)/AZ161,"")</f>
        <v>1.6235955056179776</v>
      </c>
      <c r="BB161" s="8" t="n">
        <f>IF(COUNT(AS161,AW161,BA161)=3,1,0)</f>
        <v>1</v>
      </c>
      <c r="BC161" s="11" t="n">
        <f>IF(SUMIF($AO$11:$AO$1309,AO161,$BB$11:$BB$1309)=COUNTIF($AO$11:$AO$1309,AO161),SUMIF($AO$11:$AO$1309,AO161,$AS$11:$AS$1309),"")</f>
        <v>11.479673646705146</v>
      </c>
      <c r="BD161" s="11" t="n">
        <f>IF(SUMIF($AO$11:$AO$1309,AO161,$BB$11:$BB$1309)=COUNTIF($AO$11:$AO$1309,AO161),SUMIF($AO$11:$AO$1309,AO161,$AW$11:$AW$1309),"")</f>
        <v>12.119251336898396</v>
      </c>
      <c r="BE161" s="11" t="n">
        <f>IF(SUMIF($AO$11:$AO$1309,AO161,$BB$11:$BB$1309)=COUNTIF($AO$11:$AO$1309,AO161),SUMIF($AO$11:$AO$1309,AO161,$BA$11:$BA$1309),"")</f>
        <v>10.255120385232745</v>
      </c>
      <c r="BF161" s="12" t="n">
        <f>IF(COUNT(BD161:BE161)&lt;&gt;2,"",IF(AND(BD161&gt;0,BE161&gt;0),0.7*AW161/BD161+0.3*BA161/BE161,IF(BD161&gt;0,AW161/BD161,IF(BE161&gt;0,BA161/BE161,IF(AND(ISNUMBER(BH161),BH161=0),0,"")))))</f>
        <v>0.17089110271956165</v>
      </c>
      <c r="BG161" s="11" t="n">
        <f>IF(AND(COUNT(BN161:BU161)=8,MIN(BN161:BU161)&gt;=0),SUMPRODUCT(BN161:BQ161,BR161:BU161),"")</f>
        <v>73.80791239847399</v>
      </c>
      <c r="BH161" s="11" t="n">
        <f>IF(COUNT(BC161,BG161)=2,BC161*BG161,"")</f>
        <v>847.2907468790838</v>
      </c>
      <c r="BI161" s="11" t="n">
        <f>IF(ISNUMBER(CI161),CI161,"")</f>
        <v>144.79445005824763</v>
      </c>
      <c r="BJ161" s="8" t="str">
        <v>低销提醒依据不完整</v>
      </c>
      <c r="BK161" s="8" t="str">
        <v>90天：2026-07-20 至 2026-10-17；180天：2026-04-21 至 2026-10-17</v>
      </c>
      <c r="BL161" s="8" t="str">
        <v>90天：2026-10-06、2026-10-07；180天：2026-10-06、2026-10-07</v>
      </c>
      <c r="BM161" s="8" t="str">
        <v>2026-10：12天 × 1.2247029157699902；2026-11：30天 × 0.8332682139098497；2026-12：31天 × 0.5511018253564084；2027-01：17天 × 1.0017220238758797</v>
      </c>
      <c r="BN161" s="11" t="n">
        <v>1.2247029157699902</v>
      </c>
      <c r="BO161" s="11" t="n">
        <v>0.8332682139098497</v>
      </c>
      <c r="BP161" s="11" t="n">
        <v>0.5511018253564084</v>
      </c>
      <c r="BQ161" s="11" t="n">
        <v>1.0017220238758797</v>
      </c>
      <c r="BR161" s="8" t="n">
        <v>12</v>
      </c>
      <c r="BS161" s="8" t="n">
        <v>30</v>
      </c>
      <c r="BT161" s="8" t="n">
        <v>31</v>
      </c>
      <c r="BU161" s="8" t="n">
        <v>17</v>
      </c>
      <c r="BV161" s="11" t="n">
        <f>IF(COUNT(BC161,BF161)=2,BC161*BF161,"")</f>
        <v>1.961774088346134</v>
      </c>
      <c r="BW161" s="11" t="n">
        <f>IF(ISNUMBER(BN161),BN161,"")</f>
        <v>1.2247029157699902</v>
      </c>
      <c r="BX161" s="14" t="n">
        <f>IF(ISNUMBER(BR161),BR161,"")</f>
        <v>12</v>
      </c>
      <c r="BY161" s="13" t="n">
        <f>IF(AND(COUNT(BV161,BW161,BX161)=3,MIN(BV161,BW161,BX161)&gt;=0),BV161*BW161*BX161,"")</f>
        <v>28.831085352954297</v>
      </c>
      <c r="BZ161" s="11" t="n">
        <f>IF(ISNUMBER(BO161),BO161,"")</f>
        <v>0.8332682139098497</v>
      </c>
      <c r="CA161" s="14" t="n">
        <f>IF(ISNUMBER(BS161),BS161,"")</f>
        <v>30</v>
      </c>
      <c r="CB161" s="13" t="n">
        <f>IF(AND(COUNT(BV161,BZ161,CA161)=3,MIN(BV161,BZ161,CA161)&gt;=0),BV161*BZ161*CA161,"")</f>
        <v>49.040519720724205</v>
      </c>
      <c r="CC161" s="11" t="n">
        <f>IF(ISNUMBER(BP161),BP161,"")</f>
        <v>0.5511018253564084</v>
      </c>
      <c r="CD161" s="14" t="n">
        <f>IF(ISNUMBER(BT161),BT161,"")</f>
        <v>31</v>
      </c>
      <c r="CE161" s="13" t="n">
        <f>IF(AND(COUNT(BV161,CC161,CD161)=3,MIN(BV161,CC161,CD161)&gt;=0),BV161*CC161*CD161,"")</f>
        <v>33.51525571175821</v>
      </c>
      <c r="CF161" s="11" t="n">
        <f>IF(ISNUMBER(BQ161),BQ161,"")</f>
        <v>1.0017220238758797</v>
      </c>
      <c r="CG161" s="14" t="n">
        <f>IF(ISNUMBER(BU161),BU161,"")</f>
        <v>17</v>
      </c>
      <c r="CH161" s="13" t="n">
        <f>IF(AND(COUNT(BV161,CF161,CG161)=3,MIN(BV161,CF161,CG161)&gt;=0),BV161*CF161*CG161,"")</f>
        <v>33.407589272810924</v>
      </c>
      <c r="CI161" s="13" t="n">
        <f>IF(COUNT(BY161,CB161,CE161,CH161)=4,SUM(BY161,CB161,CE161,CH161),"")</f>
        <v>144.79445005824763</v>
      </c>
    </row>
    <row r="162" ht="72" customHeight="1">
      <c r="A162" s="16" t="str">
        <v>B07-LP-37-by</v>
      </c>
      <c r="B162" s="16" t="str">
        <v>4店-彬郁-US</v>
      </c>
      <c r="C162" s="16" t="str">
        <v>艾年</v>
      </c>
      <c r="D162" s="26" t="n">
        <f>IF(NOT(ISNUMBER(E162)),"",IF(OR(E162&lt;=0,L162=0),0,IF(OR(NOT(ISNUMBER(F162)),F162&lt;0),"",MIN(E162,INT(F162)))))</f>
        <v>5</v>
      </c>
      <c r="E162" s="27" t="n">
        <f>IF(OR(NOT(ISNUMBER(L162)),COUNT(M162:O162)&lt;&gt;3,MIN(M162:O162)&lt;0),"",ROUNDUP(ROUND(BI162-SUM(M162:O162),10),0))</f>
        <v>12</v>
      </c>
      <c r="F162" s="28" t="n">
        <v>5</v>
      </c>
      <c r="G162" s="28" t="n">
        <f>IF(AND(ISNUMBER(D162),ISNUMBER(E162)),IF(OR(E162&lt;=0,L162=0),0,E162-D162),"")</f>
        <v>7</v>
      </c>
      <c r="H162" s="16" t="str">
        <f>IF(NOT(ISNUMBER(E162)),"销量或海外库存待补",IF(OR(E162&lt;=0,L162=0),IF(L162=0,"零日销，本批不发","本批无需补货"),IF(NOT(ISNUMBER(D162)),"国内库存待补",IF(D162=0,"国内无可用库存",IF(G162&gt;0,"先发国内现货","按建议量发货")))))</f>
        <v>先发国内现货</v>
      </c>
      <c r="I162" s="28" t="n">
        <f>IF(AND(COUNT(Z162,AA162,AB162)=3,Z162&gt;=AA162,AA162&gt;=0,AB162=7),Z162-AA162,"")</f>
        <v>1</v>
      </c>
      <c r="J162" s="28" t="n">
        <f>IF(AND(COUNT(AF162,AG162,AH162)=3,AF162&gt;=AG162,AG162&gt;=0,AH162=14),AF162-AG162,"")</f>
        <v>1</v>
      </c>
      <c r="K162" s="28" t="n">
        <f>IF(AND(COUNT(AL162,AM162,AN162)=3,AL162&gt;=AM162,AM162&gt;=0,AN162=30),AL162-AM162,"")</f>
        <v>6</v>
      </c>
      <c r="L162" s="29" t="n">
        <f>IF(ISNUMBER(BI162),BI162/90,"")</f>
        <v>0.19449886663000515</v>
      </c>
      <c r="M162" s="28" t="n">
        <v>6</v>
      </c>
      <c r="N162" s="28" t="n">
        <v>0</v>
      </c>
      <c r="O162" s="28" t="n">
        <v>0</v>
      </c>
      <c r="P162" s="30" t="n">
        <f>IF(AND(ISNUMBER(L162),L162&gt;0,COUNT(M162:O162)=3,MIN(M162:O162)&gt;=0),SUM(M162:O162)/L162,"")</f>
        <v>30.848508806037362</v>
      </c>
      <c r="Q162" s="16" t="str">
        <v>沿用原计划SKU店铺</v>
      </c>
      <c r="R162" s="16" t="str">
        <v>已匹配</v>
      </c>
      <c r="S162" s="16" t="str">
        <v>在售</v>
      </c>
      <c r="T162" s="16" t="str">
        <v>B07</v>
      </c>
      <c r="U162" s="16" t="str">
        <v>豹纹羊京绒</v>
      </c>
      <c r="V162" s="16" t="n">
        <v>6</v>
      </c>
      <c r="W162" s="8" t="str">
        <v>2026-10-11 至 2026-10-17</v>
      </c>
      <c r="X162" s="8" t="str">
        <v>2026-10-11、2026-10-12、2026-10-13、2026-10-14、2026-10-15、2026-10-16、2026-10-17</v>
      </c>
      <c r="Y162" s="8" t="str">
        <v>无</v>
      </c>
      <c r="Z162" s="8" t="n">
        <v>1</v>
      </c>
      <c r="AA162" s="8" t="n">
        <v>0</v>
      </c>
      <c r="AB162" s="8" t="n">
        <v>7</v>
      </c>
      <c r="AC162" s="8" t="str">
        <v>2026-10-02 至 2026-10-17</v>
      </c>
      <c r="AD162" s="8" t="str">
        <v>2026-10-02、2026-10-03、2026-10-04、2026-10-05、2026-10-08、2026-10-09、2026-10-10、2026-10-11、2026-10-12、2026-10-13、2026-10-14、2026-10-15、2026-10-16、2026-10-17</v>
      </c>
      <c r="AE162" s="8" t="str">
        <v>2026-10-06 大促；2026-10-07 大促</v>
      </c>
      <c r="AF162" s="8" t="n">
        <v>5</v>
      </c>
      <c r="AG162" s="8" t="n">
        <v>4</v>
      </c>
      <c r="AH162" s="8" t="n">
        <v>14</v>
      </c>
      <c r="AI162" s="8" t="str">
        <v>2026-09-16 至 2026-10-17</v>
      </c>
      <c r="AJ1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2" s="8" t="str">
        <v>2026-10-06 大促；2026-10-07 大促</v>
      </c>
      <c r="AL162" s="8" t="n">
        <v>10</v>
      </c>
      <c r="AM162" s="8" t="n">
        <v>4</v>
      </c>
      <c r="AN162" s="8" t="n">
        <v>30</v>
      </c>
      <c r="AO162" s="8" t="str">
        <v>B07 / 豹纹羊京绒 / 13306</v>
      </c>
      <c r="AP162" s="11" t="n">
        <v>0.7307750238224848</v>
      </c>
      <c r="AQ162" s="11" t="n">
        <v>0.7307750238224848</v>
      </c>
      <c r="AR162" s="11" t="n">
        <v>0.7449809054134506</v>
      </c>
      <c r="AS162" s="11" t="n">
        <f>IF(AND(COUNT(I162:K162,AP162:AR162)=6,MIN(AP162:AR162)&gt;0),I162/7/AP162*0.5+J162/14/AQ162*0.3+K162/30/AR162*0.2,"")</f>
        <v>0.18075931320029226</v>
      </c>
      <c r="AT162" s="8" t="n">
        <v>16</v>
      </c>
      <c r="AU162" s="8" t="n">
        <v>4</v>
      </c>
      <c r="AV162" s="8" t="n">
        <v>88</v>
      </c>
      <c r="AW162" s="11" t="n">
        <f>IF(AND(COUNT(AT162:AV162)=3,AT162&gt;=AU162,AU162&gt;=0,AV162&gt;0),(AT162-AU162)/AV162,"")</f>
        <v>0.13636363636363635</v>
      </c>
      <c r="AX162" s="8" t="n">
        <v>29</v>
      </c>
      <c r="AY162" s="8" t="n">
        <v>4</v>
      </c>
      <c r="AZ162" s="8" t="n">
        <v>178</v>
      </c>
      <c r="BA162" s="11" t="n">
        <f>IF(AND(COUNT(AX162:AZ162)=3,AX162&gt;=AY162,AY162&gt;=0,AZ162&gt;0),(AX162-AY162)/AZ162,"")</f>
        <v>0.1404494382022472</v>
      </c>
      <c r="BB162" s="8" t="n">
        <f>IF(COUNT(AS162,AW162,BA162)=3,1,0)</f>
        <v>1</v>
      </c>
      <c r="BC162" s="11" t="n">
        <f>IF(SUMIF($AO$11:$AO$1309,AO162,$BB$11:$BB$1309)=COUNTIF($AO$11:$AO$1309,AO162),SUMIF($AO$11:$AO$1309,AO162,$AS$11:$AS$1309),"")</f>
        <v>6.767888169262786</v>
      </c>
      <c r="BD162" s="11" t="n">
        <f>IF(SUMIF($AO$11:$AO$1309,AO162,$BB$11:$BB$1309)=COUNTIF($AO$11:$AO$1309,AO162),SUMIF($AO$11:$AO$1309,AO162,$AW$11:$AW$1309),"")</f>
        <v>4.467607105538139</v>
      </c>
      <c r="BE162" s="11" t="n">
        <f>IF(SUMIF($AO$11:$AO$1309,AO162,$BB$11:$BB$1309)=COUNTIF($AO$11:$AO$1309,AO162),SUMIF($AO$11:$AO$1309,AO162,$BA$11:$BA$1309),"")</f>
        <v>3.6192153875452298</v>
      </c>
      <c r="BF162" s="12" t="n">
        <f>IF(COUNT(BD162:BE162)&lt;&gt;2,"",IF(AND(BD162&gt;0,BE162&gt;0),0.7*AW162/BD162+0.3*BA162/BE162,IF(BD162&gt;0,AW162/BD162,IF(BE162&gt;0,BA162/BE162,IF(AND(ISNUMBER(BH162),BH162=0),0,"")))))</f>
        <v>0.03300790164553626</v>
      </c>
      <c r="BG162" s="11" t="n">
        <f>IF(AND(COUNT(BN162:BU162)=8,MIN(BN162:BU162)&gt;=0),SUMPRODUCT(BN162:BQ162,BR162:BU162),"")</f>
        <v>78.35892944347341</v>
      </c>
      <c r="BH162" s="11" t="n">
        <f>IF(COUNT(BC162,BG162)=2,BC162*BG162,"")</f>
        <v>530.3244715365811</v>
      </c>
      <c r="BI162" s="11" t="n">
        <f>IF(ISNUMBER(CI162),CI162,"")</f>
        <v>17.504897996700464</v>
      </c>
      <c r="BJ162" s="8" t="str"/>
      <c r="BK162" s="8" t="str">
        <v>90天：2026-07-20 至 2026-10-17；180天：2026-04-21 至 2026-10-17</v>
      </c>
      <c r="BL162" s="8" t="str">
        <v>90天：2026-10-06、2026-10-07；180天：2026-10-06、2026-10-07</v>
      </c>
      <c r="BM162" s="8" t="str">
        <v>2026-10：12天 × 0.7307750238224848；2026-11：30天 × 0.9523018155490097；2026-12：31天 × 0.5958545198749097；2027-01：17天 × 1.3264167397065354</v>
      </c>
      <c r="BN162" s="11" t="n">
        <v>0.7307750238224848</v>
      </c>
      <c r="BO162" s="11" t="n">
        <v>0.9523018155490097</v>
      </c>
      <c r="BP162" s="11" t="n">
        <v>0.5958545198749097</v>
      </c>
      <c r="BQ162" s="11" t="n">
        <v>1.3264167397065354</v>
      </c>
      <c r="BR162" s="8" t="n">
        <v>12</v>
      </c>
      <c r="BS162" s="8" t="n">
        <v>30</v>
      </c>
      <c r="BT162" s="8" t="n">
        <v>31</v>
      </c>
      <c r="BU162" s="8" t="n">
        <v>17</v>
      </c>
      <c r="BV162" s="11" t="n">
        <f>IF(COUNT(BC162,BF162)=2,BC162*BF162,"")</f>
        <v>0.22339378703901452</v>
      </c>
      <c r="BW162" s="11" t="n">
        <f>IF(ISNUMBER(BN162),BN162,"")</f>
        <v>0.7307750238224848</v>
      </c>
      <c r="BX162" s="14" t="n">
        <f>IF(ISNUMBER(BR162),BR162,"")</f>
        <v>12</v>
      </c>
      <c r="BY162" s="13" t="n">
        <f>IF(AND(COUNT(BV162,BW162,BX162)=3,MIN(BV162,BW162,BX162)&gt;=0),BV162*BW162*BX162,"")</f>
        <v>1.9590072005427714</v>
      </c>
      <c r="BZ162" s="11" t="n">
        <f>IF(ISNUMBER(BO162),BO162,"")</f>
        <v>0.9523018155490097</v>
      </c>
      <c r="CA162" s="14" t="n">
        <f>IF(ISNUMBER(BS162),BS162,"")</f>
        <v>30</v>
      </c>
      <c r="CB162" s="13" t="n">
        <f>IF(AND(COUNT(BV162,BZ162,CA162)=3,MIN(BV162,BZ162,CA162)&gt;=0),BV162*BZ162*CA162,"")</f>
        <v>6.382149269388671</v>
      </c>
      <c r="CC162" s="11" t="n">
        <f>IF(ISNUMBER(BP162),BP162,"")</f>
        <v>0.5958545198749097</v>
      </c>
      <c r="CD162" s="14" t="n">
        <f>IF(ISNUMBER(BT162),BT162,"")</f>
        <v>31</v>
      </c>
      <c r="CE162" s="13" t="n">
        <f>IF(AND(COUNT(BV162,CC162,CD162)=3,MIN(BV162,CC162,CD162)&gt;=0),BV162*CC162*CD162,"")</f>
        <v>4.126416129294264</v>
      </c>
      <c r="CF162" s="11" t="n">
        <f>IF(ISNUMBER(BQ162),BQ162,"")</f>
        <v>1.3264167397065354</v>
      </c>
      <c r="CG162" s="14" t="n">
        <f>IF(ISNUMBER(BU162),BU162,"")</f>
        <v>17</v>
      </c>
      <c r="CH162" s="13" t="n">
        <f>IF(AND(COUNT(BV162,CF162,CG162)=3,MIN(BV162,CF162,CG162)&gt;=0),BV162*CF162*CG162,"")</f>
        <v>5.037325397474757</v>
      </c>
      <c r="CI162" s="13" t="n">
        <f>IF(COUNT(BY162,CB162,CE162,CH162)=4,SUM(BY162,CB162,CE162,CH162),"")</f>
        <v>17.504897996700464</v>
      </c>
    </row>
    <row r="163" ht="72" customHeight="1">
      <c r="A163" s="16" t="str">
        <v>S02b-NY-41</v>
      </c>
      <c r="B163" s="16" t="str">
        <v>3店-SANDIEX-US</v>
      </c>
      <c r="C163" s="16" t="str">
        <v>陈晨</v>
      </c>
      <c r="D163" s="26" t="n">
        <f>IF(NOT(ISNUMBER(E163)),"",IF(OR(E163&lt;=0,L163=0),0,IF(OR(NOT(ISNUMBER(F163)),F163&lt;0),"",MIN(E163,INT(F163)))))</f>
        <v>5</v>
      </c>
      <c r="E163" s="27" t="n">
        <f>IF(OR(NOT(ISNUMBER(L163)),COUNT(M163:O163)&lt;&gt;3,MIN(M163:O163)&lt;0),"",ROUNDUP(ROUND(BI163-SUM(M163:O163),10),0))</f>
        <v>12</v>
      </c>
      <c r="F163" s="28" t="n">
        <v>5</v>
      </c>
      <c r="G163" s="28" t="n">
        <f>IF(AND(ISNUMBER(D163),ISNUMBER(E163)),IF(OR(E163&lt;=0,L163=0),0,E163-D163),"")</f>
        <v>7</v>
      </c>
      <c r="H163" s="16" t="str">
        <f>IF(NOT(ISNUMBER(E163)),"销量或海外库存待补",IF(OR(E163&lt;=0,L163=0),IF(L163=0,"零日销，本批不发","本批无需补货"),IF(NOT(ISNUMBER(D163)),"国内库存待补",IF(D163=0,"国内无可用库存",IF(G163&gt;0,"先发国内现货","按建议量发货")))))</f>
        <v>先发国内现货</v>
      </c>
      <c r="I163" s="28" t="n">
        <f>IF(AND(COUNT(Z163,AA163,AB163)=3,Z163&gt;=AA163,AA163&gt;=0,AB163=7),Z163-AA163,"")</f>
        <v>5</v>
      </c>
      <c r="J163" s="28" t="n">
        <f>IF(AND(COUNT(AF163,AG163,AH163)=3,AF163&gt;=AG163,AG163&gt;=0,AH163=14),AF163-AG163,"")</f>
        <v>7</v>
      </c>
      <c r="K163" s="28" t="n">
        <f>IF(AND(COUNT(AL163,AM163,AN163)=3,AL163&gt;=AM163,AM163&gt;=0,AN163=30),AL163-AM163,"")</f>
        <v>11</v>
      </c>
      <c r="L163" s="29" t="n">
        <f>IF(ISNUMBER(BI163),BI163/90,"")</f>
        <v>0.6202154408436787</v>
      </c>
      <c r="M163" s="28" t="n">
        <v>4</v>
      </c>
      <c r="N163" s="28" t="n">
        <v>0</v>
      </c>
      <c r="O163" s="28" t="n">
        <v>40</v>
      </c>
      <c r="P163" s="30" t="n">
        <f>IF(AND(ISNUMBER(L163),L163&gt;0,COUNT(M163:O163)=3,MIN(M163:O163)&gt;=0),SUM(M163:O163)/L163,"")</f>
        <v>70.94309025932476</v>
      </c>
      <c r="Q163" s="16" t="str">
        <v>沿用原计划SKU店铺</v>
      </c>
      <c r="R163" s="16" t="str">
        <v>已匹配</v>
      </c>
      <c r="S163" s="16" t="str">
        <v>在售</v>
      </c>
      <c r="T163" s="16" t="str">
        <v>S02b</v>
      </c>
      <c r="U163" s="16" t="str">
        <v>藏青色</v>
      </c>
      <c r="V163" s="16" t="n">
        <v>10</v>
      </c>
      <c r="W163" s="8" t="str">
        <v>2026-10-11 至 2026-10-17</v>
      </c>
      <c r="X163" s="8" t="str">
        <v>2026-10-11、2026-10-12、2026-10-13、2026-10-14、2026-10-15、2026-10-16、2026-10-17</v>
      </c>
      <c r="Y163" s="8" t="str">
        <v>无</v>
      </c>
      <c r="Z163" s="8" t="n">
        <v>5</v>
      </c>
      <c r="AA163" s="8" t="n">
        <v>0</v>
      </c>
      <c r="AB163" s="8" t="n">
        <v>7</v>
      </c>
      <c r="AC163" s="8" t="str">
        <v>2026-10-02 至 2026-10-17</v>
      </c>
      <c r="AD163" s="8" t="str">
        <v>2026-10-02、2026-10-03、2026-10-04、2026-10-05、2026-10-08、2026-10-09、2026-10-10、2026-10-11、2026-10-12、2026-10-13、2026-10-14、2026-10-15、2026-10-16、2026-10-17</v>
      </c>
      <c r="AE163" s="8" t="str">
        <v>2026-10-06 大促；2026-10-07 大促</v>
      </c>
      <c r="AF163" s="8" t="n">
        <v>9</v>
      </c>
      <c r="AG163" s="8" t="n">
        <v>2</v>
      </c>
      <c r="AH163" s="8" t="n">
        <v>14</v>
      </c>
      <c r="AI163" s="8" t="str">
        <v>2026-09-16 至 2026-10-17</v>
      </c>
      <c r="AJ1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3" s="8" t="str">
        <v>2026-10-06 大促；2026-10-07 大促</v>
      </c>
      <c r="AL163" s="8" t="n">
        <v>13</v>
      </c>
      <c r="AM163" s="8" t="n">
        <v>2</v>
      </c>
      <c r="AN163" s="8" t="n">
        <v>30</v>
      </c>
      <c r="AO163" s="8" t="str">
        <v>S02b / 藏青色 / 6574</v>
      </c>
      <c r="AP163" s="11" t="n">
        <v>0.9658602967882928</v>
      </c>
      <c r="AQ163" s="11" t="n">
        <v>0.9658602967882928</v>
      </c>
      <c r="AR163" s="11" t="n">
        <v>0.9166270540270348</v>
      </c>
      <c r="AS163" s="11" t="n">
        <f>IF(AND(COUNT(I163:K163,AP163:AR163)=6,MIN(AP163:AR163)&gt;0),I163/7/AP163*0.5+J163/14/AQ163*0.3+K163/30/AR163*0.2,"")</f>
        <v>0.6050719985614448</v>
      </c>
      <c r="AT163" s="8" t="n">
        <v>32</v>
      </c>
      <c r="AU163" s="8" t="n">
        <v>2</v>
      </c>
      <c r="AV163" s="8" t="n">
        <v>88</v>
      </c>
      <c r="AW163" s="11" t="n">
        <f>IF(AND(COUNT(AT163:AV163)=3,AT163&gt;=AU163,AU163&gt;=0,AV163&gt;0),(AT163-AU163)/AV163,"")</f>
        <v>0.3409090909090909</v>
      </c>
      <c r="AX163" s="8" t="n">
        <v>67</v>
      </c>
      <c r="AY163" s="8" t="n">
        <v>2</v>
      </c>
      <c r="AZ163" s="8" t="n">
        <v>178</v>
      </c>
      <c r="BA163" s="11" t="n">
        <f>IF(AND(COUNT(AX163:AZ163)=3,AX163&gt;=AY163,AY163&gt;=0,AZ163&gt;0),(AX163-AY163)/AZ163,"")</f>
        <v>0.3651685393258427</v>
      </c>
      <c r="BB163" s="8" t="n">
        <f>IF(COUNT(AS163,AW163,BA163)=3,1,0)</f>
        <v>1</v>
      </c>
      <c r="BC163" s="11" t="n">
        <f>IF(SUMIF($AO$11:$AO$1309,AO163,$BB$11:$BB$1309)=COUNTIF($AO$11:$AO$1309,AO163),SUMIF($AO$11:$AO$1309,AO163,$AS$11:$AS$1309),"")</f>
        <v>3.229983476717252</v>
      </c>
      <c r="BD163" s="11" t="n">
        <f>IF(SUMIF($AO$11:$AO$1309,AO163,$BB$11:$BB$1309)=COUNTIF($AO$11:$AO$1309,AO163),SUMIF($AO$11:$AO$1309,AO163,$AW$11:$AW$1309),"")</f>
        <v>1.9659090909090908</v>
      </c>
      <c r="BE163" s="11" t="n">
        <f>IF(SUMIF($AO$11:$AO$1309,AO163,$BB$11:$BB$1309)=COUNTIF($AO$11:$AO$1309,AO163),SUMIF($AO$11:$AO$1309,AO163,$BA$11:$BA$1309),"")</f>
        <v>1.792134831460674</v>
      </c>
      <c r="BF163" s="12" t="n">
        <f>IF(COUNT(BD163:BE163)&lt;&gt;2,"",IF(AND(BD163&gt;0,BE163&gt;0),0.7*AW163/BD163+0.3*BA163/BE163,IF(BD163&gt;0,AW163/BD163,IF(BE163&gt;0,BA163/BE163,IF(AND(ISNUMBER(BH163),BH163=0),0,"")))))</f>
        <v>0.18251580988276223</v>
      </c>
      <c r="BG163" s="11" t="n">
        <f>IF(AND(COUNT(BN163:BU163)=8,MIN(BN163:BU163)&gt;=0),SUMPRODUCT(BN163:BQ163,BR163:BU163),"")</f>
        <v>94.68567795727022</v>
      </c>
      <c r="BH163" s="11" t="n">
        <f>IF(COUNT(BC163,BG163)=2,BC163*BG163,"")</f>
        <v>305.83317528375375</v>
      </c>
      <c r="BI163" s="11" t="n">
        <f>IF(ISNUMBER(CI163),CI163,"")</f>
        <v>55.81938967593109</v>
      </c>
      <c r="BJ163" s="8" t="str"/>
      <c r="BK163" s="8" t="str">
        <v>90天：2026-07-20 至 2026-10-17；180天：2026-04-21 至 2026-10-17</v>
      </c>
      <c r="BL163" s="8" t="str">
        <v>90天：2026-10-06、2026-10-07；180天：2026-10-06、2026-10-07</v>
      </c>
      <c r="BM163" s="8" t="str">
        <v>2026-10：12天 × 0.9658602967882928；2026-11：30天 × 1.1727174450092641；2026-12：31天 × 0.8763339075184018；2027-01：17天 × 1.2204399948507247</v>
      </c>
      <c r="BN163" s="11" t="n">
        <v>0.9658602967882928</v>
      </c>
      <c r="BO163" s="11" t="n">
        <v>1.1727174450092641</v>
      </c>
      <c r="BP163" s="11" t="n">
        <v>0.8763339075184018</v>
      </c>
      <c r="BQ163" s="11" t="n">
        <v>1.2204399948507247</v>
      </c>
      <c r="BR163" s="8" t="n">
        <v>12</v>
      </c>
      <c r="BS163" s="8" t="n">
        <v>30</v>
      </c>
      <c r="BT163" s="8" t="n">
        <v>31</v>
      </c>
      <c r="BU163" s="8" t="n">
        <v>17</v>
      </c>
      <c r="BV163" s="11" t="n">
        <f>IF(COUNT(BC163,BF163)=2,BC163*BF163,"")</f>
        <v>0.5895230501609894</v>
      </c>
      <c r="BW163" s="11" t="n">
        <f>IF(ISNUMBER(BN163),BN163,"")</f>
        <v>0.9658602967882928</v>
      </c>
      <c r="BX163" s="14" t="n">
        <f>IF(ISNUMBER(BR163),BR163,"")</f>
        <v>12</v>
      </c>
      <c r="BY163" s="13" t="n">
        <f>IF(AND(COUNT(BV163,BW163,BX163)=3,MIN(BV163,BW163,BX163)&gt;=0),BV163*BW163*BX163,"")</f>
        <v>6.832762898304393</v>
      </c>
      <c r="BZ163" s="11" t="n">
        <f>IF(ISNUMBER(BO163),BO163,"")</f>
        <v>1.1727174450092641</v>
      </c>
      <c r="CA163" s="14" t="n">
        <f>IF(ISNUMBER(BS163),BS163,"")</f>
        <v>30</v>
      </c>
      <c r="CB163" s="13" t="n">
        <f>IF(AND(COUNT(BV163,BZ163,CA163)=3,MIN(BV163,BZ163,CA163)&gt;=0),BV163*BZ163*CA163,"")</f>
        <v>20.74031895476591</v>
      </c>
      <c r="CC163" s="11" t="n">
        <f>IF(ISNUMBER(BP163),BP163,"")</f>
        <v>0.8763339075184018</v>
      </c>
      <c r="CD163" s="14" t="n">
        <f>IF(ISNUMBER(BT163),BT163,"")</f>
        <v>31</v>
      </c>
      <c r="CE163" s="13" t="n">
        <f>IF(AND(COUNT(BV163,CC163,CD163)=3,MIN(BV163,CC163,CD163)&gt;=0),BV163*CC163*CD163,"")</f>
        <v>16.015190181712146</v>
      </c>
      <c r="CF163" s="11" t="n">
        <f>IF(ISNUMBER(BQ163),BQ163,"")</f>
        <v>1.2204399948507247</v>
      </c>
      <c r="CG163" s="14" t="n">
        <f>IF(ISNUMBER(BU163),BU163,"")</f>
        <v>17</v>
      </c>
      <c r="CH163" s="13" t="n">
        <f>IF(AND(COUNT(BV163,CF163,CG163)=3,MIN(BV163,CF163,CG163)&gt;=0),BV163*CF163*CG163,"")</f>
        <v>12.231117641148643</v>
      </c>
      <c r="CI163" s="13" t="n">
        <f>IF(COUNT(BY163,CB163,CE163,CH163)=4,SUM(BY163,CB163,CE163,CH163),"")</f>
        <v>55.81938967593109</v>
      </c>
    </row>
    <row r="164" ht="72" customHeight="1">
      <c r="A164" s="16" t="str">
        <v>2302153-BK-S-Z-6.5</v>
      </c>
      <c r="B164" s="16" t="str">
        <v>3店-SANDIEX-US</v>
      </c>
      <c r="C164" s="16" t="str">
        <v>徐新怡</v>
      </c>
      <c r="D164" s="26" t="n">
        <f>IF(NOT(ISNUMBER(E164)),"",IF(OR(E164&lt;=0,L164=0),0,IF(OR(NOT(ISNUMBER(F164)),F164&lt;0),"",MIN(E164,INT(F164)))))</f>
        <v>5</v>
      </c>
      <c r="E164" s="27" t="n">
        <f>IF(OR(NOT(ISNUMBER(L164)),COUNT(M164:O164)&lt;&gt;3,MIN(M164:O164)&lt;0),"",ROUNDUP(ROUND(BI164-SUM(M164:O164),10),0))</f>
        <v>5</v>
      </c>
      <c r="F164" s="28" t="n">
        <v>54</v>
      </c>
      <c r="G164" s="28" t="n">
        <f>IF(AND(ISNUMBER(D164),ISNUMBER(E164)),IF(OR(E164&lt;=0,L164=0),0,E164-D164),"")</f>
        <v>0</v>
      </c>
      <c r="H164" s="16" t="str">
        <f>IF(NOT(ISNUMBER(E164)),"销量或海外库存待补",IF(OR(E164&lt;=0,L164=0),IF(L164=0,"零日销，本批不发","本批无需补货"),IF(NOT(ISNUMBER(D164)),"国内库存待补",IF(D164=0,"国内无可用库存",IF(G164&gt;0,"先发国内现货","按建议量发货")))))</f>
        <v>按建议量发货</v>
      </c>
      <c r="I164" s="28" t="n">
        <f>IF(AND(COUNT(Z164,AA164,AB164)=3,Z164&gt;=AA164,AA164&gt;=0,AB164=7),Z164-AA164,"")</f>
        <v>4</v>
      </c>
      <c r="J164" s="28" t="n">
        <f>IF(AND(COUNT(AF164,AG164,AH164)=3,AF164&gt;=AG164,AG164&gt;=0,AH164=14),AF164-AG164,"")</f>
        <v>11</v>
      </c>
      <c r="K164" s="28" t="n">
        <f>IF(AND(COUNT(AL164,AM164,AN164)=3,AL164&gt;=AM164,AM164&gt;=0,AN164=30),AL164-AM164,"")</f>
        <v>23</v>
      </c>
      <c r="L164" s="29" t="n">
        <f>IF(ISNUMBER(BI164),BI164/90,"")</f>
        <v>0.6011609117005576</v>
      </c>
      <c r="M164" s="28" t="n">
        <v>40</v>
      </c>
      <c r="N164" s="28" t="n">
        <v>0</v>
      </c>
      <c r="O164" s="28" t="n">
        <v>10</v>
      </c>
      <c r="P164" s="30" t="n">
        <f>IF(AND(ISNUMBER(L164),L164&gt;0,COUNT(M164:O164)=3,MIN(M164:O164)&gt;=0),SUM(M164:O164)/L164,"")</f>
        <v>83.17240696598274</v>
      </c>
      <c r="Q164" s="16" t="str">
        <v>沿用原计划SKU店铺</v>
      </c>
      <c r="R164" s="16" t="str">
        <v>已匹配</v>
      </c>
      <c r="S164" s="16" t="str">
        <v>在售</v>
      </c>
      <c r="T164" s="16" t="str">
        <v>2302153</v>
      </c>
      <c r="U164" s="16" t="str">
        <v>黑色</v>
      </c>
      <c r="V164" s="16" t="n">
        <v>6.5</v>
      </c>
      <c r="W164" s="8" t="str">
        <v>2026-10-11 至 2026-10-17</v>
      </c>
      <c r="X164" s="8" t="str">
        <v>2026-10-11、2026-10-12、2026-10-13、2026-10-14、2026-10-15、2026-10-16、2026-10-17</v>
      </c>
      <c r="Y164" s="8" t="str">
        <v>无</v>
      </c>
      <c r="Z164" s="8" t="n">
        <v>4</v>
      </c>
      <c r="AA164" s="8" t="n">
        <v>0</v>
      </c>
      <c r="AB164" s="8" t="n">
        <v>7</v>
      </c>
      <c r="AC164" s="8" t="str">
        <v>2026-10-02 至 2026-10-17</v>
      </c>
      <c r="AD164" s="8" t="str">
        <v>2026-10-02、2026-10-03、2026-10-04、2026-10-05、2026-10-08、2026-10-09、2026-10-10、2026-10-11、2026-10-12、2026-10-13、2026-10-14、2026-10-15、2026-10-16、2026-10-17</v>
      </c>
      <c r="AE164" s="8" t="str">
        <v>2026-10-06 大促；2026-10-07 大促</v>
      </c>
      <c r="AF164" s="8" t="n">
        <v>15</v>
      </c>
      <c r="AG164" s="8" t="n">
        <v>4</v>
      </c>
      <c r="AH164" s="8" t="n">
        <v>14</v>
      </c>
      <c r="AI164" s="8" t="str">
        <v>2026-09-16 至 2026-10-17</v>
      </c>
      <c r="AJ1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4" s="8" t="str">
        <v>2026-10-06 大促；2026-10-07 大促</v>
      </c>
      <c r="AL164" s="8" t="n">
        <v>27</v>
      </c>
      <c r="AM164" s="8" t="n">
        <v>4</v>
      </c>
      <c r="AN164" s="8" t="n">
        <v>30</v>
      </c>
      <c r="AO164" s="8" t="str">
        <v>2302153 / 黑色羊京绒 / 6574</v>
      </c>
      <c r="AP164" s="11" t="n">
        <v>1.7391279184229513</v>
      </c>
      <c r="AQ164" s="11" t="n">
        <v>1.7391279184229513</v>
      </c>
      <c r="AR164" s="11" t="n">
        <v>1.5731892896917212</v>
      </c>
      <c r="AS164" s="11" t="n">
        <f>IF(AND(COUNT(I164:K164,AP164:AR164)=6,MIN(AP164:AR164)&gt;0),I164/7/AP164*0.5+J164/14/AQ164*0.3+K164/30/AR164*0.2,"")</f>
        <v>0.3972884128752556</v>
      </c>
      <c r="AT164" s="8" t="n">
        <v>56</v>
      </c>
      <c r="AU164" s="8" t="n">
        <v>4</v>
      </c>
      <c r="AV164" s="8" t="n">
        <v>88</v>
      </c>
      <c r="AW164" s="11" t="n">
        <f>IF(AND(COUNT(AT164:AV164)=3,AT164&gt;=AU164,AU164&gt;=0,AV164&gt;0),(AT164-AU164)/AV164,"")</f>
        <v>0.5909090909090909</v>
      </c>
      <c r="AX164" s="8" t="n">
        <v>66</v>
      </c>
      <c r="AY164" s="8" t="n">
        <v>4</v>
      </c>
      <c r="AZ164" s="8" t="n">
        <v>178</v>
      </c>
      <c r="BA164" s="11" t="n">
        <f>IF(AND(COUNT(AX164:AZ164)=3,AX164&gt;=AY164,AY164&gt;=0,AZ164&gt;0),(AX164-AY164)/AZ164,"")</f>
        <v>0.34831460674157305</v>
      </c>
      <c r="BB164" s="8" t="n">
        <f>IF(COUNT(AS164,AW164,BA164)=3,1,0)</f>
        <v>1</v>
      </c>
      <c r="BC164" s="11" t="n">
        <f>IF(SUMIF($AO$11:$AO$1309,AO164,$BB$11:$BB$1309)=COUNTIF($AO$11:$AO$1309,AO164),SUMIF($AO$11:$AO$1309,AO164,$AS$11:$AS$1309),"")</f>
        <v>14.203593194271557</v>
      </c>
      <c r="BD164" s="11" t="n">
        <f>IF(SUMIF($AO$11:$AO$1309,AO164,$BB$11:$BB$1309)=COUNTIF($AO$11:$AO$1309,AO164),SUMIF($AO$11:$AO$1309,AO164,$AW$11:$AW$1309),"")</f>
        <v>15.818181818181818</v>
      </c>
      <c r="BE164" s="11" t="n">
        <f>IF(SUMIF($AO$11:$AO$1309,AO164,$BB$11:$BB$1309)=COUNTIF($AO$11:$AO$1309,AO164),SUMIF($AO$11:$AO$1309,AO164,$BA$11:$BA$1309),"")</f>
        <v>12.07865168539326</v>
      </c>
      <c r="BF164" s="12" t="n">
        <f>IF(COUNT(BD164:BE164)&lt;&gt;2,"",IF(AND(BD164&gt;0,BE164&gt;0),0.7*AW164/BD164+0.3*BA164/BE164,IF(BD164&gt;0,AW164/BD164,IF(BE164&gt;0,BA164/BE164,IF(AND(ISNUMBER(BH164),BH164=0),0,"")))))</f>
        <v>0.034800588078054</v>
      </c>
      <c r="BG164" s="11" t="n">
        <f>IF(AND(COUNT(BN164:BU164)=8,MIN(BN164:BU164)&gt;=0),SUMPRODUCT(BN164:BQ164,BR164:BU164),"")</f>
        <v>109.4582336985339</v>
      </c>
      <c r="BH164" s="11" t="n">
        <f>IF(COUNT(BC164,BG164)=2,BC164*BG164,"")</f>
        <v>1554.7002232174816</v>
      </c>
      <c r="BI164" s="11" t="n">
        <f>IF(ISNUMBER(CI164),CI164,"")</f>
        <v>54.10448205305019</v>
      </c>
      <c r="BJ164" s="8" t="str"/>
      <c r="BK164" s="8" t="str">
        <v>90天：2026-07-20 至 2026-10-17；180天：2026-04-21 至 2026-10-17</v>
      </c>
      <c r="BL164" s="8" t="str">
        <v>90天：2026-10-06、2026-10-07；180天：2026-10-06、2026-10-07</v>
      </c>
      <c r="BM164" s="8" t="str">
        <v>2026-10：12天 × 1.7391279184229513；2026-11：30天 × 1.4002077845513243；2026-12：31天 × 1.079339935625147；2027-01：17天 × 0.7719368903846591</v>
      </c>
      <c r="BN164" s="11" t="n">
        <v>1.7391279184229513</v>
      </c>
      <c r="BO164" s="11" t="n">
        <v>1.4002077845513243</v>
      </c>
      <c r="BP164" s="11" t="n">
        <v>1.079339935625147</v>
      </c>
      <c r="BQ164" s="11" t="n">
        <v>0.7719368903846591</v>
      </c>
      <c r="BR164" s="8" t="n">
        <v>12</v>
      </c>
      <c r="BS164" s="8" t="n">
        <v>30</v>
      </c>
      <c r="BT164" s="8" t="n">
        <v>31</v>
      </c>
      <c r="BU164" s="8" t="n">
        <v>17</v>
      </c>
      <c r="BV164" s="11" t="n">
        <f>IF(COUNT(BC164,BF164)=2,BC164*BF164,"")</f>
        <v>0.4942933959820957</v>
      </c>
      <c r="BW164" s="11" t="n">
        <f>IF(ISNUMBER(BN164),BN164,"")</f>
        <v>1.7391279184229513</v>
      </c>
      <c r="BX164" s="14" t="n">
        <f>IF(ISNUMBER(BR164),BR164,"")</f>
        <v>12</v>
      </c>
      <c r="BY164" s="13" t="n">
        <f>IF(AND(COUNT(BV164,BW164,BX164)=3,MIN(BV164,BW164,BX164)&gt;=0),BV164*BW164*BX164,"")</f>
        <v>10.315673338134644</v>
      </c>
      <c r="BZ164" s="11" t="n">
        <f>IF(ISNUMBER(BO164),BO164,"")</f>
        <v>1.4002077845513243</v>
      </c>
      <c r="CA164" s="14" t="n">
        <f>IF(ISNUMBER(BS164),BS164,"")</f>
        <v>30</v>
      </c>
      <c r="CB164" s="13" t="n">
        <f>IF(AND(COUNT(BV164,BZ164,CA164)=3,MIN(BV164,BZ164,CA164)&gt;=0),BV164*BZ164*CA164,"")</f>
        <v>20.76340382719322</v>
      </c>
      <c r="CC164" s="11" t="n">
        <f>IF(ISNUMBER(BP164),BP164,"")</f>
        <v>1.079339935625147</v>
      </c>
      <c r="CD164" s="14" t="n">
        <f>IF(ISNUMBER(BT164),BT164,"")</f>
        <v>31</v>
      </c>
      <c r="CE164" s="13" t="n">
        <f>IF(AND(COUNT(BV164,CC164,CD164)=3,MIN(BV164,CC164,CD164)&gt;=0),BV164*CC164*CD164,"")</f>
        <v>16.538828668176766</v>
      </c>
      <c r="CF164" s="11" t="n">
        <f>IF(ISNUMBER(BQ164),BQ164,"")</f>
        <v>0.7719368903846591</v>
      </c>
      <c r="CG164" s="14" t="n">
        <f>IF(ISNUMBER(BU164),BU164,"")</f>
        <v>17</v>
      </c>
      <c r="CH164" s="13" t="n">
        <f>IF(AND(COUNT(BV164,CF164,CG164)=3,MIN(BV164,CF164,CG164)&gt;=0),BV164*CF164*CG164,"")</f>
        <v>6.4865762195455625</v>
      </c>
      <c r="CI164" s="13" t="n">
        <f>IF(COUNT(BY164,CB164,CE164,CH164)=4,SUM(BY164,CB164,CE164,CH164),"")</f>
        <v>54.10448205305019</v>
      </c>
    </row>
    <row r="165" ht="72" customHeight="1">
      <c r="A165" s="16" t="str">
        <v>2302153-RD-S-Z-6</v>
      </c>
      <c r="B165" s="16" t="str">
        <v>3店-SANDIEX-US</v>
      </c>
      <c r="C165" s="16" t="str">
        <v>徐新怡</v>
      </c>
      <c r="D165" s="26" t="n">
        <f>IF(NOT(ISNUMBER(E165)),"",IF(OR(E165&lt;=0,L165=0),0,IF(OR(NOT(ISNUMBER(F165)),F165&lt;0),"",MIN(E165,INT(F165)))))</f>
        <v>5</v>
      </c>
      <c r="E165" s="27" t="n">
        <f>IF(OR(NOT(ISNUMBER(L165)),COUNT(M165:O165)&lt;&gt;3,MIN(M165:O165)&lt;0),"",ROUNDUP(ROUND(BI165-SUM(M165:O165),10),0))</f>
        <v>5</v>
      </c>
      <c r="F165" s="28" t="n">
        <v>20</v>
      </c>
      <c r="G165" s="28" t="n">
        <f>IF(AND(ISNUMBER(D165),ISNUMBER(E165)),IF(OR(E165&lt;=0,L165=0),0,E165-D165),"")</f>
        <v>0</v>
      </c>
      <c r="H165" s="16" t="str">
        <f>IF(NOT(ISNUMBER(E165)),"销量或海外库存待补",IF(OR(E165&lt;=0,L165=0),IF(L165=0,"零日销，本批不发","本批无需补货"),IF(NOT(ISNUMBER(D165)),"国内库存待补",IF(D165=0,"国内无可用库存",IF(G165&gt;0,"先发国内现货","按建议量发货")))))</f>
        <v>按建议量发货</v>
      </c>
      <c r="I165" s="28" t="n">
        <f>IF(AND(COUNT(Z165,AA165,AB165)=3,Z165&gt;=AA165,AA165&gt;=0,AB165=7),Z165-AA165,"")</f>
        <v>0</v>
      </c>
      <c r="J165" s="28" t="n">
        <f>IF(AND(COUNT(AF165,AG165,AH165)=3,AF165&gt;=AG165,AG165&gt;=0,AH165=14),AF165-AG165,"")</f>
        <v>1</v>
      </c>
      <c r="K165" s="28" t="n">
        <f>IF(AND(COUNT(AL165,AM165,AN165)=3,AL165&gt;=AM165,AM165&gt;=0,AN165=30),AL165-AM165,"")</f>
        <v>1</v>
      </c>
      <c r="L165" s="29" t="n">
        <f>IF(ISNUMBER(BI165),BI165/90,"")</f>
        <v>0.05144480646394141</v>
      </c>
      <c r="M165" s="28" t="n">
        <v>0</v>
      </c>
      <c r="N165" s="28" t="n">
        <v>0</v>
      </c>
      <c r="O165" s="28" t="n">
        <v>0</v>
      </c>
      <c r="P165" s="30" t="n">
        <f>IF(AND(ISNUMBER(L165),L165&gt;0,COUNT(M165:O165)=3,MIN(M165:O165)&gt;=0),SUM(M165:O165)/L165,"")</f>
        <v>0</v>
      </c>
      <c r="Q165" s="16" t="str">
        <v>沿用原计划SKU店铺</v>
      </c>
      <c r="R165" s="16" t="str">
        <v>已匹配</v>
      </c>
      <c r="S165" s="16" t="str">
        <v>停售</v>
      </c>
      <c r="T165" s="16" t="str">
        <v>2302153</v>
      </c>
      <c r="U165" s="16" t="str">
        <v>红色</v>
      </c>
      <c r="V165" s="16" t="n">
        <v>6</v>
      </c>
      <c r="W165" s="8" t="str">
        <v>2026-10-08 至 2026-10-17</v>
      </c>
      <c r="X165" s="8" t="str">
        <v>2026-10-08、2026-10-09、2026-10-10、2026-10-11、2026-10-14、2026-10-15、2026-10-17</v>
      </c>
      <c r="Y165" s="8" t="str">
        <v>2026-10-12 有记录的停售日；2026-10-13 有记录的停售日；2026-10-16 有记录的停售日</v>
      </c>
      <c r="Z165" s="8" t="n">
        <v>0</v>
      </c>
      <c r="AA165" s="8" t="n">
        <v>0</v>
      </c>
      <c r="AB165" s="8" t="n">
        <v>7</v>
      </c>
      <c r="AC165" s="8" t="str">
        <v>2026-09-29 至 2026-10-17</v>
      </c>
      <c r="AD165" s="8" t="str">
        <v>2026-09-29、2026-09-30、2026-10-01、2026-10-02、2026-10-03、2026-10-04、2026-10-05、2026-10-08、2026-10-09、2026-10-10、2026-10-11、2026-10-14、2026-10-15、2026-10-17</v>
      </c>
      <c r="AE165" s="8" t="str">
        <v>2026-10-06 大促；2026-10-07 大促；2026-10-12 有记录的停售日；2026-10-13 有记录的停售日；2026-10-16 有记录的停售日</v>
      </c>
      <c r="AF165" s="8" t="n">
        <v>2</v>
      </c>
      <c r="AG165" s="8" t="n">
        <v>1</v>
      </c>
      <c r="AH165" s="8" t="n">
        <v>14</v>
      </c>
      <c r="AI165" s="8" t="str">
        <v>2026-09-13 至 2026-10-17</v>
      </c>
      <c r="AJ16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65" s="8" t="str">
        <v>2026-10-06 大促；2026-10-07 大促；2026-10-12 有记录的停售日；2026-10-13 有记录的停售日；2026-10-16 有记录的停售日</v>
      </c>
      <c r="AL165" s="8" t="n">
        <v>2</v>
      </c>
      <c r="AM165" s="8" t="n">
        <v>1</v>
      </c>
      <c r="AN165" s="8" t="n">
        <v>30</v>
      </c>
      <c r="AO165" s="8" t="str">
        <v>2302153 / 红色羊京绒 / 6574</v>
      </c>
      <c r="AP165" s="11" t="n">
        <v>1.7391279184229513</v>
      </c>
      <c r="AQ165" s="11" t="n">
        <v>1.6917168816426</v>
      </c>
      <c r="AR165" s="11" t="n">
        <v>1.5400015639454752</v>
      </c>
      <c r="AS165" s="11" t="n">
        <f>IF(AND(COUNT(I165:K165,AP165:AR165)=6,MIN(AP165:AR165)&gt;0),I165/7/AP165*0.5+J165/14/AQ165*0.3+K165/30/AR165*0.2,"")</f>
        <v>0.01699575975586421</v>
      </c>
      <c r="AT165" s="8" t="n">
        <v>3</v>
      </c>
      <c r="AU165" s="8" t="n">
        <v>1</v>
      </c>
      <c r="AV165" s="8" t="n">
        <v>85</v>
      </c>
      <c r="AW165" s="11" t="n">
        <f>IF(AND(COUNT(AT165:AV165)=3,AT165&gt;=AU165,AU165&gt;=0,AV165&gt;0),(AT165-AU165)/AV165,"")</f>
        <v>0.023529411764705882</v>
      </c>
      <c r="AX165" s="8" t="n">
        <v>7</v>
      </c>
      <c r="AY165" s="8" t="n">
        <v>1</v>
      </c>
      <c r="AZ165" s="8" t="n">
        <v>175</v>
      </c>
      <c r="BA165" s="11" t="n">
        <f>IF(AND(COUNT(AX165:AZ165)=3,AX165&gt;=AY165,AY165&gt;=0,AZ165&gt;0),(AX165-AY165)/AZ165,"")</f>
        <v>0.03428571428571429</v>
      </c>
      <c r="BB165" s="8" t="n">
        <f>IF(COUNT(AS165,AW165,BA165)=3,1,0)</f>
        <v>1</v>
      </c>
      <c r="BC165" s="11" t="n">
        <f>IF(SUMIF($AO$11:$AO$1309,AO165,$BB$11:$BB$1309)=COUNTIF($AO$11:$AO$1309,AO165),SUMIF($AO$11:$AO$1309,AO165,$AS$11:$AS$1309),"")</f>
        <v>0.5532040882147117</v>
      </c>
      <c r="BD165" s="11" t="n">
        <f>IF(SUMIF($AO$11:$AO$1309,AO165,$BB$11:$BB$1309)=COUNTIF($AO$11:$AO$1309,AO165),SUMIF($AO$11:$AO$1309,AO165,$AW$11:$AW$1309),"")</f>
        <v>0.3535973323498679</v>
      </c>
      <c r="BE165" s="11" t="n">
        <f>IF(SUMIF($AO$11:$AO$1309,AO165,$BB$11:$BB$1309)=COUNTIF($AO$11:$AO$1309,AO165),SUMIF($AO$11:$AO$1309,AO165,$BA$11:$BA$1309),"")</f>
        <v>0.34420255552230417</v>
      </c>
      <c r="BF165" s="12" t="n">
        <f>IF(COUNT(BD165:BE165)&lt;&gt;2,"",IF(AND(BD165&gt;0,BE165&gt;0),0.7*AW165/BD165+0.3*BA165/BE165,IF(BD165&gt;0,AW165/BD165,IF(BE165&gt;0,BA165/BE165,IF(AND(ISNUMBER(BH165),BH165=0),0,"")))))</f>
        <v>0.07646280581981015</v>
      </c>
      <c r="BG165" s="11" t="n">
        <f>IF(AND(COUNT(BN165:BU165)=8,MIN(BN165:BU165)&gt;=0),SUMPRODUCT(BN165:BQ165,BR165:BU165),"")</f>
        <v>109.4582336985339</v>
      </c>
      <c r="BH165" s="11" t="n">
        <f>IF(COUNT(BC165,BG165)=2,BC165*BG165,"")</f>
        <v>60.55274237079028</v>
      </c>
      <c r="BI165" s="11" t="n">
        <f>IF(ISNUMBER(CI165),CI165,"")</f>
        <v>4.630032581754727</v>
      </c>
      <c r="BJ165" s="8" t="str">
        <v>近180天本色销量75双（＜90），无有效新采购，请运营判断</v>
      </c>
      <c r="BK165" s="8" t="str">
        <v>90天：2026-07-20 至 2026-10-17；180天：2026-04-21 至 2026-10-17</v>
      </c>
      <c r="BL165" s="8" t="str">
        <v>90天：2026-10-06、2026-10-07、2026-10-12、2026-10-13、2026-10-16；180天：2026-10-06、2026-10-07、2026-10-12、2026-10-13、2026-10-16</v>
      </c>
      <c r="BM165" s="8" t="str">
        <v>2026-10：12天 × 1.7391279184229513；2026-11：30天 × 1.4002077845513243；2026-12：31天 × 1.079339935625147；2027-01：17天 × 0.7719368903846591</v>
      </c>
      <c r="BN165" s="11" t="n">
        <v>1.7391279184229513</v>
      </c>
      <c r="BO165" s="11" t="n">
        <v>1.4002077845513243</v>
      </c>
      <c r="BP165" s="11" t="n">
        <v>1.079339935625147</v>
      </c>
      <c r="BQ165" s="11" t="n">
        <v>0.7719368903846591</v>
      </c>
      <c r="BR165" s="8" t="n">
        <v>12</v>
      </c>
      <c r="BS165" s="8" t="n">
        <v>30</v>
      </c>
      <c r="BT165" s="8" t="n">
        <v>31</v>
      </c>
      <c r="BU165" s="8" t="n">
        <v>17</v>
      </c>
      <c r="BV165" s="11" t="n">
        <f>IF(COUNT(BC165,BF165)=2,BC165*BF165,"")</f>
        <v>0.04229953677588662</v>
      </c>
      <c r="BW165" s="11" t="n">
        <f>IF(ISNUMBER(BN165),BN165,"")</f>
        <v>1.7391279184229513</v>
      </c>
      <c r="BX165" s="14" t="n">
        <f>IF(ISNUMBER(BR165),BR165,"")</f>
        <v>12</v>
      </c>
      <c r="BY165" s="13" t="n">
        <f>IF(AND(COUNT(BV165,BW165,BX165)=3,MIN(BV165,BW165,BX165)&gt;=0),BV165*BW165*BX165,"")</f>
        <v>0.8827716641196333</v>
      </c>
      <c r="BZ165" s="11" t="n">
        <f>IF(ISNUMBER(BO165),BO165,"")</f>
        <v>1.4002077845513243</v>
      </c>
      <c r="CA165" s="14" t="n">
        <f>IF(ISNUMBER(BS165),BS165,"")</f>
        <v>30</v>
      </c>
      <c r="CB165" s="13" t="n">
        <f>IF(AND(COUNT(BV165,BZ165,CA165)=3,MIN(BV165,BZ165,CA165)&gt;=0),BV165*BZ165*CA165,"")</f>
        <v>1.776844220295344</v>
      </c>
      <c r="CC165" s="11" t="n">
        <f>IF(ISNUMBER(BP165),BP165,"")</f>
        <v>1.079339935625147</v>
      </c>
      <c r="CD165" s="14" t="n">
        <f>IF(ISNUMBER(BT165),BT165,"")</f>
        <v>31</v>
      </c>
      <c r="CE165" s="13" t="n">
        <f>IF(AND(COUNT(BV165,CC165,CD165)=3,MIN(BV165,CC165,CD165)&gt;=0),BV165*CC165*CD165,"")</f>
        <v>1.415322958320429</v>
      </c>
      <c r="CF165" s="11" t="n">
        <f>IF(ISNUMBER(BQ165),BQ165,"")</f>
        <v>0.7719368903846591</v>
      </c>
      <c r="CG165" s="14" t="n">
        <f>IF(ISNUMBER(BU165),BU165,"")</f>
        <v>17</v>
      </c>
      <c r="CH165" s="13" t="n">
        <f>IF(AND(COUNT(BV165,CF165,CG165)=3,MIN(BV165,CF165,CG165)&gt;=0),BV165*CF165*CG165,"")</f>
        <v>0.5550937390193206</v>
      </c>
      <c r="CI165" s="13" t="n">
        <f>IF(COUNT(BY165,CB165,CE165,CH165)=4,SUM(BY165,CB165,CE165,CH165),"")</f>
        <v>4.630032581754727</v>
      </c>
    </row>
    <row r="166" ht="72" customHeight="1">
      <c r="A166" s="16" t="str">
        <v>32582-GY-38</v>
      </c>
      <c r="B166" s="16" t="str">
        <v>3店-SANDIEX-US</v>
      </c>
      <c r="C166" s="16" t="str">
        <v>徐新怡</v>
      </c>
      <c r="D166" s="26" t="n">
        <f>IF(NOT(ISNUMBER(E166)),"",IF(OR(E166&lt;=0,L166=0),0,IF(OR(NOT(ISNUMBER(F166)),F166&lt;0),"",MIN(E166,INT(F166)))))</f>
        <v>5</v>
      </c>
      <c r="E166" s="27" t="n">
        <f>IF(OR(NOT(ISNUMBER(L166)),COUNT(M166:O166)&lt;&gt;3,MIN(M166:O166)&lt;0),"",ROUNDUP(ROUND(BI166-SUM(M166:O166),10),0))</f>
        <v>5</v>
      </c>
      <c r="F166" s="28" t="n">
        <v>20</v>
      </c>
      <c r="G166" s="28" t="n">
        <f>IF(AND(ISNUMBER(D166),ISNUMBER(E166)),IF(OR(E166&lt;=0,L166=0),0,E166-D166),"")</f>
        <v>0</v>
      </c>
      <c r="H166" s="16" t="str">
        <f>IF(NOT(ISNUMBER(E166)),"销量或海外库存待补",IF(OR(E166&lt;=0,L166=0),IF(L166=0,"零日销，本批不发","本批无需补货"),IF(NOT(ISNUMBER(D166)),"国内库存待补",IF(D166=0,"国内无可用库存",IF(G166&gt;0,"先发国内现货","按建议量发货")))))</f>
        <v>按建议量发货</v>
      </c>
      <c r="I166" s="28" t="n">
        <f>IF(AND(COUNT(Z166,AA166,AB166)=3,Z166&gt;=AA166,AA166&gt;=0,AB166=7),Z166-AA166,"")</f>
        <v>1</v>
      </c>
      <c r="J166" s="28" t="n">
        <f>IF(AND(COUNT(AF166,AG166,AH166)=3,AF166&gt;=AG166,AG166&gt;=0,AH166=14),AF166-AG166,"")</f>
        <v>2</v>
      </c>
      <c r="K166" s="28" t="n">
        <f>IF(AND(COUNT(AL166,AM166,AN166)=3,AL166&gt;=AM166,AM166&gt;=0,AN166=30),AL166-AM166,"")</f>
        <v>2</v>
      </c>
      <c r="L166" s="29" t="n">
        <f>IF(ISNUMBER(BI166),BI166/90,"")</f>
        <v>0.09062726626533459</v>
      </c>
      <c r="M166" s="28" t="n">
        <v>4</v>
      </c>
      <c r="N166" s="28" t="n">
        <v>0</v>
      </c>
      <c r="O166" s="28" t="n">
        <v>0</v>
      </c>
      <c r="P166" s="30" t="n">
        <f>IF(AND(ISNUMBER(L166),L166&gt;0,COUNT(M166:O166)=3,MIN(M166:O166)&gt;=0),SUM(M166:O166)/L166,"")</f>
        <v>44.13682730193994</v>
      </c>
      <c r="Q166" s="16" t="str">
        <v>沿用原计划SKU店铺</v>
      </c>
      <c r="R166" s="16" t="str">
        <v>已匹配</v>
      </c>
      <c r="S166" s="16" t="str">
        <v>在售</v>
      </c>
      <c r="T166" s="16" t="str">
        <v>32582</v>
      </c>
      <c r="U166" s="16" t="str">
        <v>灰色</v>
      </c>
      <c r="V166" s="16" t="n">
        <v>7</v>
      </c>
      <c r="W166" s="8" t="str">
        <v>2026-10-11 至 2026-10-17</v>
      </c>
      <c r="X166" s="8" t="str">
        <v>2026-10-11、2026-10-12、2026-10-13、2026-10-14、2026-10-15、2026-10-16、2026-10-17</v>
      </c>
      <c r="Y166" s="8" t="str">
        <v>无</v>
      </c>
      <c r="Z166" s="8" t="n">
        <v>1</v>
      </c>
      <c r="AA166" s="8" t="n">
        <v>0</v>
      </c>
      <c r="AB166" s="8" t="n">
        <v>7</v>
      </c>
      <c r="AC166" s="8" t="str">
        <v>2026-10-02 至 2026-10-17</v>
      </c>
      <c r="AD166" s="8" t="str">
        <v>2026-10-02、2026-10-03、2026-10-04、2026-10-05、2026-10-08、2026-10-09、2026-10-10、2026-10-11、2026-10-12、2026-10-13、2026-10-14、2026-10-15、2026-10-16、2026-10-17</v>
      </c>
      <c r="AE166" s="8" t="str">
        <v>2026-10-06 大促；2026-10-07 大促</v>
      </c>
      <c r="AF166" s="8" t="n">
        <v>3</v>
      </c>
      <c r="AG166" s="8" t="n">
        <v>1</v>
      </c>
      <c r="AH166" s="8" t="n">
        <v>14</v>
      </c>
      <c r="AI166" s="8" t="str">
        <v>2026-09-16 至 2026-10-17</v>
      </c>
      <c r="AJ1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6" s="8" t="str">
        <v>2026-10-06 大促；2026-10-07 大促</v>
      </c>
      <c r="AL166" s="8" t="n">
        <v>3</v>
      </c>
      <c r="AM166" s="8" t="n">
        <v>1</v>
      </c>
      <c r="AN166" s="8" t="n">
        <v>30</v>
      </c>
      <c r="AO166" s="8" t="str">
        <v>32582 / 灰色羊京绒 / 6574</v>
      </c>
      <c r="AP166" s="11" t="n">
        <v>1.0395067087630607</v>
      </c>
      <c r="AQ166" s="11" t="n">
        <v>1.0395067087630607</v>
      </c>
      <c r="AR166" s="11" t="n">
        <v>1.0707336504782758</v>
      </c>
      <c r="AS166" s="11" t="n">
        <f>IF(AND(COUNT(I166:K166,AP166:AR166)=6,MIN(AP166:AR166)&gt;0),I166/7/AP166*0.5+J166/14/AQ166*0.3+K166/30/AR166*0.2,"")</f>
        <v>0.12239477859749676</v>
      </c>
      <c r="AT166" s="8" t="n">
        <v>5</v>
      </c>
      <c r="AU166" s="8" t="n">
        <v>1</v>
      </c>
      <c r="AV166" s="8" t="n">
        <v>88</v>
      </c>
      <c r="AW166" s="11" t="n">
        <f>IF(AND(COUNT(AT166:AV166)=3,AT166&gt;=AU166,AU166&gt;=0,AV166&gt;0),(AT166-AU166)/AV166,"")</f>
        <v>0.045454545454545456</v>
      </c>
      <c r="AX166" s="8" t="n">
        <v>5</v>
      </c>
      <c r="AY166" s="8" t="n">
        <v>1</v>
      </c>
      <c r="AZ166" s="8" t="n">
        <v>178</v>
      </c>
      <c r="BA166" s="11" t="n">
        <f>IF(AND(COUNT(AX166:AZ166)=3,AX166&gt;=AY166,AY166&gt;=0,AZ166&gt;0),(AX166-AY166)/AZ166,"")</f>
        <v>0.02247191011235955</v>
      </c>
      <c r="BB166" s="8" t="n">
        <f>IF(COUNT(AS166,AW166,BA166)=3,1,0)</f>
        <v>1</v>
      </c>
      <c r="BC166" s="11" t="n">
        <f>IF(SUMIF($AO$11:$AO$1309,AO166,$BB$11:$BB$1309)=COUNTIF($AO$11:$AO$1309,AO166),SUMIF($AO$11:$AO$1309,AO166,$AS$11:$AS$1309),"")</f>
        <v>0.12239477859749676</v>
      </c>
      <c r="BD166" s="11" t="n">
        <f>IF(SUMIF($AO$11:$AO$1309,AO166,$BB$11:$BB$1309)=COUNTIF($AO$11:$AO$1309,AO166),SUMIF($AO$11:$AO$1309,AO166,$AW$11:$AW$1309),"")</f>
        <v>0.0572192513368984</v>
      </c>
      <c r="BE166" s="11" t="n">
        <f>IF(SUMIF($AO$11:$AO$1309,AO166,$BB$11:$BB$1309)=COUNTIF($AO$11:$AO$1309,AO166),SUMIF($AO$11:$AO$1309,AO166,$BA$11:$BA$1309),"")</f>
        <v>0.03390048154093098</v>
      </c>
      <c r="BF166" s="12" t="n">
        <f>IF(COUNT(BD166:BE166)&lt;&gt;2,"",IF(AND(BD166&gt;0,BE166&gt;0),0.7*AW166/BD166+0.3*BA166/BE166,IF(BD166&gt;0,AW166/BD166,IF(BE166&gt;0,BA166/BE166,IF(AND(ISNUMBER(BH166),BH166=0),0,"")))))</f>
        <v>0.7549384027187764</v>
      </c>
      <c r="BG166" s="11" t="n">
        <f>IF(AND(COUNT(BN166:BU166)=8,MIN(BN166:BU166)&gt;=0),SUMPRODUCT(BN166:BQ166,BR166:BU166),"")</f>
        <v>88.27281580841549</v>
      </c>
      <c r="BH166" s="11" t="n">
        <f>IF(COUNT(BC166,BG166)=2,BC166*BG166,"")</f>
        <v>10.804131747048626</v>
      </c>
      <c r="BI166" s="11" t="n">
        <f>IF(ISNUMBER(CI166),CI166,"")</f>
        <v>8.156453963880113</v>
      </c>
      <c r="BJ166" s="8" t="str">
        <v>近180天本色销量7双（＜90），无有效新采购，请运营判断</v>
      </c>
      <c r="BK166" s="8" t="str">
        <v>90天：2026-07-20 至 2026-10-17；180天：2026-04-21 至 2026-10-17</v>
      </c>
      <c r="BL166" s="8" t="str">
        <v>90天：2026-10-06、2026-10-07；180天：2026-10-06、2026-10-07</v>
      </c>
      <c r="BM166" s="8" t="str">
        <v>2026-10：12天 × 1.0395067087630607；2026-11：30天 × 0.9890368360033146；2026-12：31天 × 0.7800796503018808；2027-01：17天 × 1.2908918272824135</v>
      </c>
      <c r="BN166" s="11" t="n">
        <v>1.0395067087630607</v>
      </c>
      <c r="BO166" s="11" t="n">
        <v>0.9890368360033146</v>
      </c>
      <c r="BP166" s="11" t="n">
        <v>0.7800796503018808</v>
      </c>
      <c r="BQ166" s="11" t="n">
        <v>1.2908918272824135</v>
      </c>
      <c r="BR166" s="8" t="n">
        <v>12</v>
      </c>
      <c r="BS166" s="8" t="n">
        <v>30</v>
      </c>
      <c r="BT166" s="8" t="n">
        <v>31</v>
      </c>
      <c r="BU166" s="8" t="n">
        <v>17</v>
      </c>
      <c r="BV166" s="11" t="n">
        <f>IF(COUNT(BC166,BF166)=2,BC166*BF166,"")</f>
        <v>0.09240051865551248</v>
      </c>
      <c r="BW166" s="11" t="n">
        <f>IF(ISNUMBER(BN166),BN166,"")</f>
        <v>1.0395067087630607</v>
      </c>
      <c r="BX166" s="14" t="n">
        <f>IF(ISNUMBER(BR166),BR166,"")</f>
        <v>12</v>
      </c>
      <c r="BY166" s="13" t="n">
        <f>IF(AND(COUNT(BV166,BW166,BX166)=3,MIN(BV166,BW166,BX166)&gt;=0),BV166*BW166*BX166,"")</f>
        <v>1.1526115084270987</v>
      </c>
      <c r="BZ166" s="11" t="n">
        <f>IF(ISNUMBER(BO166),BO166,"")</f>
        <v>0.9890368360033146</v>
      </c>
      <c r="CA166" s="14" t="n">
        <f>IF(ISNUMBER(BS166),BS166,"")</f>
        <v>30</v>
      </c>
      <c r="CB166" s="13" t="n">
        <f>IF(AND(COUNT(BV166,BZ166,CA166)=3,MIN(BV166,BZ166,CA166)&gt;=0),BV166*BZ166*CA166,"")</f>
        <v>2.741625498483399</v>
      </c>
      <c r="CC166" s="11" t="n">
        <f>IF(ISNUMBER(BP166),BP166,"")</f>
        <v>0.7800796503018808</v>
      </c>
      <c r="CD166" s="14" t="n">
        <f>IF(ISNUMBER(BT166),BT166,"")</f>
        <v>31</v>
      </c>
      <c r="CE166" s="13" t="n">
        <f>IF(AND(COUNT(BV166,CC166,CD166)=3,MIN(BV166,CC166,CD166)&gt;=0),BV166*CC166*CD166,"")</f>
        <v>2.234472692695642</v>
      </c>
      <c r="CF166" s="11" t="n">
        <f>IF(ISNUMBER(BQ166),BQ166,"")</f>
        <v>1.2908918272824135</v>
      </c>
      <c r="CG166" s="14" t="n">
        <f>IF(ISNUMBER(BU166),BU166,"")</f>
        <v>17</v>
      </c>
      <c r="CH166" s="13" t="n">
        <f>IF(AND(COUNT(BV166,CF166,CG166)=3,MIN(BV166,CF166,CG166)&gt;=0),BV166*CF166*CG166,"")</f>
        <v>2.027744264273973</v>
      </c>
      <c r="CI166" s="13" t="n">
        <f>IF(COUNT(BY166,CB166,CE166,CH166)=4,SUM(BY166,CB166,CE166,CH166),"")</f>
        <v>8.156453963880113</v>
      </c>
    </row>
    <row r="167" ht="72" customHeight="1">
      <c r="A167" s="16" t="str">
        <v>B06-BK-37-new</v>
      </c>
      <c r="B167" s="16" t="str">
        <v>1店-MUSSHOE-US</v>
      </c>
      <c r="C167" s="16" t="str">
        <v>艾年</v>
      </c>
      <c r="D167" s="26" t="n">
        <f>IF(NOT(ISNUMBER(E167)),"",IF(OR(E167&lt;=0,L167=0),0,IF(OR(NOT(ISNUMBER(F167)),F167&lt;0),"",MIN(E167,INT(F167)))))</f>
        <v>5</v>
      </c>
      <c r="E167" s="27" t="n">
        <f>IF(OR(NOT(ISNUMBER(L167)),COUNT(M167:O167)&lt;&gt;3,MIN(M167:O167)&lt;0),"",ROUNDUP(ROUND(BI167-SUM(M167:O167),10),0))</f>
        <v>5</v>
      </c>
      <c r="F167" s="28" t="n">
        <v>51</v>
      </c>
      <c r="G167" s="28" t="n">
        <f>IF(AND(ISNUMBER(D167),ISNUMBER(E167)),IF(OR(E167&lt;=0,L167=0),0,E167-D167),"")</f>
        <v>0</v>
      </c>
      <c r="H167" s="16" t="str">
        <f>IF(NOT(ISNUMBER(E167)),"销量或海外库存待补",IF(OR(E167&lt;=0,L167=0),IF(L167=0,"零日销，本批不发","本批无需补货"),IF(NOT(ISNUMBER(D167)),"国内库存待补",IF(D167=0,"国内无可用库存",IF(G167&gt;0,"先发国内现货","按建议量发货")))))</f>
        <v>按建议量发货</v>
      </c>
      <c r="I167" s="28" t="n">
        <f>IF(AND(COUNT(Z167,AA167,AB167)=3,Z167&gt;=AA167,AA167&gt;=0,AB167=7),Z167-AA167,"")</f>
        <v>10</v>
      </c>
      <c r="J167" s="28" t="n">
        <f>IF(AND(COUNT(AF167,AG167,AH167)=3,AF167&gt;=AG167,AG167&gt;=0,AH167=14),AF167-AG167,"")</f>
        <v>10</v>
      </c>
      <c r="K167" s="28" t="n">
        <f>IF(AND(COUNT(AL167,AM167,AN167)=3,AL167&gt;=AM167,AM167&gt;=0,AN167=30),AL167-AM167,"")</f>
        <v>24</v>
      </c>
      <c r="L167" s="29" t="n">
        <f>IF(ISNUMBER(BI167),BI167/90,"")</f>
        <v>0.5564250759451255</v>
      </c>
      <c r="M167" s="28" t="n">
        <v>46</v>
      </c>
      <c r="N167" s="28" t="n">
        <v>0</v>
      </c>
      <c r="O167" s="28" t="n">
        <v>0</v>
      </c>
      <c r="P167" s="30" t="n">
        <f>IF(AND(ISNUMBER(L167),L167&gt;0,COUNT(M167:O167)=3,MIN(M167:O167)&gt;=0),SUM(M167:O167)/L167,"")</f>
        <v>82.67060919543553</v>
      </c>
      <c r="Q167" s="16" t="str">
        <v>沿用原计划SKU店铺</v>
      </c>
      <c r="R167" s="16" t="str">
        <v>已匹配</v>
      </c>
      <c r="S167" s="16" t="str">
        <v>在售</v>
      </c>
      <c r="T167" s="16" t="str">
        <v>B06</v>
      </c>
      <c r="U167" s="16" t="str">
        <v>黑色羊京绒</v>
      </c>
      <c r="V167" s="16" t="n">
        <v>6</v>
      </c>
      <c r="W167" s="8" t="str">
        <v>2026-10-11 至 2026-10-17</v>
      </c>
      <c r="X167" s="8" t="str">
        <v>2026-10-11、2026-10-12、2026-10-13、2026-10-14、2026-10-15、2026-10-16、2026-10-17</v>
      </c>
      <c r="Y167" s="8" t="str">
        <v>无</v>
      </c>
      <c r="Z167" s="8" t="n">
        <v>10</v>
      </c>
      <c r="AA167" s="8" t="n">
        <v>0</v>
      </c>
      <c r="AB167" s="8" t="n">
        <v>7</v>
      </c>
      <c r="AC167" s="8" t="str">
        <v>2026-10-02 至 2026-10-17</v>
      </c>
      <c r="AD167" s="8" t="str">
        <v>2026-10-02、2026-10-03、2026-10-04、2026-10-05、2026-10-08、2026-10-09、2026-10-10、2026-10-11、2026-10-12、2026-10-13、2026-10-14、2026-10-15、2026-10-16、2026-10-17</v>
      </c>
      <c r="AE167" s="8" t="str">
        <v>2026-10-06 大促；2026-10-07 大促</v>
      </c>
      <c r="AF167" s="8" t="n">
        <v>19</v>
      </c>
      <c r="AG167" s="8" t="n">
        <v>9</v>
      </c>
      <c r="AH167" s="8" t="n">
        <v>14</v>
      </c>
      <c r="AI167" s="8" t="str">
        <v>2026-09-16 至 2026-10-17</v>
      </c>
      <c r="AJ1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7" s="8" t="str">
        <v>2026-10-06 大促；2026-10-07 大促</v>
      </c>
      <c r="AL167" s="8" t="n">
        <v>33</v>
      </c>
      <c r="AM167" s="8" t="n">
        <v>9</v>
      </c>
      <c r="AN167" s="8" t="n">
        <v>30</v>
      </c>
      <c r="AO167" s="8" t="str">
        <v>B06 / 黑色羊京绒 / 13120</v>
      </c>
      <c r="AP167" s="11" t="n">
        <v>1.2247029157699902</v>
      </c>
      <c r="AQ167" s="11" t="n">
        <v>1.2247029157699902</v>
      </c>
      <c r="AR167" s="11" t="n">
        <v>1.1136940657346173</v>
      </c>
      <c r="AS167" s="11" t="n">
        <f>IF(AND(COUNT(I167:K167,AP167:AR167)=6,MIN(AP167:AR167)&gt;0),I167/7/AP167*0.5+J167/14/AQ167*0.3+K167/30/AR167*0.2,"")</f>
        <v>0.9018673954509364</v>
      </c>
      <c r="AT167" s="8" t="n">
        <v>68</v>
      </c>
      <c r="AU167" s="8" t="n">
        <v>9</v>
      </c>
      <c r="AV167" s="8" t="n">
        <v>88</v>
      </c>
      <c r="AW167" s="11" t="n">
        <f>IF(AND(COUNT(AT167:AV167)=3,AT167&gt;=AU167,AU167&gt;=0,AV167&gt;0),(AT167-AU167)/AV167,"")</f>
        <v>0.6704545454545454</v>
      </c>
      <c r="AX167" s="8" t="n">
        <v>133</v>
      </c>
      <c r="AY167" s="8" t="n">
        <v>9</v>
      </c>
      <c r="AZ167" s="8" t="n">
        <v>178</v>
      </c>
      <c r="BA167" s="11" t="n">
        <f>IF(AND(COUNT(AX167:AZ167)=3,AX167&gt;=AY167,AY167&gt;=0,AZ167&gt;0),(AX167-AY167)/AZ167,"")</f>
        <v>0.6966292134831461</v>
      </c>
      <c r="BB167" s="8" t="n">
        <f>IF(COUNT(AS167,AW167,BA167)=3,1,0)</f>
        <v>1</v>
      </c>
      <c r="BC167" s="11" t="n">
        <f>IF(SUMIF($AO$11:$AO$1309,AO167,$BB$11:$BB$1309)=COUNTIF($AO$11:$AO$1309,AO167),SUMIF($AO$11:$AO$1309,AO167,$AS$11:$AS$1309),"")</f>
        <v>11.479673646705146</v>
      </c>
      <c r="BD167" s="11" t="n">
        <f>IF(SUMIF($AO$11:$AO$1309,AO167,$BB$11:$BB$1309)=COUNTIF($AO$11:$AO$1309,AO167),SUMIF($AO$11:$AO$1309,AO167,$AW$11:$AW$1309),"")</f>
        <v>12.119251336898396</v>
      </c>
      <c r="BE167" s="11" t="n">
        <f>IF(SUMIF($AO$11:$AO$1309,AO167,$BB$11:$BB$1309)=COUNTIF($AO$11:$AO$1309,AO167),SUMIF($AO$11:$AO$1309,AO167,$BA$11:$BA$1309),"")</f>
        <v>10.255120385232745</v>
      </c>
      <c r="BF167" s="12" t="n">
        <f>IF(COUNT(BD167:BE167)&lt;&gt;2,"",IF(AND(BD167&gt;0,BE167&gt;0),0.7*AW167/BD167+0.3*BA167/BE167,IF(BD167&gt;0,AW167/BD167,IF(BE167&gt;0,BA167/BE167,IF(AND(ISNUMBER(BH167),BH167=0),0,"")))))</f>
        <v>0.059103981743598474</v>
      </c>
      <c r="BG167" s="11" t="n">
        <f>IF(AND(COUNT(BN167:BU167)=8,MIN(BN167:BU167)&gt;=0),SUMPRODUCT(BN167:BQ167,BR167:BU167),"")</f>
        <v>73.80791239847399</v>
      </c>
      <c r="BH167" s="11" t="n">
        <f>IF(COUNT(BC167,BG167)=2,BC167*BG167,"")</f>
        <v>847.2907468790838</v>
      </c>
      <c r="BI167" s="11" t="n">
        <f>IF(ISNUMBER(CI167),CI167,"")</f>
        <v>50.078256835061296</v>
      </c>
      <c r="BJ167" s="8" t="str">
        <v>低销提醒依据不完整</v>
      </c>
      <c r="BK167" s="8" t="str">
        <v>90天：2026-07-20 至 2026-10-17；180天：2026-04-21 至 2026-10-17</v>
      </c>
      <c r="BL167" s="8" t="str">
        <v>90天：2026-10-06、2026-10-07；180天：2026-10-06、2026-10-07</v>
      </c>
      <c r="BM167" s="8" t="str">
        <v>2026-10：12天 × 1.2247029157699902；2026-11：30天 × 0.8332682139098497；2026-12：31天 × 0.5511018253564084；2027-01：17天 × 1.0017220238758797</v>
      </c>
      <c r="BN167" s="11" t="n">
        <v>1.2247029157699902</v>
      </c>
      <c r="BO167" s="11" t="n">
        <v>0.8332682139098497</v>
      </c>
      <c r="BP167" s="11" t="n">
        <v>0.5511018253564084</v>
      </c>
      <c r="BQ167" s="11" t="n">
        <v>1.0017220238758797</v>
      </c>
      <c r="BR167" s="8" t="n">
        <v>12</v>
      </c>
      <c r="BS167" s="8" t="n">
        <v>30</v>
      </c>
      <c r="BT167" s="8" t="n">
        <v>31</v>
      </c>
      <c r="BU167" s="8" t="n">
        <v>17</v>
      </c>
      <c r="BV167" s="11" t="n">
        <f>IF(COUNT(BC167,BF167)=2,BC167*BF167,"")</f>
        <v>0.6784944216373295</v>
      </c>
      <c r="BW167" s="11" t="n">
        <f>IF(ISNUMBER(BN167),BN167,"")</f>
        <v>1.2247029157699902</v>
      </c>
      <c r="BX167" s="14" t="n">
        <f>IF(ISNUMBER(BR167),BR167,"")</f>
        <v>12</v>
      </c>
      <c r="BY167" s="13" t="n">
        <f>IF(AND(COUNT(BV167,BW167,BX167)=3,MIN(BV167,BW167,BX167)&gt;=0),BV167*BW167*BX167,"")</f>
        <v>9.971449158154927</v>
      </c>
      <c r="BZ167" s="11" t="n">
        <f>IF(ISNUMBER(BO167),BO167,"")</f>
        <v>0.8332682139098497</v>
      </c>
      <c r="CA167" s="14" t="n">
        <f>IF(ISNUMBER(BS167),BS167,"")</f>
        <v>30</v>
      </c>
      <c r="CB167" s="13" t="n">
        <f>IF(AND(COUNT(BV167,BZ167,CA167)=3,MIN(BV167,BZ167,CA167)&gt;=0),BV167*BZ167*CA167,"")</f>
        <v>16.961035045966025</v>
      </c>
      <c r="CC167" s="11" t="n">
        <f>IF(ISNUMBER(BP167),BP167,"")</f>
        <v>0.5511018253564084</v>
      </c>
      <c r="CD167" s="14" t="n">
        <f>IF(ISNUMBER(BT167),BT167,"")</f>
        <v>31</v>
      </c>
      <c r="CE167" s="13" t="n">
        <f>IF(AND(COUNT(BV167,CC167,CD167)=3,MIN(BV167,CC167,CD167)&gt;=0),BV167*CC167*CD167,"")</f>
        <v>11.59150494201266</v>
      </c>
      <c r="CF167" s="11" t="n">
        <f>IF(ISNUMBER(BQ167),BQ167,"")</f>
        <v>1.0017220238758797</v>
      </c>
      <c r="CG167" s="14" t="n">
        <f>IF(ISNUMBER(BU167),BU167,"")</f>
        <v>17</v>
      </c>
      <c r="CH167" s="13" t="n">
        <f>IF(AND(COUNT(BV167,CF167,CG167)=3,MIN(BV167,CF167,CG167)&gt;=0),BV167*CF167*CG167,"")</f>
        <v>11.554267688927682</v>
      </c>
      <c r="CI167" s="13" t="n">
        <f>IF(COUNT(BY167,CB167,CE167,CH167)=4,SUM(BY167,CB167,CE167,CH167),"")</f>
        <v>50.078256835061296</v>
      </c>
    </row>
    <row r="168" ht="72" customHeight="1">
      <c r="A168" s="16" t="str">
        <v>B06-BK-V-0-39.5</v>
      </c>
      <c r="B168" s="16" t="str">
        <v>1店-MUSSHOE-US</v>
      </c>
      <c r="C168" s="16" t="str">
        <v>艾年</v>
      </c>
      <c r="D168" s="26" t="n">
        <f>IF(NOT(ISNUMBER(E168)),"",IF(OR(E168&lt;=0,L168=0),0,IF(OR(NOT(ISNUMBER(F168)),F168&lt;0),"",MIN(E168,INT(F168)))))</f>
        <v>5</v>
      </c>
      <c r="E168" s="27" t="n">
        <f>IF(OR(NOT(ISNUMBER(L168)),COUNT(M168:O168)&lt;&gt;3,MIN(M168:O168)&lt;0),"",ROUNDUP(ROUND(BI168-SUM(M168:O168),10),0))</f>
        <v>5</v>
      </c>
      <c r="F168" s="28" t="n">
        <v>20</v>
      </c>
      <c r="G168" s="28" t="n">
        <f>IF(AND(ISNUMBER(D168),ISNUMBER(E168)),IF(OR(E168&lt;=0,L168=0),0,E168-D168),"")</f>
        <v>0</v>
      </c>
      <c r="H168" s="16" t="str">
        <f>IF(NOT(ISNUMBER(E168)),"销量或海外库存待补",IF(OR(E168&lt;=0,L168=0),IF(L168=0,"零日销，本批不发","本批无需补货"),IF(NOT(ISNUMBER(D168)),"国内库存待补",IF(D168=0,"国内无可用库存",IF(G168&gt;0,"先发国内现货","按建议量发货")))))</f>
        <v>按建议量发货</v>
      </c>
      <c r="I168" s="28" t="n">
        <f>IF(AND(COUNT(Z168,AA168,AB168)=3,Z168&gt;=AA168,AA168&gt;=0,AB168=7),Z168-AA168,"")</f>
        <v>0</v>
      </c>
      <c r="J168" s="28" t="n">
        <f>IF(AND(COUNT(AF168,AG168,AH168)=3,AF168&gt;=AG168,AG168&gt;=0,AH168=14),AF168-AG168,"")</f>
        <v>1</v>
      </c>
      <c r="K168" s="28" t="n">
        <f>IF(AND(COUNT(AL168,AM168,AN168)=3,AL168&gt;=AM168,AM168&gt;=0,AN168=30),AL168-AM168,"")</f>
        <v>9</v>
      </c>
      <c r="L168" s="29" t="n">
        <f>IF(ISNUMBER(BI168),BI168/90,"")</f>
        <v>0.11283029028297348</v>
      </c>
      <c r="M168" s="28" t="n">
        <v>6</v>
      </c>
      <c r="N168" s="28" t="n">
        <v>0</v>
      </c>
      <c r="O168" s="28" t="n">
        <v>0</v>
      </c>
      <c r="P168" s="30" t="n">
        <f>IF(AND(ISNUMBER(L168),L168&gt;0,COUNT(M168:O168)=3,MIN(M168:O168)&gt;=0),SUM(M168:O168)/L168,"")</f>
        <v>53.1772096389388</v>
      </c>
      <c r="Q168" s="16" t="str">
        <v>沿用原计划SKU店铺</v>
      </c>
      <c r="R168" s="16" t="str">
        <v>已匹配</v>
      </c>
      <c r="S168" s="16" t="str">
        <v>在售</v>
      </c>
      <c r="T168" s="16" t="str">
        <v>B06</v>
      </c>
      <c r="U168" s="16" t="str">
        <v>黑色天鹅绒</v>
      </c>
      <c r="V168" s="16" t="n">
        <v>8.5</v>
      </c>
      <c r="W168" s="8" t="str">
        <v>2026-10-11 至 2026-10-17</v>
      </c>
      <c r="X168" s="8" t="str">
        <v>2026-10-11、2026-10-12、2026-10-13、2026-10-14、2026-10-15、2026-10-16、2026-10-17</v>
      </c>
      <c r="Y168" s="8" t="str">
        <v>无</v>
      </c>
      <c r="Z168" s="8" t="n">
        <v>0</v>
      </c>
      <c r="AA168" s="8" t="n">
        <v>0</v>
      </c>
      <c r="AB168" s="8" t="n">
        <v>7</v>
      </c>
      <c r="AC168" s="8" t="str">
        <v>2026-10-02 至 2026-10-17</v>
      </c>
      <c r="AD168" s="8" t="str">
        <v>2026-10-02、2026-10-03、2026-10-04、2026-10-05、2026-10-08、2026-10-09、2026-10-10、2026-10-11、2026-10-12、2026-10-13、2026-10-14、2026-10-15、2026-10-16、2026-10-17</v>
      </c>
      <c r="AE168" s="8" t="str">
        <v>2026-10-06 大促；2026-10-07 大促</v>
      </c>
      <c r="AF168" s="8" t="n">
        <v>1</v>
      </c>
      <c r="AG168" s="8" t="n">
        <v>0</v>
      </c>
      <c r="AH168" s="8" t="n">
        <v>14</v>
      </c>
      <c r="AI168" s="8" t="str">
        <v>2026-09-16 至 2026-10-17</v>
      </c>
      <c r="AJ1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8" s="8" t="str">
        <v>2026-10-06 大促；2026-10-07 大促</v>
      </c>
      <c r="AL168" s="8" t="n">
        <v>9</v>
      </c>
      <c r="AM168" s="8" t="n">
        <v>0</v>
      </c>
      <c r="AN168" s="8" t="n">
        <v>30</v>
      </c>
      <c r="AO168" s="8" t="str">
        <v>B06 / 黑色羊京绒 / 13120</v>
      </c>
      <c r="AP168" s="11" t="n">
        <v>1.2247029157699902</v>
      </c>
      <c r="AQ168" s="11" t="n">
        <v>1.2247029157699902</v>
      </c>
      <c r="AR168" s="11" t="n">
        <v>1.1136940657346173</v>
      </c>
      <c r="AS168" s="11" t="n">
        <f>IF(AND(COUNT(I168:K168,AP168:AR168)=6,MIN(AP168:AR168)&gt;0),I168/7/AP168*0.5+J168/14/AQ168*0.3+K168/30/AR168*0.2,"")</f>
        <v>0.07137171423881472</v>
      </c>
      <c r="AT168" s="8" t="n">
        <v>12</v>
      </c>
      <c r="AU168" s="8" t="n">
        <v>0</v>
      </c>
      <c r="AV168" s="8" t="n">
        <v>88</v>
      </c>
      <c r="AW168" s="11" t="n">
        <f>IF(AND(COUNT(AT168:AV168)=3,AT168&gt;=AU168,AU168&gt;=0,AV168&gt;0),(AT168-AU168)/AV168,"")</f>
        <v>0.13636363636363635</v>
      </c>
      <c r="AX168" s="8" t="n">
        <v>25</v>
      </c>
      <c r="AY168" s="8" t="n">
        <v>0</v>
      </c>
      <c r="AZ168" s="8" t="n">
        <v>178</v>
      </c>
      <c r="BA168" s="11" t="n">
        <f>IF(AND(COUNT(AX168:AZ168)=3,AX168&gt;=AY168,AY168&gt;=0,AZ168&gt;0),(AX168-AY168)/AZ168,"")</f>
        <v>0.1404494382022472</v>
      </c>
      <c r="BB168" s="8" t="n">
        <f>IF(COUNT(AS168,AW168,BA168)=3,1,0)</f>
        <v>1</v>
      </c>
      <c r="BC168" s="11" t="n">
        <f>IF(SUMIF($AO$11:$AO$1309,AO168,$BB$11:$BB$1309)=COUNTIF($AO$11:$AO$1309,AO168),SUMIF($AO$11:$AO$1309,AO168,$AS$11:$AS$1309),"")</f>
        <v>11.479673646705146</v>
      </c>
      <c r="BD168" s="11" t="n">
        <f>IF(SUMIF($AO$11:$AO$1309,AO168,$BB$11:$BB$1309)=COUNTIF($AO$11:$AO$1309,AO168),SUMIF($AO$11:$AO$1309,AO168,$AW$11:$AW$1309),"")</f>
        <v>12.119251336898396</v>
      </c>
      <c r="BE168" s="11" t="n">
        <f>IF(SUMIF($AO$11:$AO$1309,AO168,$BB$11:$BB$1309)=COUNTIF($AO$11:$AO$1309,AO168),SUMIF($AO$11:$AO$1309,AO168,$BA$11:$BA$1309),"")</f>
        <v>10.255120385232745</v>
      </c>
      <c r="BF168" s="12" t="n">
        <f>IF(COUNT(BD168:BE168)&lt;&gt;2,"",IF(AND(BD168&gt;0,BE168&gt;0),0.7*AW168/BD168+0.3*BA168/BE168,IF(BD168&gt;0,AW168/BD168,IF(BE168&gt;0,BA168/BE168,IF(AND(ISNUMBER(BH168),BH168=0),0,"")))))</f>
        <v>0.011984936886035396</v>
      </c>
      <c r="BG168" s="11" t="n">
        <f>IF(AND(COUNT(BN168:BU168)=8,MIN(BN168:BU168)&gt;=0),SUMPRODUCT(BN168:BQ168,BR168:BU168),"")</f>
        <v>73.80791239847399</v>
      </c>
      <c r="BH168" s="11" t="n">
        <f>IF(COUNT(BC168,BG168)=2,BC168*BG168,"")</f>
        <v>847.2907468790838</v>
      </c>
      <c r="BI168" s="11" t="n">
        <f>IF(ISNUMBER(CI168),CI168,"")</f>
        <v>10.154726125467613</v>
      </c>
      <c r="BJ168" s="8" t="str">
        <v>低销提醒依据不完整</v>
      </c>
      <c r="BK168" s="8" t="str">
        <v>90天：2026-07-20 至 2026-10-17；180天：2026-04-21 至 2026-10-17</v>
      </c>
      <c r="BL168" s="8" t="str">
        <v>90天：2026-10-06、2026-10-07；180天：2026-10-06、2026-10-07</v>
      </c>
      <c r="BM168" s="8" t="str">
        <v>2026-10：12天 × 1.2247029157699902；2026-11：30天 × 0.8332682139098497；2026-12：31天 × 0.5511018253564084；2027-01：17天 × 1.0017220238758797</v>
      </c>
      <c r="BN168" s="11" t="n">
        <v>1.2247029157699902</v>
      </c>
      <c r="BO168" s="11" t="n">
        <v>0.8332682139098497</v>
      </c>
      <c r="BP168" s="11" t="n">
        <v>0.5511018253564084</v>
      </c>
      <c r="BQ168" s="11" t="n">
        <v>1.0017220238758797</v>
      </c>
      <c r="BR168" s="8" t="n">
        <v>12</v>
      </c>
      <c r="BS168" s="8" t="n">
        <v>30</v>
      </c>
      <c r="BT168" s="8" t="n">
        <v>31</v>
      </c>
      <c r="BU168" s="8" t="n">
        <v>17</v>
      </c>
      <c r="BV168" s="11" t="n">
        <f>IF(COUNT(BC168,BF168)=2,BC168*BF168,"")</f>
        <v>0.13758316412804497</v>
      </c>
      <c r="BW168" s="11" t="n">
        <f>IF(ISNUMBER(BN168),BN168,"")</f>
        <v>1.2247029157699902</v>
      </c>
      <c r="BX168" s="14" t="n">
        <f>IF(ISNUMBER(BR168),BR168,"")</f>
        <v>12</v>
      </c>
      <c r="BY168" s="13" t="n">
        <f>IF(AND(COUNT(BV168,BW168,BX168)=3,MIN(BV168,BW168,BX168)&gt;=0),BV168*BW168*BX168,"")</f>
        <v>2.0219820272217337</v>
      </c>
      <c r="BZ168" s="11" t="n">
        <f>IF(ISNUMBER(BO168),BO168,"")</f>
        <v>0.8332682139098497</v>
      </c>
      <c r="CA168" s="14" t="n">
        <f>IF(ISNUMBER(BS168),BS168,"")</f>
        <v>30</v>
      </c>
      <c r="CB168" s="13" t="n">
        <f>IF(AND(COUNT(BV168,BZ168,CA168)=3,MIN(BV168,BZ168,CA168)&gt;=0),BV168*BZ168*CA168,"")</f>
        <v>3.4393103231112523</v>
      </c>
      <c r="CC168" s="11" t="n">
        <f>IF(ISNUMBER(BP168),BP168,"")</f>
        <v>0.5511018253564084</v>
      </c>
      <c r="CD168" s="14" t="n">
        <f>IF(ISNUMBER(BT168),BT168,"")</f>
        <v>31</v>
      </c>
      <c r="CE168" s="13" t="n">
        <f>IF(AND(COUNT(BV168,CC168,CD168)=3,MIN(BV168,CC168,CD168)&gt;=0),BV168*CC168*CD168,"")</f>
        <v>2.3504923195675533</v>
      </c>
      <c r="CF168" s="11" t="n">
        <f>IF(ISNUMBER(BQ168),BQ168,"")</f>
        <v>1.0017220238758797</v>
      </c>
      <c r="CG168" s="14" t="n">
        <f>IF(ISNUMBER(BU168),BU168,"")</f>
        <v>17</v>
      </c>
      <c r="CH168" s="13" t="n">
        <f>IF(AND(COUNT(BV168,CF168,CG168)=3,MIN(BV168,CF168,CG168)&gt;=0),BV168*CF168*CG168,"")</f>
        <v>2.342941455567073</v>
      </c>
      <c r="CI168" s="13" t="n">
        <f>IF(COUNT(BY168,CB168,CE168,CH168)=4,SUM(BY168,CB168,CE168,CH168),"")</f>
        <v>10.154726125467613</v>
      </c>
    </row>
    <row r="169" ht="72" customHeight="1">
      <c r="A169" s="16" t="str">
        <v>B06b-BK-40</v>
      </c>
      <c r="B169" s="16" t="str">
        <v>1店-MUSSHOE-US</v>
      </c>
      <c r="C169" s="16" t="str">
        <v>艾年</v>
      </c>
      <c r="D169" s="26" t="n">
        <f>IF(NOT(ISNUMBER(E169)),"",IF(OR(E169&lt;=0,L169=0),0,IF(OR(NOT(ISNUMBER(F169)),F169&lt;0),"",MIN(E169,INT(F169)))))</f>
        <v>4</v>
      </c>
      <c r="E169" s="27" t="n">
        <f>IF(OR(NOT(ISNUMBER(L169)),COUNT(M169:O169)&lt;&gt;3,MIN(M169:O169)&lt;0),"",ROUNDUP(ROUND(BI169-SUM(M169:O169),10),0))</f>
        <v>38</v>
      </c>
      <c r="F169" s="28" t="n">
        <v>4</v>
      </c>
      <c r="G169" s="28" t="n">
        <f>IF(AND(ISNUMBER(D169),ISNUMBER(E169)),IF(OR(E169&lt;=0,L169=0),0,E169-D169),"")</f>
        <v>34</v>
      </c>
      <c r="H169" s="16" t="str">
        <f>IF(NOT(ISNUMBER(E169)),"销量或海外库存待补",IF(OR(E169&lt;=0,L169=0),IF(L169=0,"零日销，本批不发","本批无需补货"),IF(NOT(ISNUMBER(D169)),"国内库存待补",IF(D169=0,"国内无可用库存",IF(G169&gt;0,"先发国内现货","按建议量发货")))))</f>
        <v>先发国内现货</v>
      </c>
      <c r="I169" s="28" t="n">
        <f>IF(AND(COUNT(Z169,AA169,AB169)=3,Z169&gt;=AA169,AA169&gt;=0,AB169=7),Z169-AA169,"")</f>
        <v>13</v>
      </c>
      <c r="J169" s="28" t="n">
        <f>IF(AND(COUNT(AF169,AG169,AH169)=3,AF169&gt;=AG169,AG169&gt;=0,AH169=14),AF169-AG169,"")</f>
        <v>17</v>
      </c>
      <c r="K169" s="28" t="n">
        <f>IF(AND(COUNT(AL169,AM169,AN169)=3,AL169&gt;=AM169,AM169&gt;=0,AN169=30),AL169-AM169,"")</f>
        <v>36</v>
      </c>
      <c r="L169" s="29" t="n">
        <f>IF(ISNUMBER(BI169),BI169/90,"")</f>
        <v>1.1238189614965373</v>
      </c>
      <c r="M169" s="28" t="n">
        <v>56</v>
      </c>
      <c r="N169" s="28" t="n">
        <v>1</v>
      </c>
      <c r="O169" s="28" t="n">
        <v>7</v>
      </c>
      <c r="P169" s="30" t="n">
        <f>IF(AND(ISNUMBER(L169),L169&gt;0,COUNT(M169:O169)=3,MIN(M169:O169)&gt;=0),SUM(M169:O169)/L169,"")</f>
        <v>56.948674290718664</v>
      </c>
      <c r="Q169" s="16" t="str">
        <v>沿用原计划SKU店铺</v>
      </c>
      <c r="R169" s="16" t="str">
        <v>已匹配</v>
      </c>
      <c r="S169" s="16" t="str">
        <v>在售</v>
      </c>
      <c r="T169" s="16" t="str">
        <v>B06b</v>
      </c>
      <c r="U169" s="16" t="str">
        <v>黑色羊京绒</v>
      </c>
      <c r="V169" s="16" t="n">
        <v>9</v>
      </c>
      <c r="W169" s="8" t="str">
        <v>2026-10-11 至 2026-10-17</v>
      </c>
      <c r="X169" s="8" t="str">
        <v>2026-10-11、2026-10-12、2026-10-13、2026-10-14、2026-10-15、2026-10-16、2026-10-17</v>
      </c>
      <c r="Y169" s="8" t="str">
        <v>无</v>
      </c>
      <c r="Z169" s="8" t="n">
        <v>13</v>
      </c>
      <c r="AA169" s="8" t="n">
        <v>0</v>
      </c>
      <c r="AB169" s="8" t="n">
        <v>7</v>
      </c>
      <c r="AC169" s="8" t="str">
        <v>2026-10-02 至 2026-10-17</v>
      </c>
      <c r="AD169" s="8" t="str">
        <v>2026-10-02、2026-10-03、2026-10-04、2026-10-05、2026-10-08、2026-10-09、2026-10-10、2026-10-11、2026-10-12、2026-10-13、2026-10-14、2026-10-15、2026-10-16、2026-10-17</v>
      </c>
      <c r="AE169" s="8" t="str">
        <v>2026-10-06 大促；2026-10-07 大促</v>
      </c>
      <c r="AF169" s="8" t="n">
        <v>27</v>
      </c>
      <c r="AG169" s="8" t="n">
        <v>10</v>
      </c>
      <c r="AH169" s="8" t="n">
        <v>14</v>
      </c>
      <c r="AI169" s="8" t="str">
        <v>2026-09-16 至 2026-10-17</v>
      </c>
      <c r="AJ1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69" s="8" t="str">
        <v>2026-10-06 大促；2026-10-07 大促</v>
      </c>
      <c r="AL169" s="8" t="n">
        <v>46</v>
      </c>
      <c r="AM169" s="8" t="n">
        <v>10</v>
      </c>
      <c r="AN169" s="8" t="n">
        <v>30</v>
      </c>
      <c r="AO169" s="8" t="str">
        <v>B06b / 黑色羊京绒 / 13120</v>
      </c>
      <c r="AP169" s="11" t="n">
        <v>1.1090677182221615</v>
      </c>
      <c r="AQ169" s="11" t="n">
        <v>1.1090677182221615</v>
      </c>
      <c r="AR169" s="11" t="n">
        <v>0.9505188216044452</v>
      </c>
      <c r="AS169" s="11" t="n">
        <f>IF(AND(COUNT(I169:K169,AP169:AR169)=6,MIN(AP169:AR169)&gt;0),I169/7/AP169*0.5+J169/14/AQ169*0.3+K169/30/AR169*0.2,"")</f>
        <v>1.4182089264576763</v>
      </c>
      <c r="AT169" s="8" t="n">
        <v>76</v>
      </c>
      <c r="AU169" s="8" t="n">
        <v>10</v>
      </c>
      <c r="AV169" s="8" t="n">
        <v>88</v>
      </c>
      <c r="AW169" s="11" t="n">
        <f>IF(AND(COUNT(AT169:AV169)=3,AT169&gt;=AU169,AU169&gt;=0,AV169&gt;0),(AT169-AU169)/AV169,"")</f>
        <v>0.75</v>
      </c>
      <c r="AX169" s="8" t="n">
        <v>113</v>
      </c>
      <c r="AY169" s="8" t="n">
        <v>10</v>
      </c>
      <c r="AZ169" s="8" t="n">
        <v>178</v>
      </c>
      <c r="BA169" s="11" t="n">
        <f>IF(AND(COUNT(AX169:AZ169)=3,AX169&gt;=AY169,AY169&gt;=0,AZ169&gt;0),(AX169-AY169)/AZ169,"")</f>
        <v>0.5786516853932584</v>
      </c>
      <c r="BB169" s="8" t="n">
        <f>IF(COUNT(AS169,AW169,BA169)=3,1,0)</f>
        <v>1</v>
      </c>
      <c r="BC169" s="11" t="n">
        <f>IF(SUMIF($AO$11:$AO$1309,AO169,$BB$11:$BB$1309)=COUNTIF($AO$11:$AO$1309,AO169),SUMIF($AO$11:$AO$1309,AO169,$AS$11:$AS$1309),"")</f>
        <v>8.918815730624303</v>
      </c>
      <c r="BD169" s="11" t="n">
        <f>IF(SUMIF($AO$11:$AO$1309,AO169,$BB$11:$BB$1309)=COUNTIF($AO$11:$AO$1309,AO169),SUMIF($AO$11:$AO$1309,AO169,$AW$11:$AW$1309),"")</f>
        <v>6.183288770053475</v>
      </c>
      <c r="BE169" s="11" t="n">
        <f>IF(SUMIF($AO$11:$AO$1309,AO169,$BB$11:$BB$1309)=COUNTIF($AO$11:$AO$1309,AO169),SUMIF($AO$11:$AO$1309,AO169,$BA$11:$BA$1309),"")</f>
        <v>4.941926163723917</v>
      </c>
      <c r="BF169" s="12" t="n">
        <f>IF(COUNT(BD169:BE169)&lt;&gt;2,"",IF(AND(BD169&gt;0,BE169&gt;0),0.7*AW169/BD169+0.3*BA169/BE169,IF(BD169&gt;0,AW169/BD169,IF(BE169&gt;0,BA169/BE169,IF(AND(ISNUMBER(BH169),BH169=0),0,"")))))</f>
        <v>0.1200333664432739</v>
      </c>
      <c r="BG169" s="11" t="n">
        <f>IF(AND(COUNT(BN169:BU169)=8,MIN(BN169:BU169)&gt;=0),SUMPRODUCT(BN169:BQ169,BR169:BU169),"")</f>
        <v>94.47778160343367</v>
      </c>
      <c r="BH169" s="11" t="n">
        <f>IF(COUNT(BC169,BG169)=2,BC169*BG169,"")</f>
        <v>842.6299247591916</v>
      </c>
      <c r="BI169" s="11" t="n">
        <f>IF(ISNUMBER(CI169),CI169,"")</f>
        <v>101.14370653468836</v>
      </c>
      <c r="BJ169" s="8" t="str"/>
      <c r="BK169" s="8" t="str">
        <v>90天：2026-07-20 至 2026-10-17；180天：2026-04-21 至 2026-10-17</v>
      </c>
      <c r="BL169" s="8" t="str">
        <v>90天：2026-10-06、2026-10-07；180天：2026-10-06、2026-10-07</v>
      </c>
      <c r="BM169" s="8" t="str">
        <v>2026-10：12天 × 1.1090677182221615；2026-11：30天 × 1.0372741535934282；2026-12：31天 × 0.979949351738161；2027-01：17天 × 1.1571949690048173</v>
      </c>
      <c r="BN169" s="11" t="n">
        <v>1.1090677182221615</v>
      </c>
      <c r="BO169" s="11" t="n">
        <v>1.0372741535934282</v>
      </c>
      <c r="BP169" s="11" t="n">
        <v>0.979949351738161</v>
      </c>
      <c r="BQ169" s="11" t="n">
        <v>1.1571949690048173</v>
      </c>
      <c r="BR169" s="8" t="n">
        <v>12</v>
      </c>
      <c r="BS169" s="8" t="n">
        <v>30</v>
      </c>
      <c r="BT169" s="8" t="n">
        <v>31</v>
      </c>
      <c r="BU169" s="8" t="n">
        <v>17</v>
      </c>
      <c r="BV169" s="11" t="n">
        <f>IF(COUNT(BC169,BF169)=2,BC169*BF169,"")</f>
        <v>1.0705554768340626</v>
      </c>
      <c r="BW169" s="11" t="n">
        <f>IF(ISNUMBER(BN169),BN169,"")</f>
        <v>1.1090677182221615</v>
      </c>
      <c r="BX169" s="14" t="n">
        <f>IF(ISNUMBER(BR169),BR169,"")</f>
        <v>12</v>
      </c>
      <c r="BY169" s="13" t="n">
        <f>IF(AND(COUNT(BV169,BW169,BX169)=3,MIN(BV169,BW169,BX169)&gt;=0),BV169*BW169*BX169,"")</f>
        <v>14.247822239071104</v>
      </c>
      <c r="BZ169" s="11" t="n">
        <f>IF(ISNUMBER(BO169),BO169,"")</f>
        <v>1.0372741535934282</v>
      </c>
      <c r="CA169" s="14" t="n">
        <f>IF(ISNUMBER(BS169),BS169,"")</f>
        <v>30</v>
      </c>
      <c r="CB169" s="13" t="n">
        <f>IF(AND(COUNT(BV169,BZ169,CA169)=3,MIN(BV169,BZ169,CA169)&gt;=0),BV169*BZ169*CA169,"")</f>
        <v>33.313785783235836</v>
      </c>
      <c r="CC169" s="11" t="n">
        <f>IF(ISNUMBER(BP169),BP169,"")</f>
        <v>0.979949351738161</v>
      </c>
      <c r="CD169" s="14" t="n">
        <f>IF(ISNUMBER(BT169),BT169,"")</f>
        <v>31</v>
      </c>
      <c r="CE169" s="13" t="n">
        <f>IF(AND(COUNT(BV169,CC169,CD169)=3,MIN(BV169,CC169,CD169)&gt;=0),BV169*CC169*CD169,"")</f>
        <v>32.5217945112216</v>
      </c>
      <c r="CF169" s="11" t="n">
        <f>IF(ISNUMBER(BQ169),BQ169,"")</f>
        <v>1.1571949690048173</v>
      </c>
      <c r="CG169" s="14" t="n">
        <f>IF(ISNUMBER(BU169),BU169,"")</f>
        <v>17</v>
      </c>
      <c r="CH169" s="13" t="n">
        <f>IF(AND(COUNT(BV169,CF169,CG169)=3,MIN(BV169,CF169,CG169)&gt;=0),BV169*CF169*CG169,"")</f>
        <v>21.060304001159817</v>
      </c>
      <c r="CI169" s="13" t="n">
        <f>IF(COUNT(BY169,CB169,CE169,CH169)=4,SUM(BY169,CB169,CE169,CH169),"")</f>
        <v>101.14370653468836</v>
      </c>
    </row>
    <row r="170" ht="72" customHeight="1">
      <c r="A170" s="16" t="str">
        <v>B07-BK-37.5</v>
      </c>
      <c r="B170" s="16" t="str">
        <v>4店-彬郁-US</v>
      </c>
      <c r="C170" s="16" t="str">
        <v>艾年</v>
      </c>
      <c r="D170" s="26" t="n">
        <f>IF(NOT(ISNUMBER(E170)),"",IF(OR(E170&lt;=0,L170=0),0,IF(OR(NOT(ISNUMBER(F170)),F170&lt;0),"",MIN(E170,INT(F170)))))</f>
        <v>4</v>
      </c>
      <c r="E170" s="27" t="n">
        <f>IF(OR(NOT(ISNUMBER(L170)),COUNT(M170:O170)&lt;&gt;3,MIN(M170:O170)&lt;0),"",ROUNDUP(ROUND(BI170-SUM(M170:O170),10),0))</f>
        <v>11</v>
      </c>
      <c r="F170" s="28" t="n">
        <v>4</v>
      </c>
      <c r="G170" s="28" t="n">
        <f>IF(AND(ISNUMBER(D170),ISNUMBER(E170)),IF(OR(E170&lt;=0,L170=0),0,E170-D170),"")</f>
        <v>7</v>
      </c>
      <c r="H170" s="16" t="str">
        <f>IF(NOT(ISNUMBER(E170)),"销量或海外库存待补",IF(OR(E170&lt;=0,L170=0),IF(L170=0,"零日销，本批不发","本批无需补货"),IF(NOT(ISNUMBER(D170)),"国内库存待补",IF(D170=0,"国内无可用库存",IF(G170&gt;0,"先发国内现货","按建议量发货")))))</f>
        <v>先发国内现货</v>
      </c>
      <c r="I170" s="28" t="n">
        <f>IF(AND(COUNT(Z170,AA170,AB170)=3,Z170&gt;=AA170,AA170&gt;=0,AB170=7),Z170-AA170,"")</f>
        <v>0</v>
      </c>
      <c r="J170" s="28" t="n">
        <f>IF(AND(COUNT(AF170,AG170,AH170)=3,AF170&gt;=AG170,AG170&gt;=0,AH170=14),AF170-AG170,"")</f>
        <v>0</v>
      </c>
      <c r="K170" s="28" t="n">
        <f>IF(AND(COUNT(AL170,AM170,AN170)=3,AL170&gt;=AM170,AM170&gt;=0,AN170=30),AL170-AM170,"")</f>
        <v>6</v>
      </c>
      <c r="L170" s="29" t="n">
        <f>IF(ISNUMBER(BI170),BI170/90,"")</f>
        <v>0.2326532256586328</v>
      </c>
      <c r="M170" s="28" t="n">
        <v>1</v>
      </c>
      <c r="N170" s="28" t="n">
        <v>0</v>
      </c>
      <c r="O170" s="28" t="n">
        <v>9</v>
      </c>
      <c r="P170" s="30" t="n">
        <f>IF(AND(ISNUMBER(L170),L170&gt;0,COUNT(M170:O170)=3,MIN(M170:O170)&gt;=0),SUM(M170:O170)/L170,"")</f>
        <v>42.98242576130361</v>
      </c>
      <c r="Q170" s="16" t="str">
        <v>沿用原计划SKU店铺</v>
      </c>
      <c r="R170" s="16" t="str">
        <v>已匹配</v>
      </c>
      <c r="S170" s="16" t="str">
        <v>在售</v>
      </c>
      <c r="T170" s="16" t="str">
        <v>B07</v>
      </c>
      <c r="U170" s="16" t="str">
        <v>黑色羊京绒</v>
      </c>
      <c r="V170" s="16" t="n">
        <v>6.5</v>
      </c>
      <c r="W170" s="8" t="str">
        <v>2026-10-11 至 2026-10-17</v>
      </c>
      <c r="X170" s="8" t="str">
        <v>2026-10-11、2026-10-12、2026-10-13、2026-10-14、2026-10-15、2026-10-16、2026-10-17</v>
      </c>
      <c r="Y170" s="8" t="str">
        <v>无</v>
      </c>
      <c r="Z170" s="8" t="n">
        <v>0</v>
      </c>
      <c r="AA170" s="8" t="n">
        <v>0</v>
      </c>
      <c r="AB170" s="8" t="n">
        <v>7</v>
      </c>
      <c r="AC170" s="8" t="str">
        <v>2026-10-02 至 2026-10-17</v>
      </c>
      <c r="AD170" s="8" t="str">
        <v>2026-10-02、2026-10-03、2026-10-04、2026-10-05、2026-10-08、2026-10-09、2026-10-10、2026-10-11、2026-10-12、2026-10-13、2026-10-14、2026-10-15、2026-10-16、2026-10-17</v>
      </c>
      <c r="AE170" s="8" t="str">
        <v>2026-10-06 大促；2026-10-07 大促</v>
      </c>
      <c r="AF170" s="8" t="n">
        <v>0</v>
      </c>
      <c r="AG170" s="8" t="n">
        <v>0</v>
      </c>
      <c r="AH170" s="8" t="n">
        <v>14</v>
      </c>
      <c r="AI170" s="8" t="str">
        <v>2026-09-16 至 2026-10-17</v>
      </c>
      <c r="AJ1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0" s="8" t="str">
        <v>2026-10-06 大促；2026-10-07 大促</v>
      </c>
      <c r="AL170" s="8" t="n">
        <v>6</v>
      </c>
      <c r="AM170" s="8" t="n">
        <v>0</v>
      </c>
      <c r="AN170" s="8" t="n">
        <v>30</v>
      </c>
      <c r="AO170" s="8" t="str">
        <v>B07 / 黑色天鹅绒 / 13306</v>
      </c>
      <c r="AP170" s="11" t="n">
        <v>0.7307750238224848</v>
      </c>
      <c r="AQ170" s="11" t="n">
        <v>0.7307750238224848</v>
      </c>
      <c r="AR170" s="11" t="n">
        <v>0.7449809054134506</v>
      </c>
      <c r="AS170" s="11" t="n">
        <f>IF(AND(COUNT(I170:K170,AP170:AR170)=6,MIN(AP170:AR170)&gt;0),I170/7/AP170*0.5+J170/14/AQ170*0.3+K170/30/AR170*0.2,"")</f>
        <v>0.05369265132748703</v>
      </c>
      <c r="AT170" s="8" t="n">
        <v>11</v>
      </c>
      <c r="AU170" s="8" t="n">
        <v>0</v>
      </c>
      <c r="AV170" s="8" t="n">
        <v>88</v>
      </c>
      <c r="AW170" s="11" t="n">
        <f>IF(AND(COUNT(AT170:AV170)=3,AT170&gt;=AU170,AU170&gt;=0,AV170&gt;0),(AT170-AU170)/AV170,"")</f>
        <v>0.125</v>
      </c>
      <c r="AX170" s="8" t="n">
        <v>23</v>
      </c>
      <c r="AY170" s="8" t="n">
        <v>0</v>
      </c>
      <c r="AZ170" s="8" t="n">
        <v>178</v>
      </c>
      <c r="BA170" s="11" t="n">
        <f>IF(AND(COUNT(AX170:AZ170)=3,AX170&gt;=AY170,AY170&gt;=0,AZ170&gt;0),(AX170-AY170)/AZ170,"")</f>
        <v>0.12921348314606743</v>
      </c>
      <c r="BB170" s="8" t="n">
        <f>IF(COUNT(AS170,AW170,BA170)=3,1,0)</f>
        <v>1</v>
      </c>
      <c r="BC170" s="11" t="n">
        <f>IF(SUMIF($AO$11:$AO$1309,AO170,$BB$11:$BB$1309)=COUNTIF($AO$11:$AO$1309,AO170),SUMIF($AO$11:$AO$1309,AO170,$AS$11:$AS$1309),"")</f>
        <v>11.92937132043239</v>
      </c>
      <c r="BD170" s="11" t="n">
        <f>IF(SUMIF($AO$11:$AO$1309,AO170,$BB$11:$BB$1309)=COUNTIF($AO$11:$AO$1309,AO170),SUMIF($AO$11:$AO$1309,AO170,$AW$11:$AW$1309),"")</f>
        <v>5.794919786096258</v>
      </c>
      <c r="BE170" s="11" t="n">
        <f>IF(SUMIF($AO$11:$AO$1309,AO170,$BB$11:$BB$1309)=COUNTIF($AO$11:$AO$1309,AO170),SUMIF($AO$11:$AO$1309,AO170,$BA$11:$BA$1309),"")</f>
        <v>5.3098234349919755</v>
      </c>
      <c r="BF170" s="12" t="n">
        <f>IF(COUNT(BD170:BE170)&lt;&gt;2,"",IF(AND(BD170&gt;0,BE170&gt;0),0.7*AW170/BD170+0.3*BA170/BE170,IF(BD170&gt;0,AW170/BD170,IF(BE170&gt;0,BA170/BE170,IF(AND(ISNUMBER(BH170),BH170=0),0,"")))))</f>
        <v>0.022399872011435076</v>
      </c>
      <c r="BG170" s="11" t="n">
        <f>IF(AND(COUNT(BN170:BU170)=8,MIN(BN170:BU170)&gt;=0),SUMPRODUCT(BN170:BQ170,BR170:BU170),"")</f>
        <v>78.35892944347341</v>
      </c>
      <c r="BH170" s="11" t="n">
        <f>IF(COUNT(BC170,BG170)=2,BC170*BG170,"")</f>
        <v>934.7727656027569</v>
      </c>
      <c r="BI170" s="11" t="n">
        <f>IF(ISNUMBER(CI170),CI170,"")</f>
        <v>20.938790309276953</v>
      </c>
      <c r="BJ170" s="8" t="str">
        <v>低销提醒依据不完整</v>
      </c>
      <c r="BK170" s="8" t="str">
        <v>90天：2026-07-20 至 2026-10-17；180天：2026-04-21 至 2026-10-17</v>
      </c>
      <c r="BL170" s="8" t="str">
        <v>90天：2026-10-06、2026-10-07；180天：2026-10-06、2026-10-07</v>
      </c>
      <c r="BM170" s="8" t="str">
        <v>2026-10：12天 × 0.7307750238224848；2026-11：30天 × 0.9523018155490097；2026-12：31天 × 0.5958545198749097；2027-01：17天 × 1.3264167397065354</v>
      </c>
      <c r="BN170" s="11" t="n">
        <v>0.7307750238224848</v>
      </c>
      <c r="BO170" s="11" t="n">
        <v>0.9523018155490097</v>
      </c>
      <c r="BP170" s="11" t="n">
        <v>0.5958545198749097</v>
      </c>
      <c r="BQ170" s="11" t="n">
        <v>1.3264167397065354</v>
      </c>
      <c r="BR170" s="8" t="n">
        <v>12</v>
      </c>
      <c r="BS170" s="8" t="n">
        <v>30</v>
      </c>
      <c r="BT170" s="8" t="n">
        <v>31</v>
      </c>
      <c r="BU170" s="8" t="n">
        <v>17</v>
      </c>
      <c r="BV170" s="11" t="n">
        <f>IF(COUNT(BC170,BF170)=2,BC170*BF170,"")</f>
        <v>0.26721639075456977</v>
      </c>
      <c r="BW170" s="11" t="n">
        <f>IF(ISNUMBER(BN170),BN170,"")</f>
        <v>0.7307750238224848</v>
      </c>
      <c r="BX170" s="14" t="n">
        <f>IF(ISNUMBER(BR170),BR170,"")</f>
        <v>12</v>
      </c>
      <c r="BY170" s="13" t="n">
        <f>IF(AND(COUNT(BV170,BW170,BX170)=3,MIN(BV170,BW170,BX170)&gt;=0),BV170*BW170*BX170,"")</f>
        <v>2.3433007718331496</v>
      </c>
      <c r="BZ170" s="11" t="n">
        <f>IF(ISNUMBER(BO170),BO170,"")</f>
        <v>0.9523018155490097</v>
      </c>
      <c r="CA170" s="14" t="n">
        <f>IF(ISNUMBER(BS170),BS170,"")</f>
        <v>30</v>
      </c>
      <c r="CB170" s="13" t="n">
        <f>IF(AND(COUNT(BV170,BZ170,CA170)=3,MIN(BV170,BZ170,CA170)&gt;=0),BV170*BZ170*CA170,"")</f>
        <v>7.634119621800911</v>
      </c>
      <c r="CC170" s="11" t="n">
        <f>IF(ISNUMBER(BP170),BP170,"")</f>
        <v>0.5958545198749097</v>
      </c>
      <c r="CD170" s="14" t="n">
        <f>IF(ISNUMBER(BT170),BT170,"")</f>
        <v>31</v>
      </c>
      <c r="CE170" s="13" t="n">
        <f>IF(AND(COUNT(BV170,CC170,CD170)=3,MIN(BV170,CC170,CD170)&gt;=0),BV170*CC170*CD170,"")</f>
        <v>4.935884920688883</v>
      </c>
      <c r="CF170" s="11" t="n">
        <f>IF(ISNUMBER(BQ170),BQ170,"")</f>
        <v>1.3264167397065354</v>
      </c>
      <c r="CG170" s="14" t="n">
        <f>IF(ISNUMBER(BU170),BU170,"")</f>
        <v>17</v>
      </c>
      <c r="CH170" s="13" t="n">
        <f>IF(AND(COUNT(BV170,CF170,CG170)=3,MIN(BV170,CF170,CG170)&gt;=0),BV170*CF170*CG170,"")</f>
        <v>6.025484994954009</v>
      </c>
      <c r="CI170" s="13" t="n">
        <f>IF(COUNT(BY170,CB170,CE170,CH170)=4,SUM(BY170,CB170,CE170,CH170),"")</f>
        <v>20.938790309276953</v>
      </c>
    </row>
    <row r="171" ht="72" customHeight="1">
      <c r="A171" s="16" t="str">
        <v>8392-LP-38</v>
      </c>
      <c r="B171" s="16" t="str">
        <v>3店-SANDIEX-US</v>
      </c>
      <c r="C171" s="16" t="str">
        <v>徐新怡</v>
      </c>
      <c r="D171" s="26" t="n">
        <f>IF(NOT(ISNUMBER(E171)),"",IF(OR(E171&lt;=0,L171=0),0,IF(OR(NOT(ISNUMBER(F171)),F171&lt;0),"",MIN(E171,INT(F171)))))</f>
        <v>4</v>
      </c>
      <c r="E171" s="27" t="n">
        <f>IF(OR(NOT(ISNUMBER(L171)),COUNT(M171:O171)&lt;&gt;3,MIN(M171:O171)&lt;0),"",ROUNDUP(ROUND(BI171-SUM(M171:O171),10),0))</f>
        <v>10</v>
      </c>
      <c r="F171" s="28" t="n">
        <v>4</v>
      </c>
      <c r="G171" s="28" t="n">
        <f>IF(AND(ISNUMBER(D171),ISNUMBER(E171)),IF(OR(E171&lt;=0,L171=0),0,E171-D171),"")</f>
        <v>6</v>
      </c>
      <c r="H171" s="16" t="str">
        <f>IF(NOT(ISNUMBER(E171)),"销量或海外库存待补",IF(OR(E171&lt;=0,L171=0),IF(L171=0,"零日销，本批不发","本批无需补货"),IF(NOT(ISNUMBER(D171)),"国内库存待补",IF(D171=0,"国内无可用库存",IF(G171&gt;0,"先发国内现货","按建议量发货")))))</f>
        <v>先发国内现货</v>
      </c>
      <c r="I171" s="28" t="n">
        <f>IF(AND(COUNT(Z171,AA171,AB171)=3,Z171&gt;=AA171,AA171&gt;=0,AB171=7),Z171-AA171,"")</f>
        <v>2</v>
      </c>
      <c r="J171" s="28" t="n">
        <f>IF(AND(COUNT(AF171,AG171,AH171)=3,AF171&gt;=AG171,AG171&gt;=0,AH171=14),AF171-AG171,"")</f>
        <v>3</v>
      </c>
      <c r="K171" s="28" t="n">
        <f>IF(AND(COUNT(AL171,AM171,AN171)=3,AL171&gt;=AM171,AM171&gt;=0,AN171=30),AL171-AM171,"")</f>
        <v>6</v>
      </c>
      <c r="L171" s="29" t="n">
        <f>IF(ISNUMBER(BI171),BI171/90,"")</f>
        <v>0.26850387088194705</v>
      </c>
      <c r="M171" s="28" t="n">
        <v>15</v>
      </c>
      <c r="N171" s="28" t="n">
        <v>0</v>
      </c>
      <c r="O171" s="28" t="n">
        <v>0</v>
      </c>
      <c r="P171" s="30" t="n">
        <f>IF(AND(ISNUMBER(L171),L171&gt;0,COUNT(M171:O171)=3,MIN(M171:O171)&gt;=0),SUM(M171:O171)/L171,"")</f>
        <v>55.86511639750267</v>
      </c>
      <c r="Q171" s="16" t="str">
        <v>按本SKU唯一未删除Listing店铺核实</v>
      </c>
      <c r="R171" s="16" t="str">
        <v>已匹配</v>
      </c>
      <c r="S171" s="16" t="str">
        <v>在售</v>
      </c>
      <c r="T171" s="16" t="str">
        <v>8392</v>
      </c>
      <c r="U171" s="16" t="str">
        <v>豹纹</v>
      </c>
      <c r="V171" s="16" t="n">
        <v>7</v>
      </c>
      <c r="W171" s="8" t="str">
        <v>2026-10-11 至 2026-10-17</v>
      </c>
      <c r="X171" s="8" t="str">
        <v>2026-10-11、2026-10-12、2026-10-13、2026-10-14、2026-10-15、2026-10-16、2026-10-17</v>
      </c>
      <c r="Y171" s="8" t="str">
        <v>无</v>
      </c>
      <c r="Z171" s="8" t="n">
        <v>2</v>
      </c>
      <c r="AA171" s="8" t="n">
        <v>0</v>
      </c>
      <c r="AB171" s="8" t="n">
        <v>7</v>
      </c>
      <c r="AC171" s="8" t="str">
        <v>2026-10-02 至 2026-10-17</v>
      </c>
      <c r="AD171" s="8" t="str">
        <v>2026-10-02、2026-10-03、2026-10-04、2026-10-05、2026-10-08、2026-10-09、2026-10-10、2026-10-11、2026-10-12、2026-10-13、2026-10-14、2026-10-15、2026-10-16、2026-10-17</v>
      </c>
      <c r="AE171" s="8" t="str">
        <v>2026-10-06 大促；2026-10-07 大促</v>
      </c>
      <c r="AF171" s="8" t="n">
        <v>12</v>
      </c>
      <c r="AG171" s="8" t="n">
        <v>9</v>
      </c>
      <c r="AH171" s="8" t="n">
        <v>14</v>
      </c>
      <c r="AI171" s="8" t="str">
        <v>2026-09-16 至 2026-10-17</v>
      </c>
      <c r="AJ1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1" s="8" t="str">
        <v>2026-10-06 大促；2026-10-07 大促</v>
      </c>
      <c r="AL171" s="8" t="n">
        <v>15</v>
      </c>
      <c r="AM171" s="8" t="n">
        <v>9</v>
      </c>
      <c r="AN171" s="8" t="n">
        <v>30</v>
      </c>
      <c r="AO171" s="8" t="str">
        <v>8392 / 豹纹羊京绒 / 6574</v>
      </c>
      <c r="AP171" s="11" t="n">
        <v>1.1743420411079069</v>
      </c>
      <c r="AQ171" s="11" t="n">
        <v>1.1743420411079069</v>
      </c>
      <c r="AR171" s="11" t="n">
        <v>1.144331424468921</v>
      </c>
      <c r="AS171" s="11" t="n">
        <f>IF(AND(COUNT(I171:K171,AP171:AR171)=6,MIN(AP171:AR171)&gt;0),I171/7/AP171*0.5+J171/14/AQ171*0.3+K171/30/AR171*0.2,"")</f>
        <v>0.21134547415262553</v>
      </c>
      <c r="AT171" s="8" t="n">
        <v>18</v>
      </c>
      <c r="AU171" s="8" t="n">
        <v>9</v>
      </c>
      <c r="AV171" s="8" t="n">
        <v>88</v>
      </c>
      <c r="AW171" s="11" t="n">
        <f>IF(AND(COUNT(AT171:AV171)=3,AT171&gt;=AU171,AU171&gt;=0,AV171&gt;0),(AT171-AU171)/AV171,"")</f>
        <v>0.10227272727272728</v>
      </c>
      <c r="AX171" s="8" t="n">
        <v>28</v>
      </c>
      <c r="AY171" s="8" t="n">
        <v>9</v>
      </c>
      <c r="AZ171" s="8" t="n">
        <v>178</v>
      </c>
      <c r="BA171" s="11" t="n">
        <f>IF(AND(COUNT(AX171:AZ171)=3,AX171&gt;=AY171,AY171&gt;=0,AZ171&gt;0),(AX171-AY171)/AZ171,"")</f>
        <v>0.10674157303370786</v>
      </c>
      <c r="BB171" s="8" t="n">
        <f>IF(COUNT(AS171,AW171,BA171)=3,1,0)</f>
        <v>1</v>
      </c>
      <c r="BC171" s="11" t="n">
        <f>IF(SUMIF($AO$11:$AO$1309,AO171,$BB$11:$BB$1309)=COUNTIF($AO$11:$AO$1309,AO171),SUMIF($AO$11:$AO$1309,AO171,$AS$11:$AS$1309),"")</f>
        <v>1.7348603654072816</v>
      </c>
      <c r="BD171" s="11" t="n">
        <f>IF(SUMIF($AO$11:$AO$1309,AO171,$BB$11:$BB$1309)=COUNTIF($AO$11:$AO$1309,AO171),SUMIF($AO$11:$AO$1309,AO171,$AW$11:$AW$1309),"")</f>
        <v>0.7184184645645092</v>
      </c>
      <c r="BE171" s="11" t="n">
        <f>IF(SUMIF($AO$11:$AO$1309,AO171,$BB$11:$BB$1309)=COUNTIF($AO$11:$AO$1309,AO171),SUMIF($AO$11:$AO$1309,AO171,$BA$11:$BA$1309),"")</f>
        <v>0.7208292298065674</v>
      </c>
      <c r="BF171" s="12" t="n">
        <f>IF(COUNT(BD171:BE171)&lt;&gt;2,"",IF(AND(BD171&gt;0,BE171&gt;0),0.7*AW171/BD171+0.3*BA171/BE171,IF(BD171&gt;0,AW171/BD171,IF(BE171&gt;0,BA171/BE171,IF(AND(ISNUMBER(BH171),BH171=0),0,"")))))</f>
        <v>0.14407520002153074</v>
      </c>
      <c r="BG171" s="11" t="n">
        <f>IF(AND(COUNT(BN171:BU171)=8,MIN(BN171:BU171)&gt;=0),SUMPRODUCT(BN171:BQ171,BR171:BU171),"")</f>
        <v>96.68059267618935</v>
      </c>
      <c r="BH171" s="11" t="n">
        <f>IF(COUNT(BC171,BG171)=2,BC171*BG171,"")</f>
        <v>167.7273283380064</v>
      </c>
      <c r="BI171" s="11" t="n">
        <f>IF(ISNUMBER(CI171),CI171,"")</f>
        <v>24.165348379375235</v>
      </c>
      <c r="BJ171" s="8" t="str"/>
      <c r="BK171" s="8" t="str">
        <v>90天：2026-07-20 至 2026-10-17；180天：2026-04-21 至 2026-10-17</v>
      </c>
      <c r="BL171" s="8" t="str">
        <v>90天：2026-10-06、2026-10-07；180天：2026-10-06、2026-10-07</v>
      </c>
      <c r="BM171" s="8" t="str">
        <v>2026-10：12天 × 1.1743420411079069；2026-11：30天 × 1.281694931279211；2026-12：31天 × 0.9007634642750235；2027-01：17天 × 0.9537631089407297</v>
      </c>
      <c r="BN171" s="11" t="n">
        <v>1.1743420411079069</v>
      </c>
      <c r="BO171" s="11" t="n">
        <v>1.281694931279211</v>
      </c>
      <c r="BP171" s="11" t="n">
        <v>0.9007634642750235</v>
      </c>
      <c r="BQ171" s="11" t="n">
        <v>0.9537631089407297</v>
      </c>
      <c r="BR171" s="8" t="n">
        <v>12</v>
      </c>
      <c r="BS171" s="8" t="n">
        <v>30</v>
      </c>
      <c r="BT171" s="8" t="n">
        <v>31</v>
      </c>
      <c r="BU171" s="8" t="n">
        <v>17</v>
      </c>
      <c r="BV171" s="11" t="n">
        <f>IF(COUNT(BC171,BF171)=2,BC171*BF171,"")</f>
        <v>0.24995035415548</v>
      </c>
      <c r="BW171" s="11" t="n">
        <f>IF(ISNUMBER(BN171),BN171,"")</f>
        <v>1.1743420411079069</v>
      </c>
      <c r="BX171" s="14" t="n">
        <f>IF(ISNUMBER(BR171),BR171,"")</f>
        <v>12</v>
      </c>
      <c r="BY171" s="13" t="n">
        <f>IF(AND(COUNT(BV171,BW171,BX171)=3,MIN(BV171,BW171,BX171)&gt;=0),BV171*BW171*BX171,"")</f>
        <v>3.5223265088950866</v>
      </c>
      <c r="BZ171" s="11" t="n">
        <f>IF(ISNUMBER(BO171),BO171,"")</f>
        <v>1.281694931279211</v>
      </c>
      <c r="CA171" s="14" t="n">
        <f>IF(ISNUMBER(BS171),BS171,"")</f>
        <v>30</v>
      </c>
      <c r="CB171" s="13" t="n">
        <f>IF(AND(COUNT(BV171,BZ171,CA171)=3,MIN(BV171,BZ171,CA171)&gt;=0),BV171*BZ171*CA171,"")</f>
        <v>9.610803059775673</v>
      </c>
      <c r="CC171" s="11" t="n">
        <f>IF(ISNUMBER(BP171),BP171,"")</f>
        <v>0.9007634642750235</v>
      </c>
      <c r="CD171" s="14" t="n">
        <f>IF(ISNUMBER(BT171),BT171,"")</f>
        <v>31</v>
      </c>
      <c r="CE171" s="13" t="n">
        <f>IF(AND(COUNT(BV171,CC171,CD171)=3,MIN(BV171,CC171,CD171)&gt;=0),BV171*CC171*CD171,"")</f>
        <v>6.979530554081634</v>
      </c>
      <c r="CF171" s="11" t="n">
        <f>IF(ISNUMBER(BQ171),BQ171,"")</f>
        <v>0.9537631089407297</v>
      </c>
      <c r="CG171" s="14" t="n">
        <f>IF(ISNUMBER(BU171),BU171,"")</f>
        <v>17</v>
      </c>
      <c r="CH171" s="13" t="n">
        <f>IF(AND(COUNT(BV171,CF171,CG171)=3,MIN(BV171,CF171,CG171)&gt;=0),BV171*CF171*CG171,"")</f>
        <v>4.052688256622839</v>
      </c>
      <c r="CI171" s="13" t="n">
        <f>IF(COUNT(BY171,CB171,CE171,CH171)=4,SUM(BY171,CB171,CE171,CH171),"")</f>
        <v>24.165348379375235</v>
      </c>
    </row>
    <row r="172" ht="72" customHeight="1">
      <c r="A172" s="16" t="str">
        <v>B06b-NY-40.5</v>
      </c>
      <c r="B172" s="16" t="str">
        <v>1店-MUSSHOE-US</v>
      </c>
      <c r="C172" s="16" t="str">
        <v>艾年</v>
      </c>
      <c r="D172" s="26" t="n">
        <f>IF(NOT(ISNUMBER(E172)),"",IF(OR(E172&lt;=0,L172=0),0,IF(OR(NOT(ISNUMBER(F172)),F172&lt;0),"",MIN(E172,INT(F172)))))</f>
        <v>4</v>
      </c>
      <c r="E172" s="27" t="n">
        <f>IF(OR(NOT(ISNUMBER(L172)),COUNT(M172:O172)&lt;&gt;3,MIN(M172:O172)&lt;0),"",ROUNDUP(ROUND(BI172-SUM(M172:O172),10),0))</f>
        <v>9</v>
      </c>
      <c r="F172" s="28" t="n">
        <v>4</v>
      </c>
      <c r="G172" s="28" t="n">
        <f>IF(AND(ISNUMBER(D172),ISNUMBER(E172)),IF(OR(E172&lt;=0,L172=0),0,E172-D172),"")</f>
        <v>5</v>
      </c>
      <c r="H172" s="16" t="str">
        <f>IF(NOT(ISNUMBER(E172)),"销量或海外库存待补",IF(OR(E172&lt;=0,L172=0),IF(L172=0,"零日销，本批不发","本批无需补货"),IF(NOT(ISNUMBER(D172)),"国内库存待补",IF(D172=0,"国内无可用库存",IF(G172&gt;0,"先发国内现货","按建议量发货")))))</f>
        <v>先发国内现货</v>
      </c>
      <c r="I172" s="28" t="n">
        <f>IF(AND(COUNT(Z172,AA172,AB172)=3,Z172&gt;=AA172,AA172&gt;=0,AB172=7),Z172-AA172,"")</f>
        <v>0</v>
      </c>
      <c r="J172" s="28" t="n">
        <f>IF(AND(COUNT(AF172,AG172,AH172)=3,AF172&gt;=AG172,AG172&gt;=0,AH172=14),AF172-AG172,"")</f>
        <v>0</v>
      </c>
      <c r="K172" s="28" t="n">
        <f>IF(AND(COUNT(AL172,AM172,AN172)=3,AL172&gt;=AM172,AM172&gt;=0,AN172=30),AL172-AM172,"")</f>
        <v>0</v>
      </c>
      <c r="L172" s="29" t="n">
        <f>IF(ISNUMBER(BI172),BI172/90,"")</f>
        <v>0.09638886496799233</v>
      </c>
      <c r="M172" s="28" t="n">
        <v>0</v>
      </c>
      <c r="N172" s="28" t="n">
        <v>0</v>
      </c>
      <c r="O172" s="28" t="n">
        <v>0</v>
      </c>
      <c r="P172" s="30" t="n">
        <f>IF(AND(ISNUMBER(L172),L172&gt;0,COUNT(M172:O172)=3,MIN(M172:O172)&gt;=0),SUM(M172:O172)/L172,"")</f>
        <v>0</v>
      </c>
      <c r="Q172" s="16" t="str">
        <v>沿用原计划SKU店铺</v>
      </c>
      <c r="R172" s="16" t="str">
        <v>已匹配</v>
      </c>
      <c r="S172" s="16" t="str">
        <v>停售</v>
      </c>
      <c r="T172" s="16" t="str">
        <v>B06b</v>
      </c>
      <c r="U172" s="16" t="str">
        <v>藏青色羊京绒</v>
      </c>
      <c r="V172" s="16" t="n">
        <v>9.5</v>
      </c>
      <c r="W172" s="8" t="str">
        <v>2026-10-08 至 2026-10-17</v>
      </c>
      <c r="X172" s="8" t="str">
        <v>2026-10-08、2026-10-09、2026-10-10、2026-10-11、2026-10-14、2026-10-15、2026-10-17</v>
      </c>
      <c r="Y172" s="8" t="str">
        <v>2026-10-12 有记录的停售日；2026-10-13 有记录的停售日；2026-10-16 有记录的停售日</v>
      </c>
      <c r="Z172" s="8" t="n">
        <v>0</v>
      </c>
      <c r="AA172" s="8" t="n">
        <v>0</v>
      </c>
      <c r="AB172" s="8" t="n">
        <v>7</v>
      </c>
      <c r="AC172" s="8" t="str">
        <v>2026-09-29 至 2026-10-17</v>
      </c>
      <c r="AD172" s="8" t="str">
        <v>2026-09-29、2026-09-30、2026-10-01、2026-10-02、2026-10-03、2026-10-04、2026-10-05、2026-10-08、2026-10-09、2026-10-10、2026-10-11、2026-10-14、2026-10-15、2026-10-17</v>
      </c>
      <c r="AE172" s="8" t="str">
        <v>2026-10-06 大促；2026-10-07 大促；2026-10-12 有记录的停售日；2026-10-13 有记录的停售日；2026-10-16 有记录的停售日</v>
      </c>
      <c r="AF172" s="8" t="n">
        <v>0</v>
      </c>
      <c r="AG172" s="8" t="n">
        <v>0</v>
      </c>
      <c r="AH172" s="8" t="n">
        <v>14</v>
      </c>
      <c r="AI172" s="8" t="str">
        <v>2026-09-13 至 2026-10-17</v>
      </c>
      <c r="AJ17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72" s="8" t="str">
        <v>2026-10-06 大促；2026-10-07 大促；2026-10-12 有记录的停售日；2026-10-13 有记录的停售日；2026-10-16 有记录的停售日</v>
      </c>
      <c r="AL172" s="8" t="n">
        <v>0</v>
      </c>
      <c r="AM172" s="8" t="n">
        <v>0</v>
      </c>
      <c r="AN172" s="8" t="n">
        <v>30</v>
      </c>
      <c r="AO172" s="8" t="str">
        <v>B06b / 藏青色羊京绒 / 13120</v>
      </c>
      <c r="AP172" s="11" t="n">
        <v>1.1090677182221615</v>
      </c>
      <c r="AQ172" s="11" t="n">
        <v>1.0637680334742425</v>
      </c>
      <c r="AR172" s="11" t="n">
        <v>0.9188090422809019</v>
      </c>
      <c r="AS172" s="11" t="n">
        <f>IF(AND(COUNT(I172:K172,AP172:AR172)=6,MIN(AP172:AR172)&gt;0),I172/7/AP172*0.5+J172/14/AQ172*0.3+K172/30/AR172*0.2,"")</f>
        <v>0</v>
      </c>
      <c r="AT172" s="8" t="n">
        <v>9</v>
      </c>
      <c r="AU172" s="8" t="n">
        <v>0</v>
      </c>
      <c r="AV172" s="8" t="n">
        <v>85</v>
      </c>
      <c r="AW172" s="11" t="n">
        <f>IF(AND(COUNT(AT172:AV172)=3,AT172&gt;=AU172,AU172&gt;=0,AV172&gt;0),(AT172-AU172)/AV172,"")</f>
        <v>0.10588235294117647</v>
      </c>
      <c r="AX172" s="8" t="n">
        <v>20</v>
      </c>
      <c r="AY172" s="8" t="n">
        <v>0</v>
      </c>
      <c r="AZ172" s="8" t="n">
        <v>175</v>
      </c>
      <c r="BA172" s="11" t="n">
        <f>IF(AND(COUNT(AX172:AZ172)=3,AX172&gt;=AY172,AY172&gt;=0,AZ172&gt;0),(AX172-AY172)/AZ172,"")</f>
        <v>0.11428571428571428</v>
      </c>
      <c r="BB172" s="8" t="n">
        <f>IF(COUNT(AS172,AW172,BA172)=3,1,0)</f>
        <v>1</v>
      </c>
      <c r="BC172" s="11" t="n">
        <f>IF(SUMIF($AO$11:$AO$1309,AO172,$BB$11:$BB$1309)=COUNTIF($AO$11:$AO$1309,AO172),SUMIF($AO$11:$AO$1309,AO172,$AS$11:$AS$1309),"")</f>
        <v>1.0519173612688397</v>
      </c>
      <c r="BD172" s="11" t="n">
        <f>IF(SUMIF($AO$11:$AO$1309,AO172,$BB$11:$BB$1309)=COUNTIF($AO$11:$AO$1309,AO172),SUMIF($AO$11:$AO$1309,AO172,$AW$11:$AW$1309),"")</f>
        <v>1.2745989304812833</v>
      </c>
      <c r="BE172" s="11" t="n">
        <f>IF(SUMIF($AO$11:$AO$1309,AO172,$BB$11:$BB$1309)=COUNTIF($AO$11:$AO$1309,AO172),SUMIF($AO$11:$AO$1309,AO172,$BA$11:$BA$1309),"")</f>
        <v>1.1766292134831462</v>
      </c>
      <c r="BF172" s="12" t="n">
        <f>IF(COUNT(BD172:BE172)&lt;&gt;2,"",IF(AND(BD172&gt;0,BE172&gt;0),0.7*AW172/BD172+0.3*BA172/BE172,IF(BD172&gt;0,AW172/BD172,IF(BE172&gt;0,BA172/BE172,IF(AND(ISNUMBER(BH172),BH172=0),0,"")))))</f>
        <v>0.08728870803427498</v>
      </c>
      <c r="BG172" s="11" t="n">
        <f>IF(AND(COUNT(BN172:BU172)=8,MIN(BN172:BU172)&gt;=0),SUMPRODUCT(BN172:BQ172,BR172:BU172),"")</f>
        <v>94.47778160343367</v>
      </c>
      <c r="BH172" s="11" t="n">
        <f>IF(COUNT(BC172,BG172)=2,BC172*BG172,"")</f>
        <v>99.38281872281767</v>
      </c>
      <c r="BI172" s="11" t="n">
        <f>IF(ISNUMBER(CI172),CI172,"")</f>
        <v>8.67499784711931</v>
      </c>
      <c r="BJ172" s="8" t="str"/>
      <c r="BK172" s="8" t="str">
        <v>90天：2026-07-20 至 2026-10-17；180天：2026-04-21 至 2026-10-17</v>
      </c>
      <c r="BL172" s="8" t="str">
        <v>90天：2026-10-06、2026-10-07、2026-10-12、2026-10-13、2026-10-16；180天：2026-10-06、2026-10-07、2026-10-12、2026-10-13、2026-10-16</v>
      </c>
      <c r="BM172" s="8" t="str">
        <v>2026-10：12天 × 1.1090677182221615；2026-11：30天 × 1.0372741535934282；2026-12：31天 × 0.979949351738161；2027-01：17天 × 1.1571949690048173</v>
      </c>
      <c r="BN172" s="11" t="n">
        <v>1.1090677182221615</v>
      </c>
      <c r="BO172" s="11" t="n">
        <v>1.0372741535934282</v>
      </c>
      <c r="BP172" s="11" t="n">
        <v>0.979949351738161</v>
      </c>
      <c r="BQ172" s="11" t="n">
        <v>1.1571949690048173</v>
      </c>
      <c r="BR172" s="8" t="n">
        <v>12</v>
      </c>
      <c r="BS172" s="8" t="n">
        <v>30</v>
      </c>
      <c r="BT172" s="8" t="n">
        <v>31</v>
      </c>
      <c r="BU172" s="8" t="n">
        <v>17</v>
      </c>
      <c r="BV172" s="11" t="n">
        <f>IF(COUNT(BC172,BF172)=2,BC172*BF172,"")</f>
        <v>0.09182050742398071</v>
      </c>
      <c r="BW172" s="11" t="n">
        <f>IF(ISNUMBER(BN172),BN172,"")</f>
        <v>1.1090677182221615</v>
      </c>
      <c r="BX172" s="14" t="n">
        <f>IF(ISNUMBER(BR172),BR172,"")</f>
        <v>12</v>
      </c>
      <c r="BY172" s="13" t="n">
        <f>IF(AND(COUNT(BV172,BW172,BX172)=3,MIN(BV172,BW172,BX172)&gt;=0),BV172*BW172*BX172,"")</f>
        <v>1.222021927856584</v>
      </c>
      <c r="BZ172" s="11" t="n">
        <f>IF(ISNUMBER(BO172),BO172,"")</f>
        <v>1.0372741535934282</v>
      </c>
      <c r="CA172" s="14" t="n">
        <f>IF(ISNUMBER(BS172),BS172,"")</f>
        <v>30</v>
      </c>
      <c r="CB172" s="13" t="n">
        <f>IF(AND(COUNT(BV172,BZ172,CA172)=3,MIN(BV172,BZ172,CA172)&gt;=0),BV172*BZ172*CA172,"")</f>
        <v>2.8572911736218605</v>
      </c>
      <c r="CC172" s="11" t="n">
        <f>IF(ISNUMBER(BP172),BP172,"")</f>
        <v>0.979949351738161</v>
      </c>
      <c r="CD172" s="14" t="n">
        <f>IF(ISNUMBER(BT172),BT172,"")</f>
        <v>31</v>
      </c>
      <c r="CE172" s="13" t="n">
        <f>IF(AND(COUNT(BV172,CC172,CD172)=3,MIN(BV172,CC172,CD172)&gt;=0),BV172*CC172*CD172,"")</f>
        <v>2.7893628485183655</v>
      </c>
      <c r="CF172" s="11" t="n">
        <f>IF(ISNUMBER(BQ172),BQ172,"")</f>
        <v>1.1571949690048173</v>
      </c>
      <c r="CG172" s="14" t="n">
        <f>IF(ISNUMBER(BU172),BU172,"")</f>
        <v>17</v>
      </c>
      <c r="CH172" s="13" t="n">
        <f>IF(AND(COUNT(BV172,CF172,CG172)=3,MIN(BV172,CF172,CG172)&gt;=0),BV172*CF172*CG172,"")</f>
        <v>1.8063218971224992</v>
      </c>
      <c r="CI172" s="13" t="n">
        <f>IF(COUNT(BY172,CB172,CE172,CH172)=4,SUM(BY172,CB172,CE172,CH172),"")</f>
        <v>8.67499784711931</v>
      </c>
    </row>
    <row r="173" ht="72" customHeight="1">
      <c r="A173" s="16" t="str">
        <v>60516-ND-S-K-10</v>
      </c>
      <c r="B173" s="16" t="str">
        <v>3店-SANDIEX-US</v>
      </c>
      <c r="C173" s="16" t="str">
        <v>徐新怡</v>
      </c>
      <c r="D173" s="26" t="n">
        <f>IF(NOT(ISNUMBER(E173)),"",IF(OR(E173&lt;=0,L173=0),0,IF(OR(NOT(ISNUMBER(F173)),F173&lt;0),"",MIN(E173,INT(F173)))))</f>
        <v>4</v>
      </c>
      <c r="E173" s="27" t="n">
        <f>IF(OR(NOT(ISNUMBER(L173)),COUNT(M173:O173)&lt;&gt;3,MIN(M173:O173)&lt;0),"",ROUNDUP(ROUND(BI173-SUM(M173:O173),10),0))</f>
        <v>5</v>
      </c>
      <c r="F173" s="28" t="n">
        <v>4</v>
      </c>
      <c r="G173" s="28" t="n">
        <f>IF(AND(ISNUMBER(D173),ISNUMBER(E173)),IF(OR(E173&lt;=0,L173=0),0,E173-D173),"")</f>
        <v>1</v>
      </c>
      <c r="H173" s="16" t="str">
        <f>IF(NOT(ISNUMBER(E173)),"销量或海外库存待补",IF(OR(E173&lt;=0,L173=0),IF(L173=0,"零日销，本批不发","本批无需补货"),IF(NOT(ISNUMBER(D173)),"国内库存待补",IF(D173=0,"国内无可用库存",IF(G173&gt;0,"先发国内现货","按建议量发货")))))</f>
        <v>先发国内现货</v>
      </c>
      <c r="I173" s="28" t="n">
        <f>IF(AND(COUNT(Z173,AA173,AB173)=3,Z173&gt;=AA173,AA173&gt;=0,AB173=7),Z173-AA173,"")</f>
        <v>0</v>
      </c>
      <c r="J173" s="28" t="n">
        <f>IF(AND(COUNT(AF173,AG173,AH173)=3,AF173&gt;=AG173,AG173&gt;=0,AH173=14),AF173-AG173,"")</f>
        <v>0</v>
      </c>
      <c r="K173" s="28" t="n">
        <f>IF(AND(COUNT(AL173,AM173,AN173)=3,AL173&gt;=AM173,AM173&gt;=0,AN173=30),AL173-AM173,"")</f>
        <v>0</v>
      </c>
      <c r="L173" s="29" t="n">
        <f>IF(ISNUMBER(BI173),BI173/90,"")</f>
        <v>0.04585108516817145</v>
      </c>
      <c r="M173" s="28" t="n">
        <v>0</v>
      </c>
      <c r="N173" s="28" t="n">
        <v>0</v>
      </c>
      <c r="O173" s="28" t="n">
        <v>0</v>
      </c>
      <c r="P173" s="30" t="n">
        <f>IF(AND(ISNUMBER(L173),L173&gt;0,COUNT(M173:O173)=3,MIN(M173:O173)&gt;=0),SUM(M173:O173)/L173,"")</f>
        <v>0</v>
      </c>
      <c r="Q173" s="16" t="str">
        <v>沿用原计划SKU店铺</v>
      </c>
      <c r="R173" s="16" t="str">
        <v>已匹配</v>
      </c>
      <c r="S173" s="16" t="str">
        <v>停售</v>
      </c>
      <c r="T173" s="16" t="str">
        <v>60516</v>
      </c>
      <c r="U173" s="16" t="str">
        <v>裸色</v>
      </c>
      <c r="V173" s="16" t="n">
        <v>10</v>
      </c>
      <c r="W173" s="8" t="str">
        <v>2026-10-08 至 2026-10-17</v>
      </c>
      <c r="X173" s="8" t="str">
        <v>2026-10-08、2026-10-09、2026-10-10、2026-10-11、2026-10-14、2026-10-15、2026-10-17</v>
      </c>
      <c r="Y173" s="8" t="str">
        <v>2026-10-12 有记录的停售日；2026-10-13 有记录的停售日；2026-10-16 有记录的停售日</v>
      </c>
      <c r="Z173" s="8" t="n">
        <v>0</v>
      </c>
      <c r="AA173" s="8" t="n">
        <v>0</v>
      </c>
      <c r="AB173" s="8" t="n">
        <v>7</v>
      </c>
      <c r="AC173" s="8" t="str">
        <v>2026-09-29 至 2026-10-17</v>
      </c>
      <c r="AD173" s="8" t="str">
        <v>2026-09-29、2026-09-30、2026-10-01、2026-10-02、2026-10-03、2026-10-04、2026-10-05、2026-10-08、2026-10-09、2026-10-10、2026-10-11、2026-10-14、2026-10-15、2026-10-17</v>
      </c>
      <c r="AE173" s="8" t="str">
        <v>2026-10-06 大促；2026-10-07 大促；2026-10-12 有记录的停售日；2026-10-13 有记录的停售日；2026-10-16 有记录的停售日</v>
      </c>
      <c r="AF173" s="8" t="n">
        <v>0</v>
      </c>
      <c r="AG173" s="8" t="n">
        <v>0</v>
      </c>
      <c r="AH173" s="8" t="n">
        <v>14</v>
      </c>
      <c r="AI173" s="8" t="str">
        <v>2026-09-13 至 2026-10-17</v>
      </c>
      <c r="AJ17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73" s="8" t="str">
        <v>2026-10-06 大促；2026-10-07 大促；2026-10-12 有记录的停售日；2026-10-13 有记录的停售日；2026-10-16 有记录的停售日</v>
      </c>
      <c r="AL173" s="8" t="n">
        <v>0</v>
      </c>
      <c r="AM173" s="8" t="n">
        <v>0</v>
      </c>
      <c r="AN173" s="8" t="n">
        <v>30</v>
      </c>
      <c r="AO173" s="8" t="str">
        <v>60516 / 裸色羊京绒 / 6574</v>
      </c>
      <c r="AP173" s="11" t="n">
        <v>1.8609238953732312</v>
      </c>
      <c r="AQ173" s="11" t="n">
        <v>1.832044958686392</v>
      </c>
      <c r="AR173" s="11" t="n">
        <v>1.7396323612885067</v>
      </c>
      <c r="AS173" s="11" t="n">
        <f>IF(AND(COUNT(I173:K173,AP173:AR173)=6,MIN(AP173:AR173)&gt;0),I173/7/AP173*0.5+J173/14/AQ173*0.3+K173/30/AR173*0.2,"")</f>
        <v>0</v>
      </c>
      <c r="AT173" s="8" t="n">
        <v>3</v>
      </c>
      <c r="AU173" s="8" t="n">
        <v>0</v>
      </c>
      <c r="AV173" s="8" t="n">
        <v>85</v>
      </c>
      <c r="AW173" s="11" t="n">
        <f>IF(AND(COUNT(AT173:AV173)=3,AT173&gt;=AU173,AU173&gt;=0,AV173&gt;0),(AT173-AU173)/AV173,"")</f>
        <v>0.03529411764705882</v>
      </c>
      <c r="AX173" s="8" t="n">
        <v>7</v>
      </c>
      <c r="AY173" s="8" t="n">
        <v>0</v>
      </c>
      <c r="AZ173" s="8" t="n">
        <v>175</v>
      </c>
      <c r="BA173" s="11" t="n">
        <f>IF(AND(COUNT(AX173:AZ173)=3,AX173&gt;=AY173,AY173&gt;=0,AZ173&gt;0),(AX173-AY173)/AZ173,"")</f>
        <v>0.04</v>
      </c>
      <c r="BB173" s="8" t="n">
        <f>IF(COUNT(AS173,AW173,BA173)=3,1,0)</f>
        <v>1</v>
      </c>
      <c r="BC173" s="11" t="n">
        <f>IF(SUMIF($AO$11:$AO$1309,AO173,$BB$11:$BB$1309)=COUNTIF($AO$11:$AO$1309,AO173),SUMIF($AO$11:$AO$1309,AO173,$AS$11:$AS$1309),"")</f>
        <v>0.8385909885010574</v>
      </c>
      <c r="BD173" s="11" t="n">
        <f>IF(SUMIF($AO$11:$AO$1309,AO173,$BB$11:$BB$1309)=COUNTIF($AO$11:$AO$1309,AO173),SUMIF($AO$11:$AO$1309,AO173,$AW$11:$AW$1309),"")</f>
        <v>0.8766042780748663</v>
      </c>
      <c r="BE173" s="11" t="n">
        <f>IF(SUMIF($AO$11:$AO$1309,AO173,$BB$11:$BB$1309)=COUNTIF($AO$11:$AO$1309,AO173),SUMIF($AO$11:$AO$1309,AO173,$BA$11:$BA$1309),"")</f>
        <v>0.7203531300160514</v>
      </c>
      <c r="BF173" s="12" t="n">
        <f>IF(COUNT(BD173:BE173)&lt;&gt;2,"",IF(AND(BD173&gt;0,BE173&gt;0),0.7*AW173/BD173+0.3*BA173/BE173,IF(BD173&gt;0,AW173/BD173,IF(BE173&gt;0,BA173/BE173,IF(AND(ISNUMBER(BH173),BH173=0),0,"")))))</f>
        <v>0.044842116926112924</v>
      </c>
      <c r="BG173" s="11" t="n">
        <f>IF(AND(COUNT(BN173:BU173)=8,MIN(BN173:BU173)&gt;=0),SUMPRODUCT(BN173:BQ173,BR173:BU173),"")</f>
        <v>109.73769409574882</v>
      </c>
      <c r="BH173" s="11" t="n">
        <f>IF(COUNT(BC173,BG173)=2,BC173*BG173,"")</f>
        <v>92.02504136758066</v>
      </c>
      <c r="BI173" s="11" t="n">
        <f>IF(ISNUMBER(CI173),CI173,"")</f>
        <v>4.126597665135431</v>
      </c>
      <c r="BJ173" s="8" t="str"/>
      <c r="BK173" s="8" t="str">
        <v>90天：2026-07-20 至 2026-10-17；180天：2026-04-21 至 2026-10-17</v>
      </c>
      <c r="BL173" s="8" t="str">
        <v>90天：2026-10-06、2026-10-07、2026-10-12、2026-10-13、2026-10-16；180天：2026-10-06、2026-10-07、2026-10-12、2026-10-13、2026-10-16</v>
      </c>
      <c r="BM173" s="8" t="str">
        <v>2026-10：12天 × 1.8609238953732312；2026-11：30天 × 1.438375649833085；2026-12：31天 × 0.9519742599124907；2027-01：17天 × 0.8673021058229575</v>
      </c>
      <c r="BN173" s="11" t="n">
        <v>1.8609238953732312</v>
      </c>
      <c r="BO173" s="11" t="n">
        <v>1.438375649833085</v>
      </c>
      <c r="BP173" s="11" t="n">
        <v>0.9519742599124907</v>
      </c>
      <c r="BQ173" s="11" t="n">
        <v>0.8673021058229575</v>
      </c>
      <c r="BR173" s="8" t="n">
        <v>12</v>
      </c>
      <c r="BS173" s="8" t="n">
        <v>30</v>
      </c>
      <c r="BT173" s="8" t="n">
        <v>31</v>
      </c>
      <c r="BU173" s="8" t="n">
        <v>17</v>
      </c>
      <c r="BV173" s="11" t="n">
        <f>IF(COUNT(BC173,BF173)=2,BC173*BF173,"")</f>
        <v>0.037604195159549034</v>
      </c>
      <c r="BW173" s="11" t="n">
        <f>IF(ISNUMBER(BN173),BN173,"")</f>
        <v>1.8609238953732312</v>
      </c>
      <c r="BX173" s="14" t="n">
        <f>IF(ISNUMBER(BR173),BR173,"")</f>
        <v>12</v>
      </c>
      <c r="BY173" s="13" t="n">
        <f>IF(AND(COUNT(BV173,BW173,BX173)=3,MIN(BV173,BW173,BX173)&gt;=0),BV173*BW173*BX173,"")</f>
        <v>0.8397425440641983</v>
      </c>
      <c r="BZ173" s="11" t="n">
        <f>IF(ISNUMBER(BO173),BO173,"")</f>
        <v>1.438375649833085</v>
      </c>
      <c r="CA173" s="14" t="n">
        <f>IF(ISNUMBER(BS173),BS173,"")</f>
        <v>30</v>
      </c>
      <c r="CB173" s="13" t="n">
        <f>IF(AND(COUNT(BV173,BZ173,CA173)=3,MIN(BV173,BZ173,CA173)&gt;=0),BV173*BZ173*CA173,"")</f>
        <v>1.6226687594719948</v>
      </c>
      <c r="CC173" s="11" t="n">
        <f>IF(ISNUMBER(BP173),BP173,"")</f>
        <v>0.9519742599124907</v>
      </c>
      <c r="CD173" s="14" t="n">
        <f>IF(ISNUMBER(BT173),BT173,"")</f>
        <v>31</v>
      </c>
      <c r="CE173" s="13" t="n">
        <f>IF(AND(COUNT(BV173,CC173,CD173)=3,MIN(BV173,CC173,CD173)&gt;=0),BV173*CC173*CD173,"")</f>
        <v>1.1097450015551134</v>
      </c>
      <c r="CF173" s="11" t="n">
        <f>IF(ISNUMBER(BQ173),BQ173,"")</f>
        <v>0.8673021058229575</v>
      </c>
      <c r="CG173" s="14" t="n">
        <f>IF(ISNUMBER(BU173),BU173,"")</f>
        <v>17</v>
      </c>
      <c r="CH173" s="13" t="n">
        <f>IF(AND(COUNT(BV173,CF173,CG173)=3,MIN(BV173,CF173,CG173)&gt;=0),BV173*CF173*CG173,"")</f>
        <v>0.5544413600441238</v>
      </c>
      <c r="CI173" s="13" t="n">
        <f>IF(COUNT(BY173,CB173,CE173,CH173)=4,SUM(BY173,CB173,CE173,CH173),"")</f>
        <v>4.126597665135431</v>
      </c>
    </row>
    <row r="174" ht="72" customHeight="1">
      <c r="A174" s="16" t="str">
        <v>1S01-BLK-38</v>
      </c>
      <c r="B174" s="16" t="str">
        <v>3店-SANDIEX-US</v>
      </c>
      <c r="C174" s="16" t="str">
        <v>徐新怡</v>
      </c>
      <c r="D174" s="26" t="n">
        <f>IF(NOT(ISNUMBER(E174)),"",IF(OR(E174&lt;=0,L174=0),0,IF(OR(NOT(ISNUMBER(F174)),F174&lt;0),"",MIN(E174,INT(F174)))))</f>
        <v>4</v>
      </c>
      <c r="E174" s="27" t="n">
        <f>IF(OR(NOT(ISNUMBER(L174)),COUNT(M174:O174)&lt;&gt;3,MIN(M174:O174)&lt;0),"",ROUNDUP(ROUND(BI174-SUM(M174:O174),10),0))</f>
        <v>4</v>
      </c>
      <c r="F174" s="28" t="n">
        <v>52</v>
      </c>
      <c r="G174" s="28" t="n">
        <f>IF(AND(ISNUMBER(D174),ISNUMBER(E174)),IF(OR(E174&lt;=0,L174=0),0,E174-D174),"")</f>
        <v>0</v>
      </c>
      <c r="H174" s="16" t="str">
        <f>IF(NOT(ISNUMBER(E174)),"销量或海外库存待补",IF(OR(E174&lt;=0,L174=0),IF(L174=0,"零日销，本批不发","本批无需补货"),IF(NOT(ISNUMBER(D174)),"国内库存待补",IF(D174=0,"国内无可用库存",IF(G174&gt;0,"先发国内现货","按建议量发货")))))</f>
        <v>按建议量发货</v>
      </c>
      <c r="I174" s="28" t="n">
        <f>IF(AND(COUNT(Z174,AA174,AB174)=3,Z174&gt;=AA174,AA174&gt;=0,AB174=7),Z174-AA174,"")</f>
        <v>8</v>
      </c>
      <c r="J174" s="28" t="n">
        <f>IF(AND(COUNT(AF174,AG174,AH174)=3,AF174&gt;=AG174,AG174&gt;=0,AH174=14),AF174-AG174,"")</f>
        <v>17</v>
      </c>
      <c r="K174" s="28" t="n">
        <f>IF(AND(COUNT(AL174,AM174,AN174)=3,AL174&gt;=AM174,AM174&gt;=0,AN174=30),AL174-AM174,"")</f>
        <v>33</v>
      </c>
      <c r="L174" s="29" t="n">
        <f>IF(ISNUMBER(BI174),BI174/90,"")</f>
        <v>0.4877339816633621</v>
      </c>
      <c r="M174" s="28" t="n">
        <v>40</v>
      </c>
      <c r="N174" s="28" t="n">
        <v>0</v>
      </c>
      <c r="O174" s="28" t="n">
        <v>0</v>
      </c>
      <c r="P174" s="30" t="n">
        <f>IF(AND(ISNUMBER(L174),L174&gt;0,COUNT(M174:O174)=3,MIN(M174:O174)&gt;=0),SUM(M174:O174)/L174,"")</f>
        <v>82.01191941472784</v>
      </c>
      <c r="Q174" s="16" t="str">
        <v>沿用原计划SKU店铺</v>
      </c>
      <c r="R174" s="16" t="str">
        <v>已匹配</v>
      </c>
      <c r="S174" s="16" t="str">
        <v>在售</v>
      </c>
      <c r="T174" s="16" t="str">
        <v>1S01</v>
      </c>
      <c r="U174" s="16" t="str">
        <v>黑色</v>
      </c>
      <c r="V174" s="16" t="n">
        <v>7</v>
      </c>
      <c r="W174" s="8" t="str">
        <v>2026-10-11 至 2026-10-17</v>
      </c>
      <c r="X174" s="8" t="str">
        <v>2026-10-11、2026-10-12、2026-10-13、2026-10-14、2026-10-15、2026-10-16、2026-10-17</v>
      </c>
      <c r="Y174" s="8" t="str">
        <v>无</v>
      </c>
      <c r="Z174" s="8" t="n">
        <v>8</v>
      </c>
      <c r="AA174" s="8" t="n">
        <v>0</v>
      </c>
      <c r="AB174" s="8" t="n">
        <v>7</v>
      </c>
      <c r="AC174" s="8" t="str">
        <v>2026-10-02 至 2026-10-17</v>
      </c>
      <c r="AD174" s="8" t="str">
        <v>2026-10-02、2026-10-03、2026-10-04、2026-10-05、2026-10-08、2026-10-09、2026-10-10、2026-10-11、2026-10-12、2026-10-13、2026-10-14、2026-10-15、2026-10-16、2026-10-17</v>
      </c>
      <c r="AE174" s="8" t="str">
        <v>2026-10-06 大促；2026-10-07 大促</v>
      </c>
      <c r="AF174" s="8" t="n">
        <v>22</v>
      </c>
      <c r="AG174" s="8" t="n">
        <v>5</v>
      </c>
      <c r="AH174" s="8" t="n">
        <v>14</v>
      </c>
      <c r="AI174" s="8" t="str">
        <v>2026-09-16 至 2026-10-17</v>
      </c>
      <c r="AJ1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4" s="8" t="str">
        <v>2026-10-06 大促；2026-10-07 大促</v>
      </c>
      <c r="AL174" s="8" t="n">
        <v>38</v>
      </c>
      <c r="AM174" s="8" t="n">
        <v>5</v>
      </c>
      <c r="AN174" s="8" t="n">
        <v>30</v>
      </c>
      <c r="AO174" s="8" t="str">
        <v>1S01 / 黑色羊京绒 / 6574</v>
      </c>
      <c r="AP174" s="11" t="n">
        <v>0.8729500662042875</v>
      </c>
      <c r="AQ174" s="11" t="n">
        <v>0.8729500662042875</v>
      </c>
      <c r="AR174" s="11" t="n">
        <v>1.0921363354767095</v>
      </c>
      <c r="AS174" s="11" t="n">
        <f>IF(AND(COUNT(I174:K174,AP174:AR174)=6,MIN(AP174:AR174)&gt;0),I174/7/AP174*0.5+J174/14/AQ174*0.3+K174/30/AR174*0.2,"")</f>
        <v>1.2733390319902729</v>
      </c>
      <c r="AT174" s="8" t="n">
        <v>63</v>
      </c>
      <c r="AU174" s="8" t="n">
        <v>5</v>
      </c>
      <c r="AV174" s="8" t="n">
        <v>88</v>
      </c>
      <c r="AW174" s="11" t="n">
        <f>IF(AND(COUNT(AT174:AV174)=3,AT174&gt;=AU174,AU174&gt;=0,AV174&gt;0),(AT174-AU174)/AV174,"")</f>
        <v>0.6590909090909091</v>
      </c>
      <c r="AX174" s="8" t="n">
        <v>85</v>
      </c>
      <c r="AY174" s="8" t="n">
        <v>5</v>
      </c>
      <c r="AZ174" s="8" t="n">
        <v>178</v>
      </c>
      <c r="BA174" s="11" t="n">
        <f>IF(AND(COUNT(AX174:AZ174)=3,AX174&gt;=AY174,AY174&gt;=0,AZ174&gt;0),(AX174-AY174)/AZ174,"")</f>
        <v>0.449438202247191</v>
      </c>
      <c r="BB174" s="8" t="n">
        <f>IF(COUNT(AS174,AW174,BA174)=3,1,0)</f>
        <v>1</v>
      </c>
      <c r="BC174" s="11" t="n">
        <f>IF(SUMIF($AO$11:$AO$1309,AO174,$BB$11:$BB$1309)=COUNTIF($AO$11:$AO$1309,AO174),SUMIF($AO$11:$AO$1309,AO174,$AS$11:$AS$1309),"")</f>
        <v>6.231458447413107</v>
      </c>
      <c r="BD174" s="11" t="n">
        <f>IF(SUMIF($AO$11:$AO$1309,AO174,$BB$11:$BB$1309)=COUNTIF($AO$11:$AO$1309,AO174),SUMIF($AO$11:$AO$1309,AO174,$AW$11:$AW$1309),"")</f>
        <v>5.866248693834901</v>
      </c>
      <c r="BE174" s="11" t="n">
        <f>IF(SUMIF($AO$11:$AO$1309,AO174,$BB$11:$BB$1309)=COUNTIF($AO$11:$AO$1309,AO174),SUMIF($AO$11:$AO$1309,AO174,$BA$11:$BA$1309),"")</f>
        <v>4.27632831841554</v>
      </c>
      <c r="BF174" s="12" t="n">
        <f>IF(COUNT(BD174:BE174)&lt;&gt;2,"",IF(AND(BD174&gt;0,BE174&gt;0),0.7*AW174/BD174+0.3*BA174/BE174,IF(BD174&gt;0,AW174/BD174,IF(BE174&gt;0,BA174/BE174,IF(AND(ISNUMBER(BH174),BH174=0),0,"")))))</f>
        <v>0.11017685828848052</v>
      </c>
      <c r="BG174" s="11" t="n">
        <f>IF(AND(COUNT(BN174:BU174)=8,MIN(BN174:BU174)&gt;=0),SUMPRODUCT(BN174:BQ174,BR174:BU174),"")</f>
        <v>63.935996265425516</v>
      </c>
      <c r="BH174" s="11" t="n">
        <f>IF(COUNT(BC174,BG174)=2,BC174*BG174,"")</f>
        <v>398.4145040219587</v>
      </c>
      <c r="BI174" s="11" t="n">
        <f>IF(ISNUMBER(CI174),CI174,"")</f>
        <v>43.89605834970259</v>
      </c>
      <c r="BJ174" s="8" t="str"/>
      <c r="BK174" s="8" t="str">
        <v>90天：2026-07-20 至 2026-10-17；180天：2026-04-21 至 2026-10-17</v>
      </c>
      <c r="BL174" s="8" t="str">
        <v>90天：2026-10-06、2026-10-07；180天：2026-10-06、2026-10-07</v>
      </c>
      <c r="BM174" s="8" t="str">
        <v>2026-10：12天 × 0.8729500662042875；2026-11：30天 × 0.8057375774163482；2026-12：31天 × 0.532550303142279；2027-01：17天 × 0.7517299265337036</v>
      </c>
      <c r="BN174" s="11" t="n">
        <v>0.8729500662042875</v>
      </c>
      <c r="BO174" s="11" t="n">
        <v>0.8057375774163482</v>
      </c>
      <c r="BP174" s="11" t="n">
        <v>0.532550303142279</v>
      </c>
      <c r="BQ174" s="11" t="n">
        <v>0.7517299265337036</v>
      </c>
      <c r="BR174" s="8" t="n">
        <v>12</v>
      </c>
      <c r="BS174" s="8" t="n">
        <v>30</v>
      </c>
      <c r="BT174" s="8" t="n">
        <v>31</v>
      </c>
      <c r="BU174" s="8" t="n">
        <v>17</v>
      </c>
      <c r="BV174" s="11" t="n">
        <f>IF(COUNT(BC174,BF174)=2,BC174*BF174,"")</f>
        <v>0.6865625142911888</v>
      </c>
      <c r="BW174" s="11" t="n">
        <f>IF(ISNUMBER(BN174),BN174,"")</f>
        <v>0.8729500662042875</v>
      </c>
      <c r="BX174" s="14" t="n">
        <f>IF(ISNUMBER(BR174),BR174,"")</f>
        <v>12</v>
      </c>
      <c r="BY174" s="13" t="n">
        <f>IF(AND(COUNT(BV174,BW174,BX174)=3,MIN(BV174,BW174,BX174)&gt;=0),BV174*BW174*BX174,"")</f>
        <v>7.192017507646504</v>
      </c>
      <c r="BZ174" s="11" t="n">
        <f>IF(ISNUMBER(BO174),BO174,"")</f>
        <v>0.8057375774163482</v>
      </c>
      <c r="CA174" s="14" t="n">
        <f>IF(ISNUMBER(BS174),BS174,"")</f>
        <v>30</v>
      </c>
      <c r="CB174" s="13" t="n">
        <f>IF(AND(COUNT(BV174,BZ174,CA174)=3,MIN(BV174,BZ174,CA174)&gt;=0),BV174*BZ174*CA174,"")</f>
        <v>16.59567651029578</v>
      </c>
      <c r="CC174" s="11" t="n">
        <f>IF(ISNUMBER(BP174),BP174,"")</f>
        <v>0.532550303142279</v>
      </c>
      <c r="CD174" s="14" t="n">
        <f>IF(ISNUMBER(BT174),BT174,"")</f>
        <v>31</v>
      </c>
      <c r="CE174" s="13" t="n">
        <f>IF(AND(COUNT(BV174,CC174,CD174)=3,MIN(BV174,CC174,CD174)&gt;=0),BV174*CC174*CD174,"")</f>
        <v>11.334501328468834</v>
      </c>
      <c r="CF174" s="11" t="n">
        <f>IF(ISNUMBER(BQ174),BQ174,"")</f>
        <v>0.7517299265337036</v>
      </c>
      <c r="CG174" s="14" t="n">
        <f>IF(ISNUMBER(BU174),BU174,"")</f>
        <v>17</v>
      </c>
      <c r="CH174" s="13" t="n">
        <f>IF(AND(COUNT(BV174,CF174,CG174)=3,MIN(BV174,CF174,CG174)&gt;=0),BV174*CF174*CG174,"")</f>
        <v>8.773863003291474</v>
      </c>
      <c r="CI174" s="13" t="n">
        <f>IF(COUNT(BY174,CB174,CE174,CH174)=4,SUM(BY174,CB174,CE174,CH174),"")</f>
        <v>43.89605834970259</v>
      </c>
    </row>
    <row r="175" ht="72" customHeight="1">
      <c r="A175" s="16" t="str">
        <v>1S01-TN-37.5</v>
      </c>
      <c r="B175" s="16" t="str">
        <v>3店-SANDIEX-US</v>
      </c>
      <c r="C175" s="16" t="str">
        <v>徐新怡</v>
      </c>
      <c r="D175" s="26" t="n">
        <f>IF(NOT(ISNUMBER(E175)),"",IF(OR(E175&lt;=0,L175=0),0,IF(OR(NOT(ISNUMBER(F175)),F175&lt;0),"",MIN(E175,INT(F175)))))</f>
        <v>4</v>
      </c>
      <c r="E175" s="27" t="n">
        <f>IF(OR(NOT(ISNUMBER(L175)),COUNT(M175:O175)&lt;&gt;3,MIN(M175:O175)&lt;0),"",ROUNDUP(ROUND(BI175-SUM(M175:O175),10),0))</f>
        <v>4</v>
      </c>
      <c r="F175" s="28" t="n">
        <v>10</v>
      </c>
      <c r="G175" s="28" t="n">
        <f>IF(AND(ISNUMBER(D175),ISNUMBER(E175)),IF(OR(E175&lt;=0,L175=0),0,E175-D175),"")</f>
        <v>0</v>
      </c>
      <c r="H175" s="16" t="str">
        <f>IF(NOT(ISNUMBER(E175)),"销量或海外库存待补",IF(OR(E175&lt;=0,L175=0),IF(L175=0,"零日销，本批不发","本批无需补货"),IF(NOT(ISNUMBER(D175)),"国内库存待补",IF(D175=0,"国内无可用库存",IF(G175&gt;0,"先发国内现货","按建议量发货")))))</f>
        <v>按建议量发货</v>
      </c>
      <c r="I175" s="28" t="n">
        <f>IF(AND(COUNT(Z175,AA175,AB175)=3,Z175&gt;=AA175,AA175&gt;=0,AB175=7),Z175-AA175,"")</f>
        <v>0</v>
      </c>
      <c r="J175" s="28" t="n">
        <f>IF(AND(COUNT(AF175,AG175,AH175)=3,AF175&gt;=AG175,AG175&gt;=0,AH175=14),AF175-AG175,"")</f>
        <v>1</v>
      </c>
      <c r="K175" s="28" t="n">
        <f>IF(AND(COUNT(AL175,AM175,AN175)=3,AL175&gt;=AM175,AM175&gt;=0,AN175=30),AL175-AM175,"")</f>
        <v>1</v>
      </c>
      <c r="L175" s="29" t="n">
        <f>IF(ISNUMBER(BI175),BI175/90,"")</f>
        <v>0.0543586517806174</v>
      </c>
      <c r="M175" s="28" t="n">
        <v>1</v>
      </c>
      <c r="N175" s="28" t="n">
        <v>0</v>
      </c>
      <c r="O175" s="28" t="n">
        <v>0</v>
      </c>
      <c r="P175" s="30" t="n">
        <f>IF(AND(ISNUMBER(L175),L175&gt;0,COUNT(M175:O175)=3,MIN(M175:O175)&gt;=0),SUM(M175:O175)/L175,"")</f>
        <v>18.396335583079505</v>
      </c>
      <c r="Q175" s="16" t="str">
        <v>沿用原计划SKU店铺</v>
      </c>
      <c r="R175" s="16" t="str">
        <v>已匹配</v>
      </c>
      <c r="S175" s="16" t="str">
        <v>在售</v>
      </c>
      <c r="T175" s="16" t="str">
        <v>1S01</v>
      </c>
      <c r="U175" s="16" t="str">
        <v>驼色</v>
      </c>
      <c r="V175" s="16" t="n">
        <v>6.5</v>
      </c>
      <c r="W175" s="8" t="str">
        <v>2026-10-11 至 2026-10-17</v>
      </c>
      <c r="X175" s="8" t="str">
        <v>2026-10-11、2026-10-12、2026-10-13、2026-10-14、2026-10-15、2026-10-16、2026-10-17</v>
      </c>
      <c r="Y175" s="8" t="str">
        <v>无</v>
      </c>
      <c r="Z175" s="8" t="n">
        <v>0</v>
      </c>
      <c r="AA175" s="8" t="n">
        <v>0</v>
      </c>
      <c r="AB175" s="8" t="n">
        <v>7</v>
      </c>
      <c r="AC175" s="8" t="str">
        <v>2026-10-02 至 2026-10-17</v>
      </c>
      <c r="AD175" s="8" t="str">
        <v>2026-10-02、2026-10-03、2026-10-04、2026-10-05、2026-10-08、2026-10-09、2026-10-10、2026-10-11、2026-10-12、2026-10-13、2026-10-14、2026-10-15、2026-10-16、2026-10-17</v>
      </c>
      <c r="AE175" s="8" t="str">
        <v>2026-10-06 大促；2026-10-07 大促</v>
      </c>
      <c r="AF175" s="8" t="n">
        <v>1</v>
      </c>
      <c r="AG175" s="8" t="n">
        <v>0</v>
      </c>
      <c r="AH175" s="8" t="n">
        <v>14</v>
      </c>
      <c r="AI175" s="8" t="str">
        <v>2026-09-16 至 2026-10-17</v>
      </c>
      <c r="AJ1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5" s="8" t="str">
        <v>2026-10-06 大促；2026-10-07 大促</v>
      </c>
      <c r="AL175" s="8" t="n">
        <v>1</v>
      </c>
      <c r="AM175" s="8" t="n">
        <v>0</v>
      </c>
      <c r="AN175" s="8" t="n">
        <v>30</v>
      </c>
      <c r="AO175" s="8" t="str">
        <v>1S01 / 驼色羊京绒 / 6574</v>
      </c>
      <c r="AP175" s="11" t="n">
        <v>0.8729500662042875</v>
      </c>
      <c r="AQ175" s="11" t="n">
        <v>0.8729500662042875</v>
      </c>
      <c r="AR175" s="11" t="n">
        <v>1.0921363354767095</v>
      </c>
      <c r="AS175" s="11" t="n">
        <f>IF(AND(COUNT(I175:K175,AP175:AR175)=6,MIN(AP175:AR175)&gt;0),I175/7/AP175*0.5+J175/14/AQ175*0.3+K175/30/AR175*0.2,"")</f>
        <v>0.03065154888385336</v>
      </c>
      <c r="AT175" s="8" t="n">
        <v>3</v>
      </c>
      <c r="AU175" s="8" t="n">
        <v>0</v>
      </c>
      <c r="AV175" s="8" t="n">
        <v>88</v>
      </c>
      <c r="AW175" s="11" t="n">
        <f>IF(AND(COUNT(AT175:AV175)=3,AT175&gt;=AU175,AU175&gt;=0,AV175&gt;0),(AT175-AU175)/AV175,"")</f>
        <v>0.03409090909090909</v>
      </c>
      <c r="AX175" s="8" t="n">
        <v>8</v>
      </c>
      <c r="AY175" s="8" t="n">
        <v>0</v>
      </c>
      <c r="AZ175" s="8" t="n">
        <v>178</v>
      </c>
      <c r="BA175" s="11" t="n">
        <f>IF(AND(COUNT(AX175:AZ175)=3,AX175&gt;=AY175,AY175&gt;=0,AZ175&gt;0),(AX175-AY175)/AZ175,"")</f>
        <v>0.0449438202247191</v>
      </c>
      <c r="BB175" s="8" t="n">
        <f>IF(COUNT(AS175,AW175,BA175)=3,1,0)</f>
        <v>1</v>
      </c>
      <c r="BC175" s="11" t="n">
        <f>IF(SUMIF($AO$11:$AO$1309,AO175,$BB$11:$BB$1309)=COUNTIF($AO$11:$AO$1309,AO175),SUMIF($AO$11:$AO$1309,AO175,$AS$11:$AS$1309),"")</f>
        <v>1.6617039653335794</v>
      </c>
      <c r="BD175" s="11" t="n">
        <f>IF(SUMIF($AO$11:$AO$1309,AO175,$BB$11:$BB$1309)=COUNTIF($AO$11:$AO$1309,AO175),SUMIF($AO$11:$AO$1309,AO175,$AW$11:$AW$1309),"")</f>
        <v>0.8879679144385026</v>
      </c>
      <c r="BE175" s="11" t="n">
        <f>IF(SUMIF($AO$11:$AO$1309,AO175,$BB$11:$BB$1309)=COUNTIF($AO$11:$AO$1309,AO175),SUMIF($AO$11:$AO$1309,AO175,$BA$11:$BA$1309),"")</f>
        <v>0.7032102728731942</v>
      </c>
      <c r="BF175" s="12" t="n">
        <f>IF(COUNT(BD175:BE175)&lt;&gt;2,"",IF(AND(BD175&gt;0,BE175&gt;0),0.7*AW175/BD175+0.3*BA175/BE175,IF(BD175&gt;0,AW175/BD175,IF(BE175&gt;0,BA175/BE175,IF(AND(ISNUMBER(BH175),BH175=0),0,"")))))</f>
        <v>0.046048140044666064</v>
      </c>
      <c r="BG175" s="11" t="n">
        <f>IF(AND(COUNT(BN175:BU175)=8,MIN(BN175:BU175)&gt;=0),SUMPRODUCT(BN175:BQ175,BR175:BU175),"")</f>
        <v>63.935996265425516</v>
      </c>
      <c r="BH175" s="11" t="n">
        <f>IF(COUNT(BC175,BG175)=2,BC175*BG175,"")</f>
        <v>106.24269852181051</v>
      </c>
      <c r="BI175" s="11" t="n">
        <f>IF(ISNUMBER(CI175),CI175,"")</f>
        <v>4.892278660255566</v>
      </c>
      <c r="BJ175" s="8" t="str"/>
      <c r="BK175" s="8" t="str">
        <v>90天：2026-07-20 至 2026-10-17；180天：2026-04-21 至 2026-10-17</v>
      </c>
      <c r="BL175" s="8" t="str">
        <v>90天：2026-10-06、2026-10-07；180天：2026-10-06、2026-10-07</v>
      </c>
      <c r="BM175" s="8" t="str">
        <v>2026-10：12天 × 0.8729500662042875；2026-11：30天 × 0.8057375774163482；2026-12：31天 × 0.532550303142279；2027-01：17天 × 0.7517299265337036</v>
      </c>
      <c r="BN175" s="11" t="n">
        <v>0.8729500662042875</v>
      </c>
      <c r="BO175" s="11" t="n">
        <v>0.8057375774163482</v>
      </c>
      <c r="BP175" s="11" t="n">
        <v>0.532550303142279</v>
      </c>
      <c r="BQ175" s="11" t="n">
        <v>0.7517299265337036</v>
      </c>
      <c r="BR175" s="8" t="n">
        <v>12</v>
      </c>
      <c r="BS175" s="8" t="n">
        <v>30</v>
      </c>
      <c r="BT175" s="8" t="n">
        <v>31</v>
      </c>
      <c r="BU175" s="8" t="n">
        <v>17</v>
      </c>
      <c r="BV175" s="11" t="n">
        <f>IF(COUNT(BC175,BF175)=2,BC175*BF175,"")</f>
        <v>0.07651837690845759</v>
      </c>
      <c r="BW175" s="11" t="n">
        <f>IF(ISNUMBER(BN175),BN175,"")</f>
        <v>0.8729500662042875</v>
      </c>
      <c r="BX175" s="14" t="n">
        <f>IF(ISNUMBER(BR175),BR175,"")</f>
        <v>12</v>
      </c>
      <c r="BY175" s="13" t="n">
        <f>IF(AND(COUNT(BV175,BW175,BX175)=3,MIN(BV175,BW175,BX175)&gt;=0),BV175*BW175*BX175,"")</f>
        <v>0.8015606662569921</v>
      </c>
      <c r="BZ175" s="11" t="n">
        <f>IF(ISNUMBER(BO175),BO175,"")</f>
        <v>0.8057375774163482</v>
      </c>
      <c r="CA175" s="14" t="n">
        <f>IF(ISNUMBER(BS175),BS175,"")</f>
        <v>30</v>
      </c>
      <c r="CB175" s="13" t="n">
        <f>IF(AND(COUNT(BV175,BZ175,CA175)=3,MIN(BV175,BZ175,CA175)&gt;=0),BV175*BZ175*CA175,"")</f>
        <v>1.8496119491415497</v>
      </c>
      <c r="CC175" s="11" t="n">
        <f>IF(ISNUMBER(BP175),BP175,"")</f>
        <v>0.532550303142279</v>
      </c>
      <c r="CD175" s="14" t="n">
        <f>IF(ISNUMBER(BT175),BT175,"")</f>
        <v>31</v>
      </c>
      <c r="CE175" s="13" t="n">
        <f>IF(AND(COUNT(BV175,CC175,CD175)=3,MIN(BV175,CC175,CD175)&gt;=0),BV175*CC175*CD175,"")</f>
        <v>1.2632464293751817</v>
      </c>
      <c r="CF175" s="11" t="n">
        <f>IF(ISNUMBER(BQ175),BQ175,"")</f>
        <v>0.7517299265337036</v>
      </c>
      <c r="CG175" s="14" t="n">
        <f>IF(ISNUMBER(BU175),BU175,"")</f>
        <v>17</v>
      </c>
      <c r="CH175" s="13" t="n">
        <f>IF(AND(COUNT(BV175,CF175,CG175)=3,MIN(BV175,CF175,CG175)&gt;=0),BV175*CF175*CG175,"")</f>
        <v>0.9778596154818421</v>
      </c>
      <c r="CI175" s="13" t="n">
        <f>IF(COUNT(BY175,CB175,CE175,CH175)=4,SUM(BY175,CB175,CE175,CH175),"")</f>
        <v>4.892278660255566</v>
      </c>
    </row>
    <row r="176" ht="72" customHeight="1">
      <c r="A176" s="16" t="str">
        <v>2302153-CC-P-Z-11</v>
      </c>
      <c r="B176" s="16" t="str">
        <v>3店-SANDIEX-US</v>
      </c>
      <c r="C176" s="16" t="str">
        <v>徐新怡</v>
      </c>
      <c r="D176" s="26" t="n">
        <f>IF(NOT(ISNUMBER(E176)),"",IF(OR(E176&lt;=0,L176=0),0,IF(OR(NOT(ISNUMBER(F176)),F176&lt;0),"",MIN(E176,INT(F176)))))</f>
        <v>4</v>
      </c>
      <c r="E176" s="27" t="n">
        <f>IF(OR(NOT(ISNUMBER(L176)),COUNT(M176:O176)&lt;&gt;3,MIN(M176:O176)&lt;0),"",ROUNDUP(ROUND(BI176-SUM(M176:O176),10),0))</f>
        <v>4</v>
      </c>
      <c r="F176" s="28" t="n">
        <v>20</v>
      </c>
      <c r="G176" s="28" t="n">
        <f>IF(AND(ISNUMBER(D176),ISNUMBER(E176)),IF(OR(E176&lt;=0,L176=0),0,E176-D176),"")</f>
        <v>0</v>
      </c>
      <c r="H176" s="16" t="str">
        <f>IF(NOT(ISNUMBER(E176)),"销量或海外库存待补",IF(OR(E176&lt;=0,L176=0),IF(L176=0,"零日销，本批不发","本批无需补货"),IF(NOT(ISNUMBER(D176)),"国内库存待补",IF(D176=0,"国内无可用库存",IF(G176&gt;0,"先发国内现货","按建议量发货")))))</f>
        <v>按建议量发货</v>
      </c>
      <c r="I176" s="28" t="n">
        <f>IF(AND(COUNT(Z176,AA176,AB176)=3,Z176&gt;=AA176,AA176&gt;=0,AB176=7),Z176-AA176,"")</f>
        <v>5</v>
      </c>
      <c r="J176" s="28" t="n">
        <f>IF(AND(COUNT(AF176,AG176,AH176)=3,AF176&gt;=AG176,AG176&gt;=0,AH176=14),AF176-AG176,"")</f>
        <v>9</v>
      </c>
      <c r="K176" s="28" t="n">
        <f>IF(AND(COUNT(AL176,AM176,AN176)=3,AL176&gt;=AM176,AM176&gt;=0,AN176=30),AL176-AM176,"")</f>
        <v>19</v>
      </c>
      <c r="L176" s="29" t="n">
        <f>IF(ISNUMBER(BI176),BI176/90,"")</f>
        <v>0.38222547116529565</v>
      </c>
      <c r="M176" s="28" t="n">
        <v>11</v>
      </c>
      <c r="N176" s="28" t="n">
        <v>0</v>
      </c>
      <c r="O176" s="28" t="n">
        <v>20</v>
      </c>
      <c r="P176" s="30" t="n">
        <f>IF(AND(ISNUMBER(L176),L176&gt;0,COUNT(M176:O176)=3,MIN(M176:O176)&gt;=0),SUM(M176:O176)/L176,"")</f>
        <v>81.10396176761823</v>
      </c>
      <c r="Q176" s="16" t="str">
        <v>沿用原计划SKU店铺</v>
      </c>
      <c r="R176" s="16" t="str">
        <v>已匹配</v>
      </c>
      <c r="S176" s="16" t="str">
        <v>在售</v>
      </c>
      <c r="T176" s="16" t="str">
        <v>2302153</v>
      </c>
      <c r="U176" s="16" t="str">
        <v>驼色</v>
      </c>
      <c r="V176" s="16" t="n">
        <v>11</v>
      </c>
      <c r="W176" s="8" t="str">
        <v>2026-10-11 至 2026-10-17</v>
      </c>
      <c r="X176" s="8" t="str">
        <v>2026-10-11、2026-10-12、2026-10-13、2026-10-14、2026-10-15、2026-10-16、2026-10-17</v>
      </c>
      <c r="Y176" s="8" t="str">
        <v>无</v>
      </c>
      <c r="Z176" s="8" t="n">
        <v>5</v>
      </c>
      <c r="AA176" s="8" t="n">
        <v>0</v>
      </c>
      <c r="AB176" s="8" t="n">
        <v>7</v>
      </c>
      <c r="AC176" s="8" t="str">
        <v>2026-10-02 至 2026-10-17</v>
      </c>
      <c r="AD176" s="8" t="str">
        <v>2026-10-02、2026-10-03、2026-10-04、2026-10-05、2026-10-08、2026-10-09、2026-10-10、2026-10-11、2026-10-12、2026-10-13、2026-10-14、2026-10-15、2026-10-16、2026-10-17</v>
      </c>
      <c r="AE176" s="8" t="str">
        <v>2026-10-06 大促；2026-10-07 大促</v>
      </c>
      <c r="AF176" s="8" t="n">
        <v>10</v>
      </c>
      <c r="AG176" s="8" t="n">
        <v>1</v>
      </c>
      <c r="AH176" s="8" t="n">
        <v>14</v>
      </c>
      <c r="AI176" s="8" t="str">
        <v>2026-09-16 至 2026-10-17</v>
      </c>
      <c r="AJ1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6" s="8" t="str">
        <v>2026-10-06 大促；2026-10-07 大促</v>
      </c>
      <c r="AL176" s="8" t="n">
        <v>20</v>
      </c>
      <c r="AM176" s="8" t="n">
        <v>1</v>
      </c>
      <c r="AN176" s="8" t="n">
        <v>30</v>
      </c>
      <c r="AO176" s="8" t="str">
        <v>2302153 / 驼色PU / 6574</v>
      </c>
      <c r="AP176" s="11" t="n">
        <v>1.7391279184229513</v>
      </c>
      <c r="AQ176" s="11" t="n">
        <v>1.7391279184229513</v>
      </c>
      <c r="AR176" s="11" t="n">
        <v>1.5731892896917212</v>
      </c>
      <c r="AS176" s="11" t="n">
        <f>IF(AND(COUNT(I176:K176,AP176:AR176)=6,MIN(AP176:AR176)&gt;0),I176/7/AP176*0.5+J176/14/AQ176*0.3+K176/30/AR176*0.2,"")</f>
        <v>0.39676630364151066</v>
      </c>
      <c r="AT176" s="8" t="n">
        <v>38</v>
      </c>
      <c r="AU176" s="8" t="n">
        <v>1</v>
      </c>
      <c r="AV176" s="8" t="n">
        <v>88</v>
      </c>
      <c r="AW176" s="11" t="n">
        <f>IF(AND(COUNT(AT176:AV176)=3,AT176&gt;=AU176,AU176&gt;=0,AV176&gt;0),(AT176-AU176)/AV176,"")</f>
        <v>0.42045454545454547</v>
      </c>
      <c r="AX176" s="8" t="n">
        <v>67</v>
      </c>
      <c r="AY176" s="8" t="n">
        <v>1</v>
      </c>
      <c r="AZ176" s="8" t="n">
        <v>178</v>
      </c>
      <c r="BA176" s="11" t="n">
        <f>IF(AND(COUNT(AX176:AZ176)=3,AX176&gt;=AY176,AY176&gt;=0,AZ176&gt;0),(AX176-AY176)/AZ176,"")</f>
        <v>0.3707865168539326</v>
      </c>
      <c r="BB176" s="8" t="n">
        <f>IF(COUNT(AS176,AW176,BA176)=3,1,0)</f>
        <v>1</v>
      </c>
      <c r="BC176" s="11" t="n">
        <f>IF(SUMIF($AO$11:$AO$1309,AO176,$BB$11:$BB$1309)=COUNTIF($AO$11:$AO$1309,AO176),SUMIF($AO$11:$AO$1309,AO176,$AS$11:$AS$1309),"")</f>
        <v>4.064868532287768</v>
      </c>
      <c r="BD176" s="11" t="n">
        <f>IF(SUMIF($AO$11:$AO$1309,AO176,$BB$11:$BB$1309)=COUNTIF($AO$11:$AO$1309,AO176),SUMIF($AO$11:$AO$1309,AO176,$AW$11:$AW$1309),"")</f>
        <v>5.079545454545455</v>
      </c>
      <c r="BE176" s="11" t="n">
        <f>IF(SUMIF($AO$11:$AO$1309,AO176,$BB$11:$BB$1309)=COUNTIF($AO$11:$AO$1309,AO176),SUMIF($AO$11:$AO$1309,AO176,$BA$11:$BA$1309),"")</f>
        <v>5.741573033707865</v>
      </c>
      <c r="BF176" s="12" t="n">
        <f>IF(COUNT(BD176:BE176)&lt;&gt;2,"",IF(AND(BD176&gt;0,BE176&gt;0),0.7*AW176/BD176+0.3*BA176/BE176,IF(BD176&gt;0,AW176/BD176,IF(BE176&gt;0,BA176/BE176,IF(AND(ISNUMBER(BH176),BH176=0),0,"")))))</f>
        <v>0.07731561135992504</v>
      </c>
      <c r="BG176" s="11" t="n">
        <f>IF(AND(COUNT(BN176:BU176)=8,MIN(BN176:BU176)&gt;=0),SUMPRODUCT(BN176:BQ176,BR176:BU176),"")</f>
        <v>109.4582336985339</v>
      </c>
      <c r="BH176" s="11" t="n">
        <f>IF(COUNT(BC176,BG176)=2,BC176*BG176,"")</f>
        <v>444.93332976097105</v>
      </c>
      <c r="BI176" s="11" t="n">
        <f>IF(ISNUMBER(CI176),CI176,"")</f>
        <v>34.40029240487661</v>
      </c>
      <c r="BJ176" s="8" t="str"/>
      <c r="BK176" s="8" t="str">
        <v>90天：2026-07-20 至 2026-10-17；180天：2026-04-21 至 2026-10-17</v>
      </c>
      <c r="BL176" s="8" t="str">
        <v>90天：2026-10-06、2026-10-07；180天：2026-10-06、2026-10-07</v>
      </c>
      <c r="BM176" s="8" t="str">
        <v>2026-10：12天 × 1.7391279184229513；2026-11：30天 × 1.4002077845513243；2026-12：31天 × 1.079339935625147；2027-01：17天 × 0.7719368903846591</v>
      </c>
      <c r="BN176" s="11" t="n">
        <v>1.7391279184229513</v>
      </c>
      <c r="BO176" s="11" t="n">
        <v>1.4002077845513243</v>
      </c>
      <c r="BP176" s="11" t="n">
        <v>1.079339935625147</v>
      </c>
      <c r="BQ176" s="11" t="n">
        <v>0.7719368903846591</v>
      </c>
      <c r="BR176" s="8" t="n">
        <v>12</v>
      </c>
      <c r="BS176" s="8" t="n">
        <v>30</v>
      </c>
      <c r="BT176" s="8" t="n">
        <v>31</v>
      </c>
      <c r="BU176" s="8" t="n">
        <v>17</v>
      </c>
      <c r="BV176" s="11" t="n">
        <f>IF(COUNT(BC176,BF176)=2,BC176*BF176,"")</f>
        <v>0.31427779567155</v>
      </c>
      <c r="BW176" s="11" t="n">
        <f>IF(ISNUMBER(BN176),BN176,"")</f>
        <v>1.7391279184229513</v>
      </c>
      <c r="BX176" s="14" t="n">
        <f>IF(ISNUMBER(BR176),BR176,"")</f>
        <v>12</v>
      </c>
      <c r="BY176" s="13" t="n">
        <f>IF(AND(COUNT(BV176,BW176,BX176)=3,MIN(BV176,BW176,BX176)&gt;=0),BV176*BW176*BX176,"")</f>
        <v>6.558831463113797</v>
      </c>
      <c r="BZ176" s="11" t="n">
        <f>IF(ISNUMBER(BO176),BO176,"")</f>
        <v>1.4002077845513243</v>
      </c>
      <c r="CA176" s="14" t="n">
        <f>IF(ISNUMBER(BS176),BS176,"")</f>
        <v>30</v>
      </c>
      <c r="CB176" s="13" t="n">
        <f>IF(AND(COUNT(BV176,BZ176,CA176)=3,MIN(BV176,BZ176,CA176)&gt;=0),BV176*BZ176*CA176,"")</f>
        <v>13.201626480328045</v>
      </c>
      <c r="CC176" s="11" t="n">
        <f>IF(ISNUMBER(BP176),BP176,"")</f>
        <v>1.079339935625147</v>
      </c>
      <c r="CD176" s="14" t="n">
        <f>IF(ISNUMBER(BT176),BT176,"")</f>
        <v>31</v>
      </c>
      <c r="CE176" s="13" t="n">
        <f>IF(AND(COUNT(BV176,CC176,CD176)=3,MIN(BV176,CC176,CD176)&gt;=0),BV176*CC176*CD176,"")</f>
        <v>10.51558984820486</v>
      </c>
      <c r="CF176" s="11" t="n">
        <f>IF(ISNUMBER(BQ176),BQ176,"")</f>
        <v>0.7719368903846591</v>
      </c>
      <c r="CG176" s="14" t="n">
        <f>IF(ISNUMBER(BU176),BU176,"")</f>
        <v>17</v>
      </c>
      <c r="CH176" s="13" t="n">
        <f>IF(AND(COUNT(BV176,CF176,CG176)=3,MIN(BV176,CF176,CG176)&gt;=0),BV176*CF176*CG176,"")</f>
        <v>4.124244613229907</v>
      </c>
      <c r="CI176" s="13" t="n">
        <f>IF(COUNT(BY176,CB176,CE176,CH176)=4,SUM(BY176,CB176,CE176,CH176),"")</f>
        <v>34.40029240487661</v>
      </c>
    </row>
    <row r="177" ht="72" customHeight="1">
      <c r="A177" s="16" t="str">
        <v>60516-BK-S-K-10</v>
      </c>
      <c r="B177" s="16" t="str">
        <v>3店-SANDIEX-US</v>
      </c>
      <c r="C177" s="16" t="str">
        <v>徐新怡</v>
      </c>
      <c r="D177" s="26" t="n">
        <f>IF(NOT(ISNUMBER(E177)),"",IF(OR(E177&lt;=0,L177=0),0,IF(OR(NOT(ISNUMBER(F177)),F177&lt;0),"",MIN(E177,INT(F177)))))</f>
        <v>4</v>
      </c>
      <c r="E177" s="27" t="n">
        <f>IF(OR(NOT(ISNUMBER(L177)),COUNT(M177:O177)&lt;&gt;3,MIN(M177:O177)&lt;0),"",ROUNDUP(ROUND(BI177-SUM(M177:O177),10),0))</f>
        <v>4</v>
      </c>
      <c r="F177" s="28" t="n">
        <v>100</v>
      </c>
      <c r="G177" s="28" t="n">
        <f>IF(AND(ISNUMBER(D177),ISNUMBER(E177)),IF(OR(E177&lt;=0,L177=0),0,E177-D177),"")</f>
        <v>0</v>
      </c>
      <c r="H177" s="16" t="str">
        <f>IF(NOT(ISNUMBER(E177)),"销量或海外库存待补",IF(OR(E177&lt;=0,L177=0),IF(L177=0,"零日销，本批不发","本批无需补货"),IF(NOT(ISNUMBER(D177)),"国内库存待补",IF(D177=0,"国内无可用库存",IF(G177&gt;0,"先发国内现货","按建议量发货")))))</f>
        <v>按建议量发货</v>
      </c>
      <c r="I177" s="28" t="n">
        <f>IF(AND(COUNT(Z177,AA177,AB177)=3,Z177&gt;=AA177,AA177&gt;=0,AB177=7),Z177-AA177,"")</f>
        <v>9</v>
      </c>
      <c r="J177" s="28" t="n">
        <f>IF(AND(COUNT(AF177,AG177,AH177)=3,AF177&gt;=AG177,AG177&gt;=0,AH177=14),AF177-AG177,"")</f>
        <v>14</v>
      </c>
      <c r="K177" s="28" t="n">
        <f>IF(AND(COUNT(AL177,AM177,AN177)=3,AL177&gt;=AM177,AM177&gt;=0,AN177=30),AL177-AM177,"")</f>
        <v>24</v>
      </c>
      <c r="L177" s="29" t="n">
        <f>IF(ISNUMBER(BI177),BI177/90,"")</f>
        <v>0.6099754401620713</v>
      </c>
      <c r="M177" s="28" t="n">
        <v>51</v>
      </c>
      <c r="N177" s="28" t="n">
        <v>0</v>
      </c>
      <c r="O177" s="28" t="n">
        <v>0</v>
      </c>
      <c r="P177" s="30" t="n">
        <f>IF(AND(ISNUMBER(L177),L177&gt;0,COUNT(M177:O177)=3,MIN(M177:O177)&gt;=0),SUM(M177:O177)/L177,"")</f>
        <v>83.60992368225388</v>
      </c>
      <c r="Q177" s="16" t="str">
        <v>沿用原计划SKU店铺</v>
      </c>
      <c r="R177" s="16" t="str">
        <v>已匹配</v>
      </c>
      <c r="S177" s="16" t="str">
        <v>在售</v>
      </c>
      <c r="T177" s="16" t="str">
        <v>60516</v>
      </c>
      <c r="U177" s="16" t="str">
        <v>黑色</v>
      </c>
      <c r="V177" s="16" t="n">
        <v>10</v>
      </c>
      <c r="W177" s="8" t="str">
        <v>2026-10-11 至 2026-10-17</v>
      </c>
      <c r="X177" s="8" t="str">
        <v>2026-10-11、2026-10-12、2026-10-13、2026-10-14、2026-10-15、2026-10-16、2026-10-17</v>
      </c>
      <c r="Y177" s="8" t="str">
        <v>无</v>
      </c>
      <c r="Z177" s="8" t="n">
        <v>9</v>
      </c>
      <c r="AA177" s="8" t="n">
        <v>0</v>
      </c>
      <c r="AB177" s="8" t="n">
        <v>7</v>
      </c>
      <c r="AC177" s="8" t="str">
        <v>2026-10-02 至 2026-10-17</v>
      </c>
      <c r="AD177" s="8" t="str">
        <v>2026-10-02、2026-10-03、2026-10-04、2026-10-05、2026-10-08、2026-10-09、2026-10-10、2026-10-11、2026-10-12、2026-10-13、2026-10-14、2026-10-15、2026-10-16、2026-10-17</v>
      </c>
      <c r="AE177" s="8" t="str">
        <v>2026-10-06 大促；2026-10-07 大促</v>
      </c>
      <c r="AF177" s="8" t="n">
        <v>20</v>
      </c>
      <c r="AG177" s="8" t="n">
        <v>6</v>
      </c>
      <c r="AH177" s="8" t="n">
        <v>14</v>
      </c>
      <c r="AI177" s="8" t="str">
        <v>2026-09-16 至 2026-10-17</v>
      </c>
      <c r="AJ1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7" s="8" t="str">
        <v>2026-10-06 大促；2026-10-07 大促</v>
      </c>
      <c r="AL177" s="8" t="n">
        <v>30</v>
      </c>
      <c r="AM177" s="8" t="n">
        <v>6</v>
      </c>
      <c r="AN177" s="8" t="n">
        <v>30</v>
      </c>
      <c r="AO177" s="8" t="str">
        <v>60516 / 黑色羊京绒 / 6574</v>
      </c>
      <c r="AP177" s="11" t="n">
        <v>1.8609238953732312</v>
      </c>
      <c r="AQ177" s="11" t="n">
        <v>1.8609238953732312</v>
      </c>
      <c r="AR177" s="11" t="n">
        <v>1.7598476169692943</v>
      </c>
      <c r="AS177" s="11" t="n">
        <f>IF(AND(COUNT(I177:K177,AP177:AR177)=6,MIN(AP177:AR177)&gt;0),I177/7/AP177*0.5+J177/14/AQ177*0.3+K177/30/AR177*0.2,"")</f>
        <v>0.5975777375135575</v>
      </c>
      <c r="AT177" s="8" t="n">
        <v>47</v>
      </c>
      <c r="AU177" s="8" t="n">
        <v>6</v>
      </c>
      <c r="AV177" s="8" t="n">
        <v>88</v>
      </c>
      <c r="AW177" s="11" t="n">
        <f>IF(AND(COUNT(AT177:AV177)=3,AT177&gt;=AU177,AU177&gt;=0,AV177&gt;0),(AT177-AU177)/AV177,"")</f>
        <v>0.4659090909090909</v>
      </c>
      <c r="AX177" s="8" t="n">
        <v>76</v>
      </c>
      <c r="AY177" s="8" t="n">
        <v>6</v>
      </c>
      <c r="AZ177" s="8" t="n">
        <v>178</v>
      </c>
      <c r="BA177" s="11" t="n">
        <f>IF(AND(COUNT(AX177:AZ177)=3,AX177&gt;=AY177,AY177&gt;=0,AZ177&gt;0),(AX177-AY177)/AZ177,"")</f>
        <v>0.39325842696629215</v>
      </c>
      <c r="BB177" s="8" t="n">
        <f>IF(COUNT(AS177,AW177,BA177)=3,1,0)</f>
        <v>1</v>
      </c>
      <c r="BC177" s="11" t="n">
        <f>IF(SUMIF($AO$11:$AO$1309,AO177,$BB$11:$BB$1309)=COUNTIF($AO$11:$AO$1309,AO177),SUMIF($AO$11:$AO$1309,AO177,$AS$11:$AS$1309),"")</f>
        <v>3.0362329919441002</v>
      </c>
      <c r="BD177" s="11" t="n">
        <f>IF(SUMIF($AO$11:$AO$1309,AO177,$BB$11:$BB$1309)=COUNTIF($AO$11:$AO$1309,AO177),SUMIF($AO$11:$AO$1309,AO177,$AW$11:$AW$1309),"")</f>
        <v>2.9545454545454546</v>
      </c>
      <c r="BE177" s="11" t="n">
        <f>IF(SUMIF($AO$11:$AO$1309,AO177,$BB$11:$BB$1309)=COUNTIF($AO$11:$AO$1309,AO177),SUMIF($AO$11:$AO$1309,AO177,$BA$11:$BA$1309),"")</f>
        <v>2.169502407704655</v>
      </c>
      <c r="BF177" s="12" t="n">
        <f>IF(COUNT(BD177:BE177)&lt;&gt;2,"",IF(AND(BD177&gt;0,BE177&gt;0),0.7*AW177/BD177+0.3*BA177/BE177,IF(BD177&gt;0,AW177/BD177,IF(BE177&gt;0,BA177/BE177,IF(AND(ISNUMBER(BH177),BH177=0),0,"")))))</f>
        <v>0.16476460946570445</v>
      </c>
      <c r="BG177" s="11" t="n">
        <f>IF(AND(COUNT(BN177:BU177)=8,MIN(BN177:BU177)&gt;=0),SUMPRODUCT(BN177:BQ177,BR177:BU177),"")</f>
        <v>109.73769409574882</v>
      </c>
      <c r="BH177" s="11" t="n">
        <f>IF(COUNT(BC177,BG177)=2,BC177*BG177,"")</f>
        <v>333.18920727338184</v>
      </c>
      <c r="BI177" s="11" t="n">
        <f>IF(ISNUMBER(CI177),CI177,"")</f>
        <v>54.897789614586415</v>
      </c>
      <c r="BJ177" s="8" t="str"/>
      <c r="BK177" s="8" t="str">
        <v>90天：2026-07-20 至 2026-10-17；180天：2026-04-21 至 2026-10-17</v>
      </c>
      <c r="BL177" s="8" t="str">
        <v>90天：2026-10-06、2026-10-07；180天：2026-10-06、2026-10-07</v>
      </c>
      <c r="BM177" s="8" t="str">
        <v>2026-10：12天 × 1.8609238953732312；2026-11：30天 × 1.438375649833085；2026-12：31天 × 0.9519742599124907；2027-01：17天 × 0.8673021058229575</v>
      </c>
      <c r="BN177" s="11" t="n">
        <v>1.8609238953732312</v>
      </c>
      <c r="BO177" s="11" t="n">
        <v>1.438375649833085</v>
      </c>
      <c r="BP177" s="11" t="n">
        <v>0.9519742599124907</v>
      </c>
      <c r="BQ177" s="11" t="n">
        <v>0.8673021058229575</v>
      </c>
      <c r="BR177" s="8" t="n">
        <v>12</v>
      </c>
      <c r="BS177" s="8" t="n">
        <v>30</v>
      </c>
      <c r="BT177" s="8" t="n">
        <v>31</v>
      </c>
      <c r="BU177" s="8" t="n">
        <v>17</v>
      </c>
      <c r="BV177" s="11" t="n">
        <f>IF(COUNT(BC177,BF177)=2,BC177*BF177,"")</f>
        <v>0.500263743164557</v>
      </c>
      <c r="BW177" s="11" t="n">
        <f>IF(ISNUMBER(BN177),BN177,"")</f>
        <v>1.8609238953732312</v>
      </c>
      <c r="BX177" s="14" t="n">
        <f>IF(ISNUMBER(BR177),BR177,"")</f>
        <v>12</v>
      </c>
      <c r="BY177" s="13" t="n">
        <f>IF(AND(COUNT(BV177,BW177,BX177)=3,MIN(BV177,BW177,BX177)&gt;=0),BV177*BW177*BX177,"")</f>
        <v>11.171433043725374</v>
      </c>
      <c r="BZ177" s="11" t="n">
        <f>IF(ISNUMBER(BO177),BO177,"")</f>
        <v>1.438375649833085</v>
      </c>
      <c r="CA177" s="14" t="n">
        <f>IF(ISNUMBER(BS177),BS177,"")</f>
        <v>30</v>
      </c>
      <c r="CB177" s="13" t="n">
        <f>IF(AND(COUNT(BV177,BZ177,CA177)=3,MIN(BV177,BZ177,CA177)&gt;=0),BV177*BZ177*CA177,"")</f>
        <v>21.587015599867538</v>
      </c>
      <c r="CC177" s="11" t="n">
        <f>IF(ISNUMBER(BP177),BP177,"")</f>
        <v>0.9519742599124907</v>
      </c>
      <c r="CD177" s="14" t="n">
        <f>IF(ISNUMBER(BT177),BT177,"")</f>
        <v>31</v>
      </c>
      <c r="CE177" s="13" t="n">
        <f>IF(AND(COUNT(BV177,CC177,CD177)=3,MIN(BV177,CC177,CD177)&gt;=0),BV177*CC177*CD177,"")</f>
        <v>14.763384406464077</v>
      </c>
      <c r="CF177" s="11" t="n">
        <f>IF(ISNUMBER(BQ177),BQ177,"")</f>
        <v>0.8673021058229575</v>
      </c>
      <c r="CG177" s="14" t="n">
        <f>IF(ISNUMBER(BU177),BU177,"")</f>
        <v>17</v>
      </c>
      <c r="CH177" s="13" t="n">
        <f>IF(AND(COUNT(BV177,CF177,CG177)=3,MIN(BV177,CF177,CG177)&gt;=0),BV177*CF177*CG177,"")</f>
        <v>7.375956564529423</v>
      </c>
      <c r="CI177" s="13" t="n">
        <f>IF(COUNT(BY177,CB177,CE177,CH177)=4,SUM(BY177,CB177,CE177,CH177),"")</f>
        <v>54.897789614586415</v>
      </c>
    </row>
    <row r="178" ht="72" customHeight="1">
      <c r="A178" s="16" t="str">
        <v>60516-LP-S-K-10.5</v>
      </c>
      <c r="B178" s="16" t="str">
        <v>3店-SANDIEX-US</v>
      </c>
      <c r="C178" s="16" t="str">
        <v>徐新怡</v>
      </c>
      <c r="D178" s="26" t="n">
        <f>IF(NOT(ISNUMBER(E178)),"",IF(OR(E178&lt;=0,L178=0),0,IF(OR(NOT(ISNUMBER(F178)),F178&lt;0),"",MIN(E178,INT(F178)))))</f>
        <v>4</v>
      </c>
      <c r="E178" s="27" t="n">
        <f>IF(OR(NOT(ISNUMBER(L178)),COUNT(M178:O178)&lt;&gt;3,MIN(M178:O178)&lt;0),"",ROUNDUP(ROUND(BI178-SUM(M178:O178),10),0))</f>
        <v>4</v>
      </c>
      <c r="F178" s="28" t="n">
        <v>23</v>
      </c>
      <c r="G178" s="28" t="n">
        <f>IF(AND(ISNUMBER(D178),ISNUMBER(E178)),IF(OR(E178&lt;=0,L178=0),0,E178-D178),"")</f>
        <v>0</v>
      </c>
      <c r="H178" s="16" t="str">
        <f>IF(NOT(ISNUMBER(E178)),"销量或海外库存待补",IF(OR(E178&lt;=0,L178=0),IF(L178=0,"零日销，本批不发","本批无需补货"),IF(NOT(ISNUMBER(D178)),"国内库存待补",IF(D178=0,"国内无可用库存",IF(G178&gt;0,"先发国内现货","按建议量发货")))))</f>
        <v>按建议量发货</v>
      </c>
      <c r="I178" s="28" t="n">
        <f>IF(AND(COUNT(Z178,AA178,AB178)=3,Z178&gt;=AA178,AA178&gt;=0,AB178=7),Z178-AA178,"")</f>
        <v>3</v>
      </c>
      <c r="J178" s="28" t="n">
        <f>IF(AND(COUNT(AF178,AG178,AH178)=3,AF178&gt;=AG178,AG178&gt;=0,AH178=14),AF178-AG178,"")</f>
        <v>4</v>
      </c>
      <c r="K178" s="28" t="n">
        <f>IF(AND(COUNT(AL178,AM178,AN178)=3,AL178&gt;=AM178,AM178&gt;=0,AN178=30),AL178-AM178,"")</f>
        <v>8</v>
      </c>
      <c r="L178" s="29" t="n">
        <f>IF(ISNUMBER(BI178),BI178/90,"")</f>
        <v>0.2598619387187882</v>
      </c>
      <c r="M178" s="28" t="n">
        <v>20</v>
      </c>
      <c r="N178" s="28" t="n">
        <v>0</v>
      </c>
      <c r="O178" s="28" t="n">
        <v>0</v>
      </c>
      <c r="P178" s="30" t="n">
        <f>IF(AND(ISNUMBER(L178),L178&gt;0,COUNT(M178:O178)=3,MIN(M178:O178)&gt;=0),SUM(M178:O178)/L178,"")</f>
        <v>76.96394515721353</v>
      </c>
      <c r="Q178" s="16" t="str">
        <v>按本SKU唯一未删除Listing店铺核实</v>
      </c>
      <c r="R178" s="16" t="str">
        <v>已匹配</v>
      </c>
      <c r="S178" s="16" t="str">
        <v>在售</v>
      </c>
      <c r="T178" s="16" t="str">
        <v>60516</v>
      </c>
      <c r="U178" s="16" t="str">
        <v>豹纹</v>
      </c>
      <c r="V178" s="16" t="n">
        <v>10.5</v>
      </c>
      <c r="W178" s="8" t="str">
        <v>2026-10-11 至 2026-10-17</v>
      </c>
      <c r="X178" s="8" t="str">
        <v>2026-10-11、2026-10-12、2026-10-13、2026-10-14、2026-10-15、2026-10-16、2026-10-17</v>
      </c>
      <c r="Y178" s="8" t="str">
        <v>无</v>
      </c>
      <c r="Z178" s="8" t="n">
        <v>3</v>
      </c>
      <c r="AA178" s="8" t="n">
        <v>0</v>
      </c>
      <c r="AB178" s="8" t="n">
        <v>7</v>
      </c>
      <c r="AC178" s="8" t="str">
        <v>2026-10-02 至 2026-10-17</v>
      </c>
      <c r="AD178" s="8" t="str">
        <v>2026-10-02、2026-10-03、2026-10-04、2026-10-05、2026-10-08、2026-10-09、2026-10-10、2026-10-11、2026-10-12、2026-10-13、2026-10-14、2026-10-15、2026-10-16、2026-10-17</v>
      </c>
      <c r="AE178" s="8" t="str">
        <v>2026-10-06 大促；2026-10-07 大促</v>
      </c>
      <c r="AF178" s="8" t="n">
        <v>4</v>
      </c>
      <c r="AG178" s="8" t="n">
        <v>0</v>
      </c>
      <c r="AH178" s="8" t="n">
        <v>14</v>
      </c>
      <c r="AI178" s="8" t="str">
        <v>2026-09-16 至 2026-10-17</v>
      </c>
      <c r="AJ1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8" s="8" t="str">
        <v>2026-10-06 大促；2026-10-07 大促</v>
      </c>
      <c r="AL178" s="8" t="n">
        <v>8</v>
      </c>
      <c r="AM178" s="8" t="n">
        <v>0</v>
      </c>
      <c r="AN178" s="8" t="n">
        <v>30</v>
      </c>
      <c r="AO178" s="8" t="str">
        <v>60516 / 豹纹羊京绒 / 6574</v>
      </c>
      <c r="AP178" s="11" t="n">
        <v>1.8609238953732312</v>
      </c>
      <c r="AQ178" s="11" t="n">
        <v>1.8609238953732312</v>
      </c>
      <c r="AR178" s="11" t="n">
        <v>1.7598476169692943</v>
      </c>
      <c r="AS178" s="11" t="n">
        <f>IF(AND(COUNT(I178:K178,AP178:AR178)=6,MIN(AP178:AR178)&gt;0),I178/7/AP178*0.5+J178/14/AQ178*0.3+K178/30/AR178*0.2,"")</f>
        <v>0.19151590076363106</v>
      </c>
      <c r="AT178" s="8" t="n">
        <v>15</v>
      </c>
      <c r="AU178" s="8" t="n">
        <v>0</v>
      </c>
      <c r="AV178" s="8" t="n">
        <v>88</v>
      </c>
      <c r="AW178" s="11" t="n">
        <f>IF(AND(COUNT(AT178:AV178)=3,AT178&gt;=AU178,AU178&gt;=0,AV178&gt;0),(AT178-AU178)/AV178,"")</f>
        <v>0.17045454545454544</v>
      </c>
      <c r="AX178" s="8" t="n">
        <v>24</v>
      </c>
      <c r="AY178" s="8" t="n">
        <v>0</v>
      </c>
      <c r="AZ178" s="8" t="n">
        <v>178</v>
      </c>
      <c r="BA178" s="11" t="n">
        <f>IF(AND(COUNT(AX178:AZ178)=3,AX178&gt;=AY178,AY178&gt;=0,AZ178&gt;0),(AX178-AY178)/AZ178,"")</f>
        <v>0.1348314606741573</v>
      </c>
      <c r="BB178" s="8" t="n">
        <f>IF(COUNT(AS178,AW178,BA178)=3,1,0)</f>
        <v>1</v>
      </c>
      <c r="BC178" s="11" t="n">
        <f>IF(SUMIF($AO$11:$AO$1309,AO178,$BB$11:$BB$1309)=COUNTIF($AO$11:$AO$1309,AO178),SUMIF($AO$11:$AO$1309,AO178,$AS$11:$AS$1309),"")</f>
        <v>4.8489600193541325</v>
      </c>
      <c r="BD178" s="11" t="n">
        <f>IF(SUMIF($AO$11:$AO$1309,AO178,$BB$11:$BB$1309)=COUNTIF($AO$11:$AO$1309,AO178),SUMIF($AO$11:$AO$1309,AO178,$AW$11:$AW$1309),"")</f>
        <v>4.045454545454545</v>
      </c>
      <c r="BE178" s="11" t="n">
        <f>IF(SUMIF($AO$11:$AO$1309,AO178,$BB$11:$BB$1309)=COUNTIF($AO$11:$AO$1309,AO178),SUMIF($AO$11:$AO$1309,AO178,$BA$11:$BA$1309),"")</f>
        <v>2.7977528089887636</v>
      </c>
      <c r="BF178" s="12" t="n">
        <f>IF(COUNT(BD178:BE178)&lt;&gt;2,"",IF(AND(BD178&gt;0,BE178&gt;0),0.7*AW178/BD178+0.3*BA178/BE178,IF(BD178&gt;0,AW178/BD178,IF(BE178&gt;0,BA178/BE178,IF(AND(ISNUMBER(BH178),BH178=0),0,"")))))</f>
        <v>0.04395221334777312</v>
      </c>
      <c r="BG178" s="11" t="n">
        <f>IF(AND(COUNT(BN178:BU178)=8,MIN(BN178:BU178)&gt;=0),SUMPRODUCT(BN178:BQ178,BR178:BU178),"")</f>
        <v>109.73769409574882</v>
      </c>
      <c r="BH178" s="11" t="n">
        <f>IF(COUNT(BC178,BG178)=2,BC178*BG178,"")</f>
        <v>532.1136912864001</v>
      </c>
      <c r="BI178" s="11" t="n">
        <f>IF(ISNUMBER(CI178),CI178,"")</f>
        <v>23.387574484690937</v>
      </c>
      <c r="BJ178" s="8" t="str"/>
      <c r="BK178" s="8" t="str">
        <v>90天：2026-07-20 至 2026-10-17；180天：2026-04-21 至 2026-10-17</v>
      </c>
      <c r="BL178" s="8" t="str">
        <v>90天：2026-10-06、2026-10-07；180天：2026-10-06、2026-10-07</v>
      </c>
      <c r="BM178" s="8" t="str">
        <v>2026-10：12天 × 1.8609238953732312；2026-11：30天 × 1.438375649833085；2026-12：31天 × 0.9519742599124907；2027-01：17天 × 0.8673021058229575</v>
      </c>
      <c r="BN178" s="11" t="n">
        <v>1.8609238953732312</v>
      </c>
      <c r="BO178" s="11" t="n">
        <v>1.438375649833085</v>
      </c>
      <c r="BP178" s="11" t="n">
        <v>0.9519742599124907</v>
      </c>
      <c r="BQ178" s="11" t="n">
        <v>0.8673021058229575</v>
      </c>
      <c r="BR178" s="8" t="n">
        <v>12</v>
      </c>
      <c r="BS178" s="8" t="n">
        <v>30</v>
      </c>
      <c r="BT178" s="8" t="n">
        <v>31</v>
      </c>
      <c r="BU178" s="8" t="n">
        <v>17</v>
      </c>
      <c r="BV178" s="11" t="n">
        <f>IF(COUNT(BC178,BF178)=2,BC178*BF178,"")</f>
        <v>0.2131225252854749</v>
      </c>
      <c r="BW178" s="11" t="n">
        <f>IF(ISNUMBER(BN178),BN178,"")</f>
        <v>1.8609238953732312</v>
      </c>
      <c r="BX178" s="14" t="n">
        <f>IF(ISNUMBER(BR178),BR178,"")</f>
        <v>12</v>
      </c>
      <c r="BY178" s="13" t="n">
        <f>IF(AND(COUNT(BV178,BW178,BX178)=3,MIN(BV178,BW178,BX178)&gt;=0),BV178*BW178*BX178,"")</f>
        <v>4.759257599352312</v>
      </c>
      <c r="BZ178" s="11" t="n">
        <f>IF(ISNUMBER(BO178),BO178,"")</f>
        <v>1.438375649833085</v>
      </c>
      <c r="CA178" s="14" t="n">
        <f>IF(ISNUMBER(BS178),BS178,"")</f>
        <v>30</v>
      </c>
      <c r="CB178" s="13" t="n">
        <f>IF(AND(COUNT(BV178,BZ178,CA178)=3,MIN(BV178,BZ178,CA178)&gt;=0),BV178*BZ178*CA178,"")</f>
        <v>9.196507524046892</v>
      </c>
      <c r="CC178" s="11" t="n">
        <f>IF(ISNUMBER(BP178),BP178,"")</f>
        <v>0.9519742599124907</v>
      </c>
      <c r="CD178" s="14" t="n">
        <f>IF(ISNUMBER(BT178),BT178,"")</f>
        <v>31</v>
      </c>
      <c r="CE178" s="13" t="n">
        <f>IF(AND(COUNT(BV178,CC178,CD178)=3,MIN(BV178,CC178,CD178)&gt;=0),BV178*CC178*CD178,"")</f>
        <v>6.289501906658953</v>
      </c>
      <c r="CF178" s="11" t="n">
        <f>IF(ISNUMBER(BQ178),BQ178,"")</f>
        <v>0.8673021058229575</v>
      </c>
      <c r="CG178" s="14" t="n">
        <f>IF(ISNUMBER(BU178),BU178,"")</f>
        <v>17</v>
      </c>
      <c r="CH178" s="13" t="n">
        <f>IF(AND(COUNT(BV178,CF178,CG178)=3,MIN(BV178,CF178,CG178)&gt;=0),BV178*CF178*CG178,"")</f>
        <v>3.1423074546327814</v>
      </c>
      <c r="CI178" s="13" t="n">
        <f>IF(COUNT(BY178,CB178,CE178,CH178)=4,SUM(BY178,CB178,CE178,CH178),"")</f>
        <v>23.387574484690937</v>
      </c>
    </row>
    <row r="179" ht="72" customHeight="1">
      <c r="A179" s="16" t="str">
        <v>9967-GY-38B</v>
      </c>
      <c r="B179" s="16" t="str">
        <v>1店-MUSSHOE-US</v>
      </c>
      <c r="C179" s="16" t="str">
        <v>徐新怡</v>
      </c>
      <c r="D179" s="26" t="n">
        <f>IF(NOT(ISNUMBER(E179)),"",IF(OR(E179&lt;=0,L179=0),0,IF(OR(NOT(ISNUMBER(F179)),F179&lt;0),"",MIN(E179,INT(F179)))))</f>
        <v>4</v>
      </c>
      <c r="E179" s="27" t="n">
        <f>IF(OR(NOT(ISNUMBER(L179)),COUNT(M179:O179)&lt;&gt;3,MIN(M179:O179)&lt;0),"",ROUNDUP(ROUND(BI179-SUM(M179:O179),10),0))</f>
        <v>4</v>
      </c>
      <c r="F179" s="28" t="n">
        <v>4</v>
      </c>
      <c r="G179" s="28" t="n">
        <f>IF(AND(ISNUMBER(D179),ISNUMBER(E179)),IF(OR(E179&lt;=0,L179=0),0,E179-D179),"")</f>
        <v>0</v>
      </c>
      <c r="H179" s="16" t="str">
        <f>IF(NOT(ISNUMBER(E179)),"销量或海外库存待补",IF(OR(E179&lt;=0,L179=0),IF(L179=0,"零日销，本批不发","本批无需补货"),IF(NOT(ISNUMBER(D179)),"国内库存待补",IF(D179=0,"国内无可用库存",IF(G179&gt;0,"先发国内现货","按建议量发货")))))</f>
        <v>按建议量发货</v>
      </c>
      <c r="I179" s="28" t="n">
        <f>IF(AND(COUNT(Z179,AA179,AB179)=3,Z179&gt;=AA179,AA179&gt;=0,AB179=7),Z179-AA179,"")</f>
        <v>0</v>
      </c>
      <c r="J179" s="28" t="n">
        <f>IF(AND(COUNT(AF179,AG179,AH179)=3,AF179&gt;=AG179,AG179&gt;=0,AH179=14),AF179-AG179,"")</f>
        <v>0</v>
      </c>
      <c r="K179" s="28" t="n">
        <f>IF(AND(COUNT(AL179,AM179,AN179)=3,AL179&gt;=AM179,AM179&gt;=0,AN179=30),AL179-AM179,"")</f>
        <v>1</v>
      </c>
      <c r="L179" s="29" t="n">
        <f>IF(ISNUMBER(BI179),BI179/90,"")</f>
        <v>0.051393842550466445</v>
      </c>
      <c r="M179" s="28" t="n">
        <v>1</v>
      </c>
      <c r="N179" s="28" t="n">
        <v>0</v>
      </c>
      <c r="O179" s="28" t="n">
        <v>0</v>
      </c>
      <c r="P179" s="30" t="n">
        <f>IF(AND(ISNUMBER(L179),L179&gt;0,COUNT(M179:O179)=3,MIN(M179:O179)&gt;=0),SUM(M179:O179)/L179,"")</f>
        <v>19.457583834445632</v>
      </c>
      <c r="Q179" s="16" t="str">
        <v>按本SKU唯一未删除Listing店铺核实</v>
      </c>
      <c r="R179" s="16" t="str">
        <v>已匹配</v>
      </c>
      <c r="S179" s="16" t="str">
        <v>在售</v>
      </c>
      <c r="T179" s="16" t="str">
        <v>9967</v>
      </c>
      <c r="U179" s="16" t="str">
        <v>灰色</v>
      </c>
      <c r="V179" s="16" t="n">
        <v>7</v>
      </c>
      <c r="W179" s="8" t="str">
        <v>2026-10-11 至 2026-10-17</v>
      </c>
      <c r="X179" s="8" t="str">
        <v>2026-10-11、2026-10-12、2026-10-13、2026-10-14、2026-10-15、2026-10-16、2026-10-17</v>
      </c>
      <c r="Y179" s="8" t="str">
        <v>无</v>
      </c>
      <c r="Z179" s="8" t="n">
        <v>0</v>
      </c>
      <c r="AA179" s="8" t="n">
        <v>0</v>
      </c>
      <c r="AB179" s="8" t="n">
        <v>7</v>
      </c>
      <c r="AC179" s="8" t="str">
        <v>2026-10-02 至 2026-10-17</v>
      </c>
      <c r="AD179" s="8" t="str">
        <v>2026-10-02、2026-10-03、2026-10-04、2026-10-05、2026-10-08、2026-10-09、2026-10-10、2026-10-11、2026-10-12、2026-10-13、2026-10-14、2026-10-15、2026-10-16、2026-10-17</v>
      </c>
      <c r="AE179" s="8" t="str">
        <v>2026-10-06 大促；2026-10-07 大促</v>
      </c>
      <c r="AF179" s="8" t="n">
        <v>0</v>
      </c>
      <c r="AG179" s="8" t="n">
        <v>0</v>
      </c>
      <c r="AH179" s="8" t="n">
        <v>14</v>
      </c>
      <c r="AI179" s="8" t="str">
        <v>2026-09-16 至 2026-10-17</v>
      </c>
      <c r="AJ1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79" s="8" t="str">
        <v>2026-10-06 大促；2026-10-07 大促</v>
      </c>
      <c r="AL179" s="8" t="n">
        <v>1</v>
      </c>
      <c r="AM179" s="8" t="n">
        <v>0</v>
      </c>
      <c r="AN179" s="8" t="n">
        <v>30</v>
      </c>
      <c r="AO179" s="8" t="str">
        <v>9967 / 灰色PU / 13120</v>
      </c>
      <c r="AP179" s="11" t="n">
        <v>0.624562333197096</v>
      </c>
      <c r="AQ179" s="11" t="n">
        <v>0.624562333197096</v>
      </c>
      <c r="AR179" s="11" t="n">
        <v>0.362963200567801</v>
      </c>
      <c r="AS179" s="11" t="n">
        <f>IF(AND(COUNT(I179:K179,AP179:AR179)=6,MIN(AP179:AR179)&gt;0),I179/7/AP179*0.5+J179/14/AQ179*0.3+K179/30/AR179*0.2,"")</f>
        <v>0.018367334915048345</v>
      </c>
      <c r="AT179" s="8" t="n">
        <v>1</v>
      </c>
      <c r="AU179" s="8" t="n">
        <v>0</v>
      </c>
      <c r="AV179" s="8" t="n">
        <v>88</v>
      </c>
      <c r="AW179" s="11" t="n">
        <f>IF(AND(COUNT(AT179:AV179)=3,AT179&gt;=AU179,AU179&gt;=0,AV179&gt;0),(AT179-AU179)/AV179,"")</f>
        <v>0.011363636363636364</v>
      </c>
      <c r="AX179" s="8" t="n">
        <v>1</v>
      </c>
      <c r="AY179" s="8" t="n">
        <v>0</v>
      </c>
      <c r="AZ179" s="8" t="n">
        <v>178</v>
      </c>
      <c r="BA179" s="11" t="n">
        <f>IF(AND(COUNT(AX179:AZ179)=3,AX179&gt;=AY179,AY179&gt;=0,AZ179&gt;0),(AX179-AY179)/AZ179,"")</f>
        <v>0.0056179775280898875</v>
      </c>
      <c r="BB179" s="8" t="n">
        <f>IF(COUNT(AS179,AW179,BA179)=3,1,0)</f>
        <v>1</v>
      </c>
      <c r="BC179" s="11" t="n">
        <f>IF(SUMIF($AO$11:$AO$1309,AO179,$BB$11:$BB$1309)=COUNTIF($AO$11:$AO$1309,AO179),SUMIF($AO$11:$AO$1309,AO179,$AS$11:$AS$1309),"")</f>
        <v>0.018367334915048345</v>
      </c>
      <c r="BD179" s="11" t="n">
        <f>IF(SUMIF($AO$11:$AO$1309,AO179,$BB$11:$BB$1309)=COUNTIF($AO$11:$AO$1309,AO179),SUMIF($AO$11:$AO$1309,AO179,$AW$11:$AW$1309),"")</f>
        <v>0.011363636363636364</v>
      </c>
      <c r="BE179" s="11" t="n">
        <f>IF(SUMIF($AO$11:$AO$1309,AO179,$BB$11:$BB$1309)=COUNTIF($AO$11:$AO$1309,AO179),SUMIF($AO$11:$AO$1309,AO179,$BA$11:$BA$1309),"")</f>
        <v>0.0056179775280898875</v>
      </c>
      <c r="BF179" s="12" t="n">
        <f>IF(COUNT(BD179:BE179)&lt;&gt;2,"",IF(AND(BD179&gt;0,BE179&gt;0),0.7*AW179/BD179+0.3*BA179/BE179,IF(BD179&gt;0,AW179/BD179,IF(BE179&gt;0,BA179/BE179,IF(AND(ISNUMBER(BH179),BH179=0),0,"")))))</f>
        <v>1</v>
      </c>
      <c r="BG179" s="11" t="n">
        <f>IF(AND(COUNT(BN179:BU179)=8,MIN(BN179:BU179)&gt;=0),SUMPRODUCT(BN179:BQ179,BR179:BU179),"")</f>
        <v>251.82999335153164</v>
      </c>
      <c r="BH179" s="11" t="n">
        <f>IF(COUNT(BC179,BG179)=2,BC179*BG179,"")</f>
        <v>4.62544582954198</v>
      </c>
      <c r="BI179" s="11" t="n">
        <f>IF(ISNUMBER(CI179),CI179,"")</f>
        <v>4.62544582954198</v>
      </c>
      <c r="BJ179" s="8" t="str"/>
      <c r="BK179" s="8" t="str">
        <v>90天：2026-07-20 至 2026-10-17；180天：2026-04-21 至 2026-10-17</v>
      </c>
      <c r="BL179" s="8" t="str">
        <v>90天：2026-10-06、2026-10-07；180天：2026-10-06、2026-10-07</v>
      </c>
      <c r="BM179" s="8" t="str">
        <v>2026-10：12天 × 0.624562333197096；2026-11：30天 × 2.028100514629496；2026-12：31天 × 4.058791976082533；2027-01：17天 × 3.3923340385719465</v>
      </c>
      <c r="BN179" s="11" t="n">
        <v>0.624562333197096</v>
      </c>
      <c r="BO179" s="11" t="n">
        <v>2.028100514629496</v>
      </c>
      <c r="BP179" s="11" t="n">
        <v>4.058791976082533</v>
      </c>
      <c r="BQ179" s="11" t="n">
        <v>3.3923340385719465</v>
      </c>
      <c r="BR179" s="8" t="n">
        <v>12</v>
      </c>
      <c r="BS179" s="8" t="n">
        <v>30</v>
      </c>
      <c r="BT179" s="8" t="n">
        <v>31</v>
      </c>
      <c r="BU179" s="8" t="n">
        <v>17</v>
      </c>
      <c r="BV179" s="11" t="n">
        <f>IF(COUNT(BC179,BF179)=2,BC179*BF179,"")</f>
        <v>0.018367334915048345</v>
      </c>
      <c r="BW179" s="11" t="n">
        <f>IF(ISNUMBER(BN179),BN179,"")</f>
        <v>0.624562333197096</v>
      </c>
      <c r="BX179" s="14" t="n">
        <f>IF(ISNUMBER(BR179),BR179,"")</f>
        <v>12</v>
      </c>
      <c r="BY179" s="13" t="n">
        <f>IF(AND(COUNT(BV179,BW179,BX179)=3,MIN(BV179,BW179,BX179)&gt;=0),BV179*BW179*BX179,"")</f>
        <v>0.13765854658986093</v>
      </c>
      <c r="BZ179" s="11" t="n">
        <f>IF(ISNUMBER(BO179),BO179,"")</f>
        <v>2.028100514629496</v>
      </c>
      <c r="CA179" s="14" t="n">
        <f>IF(ISNUMBER(BS179),BS179,"")</f>
        <v>30</v>
      </c>
      <c r="CB179" s="13" t="n">
        <f>IF(AND(COUNT(BV179,BZ179,CA179)=3,MIN(BV179,BZ179,CA179)&gt;=0),BV179*BZ179*CA179,"")</f>
        <v>1.117524041807456</v>
      </c>
      <c r="CC179" s="11" t="n">
        <f>IF(ISNUMBER(BP179),BP179,"")</f>
        <v>4.058791976082533</v>
      </c>
      <c r="CD179" s="14" t="n">
        <f>IF(ISNUMBER(BT179),BT179,"")</f>
        <v>31</v>
      </c>
      <c r="CE179" s="13" t="n">
        <f>IF(AND(COUNT(BV179,CC179,CD179)=3,MIN(BV179,CC179,CD179)&gt;=0),BV179*CC179*CD179,"")</f>
        <v>2.311024938831782</v>
      </c>
      <c r="CF179" s="11" t="n">
        <f>IF(ISNUMBER(BQ179),BQ179,"")</f>
        <v>3.3923340385719465</v>
      </c>
      <c r="CG179" s="14" t="n">
        <f>IF(ISNUMBER(BU179),BU179,"")</f>
        <v>17</v>
      </c>
      <c r="CH179" s="13" t="n">
        <f>IF(AND(COUNT(BV179,CF179,CG179)=3,MIN(BV179,CF179,CG179)&gt;=0),BV179*CF179*CG179,"")</f>
        <v>1.059238302312881</v>
      </c>
      <c r="CI179" s="13" t="n">
        <f>IF(COUNT(BY179,CB179,CE179,CH179)=4,SUM(BY179,CB179,CE179,CH179),"")</f>
        <v>4.62544582954198</v>
      </c>
    </row>
    <row r="180" ht="72" customHeight="1">
      <c r="A180" s="16" t="str">
        <v>B06-SP-40.5</v>
      </c>
      <c r="B180" s="16" t="str">
        <v>1店-MUSSHOE-US</v>
      </c>
      <c r="C180" s="16" t="str">
        <v>艾年</v>
      </c>
      <c r="D180" s="26" t="n">
        <f>IF(NOT(ISNUMBER(E180)),"",IF(OR(E180&lt;=0,L180=0),0,IF(OR(NOT(ISNUMBER(F180)),F180&lt;0),"",MIN(E180,INT(F180)))))</f>
        <v>4</v>
      </c>
      <c r="E180" s="27" t="n">
        <f>IF(OR(NOT(ISNUMBER(L180)),COUNT(M180:O180)&lt;&gt;3,MIN(M180:O180)&lt;0),"",ROUNDUP(ROUND(BI180-SUM(M180:O180),10),0))</f>
        <v>4</v>
      </c>
      <c r="F180" s="28" t="n">
        <v>40</v>
      </c>
      <c r="G180" s="28" t="n">
        <f>IF(AND(ISNUMBER(D180),ISNUMBER(E180)),IF(OR(E180&lt;=0,L180=0),0,E180-D180),"")</f>
        <v>0</v>
      </c>
      <c r="H180" s="16" t="str">
        <f>IF(NOT(ISNUMBER(E180)),"销量或海外库存待补",IF(OR(E180&lt;=0,L180=0),IF(L180=0,"零日销，本批不发","本批无需补货"),IF(NOT(ISNUMBER(D180)),"国内库存待补",IF(D180=0,"国内无可用库存",IF(G180&gt;0,"先发国内现货","按建议量发货")))))</f>
        <v>按建议量发货</v>
      </c>
      <c r="I180" s="28" t="n">
        <f>IF(AND(COUNT(Z180,AA180,AB180)=3,Z180&gt;=AA180,AA180&gt;=0,AB180=7),Z180-AA180,"")</f>
        <v>1</v>
      </c>
      <c r="J180" s="28" t="n">
        <f>IF(AND(COUNT(AF180,AG180,AH180)=3,AF180&gt;=AG180,AG180&gt;=0,AH180=14),AF180-AG180,"")</f>
        <v>1</v>
      </c>
      <c r="K180" s="28" t="n">
        <f>IF(AND(COUNT(AL180,AM180,AN180)=3,AL180&gt;=AM180,AM180&gt;=0,AN180=30),AL180-AM180,"")</f>
        <v>1</v>
      </c>
      <c r="L180" s="29" t="n">
        <f>IF(ISNUMBER(BI180),BI180/90,"")</f>
        <v>0.04888713170500775</v>
      </c>
      <c r="M180" s="28" t="n">
        <v>1</v>
      </c>
      <c r="N180" s="28" t="n">
        <v>0</v>
      </c>
      <c r="O180" s="28" t="n">
        <v>0</v>
      </c>
      <c r="P180" s="30" t="n">
        <f>IF(AND(ISNUMBER(L180),L180&gt;0,COUNT(M180:O180)=3,MIN(M180:O180)&gt;=0),SUM(M180:O180)/L180,"")</f>
        <v>20.455280666375547</v>
      </c>
      <c r="Q180" s="16" t="str">
        <v>沿用原计划SKU店铺</v>
      </c>
      <c r="R180" s="16" t="str">
        <v>已匹配</v>
      </c>
      <c r="S180" s="16" t="str">
        <v>停售</v>
      </c>
      <c r="T180" s="16" t="str">
        <v>B06</v>
      </c>
      <c r="U180" s="16" t="str">
        <v>蛇纹PU</v>
      </c>
      <c r="V180" s="16" t="n">
        <v>9.5</v>
      </c>
      <c r="W180" s="8" t="str">
        <v>2026-10-11 至 2026-10-17</v>
      </c>
      <c r="X180" s="8" t="str">
        <v>2026-10-11、2026-10-12、2026-10-13、2026-10-14、2026-10-15、2026-10-16、2026-10-17</v>
      </c>
      <c r="Y180" s="8" t="str">
        <v>无</v>
      </c>
      <c r="Z180" s="8" t="n">
        <v>1</v>
      </c>
      <c r="AA180" s="8" t="n">
        <v>0</v>
      </c>
      <c r="AB180" s="8" t="n">
        <v>7</v>
      </c>
      <c r="AC180" s="8" t="str">
        <v>2026-10-02 至 2026-10-17</v>
      </c>
      <c r="AD180" s="8" t="str">
        <v>2026-10-02、2026-10-03、2026-10-04、2026-10-05、2026-10-08、2026-10-09、2026-10-10、2026-10-11、2026-10-12、2026-10-13、2026-10-14、2026-10-15、2026-10-16、2026-10-17</v>
      </c>
      <c r="AE180" s="8" t="str">
        <v>2026-10-06 大促；2026-10-07 大促</v>
      </c>
      <c r="AF180" s="8" t="n">
        <v>1</v>
      </c>
      <c r="AG180" s="8" t="n">
        <v>0</v>
      </c>
      <c r="AH180" s="8" t="n">
        <v>14</v>
      </c>
      <c r="AI180" s="8" t="str">
        <v>2026-09-16 至 2026-10-17</v>
      </c>
      <c r="AJ1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0" s="8" t="str">
        <v>2026-10-06 大促；2026-10-07 大促</v>
      </c>
      <c r="AL180" s="8" t="n">
        <v>1</v>
      </c>
      <c r="AM180" s="8" t="n">
        <v>0</v>
      </c>
      <c r="AN180" s="8" t="n">
        <v>30</v>
      </c>
      <c r="AO180" s="8" t="str">
        <v>B06 / 蛇纹PU / 13120</v>
      </c>
      <c r="AP180" s="11" t="n">
        <v>1.2247029157699902</v>
      </c>
      <c r="AQ180" s="11" t="n">
        <v>1.2247029157699902</v>
      </c>
      <c r="AR180" s="11" t="n">
        <v>1.1136940657346173</v>
      </c>
      <c r="AS180" s="11" t="n">
        <f>IF(AND(COUNT(I180:K180,AP180:AR180)=6,MIN(AP180:AR180)&gt;0),I180/7/AP180*0.5+J180/14/AQ180*0.3+K180/30/AR180*0.2,"")</f>
        <v>0.08180622139339022</v>
      </c>
      <c r="AT180" s="8" t="n">
        <v>3</v>
      </c>
      <c r="AU180" s="8" t="n">
        <v>0</v>
      </c>
      <c r="AV180" s="8" t="n">
        <v>88</v>
      </c>
      <c r="AW180" s="11" t="n">
        <f>IF(AND(COUNT(AT180:AV180)=3,AT180&gt;=AU180,AU180&gt;=0,AV180&gt;0),(AT180-AU180)/AV180,"")</f>
        <v>0.03409090909090909</v>
      </c>
      <c r="AX180" s="8" t="n">
        <v>26</v>
      </c>
      <c r="AY180" s="8" t="n">
        <v>0</v>
      </c>
      <c r="AZ180" s="8" t="n">
        <v>178</v>
      </c>
      <c r="BA180" s="11" t="n">
        <f>IF(AND(COUNT(AX180:AZ180)=3,AX180&gt;=AY180,AY180&gt;=0,AZ180&gt;0),(AX180-AY180)/AZ180,"")</f>
        <v>0.14606741573033707</v>
      </c>
      <c r="BB180" s="8" t="n">
        <f>IF(COUNT(AS180,AW180,BA180)=3,1,0)</f>
        <v>1</v>
      </c>
      <c r="BC180" s="11" t="n">
        <f>IF(SUMIF($AO$11:$AO$1309,AO180,$BB$11:$BB$1309)=COUNTIF($AO$11:$AO$1309,AO180),SUMIF($AO$11:$AO$1309,AO180,$AS$11:$AS$1309),"")</f>
        <v>0.9486156980046698</v>
      </c>
      <c r="BD180" s="11" t="n">
        <f>IF(SUMIF($AO$11:$AO$1309,AO180,$BB$11:$BB$1309)=COUNTIF($AO$11:$AO$1309,AO180),SUMIF($AO$11:$AO$1309,AO180,$AW$11:$AW$1309),"")</f>
        <v>0.7897058823529413</v>
      </c>
      <c r="BE180" s="11" t="n">
        <f>IF(SUMIF($AO$11:$AO$1309,AO180,$BB$11:$BB$1309)=COUNTIF($AO$11:$AO$1309,AO180),SUMIF($AO$11:$AO$1309,AO180,$BA$11:$BA$1309),"")</f>
        <v>1.343242375601926</v>
      </c>
      <c r="BF180" s="12" t="n">
        <f>IF(COUNT(BD180:BE180)&lt;&gt;2,"",IF(AND(BD180&gt;0,BE180&gt;0),0.7*AW180/BD180+0.3*BA180/BE180,IF(BD180&gt;0,AW180/BD180,IF(BE180&gt;0,BA180/BE180,IF(AND(ISNUMBER(BH180),BH180=0),0,"")))))</f>
        <v>0.06284110854616713</v>
      </c>
      <c r="BG180" s="11" t="n">
        <f>IF(AND(COUNT(BN180:BU180)=8,MIN(BN180:BU180)&gt;=0),SUMPRODUCT(BN180:BQ180,BR180:BU180),"")</f>
        <v>73.80791239847399</v>
      </c>
      <c r="BH180" s="11" t="n">
        <f>IF(COUNT(BC180,BG180)=2,BC180*BG180,"")</f>
        <v>70.01534433814592</v>
      </c>
      <c r="BI180" s="11" t="n">
        <f>IF(ISNUMBER(CI180),CI180,"")</f>
        <v>4.399841853450697</v>
      </c>
      <c r="BJ180" s="8" t="str"/>
      <c r="BK180" s="8" t="str">
        <v>90天：2026-07-20 至 2026-10-17；180天：2026-04-21 至 2026-10-17</v>
      </c>
      <c r="BL180" s="8" t="str">
        <v>90天：2026-10-06、2026-10-07；180天：2026-10-06、2026-10-07</v>
      </c>
      <c r="BM180" s="8" t="str">
        <v>2026-10：12天 × 1.2247029157699902；2026-11：30天 × 0.8332682139098497；2026-12：31天 × 0.5511018253564084；2027-01：17天 × 1.0017220238758797</v>
      </c>
      <c r="BN180" s="11" t="n">
        <v>1.2247029157699902</v>
      </c>
      <c r="BO180" s="11" t="n">
        <v>0.8332682139098497</v>
      </c>
      <c r="BP180" s="11" t="n">
        <v>0.5511018253564084</v>
      </c>
      <c r="BQ180" s="11" t="n">
        <v>1.0017220238758797</v>
      </c>
      <c r="BR180" s="8" t="n">
        <v>12</v>
      </c>
      <c r="BS180" s="8" t="n">
        <v>30</v>
      </c>
      <c r="BT180" s="8" t="n">
        <v>31</v>
      </c>
      <c r="BU180" s="8" t="n">
        <v>17</v>
      </c>
      <c r="BV180" s="11" t="n">
        <f>IF(COUNT(BC180,BF180)=2,BC180*BF180,"")</f>
        <v>0.05961206204690955</v>
      </c>
      <c r="BW180" s="11" t="n">
        <f>IF(ISNUMBER(BN180),BN180,"")</f>
        <v>1.2247029157699902</v>
      </c>
      <c r="BX180" s="14" t="n">
        <f>IF(ISNUMBER(BR180),BR180,"")</f>
        <v>12</v>
      </c>
      <c r="BY180" s="13" t="n">
        <f>IF(AND(COUNT(BV180,BW180,BX180)=3,MIN(BV180,BW180,BX180)&gt;=0),BV180*BW180*BX180,"")</f>
        <v>0.8760847944469404</v>
      </c>
      <c r="BZ180" s="11" t="n">
        <f>IF(ISNUMBER(BO180),BO180,"")</f>
        <v>0.8332682139098497</v>
      </c>
      <c r="CA180" s="14" t="n">
        <f>IF(ISNUMBER(BS180),BS180,"")</f>
        <v>30</v>
      </c>
      <c r="CB180" s="13" t="n">
        <f>IF(AND(COUNT(BV180,BZ180,CA180)=3,MIN(BV180,BZ180,CA180)&gt;=0),BV180*BZ180*CA180,"")</f>
        <v>1.490185094079344</v>
      </c>
      <c r="CC180" s="11" t="n">
        <f>IF(ISNUMBER(BP180),BP180,"")</f>
        <v>0.5511018253564084</v>
      </c>
      <c r="CD180" s="14" t="n">
        <f>IF(ISNUMBER(BT180),BT180,"")</f>
        <v>31</v>
      </c>
      <c r="CE180" s="13" t="n">
        <f>IF(AND(COUNT(BV180,CC180,CD180)=3,MIN(BV180,CC180,CD180)&gt;=0),BV180*CC180*CD180,"")</f>
        <v>1.0184218024266511</v>
      </c>
      <c r="CF180" s="11" t="n">
        <f>IF(ISNUMBER(BQ180),BQ180,"")</f>
        <v>1.0017220238758797</v>
      </c>
      <c r="CG180" s="14" t="n">
        <f>IF(ISNUMBER(BU180),BU180,"")</f>
        <v>17</v>
      </c>
      <c r="CH180" s="13" t="n">
        <f>IF(AND(COUNT(BV180,CF180,CG180)=3,MIN(BV180,CF180,CG180)&gt;=0),BV180*CF180*CG180,"")</f>
        <v>1.0151501624977608</v>
      </c>
      <c r="CI180" s="13" t="n">
        <f>IF(COUNT(BY180,CB180,CE180,CH180)=4,SUM(BY180,CB180,CE180,CH180),"")</f>
        <v>4.399841853450697</v>
      </c>
    </row>
    <row r="181" ht="72" customHeight="1">
      <c r="A181" s="16" t="str">
        <v>B07-PK-42-by</v>
      </c>
      <c r="B181" s="16" t="str">
        <v>4店-彬郁-US</v>
      </c>
      <c r="C181" s="16" t="str">
        <v>艾年</v>
      </c>
      <c r="D181" s="26" t="n">
        <f>IF(NOT(ISNUMBER(E181)),"",IF(OR(E181&lt;=0,L181=0),0,IF(OR(NOT(ISNUMBER(F181)),F181&lt;0),"",MIN(E181,INT(F181)))))</f>
        <v>4</v>
      </c>
      <c r="E181" s="27" t="n">
        <f>IF(OR(NOT(ISNUMBER(L181)),COUNT(M181:O181)&lt;&gt;3,MIN(M181:O181)&lt;0),"",ROUNDUP(ROUND(BI181-SUM(M181:O181),10),0))</f>
        <v>4</v>
      </c>
      <c r="F181" s="28" t="n">
        <v>9</v>
      </c>
      <c r="G181" s="28" t="n">
        <f>IF(AND(ISNUMBER(D181),ISNUMBER(E181)),IF(OR(E181&lt;=0,L181=0),0,E181-D181),"")</f>
        <v>0</v>
      </c>
      <c r="H181" s="16" t="str">
        <f>IF(NOT(ISNUMBER(E181)),"销量或海外库存待补",IF(OR(E181&lt;=0,L181=0),IF(L181=0,"零日销，本批不发","本批无需补货"),IF(NOT(ISNUMBER(D181)),"国内库存待补",IF(D181=0,"国内无可用库存",IF(G181&gt;0,"先发国内现货","按建议量发货")))))</f>
        <v>按建议量发货</v>
      </c>
      <c r="I181" s="28" t="n">
        <f>IF(AND(COUNT(Z181,AA181,AB181)=3,Z181&gt;=AA181,AA181&gt;=0,AB181=7),Z181-AA181,"")</f>
        <v>1</v>
      </c>
      <c r="J181" s="28" t="n">
        <f>IF(AND(COUNT(AF181,AG181,AH181)=3,AF181&gt;=AG181,AG181&gt;=0,AH181=14),AF181-AG181,"")</f>
        <v>3</v>
      </c>
      <c r="K181" s="28" t="n">
        <f>IF(AND(COUNT(AL181,AM181,AN181)=3,AL181&gt;=AM181,AM181&gt;=0,AN181=30),AL181-AM181,"")</f>
        <v>4</v>
      </c>
      <c r="L181" s="29" t="n">
        <f>IF(ISNUMBER(BI181),BI181/90,"")</f>
        <v>0.07047845509949234</v>
      </c>
      <c r="M181" s="28" t="n">
        <v>3</v>
      </c>
      <c r="N181" s="28" t="n">
        <v>0</v>
      </c>
      <c r="O181" s="28" t="n">
        <v>0</v>
      </c>
      <c r="P181" s="30" t="n">
        <f>IF(AND(ISNUMBER(L181),L181&gt;0,COUNT(M181:O181)=3,MIN(M181:O181)&gt;=0),SUM(M181:O181)/L181,"")</f>
        <v>42.56619978069878</v>
      </c>
      <c r="Q181" s="16" t="str">
        <v>沿用原计划SKU店铺</v>
      </c>
      <c r="R181" s="16" t="str">
        <v>已匹配</v>
      </c>
      <c r="S181" s="16" t="str">
        <v>在售</v>
      </c>
      <c r="T181" s="16" t="str">
        <v>B07</v>
      </c>
      <c r="U181" s="16" t="str">
        <v>粉色羊京绒</v>
      </c>
      <c r="V181" s="16" t="n">
        <v>11</v>
      </c>
      <c r="W181" s="8" t="str">
        <v>2026-10-11 至 2026-10-17</v>
      </c>
      <c r="X181" s="8" t="str">
        <v>2026-10-11、2026-10-12、2026-10-13、2026-10-14、2026-10-15、2026-10-16、2026-10-17</v>
      </c>
      <c r="Y181" s="8" t="str">
        <v>无</v>
      </c>
      <c r="Z181" s="8" t="n">
        <v>1</v>
      </c>
      <c r="AA181" s="8" t="n">
        <v>0</v>
      </c>
      <c r="AB181" s="8" t="n">
        <v>7</v>
      </c>
      <c r="AC181" s="8" t="str">
        <v>2026-10-02 至 2026-10-17</v>
      </c>
      <c r="AD181" s="8" t="str">
        <v>2026-10-02、2026-10-03、2026-10-04、2026-10-05、2026-10-08、2026-10-09、2026-10-10、2026-10-11、2026-10-12、2026-10-13、2026-10-14、2026-10-15、2026-10-16、2026-10-17</v>
      </c>
      <c r="AE181" s="8" t="str">
        <v>2026-10-06 大促；2026-10-07 大促</v>
      </c>
      <c r="AF181" s="8" t="n">
        <v>3</v>
      </c>
      <c r="AG181" s="8" t="n">
        <v>0</v>
      </c>
      <c r="AH181" s="8" t="n">
        <v>14</v>
      </c>
      <c r="AI181" s="8" t="str">
        <v>2026-09-16 至 2026-10-17</v>
      </c>
      <c r="AJ1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1" s="8" t="str">
        <v>2026-10-06 大促；2026-10-07 大促</v>
      </c>
      <c r="AL181" s="8" t="n">
        <v>4</v>
      </c>
      <c r="AM181" s="8" t="n">
        <v>0</v>
      </c>
      <c r="AN181" s="8" t="n">
        <v>30</v>
      </c>
      <c r="AO181" s="8" t="str">
        <v>B07 / 粉色羊京绒 / 13306</v>
      </c>
      <c r="AP181" s="11" t="n">
        <v>0.7307750238224848</v>
      </c>
      <c r="AQ181" s="11" t="n">
        <v>0.7307750238224848</v>
      </c>
      <c r="AR181" s="11" t="n">
        <v>0.7449809054134506</v>
      </c>
      <c r="AS181" s="11" t="n">
        <f>IF(AND(COUNT(I181:K181,AP181:AR181)=6,MIN(AP181:AR181)&gt;0),I181/7/AP181*0.5+J181/14/AQ181*0.3+K181/30/AR181*0.2,"")</f>
        <v>0.22150791439139897</v>
      </c>
      <c r="AT181" s="8" t="n">
        <v>4</v>
      </c>
      <c r="AU181" s="8" t="n">
        <v>0</v>
      </c>
      <c r="AV181" s="8" t="n">
        <v>88</v>
      </c>
      <c r="AW181" s="11" t="n">
        <f>IF(AND(COUNT(AT181:AV181)=3,AT181&gt;=AU181,AU181&gt;=0,AV181&gt;0),(AT181-AU181)/AV181,"")</f>
        <v>0.045454545454545456</v>
      </c>
      <c r="AX181" s="8" t="n">
        <v>7</v>
      </c>
      <c r="AY181" s="8" t="n">
        <v>0</v>
      </c>
      <c r="AZ181" s="8" t="n">
        <v>178</v>
      </c>
      <c r="BA181" s="11" t="n">
        <f>IF(AND(COUNT(AX181:AZ181)=3,AX181&gt;=AY181,AY181&gt;=0,AZ181&gt;0),(AX181-AY181)/AZ181,"")</f>
        <v>0.03932584269662921</v>
      </c>
      <c r="BB181" s="8" t="n">
        <f>IF(COUNT(AS181,AW181,BA181)=3,1,0)</f>
        <v>1</v>
      </c>
      <c r="BC181" s="11" t="n">
        <f>IF(SUMIF($AO$11:$AO$1309,AO181,$BB$11:$BB$1309)=COUNTIF($AO$11:$AO$1309,AO181),SUMIF($AO$11:$AO$1309,AO181,$AS$11:$AS$1309),"")</f>
        <v>0.4047439777447489</v>
      </c>
      <c r="BD181" s="11" t="n">
        <f>IF(SUMIF($AO$11:$AO$1309,AO181,$BB$11:$BB$1309)=COUNTIF($AO$11:$AO$1309,AO181),SUMIF($AO$11:$AO$1309,AO181,$AW$11:$AW$1309),"")</f>
        <v>0.22727272727272724</v>
      </c>
      <c r="BE181" s="11" t="n">
        <f>IF(SUMIF($AO$11:$AO$1309,AO181,$BB$11:$BB$1309)=COUNTIF($AO$11:$AO$1309,AO181),SUMIF($AO$11:$AO$1309,AO181,$BA$11:$BA$1309),"")</f>
        <v>0.19662921348314605</v>
      </c>
      <c r="BF181" s="12" t="n">
        <f>IF(COUNT(BD181:BE181)&lt;&gt;2,"",IF(AND(BD181&gt;0,BE181&gt;0),0.7*AW181/BD181+0.3*BA181/BE181,IF(BD181&gt;0,AW181/BD181,IF(BE181&gt;0,BA181/BE181,IF(AND(ISNUMBER(BH181),BH181=0),0,"")))))</f>
        <v>0.2</v>
      </c>
      <c r="BG181" s="11" t="n">
        <f>IF(AND(COUNT(BN181:BU181)=8,MIN(BN181:BU181)&gt;=0),SUMPRODUCT(BN181:BQ181,BR181:BU181),"")</f>
        <v>78.35892944347341</v>
      </c>
      <c r="BH181" s="11" t="n">
        <f>IF(COUNT(BC181,BG181)=2,BC181*BG181,"")</f>
        <v>31.715304794771555</v>
      </c>
      <c r="BI181" s="11" t="n">
        <f>IF(ISNUMBER(CI181),CI181,"")</f>
        <v>6.343060958954311</v>
      </c>
      <c r="BJ181" s="8" t="str">
        <v>近180天本色销量36双（＜90），无有效新采购，请运营判断</v>
      </c>
      <c r="BK181" s="8" t="str">
        <v>90天：2026-07-20 至 2026-10-17；180天：2026-04-21 至 2026-10-17</v>
      </c>
      <c r="BL181" s="8" t="str">
        <v>90天：2026-10-06、2026-10-07；180天：2026-10-06、2026-10-07</v>
      </c>
      <c r="BM181" s="8" t="str">
        <v>2026-10：12天 × 0.7307750238224848；2026-11：30天 × 0.9523018155490097；2026-12：31天 × 0.5958545198749097；2027-01：17天 × 1.3264167397065354</v>
      </c>
      <c r="BN181" s="11" t="n">
        <v>0.7307750238224848</v>
      </c>
      <c r="BO181" s="11" t="n">
        <v>0.9523018155490097</v>
      </c>
      <c r="BP181" s="11" t="n">
        <v>0.5958545198749097</v>
      </c>
      <c r="BQ181" s="11" t="n">
        <v>1.3264167397065354</v>
      </c>
      <c r="BR181" s="8" t="n">
        <v>12</v>
      </c>
      <c r="BS181" s="8" t="n">
        <v>30</v>
      </c>
      <c r="BT181" s="8" t="n">
        <v>31</v>
      </c>
      <c r="BU181" s="8" t="n">
        <v>17</v>
      </c>
      <c r="BV181" s="11" t="n">
        <f>IF(COUNT(BC181,BF181)=2,BC181*BF181,"")</f>
        <v>0.08094879554894979</v>
      </c>
      <c r="BW181" s="11" t="n">
        <f>IF(ISNUMBER(BN181),BN181,"")</f>
        <v>0.7307750238224848</v>
      </c>
      <c r="BX181" s="14" t="n">
        <f>IF(ISNUMBER(BR181),BR181,"")</f>
        <v>12</v>
      </c>
      <c r="BY181" s="13" t="n">
        <f>IF(AND(COUNT(BV181,BW181,BX181)=3,MIN(BV181,BW181,BX181)&gt;=0),BV181*BW181*BX181,"")</f>
        <v>0.7098642959482229</v>
      </c>
      <c r="BZ181" s="11" t="n">
        <f>IF(ISNUMBER(BO181),BO181,"")</f>
        <v>0.9523018155490097</v>
      </c>
      <c r="CA181" s="14" t="n">
        <f>IF(ISNUMBER(BS181),BS181,"")</f>
        <v>30</v>
      </c>
      <c r="CB181" s="13" t="n">
        <f>IF(AND(COUNT(BV181,BZ181,CA181)=3,MIN(BV181,BZ181,CA181)&gt;=0),BV181*BZ181*CA181,"")</f>
        <v>2.3126305490331145</v>
      </c>
      <c r="CC181" s="11" t="n">
        <f>IF(ISNUMBER(BP181),BP181,"")</f>
        <v>0.5958545198749097</v>
      </c>
      <c r="CD181" s="14" t="n">
        <f>IF(ISNUMBER(BT181),BT181,"")</f>
        <v>31</v>
      </c>
      <c r="CE181" s="13" t="n">
        <f>IF(AND(COUNT(BV181,CC181,CD181)=3,MIN(BV181,CC181,CD181)&gt;=0),BV181*CC181*CD181,"")</f>
        <v>1.4952448768944229</v>
      </c>
      <c r="CF181" s="11" t="n">
        <f>IF(ISNUMBER(BQ181),BQ181,"")</f>
        <v>1.3264167397065354</v>
      </c>
      <c r="CG181" s="14" t="n">
        <f>IF(ISNUMBER(BU181),BU181,"")</f>
        <v>17</v>
      </c>
      <c r="CH181" s="13" t="n">
        <f>IF(AND(COUNT(BV181,CF181,CG181)=3,MIN(BV181,CF181,CG181)&gt;=0),BV181*CF181*CG181,"")</f>
        <v>1.825321237078551</v>
      </c>
      <c r="CI181" s="13" t="n">
        <f>IF(COUNT(BY181,CB181,CE181,CH181)=4,SUM(BY181,CB181,CE181,CH181),"")</f>
        <v>6.343060958954311</v>
      </c>
    </row>
    <row r="182" ht="72" customHeight="1">
      <c r="A182" s="16" t="str">
        <v>60516-LP-S-K-11</v>
      </c>
      <c r="B182" s="16" t="str">
        <v>3店-SANDIEX-US</v>
      </c>
      <c r="C182" s="16" t="str">
        <v>徐新怡</v>
      </c>
      <c r="D182" s="26" t="n">
        <f>IF(NOT(ISNUMBER(E182)),"",IF(OR(E182&lt;=0,L182=0),0,IF(OR(NOT(ISNUMBER(F182)),F182&lt;0),"",MIN(E182,INT(F182)))))</f>
        <v>3</v>
      </c>
      <c r="E182" s="27" t="n">
        <f>IF(OR(NOT(ISNUMBER(L182)),COUNT(M182:O182)&lt;&gt;3,MIN(M182:O182)&lt;0),"",ROUNDUP(ROUND(BI182-SUM(M182:O182),10),0))</f>
        <v>33</v>
      </c>
      <c r="F182" s="28" t="n">
        <v>3</v>
      </c>
      <c r="G182" s="28" t="n">
        <f>IF(AND(ISNUMBER(D182),ISNUMBER(E182)),IF(OR(E182&lt;=0,L182=0),0,E182-D182),"")</f>
        <v>30</v>
      </c>
      <c r="H182" s="16" t="str">
        <f>IF(NOT(ISNUMBER(E182)),"销量或海外库存待补",IF(OR(E182&lt;=0,L182=0),IF(L182=0,"零日销，本批不发","本批无需补货"),IF(NOT(ISNUMBER(D182)),"国内库存待补",IF(D182=0,"国内无可用库存",IF(G182&gt;0,"先发国内现货","按建议量发货")))))</f>
        <v>先发国内现货</v>
      </c>
      <c r="I182" s="28" t="n">
        <f>IF(AND(COUNT(Z182,AA182,AB182)=3,Z182&gt;=AA182,AA182&gt;=0,AB182=7),Z182-AA182,"")</f>
        <v>4</v>
      </c>
      <c r="J182" s="28" t="n">
        <f>IF(AND(COUNT(AF182,AG182,AH182)=3,AF182&gt;=AG182,AG182&gt;=0,AH182=14),AF182-AG182,"")</f>
        <v>9</v>
      </c>
      <c r="K182" s="28" t="n">
        <f>IF(AND(COUNT(AL182,AM182,AN182)=3,AL182&gt;=AM182,AM182&gt;=0,AN182=30),AL182-AM182,"")</f>
        <v>18</v>
      </c>
      <c r="L182" s="29" t="n">
        <f>IF(ISNUMBER(BI182),BI182/90,"")</f>
        <v>0.5823532659175802</v>
      </c>
      <c r="M182" s="28" t="n">
        <v>20</v>
      </c>
      <c r="N182" s="28" t="n">
        <v>0</v>
      </c>
      <c r="O182" s="28" t="n">
        <v>0</v>
      </c>
      <c r="P182" s="30" t="n">
        <f>IF(AND(ISNUMBER(L182),L182&gt;0,COUNT(M182:O182)=3,MIN(M182:O182)&gt;=0),SUM(M182:O182)/L182,"")</f>
        <v>34.34341519230112</v>
      </c>
      <c r="Q182" s="16" t="str">
        <v>沿用原计划SKU店铺</v>
      </c>
      <c r="R182" s="16" t="str">
        <v>已匹配</v>
      </c>
      <c r="S182" s="16" t="str">
        <v>在售</v>
      </c>
      <c r="T182" s="16" t="str">
        <v>60516</v>
      </c>
      <c r="U182" s="16" t="str">
        <v>豹纹</v>
      </c>
      <c r="V182" s="16" t="n">
        <v>11</v>
      </c>
      <c r="W182" s="8" t="str">
        <v>2026-10-11 至 2026-10-17</v>
      </c>
      <c r="X182" s="8" t="str">
        <v>2026-10-11、2026-10-12、2026-10-13、2026-10-14、2026-10-15、2026-10-16、2026-10-17</v>
      </c>
      <c r="Y182" s="8" t="str">
        <v>无</v>
      </c>
      <c r="Z182" s="8" t="n">
        <v>4</v>
      </c>
      <c r="AA182" s="8" t="n">
        <v>0</v>
      </c>
      <c r="AB182" s="8" t="n">
        <v>7</v>
      </c>
      <c r="AC182" s="8" t="str">
        <v>2026-10-02 至 2026-10-17</v>
      </c>
      <c r="AD182" s="8" t="str">
        <v>2026-10-02、2026-10-03、2026-10-04、2026-10-05、2026-10-08、2026-10-09、2026-10-10、2026-10-11、2026-10-12、2026-10-13、2026-10-14、2026-10-15、2026-10-16、2026-10-17</v>
      </c>
      <c r="AE182" s="8" t="str">
        <v>2026-10-06 大促；2026-10-07 大促</v>
      </c>
      <c r="AF182" s="8" t="n">
        <v>12</v>
      </c>
      <c r="AG182" s="8" t="n">
        <v>3</v>
      </c>
      <c r="AH182" s="8" t="n">
        <v>14</v>
      </c>
      <c r="AI182" s="8" t="str">
        <v>2026-09-16 至 2026-10-17</v>
      </c>
      <c r="AJ1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2" s="8" t="str">
        <v>2026-10-06 大促；2026-10-07 大促</v>
      </c>
      <c r="AL182" s="8" t="n">
        <v>21</v>
      </c>
      <c r="AM182" s="8" t="n">
        <v>3</v>
      </c>
      <c r="AN182" s="8" t="n">
        <v>30</v>
      </c>
      <c r="AO182" s="8" t="str">
        <v>60516 / 豹纹羊京绒 / 6574</v>
      </c>
      <c r="AP182" s="11" t="n">
        <v>1.8609238953732312</v>
      </c>
      <c r="AQ182" s="11" t="n">
        <v>1.8609238953732312</v>
      </c>
      <c r="AR182" s="11" t="n">
        <v>1.7598476169692943</v>
      </c>
      <c r="AS182" s="11" t="n">
        <f>IF(AND(COUNT(I182:K182,AP182:AR182)=6,MIN(AP182:AR182)&gt;0),I182/7/AP182*0.5+J182/14/AQ182*0.3+K182/30/AR182*0.2,"")</f>
        <v>0.32535644861429264</v>
      </c>
      <c r="AT182" s="8" t="n">
        <v>39</v>
      </c>
      <c r="AU182" s="8" t="n">
        <v>3</v>
      </c>
      <c r="AV182" s="8" t="n">
        <v>88</v>
      </c>
      <c r="AW182" s="11" t="n">
        <f>IF(AND(COUNT(AT182:AV182)=3,AT182&gt;=AU182,AU182&gt;=0,AV182&gt;0),(AT182-AU182)/AV182,"")</f>
        <v>0.4090909090909091</v>
      </c>
      <c r="AX182" s="8" t="n">
        <v>49</v>
      </c>
      <c r="AY182" s="8" t="n">
        <v>3</v>
      </c>
      <c r="AZ182" s="8" t="n">
        <v>178</v>
      </c>
      <c r="BA182" s="11" t="n">
        <f>IF(AND(COUNT(AX182:AZ182)=3,AX182&gt;=AY182,AY182&gt;=0,AZ182&gt;0),(AX182-AY182)/AZ182,"")</f>
        <v>0.25842696629213485</v>
      </c>
      <c r="BB182" s="8" t="n">
        <f>IF(COUNT(AS182,AW182,BA182)=3,1,0)</f>
        <v>1</v>
      </c>
      <c r="BC182" s="11" t="n">
        <f>IF(SUMIF($AO$11:$AO$1309,AO182,$BB$11:$BB$1309)=COUNTIF($AO$11:$AO$1309,AO182),SUMIF($AO$11:$AO$1309,AO182,$AS$11:$AS$1309),"")</f>
        <v>4.8489600193541325</v>
      </c>
      <c r="BD182" s="11" t="n">
        <f>IF(SUMIF($AO$11:$AO$1309,AO182,$BB$11:$BB$1309)=COUNTIF($AO$11:$AO$1309,AO182),SUMIF($AO$11:$AO$1309,AO182,$AW$11:$AW$1309),"")</f>
        <v>4.045454545454545</v>
      </c>
      <c r="BE182" s="11" t="n">
        <f>IF(SUMIF($AO$11:$AO$1309,AO182,$BB$11:$BB$1309)=COUNTIF($AO$11:$AO$1309,AO182),SUMIF($AO$11:$AO$1309,AO182,$BA$11:$BA$1309),"")</f>
        <v>2.7977528089887636</v>
      </c>
      <c r="BF182" s="12" t="n">
        <f>IF(COUNT(BD182:BE182)&lt;&gt;2,"",IF(AND(BD182&gt;0,BE182&gt;0),0.7*AW182/BD182+0.3*BA182/BE182,IF(BD182&gt;0,AW182/BD182,IF(BE182&gt;0,BA182/BE182,IF(AND(ISNUMBER(BH182),BH182=0),0,"")))))</f>
        <v>0.09849736022742658</v>
      </c>
      <c r="BG182" s="11" t="n">
        <f>IF(AND(COUNT(BN182:BU182)=8,MIN(BN182:BU182)&gt;=0),SUMPRODUCT(BN182:BQ182,BR182:BU182),"")</f>
        <v>109.73769409574882</v>
      </c>
      <c r="BH182" s="11" t="n">
        <f>IF(COUNT(BC182,BG182)=2,BC182*BG182,"")</f>
        <v>532.1136912864001</v>
      </c>
      <c r="BI182" s="11" t="n">
        <f>IF(ISNUMBER(CI182),CI182,"")</f>
        <v>52.41179393258221</v>
      </c>
      <c r="BJ182" s="8" t="str"/>
      <c r="BK182" s="8" t="str">
        <v>90天：2026-07-20 至 2026-10-17；180天：2026-04-21 至 2026-10-17</v>
      </c>
      <c r="BL182" s="8" t="str">
        <v>90天：2026-10-06、2026-10-07；180天：2026-10-06、2026-10-07</v>
      </c>
      <c r="BM182" s="8" t="str">
        <v>2026-10：12天 × 1.8609238953732312；2026-11：30天 × 1.438375649833085；2026-12：31天 × 0.9519742599124907；2027-01：17天 × 0.8673021058229575</v>
      </c>
      <c r="BN182" s="11" t="n">
        <v>1.8609238953732312</v>
      </c>
      <c r="BO182" s="11" t="n">
        <v>1.438375649833085</v>
      </c>
      <c r="BP182" s="11" t="n">
        <v>0.9519742599124907</v>
      </c>
      <c r="BQ182" s="11" t="n">
        <v>0.8673021058229575</v>
      </c>
      <c r="BR182" s="8" t="n">
        <v>12</v>
      </c>
      <c r="BS182" s="8" t="n">
        <v>30</v>
      </c>
      <c r="BT182" s="8" t="n">
        <v>31</v>
      </c>
      <c r="BU182" s="8" t="n">
        <v>17</v>
      </c>
      <c r="BV182" s="11" t="n">
        <f>IF(COUNT(BC182,BF182)=2,BC182*BF182,"")</f>
        <v>0.47760976175471337</v>
      </c>
      <c r="BW182" s="11" t="n">
        <f>IF(ISNUMBER(BN182),BN182,"")</f>
        <v>1.8609238953732312</v>
      </c>
      <c r="BX182" s="14" t="n">
        <f>IF(ISNUMBER(BR182),BR182,"")</f>
        <v>12</v>
      </c>
      <c r="BY182" s="13" t="n">
        <f>IF(AND(COUNT(BV182,BW182,BX182)=3,MIN(BV182,BW182,BX182)&gt;=0),BV182*BW182*BX182,"")</f>
        <v>10.665545019754346</v>
      </c>
      <c r="BZ182" s="11" t="n">
        <f>IF(ISNUMBER(BO182),BO182,"")</f>
        <v>1.438375649833085</v>
      </c>
      <c r="CA182" s="14" t="n">
        <f>IF(ISNUMBER(BS182),BS182,"")</f>
        <v>30</v>
      </c>
      <c r="CB182" s="13" t="n">
        <f>IF(AND(COUNT(BV182,BZ182,CA182)=3,MIN(BV182,BZ182,CA182)&gt;=0),BV182*BZ182*CA182,"")</f>
        <v>20.609467542916825</v>
      </c>
      <c r="CC182" s="11" t="n">
        <f>IF(ISNUMBER(BP182),BP182,"")</f>
        <v>0.9519742599124907</v>
      </c>
      <c r="CD182" s="14" t="n">
        <f>IF(ISNUMBER(BT182),BT182,"")</f>
        <v>31</v>
      </c>
      <c r="CE182" s="13" t="n">
        <f>IF(AND(COUNT(BV182,CC182,CD182)=3,MIN(BV182,CC182,CD182)&gt;=0),BV182*CC182*CD182,"")</f>
        <v>14.094838183676153</v>
      </c>
      <c r="CF182" s="11" t="n">
        <f>IF(ISNUMBER(BQ182),BQ182,"")</f>
        <v>0.8673021058229575</v>
      </c>
      <c r="CG182" s="14" t="n">
        <f>IF(ISNUMBER(BU182),BU182,"")</f>
        <v>17</v>
      </c>
      <c r="CH182" s="13" t="n">
        <f>IF(AND(COUNT(BV182,CF182,CG182)=3,MIN(BV182,CF182,CG182)&gt;=0),BV182*CF182*CG182,"")</f>
        <v>7.041943186234888</v>
      </c>
      <c r="CI182" s="13" t="n">
        <f>IF(COUNT(BY182,CB182,CE182,CH182)=4,SUM(BY182,CB182,CE182,CH182),"")</f>
        <v>52.41179393258221</v>
      </c>
    </row>
    <row r="183" ht="72" customHeight="1">
      <c r="A183" s="16" t="str">
        <v>2302153-NY-37.5</v>
      </c>
      <c r="B183" s="16" t="str">
        <v>3店-SANDIEX-US</v>
      </c>
      <c r="C183" s="16" t="str">
        <v>徐新怡</v>
      </c>
      <c r="D183" s="26" t="n">
        <f>IF(NOT(ISNUMBER(E183)),"",IF(OR(E183&lt;=0,L183=0),0,IF(OR(NOT(ISNUMBER(F183)),F183&lt;0),"",MIN(E183,INT(F183)))))</f>
        <v>3</v>
      </c>
      <c r="E183" s="27" t="n">
        <f>IF(OR(NOT(ISNUMBER(L183)),COUNT(M183:O183)&lt;&gt;3,MIN(M183:O183)&lt;0),"",ROUNDUP(ROUND(BI183-SUM(M183:O183),10),0))</f>
        <v>3</v>
      </c>
      <c r="F183" s="28" t="n">
        <v>19</v>
      </c>
      <c r="G183" s="28" t="n">
        <f>IF(AND(ISNUMBER(D183),ISNUMBER(E183)),IF(OR(E183&lt;=0,L183=0),0,E183-D183),"")</f>
        <v>0</v>
      </c>
      <c r="H183" s="16" t="str">
        <f>IF(NOT(ISNUMBER(E183)),"销量或海外库存待补",IF(OR(E183&lt;=0,L183=0),IF(L183=0,"零日销，本批不发","本批无需补货"),IF(NOT(ISNUMBER(D183)),"国内库存待补",IF(D183=0,"国内无可用库存",IF(G183&gt;0,"先发国内现货","按建议量发货")))))</f>
        <v>按建议量发货</v>
      </c>
      <c r="I183" s="28" t="n">
        <f>IF(AND(COUNT(Z183,AA183,AB183)=3,Z183&gt;=AA183,AA183&gt;=0,AB183=7),Z183-AA183,"")</f>
        <v>0</v>
      </c>
      <c r="J183" s="28" t="n">
        <f>IF(AND(COUNT(AF183,AG183,AH183)=3,AF183&gt;=AG183,AG183&gt;=0,AH183=14),AF183-AG183,"")</f>
        <v>1</v>
      </c>
      <c r="K183" s="28" t="n">
        <f>IF(AND(COUNT(AL183,AM183,AN183)=3,AL183&gt;=AM183,AM183&gt;=0,AN183=30),AL183-AM183,"")</f>
        <v>6</v>
      </c>
      <c r="L183" s="29" t="n">
        <f>IF(ISNUMBER(BI183),BI183/90,"")</f>
        <v>0.14499907891686184</v>
      </c>
      <c r="M183" s="28" t="n">
        <v>11</v>
      </c>
      <c r="N183" s="28" t="n">
        <v>0</v>
      </c>
      <c r="O183" s="28" t="n">
        <v>0</v>
      </c>
      <c r="P183" s="30" t="n">
        <f>IF(AND(ISNUMBER(L183),L183&gt;0,COUNT(M183:O183)=3,MIN(M183:O183)&gt;=0),SUM(M183:O183)/L183,"")</f>
        <v>75.8625508670098</v>
      </c>
      <c r="Q183" s="16" t="str">
        <v>沿用原计划SKU店铺</v>
      </c>
      <c r="R183" s="16" t="str">
        <v>已匹配</v>
      </c>
      <c r="S183" s="16" t="str">
        <v>在售</v>
      </c>
      <c r="T183" s="16" t="str">
        <v>2302153</v>
      </c>
      <c r="U183" s="16" t="str">
        <v>藏青色</v>
      </c>
      <c r="V183" s="16" t="n">
        <v>6.5</v>
      </c>
      <c r="W183" s="8" t="str">
        <v>2026-10-11 至 2026-10-17</v>
      </c>
      <c r="X183" s="8" t="str">
        <v>2026-10-11、2026-10-12、2026-10-13、2026-10-14、2026-10-15、2026-10-16、2026-10-17</v>
      </c>
      <c r="Y183" s="8" t="str">
        <v>无</v>
      </c>
      <c r="Z183" s="8" t="n">
        <v>0</v>
      </c>
      <c r="AA183" s="8" t="n">
        <v>0</v>
      </c>
      <c r="AB183" s="8" t="n">
        <v>7</v>
      </c>
      <c r="AC183" s="8" t="str">
        <v>2026-10-02 至 2026-10-17</v>
      </c>
      <c r="AD183" s="8" t="str">
        <v>2026-10-02、2026-10-03、2026-10-04、2026-10-05、2026-10-08、2026-10-09、2026-10-10、2026-10-11、2026-10-12、2026-10-13、2026-10-14、2026-10-15、2026-10-16、2026-10-17</v>
      </c>
      <c r="AE183" s="8" t="str">
        <v>2026-10-06 大促；2026-10-07 大促</v>
      </c>
      <c r="AF183" s="8" t="n">
        <v>1</v>
      </c>
      <c r="AG183" s="8" t="n">
        <v>0</v>
      </c>
      <c r="AH183" s="8" t="n">
        <v>14</v>
      </c>
      <c r="AI183" s="8" t="str">
        <v>2026-09-16 至 2026-10-17</v>
      </c>
      <c r="AJ1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3" s="8" t="str">
        <v>2026-10-06 大促；2026-10-07 大促</v>
      </c>
      <c r="AL183" s="8" t="n">
        <v>6</v>
      </c>
      <c r="AM183" s="8" t="n">
        <v>0</v>
      </c>
      <c r="AN183" s="8" t="n">
        <v>30</v>
      </c>
      <c r="AO183" s="8" t="str">
        <v>2302153 / 藏青色羊京绒 / 6574</v>
      </c>
      <c r="AP183" s="11" t="n">
        <v>1.7391279184229513</v>
      </c>
      <c r="AQ183" s="11" t="n">
        <v>1.7391279184229513</v>
      </c>
      <c r="AR183" s="11" t="n">
        <v>1.5731892896917212</v>
      </c>
      <c r="AS183" s="11" t="n">
        <f>IF(AND(COUNT(I183:K183,AP183:AR183)=6,MIN(AP183:AR183)&gt;0),I183/7/AP183*0.5+J183/14/AQ183*0.3+K183/30/AR183*0.2,"")</f>
        <v>0.03774750304885702</v>
      </c>
      <c r="AT183" s="8" t="n">
        <v>16</v>
      </c>
      <c r="AU183" s="8" t="n">
        <v>0</v>
      </c>
      <c r="AV183" s="8" t="n">
        <v>88</v>
      </c>
      <c r="AW183" s="11" t="n">
        <f>IF(AND(COUNT(AT183:AV183)=3,AT183&gt;=AU183,AU183&gt;=0,AV183&gt;0),(AT183-AU183)/AV183,"")</f>
        <v>0.18181818181818182</v>
      </c>
      <c r="AX183" s="8" t="n">
        <v>16</v>
      </c>
      <c r="AY183" s="8" t="n">
        <v>0</v>
      </c>
      <c r="AZ183" s="8" t="n">
        <v>178</v>
      </c>
      <c r="BA183" s="11" t="n">
        <f>IF(AND(COUNT(AX183:AZ183)=3,AX183&gt;=AY183,AY183&gt;=0,AZ183&gt;0),(AX183-AY183)/AZ183,"")</f>
        <v>0.0898876404494382</v>
      </c>
      <c r="BB183" s="8" t="n">
        <f>IF(COUNT(AS183,AW183,BA183)=3,1,0)</f>
        <v>1</v>
      </c>
      <c r="BC183" s="11" t="n">
        <f>IF(SUMIF($AO$11:$AO$1309,AO183,$BB$11:$BB$1309)=COUNTIF($AO$11:$AO$1309,AO183),SUMIF($AO$11:$AO$1309,AO183,$AS$11:$AS$1309),"")</f>
        <v>1.647227964272497</v>
      </c>
      <c r="BD183" s="11" t="n">
        <f>IF(SUMIF($AO$11:$AO$1309,AO183,$BB$11:$BB$1309)=COUNTIF($AO$11:$AO$1309,AO183),SUMIF($AO$11:$AO$1309,AO183,$AW$11:$AW$1309),"")</f>
        <v>2.425267379679144</v>
      </c>
      <c r="BE183" s="11" t="n">
        <f>IF(SUMIF($AO$11:$AO$1309,AO183,$BB$11:$BB$1309)=COUNTIF($AO$11:$AO$1309,AO183),SUMIF($AO$11:$AO$1309,AO183,$BA$11:$BA$1309),"")</f>
        <v>1.3550882825040127</v>
      </c>
      <c r="BF183" s="12" t="n">
        <f>IF(COUNT(BD183:BE183)&lt;&gt;2,"",IF(AND(BD183&gt;0,BE183&gt;0),0.7*AW183/BD183+0.3*BA183/BE183,IF(BD183&gt;0,AW183/BD183,IF(BE183&gt;0,BA183/BE183,IF(AND(ISNUMBER(BH183),BH183=0),0,"")))))</f>
        <v>0.07237783874904584</v>
      </c>
      <c r="BG183" s="11" t="n">
        <f>IF(AND(COUNT(BN183:BU183)=8,MIN(BN183:BU183)&gt;=0),SUMPRODUCT(BN183:BQ183,BR183:BU183),"")</f>
        <v>109.4582336985339</v>
      </c>
      <c r="BH183" s="11" t="n">
        <f>IF(COUNT(BC183,BG183)=2,BC183*BG183,"")</f>
        <v>180.3026634680992</v>
      </c>
      <c r="BI183" s="11" t="n">
        <f>IF(ISNUMBER(CI183),CI183,"")</f>
        <v>13.049917102517565</v>
      </c>
      <c r="BJ183" s="8" t="str"/>
      <c r="BK183" s="8" t="str">
        <v>90天：2026-07-20 至 2026-10-17；180天：2026-04-21 至 2026-10-17</v>
      </c>
      <c r="BL183" s="8" t="str">
        <v>90天：2026-10-06、2026-10-07；180天：2026-10-06、2026-10-07</v>
      </c>
      <c r="BM183" s="8" t="str">
        <v>2026-10：12天 × 1.7391279184229513；2026-11：30天 × 1.4002077845513243；2026-12：31天 × 1.079339935625147；2027-01：17天 × 0.7719368903846591</v>
      </c>
      <c r="BN183" s="11" t="n">
        <v>1.7391279184229513</v>
      </c>
      <c r="BO183" s="11" t="n">
        <v>1.4002077845513243</v>
      </c>
      <c r="BP183" s="11" t="n">
        <v>1.079339935625147</v>
      </c>
      <c r="BQ183" s="11" t="n">
        <v>0.7719368903846591</v>
      </c>
      <c r="BR183" s="8" t="n">
        <v>12</v>
      </c>
      <c r="BS183" s="8" t="n">
        <v>30</v>
      </c>
      <c r="BT183" s="8" t="n">
        <v>31</v>
      </c>
      <c r="BU183" s="8" t="n">
        <v>17</v>
      </c>
      <c r="BV183" s="11" t="n">
        <f>IF(COUNT(BC183,BF183)=2,BC183*BF183,"")</f>
        <v>0.11922279998103383</v>
      </c>
      <c r="BW183" s="11" t="n">
        <f>IF(ISNUMBER(BN183),BN183,"")</f>
        <v>1.7391279184229513</v>
      </c>
      <c r="BX183" s="14" t="n">
        <f>IF(ISNUMBER(BR183),BR183,"")</f>
        <v>12</v>
      </c>
      <c r="BY183" s="13" t="n">
        <f>IF(AND(COUNT(BV183,BW183,BX183)=3,MIN(BV183,BW183,BX183)&gt;=0),BV183*BW183*BX183,"")</f>
        <v>2.488124399514855</v>
      </c>
      <c r="BZ183" s="11" t="n">
        <f>IF(ISNUMBER(BO183),BO183,"")</f>
        <v>1.4002077845513243</v>
      </c>
      <c r="CA183" s="14" t="n">
        <f>IF(ISNUMBER(BS183),BS183,"")</f>
        <v>30</v>
      </c>
      <c r="CB183" s="13" t="n">
        <f>IF(AND(COUNT(BV183,BZ183,CA183)=3,MIN(BV183,BZ183,CA183)&gt;=0),BV183*BZ183*CA183,"")</f>
        <v>5.008100778883471</v>
      </c>
      <c r="CC183" s="11" t="n">
        <f>IF(ISNUMBER(BP183),BP183,"")</f>
        <v>1.079339935625147</v>
      </c>
      <c r="CD183" s="14" t="n">
        <f>IF(ISNUMBER(BT183),BT183,"")</f>
        <v>31</v>
      </c>
      <c r="CE183" s="13" t="n">
        <f>IF(AND(COUNT(BV183,CC183,CD183)=3,MIN(BV183,CC183,CD183)&gt;=0),BV183*CC183*CD183,"")</f>
        <v>3.9891398069539434</v>
      </c>
      <c r="CF183" s="11" t="n">
        <f>IF(ISNUMBER(BQ183),BQ183,"")</f>
        <v>0.7719368903846591</v>
      </c>
      <c r="CG183" s="14" t="n">
        <f>IF(ISNUMBER(BU183),BU183,"")</f>
        <v>17</v>
      </c>
      <c r="CH183" s="13" t="n">
        <f>IF(AND(COUNT(BV183,CF183,CG183)=3,MIN(BV183,CF183,CG183)&gt;=0),BV183*CF183*CG183,"")</f>
        <v>1.5645521171652945</v>
      </c>
      <c r="CI183" s="13" t="n">
        <f>IF(COUNT(BY183,CB183,CE183,CH183)=4,SUM(BY183,CB183,CE183,CH183),"")</f>
        <v>13.049917102517565</v>
      </c>
    </row>
    <row r="184" ht="72" customHeight="1">
      <c r="A184" s="16" t="str">
        <v>32582-LPB-37.5</v>
      </c>
      <c r="B184" s="16" t="str">
        <v>3店-SANDIEX-US</v>
      </c>
      <c r="C184" s="16" t="str">
        <v>徐新怡</v>
      </c>
      <c r="D184" s="26" t="n">
        <f>IF(NOT(ISNUMBER(E184)),"",IF(OR(E184&lt;=0,L184=0),0,IF(OR(NOT(ISNUMBER(F184)),F184&lt;0),"",MIN(E184,INT(F184)))))</f>
        <v>3</v>
      </c>
      <c r="E184" s="27" t="n">
        <f>IF(OR(NOT(ISNUMBER(L184)),COUNT(M184:O184)&lt;&gt;3,MIN(M184:O184)&lt;0),"",ROUNDUP(ROUND(BI184-SUM(M184:O184),10),0))</f>
        <v>3</v>
      </c>
      <c r="F184" s="28" t="n">
        <v>48</v>
      </c>
      <c r="G184" s="28" t="n">
        <f>IF(AND(ISNUMBER(D184),ISNUMBER(E184)),IF(OR(E184&lt;=0,L184=0),0,E184-D184),"")</f>
        <v>0</v>
      </c>
      <c r="H184" s="16" t="str">
        <f>IF(NOT(ISNUMBER(E184)),"销量或海外库存待补",IF(OR(E184&lt;=0,L184=0),IF(L184=0,"零日销，本批不发","本批无需补货"),IF(NOT(ISNUMBER(D184)),"国内库存待补",IF(D184=0,"国内无可用库存",IF(G184&gt;0,"先发国内现货","按建议量发货")))))</f>
        <v>按建议量发货</v>
      </c>
      <c r="I184" s="28" t="n">
        <f>IF(AND(COUNT(Z184,AA184,AB184)=3,Z184&gt;=AA184,AA184&gt;=0,AB184=7),Z184-AA184,"")</f>
        <v>1</v>
      </c>
      <c r="J184" s="28" t="n">
        <f>IF(AND(COUNT(AF184,AG184,AH184)=3,AF184&gt;=AG184,AG184&gt;=0,AH184=14),AF184-AG184,"")</f>
        <v>1</v>
      </c>
      <c r="K184" s="28" t="n">
        <f>IF(AND(COUNT(AL184,AM184,AN184)=3,AL184&gt;=AM184,AM184&gt;=0,AN184=30),AL184-AM184,"")</f>
        <v>3</v>
      </c>
      <c r="L184" s="29" t="n">
        <f>IF(ISNUMBER(BI184),BI184/90,"")</f>
        <v>0.0699354363343138</v>
      </c>
      <c r="M184" s="28" t="n">
        <v>4</v>
      </c>
      <c r="N184" s="28" t="n">
        <v>0</v>
      </c>
      <c r="O184" s="28" t="n">
        <v>0</v>
      </c>
      <c r="P184" s="30" t="n">
        <f>IF(AND(ISNUMBER(L184),L184&gt;0,COUNT(M184:O184)=3,MIN(M184:O184)&gt;=0),SUM(M184:O184)/L184,"")</f>
        <v>57.19561083280753</v>
      </c>
      <c r="Q184" s="16" t="str">
        <v>沿用原计划SKU店铺</v>
      </c>
      <c r="R184" s="16" t="str">
        <v>已匹配</v>
      </c>
      <c r="S184" s="16" t="str">
        <v>在售</v>
      </c>
      <c r="T184" s="16" t="str">
        <v>32582</v>
      </c>
      <c r="U184" s="16" t="str">
        <v>豹纹黑色内里</v>
      </c>
      <c r="V184" s="16" t="n">
        <v>6.5</v>
      </c>
      <c r="W184" s="8" t="str">
        <v>2026-10-11 至 2026-10-17</v>
      </c>
      <c r="X184" s="8" t="str">
        <v>2026-10-11、2026-10-12、2026-10-13、2026-10-14、2026-10-15、2026-10-16、2026-10-17</v>
      </c>
      <c r="Y184" s="8" t="str">
        <v>无</v>
      </c>
      <c r="Z184" s="8" t="n">
        <v>1</v>
      </c>
      <c r="AA184" s="8" t="n">
        <v>0</v>
      </c>
      <c r="AB184" s="8" t="n">
        <v>7</v>
      </c>
      <c r="AC184" s="8" t="str">
        <v>2026-10-02 至 2026-10-17</v>
      </c>
      <c r="AD184" s="8" t="str">
        <v>2026-10-02、2026-10-03、2026-10-04、2026-10-05、2026-10-08、2026-10-09、2026-10-10、2026-10-11、2026-10-12、2026-10-13、2026-10-14、2026-10-15、2026-10-16、2026-10-17</v>
      </c>
      <c r="AE184" s="8" t="str">
        <v>2026-10-06 大促；2026-10-07 大促</v>
      </c>
      <c r="AF184" s="8" t="n">
        <v>2</v>
      </c>
      <c r="AG184" s="8" t="n">
        <v>1</v>
      </c>
      <c r="AH184" s="8" t="n">
        <v>14</v>
      </c>
      <c r="AI184" s="8" t="str">
        <v>2026-09-16 至 2026-10-17</v>
      </c>
      <c r="AJ1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4" s="8" t="str">
        <v>2026-10-06 大促；2026-10-07 大促</v>
      </c>
      <c r="AL184" s="8" t="n">
        <v>4</v>
      </c>
      <c r="AM184" s="8" t="n">
        <v>1</v>
      </c>
      <c r="AN184" s="8" t="n">
        <v>30</v>
      </c>
      <c r="AO184" s="8" t="str">
        <v>32582 / 豹纹黑色内里羊京绒 / 6574</v>
      </c>
      <c r="AP184" s="11" t="n">
        <v>1.0395067087630607</v>
      </c>
      <c r="AQ184" s="11" t="n">
        <v>1.0395067087630607</v>
      </c>
      <c r="AR184" s="11" t="n">
        <v>1.0707336504782758</v>
      </c>
      <c r="AS184" s="11" t="n">
        <f>IF(AND(COUNT(I184:K184,AP184:AR184)=6,MIN(AP184:AR184)&gt;0),I184/7/AP184*0.5+J184/14/AQ184*0.3+K184/30/AR184*0.2,"")</f>
        <v>0.10800686583992364</v>
      </c>
      <c r="AT184" s="8" t="n">
        <v>5</v>
      </c>
      <c r="AU184" s="8" t="n">
        <v>1</v>
      </c>
      <c r="AV184" s="8" t="n">
        <v>88</v>
      </c>
      <c r="AW184" s="11" t="n">
        <f>IF(AND(COUNT(AT184:AV184)=3,AT184&gt;=AU184,AU184&gt;=0,AV184&gt;0),(AT184-AU184)/AV184,"")</f>
        <v>0.045454545454545456</v>
      </c>
      <c r="AX184" s="8" t="n">
        <v>7</v>
      </c>
      <c r="AY184" s="8" t="n">
        <v>1</v>
      </c>
      <c r="AZ184" s="8" t="n">
        <v>178</v>
      </c>
      <c r="BA184" s="11" t="n">
        <f>IF(AND(COUNT(AX184:AZ184)=3,AX184&gt;=AY184,AY184&gt;=0,AZ184&gt;0),(AX184-AY184)/AZ184,"")</f>
        <v>0.033707865168539325</v>
      </c>
      <c r="BB184" s="8" t="n">
        <f>IF(COUNT(AS184,AW184,BA184)=3,1,0)</f>
        <v>1</v>
      </c>
      <c r="BC184" s="11" t="n">
        <f>IF(SUMIF($AO$11:$AO$1309,AO184,$BB$11:$BB$1309)=COUNTIF($AO$11:$AO$1309,AO184),SUMIF($AO$11:$AO$1309,AO184,$AS$11:$AS$1309),"")</f>
        <v>1.9131647321216234</v>
      </c>
      <c r="BD184" s="11" t="n">
        <f>IF(SUMIF($AO$11:$AO$1309,AO184,$BB$11:$BB$1309)=COUNTIF($AO$11:$AO$1309,AO184),SUMIF($AO$11:$AO$1309,AO184,$AW$11:$AW$1309),"")</f>
        <v>1.2065508021390374</v>
      </c>
      <c r="BE184" s="11" t="n">
        <f>IF(SUMIF($AO$11:$AO$1309,AO184,$BB$11:$BB$1309)=COUNTIF($AO$11:$AO$1309,AO184),SUMIF($AO$11:$AO$1309,AO184,$BA$11:$BA$1309),"")</f>
        <v>0.9278330658105939</v>
      </c>
      <c r="BF184" s="12" t="n">
        <f>IF(COUNT(BD184:BE184)&lt;&gt;2,"",IF(AND(BD184&gt;0,BE184&gt;0),0.7*AW184/BD184+0.3*BA184/BE184,IF(BD184&gt;0,AW184/BD184,IF(BE184&gt;0,BA184/BE184,IF(AND(ISNUMBER(BH184),BH184=0),0,"")))))</f>
        <v>0.03727009086585655</v>
      </c>
      <c r="BG184" s="11" t="n">
        <f>IF(AND(COUNT(BN184:BU184)=8,MIN(BN184:BU184)&gt;=0),SUMPRODUCT(BN184:BQ184,BR184:BU184),"")</f>
        <v>88.27281580841549</v>
      </c>
      <c r="BH184" s="11" t="n">
        <f>IF(COUNT(BC184,BG184)=2,BC184*BG184,"")</f>
        <v>168.8804380097286</v>
      </c>
      <c r="BI184" s="11" t="n">
        <f>IF(ISNUMBER(CI184),CI184,"")</f>
        <v>6.294189270088242</v>
      </c>
      <c r="BJ184" s="8" t="str"/>
      <c r="BK184" s="8" t="str">
        <v>90天：2026-07-20 至 2026-10-17；180天：2026-04-21 至 2026-10-17</v>
      </c>
      <c r="BL184" s="8" t="str">
        <v>90天：2026-10-06、2026-10-07；180天：2026-10-06、2026-10-07</v>
      </c>
      <c r="BM184" s="8" t="str">
        <v>2026-10：12天 × 1.0395067087630607；2026-11：30天 × 0.9890368360033146；2026-12：31天 × 0.7800796503018808；2027-01：17天 × 1.2908918272824135</v>
      </c>
      <c r="BN184" s="11" t="n">
        <v>1.0395067087630607</v>
      </c>
      <c r="BO184" s="11" t="n">
        <v>0.9890368360033146</v>
      </c>
      <c r="BP184" s="11" t="n">
        <v>0.7800796503018808</v>
      </c>
      <c r="BQ184" s="11" t="n">
        <v>1.2908918272824135</v>
      </c>
      <c r="BR184" s="8" t="n">
        <v>12</v>
      </c>
      <c r="BS184" s="8" t="n">
        <v>30</v>
      </c>
      <c r="BT184" s="8" t="n">
        <v>31</v>
      </c>
      <c r="BU184" s="8" t="n">
        <v>17</v>
      </c>
      <c r="BV184" s="11" t="n">
        <f>IF(COUNT(BC184,BF184)=2,BC184*BF184,"")</f>
        <v>0.07130382340752502</v>
      </c>
      <c r="BW184" s="11" t="n">
        <f>IF(ISNUMBER(BN184),BN184,"")</f>
        <v>1.0395067087630607</v>
      </c>
      <c r="BX184" s="14" t="n">
        <f>IF(ISNUMBER(BR184),BR184,"")</f>
        <v>12</v>
      </c>
      <c r="BY184" s="13" t="n">
        <f>IF(AND(COUNT(BV184,BW184,BX184)=3,MIN(BV184,BW184,BX184)&gt;=0),BV184*BW184*BX184,"")</f>
        <v>0.8894496335109459</v>
      </c>
      <c r="BZ184" s="11" t="n">
        <f>IF(ISNUMBER(BO184),BO184,"")</f>
        <v>0.9890368360033146</v>
      </c>
      <c r="CA184" s="14" t="n">
        <f>IF(ISNUMBER(BS184),BS184,"")</f>
        <v>30</v>
      </c>
      <c r="CB184" s="13" t="n">
        <f>IF(AND(COUNT(BV184,BZ184,CA184)=3,MIN(BV184,BZ184,CA184)&gt;=0),BV184*BZ184*CA184,"")</f>
        <v>2.115663236937529</v>
      </c>
      <c r="CC184" s="11" t="n">
        <f>IF(ISNUMBER(BP184),BP184,"")</f>
        <v>0.7800796503018808</v>
      </c>
      <c r="CD184" s="14" t="n">
        <f>IF(ISNUMBER(BT184),BT184,"")</f>
        <v>31</v>
      </c>
      <c r="CE184" s="13" t="n">
        <f>IF(AND(COUNT(BV184,CC184,CD184)=3,MIN(BV184,CC184,CD184)&gt;=0),BV184*CC184*CD184,"")</f>
        <v>1.7243025104968044</v>
      </c>
      <c r="CF184" s="11" t="n">
        <f>IF(ISNUMBER(BQ184),BQ184,"")</f>
        <v>1.2908918272824135</v>
      </c>
      <c r="CG184" s="14" t="n">
        <f>IF(ISNUMBER(BU184),BU184,"")</f>
        <v>17</v>
      </c>
      <c r="CH184" s="13" t="n">
        <f>IF(AND(COUNT(BV184,CF184,CG184)=3,MIN(BV184,CF184,CG184)&gt;=0),BV184*CF184*CG184,"")</f>
        <v>1.5647738891429623</v>
      </c>
      <c r="CI184" s="13" t="n">
        <f>IF(COUNT(BY184,CB184,CE184,CH184)=4,SUM(BY184,CB184,CE184,CH184),"")</f>
        <v>6.294189270088242</v>
      </c>
    </row>
    <row r="185" ht="72" customHeight="1">
      <c r="A185" s="16" t="str">
        <v>32582-MT-39</v>
      </c>
      <c r="B185" s="16" t="str">
        <v>3店-SANDIEX-US</v>
      </c>
      <c r="C185" s="16" t="str">
        <v>徐新怡</v>
      </c>
      <c r="D185" s="26" t="n">
        <f>IF(NOT(ISNUMBER(E185)),"",IF(OR(E185&lt;=0,L185=0),0,IF(OR(NOT(ISNUMBER(F185)),F185&lt;0),"",MIN(E185,INT(F185)))))</f>
        <v>3</v>
      </c>
      <c r="E185" s="27" t="n">
        <f>IF(OR(NOT(ISNUMBER(L185)),COUNT(M185:O185)&lt;&gt;3,MIN(M185:O185)&lt;0),"",ROUNDUP(ROUND(BI185-SUM(M185:O185),10),0))</f>
        <v>3</v>
      </c>
      <c r="F185" s="28" t="n">
        <v>23</v>
      </c>
      <c r="G185" s="28" t="n">
        <f>IF(AND(ISNUMBER(D185),ISNUMBER(E185)),IF(OR(E185&lt;=0,L185=0),0,E185-D185),"")</f>
        <v>0</v>
      </c>
      <c r="H185" s="16" t="str">
        <f>IF(NOT(ISNUMBER(E185)),"销量或海外库存待补",IF(OR(E185&lt;=0,L185=0),IF(L185=0,"零日销，本批不发","本批无需补货"),IF(NOT(ISNUMBER(D185)),"国内库存待补",IF(D185=0,"国内无可用库存",IF(G185&gt;0,"先发国内现货","按建议量发货")))))</f>
        <v>按建议量发货</v>
      </c>
      <c r="I185" s="28" t="n">
        <f>IF(AND(COUNT(Z185,AA185,AB185)=3,Z185&gt;=AA185,AA185&gt;=0,AB185=7),Z185-AA185,"")</f>
        <v>0</v>
      </c>
      <c r="J185" s="28" t="n">
        <f>IF(AND(COUNT(AF185,AG185,AH185)=3,AF185&gt;=AG185,AG185&gt;=0,AH185=14),AF185-AG185,"")</f>
        <v>0</v>
      </c>
      <c r="K185" s="28" t="n">
        <f>IF(AND(COUNT(AL185,AM185,AN185)=3,AL185&gt;=AM185,AM185&gt;=0,AN185=30),AL185-AM185,"")</f>
        <v>0</v>
      </c>
      <c r="L185" s="29" t="n">
        <f>IF(ISNUMBER(BI185),BI185/90,"")</f>
        <v>0.03227600396979011</v>
      </c>
      <c r="M185" s="28" t="n">
        <v>0</v>
      </c>
      <c r="N185" s="28" t="n">
        <v>0</v>
      </c>
      <c r="O185" s="28" t="n">
        <v>0</v>
      </c>
      <c r="P185" s="30" t="n">
        <f>IF(AND(ISNUMBER(L185),L185&gt;0,COUNT(M185:O185)=3,MIN(M185:O185)&gt;=0),SUM(M185:O185)/L185,"")</f>
        <v>0</v>
      </c>
      <c r="Q185" s="16" t="str">
        <v>沿用原计划SKU店铺</v>
      </c>
      <c r="R185" s="16" t="str">
        <v>已匹配</v>
      </c>
      <c r="S185" s="16" t="str">
        <v>停售</v>
      </c>
      <c r="T185" s="16" t="str">
        <v>32582</v>
      </c>
      <c r="U185" s="16" t="str">
        <v>黄色</v>
      </c>
      <c r="V185" s="16" t="n">
        <v>8</v>
      </c>
      <c r="W185" s="8" t="str">
        <v>2026-10-08 至 2026-10-17</v>
      </c>
      <c r="X185" s="8" t="str">
        <v>2026-10-08、2026-10-09、2026-10-10、2026-10-11、2026-10-14、2026-10-15、2026-10-17</v>
      </c>
      <c r="Y185" s="8" t="str">
        <v>2026-10-12 有记录的停售日；2026-10-13 有记录的停售日；2026-10-16 有记录的停售日</v>
      </c>
      <c r="Z185" s="8" t="n">
        <v>0</v>
      </c>
      <c r="AA185" s="8" t="n">
        <v>0</v>
      </c>
      <c r="AB185" s="8" t="n">
        <v>7</v>
      </c>
      <c r="AC185" s="8" t="str">
        <v>2026-09-29 至 2026-10-17</v>
      </c>
      <c r="AD185" s="8" t="str">
        <v>2026-09-29、2026-09-30、2026-10-01、2026-10-02、2026-10-03、2026-10-04、2026-10-05、2026-10-08、2026-10-09、2026-10-10、2026-10-11、2026-10-14、2026-10-15、2026-10-17</v>
      </c>
      <c r="AE185" s="8" t="str">
        <v>2026-10-06 大促；2026-10-07 大促；2026-10-12 有记录的停售日；2026-10-13 有记录的停售日；2026-10-16 有记录的停售日</v>
      </c>
      <c r="AF185" s="8" t="n">
        <v>0</v>
      </c>
      <c r="AG185" s="8" t="n">
        <v>0</v>
      </c>
      <c r="AH185" s="8" t="n">
        <v>14</v>
      </c>
      <c r="AI185" s="8" t="str">
        <v>2026-09-13 至 2026-10-17</v>
      </c>
      <c r="AJ18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85" s="8" t="str">
        <v>2026-10-06 大促；2026-10-07 大促；2026-10-12 有记录的停售日；2026-10-13 有记录的停售日；2026-10-16 有记录的停售日</v>
      </c>
      <c r="AL185" s="8" t="n">
        <v>0</v>
      </c>
      <c r="AM185" s="8" t="n">
        <v>0</v>
      </c>
      <c r="AN185" s="8" t="n">
        <v>30</v>
      </c>
      <c r="AO185" s="8" t="str">
        <v>32582 / 黄色羊京绒 / 6574</v>
      </c>
      <c r="AP185" s="11" t="n">
        <v>1.0395067087630607</v>
      </c>
      <c r="AQ185" s="11" t="n">
        <v>1.048428692110265</v>
      </c>
      <c r="AR185" s="11" t="n">
        <v>1.076979038821319</v>
      </c>
      <c r="AS185" s="11" t="n">
        <f>IF(AND(COUNT(I185:K185,AP185:AR185)=6,MIN(AP185:AR185)&gt;0),I185/7/AP185*0.5+J185/14/AQ185*0.3+K185/30/AR185*0.2,"")</f>
        <v>0</v>
      </c>
      <c r="AT185" s="8" t="n">
        <v>1</v>
      </c>
      <c r="AU185" s="8" t="n">
        <v>0</v>
      </c>
      <c r="AV185" s="8" t="n">
        <v>85</v>
      </c>
      <c r="AW185" s="11" t="n">
        <f>IF(AND(COUNT(AT185:AV185)=3,AT185&gt;=AU185,AU185&gt;=0,AV185&gt;0),(AT185-AU185)/AV185,"")</f>
        <v>0.011764705882352941</v>
      </c>
      <c r="AX185" s="8" t="n">
        <v>15</v>
      </c>
      <c r="AY185" s="8" t="n">
        <v>0</v>
      </c>
      <c r="AZ185" s="8" t="n">
        <v>175</v>
      </c>
      <c r="BA185" s="11" t="n">
        <f>IF(AND(COUNT(AX185:AZ185)=3,AX185&gt;=AY185,AY185&gt;=0,AZ185&gt;0),(AX185-AY185)/AZ185,"")</f>
        <v>0.08571428571428572</v>
      </c>
      <c r="BB185" s="8" t="n">
        <f>IF(COUNT(AS185,AW185,BA185)=3,1,0)</f>
        <v>1</v>
      </c>
      <c r="BC185" s="11" t="n">
        <f>IF(SUMIF($AO$11:$AO$1309,AO185,$BB$11:$BB$1309)=COUNTIF($AO$11:$AO$1309,AO185),SUMIF($AO$11:$AO$1309,AO185,$AS$11:$AS$1309),"")</f>
        <v>0.47872862187367615</v>
      </c>
      <c r="BD185" s="11" t="n">
        <f>IF(SUMIF($AO$11:$AO$1309,AO185,$BB$11:$BB$1309)=COUNTIF($AO$11:$AO$1309,AO185),SUMIF($AO$11:$AO$1309,AO185,$AW$11:$AW$1309),"")</f>
        <v>0.4244652406417112</v>
      </c>
      <c r="BE185" s="11" t="n">
        <f>IF(SUMIF($AO$11:$AO$1309,AO185,$BB$11:$BB$1309)=COUNTIF($AO$11:$AO$1309,AO185),SUMIF($AO$11:$AO$1309,AO185,$BA$11:$BA$1309),"")</f>
        <v>0.5211878009630819</v>
      </c>
      <c r="BF185" s="12" t="n">
        <f>IF(COUNT(BD185:BE185)&lt;&gt;2,"",IF(AND(BD185&gt;0,BE185&gt;0),0.7*AW185/BD185+0.3*BA185/BE185,IF(BD185&gt;0,AW185/BD185,IF(BE185&gt;0,BA185/BE185,IF(AND(ISNUMBER(BH185),BH185=0),0,"")))))</f>
        <v>0.06873942512652502</v>
      </c>
      <c r="BG185" s="11" t="n">
        <f>IF(AND(COUNT(BN185:BU185)=8,MIN(BN185:BU185)&gt;=0),SUMPRODUCT(BN185:BQ185,BR185:BU185),"")</f>
        <v>88.27281580841549</v>
      </c>
      <c r="BH185" s="11" t="n">
        <f>IF(COUNT(BC185,BG185)=2,BC185*BG185,"")</f>
        <v>42.2587234608716</v>
      </c>
      <c r="BI185" s="11" t="n">
        <f>IF(ISNUMBER(CI185),CI185,"")</f>
        <v>2.9048403572811097</v>
      </c>
      <c r="BJ185" s="8" t="str"/>
      <c r="BK185" s="8" t="str">
        <v>90天：2026-07-20 至 2026-10-17；180天：2026-04-21 至 2026-10-17</v>
      </c>
      <c r="BL185" s="8" t="str">
        <v>90天：2026-10-06、2026-10-07、2026-10-12、2026-10-13、2026-10-16；180天：2026-10-06、2026-10-07、2026-10-12、2026-10-13、2026-10-16</v>
      </c>
      <c r="BM185" s="8" t="str">
        <v>2026-10：12天 × 1.0395067087630607；2026-11：30天 × 0.9890368360033146；2026-12：31天 × 0.7800796503018808；2027-01：17天 × 1.2908918272824135</v>
      </c>
      <c r="BN185" s="11" t="n">
        <v>1.0395067087630607</v>
      </c>
      <c r="BO185" s="11" t="n">
        <v>0.9890368360033146</v>
      </c>
      <c r="BP185" s="11" t="n">
        <v>0.7800796503018808</v>
      </c>
      <c r="BQ185" s="11" t="n">
        <v>1.2908918272824135</v>
      </c>
      <c r="BR185" s="8" t="n">
        <v>12</v>
      </c>
      <c r="BS185" s="8" t="n">
        <v>30</v>
      </c>
      <c r="BT185" s="8" t="n">
        <v>31</v>
      </c>
      <c r="BU185" s="8" t="n">
        <v>17</v>
      </c>
      <c r="BV185" s="11" t="n">
        <f>IF(COUNT(BC185,BF185)=2,BC185*BF185,"")</f>
        <v>0.03290753025921007</v>
      </c>
      <c r="BW185" s="11" t="n">
        <f>IF(ISNUMBER(BN185),BN185,"")</f>
        <v>1.0395067087630607</v>
      </c>
      <c r="BX185" s="14" t="n">
        <f>IF(ISNUMBER(BR185),BR185,"")</f>
        <v>12</v>
      </c>
      <c r="BY185" s="13" t="n">
        <f>IF(AND(COUNT(BV185,BW185,BX185)=3,MIN(BV185,BW185,BX185)&gt;=0),BV185*BW185*BX185,"")</f>
        <v>0.41049118167926746</v>
      </c>
      <c r="BZ185" s="11" t="n">
        <f>IF(ISNUMBER(BO185),BO185,"")</f>
        <v>0.9890368360033146</v>
      </c>
      <c r="CA185" s="14" t="n">
        <f>IF(ISNUMBER(BS185),BS185,"")</f>
        <v>30</v>
      </c>
      <c r="CB185" s="13" t="n">
        <f>IF(AND(COUNT(BV185,BZ185,CA185)=3,MIN(BV185,BZ185,CA185)&gt;=0),BV185*BZ185*CA185,"")</f>
        <v>0.9764027882475736</v>
      </c>
      <c r="CC185" s="11" t="n">
        <f>IF(ISNUMBER(BP185),BP185,"")</f>
        <v>0.7800796503018808</v>
      </c>
      <c r="CD185" s="14" t="n">
        <f>IF(ISNUMBER(BT185),BT185,"")</f>
        <v>31</v>
      </c>
      <c r="CE185" s="13" t="n">
        <f>IF(AND(COUNT(BV185,CC185,CD185)=3,MIN(BV185,CC185,CD185)&gt;=0),BV185*CC185*CD185,"")</f>
        <v>0.7957853356039976</v>
      </c>
      <c r="CF185" s="11" t="n">
        <f>IF(ISNUMBER(BQ185),BQ185,"")</f>
        <v>1.2908918272824135</v>
      </c>
      <c r="CG185" s="14" t="n">
        <f>IF(ISNUMBER(BU185),BU185,"")</f>
        <v>17</v>
      </c>
      <c r="CH185" s="13" t="n">
        <f>IF(AND(COUNT(BV185,CF185,CG185)=3,MIN(BV185,CF185,CG185)&gt;=0),BV185*CF185*CG185,"")</f>
        <v>0.7221610517502709</v>
      </c>
      <c r="CI185" s="13" t="n">
        <f>IF(COUNT(BY185,CB185,CE185,CH185)=4,SUM(BY185,CB185,CE185,CH185),"")</f>
        <v>2.9048403572811097</v>
      </c>
    </row>
    <row r="186" ht="72" customHeight="1">
      <c r="A186" s="16" t="str">
        <v>B06-RD-40.5</v>
      </c>
      <c r="B186" s="16" t="str">
        <v>1店-MUSSHOE-US</v>
      </c>
      <c r="C186" s="16" t="str">
        <v>艾年</v>
      </c>
      <c r="D186" s="26" t="n">
        <f>IF(NOT(ISNUMBER(E186)),"",IF(OR(E186&lt;=0,L186=0),0,IF(OR(NOT(ISNUMBER(F186)),F186&lt;0),"",MIN(E186,INT(F186)))))</f>
        <v>3</v>
      </c>
      <c r="E186" s="27" t="n">
        <f>IF(OR(NOT(ISNUMBER(L186)),COUNT(M186:O186)&lt;&gt;3,MIN(M186:O186)&lt;0),"",ROUNDUP(ROUND(BI186-SUM(M186:O186),10),0))</f>
        <v>3</v>
      </c>
      <c r="F186" s="28" t="n">
        <v>11</v>
      </c>
      <c r="G186" s="28" t="n">
        <f>IF(AND(ISNUMBER(D186),ISNUMBER(E186)),IF(OR(E186&lt;=0,L186=0),0,E186-D186),"")</f>
        <v>0</v>
      </c>
      <c r="H186" s="16" t="str">
        <f>IF(NOT(ISNUMBER(E186)),"销量或海外库存待补",IF(OR(E186&lt;=0,L186=0),IF(L186=0,"零日销，本批不发","本批无需补货"),IF(NOT(ISNUMBER(D186)),"国内库存待补",IF(D186=0,"国内无可用库存",IF(G186&gt;0,"先发国内现货","按建议量发货")))))</f>
        <v>按建议量发货</v>
      </c>
      <c r="I186" s="28" t="n">
        <f>IF(AND(COUNT(Z186,AA186,AB186)=3,Z186&gt;=AA186,AA186&gt;=0,AB186=7),Z186-AA186,"")</f>
        <v>0</v>
      </c>
      <c r="J186" s="28" t="n">
        <f>IF(AND(COUNT(AF186,AG186,AH186)=3,AF186&gt;=AG186,AG186&gt;=0,AH186=14),AF186-AG186,"")</f>
        <v>0</v>
      </c>
      <c r="K186" s="28" t="n">
        <f>IF(AND(COUNT(AL186,AM186,AN186)=3,AL186&gt;=AM186,AM186&gt;=0,AN186=30),AL186-AM186,"")</f>
        <v>1</v>
      </c>
      <c r="L186" s="29" t="n">
        <f>IF(ISNUMBER(BI186),BI186/90,"")</f>
        <v>0.04959581636360393</v>
      </c>
      <c r="M186" s="28" t="n">
        <v>2</v>
      </c>
      <c r="N186" s="28" t="n">
        <v>0</v>
      </c>
      <c r="O186" s="28" t="n">
        <v>0</v>
      </c>
      <c r="P186" s="30" t="n">
        <f>IF(AND(ISNUMBER(L186),L186&gt;0,COUNT(M186:O186)=3,MIN(M186:O186)&gt;=0),SUM(M186:O186)/L186,"")</f>
        <v>40.325982041253525</v>
      </c>
      <c r="Q186" s="16" t="str">
        <v>沿用原计划SKU店铺</v>
      </c>
      <c r="R186" s="16" t="str">
        <v>已匹配</v>
      </c>
      <c r="S186" s="16" t="str">
        <v>在售</v>
      </c>
      <c r="T186" s="16" t="str">
        <v>B06</v>
      </c>
      <c r="U186" s="16" t="str">
        <v>红色羊京绒</v>
      </c>
      <c r="V186" s="16" t="n">
        <v>9.5</v>
      </c>
      <c r="W186" s="8" t="str">
        <v>2026-10-11 至 2026-10-17</v>
      </c>
      <c r="X186" s="8" t="str">
        <v>2026-10-11、2026-10-12、2026-10-13、2026-10-14、2026-10-15、2026-10-16、2026-10-17</v>
      </c>
      <c r="Y186" s="8" t="str">
        <v>无</v>
      </c>
      <c r="Z186" s="8" t="n">
        <v>0</v>
      </c>
      <c r="AA186" s="8" t="n">
        <v>0</v>
      </c>
      <c r="AB186" s="8" t="n">
        <v>7</v>
      </c>
      <c r="AC186" s="8" t="str">
        <v>2026-10-02 至 2026-10-17</v>
      </c>
      <c r="AD186" s="8" t="str">
        <v>2026-10-02、2026-10-03、2026-10-04、2026-10-05、2026-10-08、2026-10-09、2026-10-10、2026-10-11、2026-10-12、2026-10-13、2026-10-14、2026-10-15、2026-10-16、2026-10-17</v>
      </c>
      <c r="AE186" s="8" t="str">
        <v>2026-10-06 大促；2026-10-07 大促</v>
      </c>
      <c r="AF186" s="8" t="n">
        <v>0</v>
      </c>
      <c r="AG186" s="8" t="n">
        <v>0</v>
      </c>
      <c r="AH186" s="8" t="n">
        <v>14</v>
      </c>
      <c r="AI186" s="8" t="str">
        <v>2026-09-16 至 2026-10-17</v>
      </c>
      <c r="AJ1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6" s="8" t="str">
        <v>2026-10-06 大促；2026-10-07 大促</v>
      </c>
      <c r="AL186" s="8" t="n">
        <v>1</v>
      </c>
      <c r="AM186" s="8" t="n">
        <v>0</v>
      </c>
      <c r="AN186" s="8" t="n">
        <v>30</v>
      </c>
      <c r="AO186" s="8" t="str">
        <v>B06 / 红色羊京绒 / 13120</v>
      </c>
      <c r="AP186" s="11" t="n">
        <v>1.2247029157699902</v>
      </c>
      <c r="AQ186" s="11" t="n">
        <v>1.2247029157699902</v>
      </c>
      <c r="AR186" s="11" t="n">
        <v>1.1136940657346173</v>
      </c>
      <c r="AS186" s="11" t="n">
        <f>IF(AND(COUNT(I186:K186,AP186:AR186)=6,MIN(AP186:AR186)&gt;0),I186/7/AP186*0.5+J186/14/AQ186*0.3+K186/30/AR186*0.2,"")</f>
        <v>0.0059860843940738664</v>
      </c>
      <c r="AT186" s="8" t="n">
        <v>6</v>
      </c>
      <c r="AU186" s="8" t="n">
        <v>0</v>
      </c>
      <c r="AV186" s="8" t="n">
        <v>88</v>
      </c>
      <c r="AW186" s="11" t="n">
        <f>IF(AND(COUNT(AT186:AV186)=3,AT186&gt;=AU186,AU186&gt;=0,AV186&gt;0),(AT186-AU186)/AV186,"")</f>
        <v>0.06818181818181818</v>
      </c>
      <c r="AX186" s="8" t="n">
        <v>12</v>
      </c>
      <c r="AY186" s="8" t="n">
        <v>0</v>
      </c>
      <c r="AZ186" s="8" t="n">
        <v>178</v>
      </c>
      <c r="BA186" s="11" t="n">
        <f>IF(AND(COUNT(AX186:AZ186)=3,AX186&gt;=AY186,AY186&gt;=0,AZ186&gt;0),(AX186-AY186)/AZ186,"")</f>
        <v>0.06741573033707865</v>
      </c>
      <c r="BB186" s="8" t="n">
        <f>IF(COUNT(AS186,AW186,BA186)=3,1,0)</f>
        <v>1</v>
      </c>
      <c r="BC186" s="11" t="n">
        <f>IF(SUMIF($AO$11:$AO$1309,AO186,$BB$11:$BB$1309)=COUNTIF($AO$11:$AO$1309,AO186),SUMIF($AO$11:$AO$1309,AO186,$AS$11:$AS$1309),"")</f>
        <v>0.8439809959730303</v>
      </c>
      <c r="BD186" s="11" t="n">
        <f>IF(SUMIF($AO$11:$AO$1309,AO186,$BB$11:$BB$1309)=COUNTIF($AO$11:$AO$1309,AO186),SUMIF($AO$11:$AO$1309,AO186,$AW$11:$AW$1309),"")</f>
        <v>0.8696244248227831</v>
      </c>
      <c r="BE186" s="11" t="n">
        <f>IF(SUMIF($AO$11:$AO$1309,AO186,$BB$11:$BB$1309)=COUNTIF($AO$11:$AO$1309,AO186),SUMIF($AO$11:$AO$1309,AO186,$BA$11:$BA$1309),"")</f>
        <v>1.2057704654895667</v>
      </c>
      <c r="BF186" s="12" t="n">
        <f>IF(COUNT(BD186:BE186)&lt;&gt;2,"",IF(AND(BD186&gt;0,BE186&gt;0),0.7*AW186/BD186+0.3*BA186/BE186,IF(BD186&gt;0,AW186/BD186,IF(BE186&gt;0,BA186/BE186,IF(AND(ISNUMBER(BH186),BH186=0),0,"")))))</f>
        <v>0.07165590134059455</v>
      </c>
      <c r="BG186" s="11" t="n">
        <f>IF(AND(COUNT(BN186:BU186)=8,MIN(BN186:BU186)&gt;=0),SUMPRODUCT(BN186:BQ186,BR186:BU186),"")</f>
        <v>73.80791239847399</v>
      </c>
      <c r="BH186" s="11" t="n">
        <f>IF(COUNT(BC186,BG186)=2,BC186*BG186,"")</f>
        <v>62.29247541675425</v>
      </c>
      <c r="BI186" s="11" t="n">
        <f>IF(ISNUMBER(CI186),CI186,"")</f>
        <v>4.463623472724354</v>
      </c>
      <c r="BJ186" s="8" t="str">
        <v>低销提醒依据不完整</v>
      </c>
      <c r="BK186" s="8" t="str">
        <v>90天：2026-07-20 至 2026-10-17；180天：2026-04-21 至 2026-10-17</v>
      </c>
      <c r="BL186" s="8" t="str">
        <v>90天：2026-10-06、2026-10-07；180天：2026-10-06、2026-10-07</v>
      </c>
      <c r="BM186" s="8" t="str">
        <v>2026-10：12天 × 1.2247029157699902；2026-11：30天 × 0.8332682139098497；2026-12：31天 × 0.5511018253564084；2027-01：17天 × 1.0017220238758797</v>
      </c>
      <c r="BN186" s="11" t="n">
        <v>1.2247029157699902</v>
      </c>
      <c r="BO186" s="11" t="n">
        <v>0.8332682139098497</v>
      </c>
      <c r="BP186" s="11" t="n">
        <v>0.5511018253564084</v>
      </c>
      <c r="BQ186" s="11" t="n">
        <v>1.0017220238758797</v>
      </c>
      <c r="BR186" s="8" t="n">
        <v>12</v>
      </c>
      <c r="BS186" s="8" t="n">
        <v>30</v>
      </c>
      <c r="BT186" s="8" t="n">
        <v>31</v>
      </c>
      <c r="BU186" s="8" t="n">
        <v>17</v>
      </c>
      <c r="BV186" s="11" t="n">
        <f>IF(COUNT(BC186,BF186)=2,BC186*BF186,"")</f>
        <v>0.060476218980780184</v>
      </c>
      <c r="BW186" s="11" t="n">
        <f>IF(ISNUMBER(BN186),BN186,"")</f>
        <v>1.2247029157699902</v>
      </c>
      <c r="BX186" s="14" t="n">
        <f>IF(ISNUMBER(BR186),BR186,"")</f>
        <v>12</v>
      </c>
      <c r="BY186" s="13" t="n">
        <f>IF(AND(COUNT(BV186,BW186,BX186)=3,MIN(BV186,BW186,BX186)&gt;=0),BV186*BW186*BX186,"")</f>
        <v>0.8887848206460711</v>
      </c>
      <c r="BZ186" s="11" t="n">
        <f>IF(ISNUMBER(BO186),BO186,"")</f>
        <v>0.8332682139098497</v>
      </c>
      <c r="CA186" s="14" t="n">
        <f>IF(ISNUMBER(BS186),BS186,"")</f>
        <v>30</v>
      </c>
      <c r="CB186" s="13" t="n">
        <f>IF(AND(COUNT(BV186,BZ186,CA186)=3,MIN(BV186,BZ186,CA186)&gt;=0),BV186*BZ186*CA186,"")</f>
        <v>1.5117873292240698</v>
      </c>
      <c r="CC186" s="11" t="n">
        <f>IF(ISNUMBER(BP186),BP186,"")</f>
        <v>0.5511018253564084</v>
      </c>
      <c r="CD186" s="14" t="n">
        <f>IF(ISNUMBER(BT186),BT186,"")</f>
        <v>31</v>
      </c>
      <c r="CE186" s="13" t="n">
        <f>IF(AND(COUNT(BV186,CC186,CD186)=3,MIN(BV186,CC186,CD186)&gt;=0),BV186*CC186*CD186,"")</f>
        <v>1.0331851947998167</v>
      </c>
      <c r="CF186" s="11" t="n">
        <f>IF(ISNUMBER(BQ186),BQ186,"")</f>
        <v>1.0017220238758797</v>
      </c>
      <c r="CG186" s="14" t="n">
        <f>IF(ISNUMBER(BU186),BU186,"")</f>
        <v>17</v>
      </c>
      <c r="CH186" s="13" t="n">
        <f>IF(AND(COUNT(BV186,CF186,CG186)=3,MIN(BV186,CF186,CG186)&gt;=0),BV186*CF186*CG186,"")</f>
        <v>1.0298661280543964</v>
      </c>
      <c r="CI186" s="13" t="n">
        <f>IF(COUNT(BY186,CB186,CE186,CH186)=4,SUM(BY186,CB186,CE186,CH186),"")</f>
        <v>4.463623472724354</v>
      </c>
    </row>
    <row r="187" ht="72" customHeight="1">
      <c r="A187" s="16" t="str">
        <v>B07-IV-P-40</v>
      </c>
      <c r="B187" s="16" t="str">
        <v>4店-彬郁-US</v>
      </c>
      <c r="C187" s="16" t="str">
        <v>艾年</v>
      </c>
      <c r="D187" s="26" t="n">
        <f>IF(NOT(ISNUMBER(E187)),"",IF(OR(E187&lt;=0,L187=0),0,IF(OR(NOT(ISNUMBER(F187)),F187&lt;0),"",MIN(E187,INT(F187)))))</f>
        <v>3</v>
      </c>
      <c r="E187" s="27" t="n">
        <f>IF(OR(NOT(ISNUMBER(L187)),COUNT(M187:O187)&lt;&gt;3,MIN(M187:O187)&lt;0),"",ROUNDUP(ROUND(BI187-SUM(M187:O187),10),0))</f>
        <v>3</v>
      </c>
      <c r="F187" s="28" t="n">
        <v>3</v>
      </c>
      <c r="G187" s="28" t="n">
        <f>IF(AND(ISNUMBER(D187),ISNUMBER(E187)),IF(OR(E187&lt;=0,L187=0),0,E187-D187),"")</f>
        <v>0</v>
      </c>
      <c r="H187" s="16" t="str">
        <f>IF(NOT(ISNUMBER(E187)),"销量或海外库存待补",IF(OR(E187&lt;=0,L187=0),IF(L187=0,"零日销，本批不发","本批无需补货"),IF(NOT(ISNUMBER(D187)),"国内库存待补",IF(D187=0,"国内无可用库存",IF(G187&gt;0,"先发国内现货","按建议量发货")))))</f>
        <v>按建议量发货</v>
      </c>
      <c r="I187" s="28" t="n">
        <f>IF(AND(COUNT(Z187,AA187,AB187)=3,Z187&gt;=AA187,AA187&gt;=0,AB187=7),Z187-AA187,"")</f>
        <v>0</v>
      </c>
      <c r="J187" s="28" t="n">
        <f>IF(AND(COUNT(AF187,AG187,AH187)=3,AF187&gt;=AG187,AG187&gt;=0,AH187=14),AF187-AG187,"")</f>
        <v>1</v>
      </c>
      <c r="K187" s="28" t="n">
        <f>IF(AND(COUNT(AL187,AM187,AN187)=3,AL187&gt;=AM187,AM187&gt;=0,AN187=30),AL187-AM187,"")</f>
        <v>3</v>
      </c>
      <c r="L187" s="29" t="n">
        <f>IF(ISNUMBER(BI187),BI187/90,"")</f>
        <v>0.04096973823544621</v>
      </c>
      <c r="M187" s="28" t="n">
        <v>1</v>
      </c>
      <c r="N187" s="28" t="n">
        <v>0</v>
      </c>
      <c r="O187" s="28" t="n">
        <v>0</v>
      </c>
      <c r="P187" s="30" t="n">
        <f>IF(AND(ISNUMBER(L187),L187&gt;0,COUNT(M187:O187)=3,MIN(M187:O187)&gt;=0),SUM(M187:O187)/L187,"")</f>
        <v>24.408259439031994</v>
      </c>
      <c r="Q187" s="16" t="str">
        <v>沿用原计划SKU店铺</v>
      </c>
      <c r="R187" s="16" t="str">
        <v>已匹配</v>
      </c>
      <c r="S187" s="16" t="str">
        <v>在售</v>
      </c>
      <c r="T187" s="16" t="str">
        <v>B07</v>
      </c>
      <c r="U187" s="16" t="str">
        <v>米白色PU</v>
      </c>
      <c r="V187" s="16" t="n">
        <v>9</v>
      </c>
      <c r="W187" s="8" t="str">
        <v>2026-10-09 至 2026-10-17</v>
      </c>
      <c r="X187" s="8" t="str">
        <v>2026-10-09、2026-10-10、2026-10-11、2026-10-14、2026-10-15、2026-10-16、2026-10-17</v>
      </c>
      <c r="Y187" s="8" t="str">
        <v>2026-10-12 有记录的停售日；2026-10-13 有记录的停售日</v>
      </c>
      <c r="Z187" s="8" t="n">
        <v>0</v>
      </c>
      <c r="AA187" s="8" t="n">
        <v>0</v>
      </c>
      <c r="AB187" s="8" t="n">
        <v>7</v>
      </c>
      <c r="AC187" s="8" t="str">
        <v>2026-09-30 至 2026-10-17</v>
      </c>
      <c r="AD187" s="8" t="str">
        <v>2026-09-30、2026-10-01、2026-10-02、2026-10-03、2026-10-04、2026-10-05、2026-10-08、2026-10-09、2026-10-10、2026-10-11、2026-10-14、2026-10-15、2026-10-16、2026-10-17</v>
      </c>
      <c r="AE187" s="8" t="str">
        <v>2026-10-06 大促；2026-10-07 大促；2026-10-12 有记录的停售日；2026-10-13 有记录的停售日</v>
      </c>
      <c r="AF187" s="8" t="n">
        <v>2</v>
      </c>
      <c r="AG187" s="8" t="n">
        <v>1</v>
      </c>
      <c r="AH187" s="8" t="n">
        <v>14</v>
      </c>
      <c r="AI187" s="8" t="str">
        <v>2026-09-14 至 2026-10-17</v>
      </c>
      <c r="AJ187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187" s="8" t="str">
        <v>2026-10-06 大促；2026-10-07 大促；2026-10-12 有记录的停售日；2026-10-13 有记录的停售日</v>
      </c>
      <c r="AL187" s="8" t="n">
        <v>4</v>
      </c>
      <c r="AM187" s="8" t="n">
        <v>1</v>
      </c>
      <c r="AN187" s="8" t="n">
        <v>30</v>
      </c>
      <c r="AO187" s="8" t="str">
        <v>B07 / 米白色PU / 13306</v>
      </c>
      <c r="AP187" s="11" t="n">
        <v>0.7307750238224848</v>
      </c>
      <c r="AQ187" s="11" t="n">
        <v>0.7328044354783371</v>
      </c>
      <c r="AR187" s="11" t="n">
        <v>0.7468750229589127</v>
      </c>
      <c r="AS187" s="11" t="n">
        <f>IF(AND(COUNT(I187:K187,AP187:AR187)=6,MIN(AP187:AR187)&gt;0),I187/7/AP187*0.5+J187/14/AQ187*0.3+K187/30/AR187*0.2,"")</f>
        <v>0.05602011102345866</v>
      </c>
      <c r="AT187" s="8" t="n">
        <v>8</v>
      </c>
      <c r="AU187" s="8" t="n">
        <v>1</v>
      </c>
      <c r="AV187" s="8" t="n">
        <v>86</v>
      </c>
      <c r="AW187" s="11" t="n">
        <f>IF(AND(COUNT(AT187:AV187)=3,AT187&gt;=AU187,AU187&gt;=0,AV187&gt;0),(AT187-AU187)/AV187,"")</f>
        <v>0.08139534883720931</v>
      </c>
      <c r="AX187" s="8" t="n">
        <v>16</v>
      </c>
      <c r="AY187" s="8" t="n">
        <v>1</v>
      </c>
      <c r="AZ187" s="8" t="n">
        <v>176</v>
      </c>
      <c r="BA187" s="11" t="n">
        <f>IF(AND(COUNT(AX187:AZ187)=3,AX187&gt;=AY187,AY187&gt;=0,AZ187&gt;0),(AX187-AY187)/AZ187,"")</f>
        <v>0.08522727272727272</v>
      </c>
      <c r="BB187" s="8" t="n">
        <f>IF(COUNT(AS187,AW187,BA187)=3,1,0)</f>
        <v>1</v>
      </c>
      <c r="BC187" s="11" t="n">
        <f>IF(SUMIF($AO$11:$AO$1309,AO187,$BB$11:$BB$1309)=COUNTIF($AO$11:$AO$1309,AO187),SUMIF($AO$11:$AO$1309,AO187,$AS$11:$AS$1309),"")</f>
        <v>0.313323126299849</v>
      </c>
      <c r="BD187" s="11" t="n">
        <f>IF(SUMIF($AO$11:$AO$1309,AO187,$BB$11:$BB$1309)=COUNTIF($AO$11:$AO$1309,AO187),SUMIF($AO$11:$AO$1309,AO187,$AW$11:$AW$1309),"")</f>
        <v>0.5132135306553911</v>
      </c>
      <c r="BE187" s="11" t="n">
        <f>IF(SUMIF($AO$11:$AO$1309,AO187,$BB$11:$BB$1309)=COUNTIF($AO$11:$AO$1309,AO187),SUMIF($AO$11:$AO$1309,AO187,$BA$11:$BA$1309),"")</f>
        <v>0.6528356194367431</v>
      </c>
      <c r="BF187" s="12" t="n">
        <f>IF(COUNT(BD187:BE187)&lt;&gt;2,"",IF(AND(BD187&gt;0,BE187&gt;0),0.7*AW187/BD187+0.3*BA187/BE187,IF(BD187&gt;0,AW187/BD187,IF(BE187&gt;0,BA187/BE187,IF(AND(ISNUMBER(BH187),BH187=0),0,"")))))</f>
        <v>0.15018437565134982</v>
      </c>
      <c r="BG187" s="11" t="n">
        <f>IF(AND(COUNT(BN187:BU187)=8,MIN(BN187:BU187)&gt;=0),SUMPRODUCT(BN187:BQ187,BR187:BU187),"")</f>
        <v>78.35892944347341</v>
      </c>
      <c r="BH187" s="11" t="n">
        <f>IF(COUNT(BC187,BG187)=2,BC187*BG187,"")</f>
        <v>24.551664746738375</v>
      </c>
      <c r="BI187" s="11" t="n">
        <f>IF(ISNUMBER(CI187),CI187,"")</f>
        <v>3.687276441190159</v>
      </c>
      <c r="BJ187" s="8" t="str"/>
      <c r="BK187" s="8" t="str">
        <v>90天：2026-07-20 至 2026-10-17；180天：2026-04-21 至 2026-10-17</v>
      </c>
      <c r="BL187" s="8" t="str">
        <v>90天：2026-10-06、2026-10-07、2026-10-12、2026-10-13；180天：2026-10-06、2026-10-07、2026-10-12、2026-10-13</v>
      </c>
      <c r="BM187" s="8" t="str">
        <v>2026-10：12天 × 0.7307750238224848；2026-11：30天 × 0.9523018155490097；2026-12：31天 × 0.5958545198749097；2027-01：17天 × 1.3264167397065354</v>
      </c>
      <c r="BN187" s="11" t="n">
        <v>0.7307750238224848</v>
      </c>
      <c r="BO187" s="11" t="n">
        <v>0.9523018155490097</v>
      </c>
      <c r="BP187" s="11" t="n">
        <v>0.5958545198749097</v>
      </c>
      <c r="BQ187" s="11" t="n">
        <v>1.3264167397065354</v>
      </c>
      <c r="BR187" s="8" t="n">
        <v>12</v>
      </c>
      <c r="BS187" s="8" t="n">
        <v>30</v>
      </c>
      <c r="BT187" s="8" t="n">
        <v>31</v>
      </c>
      <c r="BU187" s="8" t="n">
        <v>17</v>
      </c>
      <c r="BV187" s="11" t="n">
        <f>IF(COUNT(BC187,BF187)=2,BC187*BF187,"")</f>
        <v>0.047056238100471846</v>
      </c>
      <c r="BW187" s="11" t="n">
        <f>IF(ISNUMBER(BN187),BN187,"")</f>
        <v>0.7307750238224848</v>
      </c>
      <c r="BX187" s="14" t="n">
        <f>IF(ISNUMBER(BR187),BR187,"")</f>
        <v>12</v>
      </c>
      <c r="BY187" s="13" t="n">
        <f>IF(AND(COUNT(BV187,BW187,BX187)=3,MIN(BV187,BW187,BX187)&gt;=0),BV187*BW187*BX187,"")</f>
        <v>0.41265028222642597</v>
      </c>
      <c r="BZ187" s="11" t="n">
        <f>IF(ISNUMBER(BO187),BO187,"")</f>
        <v>0.9523018155490097</v>
      </c>
      <c r="CA187" s="14" t="n">
        <f>IF(ISNUMBER(BS187),BS187,"")</f>
        <v>30</v>
      </c>
      <c r="CB187" s="13" t="n">
        <f>IF(AND(COUNT(BV187,BZ187,CA187)=3,MIN(BV187,BZ187,CA187)&gt;=0),BV187*BZ187*CA187,"")</f>
        <v>1.3443522292795747</v>
      </c>
      <c r="CC187" s="11" t="n">
        <f>IF(ISNUMBER(BP187),BP187,"")</f>
        <v>0.5958545198749097</v>
      </c>
      <c r="CD187" s="14" t="n">
        <f>IF(ISNUMBER(BT187),BT187,"")</f>
        <v>31</v>
      </c>
      <c r="CE187" s="13" t="n">
        <f>IF(AND(COUNT(BV187,CC187,CD187)=3,MIN(BV187,CC187,CD187)&gt;=0),BV187*CC187*CD187,"")</f>
        <v>0.8691988369747586</v>
      </c>
      <c r="CF187" s="11" t="n">
        <f>IF(ISNUMBER(BQ187),BQ187,"")</f>
        <v>1.3264167397065354</v>
      </c>
      <c r="CG187" s="14" t="n">
        <f>IF(ISNUMBER(BU187),BU187,"")</f>
        <v>17</v>
      </c>
      <c r="CH187" s="13" t="n">
        <f>IF(AND(COUNT(BV187,CF187,CG187)=3,MIN(BV187,CF187,CG187)&gt;=0),BV187*CF187*CG187,"")</f>
        <v>1.0610750927093995</v>
      </c>
      <c r="CI187" s="13" t="n">
        <f>IF(COUNT(BY187,CB187,CE187,CH187)=4,SUM(BY187,CB187,CE187,CH187),"")</f>
        <v>3.687276441190159</v>
      </c>
    </row>
    <row r="188" ht="72" customHeight="1">
      <c r="A188" s="16" t="str">
        <v>S02-TN-40</v>
      </c>
      <c r="B188" s="16" t="str">
        <v>3店-SANDIEX-US</v>
      </c>
      <c r="C188" s="16" t="str">
        <v>陈晨</v>
      </c>
      <c r="D188" s="26" t="n">
        <f>IF(NOT(ISNUMBER(E188)),"",IF(OR(E188&lt;=0,L188=0),0,IF(OR(NOT(ISNUMBER(F188)),F188&lt;0),"",MIN(E188,INT(F188)))))</f>
        <v>2</v>
      </c>
      <c r="E188" s="27" t="n">
        <f>IF(OR(NOT(ISNUMBER(L188)),COUNT(M188:O188)&lt;&gt;3,MIN(M188:O188)&lt;0),"",ROUNDUP(ROUND(BI188-SUM(M188:O188),10),0))</f>
        <v>21</v>
      </c>
      <c r="F188" s="28" t="n">
        <v>2</v>
      </c>
      <c r="G188" s="28" t="n">
        <f>IF(AND(ISNUMBER(D188),ISNUMBER(E188)),IF(OR(E188&lt;=0,L188=0),0,E188-D188),"")</f>
        <v>19</v>
      </c>
      <c r="H188" s="16" t="str">
        <f>IF(NOT(ISNUMBER(E188)),"销量或海外库存待补",IF(OR(E188&lt;=0,L188=0),IF(L188=0,"零日销，本批不发","本批无需补货"),IF(NOT(ISNUMBER(D188)),"国内库存待补",IF(D188=0,"国内无可用库存",IF(G188&gt;0,"先发国内现货","按建议量发货")))))</f>
        <v>先发国内现货</v>
      </c>
      <c r="I188" s="28" t="n">
        <f>IF(AND(COUNT(Z188,AA188,AB188)=3,Z188&gt;=AA188,AA188&gt;=0,AB188=7),Z188-AA188,"")</f>
        <v>0</v>
      </c>
      <c r="J188" s="28" t="n">
        <f>IF(AND(COUNT(AF188,AG188,AH188)=3,AF188&gt;=AG188,AG188&gt;=0,AH188=14),AF188-AG188,"")</f>
        <v>1</v>
      </c>
      <c r="K188" s="28" t="n">
        <f>IF(AND(COUNT(AL188,AM188,AN188)=3,AL188&gt;=AM188,AM188&gt;=0,AN188=30),AL188-AM188,"")</f>
        <v>3</v>
      </c>
      <c r="L188" s="29" t="n">
        <f>IF(ISNUMBER(BI188),BI188/90,"")</f>
        <v>0.23692831706182862</v>
      </c>
      <c r="M188" s="28" t="n">
        <v>1</v>
      </c>
      <c r="N188" s="28" t="n">
        <v>0</v>
      </c>
      <c r="O188" s="28" t="n">
        <v>0</v>
      </c>
      <c r="P188" s="30" t="n">
        <f>IF(AND(ISNUMBER(L188),L188&gt;0,COUNT(M188:O188)=3,MIN(M188:O188)&gt;=0),SUM(M188:O188)/L188,"")</f>
        <v>4.220685869891359</v>
      </c>
      <c r="Q188" s="16" t="str">
        <v>沿用原计划SKU店铺</v>
      </c>
      <c r="R188" s="16" t="str">
        <v>已匹配</v>
      </c>
      <c r="S188" s="16" t="str">
        <v>在售</v>
      </c>
      <c r="T188" s="16" t="str">
        <v>S02</v>
      </c>
      <c r="U188" s="16" t="str">
        <v>驼色</v>
      </c>
      <c r="V188" s="16" t="n">
        <v>9</v>
      </c>
      <c r="W188" s="8" t="str">
        <v>2026-10-10 至 2026-10-17</v>
      </c>
      <c r="X188" s="8" t="str">
        <v>2026-10-10、2026-10-11、2026-10-13、2026-10-14、2026-10-15、2026-10-16、2026-10-17</v>
      </c>
      <c r="Y188" s="8" t="str">
        <v>2026-10-12 有记录的停售日</v>
      </c>
      <c r="Z188" s="8" t="n">
        <v>0</v>
      </c>
      <c r="AA188" s="8" t="n">
        <v>0</v>
      </c>
      <c r="AB188" s="8" t="n">
        <v>7</v>
      </c>
      <c r="AC188" s="8" t="str">
        <v>2026-10-01 至 2026-10-17</v>
      </c>
      <c r="AD188" s="8" t="str">
        <v>2026-10-01、2026-10-02、2026-10-03、2026-10-04、2026-10-05、2026-10-08、2026-10-09、2026-10-10、2026-10-11、2026-10-13、2026-10-14、2026-10-15、2026-10-16、2026-10-17</v>
      </c>
      <c r="AE188" s="8" t="str">
        <v>2026-10-06 大促；2026-10-07 大促；2026-10-12 有记录的停售日</v>
      </c>
      <c r="AF188" s="8" t="n">
        <v>1</v>
      </c>
      <c r="AG188" s="8" t="n">
        <v>0</v>
      </c>
      <c r="AH188" s="8" t="n">
        <v>14</v>
      </c>
      <c r="AI188" s="8" t="str">
        <v>2026-09-15 至 2026-10-17</v>
      </c>
      <c r="AJ188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188" s="8" t="str">
        <v>2026-10-06 大促；2026-10-07 大促；2026-10-12 有记录的停售日</v>
      </c>
      <c r="AL188" s="8" t="n">
        <v>3</v>
      </c>
      <c r="AM188" s="8" t="n">
        <v>0</v>
      </c>
      <c r="AN188" s="8" t="n">
        <v>30</v>
      </c>
      <c r="AO188" s="8" t="str">
        <v>S02 / 驼色 / 6574</v>
      </c>
      <c r="AP188" s="11" t="n">
        <v>0.9634503791704667</v>
      </c>
      <c r="AQ188" s="11" t="n">
        <v>0.9634503791704667</v>
      </c>
      <c r="AR188" s="11" t="n">
        <v>0.8981639023428712</v>
      </c>
      <c r="AS188" s="11" t="n">
        <f>IF(AND(COUNT(I188:K188,AP188:AR188)=6,MIN(AP188:AR188)&gt;0),I188/7/AP188*0.5+J188/14/AQ188*0.3+K188/30/AR188*0.2,"")</f>
        <v>0.04450914007982683</v>
      </c>
      <c r="AT188" s="8" t="n">
        <v>12</v>
      </c>
      <c r="AU188" s="8" t="n">
        <v>0</v>
      </c>
      <c r="AV188" s="8" t="n">
        <v>87</v>
      </c>
      <c r="AW188" s="11" t="n">
        <f>IF(AND(COUNT(AT188:AV188)=3,AT188&gt;=AU188,AU188&gt;=0,AV188&gt;0),(AT188-AU188)/AV188,"")</f>
        <v>0.13793103448275862</v>
      </c>
      <c r="AX188" s="8" t="n">
        <v>31</v>
      </c>
      <c r="AY188" s="8" t="n">
        <v>0</v>
      </c>
      <c r="AZ188" s="8" t="n">
        <v>177</v>
      </c>
      <c r="BA188" s="11" t="n">
        <f>IF(AND(COUNT(AX188:AZ188)=3,AX188&gt;=AY188,AY188&gt;=0,AZ188&gt;0),(AX188-AY188)/AZ188,"")</f>
        <v>0.1751412429378531</v>
      </c>
      <c r="BB188" s="8" t="n">
        <f>IF(COUNT(AS188,AW188,BA188)=3,1,0)</f>
        <v>1</v>
      </c>
      <c r="BC188" s="11" t="n">
        <f>IF(SUMIF($AO$11:$AO$1309,AO188,$BB$11:$BB$1309)=COUNTIF($AO$11:$AO$1309,AO188),SUMIF($AO$11:$AO$1309,AO188,$AS$11:$AS$1309),"")</f>
        <v>2.6523136246811423</v>
      </c>
      <c r="BD188" s="11" t="n">
        <f>IF(SUMIF($AO$11:$AO$1309,AO188,$BB$11:$BB$1309)=COUNTIF($AO$11:$AO$1309,AO188),SUMIF($AO$11:$AO$1309,AO188,$AW$11:$AW$1309),"")</f>
        <v>1.5697492163009403</v>
      </c>
      <c r="BE188" s="11" t="n">
        <f>IF(SUMIF($AO$11:$AO$1309,AO188,$BB$11:$BB$1309)=COUNTIF($AO$11:$AO$1309,AO188),SUMIF($AO$11:$AO$1309,AO188,$BA$11:$BA$1309),"")</f>
        <v>1.2987367485558305</v>
      </c>
      <c r="BF188" s="12" t="n">
        <f>IF(COUNT(BD188:BE188)&lt;&gt;2,"",IF(AND(BD188&gt;0,BE188&gt;0),0.7*AW188/BD188+0.3*BA188/BE188,IF(BD188&gt;0,AW188/BD188,IF(BE188&gt;0,BA188/BE188,IF(AND(ISNUMBER(BH188),BH188=0),0,"")))))</f>
        <v>0.10196426119411235</v>
      </c>
      <c r="BG188" s="11" t="n">
        <f>IF(AND(COUNT(BN188:BU188)=8,MIN(BN188:BU188)&gt;=0),SUMPRODUCT(BN188:BQ188,BR188:BU188),"")</f>
        <v>78.84726365280937</v>
      </c>
      <c r="BH188" s="11" t="n">
        <f>IF(COUNT(BC188,BG188)=2,BC188*BG188,"")</f>
        <v>209.12767165517252</v>
      </c>
      <c r="BI188" s="11" t="n">
        <f>IF(ISNUMBER(CI188),CI188,"")</f>
        <v>21.323548535564576</v>
      </c>
      <c r="BJ188" s="8" t="str"/>
      <c r="BK188" s="8" t="str">
        <v>90天：2026-07-20 至 2026-10-17；180天：2026-04-21 至 2026-10-17</v>
      </c>
      <c r="BL188" s="8" t="str">
        <v>90天：2026-10-06、2026-10-07、2026-10-12；180天：2026-10-06、2026-10-07、2026-10-12</v>
      </c>
      <c r="BM188" s="8" t="str">
        <v>2026-10：12天 × 0.9634503791704667；2026-11：30天 × 0.8585031562320637；2026-12：31天 × 0.7896606554092485；2027-01：17天 × 1.0030167116538329</v>
      </c>
      <c r="BN188" s="11" t="n">
        <v>0.9634503791704667</v>
      </c>
      <c r="BO188" s="11" t="n">
        <v>0.8585031562320637</v>
      </c>
      <c r="BP188" s="11" t="n">
        <v>0.7896606554092485</v>
      </c>
      <c r="BQ188" s="11" t="n">
        <v>1.0030167116538329</v>
      </c>
      <c r="BR188" s="8" t="n">
        <v>12</v>
      </c>
      <c r="BS188" s="8" t="n">
        <v>30</v>
      </c>
      <c r="BT188" s="8" t="n">
        <v>31</v>
      </c>
      <c r="BU188" s="8" t="n">
        <v>17</v>
      </c>
      <c r="BV188" s="11" t="n">
        <f>IF(COUNT(BC188,BF188)=2,BC188*BF188,"")</f>
        <v>0.2704411991956909</v>
      </c>
      <c r="BW188" s="11" t="n">
        <f>IF(ISNUMBER(BN188),BN188,"")</f>
        <v>0.9634503791704667</v>
      </c>
      <c r="BX188" s="14" t="n">
        <f>IF(ISNUMBER(BR188),BR188,"")</f>
        <v>12</v>
      </c>
      <c r="BY188" s="13" t="n">
        <f>IF(AND(COUNT(BV188,BW188,BX188)=3,MIN(BV188,BW188,BX188)&gt;=0),BV188*BW188*BX188,"")</f>
        <v>3.126680110900849</v>
      </c>
      <c r="BZ188" s="11" t="n">
        <f>IF(ISNUMBER(BO188),BO188,"")</f>
        <v>0.8585031562320637</v>
      </c>
      <c r="CA188" s="14" t="n">
        <f>IF(ISNUMBER(BS188),BS188,"")</f>
        <v>30</v>
      </c>
      <c r="CB188" s="13" t="n">
        <f>IF(AND(COUNT(BV188,BZ188,CA188)=3,MIN(BV188,BZ188,CA188)&gt;=0),BV188*BZ188*CA188,"")</f>
        <v>6.965238692540546</v>
      </c>
      <c r="CC188" s="11" t="n">
        <f>IF(ISNUMBER(BP188),BP188,"")</f>
        <v>0.7896606554092485</v>
      </c>
      <c r="CD188" s="14" t="n">
        <f>IF(ISNUMBER(BT188),BT188,"")</f>
        <v>31</v>
      </c>
      <c r="CE188" s="13" t="n">
        <f>IF(AND(COUNT(BV188,CC188,CD188)=3,MIN(BV188,CC188,CD188)&gt;=0),BV188*CC188*CD188,"")</f>
        <v>6.620260012802504</v>
      </c>
      <c r="CF188" s="11" t="n">
        <f>IF(ISNUMBER(BQ188),BQ188,"")</f>
        <v>1.0030167116538329</v>
      </c>
      <c r="CG188" s="14" t="n">
        <f>IF(ISNUMBER(BU188),BU188,"")</f>
        <v>17</v>
      </c>
      <c r="CH188" s="13" t="n">
        <f>IF(AND(COUNT(BV188,CF188,CG188)=3,MIN(BV188,CF188,CG188)&gt;=0),BV188*CF188*CG188,"")</f>
        <v>4.6113697193206775</v>
      </c>
      <c r="CI188" s="13" t="n">
        <f>IF(COUNT(BY188,CB188,CE188,CH188)=4,SUM(BY188,CB188,CE188,CH188),"")</f>
        <v>21.323548535564576</v>
      </c>
    </row>
    <row r="189" ht="72" customHeight="1">
      <c r="A189" s="16" t="str">
        <v>S02-TN-41</v>
      </c>
      <c r="B189" s="16" t="str">
        <v>3店-SANDIEX-US</v>
      </c>
      <c r="C189" s="16" t="str">
        <v>陈晨</v>
      </c>
      <c r="D189" s="26" t="n">
        <f>IF(NOT(ISNUMBER(E189)),"",IF(OR(E189&lt;=0,L189=0),0,IF(OR(NOT(ISNUMBER(F189)),F189&lt;0),"",MIN(E189,INT(F189)))))</f>
        <v>2</v>
      </c>
      <c r="E189" s="27" t="n">
        <f>IF(OR(NOT(ISNUMBER(L189)),COUNT(M189:O189)&lt;&gt;3,MIN(M189:O189)&lt;0),"",ROUNDUP(ROUND(BI189-SUM(M189:O189),10),0))</f>
        <v>18</v>
      </c>
      <c r="F189" s="28" t="n">
        <v>2</v>
      </c>
      <c r="G189" s="28" t="n">
        <f>IF(AND(ISNUMBER(D189),ISNUMBER(E189)),IF(OR(E189&lt;=0,L189=0),0,E189-D189),"")</f>
        <v>16</v>
      </c>
      <c r="H189" s="16" t="str">
        <f>IF(NOT(ISNUMBER(E189)),"销量或海外库存待补",IF(OR(E189&lt;=0,L189=0),IF(L189=0,"零日销，本批不发","本批无需补货"),IF(NOT(ISNUMBER(D189)),"国内库存待补",IF(D189=0,"国内无可用库存",IF(G189&gt;0,"先发国内现货","按建议量发货")))))</f>
        <v>先发国内现货</v>
      </c>
      <c r="I189" s="28" t="n">
        <f>IF(AND(COUNT(Z189,AA189,AB189)=3,Z189&gt;=AA189,AA189&gt;=0,AB189=7),Z189-AA189,"")</f>
        <v>1</v>
      </c>
      <c r="J189" s="28" t="n">
        <f>IF(AND(COUNT(AF189,AG189,AH189)=3,AF189&gt;=AG189,AG189&gt;=0,AH189=14),AF189-AG189,"")</f>
        <v>3</v>
      </c>
      <c r="K189" s="28" t="n">
        <f>IF(AND(COUNT(AL189,AM189,AN189)=3,AL189&gt;=AM189,AM189&gt;=0,AN189=30),AL189-AM189,"")</f>
        <v>3</v>
      </c>
      <c r="L189" s="29" t="n">
        <f>IF(ISNUMBER(BI189),BI189/90,"")</f>
        <v>0.21941203195798087</v>
      </c>
      <c r="M189" s="28" t="n">
        <v>2</v>
      </c>
      <c r="N189" s="28" t="n">
        <v>0</v>
      </c>
      <c r="O189" s="28" t="n">
        <v>0</v>
      </c>
      <c r="P189" s="30" t="n">
        <f>IF(AND(ISNUMBER(L189),L189&gt;0,COUNT(M189:O189)=3,MIN(M189:O189)&gt;=0),SUM(M189:O189)/L189,"")</f>
        <v>9.11527039858514</v>
      </c>
      <c r="Q189" s="16" t="str">
        <v>沿用原计划SKU店铺</v>
      </c>
      <c r="R189" s="16" t="str">
        <v>已匹配</v>
      </c>
      <c r="S189" s="16" t="str">
        <v>在售</v>
      </c>
      <c r="T189" s="16" t="str">
        <v>S02</v>
      </c>
      <c r="U189" s="16" t="str">
        <v>驼色</v>
      </c>
      <c r="V189" s="16" t="n">
        <v>10</v>
      </c>
      <c r="W189" s="8" t="str">
        <v>2026-10-11 至 2026-10-17</v>
      </c>
      <c r="X189" s="8" t="str">
        <v>2026-10-11、2026-10-12、2026-10-13、2026-10-14、2026-10-15、2026-10-16、2026-10-17</v>
      </c>
      <c r="Y189" s="8" t="str">
        <v>无</v>
      </c>
      <c r="Z189" s="8" t="n">
        <v>1</v>
      </c>
      <c r="AA189" s="8" t="n">
        <v>0</v>
      </c>
      <c r="AB189" s="8" t="n">
        <v>7</v>
      </c>
      <c r="AC189" s="8" t="str">
        <v>2026-10-02 至 2026-10-17</v>
      </c>
      <c r="AD189" s="8" t="str">
        <v>2026-10-02、2026-10-03、2026-10-04、2026-10-05、2026-10-08、2026-10-09、2026-10-10、2026-10-11、2026-10-12、2026-10-13、2026-10-14、2026-10-15、2026-10-16、2026-10-17</v>
      </c>
      <c r="AE189" s="8" t="str">
        <v>2026-10-06 大促；2026-10-07 大促</v>
      </c>
      <c r="AF189" s="8" t="n">
        <v>6</v>
      </c>
      <c r="AG189" s="8" t="n">
        <v>3</v>
      </c>
      <c r="AH189" s="8" t="n">
        <v>14</v>
      </c>
      <c r="AI189" s="8" t="str">
        <v>2026-09-16 至 2026-10-17</v>
      </c>
      <c r="AJ1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89" s="8" t="str">
        <v>2026-10-06 大促；2026-10-07 大促</v>
      </c>
      <c r="AL189" s="8" t="n">
        <v>6</v>
      </c>
      <c r="AM189" s="8" t="n">
        <v>3</v>
      </c>
      <c r="AN189" s="8" t="n">
        <v>30</v>
      </c>
      <c r="AO189" s="8" t="str">
        <v>S02 / 驼色 / 6574</v>
      </c>
      <c r="AP189" s="11" t="n">
        <v>0.9634503791704667</v>
      </c>
      <c r="AQ189" s="11" t="n">
        <v>0.9634503791704667</v>
      </c>
      <c r="AR189" s="11" t="n">
        <v>0.902244307144596</v>
      </c>
      <c r="AS189" s="11" t="n">
        <f>IF(AND(COUNT(I189:K189,AP189:AR189)=6,MIN(AP189:AR189)&gt;0),I189/7/AP189*0.5+J189/14/AQ189*0.3+K189/30/AR189*0.2,"")</f>
        <v>0.16302971148999948</v>
      </c>
      <c r="AT189" s="8" t="n">
        <v>16</v>
      </c>
      <c r="AU189" s="8" t="n">
        <v>3</v>
      </c>
      <c r="AV189" s="8" t="n">
        <v>88</v>
      </c>
      <c r="AW189" s="11" t="n">
        <f>IF(AND(COUNT(AT189:AV189)=3,AT189&gt;=AU189,AU189&gt;=0,AV189&gt;0),(AT189-AU189)/AV189,"")</f>
        <v>0.14772727272727273</v>
      </c>
      <c r="AX189" s="8" t="n">
        <v>25</v>
      </c>
      <c r="AY189" s="8" t="n">
        <v>3</v>
      </c>
      <c r="AZ189" s="8" t="n">
        <v>178</v>
      </c>
      <c r="BA189" s="11" t="n">
        <f>IF(AND(COUNT(AX189:AZ189)=3,AX189&gt;=AY189,AY189&gt;=0,AZ189&gt;0),(AX189-AY189)/AZ189,"")</f>
        <v>0.12359550561797752</v>
      </c>
      <c r="BB189" s="8" t="n">
        <f>IF(COUNT(AS189,AW189,BA189)=3,1,0)</f>
        <v>1</v>
      </c>
      <c r="BC189" s="11" t="n">
        <f>IF(SUMIF($AO$11:$AO$1309,AO189,$BB$11:$BB$1309)=COUNTIF($AO$11:$AO$1309,AO189),SUMIF($AO$11:$AO$1309,AO189,$AS$11:$AS$1309),"")</f>
        <v>2.6523136246811423</v>
      </c>
      <c r="BD189" s="11" t="n">
        <f>IF(SUMIF($AO$11:$AO$1309,AO189,$BB$11:$BB$1309)=COUNTIF($AO$11:$AO$1309,AO189),SUMIF($AO$11:$AO$1309,AO189,$AW$11:$AW$1309),"")</f>
        <v>1.5697492163009403</v>
      </c>
      <c r="BE189" s="11" t="n">
        <f>IF(SUMIF($AO$11:$AO$1309,AO189,$BB$11:$BB$1309)=COUNTIF($AO$11:$AO$1309,AO189),SUMIF($AO$11:$AO$1309,AO189,$BA$11:$BA$1309),"")</f>
        <v>1.2987367485558305</v>
      </c>
      <c r="BF189" s="12" t="n">
        <f>IF(COUNT(BD189:BE189)&lt;&gt;2,"",IF(AND(BD189&gt;0,BE189&gt;0),0.7*AW189/BD189+0.3*BA189/BE189,IF(BD189&gt;0,AW189/BD189,IF(BE189&gt;0,BA189/BE189,IF(AND(ISNUMBER(BH189),BH189=0),0,"")))))</f>
        <v>0.09442596821323077</v>
      </c>
      <c r="BG189" s="11" t="n">
        <f>IF(AND(COUNT(BN189:BU189)=8,MIN(BN189:BU189)&gt;=0),SUMPRODUCT(BN189:BQ189,BR189:BU189),"")</f>
        <v>78.84726365280937</v>
      </c>
      <c r="BH189" s="11" t="n">
        <f>IF(COUNT(BC189,BG189)=2,BC189*BG189,"")</f>
        <v>209.12767165517252</v>
      </c>
      <c r="BI189" s="11" t="n">
        <f>IF(ISNUMBER(CI189),CI189,"")</f>
        <v>19.74708287621828</v>
      </c>
      <c r="BJ189" s="8" t="str"/>
      <c r="BK189" s="8" t="str">
        <v>90天：2026-07-20 至 2026-10-17；180天：2026-04-21 至 2026-10-17</v>
      </c>
      <c r="BL189" s="8" t="str">
        <v>90天：2026-10-06、2026-10-07；180天：2026-10-06、2026-10-07</v>
      </c>
      <c r="BM189" s="8" t="str">
        <v>2026-10：12天 × 0.9634503791704667；2026-11：30天 × 0.8585031562320637；2026-12：31天 × 0.7896606554092485；2027-01：17天 × 1.0030167116538329</v>
      </c>
      <c r="BN189" s="11" t="n">
        <v>0.9634503791704667</v>
      </c>
      <c r="BO189" s="11" t="n">
        <v>0.8585031562320637</v>
      </c>
      <c r="BP189" s="11" t="n">
        <v>0.7896606554092485</v>
      </c>
      <c r="BQ189" s="11" t="n">
        <v>1.0030167116538329</v>
      </c>
      <c r="BR189" s="8" t="n">
        <v>12</v>
      </c>
      <c r="BS189" s="8" t="n">
        <v>30</v>
      </c>
      <c r="BT189" s="8" t="n">
        <v>31</v>
      </c>
      <c r="BU189" s="8" t="n">
        <v>17</v>
      </c>
      <c r="BV189" s="11" t="n">
        <f>IF(COUNT(BC189,BF189)=2,BC189*BF189,"")</f>
        <v>0.2504472820156604</v>
      </c>
      <c r="BW189" s="11" t="n">
        <f>IF(ISNUMBER(BN189),BN189,"")</f>
        <v>0.9634503791704667</v>
      </c>
      <c r="BX189" s="14" t="n">
        <f>IF(ISNUMBER(BR189),BR189,"")</f>
        <v>12</v>
      </c>
      <c r="BY189" s="13" t="n">
        <f>IF(AND(COUNT(BV189,BW189,BX189)=3,MIN(BV189,BW189,BX189)&gt;=0),BV189*BW189*BX189,"")</f>
        <v>2.89552234584241</v>
      </c>
      <c r="BZ189" s="11" t="n">
        <f>IF(ISNUMBER(BO189),BO189,"")</f>
        <v>0.8585031562320637</v>
      </c>
      <c r="CA189" s="14" t="n">
        <f>IF(ISNUMBER(BS189),BS189,"")</f>
        <v>30</v>
      </c>
      <c r="CB189" s="13" t="n">
        <f>IF(AND(COUNT(BV189,BZ189,CA189)=3,MIN(BV189,BZ189,CA189)&gt;=0),BV189*BZ189*CA189,"")</f>
        <v>6.450293462405587</v>
      </c>
      <c r="CC189" s="11" t="n">
        <f>IF(ISNUMBER(BP189),BP189,"")</f>
        <v>0.7896606554092485</v>
      </c>
      <c r="CD189" s="14" t="n">
        <f>IF(ISNUMBER(BT189),BT189,"")</f>
        <v>31</v>
      </c>
      <c r="CE189" s="13" t="n">
        <f>IF(AND(COUNT(BV189,CC189,CD189)=3,MIN(BV189,CC189,CD189)&gt;=0),BV189*CC189*CD189,"")</f>
        <v>6.13081931072049</v>
      </c>
      <c r="CF189" s="11" t="n">
        <f>IF(ISNUMBER(BQ189),BQ189,"")</f>
        <v>1.0030167116538329</v>
      </c>
      <c r="CG189" s="14" t="n">
        <f>IF(ISNUMBER(BU189),BU189,"")</f>
        <v>17</v>
      </c>
      <c r="CH189" s="13" t="n">
        <f>IF(AND(COUNT(BV189,CF189,CG189)=3,MIN(BV189,CF189,CG189)&gt;=0),BV189*CF189*CG189,"")</f>
        <v>4.270447757249793</v>
      </c>
      <c r="CI189" s="13" t="n">
        <f>IF(COUNT(BY189,CB189,CE189,CH189)=4,SUM(BY189,CB189,CE189,CH189),"")</f>
        <v>19.74708287621828</v>
      </c>
    </row>
    <row r="190" ht="72" customHeight="1">
      <c r="A190" s="16" t="str">
        <v>S02-TN1-37</v>
      </c>
      <c r="B190" s="16" t="str">
        <v>3店-SANDIEX-US</v>
      </c>
      <c r="C190" s="16" t="str">
        <v>陈晨</v>
      </c>
      <c r="D190" s="26" t="n">
        <f>IF(NOT(ISNUMBER(E190)),"",IF(OR(E190&lt;=0,L190=0),0,IF(OR(NOT(ISNUMBER(F190)),F190&lt;0),"",MIN(E190,INT(F190)))))</f>
        <v>2</v>
      </c>
      <c r="E190" s="27" t="n">
        <f>IF(OR(NOT(ISNUMBER(L190)),COUNT(M190:O190)&lt;&gt;3,MIN(M190:O190)&lt;0),"",ROUNDUP(ROUND(BI190-SUM(M190:O190),10),0))</f>
        <v>14</v>
      </c>
      <c r="F190" s="28" t="n">
        <v>2</v>
      </c>
      <c r="G190" s="28" t="n">
        <f>IF(AND(ISNUMBER(D190),ISNUMBER(E190)),IF(OR(E190&lt;=0,L190=0),0,E190-D190),"")</f>
        <v>12</v>
      </c>
      <c r="H190" s="16" t="str">
        <f>IF(NOT(ISNUMBER(E190)),"销量或海外库存待补",IF(OR(E190&lt;=0,L190=0),IF(L190=0,"零日销，本批不发","本批无需补货"),IF(NOT(ISNUMBER(D190)),"国内库存待补",IF(D190=0,"国内无可用库存",IF(G190&gt;0,"先发国内现货","按建议量发货")))))</f>
        <v>先发国内现货</v>
      </c>
      <c r="I190" s="28" t="n">
        <f>IF(AND(COUNT(Z190,AA190,AB190)=3,Z190&gt;=AA190,AA190&gt;=0,AB190=7),Z190-AA190,"")</f>
        <v>0</v>
      </c>
      <c r="J190" s="28" t="n">
        <f>IF(AND(COUNT(AF190,AG190,AH190)=3,AF190&gt;=AG190,AG190&gt;=0,AH190=14),AF190-AG190,"")</f>
        <v>0</v>
      </c>
      <c r="K190" s="28" t="n">
        <f>IF(AND(COUNT(AL190,AM190,AN190)=3,AL190&gt;=AM190,AM190&gt;=0,AN190=30),AL190-AM190,"")</f>
        <v>1</v>
      </c>
      <c r="L190" s="29" t="n">
        <f>IF(ISNUMBER(BI190),BI190/90,"")</f>
        <v>0.18107215844300967</v>
      </c>
      <c r="M190" s="28" t="n">
        <v>3</v>
      </c>
      <c r="N190" s="28" t="n">
        <v>0</v>
      </c>
      <c r="O190" s="28" t="n">
        <v>0</v>
      </c>
      <c r="P190" s="30" t="n">
        <f>IF(AND(ISNUMBER(L190),L190&gt;0,COUNT(M190:O190)=3,MIN(M190:O190)&gt;=0),SUM(M190:O190)/L190,"")</f>
        <v>16.567980554250777</v>
      </c>
      <c r="Q190" s="16" t="str">
        <v>沿用原计划SKU店铺</v>
      </c>
      <c r="R190" s="16" t="str">
        <v>已匹配</v>
      </c>
      <c r="S190" s="16" t="str">
        <v>在售</v>
      </c>
      <c r="T190" s="16" t="str">
        <v>S02</v>
      </c>
      <c r="U190" s="16" t="str">
        <v>驼色</v>
      </c>
      <c r="V190" s="16" t="n">
        <v>6.5</v>
      </c>
      <c r="W190" s="8" t="str">
        <v>2026-10-11 至 2026-10-17</v>
      </c>
      <c r="X190" s="8" t="str">
        <v>2026-10-11、2026-10-12、2026-10-13、2026-10-14、2026-10-15、2026-10-16、2026-10-17</v>
      </c>
      <c r="Y190" s="8" t="str">
        <v>无</v>
      </c>
      <c r="Z190" s="8" t="n">
        <v>0</v>
      </c>
      <c r="AA190" s="8" t="n">
        <v>0</v>
      </c>
      <c r="AB190" s="8" t="n">
        <v>7</v>
      </c>
      <c r="AC190" s="8" t="str">
        <v>2026-10-02 至 2026-10-17</v>
      </c>
      <c r="AD190" s="8" t="str">
        <v>2026-10-02、2026-10-03、2026-10-04、2026-10-05、2026-10-08、2026-10-09、2026-10-10、2026-10-11、2026-10-12、2026-10-13、2026-10-14、2026-10-15、2026-10-16、2026-10-17</v>
      </c>
      <c r="AE190" s="8" t="str">
        <v>2026-10-06 大促；2026-10-07 大促</v>
      </c>
      <c r="AF190" s="8" t="n">
        <v>0</v>
      </c>
      <c r="AG190" s="8" t="n">
        <v>0</v>
      </c>
      <c r="AH190" s="8" t="n">
        <v>14</v>
      </c>
      <c r="AI190" s="8" t="str">
        <v>2026-09-16 至 2026-10-17</v>
      </c>
      <c r="AJ1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0" s="8" t="str">
        <v>2026-10-06 大促；2026-10-07 大促</v>
      </c>
      <c r="AL190" s="8" t="n">
        <v>1</v>
      </c>
      <c r="AM190" s="8" t="n">
        <v>0</v>
      </c>
      <c r="AN190" s="8" t="n">
        <v>30</v>
      </c>
      <c r="AO190" s="8" t="str">
        <v>S02 / 驼色 / 6574</v>
      </c>
      <c r="AP190" s="11" t="n">
        <v>0.9634503791704667</v>
      </c>
      <c r="AQ190" s="11" t="n">
        <v>0.9634503791704667</v>
      </c>
      <c r="AR190" s="11" t="n">
        <v>0.902244307144596</v>
      </c>
      <c r="AS190" s="11" t="n">
        <f>IF(AND(COUNT(I190:K190,AP190:AR190)=6,MIN(AP190:AR190)&gt;0),I190/7/AP190*0.5+J190/14/AQ190*0.3+K190/30/AR190*0.2,"")</f>
        <v>0.007388981691405951</v>
      </c>
      <c r="AT190" s="8" t="n">
        <v>10</v>
      </c>
      <c r="AU190" s="8" t="n">
        <v>0</v>
      </c>
      <c r="AV190" s="8" t="n">
        <v>88</v>
      </c>
      <c r="AW190" s="11" t="n">
        <f>IF(AND(COUNT(AT190:AV190)=3,AT190&gt;=AU190,AU190&gt;=0,AV190&gt;0),(AT190-AU190)/AV190,"")</f>
        <v>0.11363636363636363</v>
      </c>
      <c r="AX190" s="8" t="n">
        <v>21</v>
      </c>
      <c r="AY190" s="8" t="n">
        <v>0</v>
      </c>
      <c r="AZ190" s="8" t="n">
        <v>178</v>
      </c>
      <c r="BA190" s="11" t="n">
        <f>IF(AND(COUNT(AX190:AZ190)=3,AX190&gt;=AY190,AY190&gt;=0,AZ190&gt;0),(AX190-AY190)/AZ190,"")</f>
        <v>0.11797752808988764</v>
      </c>
      <c r="BB190" s="8" t="n">
        <f>IF(COUNT(AS190,AW190,BA190)=3,1,0)</f>
        <v>1</v>
      </c>
      <c r="BC190" s="11" t="n">
        <f>IF(SUMIF($AO$11:$AO$1309,AO190,$BB$11:$BB$1309)=COUNTIF($AO$11:$AO$1309,AO190),SUMIF($AO$11:$AO$1309,AO190,$AS$11:$AS$1309),"")</f>
        <v>2.6523136246811423</v>
      </c>
      <c r="BD190" s="11" t="n">
        <f>IF(SUMIF($AO$11:$AO$1309,AO190,$BB$11:$BB$1309)=COUNTIF($AO$11:$AO$1309,AO190),SUMIF($AO$11:$AO$1309,AO190,$AW$11:$AW$1309),"")</f>
        <v>1.5697492163009403</v>
      </c>
      <c r="BE190" s="11" t="n">
        <f>IF(SUMIF($AO$11:$AO$1309,AO190,$BB$11:$BB$1309)=COUNTIF($AO$11:$AO$1309,AO190),SUMIF($AO$11:$AO$1309,AO190,$BA$11:$BA$1309),"")</f>
        <v>1.2987367485558305</v>
      </c>
      <c r="BF190" s="12" t="n">
        <f>IF(COUNT(BD190:BE190)&lt;&gt;2,"",IF(AND(BD190&gt;0,BE190&gt;0),0.7*AW190/BD190+0.3*BA190/BE190,IF(BD190&gt;0,AW190/BD190,IF(BE190&gt;0,BA190/BE190,IF(AND(ISNUMBER(BH190),BH190=0),0,"")))))</f>
        <v>0.0779260541222967</v>
      </c>
      <c r="BG190" s="11" t="n">
        <f>IF(AND(COUNT(BN190:BU190)=8,MIN(BN190:BU190)&gt;=0),SUMPRODUCT(BN190:BQ190,BR190:BU190),"")</f>
        <v>78.84726365280937</v>
      </c>
      <c r="BH190" s="11" t="n">
        <f>IF(COUNT(BC190,BG190)=2,BC190*BG190,"")</f>
        <v>209.12767165517252</v>
      </c>
      <c r="BI190" s="11" t="n">
        <f>IF(ISNUMBER(CI190),CI190,"")</f>
        <v>16.29649425987087</v>
      </c>
      <c r="BJ190" s="8" t="str"/>
      <c r="BK190" s="8" t="str">
        <v>90天：2026-07-20 至 2026-10-17；180天：2026-04-21 至 2026-10-17</v>
      </c>
      <c r="BL190" s="8" t="str">
        <v>90天：2026-10-06、2026-10-07；180天：2026-10-06、2026-10-07</v>
      </c>
      <c r="BM190" s="8" t="str">
        <v>2026-10：12天 × 0.9634503791704667；2026-11：30天 × 0.8585031562320637；2026-12：31天 × 0.7896606554092485；2027-01：17天 × 1.0030167116538329</v>
      </c>
      <c r="BN190" s="11" t="n">
        <v>0.9634503791704667</v>
      </c>
      <c r="BO190" s="11" t="n">
        <v>0.8585031562320637</v>
      </c>
      <c r="BP190" s="11" t="n">
        <v>0.7896606554092485</v>
      </c>
      <c r="BQ190" s="11" t="n">
        <v>1.0030167116538329</v>
      </c>
      <c r="BR190" s="8" t="n">
        <v>12</v>
      </c>
      <c r="BS190" s="8" t="n">
        <v>30</v>
      </c>
      <c r="BT190" s="8" t="n">
        <v>31</v>
      </c>
      <c r="BU190" s="8" t="n">
        <v>17</v>
      </c>
      <c r="BV190" s="11" t="n">
        <f>IF(COUNT(BC190,BF190)=2,BC190*BF190,"")</f>
        <v>0.20668433506620762</v>
      </c>
      <c r="BW190" s="11" t="n">
        <f>IF(ISNUMBER(BN190),BN190,"")</f>
        <v>0.9634503791704667</v>
      </c>
      <c r="BX190" s="14" t="n">
        <f>IF(ISNUMBER(BR190),BR190,"")</f>
        <v>12</v>
      </c>
      <c r="BY190" s="13" t="n">
        <f>IF(AND(COUNT(BV190,BW190,BX190)=3,MIN(BV190,BW190,BX190)&gt;=0),BV190*BW190*BX190,"")</f>
        <v>2.389561211857602</v>
      </c>
      <c r="BZ190" s="11" t="n">
        <f>IF(ISNUMBER(BO190),BO190,"")</f>
        <v>0.8585031562320637</v>
      </c>
      <c r="CA190" s="14" t="n">
        <f>IF(ISNUMBER(BS190),BS190,"")</f>
        <v>30</v>
      </c>
      <c r="CB190" s="13" t="n">
        <f>IF(AND(COUNT(BV190,BZ190,CA190)=3,MIN(BV190,BZ190,CA190)&gt;=0),BV190*BZ190*CA190,"")</f>
        <v>5.323174619941939</v>
      </c>
      <c r="CC190" s="11" t="n">
        <f>IF(ISNUMBER(BP190),BP190,"")</f>
        <v>0.7896606554092485</v>
      </c>
      <c r="CD190" s="14" t="n">
        <f>IF(ISNUMBER(BT190),BT190,"")</f>
        <v>31</v>
      </c>
      <c r="CE190" s="13" t="n">
        <f>IF(AND(COUNT(BV190,CC190,CD190)=3,MIN(BV190,CC190,CD190)&gt;=0),BV190*CC190*CD190,"")</f>
        <v>5.059525112227393</v>
      </c>
      <c r="CF190" s="11" t="n">
        <f>IF(ISNUMBER(BQ190),BQ190,"")</f>
        <v>1.0030167116538329</v>
      </c>
      <c r="CG190" s="14" t="n">
        <f>IF(ISNUMBER(BU190),BU190,"")</f>
        <v>17</v>
      </c>
      <c r="CH190" s="13" t="n">
        <f>IF(AND(COUNT(BV190,CF190,CG190)=3,MIN(BV190,CF190,CG190)&gt;=0),BV190*CF190*CG190,"")</f>
        <v>3.5242333158439316</v>
      </c>
      <c r="CI190" s="13" t="n">
        <f>IF(COUNT(BY190,CB190,CE190,CH190)=4,SUM(BY190,CB190,CE190,CH190),"")</f>
        <v>16.29649425987087</v>
      </c>
    </row>
    <row r="191" ht="72" customHeight="1">
      <c r="A191" s="16" t="str">
        <v>1S01-TN-38</v>
      </c>
      <c r="B191" s="16" t="str">
        <v>3店-SANDIEX-US</v>
      </c>
      <c r="C191" s="16" t="str">
        <v>徐新怡</v>
      </c>
      <c r="D191" s="26" t="n">
        <f>IF(NOT(ISNUMBER(E191)),"",IF(OR(E191&lt;=0,L191=0),0,IF(OR(NOT(ISNUMBER(F191)),F191&lt;0),"",MIN(E191,INT(F191)))))</f>
        <v>2</v>
      </c>
      <c r="E191" s="27" t="n">
        <f>IF(OR(NOT(ISNUMBER(L191)),COUNT(M191:O191)&lt;&gt;3,MIN(M191:O191)&lt;0),"",ROUNDUP(ROUND(BI191-SUM(M191:O191),10),0))</f>
        <v>7</v>
      </c>
      <c r="F191" s="28" t="n">
        <v>2</v>
      </c>
      <c r="G191" s="28" t="n">
        <f>IF(AND(ISNUMBER(D191),ISNUMBER(E191)),IF(OR(E191&lt;=0,L191=0),0,E191-D191),"")</f>
        <v>5</v>
      </c>
      <c r="H191" s="16" t="str">
        <f>IF(NOT(ISNUMBER(E191)),"销量或海外库存待补",IF(OR(E191&lt;=0,L191=0),IF(L191=0,"零日销，本批不发","本批无需补货"),IF(NOT(ISNUMBER(D191)),"国内库存待补",IF(D191=0,"国内无可用库存",IF(G191&gt;0,"先发国内现货","按建议量发货")))))</f>
        <v>先发国内现货</v>
      </c>
      <c r="I191" s="28" t="n">
        <f>IF(AND(COUNT(Z191,AA191,AB191)=3,Z191&gt;=AA191,AA191&gt;=0,AB191=7),Z191-AA191,"")</f>
        <v>0</v>
      </c>
      <c r="J191" s="28" t="n">
        <f>IF(AND(COUNT(AF191,AG191,AH191)=3,AF191&gt;=AG191,AG191&gt;=0,AH191=14),AF191-AG191,"")</f>
        <v>0</v>
      </c>
      <c r="K191" s="28" t="n">
        <f>IF(AND(COUNT(AL191,AM191,AN191)=3,AL191&gt;=AM191,AM191&gt;=0,AN191=30),AL191-AM191,"")</f>
        <v>1</v>
      </c>
      <c r="L191" s="29" t="n">
        <f>IF(ISNUMBER(BI191),BI191/90,"")</f>
        <v>0.06681444722099666</v>
      </c>
      <c r="M191" s="28" t="n">
        <v>0</v>
      </c>
      <c r="N191" s="28" t="n">
        <v>0</v>
      </c>
      <c r="O191" s="28" t="n">
        <v>0</v>
      </c>
      <c r="P191" s="30" t="n">
        <f>IF(AND(ISNUMBER(L191),L191&gt;0,COUNT(M191:O191)=3,MIN(M191:O191)&gt;=0),SUM(M191:O191)/L191,"")</f>
        <v>0</v>
      </c>
      <c r="Q191" s="16" t="str">
        <v>沿用原计划SKU店铺</v>
      </c>
      <c r="R191" s="16" t="str">
        <v>已匹配</v>
      </c>
      <c r="S191" s="16" t="str">
        <v>停售</v>
      </c>
      <c r="T191" s="16" t="str">
        <v>1S01</v>
      </c>
      <c r="U191" s="16" t="str">
        <v>驼色</v>
      </c>
      <c r="V191" s="16" t="n">
        <v>7</v>
      </c>
      <c r="W191" s="8" t="str">
        <v>2026-10-08 至 2026-10-17</v>
      </c>
      <c r="X191" s="8" t="str">
        <v>2026-10-08、2026-10-09、2026-10-10、2026-10-11、2026-10-14、2026-10-15、2026-10-17</v>
      </c>
      <c r="Y191" s="8" t="str">
        <v>2026-10-12 有记录的停售日；2026-10-13 有记录的停售日；2026-10-16 有记录的停售日</v>
      </c>
      <c r="Z191" s="8" t="n">
        <v>0</v>
      </c>
      <c r="AA191" s="8" t="n">
        <v>0</v>
      </c>
      <c r="AB191" s="8" t="n">
        <v>7</v>
      </c>
      <c r="AC191" s="8" t="str">
        <v>2026-09-29 至 2026-10-17</v>
      </c>
      <c r="AD191" s="8" t="str">
        <v>2026-09-29、2026-09-30、2026-10-01、2026-10-02、2026-10-03、2026-10-04、2026-10-05、2026-10-08、2026-10-09、2026-10-10、2026-10-11、2026-10-14、2026-10-15、2026-10-17</v>
      </c>
      <c r="AE191" s="8" t="str">
        <v>2026-10-06 大促；2026-10-07 大促；2026-10-12 有记录的停售日；2026-10-13 有记录的停售日；2026-10-16 有记录的停售日</v>
      </c>
      <c r="AF191" s="8" t="n">
        <v>0</v>
      </c>
      <c r="AG191" s="8" t="n">
        <v>0</v>
      </c>
      <c r="AH191" s="8" t="n">
        <v>14</v>
      </c>
      <c r="AI191" s="8" t="str">
        <v>2026-09-13 至 2026-10-17</v>
      </c>
      <c r="AJ19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91" s="8" t="str">
        <v>2026-10-06 大促；2026-10-07 大促；2026-10-12 有记录的停售日；2026-10-13 有记录的停售日；2026-10-16 有记录的停售日</v>
      </c>
      <c r="AL191" s="8" t="n">
        <v>1</v>
      </c>
      <c r="AM191" s="8" t="n">
        <v>0</v>
      </c>
      <c r="AN191" s="8" t="n">
        <v>30</v>
      </c>
      <c r="AO191" s="8" t="str">
        <v>1S01 / 驼色羊京绒 / 6574</v>
      </c>
      <c r="AP191" s="11" t="n">
        <v>0.8729500662042875</v>
      </c>
      <c r="AQ191" s="11" t="n">
        <v>0.9355747145678367</v>
      </c>
      <c r="AR191" s="11" t="n">
        <v>1.135973589331194</v>
      </c>
      <c r="AS191" s="11" t="n">
        <f>IF(AND(COUNT(I191:K191,AP191:AR191)=6,MIN(AP191:AR191)&gt;0),I191/7/AP191*0.5+J191/14/AQ191*0.3+K191/30/AR191*0.2,"")</f>
        <v>0.005868681040896097</v>
      </c>
      <c r="AT191" s="8" t="n">
        <v>4</v>
      </c>
      <c r="AU191" s="8" t="n">
        <v>0</v>
      </c>
      <c r="AV191" s="8" t="n">
        <v>85</v>
      </c>
      <c r="AW191" s="11" t="n">
        <f>IF(AND(COUNT(AT191:AV191)=3,AT191&gt;=AU191,AU191&gt;=0,AV191&gt;0),(AT191-AU191)/AV191,"")</f>
        <v>0.047058823529411764</v>
      </c>
      <c r="AX191" s="8" t="n">
        <v>8</v>
      </c>
      <c r="AY191" s="8" t="n">
        <v>0</v>
      </c>
      <c r="AZ191" s="8" t="n">
        <v>175</v>
      </c>
      <c r="BA191" s="11" t="n">
        <f>IF(AND(COUNT(AX191:AZ191)=3,AX191&gt;=AY191,AY191&gt;=0,AZ191&gt;0),(AX191-AY191)/AZ191,"")</f>
        <v>0.045714285714285714</v>
      </c>
      <c r="BB191" s="8" t="n">
        <f>IF(COUNT(AS191,AW191,BA191)=3,1,0)</f>
        <v>1</v>
      </c>
      <c r="BC191" s="11" t="n">
        <f>IF(SUMIF($AO$11:$AO$1309,AO191,$BB$11:$BB$1309)=COUNTIF($AO$11:$AO$1309,AO191),SUMIF($AO$11:$AO$1309,AO191,$AS$11:$AS$1309),"")</f>
        <v>1.6617039653335794</v>
      </c>
      <c r="BD191" s="11" t="n">
        <f>IF(SUMIF($AO$11:$AO$1309,AO191,$BB$11:$BB$1309)=COUNTIF($AO$11:$AO$1309,AO191),SUMIF($AO$11:$AO$1309,AO191,$AW$11:$AW$1309),"")</f>
        <v>0.8879679144385026</v>
      </c>
      <c r="BE191" s="11" t="n">
        <f>IF(SUMIF($AO$11:$AO$1309,AO191,$BB$11:$BB$1309)=COUNTIF($AO$11:$AO$1309,AO191),SUMIF($AO$11:$AO$1309,AO191,$BA$11:$BA$1309),"")</f>
        <v>0.7032102728731942</v>
      </c>
      <c r="BF191" s="12" t="n">
        <f>IF(COUNT(BD191:BE191)&lt;&gt;2,"",IF(AND(BD191&gt;0,BE191&gt;0),0.7*AW191/BD191+0.3*BA191/BE191,IF(BD191&gt;0,AW191/BD191,IF(BE191&gt;0,BA191/BE191,IF(AND(ISNUMBER(BH191),BH191=0),0,"")))))</f>
        <v>0.056599656574566705</v>
      </c>
      <c r="BG191" s="11" t="n">
        <f>IF(AND(COUNT(BN191:BU191)=8,MIN(BN191:BU191)&gt;=0),SUMPRODUCT(BN191:BQ191,BR191:BU191),"")</f>
        <v>63.935996265425516</v>
      </c>
      <c r="BH191" s="11" t="n">
        <f>IF(COUNT(BC191,BG191)=2,BC191*BG191,"")</f>
        <v>106.24269852181051</v>
      </c>
      <c r="BI191" s="11" t="n">
        <f>IF(ISNUMBER(CI191),CI191,"")</f>
        <v>6.0133002498897</v>
      </c>
      <c r="BJ191" s="8" t="str"/>
      <c r="BK191" s="8" t="str">
        <v>90天：2026-07-20 至 2026-10-17；180天：2026-04-21 至 2026-10-17</v>
      </c>
      <c r="BL191" s="8" t="str">
        <v>90天：2026-10-06、2026-10-07、2026-10-12、2026-10-13、2026-10-16；180天：2026-10-06、2026-10-07、2026-10-12、2026-10-13、2026-10-16</v>
      </c>
      <c r="BM191" s="8" t="str">
        <v>2026-10：12天 × 0.8729500662042875；2026-11：30天 × 0.8057375774163482；2026-12：31天 × 0.532550303142279；2027-01：17天 × 0.7517299265337036</v>
      </c>
      <c r="BN191" s="11" t="n">
        <v>0.8729500662042875</v>
      </c>
      <c r="BO191" s="11" t="n">
        <v>0.8057375774163482</v>
      </c>
      <c r="BP191" s="11" t="n">
        <v>0.532550303142279</v>
      </c>
      <c r="BQ191" s="11" t="n">
        <v>0.7517299265337036</v>
      </c>
      <c r="BR191" s="8" t="n">
        <v>12</v>
      </c>
      <c r="BS191" s="8" t="n">
        <v>30</v>
      </c>
      <c r="BT191" s="8" t="n">
        <v>31</v>
      </c>
      <c r="BU191" s="8" t="n">
        <v>17</v>
      </c>
      <c r="BV191" s="11" t="n">
        <f>IF(COUNT(BC191,BF191)=2,BC191*BF191,"")</f>
        <v>0.0940518737664763</v>
      </c>
      <c r="BW191" s="11" t="n">
        <f>IF(ISNUMBER(BN191),BN191,"")</f>
        <v>0.8729500662042875</v>
      </c>
      <c r="BX191" s="14" t="n">
        <f>IF(ISNUMBER(BR191),BR191,"")</f>
        <v>12</v>
      </c>
      <c r="BY191" s="13" t="n">
        <f>IF(AND(COUNT(BV191,BW191,BX191)=3,MIN(BV191,BW191,BX191)&gt;=0),BV191*BW191*BX191,"")</f>
        <v>0.9852310731729932</v>
      </c>
      <c r="BZ191" s="11" t="n">
        <f>IF(ISNUMBER(BO191),BO191,"")</f>
        <v>0.8057375774163482</v>
      </c>
      <c r="CA191" s="14" t="n">
        <f>IF(ISNUMBER(BS191),BS191,"")</f>
        <v>30</v>
      </c>
      <c r="CB191" s="13" t="n">
        <f>IF(AND(COUNT(BV191,BZ191,CA191)=3,MIN(BV191,BZ191,CA191)&gt;=0),BV191*BZ191*CA191,"")</f>
        <v>2.2734338676020642</v>
      </c>
      <c r="CC191" s="11" t="n">
        <f>IF(ISNUMBER(BP191),BP191,"")</f>
        <v>0.532550303142279</v>
      </c>
      <c r="CD191" s="14" t="n">
        <f>IF(ISNUMBER(BT191),BT191,"")</f>
        <v>31</v>
      </c>
      <c r="CE191" s="13" t="n">
        <f>IF(AND(COUNT(BV191,CC191,CD191)=3,MIN(BV191,CC191,CD191)&gt;=0),BV191*CC191*CD191,"")</f>
        <v>1.5527079704485256</v>
      </c>
      <c r="CF191" s="11" t="n">
        <f>IF(ISNUMBER(BQ191),BQ191,"")</f>
        <v>0.7517299265337036</v>
      </c>
      <c r="CG191" s="14" t="n">
        <f>IF(ISNUMBER(BU191),BU191,"")</f>
        <v>17</v>
      </c>
      <c r="CH191" s="13" t="n">
        <f>IF(AND(COUNT(BV191,CF191,CG191)=3,MIN(BV191,CF191,CG191)&gt;=0),BV191*CF191*CG191,"")</f>
        <v>1.2019273386661167</v>
      </c>
      <c r="CI191" s="13" t="n">
        <f>IF(COUNT(BY191,CB191,CE191,CH191)=4,SUM(BY191,CB191,CE191,CH191),"")</f>
        <v>6.0133002498897</v>
      </c>
    </row>
    <row r="192" ht="72" customHeight="1">
      <c r="A192" s="16" t="str">
        <v>1S01-LMN-42-FX</v>
      </c>
      <c r="B192" s="16" t="str">
        <v>3店-SANDIEX-US</v>
      </c>
      <c r="C192" s="16" t="str">
        <v>徐新怡</v>
      </c>
      <c r="D192" s="26" t="n">
        <f>IF(NOT(ISNUMBER(E192)),"",IF(OR(E192&lt;=0,L192=0),0,IF(OR(NOT(ISNUMBER(F192)),F192&lt;0),"",MIN(E192,INT(F192)))))</f>
        <v>2</v>
      </c>
      <c r="E192" s="27" t="n">
        <f>IF(OR(NOT(ISNUMBER(L192)),COUNT(M192:O192)&lt;&gt;3,MIN(M192:O192)&lt;0),"",ROUNDUP(ROUND(BI192-SUM(M192:O192),10),0))</f>
        <v>5</v>
      </c>
      <c r="F192" s="28" t="n">
        <v>2</v>
      </c>
      <c r="G192" s="28" t="n">
        <f>IF(AND(ISNUMBER(D192),ISNUMBER(E192)),IF(OR(E192&lt;=0,L192=0),0,E192-D192),"")</f>
        <v>3</v>
      </c>
      <c r="H192" s="16" t="str">
        <f>IF(NOT(ISNUMBER(E192)),"销量或海外库存待补",IF(OR(E192&lt;=0,L192=0),IF(L192=0,"零日销，本批不发","本批无需补货"),IF(NOT(ISNUMBER(D192)),"国内库存待补",IF(D192=0,"国内无可用库存",IF(G192&gt;0,"先发国内现货","按建议量发货")))))</f>
        <v>先发国内现货</v>
      </c>
      <c r="I192" s="28" t="n">
        <f>IF(AND(COUNT(Z192,AA192,AB192)=3,Z192&gt;=AA192,AA192&gt;=0,AB192=7),Z192-AA192,"")</f>
        <v>0</v>
      </c>
      <c r="J192" s="28" t="n">
        <f>IF(AND(COUNT(AF192,AG192,AH192)=3,AF192&gt;=AG192,AG192&gt;=0,AH192=14),AF192-AG192,"")</f>
        <v>0</v>
      </c>
      <c r="K192" s="28" t="n">
        <f>IF(AND(COUNT(AL192,AM192,AN192)=3,AL192&gt;=AM192,AM192&gt;=0,AN192=30),AL192-AM192,"")</f>
        <v>0</v>
      </c>
      <c r="L192" s="29" t="n">
        <f>IF(ISNUMBER(BI192),BI192/90,"")</f>
        <v>0.04860110986060753</v>
      </c>
      <c r="M192" s="28" t="n">
        <v>0</v>
      </c>
      <c r="N192" s="28" t="n">
        <v>0</v>
      </c>
      <c r="O192" s="28" t="n">
        <v>0</v>
      </c>
      <c r="P192" s="30" t="n">
        <f>IF(AND(ISNUMBER(L192),L192&gt;0,COUNT(M192:O192)=3,MIN(M192:O192)&gt;=0),SUM(M192:O192)/L192,"")</f>
        <v>0</v>
      </c>
      <c r="Q192" s="16" t="str">
        <v>沿用原计划SKU店铺</v>
      </c>
      <c r="R192" s="16" t="str">
        <v>已匹配</v>
      </c>
      <c r="S192" s="16" t="str">
        <v>停售</v>
      </c>
      <c r="T192" s="16" t="str">
        <v>1S01</v>
      </c>
      <c r="U192" s="16" t="str">
        <v>豹纹</v>
      </c>
      <c r="V192" s="16" t="n">
        <v>11</v>
      </c>
      <c r="W192" s="8" t="str">
        <v>2026-10-08 至 2026-10-17</v>
      </c>
      <c r="X192" s="8" t="str">
        <v>2026-10-08、2026-10-09、2026-10-10、2026-10-11、2026-10-14、2026-10-15、2026-10-17</v>
      </c>
      <c r="Y192" s="8" t="str">
        <v>2026-10-12 有记录的停售日；2026-10-13 有记录的停售日；2026-10-16 有记录的停售日</v>
      </c>
      <c r="Z192" s="8" t="n">
        <v>0</v>
      </c>
      <c r="AA192" s="8" t="n">
        <v>0</v>
      </c>
      <c r="AB192" s="8" t="n">
        <v>7</v>
      </c>
      <c r="AC192" s="8" t="str">
        <v>2026-09-29 至 2026-10-17</v>
      </c>
      <c r="AD192" s="8" t="str">
        <v>2026-09-29、2026-09-30、2026-10-01、2026-10-02、2026-10-03、2026-10-04、2026-10-05、2026-10-08、2026-10-09、2026-10-10、2026-10-11、2026-10-14、2026-10-15、2026-10-17</v>
      </c>
      <c r="AE192" s="8" t="str">
        <v>2026-10-06 大促；2026-10-07 大促；2026-10-12 有记录的停售日；2026-10-13 有记录的停售日；2026-10-16 有记录的停售日</v>
      </c>
      <c r="AF192" s="8" t="n">
        <v>0</v>
      </c>
      <c r="AG192" s="8" t="n">
        <v>0</v>
      </c>
      <c r="AH192" s="8" t="n">
        <v>14</v>
      </c>
      <c r="AI192" s="8" t="str">
        <v>2026-09-13 至 2026-10-17</v>
      </c>
      <c r="AJ1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92" s="8" t="str">
        <v>2026-10-06 大促；2026-10-07 大促；2026-10-12 有记录的停售日；2026-10-13 有记录的停售日；2026-10-16 有记录的停售日</v>
      </c>
      <c r="AL192" s="8" t="n">
        <v>0</v>
      </c>
      <c r="AM192" s="8" t="n">
        <v>0</v>
      </c>
      <c r="AN192" s="8" t="n">
        <v>30</v>
      </c>
      <c r="AO192" s="8" t="str">
        <v>1S01 / 豹纹羊京绒 / 6574</v>
      </c>
      <c r="AP192" s="11" t="n">
        <v>0.8729500662042875</v>
      </c>
      <c r="AQ192" s="11" t="n">
        <v>0.9355747145678367</v>
      </c>
      <c r="AR192" s="11" t="n">
        <v>1.135973589331194</v>
      </c>
      <c r="AS192" s="11" t="n">
        <f>IF(AND(COUNT(I192:K192,AP192:AR192)=6,MIN(AP192:AR192)&gt;0),I192/7/AP192*0.5+J192/14/AQ192*0.3+K192/30/AR192*0.2,"")</f>
        <v>0</v>
      </c>
      <c r="AT192" s="8" t="n">
        <v>2</v>
      </c>
      <c r="AU192" s="8" t="n">
        <v>0</v>
      </c>
      <c r="AV192" s="8" t="n">
        <v>85</v>
      </c>
      <c r="AW192" s="11" t="n">
        <f>IF(AND(COUNT(AT192:AV192)=3,AT192&gt;=AU192,AU192&gt;=0,AV192&gt;0),(AT192-AU192)/AV192,"")</f>
        <v>0.023529411764705882</v>
      </c>
      <c r="AX192" s="8" t="n">
        <v>10</v>
      </c>
      <c r="AY192" s="8" t="n">
        <v>0</v>
      </c>
      <c r="AZ192" s="8" t="n">
        <v>175</v>
      </c>
      <c r="BA192" s="11" t="n">
        <f>IF(AND(COUNT(AX192:AZ192)=3,AX192&gt;=AY192,AY192&gt;=0,AZ192&gt;0),(AX192-AY192)/AZ192,"")</f>
        <v>0.05714285714285714</v>
      </c>
      <c r="BB192" s="8" t="n">
        <f>IF(COUNT(AS192,AW192,BA192)=3,1,0)</f>
        <v>1</v>
      </c>
      <c r="BC192" s="11" t="n">
        <f>IF(SUMIF($AO$11:$AO$1309,AO192,$BB$11:$BB$1309)=COUNTIF($AO$11:$AO$1309,AO192),SUMIF($AO$11:$AO$1309,AO192,$AS$11:$AS$1309),"")</f>
        <v>2.9367051066815764</v>
      </c>
      <c r="BD192" s="11" t="n">
        <f>IF(SUMIF($AO$11:$AO$1309,AO192,$BB$11:$BB$1309)=COUNTIF($AO$11:$AO$1309,AO192),SUMIF($AO$11:$AO$1309,AO192,$AW$11:$AW$1309),"")</f>
        <v>1.6598930481283423</v>
      </c>
      <c r="BE192" s="11" t="n">
        <f>IF(SUMIF($AO$11:$AO$1309,AO192,$BB$11:$BB$1309)=COUNTIF($AO$11:$AO$1309,AO192),SUMIF($AO$11:$AO$1309,AO192,$BA$11:$BA$1309),"")</f>
        <v>1.2818619582664526</v>
      </c>
      <c r="BF192" s="12" t="n">
        <f>IF(COUNT(BD192:BE192)&lt;&gt;2,"",IF(AND(BD192&gt;0,BE192&gt;0),0.7*AW192/BD192+0.3*BA192/BE192,IF(BD192&gt;0,AW192/BD192,IF(BE192&gt;0,BA192/BE192,IF(AND(ISNUMBER(BH192),BH192=0),0,"")))))</f>
        <v>0.023296083868419214</v>
      </c>
      <c r="BG192" s="11" t="n">
        <f>IF(AND(COUNT(BN192:BU192)=8,MIN(BN192:BU192)&gt;=0),SUMPRODUCT(BN192:BQ192,BR192:BU192),"")</f>
        <v>63.935996265425516</v>
      </c>
      <c r="BH192" s="11" t="n">
        <f>IF(COUNT(BC192,BG192)=2,BC192*BG192,"")</f>
        <v>187.7611667334493</v>
      </c>
      <c r="BI192" s="11" t="n">
        <f>IF(ISNUMBER(CI192),CI192,"")</f>
        <v>4.374099887454678</v>
      </c>
      <c r="BJ192" s="8" t="str"/>
      <c r="BK192" s="8" t="str">
        <v>90天：2026-07-20 至 2026-10-17；180天：2026-04-21 至 2026-10-17</v>
      </c>
      <c r="BL192" s="8" t="str">
        <v>90天：2026-10-06、2026-10-07、2026-10-12、2026-10-13、2026-10-16；180天：2026-10-06、2026-10-07、2026-10-12、2026-10-13、2026-10-16</v>
      </c>
      <c r="BM192" s="8" t="str">
        <v>2026-10：12天 × 0.8729500662042875；2026-11：30天 × 0.8057375774163482；2026-12：31天 × 0.532550303142279；2027-01：17天 × 0.7517299265337036</v>
      </c>
      <c r="BN192" s="11" t="n">
        <v>0.8729500662042875</v>
      </c>
      <c r="BO192" s="11" t="n">
        <v>0.8057375774163482</v>
      </c>
      <c r="BP192" s="11" t="n">
        <v>0.532550303142279</v>
      </c>
      <c r="BQ192" s="11" t="n">
        <v>0.7517299265337036</v>
      </c>
      <c r="BR192" s="8" t="n">
        <v>12</v>
      </c>
      <c r="BS192" s="8" t="n">
        <v>30</v>
      </c>
      <c r="BT192" s="8" t="n">
        <v>31</v>
      </c>
      <c r="BU192" s="8" t="n">
        <v>17</v>
      </c>
      <c r="BV192" s="11" t="n">
        <f>IF(COUNT(BC192,BF192)=2,BC192*BF192,"")</f>
        <v>0.068413728462069</v>
      </c>
      <c r="BW192" s="11" t="n">
        <f>IF(ISNUMBER(BN192),BN192,"")</f>
        <v>0.8729500662042875</v>
      </c>
      <c r="BX192" s="14" t="n">
        <f>IF(ISNUMBER(BR192),BR192,"")</f>
        <v>12</v>
      </c>
      <c r="BY192" s="13" t="n">
        <f>IF(AND(COUNT(BV192,BW192,BX192)=3,MIN(BV192,BW192,BX192)&gt;=0),BV192*BW192*BX192,"")</f>
        <v>0.7166612254829434</v>
      </c>
      <c r="BZ192" s="11" t="n">
        <f>IF(ISNUMBER(BO192),BO192,"")</f>
        <v>0.8057375774163482</v>
      </c>
      <c r="CA192" s="14" t="n">
        <f>IF(ISNUMBER(BS192),BS192,"")</f>
        <v>30</v>
      </c>
      <c r="CB192" s="13" t="n">
        <f>IF(AND(COUNT(BV192,BZ192,CA192)=3,MIN(BV192,BZ192,CA192)&gt;=0),BV192*BZ192*CA192,"")</f>
        <v>1.6537053549914205</v>
      </c>
      <c r="CC192" s="11" t="n">
        <f>IF(ISNUMBER(BP192),BP192,"")</f>
        <v>0.532550303142279</v>
      </c>
      <c r="CD192" s="14" t="n">
        <f>IF(ISNUMBER(BT192),BT192,"")</f>
        <v>31</v>
      </c>
      <c r="CE192" s="13" t="n">
        <f>IF(AND(COUNT(BV192,CC192,CD192)=3,MIN(BV192,CC192,CD192)&gt;=0),BV192*CC192*CD192,"")</f>
        <v>1.1294463067786207</v>
      </c>
      <c r="CF192" s="11" t="n">
        <f>IF(ISNUMBER(BQ192),BQ192,"")</f>
        <v>0.7517299265337036</v>
      </c>
      <c r="CG192" s="14" t="n">
        <f>IF(ISNUMBER(BU192),BU192,"")</f>
        <v>17</v>
      </c>
      <c r="CH192" s="13" t="n">
        <f>IF(AND(COUNT(BV192,CF192,CG192)=3,MIN(BV192,CF192,CG192)&gt;=0),BV192*CF192*CG192,"")</f>
        <v>0.8742870002016939</v>
      </c>
      <c r="CI192" s="13" t="n">
        <f>IF(COUNT(BY192,CB192,CE192,CH192)=4,SUM(BY192,CB192,CE192,CH192),"")</f>
        <v>4.374099887454678</v>
      </c>
    </row>
    <row r="193" ht="72" customHeight="1">
      <c r="A193" s="16" t="str">
        <v>1S01-BEP-41</v>
      </c>
      <c r="B193" s="16" t="str">
        <v>3店-SANDIEX-US</v>
      </c>
      <c r="C193" s="16" t="str">
        <v>徐新怡</v>
      </c>
      <c r="D193" s="26" t="n">
        <f>IF(NOT(ISNUMBER(E193)),"",IF(OR(E193&lt;=0,L193=0),0,IF(OR(NOT(ISNUMBER(F193)),F193&lt;0),"",MIN(E193,INT(F193)))))</f>
        <v>2</v>
      </c>
      <c r="E193" s="27" t="n">
        <f>IF(OR(NOT(ISNUMBER(L193)),COUNT(M193:O193)&lt;&gt;3,MIN(M193:O193)&lt;0),"",ROUNDUP(ROUND(BI193-SUM(M193:O193),10),0))</f>
        <v>3</v>
      </c>
      <c r="F193" s="28" t="n">
        <v>2</v>
      </c>
      <c r="G193" s="28" t="n">
        <f>IF(AND(ISNUMBER(D193),ISNUMBER(E193)),IF(OR(E193&lt;=0,L193=0),0,E193-D193),"")</f>
        <v>1</v>
      </c>
      <c r="H193" s="16" t="str">
        <f>IF(NOT(ISNUMBER(E193)),"销量或海外库存待补",IF(OR(E193&lt;=0,L193=0),IF(L193=0,"零日销，本批不发","本批无需补货"),IF(NOT(ISNUMBER(D193)),"国内库存待补",IF(D193=0,"国内无可用库存",IF(G193&gt;0,"先发国内现货","按建议量发货")))))</f>
        <v>先发国内现货</v>
      </c>
      <c r="I193" s="28" t="n">
        <f>IF(AND(COUNT(Z193,AA193,AB193)=3,Z193&gt;=AA193,AA193&gt;=0,AB193=7),Z193-AA193,"")</f>
        <v>4</v>
      </c>
      <c r="J193" s="28" t="n">
        <f>IF(AND(COUNT(AF193,AG193,AH193)=3,AF193&gt;=AG193,AG193&gt;=0,AH193=14),AF193-AG193,"")</f>
        <v>6</v>
      </c>
      <c r="K193" s="28" t="n">
        <f>IF(AND(COUNT(AL193,AM193,AN193)=3,AL193&gt;=AM193,AM193&gt;=0,AN193=30),AL193-AM193,"")</f>
        <v>11</v>
      </c>
      <c r="L193" s="29" t="n">
        <f>IF(ISNUMBER(BI193),BI193/90,"")</f>
        <v>0.2711351857261986</v>
      </c>
      <c r="M193" s="28" t="n">
        <v>22</v>
      </c>
      <c r="N193" s="28" t="n">
        <v>0</v>
      </c>
      <c r="O193" s="28" t="n">
        <v>0</v>
      </c>
      <c r="P193" s="30" t="n">
        <f>IF(AND(ISNUMBER(L193),L193&gt;0,COUNT(M193:O193)=3,MIN(M193:O193)&gt;=0),SUM(M193:O193)/L193,"")</f>
        <v>81.14033573723013</v>
      </c>
      <c r="Q193" s="16" t="str">
        <v>沿用原计划SKU店铺</v>
      </c>
      <c r="R193" s="16" t="str">
        <v>已匹配</v>
      </c>
      <c r="S193" s="16" t="str">
        <v>在售</v>
      </c>
      <c r="T193" s="16" t="str">
        <v>1S01</v>
      </c>
      <c r="U193" s="16" t="str">
        <v>牛仔蓝</v>
      </c>
      <c r="V193" s="16" t="n">
        <v>10</v>
      </c>
      <c r="W193" s="8" t="str">
        <v>2026-10-11 至 2026-10-17</v>
      </c>
      <c r="X193" s="8" t="str">
        <v>2026-10-11、2026-10-12、2026-10-13、2026-10-14、2026-10-15、2026-10-16、2026-10-17</v>
      </c>
      <c r="Y193" s="8" t="str">
        <v>无</v>
      </c>
      <c r="Z193" s="8" t="n">
        <v>4</v>
      </c>
      <c r="AA193" s="8" t="n">
        <v>0</v>
      </c>
      <c r="AB193" s="8" t="n">
        <v>7</v>
      </c>
      <c r="AC193" s="8" t="str">
        <v>2026-10-02 至 2026-10-17</v>
      </c>
      <c r="AD193" s="8" t="str">
        <v>2026-10-02、2026-10-03、2026-10-04、2026-10-05、2026-10-08、2026-10-09、2026-10-10、2026-10-11、2026-10-12、2026-10-13、2026-10-14、2026-10-15、2026-10-16、2026-10-17</v>
      </c>
      <c r="AE193" s="8" t="str">
        <v>2026-10-06 大促；2026-10-07 大促</v>
      </c>
      <c r="AF193" s="8" t="n">
        <v>7</v>
      </c>
      <c r="AG193" s="8" t="n">
        <v>1</v>
      </c>
      <c r="AH193" s="8" t="n">
        <v>14</v>
      </c>
      <c r="AI193" s="8" t="str">
        <v>2026-09-16 至 2026-10-17</v>
      </c>
      <c r="AJ1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3" s="8" t="str">
        <v>2026-10-06 大促；2026-10-07 大促</v>
      </c>
      <c r="AL193" s="8" t="n">
        <v>12</v>
      </c>
      <c r="AM193" s="8" t="n">
        <v>1</v>
      </c>
      <c r="AN193" s="8" t="n">
        <v>30</v>
      </c>
      <c r="AO193" s="8" t="str">
        <v>1S01 / 牛仔蓝PU / 6574</v>
      </c>
      <c r="AP193" s="11" t="n">
        <v>0.8729500662042875</v>
      </c>
      <c r="AQ193" s="11" t="n">
        <v>0.8729500662042875</v>
      </c>
      <c r="AR193" s="11" t="n">
        <v>1.0921363354767095</v>
      </c>
      <c r="AS193" s="11" t="n">
        <f>IF(AND(COUNT(I193:K193,AP193:AR193)=6,MIN(AP193:AR193)&gt;0),I193/7/AP193*0.5+J193/14/AQ193*0.3+K193/30/AR193*0.2,"")</f>
        <v>0.5417279118029432</v>
      </c>
      <c r="AT193" s="8" t="n">
        <v>18</v>
      </c>
      <c r="AU193" s="8" t="n">
        <v>1</v>
      </c>
      <c r="AV193" s="8" t="n">
        <v>88</v>
      </c>
      <c r="AW193" s="11" t="n">
        <f>IF(AND(COUNT(AT193:AV193)=3,AT193&gt;=AU193,AU193&gt;=0,AV193&gt;0),(AT193-AU193)/AV193,"")</f>
        <v>0.19318181818181818</v>
      </c>
      <c r="AX193" s="8" t="n">
        <v>34</v>
      </c>
      <c r="AY193" s="8" t="n">
        <v>1</v>
      </c>
      <c r="AZ193" s="8" t="n">
        <v>178</v>
      </c>
      <c r="BA193" s="11" t="n">
        <f>IF(AND(COUNT(AX193:AZ193)=3,AX193&gt;=AY193,AY193&gt;=0,AZ193&gt;0),(AX193-AY193)/AZ193,"")</f>
        <v>0.1853932584269663</v>
      </c>
      <c r="BB193" s="8" t="n">
        <f>IF(COUNT(AS193,AW193,BA193)=3,1,0)</f>
        <v>1</v>
      </c>
      <c r="BC193" s="11" t="n">
        <f>IF(SUMIF($AO$11:$AO$1309,AO193,$BB$11:$BB$1309)=COUNTIF($AO$11:$AO$1309,AO193),SUMIF($AO$11:$AO$1309,AO193,$AS$11:$AS$1309),"")</f>
        <v>1.0895600676000732</v>
      </c>
      <c r="BD193" s="11" t="n">
        <f>IF(SUMIF($AO$11:$AO$1309,AO193,$BB$11:$BB$1309)=COUNTIF($AO$11:$AO$1309,AO193),SUMIF($AO$11:$AO$1309,AO193,$AW$11:$AW$1309),"")</f>
        <v>0.5</v>
      </c>
      <c r="BE193" s="11" t="n">
        <f>IF(SUMIF($AO$11:$AO$1309,AO193,$BB$11:$BB$1309)=COUNTIF($AO$11:$AO$1309,AO193),SUMIF($AO$11:$AO$1309,AO193,$BA$11:$BA$1309),"")</f>
        <v>0.696629213483146</v>
      </c>
      <c r="BF193" s="12" t="n">
        <f>IF(COUNT(BD193:BE193)&lt;&gt;2,"",IF(AND(BD193&gt;0,BE193&gt;0),0.7*AW193/BD193+0.3*BA193/BE193,IF(BD193&gt;0,AW193/BD193,IF(BE193&gt;0,BA193/BE193,IF(AND(ISNUMBER(BH193),BH193=0),0,"")))))</f>
        <v>0.3502932551319648</v>
      </c>
      <c r="BG193" s="11" t="n">
        <f>IF(AND(COUNT(BN193:BU193)=8,MIN(BN193:BU193)&gt;=0),SUMPRODUCT(BN193:BQ193,BR193:BU193),"")</f>
        <v>63.935996265425516</v>
      </c>
      <c r="BH193" s="11" t="n">
        <f>IF(COUNT(BC193,BG193)=2,BC193*BG193,"")</f>
        <v>69.66210841303506</v>
      </c>
      <c r="BI193" s="11" t="n">
        <f>IF(ISNUMBER(CI193),CI193,"")</f>
        <v>24.402166715357875</v>
      </c>
      <c r="BJ193" s="8" t="str"/>
      <c r="BK193" s="8" t="str">
        <v>90天：2026-07-20 至 2026-10-17；180天：2026-04-21 至 2026-10-17</v>
      </c>
      <c r="BL193" s="8" t="str">
        <v>90天：2026-10-06、2026-10-07；180天：2026-10-06、2026-10-07</v>
      </c>
      <c r="BM193" s="8" t="str">
        <v>2026-10：12天 × 0.8729500662042875；2026-11：30天 × 0.8057375774163482；2026-12：31天 × 0.532550303142279；2027-01：17天 × 0.7517299265337036</v>
      </c>
      <c r="BN193" s="11" t="n">
        <v>0.8729500662042875</v>
      </c>
      <c r="BO193" s="11" t="n">
        <v>0.8057375774163482</v>
      </c>
      <c r="BP193" s="11" t="n">
        <v>0.532550303142279</v>
      </c>
      <c r="BQ193" s="11" t="n">
        <v>0.7517299265337036</v>
      </c>
      <c r="BR193" s="8" t="n">
        <v>12</v>
      </c>
      <c r="BS193" s="8" t="n">
        <v>30</v>
      </c>
      <c r="BT193" s="8" t="n">
        <v>31</v>
      </c>
      <c r="BU193" s="8" t="n">
        <v>17</v>
      </c>
      <c r="BV193" s="11" t="n">
        <f>IF(COUNT(BC193,BF193)=2,BC193*BF193,"")</f>
        <v>0.3816655427414333</v>
      </c>
      <c r="BW193" s="11" t="n">
        <f>IF(ISNUMBER(BN193),BN193,"")</f>
        <v>0.8729500662042875</v>
      </c>
      <c r="BX193" s="14" t="n">
        <f>IF(ISNUMBER(BR193),BR193,"")</f>
        <v>12</v>
      </c>
      <c r="BY193" s="13" t="n">
        <f>IF(AND(COUNT(BV193,BW193,BX193)=3,MIN(BV193,BW193,BX193)&gt;=0),BV193*BW193*BX193,"")</f>
        <v>3.9980995296483535</v>
      </c>
      <c r="BZ193" s="11" t="n">
        <f>IF(ISNUMBER(BO193),BO193,"")</f>
        <v>0.8057375774163482</v>
      </c>
      <c r="CA193" s="14" t="n">
        <f>IF(ISNUMBER(BS193),BS193,"")</f>
        <v>30</v>
      </c>
      <c r="CB193" s="13" t="n">
        <f>IF(AND(COUNT(BV193,BZ193,CA193)=3,MIN(BV193,BZ193,CA193)&gt;=0),BV193*BZ193*CA193,"")</f>
        <v>9.225668093753345</v>
      </c>
      <c r="CC193" s="11" t="n">
        <f>IF(ISNUMBER(BP193),BP193,"")</f>
        <v>0.532550303142279</v>
      </c>
      <c r="CD193" s="14" t="n">
        <f>IF(ISNUMBER(BT193),BT193,"")</f>
        <v>31</v>
      </c>
      <c r="CE193" s="13" t="n">
        <f>IF(AND(COUNT(BV193,CC193,CD193)=3,MIN(BV193,CC193,CD193)&gt;=0),BV193*CC193*CD193,"")</f>
        <v>6.300939115063295</v>
      </c>
      <c r="CF193" s="11" t="n">
        <f>IF(ISNUMBER(BQ193),BQ193,"")</f>
        <v>0.7517299265337036</v>
      </c>
      <c r="CG193" s="14" t="n">
        <f>IF(ISNUMBER(BU193),BU193,"")</f>
        <v>17</v>
      </c>
      <c r="CH193" s="13" t="n">
        <f>IF(AND(COUNT(BV193,CF193,CG193)=3,MIN(BV193,CF193,CG193)&gt;=0),BV193*CF193*CG193,"")</f>
        <v>4.877459976892884</v>
      </c>
      <c r="CI193" s="13" t="n">
        <f>IF(COUNT(BY193,CB193,CE193,CH193)=4,SUM(BY193,CB193,CE193,CH193),"")</f>
        <v>24.402166715357875</v>
      </c>
    </row>
    <row r="194" ht="72" customHeight="1">
      <c r="A194" s="16" t="str">
        <v>2302153-NY-37</v>
      </c>
      <c r="B194" s="16" t="str">
        <v>3店-SANDIEX-US</v>
      </c>
      <c r="C194" s="16" t="str">
        <v>徐新怡</v>
      </c>
      <c r="D194" s="26" t="n">
        <f>IF(NOT(ISNUMBER(E194)),"",IF(OR(E194&lt;=0,L194=0),0,IF(OR(NOT(ISNUMBER(F194)),F194&lt;0),"",MIN(E194,INT(F194)))))</f>
        <v>2</v>
      </c>
      <c r="E194" s="27" t="n">
        <f>IF(OR(NOT(ISNUMBER(L194)),COUNT(M194:O194)&lt;&gt;3,MIN(M194:O194)&lt;0),"",ROUNDUP(ROUND(BI194-SUM(M194:O194),10),0))</f>
        <v>2</v>
      </c>
      <c r="F194" s="28" t="n">
        <v>20</v>
      </c>
      <c r="G194" s="28" t="n">
        <f>IF(AND(ISNUMBER(D194),ISNUMBER(E194)),IF(OR(E194&lt;=0,L194=0),0,E194-D194),"")</f>
        <v>0</v>
      </c>
      <c r="H194" s="16" t="str">
        <f>IF(NOT(ISNUMBER(E194)),"销量或海外库存待补",IF(OR(E194&lt;=0,L194=0),IF(L194=0,"零日销，本批不发","本批无需补货"),IF(NOT(ISNUMBER(D194)),"国内库存待补",IF(D194=0,"国内无可用库存",IF(G194&gt;0,"先发国内现货","按建议量发货")))))</f>
        <v>按建议量发货</v>
      </c>
      <c r="I194" s="28" t="n">
        <f>IF(AND(COUNT(Z194,AA194,AB194)=3,Z194&gt;=AA194,AA194&gt;=0,AB194=7),Z194-AA194,"")</f>
        <v>4</v>
      </c>
      <c r="J194" s="28" t="n">
        <f>IF(AND(COUNT(AF194,AG194,AH194)=3,AF194&gt;=AG194,AG194&gt;=0,AH194=14),AF194-AG194,"")</f>
        <v>4</v>
      </c>
      <c r="K194" s="28" t="n">
        <f>IF(AND(COUNT(AL194,AM194,AN194)=3,AL194&gt;=AM194,AM194&gt;=0,AN194=30),AL194-AM194,"")</f>
        <v>6</v>
      </c>
      <c r="L194" s="29" t="n">
        <f>IF(ISNUMBER(BI194),BI194/90,"")</f>
        <v>0.12279512342775979</v>
      </c>
      <c r="M194" s="28" t="n">
        <v>10</v>
      </c>
      <c r="N194" s="28" t="n">
        <v>0</v>
      </c>
      <c r="O194" s="28" t="n">
        <v>0</v>
      </c>
      <c r="P194" s="30" t="n">
        <f>IF(AND(ISNUMBER(L194),L194&gt;0,COUNT(M194:O194)=3,MIN(M194:O194)&gt;=0),SUM(M194:O194)/L194,"")</f>
        <v>81.43645871965744</v>
      </c>
      <c r="Q194" s="16" t="str">
        <v>沿用原计划SKU店铺</v>
      </c>
      <c r="R194" s="16" t="str">
        <v>已匹配</v>
      </c>
      <c r="S194" s="16" t="str">
        <v>在售</v>
      </c>
      <c r="T194" s="16" t="str">
        <v>2302153</v>
      </c>
      <c r="U194" s="16" t="str">
        <v>藏青色</v>
      </c>
      <c r="V194" s="16" t="n">
        <v>6</v>
      </c>
      <c r="W194" s="8" t="str">
        <v>2026-10-11 至 2026-10-17</v>
      </c>
      <c r="X194" s="8" t="str">
        <v>2026-10-11、2026-10-12、2026-10-13、2026-10-14、2026-10-15、2026-10-16、2026-10-17</v>
      </c>
      <c r="Y194" s="8" t="str">
        <v>无</v>
      </c>
      <c r="Z194" s="8" t="n">
        <v>4</v>
      </c>
      <c r="AA194" s="8" t="n">
        <v>0</v>
      </c>
      <c r="AB194" s="8" t="n">
        <v>7</v>
      </c>
      <c r="AC194" s="8" t="str">
        <v>2026-10-02 至 2026-10-17</v>
      </c>
      <c r="AD194" s="8" t="str">
        <v>2026-10-02、2026-10-03、2026-10-04、2026-10-05、2026-10-08、2026-10-09、2026-10-10、2026-10-11、2026-10-12、2026-10-13、2026-10-14、2026-10-15、2026-10-16、2026-10-17</v>
      </c>
      <c r="AE194" s="8" t="str">
        <v>2026-10-06 大促；2026-10-07 大促</v>
      </c>
      <c r="AF194" s="8" t="n">
        <v>4</v>
      </c>
      <c r="AG194" s="8" t="n">
        <v>0</v>
      </c>
      <c r="AH194" s="8" t="n">
        <v>14</v>
      </c>
      <c r="AI194" s="8" t="str">
        <v>2026-09-16 至 2026-10-17</v>
      </c>
      <c r="AJ1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4" s="8" t="str">
        <v>2026-10-06 大促；2026-10-07 大促</v>
      </c>
      <c r="AL194" s="8" t="n">
        <v>6</v>
      </c>
      <c r="AM194" s="8" t="n">
        <v>0</v>
      </c>
      <c r="AN194" s="8" t="n">
        <v>30</v>
      </c>
      <c r="AO194" s="8" t="str">
        <v>2302153 / 藏青色羊京绒 / 6574</v>
      </c>
      <c r="AP194" s="11" t="n">
        <v>1.7391279184229513</v>
      </c>
      <c r="AQ194" s="11" t="n">
        <v>1.7391279184229513</v>
      </c>
      <c r="AR194" s="11" t="n">
        <v>1.5731892896917212</v>
      </c>
      <c r="AS194" s="11" t="n">
        <f>IF(AND(COUNT(I194:K194,AP194:AR194)=6,MIN(AP194:AR194)&gt;0),I194/7/AP194*0.5+J194/14/AQ194*0.3+K194/30/AR194*0.2,"")</f>
        <v>0.23899779423927245</v>
      </c>
      <c r="AT194" s="8" t="n">
        <v>13</v>
      </c>
      <c r="AU194" s="8" t="n">
        <v>0</v>
      </c>
      <c r="AV194" s="8" t="n">
        <v>88</v>
      </c>
      <c r="AW194" s="11" t="n">
        <f>IF(AND(COUNT(AT194:AV194)=3,AT194&gt;=AU194,AU194&gt;=0,AV194&gt;0),(AT194-AU194)/AV194,"")</f>
        <v>0.14772727272727273</v>
      </c>
      <c r="AX194" s="8" t="n">
        <v>15</v>
      </c>
      <c r="AY194" s="8" t="n">
        <v>0</v>
      </c>
      <c r="AZ194" s="8" t="n">
        <v>178</v>
      </c>
      <c r="BA194" s="11" t="n">
        <f>IF(AND(COUNT(AX194:AZ194)=3,AX194&gt;=AY194,AY194&gt;=0,AZ194&gt;0),(AX194-AY194)/AZ194,"")</f>
        <v>0.08426966292134831</v>
      </c>
      <c r="BB194" s="8" t="n">
        <f>IF(COUNT(AS194,AW194,BA194)=3,1,0)</f>
        <v>1</v>
      </c>
      <c r="BC194" s="11" t="n">
        <f>IF(SUMIF($AO$11:$AO$1309,AO194,$BB$11:$BB$1309)=COUNTIF($AO$11:$AO$1309,AO194),SUMIF($AO$11:$AO$1309,AO194,$AS$11:$AS$1309),"")</f>
        <v>1.647227964272497</v>
      </c>
      <c r="BD194" s="11" t="n">
        <f>IF(SUMIF($AO$11:$AO$1309,AO194,$BB$11:$BB$1309)=COUNTIF($AO$11:$AO$1309,AO194),SUMIF($AO$11:$AO$1309,AO194,$AW$11:$AW$1309),"")</f>
        <v>2.425267379679144</v>
      </c>
      <c r="BE194" s="11" t="n">
        <f>IF(SUMIF($AO$11:$AO$1309,AO194,$BB$11:$BB$1309)=COUNTIF($AO$11:$AO$1309,AO194),SUMIF($AO$11:$AO$1309,AO194,$BA$11:$BA$1309),"")</f>
        <v>1.3550882825040127</v>
      </c>
      <c r="BF194" s="12" t="n">
        <f>IF(COUNT(BD194:BE194)&lt;&gt;2,"",IF(AND(BD194&gt;0,BE194&gt;0),0.7*AW194/BD194+0.3*BA194/BE194,IF(BD194&gt;0,AW194/BD194,IF(BE194&gt;0,BA194/BE194,IF(AND(ISNUMBER(BH194),BH194=0),0,"")))))</f>
        <v>0.06129449724104449</v>
      </c>
      <c r="BG194" s="11" t="n">
        <f>IF(AND(COUNT(BN194:BU194)=8,MIN(BN194:BU194)&gt;=0),SUMPRODUCT(BN194:BQ194,BR194:BU194),"")</f>
        <v>109.4582336985339</v>
      </c>
      <c r="BH194" s="11" t="n">
        <f>IF(COUNT(BC194,BG194)=2,BC194*BG194,"")</f>
        <v>180.3026634680992</v>
      </c>
      <c r="BI194" s="11" t="n">
        <f>IF(ISNUMBER(CI194),CI194,"")</f>
        <v>11.051561108498381</v>
      </c>
      <c r="BJ194" s="8" t="str"/>
      <c r="BK194" s="8" t="str">
        <v>90天：2026-07-20 至 2026-10-17；180天：2026-04-21 至 2026-10-17</v>
      </c>
      <c r="BL194" s="8" t="str">
        <v>90天：2026-10-06、2026-10-07；180天：2026-10-06、2026-10-07</v>
      </c>
      <c r="BM194" s="8" t="str">
        <v>2026-10：12天 × 1.7391279184229513；2026-11：30天 × 1.4002077845513243；2026-12：31天 × 1.079339935625147；2027-01：17天 × 0.7719368903846591</v>
      </c>
      <c r="BN194" s="11" t="n">
        <v>1.7391279184229513</v>
      </c>
      <c r="BO194" s="11" t="n">
        <v>1.4002077845513243</v>
      </c>
      <c r="BP194" s="11" t="n">
        <v>1.079339935625147</v>
      </c>
      <c r="BQ194" s="11" t="n">
        <v>0.7719368903846591</v>
      </c>
      <c r="BR194" s="8" t="n">
        <v>12</v>
      </c>
      <c r="BS194" s="8" t="n">
        <v>30</v>
      </c>
      <c r="BT194" s="8" t="n">
        <v>31</v>
      </c>
      <c r="BU194" s="8" t="n">
        <v>17</v>
      </c>
      <c r="BV194" s="11" t="n">
        <f>IF(COUNT(BC194,BF194)=2,BC194*BF194,"")</f>
        <v>0.10096600991147191</v>
      </c>
      <c r="BW194" s="11" t="n">
        <f>IF(ISNUMBER(BN194),BN194,"")</f>
        <v>1.7391279184229513</v>
      </c>
      <c r="BX194" s="14" t="n">
        <f>IF(ISNUMBER(BR194),BR194,"")</f>
        <v>12</v>
      </c>
      <c r="BY194" s="13" t="n">
        <f>IF(AND(COUNT(BV194,BW194,BX194)=3,MIN(BV194,BW194,BX194)&gt;=0),BV194*BW194*BX194,"")</f>
        <v>2.1071136797857104</v>
      </c>
      <c r="BZ194" s="11" t="n">
        <f>IF(ISNUMBER(BO194),BO194,"")</f>
        <v>1.4002077845513243</v>
      </c>
      <c r="CA194" s="14" t="n">
        <f>IF(ISNUMBER(BS194),BS194,"")</f>
        <v>30</v>
      </c>
      <c r="CB194" s="13" t="n">
        <f>IF(AND(COUNT(BV194,BZ194,CA194)=3,MIN(BV194,BZ194,CA194)&gt;=0),BV194*BZ194*CA194,"")</f>
        <v>4.241201791593873</v>
      </c>
      <c r="CC194" s="11" t="n">
        <f>IF(ISNUMBER(BP194),BP194,"")</f>
        <v>1.079339935625147</v>
      </c>
      <c r="CD194" s="14" t="n">
        <f>IF(ISNUMBER(BT194),BT194,"")</f>
        <v>31</v>
      </c>
      <c r="CE194" s="13" t="n">
        <f>IF(AND(COUNT(BV194,CC194,CD194)=3,MIN(BV194,CC194,CD194)&gt;=0),BV194*CC194*CD194,"")</f>
        <v>3.378276045783457</v>
      </c>
      <c r="CF194" s="11" t="n">
        <f>IF(ISNUMBER(BQ194),BQ194,"")</f>
        <v>0.7719368903846591</v>
      </c>
      <c r="CG194" s="14" t="n">
        <f>IF(ISNUMBER(BU194),BU194,"")</f>
        <v>17</v>
      </c>
      <c r="CH194" s="13" t="n">
        <f>IF(AND(COUNT(BV194,CF194,CG194)=3,MIN(BV194,CF194,CG194)&gt;=0),BV194*CF194*CG194,"")</f>
        <v>1.324969591335341</v>
      </c>
      <c r="CI194" s="13" t="n">
        <f>IF(COUNT(BY194,CB194,CE194,CH194)=4,SUM(BY194,CB194,CE194,CH194),"")</f>
        <v>11.051561108498381</v>
      </c>
    </row>
    <row r="195" ht="72" customHeight="1">
      <c r="A195" s="16" t="str">
        <v>2302153-NY-38.5</v>
      </c>
      <c r="B195" s="16" t="str">
        <v>3店-SANDIEX-US</v>
      </c>
      <c r="C195" s="16" t="str">
        <v>徐新怡</v>
      </c>
      <c r="D195" s="26" t="n">
        <f>IF(NOT(ISNUMBER(E195)),"",IF(OR(E195&lt;=0,L195=0),0,IF(OR(NOT(ISNUMBER(F195)),F195&lt;0),"",MIN(E195,INT(F195)))))</f>
        <v>2</v>
      </c>
      <c r="E195" s="27" t="n">
        <f>IF(OR(NOT(ISNUMBER(L195)),COUNT(M195:O195)&lt;&gt;3,MIN(M195:O195)&lt;0),"",ROUNDUP(ROUND(BI195-SUM(M195:O195),10),0))</f>
        <v>2</v>
      </c>
      <c r="F195" s="28" t="n">
        <v>30</v>
      </c>
      <c r="G195" s="28" t="n">
        <f>IF(AND(ISNUMBER(D195),ISNUMBER(E195)),IF(OR(E195&lt;=0,L195=0),0,E195-D195),"")</f>
        <v>0</v>
      </c>
      <c r="H195" s="16" t="str">
        <f>IF(NOT(ISNUMBER(E195)),"销量或海外库存待补",IF(OR(E195&lt;=0,L195=0),IF(L195=0,"零日销，本批不发","本批无需补货"),IF(NOT(ISNUMBER(D195)),"国内库存待补",IF(D195=0,"国内无可用库存",IF(G195&gt;0,"先发国内现货","按建议量发货")))))</f>
        <v>按建议量发货</v>
      </c>
      <c r="I195" s="28" t="n">
        <f>IF(AND(COUNT(Z195,AA195,AB195)=3,Z195&gt;=AA195,AA195&gt;=0,AB195=7),Z195-AA195,"")</f>
        <v>1</v>
      </c>
      <c r="J195" s="28" t="n">
        <f>IF(AND(COUNT(AF195,AG195,AH195)=3,AF195&gt;=AG195,AG195&gt;=0,AH195=14),AF195-AG195,"")</f>
        <v>5</v>
      </c>
      <c r="K195" s="28" t="n">
        <f>IF(AND(COUNT(AL195,AM195,AN195)=3,AL195&gt;=AM195,AM195&gt;=0,AN195=30),AL195-AM195,"")</f>
        <v>15</v>
      </c>
      <c r="L195" s="29" t="n">
        <f>IF(ISNUMBER(BI195),BI195/90,"")</f>
        <v>0.2349404197026262</v>
      </c>
      <c r="M195" s="28" t="n">
        <v>20</v>
      </c>
      <c r="N195" s="28" t="n">
        <v>0</v>
      </c>
      <c r="O195" s="28" t="n">
        <v>0</v>
      </c>
      <c r="P195" s="30" t="n">
        <f>IF(AND(ISNUMBER(L195),L195&gt;0,COUNT(M195:O195)=3,MIN(M195:O195)&gt;=0),SUM(M195:O195)/L195,"")</f>
        <v>85.12796574261179</v>
      </c>
      <c r="Q195" s="16" t="str">
        <v>沿用原计划SKU店铺</v>
      </c>
      <c r="R195" s="16" t="str">
        <v>已匹配</v>
      </c>
      <c r="S195" s="16" t="str">
        <v>在售</v>
      </c>
      <c r="T195" s="16" t="str">
        <v>2302153</v>
      </c>
      <c r="U195" s="16" t="str">
        <v>藏青色</v>
      </c>
      <c r="V195" s="16" t="n">
        <v>7.5</v>
      </c>
      <c r="W195" s="8" t="str">
        <v>2026-10-11 至 2026-10-17</v>
      </c>
      <c r="X195" s="8" t="str">
        <v>2026-10-11、2026-10-12、2026-10-13、2026-10-14、2026-10-15、2026-10-16、2026-10-17</v>
      </c>
      <c r="Y195" s="8" t="str">
        <v>无</v>
      </c>
      <c r="Z195" s="8" t="n">
        <v>1</v>
      </c>
      <c r="AA195" s="8" t="n">
        <v>0</v>
      </c>
      <c r="AB195" s="8" t="n">
        <v>7</v>
      </c>
      <c r="AC195" s="8" t="str">
        <v>2026-10-02 至 2026-10-17</v>
      </c>
      <c r="AD195" s="8" t="str">
        <v>2026-10-02、2026-10-03、2026-10-04、2026-10-05、2026-10-08、2026-10-09、2026-10-10、2026-10-11、2026-10-12、2026-10-13、2026-10-14、2026-10-15、2026-10-16、2026-10-17</v>
      </c>
      <c r="AE195" s="8" t="str">
        <v>2026-10-06 大促；2026-10-07 大促</v>
      </c>
      <c r="AF195" s="8" t="n">
        <v>6</v>
      </c>
      <c r="AG195" s="8" t="n">
        <v>1</v>
      </c>
      <c r="AH195" s="8" t="n">
        <v>14</v>
      </c>
      <c r="AI195" s="8" t="str">
        <v>2026-09-16 至 2026-10-17</v>
      </c>
      <c r="AJ1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5" s="8" t="str">
        <v>2026-10-06 大促；2026-10-07 大促</v>
      </c>
      <c r="AL195" s="8" t="n">
        <v>16</v>
      </c>
      <c r="AM195" s="8" t="n">
        <v>1</v>
      </c>
      <c r="AN195" s="8" t="n">
        <v>30</v>
      </c>
      <c r="AO195" s="8" t="str">
        <v>2302153 / 藏青色羊京绒 / 6574</v>
      </c>
      <c r="AP195" s="11" t="n">
        <v>1.7391279184229513</v>
      </c>
      <c r="AQ195" s="11" t="n">
        <v>1.7391279184229513</v>
      </c>
      <c r="AR195" s="11" t="n">
        <v>1.5731892896917212</v>
      </c>
      <c r="AS195" s="11" t="n">
        <f>IF(AND(COUNT(I195:K195,AP195:AR195)=6,MIN(AP195:AR195)&gt;0),I195/7/AP195*0.5+J195/14/AQ195*0.3+K195/30/AR195*0.2,"")</f>
        <v>0.16624386161871949</v>
      </c>
      <c r="AT195" s="8" t="n">
        <v>25</v>
      </c>
      <c r="AU195" s="8" t="n">
        <v>1</v>
      </c>
      <c r="AV195" s="8" t="n">
        <v>88</v>
      </c>
      <c r="AW195" s="11" t="n">
        <f>IF(AND(COUNT(AT195:AV195)=3,AT195&gt;=AU195,AU195&gt;=0,AV195&gt;0),(AT195-AU195)/AV195,"")</f>
        <v>0.2727272727272727</v>
      </c>
      <c r="AX195" s="8" t="n">
        <v>32</v>
      </c>
      <c r="AY195" s="8" t="n">
        <v>1</v>
      </c>
      <c r="AZ195" s="8" t="n">
        <v>178</v>
      </c>
      <c r="BA195" s="11" t="n">
        <f>IF(AND(COUNT(AX195:AZ195)=3,AX195&gt;=AY195,AY195&gt;=0,AZ195&gt;0),(AX195-AY195)/AZ195,"")</f>
        <v>0.17415730337078653</v>
      </c>
      <c r="BB195" s="8" t="n">
        <f>IF(COUNT(AS195,AW195,BA195)=3,1,0)</f>
        <v>1</v>
      </c>
      <c r="BC195" s="11" t="n">
        <f>IF(SUMIF($AO$11:$AO$1309,AO195,$BB$11:$BB$1309)=COUNTIF($AO$11:$AO$1309,AO195),SUMIF($AO$11:$AO$1309,AO195,$AS$11:$AS$1309),"")</f>
        <v>1.647227964272497</v>
      </c>
      <c r="BD195" s="11" t="n">
        <f>IF(SUMIF($AO$11:$AO$1309,AO195,$BB$11:$BB$1309)=COUNTIF($AO$11:$AO$1309,AO195),SUMIF($AO$11:$AO$1309,AO195,$AW$11:$AW$1309),"")</f>
        <v>2.425267379679144</v>
      </c>
      <c r="BE195" s="11" t="n">
        <f>IF(SUMIF($AO$11:$AO$1309,AO195,$BB$11:$BB$1309)=COUNTIF($AO$11:$AO$1309,AO195),SUMIF($AO$11:$AO$1309,AO195,$BA$11:$BA$1309),"")</f>
        <v>1.3550882825040127</v>
      </c>
      <c r="BF195" s="12" t="n">
        <f>IF(COUNT(BD195:BE195)&lt;&gt;2,"",IF(AND(BD195&gt;0,BE195&gt;0),0.7*AW195/BD195+0.3*BA195/BE195,IF(BD195&gt;0,AW195/BD195,IF(BE195&gt;0,BA195/BE195,IF(AND(ISNUMBER(BH195),BH195=0),0,"")))))</f>
        <v>0.11727301952462536</v>
      </c>
      <c r="BG195" s="11" t="n">
        <f>IF(AND(COUNT(BN195:BU195)=8,MIN(BN195:BU195)&gt;=0),SUMPRODUCT(BN195:BQ195,BR195:BU195),"")</f>
        <v>109.4582336985339</v>
      </c>
      <c r="BH195" s="11" t="n">
        <f>IF(COUNT(BC195,BG195)=2,BC195*BG195,"")</f>
        <v>180.3026634680992</v>
      </c>
      <c r="BI195" s="11" t="n">
        <f>IF(ISNUMBER(CI195),CI195,"")</f>
        <v>21.144637773236358</v>
      </c>
      <c r="BJ195" s="8" t="str"/>
      <c r="BK195" s="8" t="str">
        <v>90天：2026-07-20 至 2026-10-17；180天：2026-04-21 至 2026-10-17</v>
      </c>
      <c r="BL195" s="8" t="str">
        <v>90天：2026-10-06、2026-10-07；180天：2026-10-06、2026-10-07</v>
      </c>
      <c r="BM195" s="8" t="str">
        <v>2026-10：12天 × 1.7391279184229513；2026-11：30天 × 1.4002077845513243；2026-12：31天 × 1.079339935625147；2027-01：17天 × 0.7719368903846591</v>
      </c>
      <c r="BN195" s="11" t="n">
        <v>1.7391279184229513</v>
      </c>
      <c r="BO195" s="11" t="n">
        <v>1.4002077845513243</v>
      </c>
      <c r="BP195" s="11" t="n">
        <v>1.079339935625147</v>
      </c>
      <c r="BQ195" s="11" t="n">
        <v>0.7719368903846591</v>
      </c>
      <c r="BR195" s="8" t="n">
        <v>12</v>
      </c>
      <c r="BS195" s="8" t="n">
        <v>30</v>
      </c>
      <c r="BT195" s="8" t="n">
        <v>31</v>
      </c>
      <c r="BU195" s="8" t="n">
        <v>17</v>
      </c>
      <c r="BV195" s="11" t="n">
        <f>IF(COUNT(BC195,BF195)=2,BC195*BF195,"")</f>
        <v>0.19317539721563742</v>
      </c>
      <c r="BW195" s="11" t="n">
        <f>IF(ISNUMBER(BN195),BN195,"")</f>
        <v>1.7391279184229513</v>
      </c>
      <c r="BX195" s="14" t="n">
        <f>IF(ISNUMBER(BR195),BR195,"")</f>
        <v>12</v>
      </c>
      <c r="BY195" s="13" t="n">
        <f>IF(AND(COUNT(BV195,BW195,BX195)=3,MIN(BV195,BW195,BX195)&gt;=0),BV195*BW195*BX195,"")</f>
        <v>4.0314807174019</v>
      </c>
      <c r="BZ195" s="11" t="n">
        <f>IF(ISNUMBER(BO195),BO195,"")</f>
        <v>1.4002077845513243</v>
      </c>
      <c r="CA195" s="14" t="n">
        <f>IF(ISNUMBER(BS195),BS195,"")</f>
        <v>30</v>
      </c>
      <c r="CB195" s="13" t="n">
        <f>IF(AND(COUNT(BV195,BZ195,CA195)=3,MIN(BV195,BZ195,CA195)&gt;=0),BV195*BZ195*CA195,"")</f>
        <v>8.114570848953893</v>
      </c>
      <c r="CC195" s="11" t="n">
        <f>IF(ISNUMBER(BP195),BP195,"")</f>
        <v>1.079339935625147</v>
      </c>
      <c r="CD195" s="14" t="n">
        <f>IF(ISNUMBER(BT195),BT195,"")</f>
        <v>31</v>
      </c>
      <c r="CE195" s="13" t="n">
        <f>IF(AND(COUNT(BV195,CC195,CD195)=3,MIN(BV195,CC195,CD195)&gt;=0),BV195*CC195*CD195,"")</f>
        <v>6.463559544647737</v>
      </c>
      <c r="CF195" s="11" t="n">
        <f>IF(ISNUMBER(BQ195),BQ195,"")</f>
        <v>0.7719368903846591</v>
      </c>
      <c r="CG195" s="14" t="n">
        <f>IF(ISNUMBER(BU195),BU195,"")</f>
        <v>17</v>
      </c>
      <c r="CH195" s="13" t="n">
        <f>IF(AND(COUNT(BV195,CF195,CG195)=3,MIN(BV195,CF195,CG195)&gt;=0),BV195*CF195*CG195,"")</f>
        <v>2.535026662232828</v>
      </c>
      <c r="CI195" s="13" t="n">
        <f>IF(COUNT(BY195,CB195,CE195,CH195)=4,SUM(BY195,CB195,CE195,CH195),"")</f>
        <v>21.144637773236358</v>
      </c>
    </row>
    <row r="196" ht="72" customHeight="1">
      <c r="A196" s="16" t="str">
        <v>230918-LP-S-Z-10</v>
      </c>
      <c r="B196" s="16" t="str">
        <v>1店-MUSSHOE-US</v>
      </c>
      <c r="C196" s="16" t="str">
        <v>艾年</v>
      </c>
      <c r="D196" s="26" t="n">
        <f>IF(NOT(ISNUMBER(E196)),"",IF(OR(E196&lt;=0,L196=0),0,IF(OR(NOT(ISNUMBER(F196)),F196&lt;0),"",MIN(E196,INT(F196)))))</f>
        <v>2</v>
      </c>
      <c r="E196" s="27" t="n">
        <f>IF(OR(NOT(ISNUMBER(L196)),COUNT(M196:O196)&lt;&gt;3,MIN(M196:O196)&lt;0),"",ROUNDUP(ROUND(BI196-SUM(M196:O196),10),0))</f>
        <v>2</v>
      </c>
      <c r="F196" s="28" t="n">
        <v>10</v>
      </c>
      <c r="G196" s="28" t="n">
        <f>IF(AND(ISNUMBER(D196),ISNUMBER(E196)),IF(OR(E196&lt;=0,L196=0),0,E196-D196),"")</f>
        <v>0</v>
      </c>
      <c r="H196" s="16" t="str">
        <f>IF(NOT(ISNUMBER(E196)),"销量或海外库存待补",IF(OR(E196&lt;=0,L196=0),IF(L196=0,"零日销，本批不发","本批无需补货"),IF(NOT(ISNUMBER(D196)),"国内库存待补",IF(D196=0,"国内无可用库存",IF(G196&gt;0,"先发国内现货","按建议量发货")))))</f>
        <v>按建议量发货</v>
      </c>
      <c r="I196" s="28" t="n">
        <f>IF(AND(COUNT(Z196,AA196,AB196)=3,Z196&gt;=AA196,AA196&gt;=0,AB196=7),Z196-AA196,"")</f>
        <v>0</v>
      </c>
      <c r="J196" s="28" t="n">
        <f>IF(AND(COUNT(AF196,AG196,AH196)=3,AF196&gt;=AG196,AG196&gt;=0,AH196=14),AF196-AG196,"")</f>
        <v>0</v>
      </c>
      <c r="K196" s="28" t="n">
        <f>IF(AND(COUNT(AL196,AM196,AN196)=3,AL196&gt;=AM196,AM196&gt;=0,AN196=30),AL196-AM196,"")</f>
        <v>0</v>
      </c>
      <c r="L196" s="29" t="n">
        <f>IF(ISNUMBER(BI196),BI196/90,"")</f>
        <v>0.013513310632764269</v>
      </c>
      <c r="M196" s="28" t="n">
        <v>0</v>
      </c>
      <c r="N196" s="28" t="n">
        <v>0</v>
      </c>
      <c r="O196" s="28" t="n">
        <v>0</v>
      </c>
      <c r="P196" s="30" t="n">
        <f>IF(AND(ISNUMBER(L196),L196&gt;0,COUNT(M196:O196)=3,MIN(M196:O196)&gt;=0),SUM(M196:O196)/L196,"")</f>
        <v>0</v>
      </c>
      <c r="Q196" s="16" t="str">
        <v>沿用原计划SKU店铺</v>
      </c>
      <c r="R196" s="16" t="str">
        <v>已匹配</v>
      </c>
      <c r="S196" s="16" t="str">
        <v>停售</v>
      </c>
      <c r="T196" s="16" t="str">
        <v>230918</v>
      </c>
      <c r="U196" s="16" t="str">
        <v>豹纹</v>
      </c>
      <c r="V196" s="16" t="n">
        <v>10</v>
      </c>
      <c r="W196" s="8" t="str">
        <v>2026-10-08 至 2026-10-17</v>
      </c>
      <c r="X196" s="8" t="str">
        <v>2026-10-08、2026-10-09、2026-10-10、2026-10-11、2026-10-14、2026-10-15、2026-10-17</v>
      </c>
      <c r="Y196" s="8" t="str">
        <v>2026-10-12 有记录的停售日；2026-10-13 有记录的停售日；2026-10-16 有记录的停售日</v>
      </c>
      <c r="Z196" s="8" t="n">
        <v>0</v>
      </c>
      <c r="AA196" s="8" t="n">
        <v>0</v>
      </c>
      <c r="AB196" s="8" t="n">
        <v>7</v>
      </c>
      <c r="AC196" s="8" t="str">
        <v>2026-09-29 至 2026-10-17</v>
      </c>
      <c r="AD196" s="8" t="str">
        <v>2026-09-29、2026-09-30、2026-10-01、2026-10-02、2026-10-03、2026-10-04、2026-10-05、2026-10-08、2026-10-09、2026-10-10、2026-10-11、2026-10-14、2026-10-15、2026-10-17</v>
      </c>
      <c r="AE196" s="8" t="str">
        <v>2026-10-06 大促；2026-10-07 大促；2026-10-12 有记录的停售日；2026-10-13 有记录的停售日；2026-10-16 有记录的停售日</v>
      </c>
      <c r="AF196" s="8" t="n">
        <v>0</v>
      </c>
      <c r="AG196" s="8" t="n">
        <v>0</v>
      </c>
      <c r="AH196" s="8" t="n">
        <v>14</v>
      </c>
      <c r="AI196" s="8" t="str">
        <v>2026-09-13 至 2026-10-17</v>
      </c>
      <c r="AJ19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96" s="8" t="str">
        <v>2026-10-06 大促；2026-10-07 大促；2026-10-12 有记录的停售日；2026-10-13 有记录的停售日；2026-10-16 有记录的停售日</v>
      </c>
      <c r="AL196" s="8" t="n">
        <v>0</v>
      </c>
      <c r="AM196" s="8" t="n">
        <v>0</v>
      </c>
      <c r="AN196" s="8" t="n">
        <v>30</v>
      </c>
      <c r="AO196" s="8" t="str">
        <v>230918 / 豹纹 / 13120</v>
      </c>
      <c r="AP196" s="11" t="n">
        <v>1.6747911769553039</v>
      </c>
      <c r="AQ196" s="11" t="n">
        <v>1.6930481948263352</v>
      </c>
      <c r="AR196" s="11" t="n">
        <v>1.7514706520136352</v>
      </c>
      <c r="AS196" s="11" t="n">
        <f>IF(AND(COUNT(I196:K196,AP196:AR196)=6,MIN(AP196:AR196)&gt;0),I196/7/AP196*0.5+J196/14/AQ196*0.3+K196/30/AR196*0.2,"")</f>
        <v>0</v>
      </c>
      <c r="AT196" s="8" t="n">
        <v>0</v>
      </c>
      <c r="AU196" s="8" t="n">
        <v>0</v>
      </c>
      <c r="AV196" s="8" t="n">
        <v>85</v>
      </c>
      <c r="AW196" s="11" t="n">
        <f>IF(AND(COUNT(AT196:AV196)=3,AT196&gt;=AU196,AU196&gt;=0,AV196&gt;0),(AT196-AU196)/AV196,"")</f>
        <v>0</v>
      </c>
      <c r="AX196" s="8" t="n">
        <v>11</v>
      </c>
      <c r="AY196" s="8" t="n">
        <v>0</v>
      </c>
      <c r="AZ196" s="8" t="n">
        <v>175</v>
      </c>
      <c r="BA196" s="11" t="n">
        <f>IF(AND(COUNT(AX196:AZ196)=3,AX196&gt;=AY196,AY196&gt;=0,AZ196&gt;0),(AX196-AY196)/AZ196,"")</f>
        <v>0.06285714285714286</v>
      </c>
      <c r="BB196" s="8" t="n">
        <f>IF(COUNT(AS196,AW196,BA196)=3,1,0)</f>
        <v>1</v>
      </c>
      <c r="BC196" s="11" t="n">
        <f>IF(SUMIF($AO$11:$AO$1309,AO196,$BB$11:$BB$1309)=COUNTIF($AO$11:$AO$1309,AO196),SUMIF($AO$11:$AO$1309,AO196,$AS$11:$AS$1309),"")</f>
        <v>0.910768616617277</v>
      </c>
      <c r="BD196" s="11" t="n">
        <f>IF(SUMIF($AO$11:$AO$1309,AO196,$BB$11:$BB$1309)=COUNTIF($AO$11:$AO$1309,AO196),SUMIF($AO$11:$AO$1309,AO196,$AW$11:$AW$1309),"")</f>
        <v>1.699880140143832</v>
      </c>
      <c r="BE196" s="11" t="n">
        <f>IF(SUMIF($AO$11:$AO$1309,AO196,$BB$11:$BB$1309)=COUNTIF($AO$11:$AO$1309,AO196),SUMIF($AO$11:$AO$1309,AO196,$BA$11:$BA$1309),"")</f>
        <v>1.5794197930552911</v>
      </c>
      <c r="BF196" s="12" t="n">
        <f>IF(COUNT(BD196:BE196)&lt;&gt;2,"",IF(AND(BD196&gt;0,BE196&gt;0),0.7*AW196/BD196+0.3*BA196/BE196,IF(BD196&gt;0,AW196/BD196,IF(BE196&gt;0,BA196/BE196,IF(AND(ISNUMBER(BH196),BH196=0),0,"")))))</f>
        <v>0.011939284881738038</v>
      </c>
      <c r="BG196" s="11" t="n">
        <f>IF(AND(COUNT(BN196:BU196)=8,MIN(BN196:BU196)&gt;=0),SUMPRODUCT(BN196:BQ196,BR196:BU196),"")</f>
        <v>111.84534083910866</v>
      </c>
      <c r="BH196" s="11" t="n">
        <f>IF(COUNT(BC196,BG196)=2,BC196*BG196,"")</f>
        <v>101.86522635112283</v>
      </c>
      <c r="BI196" s="11" t="n">
        <f>IF(ISNUMBER(CI196),CI196,"")</f>
        <v>1.2161979569487842</v>
      </c>
      <c r="BJ196" s="8" t="str"/>
      <c r="BK196" s="8" t="str">
        <v>90天：2026-07-20 至 2026-10-17；180天：2026-04-21 至 2026-10-17</v>
      </c>
      <c r="BL196" s="8" t="str">
        <v>90天：2026-10-06、2026-10-07、2026-10-12、2026-10-13、2026-10-16；180天：2026-10-06、2026-10-07、2026-10-12、2026-10-13、2026-10-16</v>
      </c>
      <c r="BM196" s="8" t="str">
        <v>2026-10：12天 × 1.6747911769553037；2026-11：30天 × 1.5065205700457112；2026-12：31天 × 1.1492423388181006；2027-01：17天 × 0.6426892418183868</v>
      </c>
      <c r="BN196" s="11" t="n">
        <v>1.6747911769553037</v>
      </c>
      <c r="BO196" s="11" t="n">
        <v>1.5065205700457112</v>
      </c>
      <c r="BP196" s="11" t="n">
        <v>1.1492423388181006</v>
      </c>
      <c r="BQ196" s="11" t="n">
        <v>0.6426892418183868</v>
      </c>
      <c r="BR196" s="8" t="n">
        <v>12</v>
      </c>
      <c r="BS196" s="8" t="n">
        <v>30</v>
      </c>
      <c r="BT196" s="8" t="n">
        <v>31</v>
      </c>
      <c r="BU196" s="8" t="n">
        <v>17</v>
      </c>
      <c r="BV196" s="11" t="n">
        <f>IF(COUNT(BC196,BF196)=2,BC196*BF196,"")</f>
        <v>0.010873925975140123</v>
      </c>
      <c r="BW196" s="11" t="n">
        <f>IF(ISNUMBER(BN196),BN196,"")</f>
        <v>1.6747911769553037</v>
      </c>
      <c r="BX196" s="14" t="n">
        <f>IF(ISNUMBER(BR196),BR196,"")</f>
        <v>12</v>
      </c>
      <c r="BY196" s="13" t="n">
        <f>IF(AND(COUNT(BV196,BW196,BX196)=3,MIN(BV196,BW196,BX196)&gt;=0),BV196*BW196*BX196,"")</f>
        <v>0.2185386633843573</v>
      </c>
      <c r="BZ196" s="11" t="n">
        <f>IF(ISNUMBER(BO196),BO196,"")</f>
        <v>1.5065205700457112</v>
      </c>
      <c r="CA196" s="14" t="n">
        <f>IF(ISNUMBER(BS196),BS196,"")</f>
        <v>30</v>
      </c>
      <c r="CB196" s="13" t="n">
        <f>IF(AND(COUNT(BV196,BZ196,CA196)=3,MIN(BV196,BZ196,CA196)&gt;=0),BV196*BZ196*CA196,"")</f>
        <v>0.49145379476108886</v>
      </c>
      <c r="CC196" s="11" t="n">
        <f>IF(ISNUMBER(BP196),BP196,"")</f>
        <v>1.1492423388181006</v>
      </c>
      <c r="CD196" s="14" t="n">
        <f>IF(ISNUMBER(BT196),BT196,"")</f>
        <v>31</v>
      </c>
      <c r="CE196" s="13" t="n">
        <f>IF(AND(COUNT(BV196,CC196,CD196)=3,MIN(BV196,CC196,CD196)&gt;=0),BV196*CC196*CD196,"")</f>
        <v>0.3874000597139528</v>
      </c>
      <c r="CF196" s="11" t="n">
        <f>IF(ISNUMBER(BQ196),BQ196,"")</f>
        <v>0.6426892418183868</v>
      </c>
      <c r="CG196" s="14" t="n">
        <f>IF(ISNUMBER(BU196),BU196,"")</f>
        <v>17</v>
      </c>
      <c r="CH196" s="13" t="n">
        <f>IF(AND(COUNT(BV196,CF196,CG196)=3,MIN(BV196,CF196,CG196)&gt;=0),BV196*CF196*CG196,"")</f>
        <v>0.11880543908938516</v>
      </c>
      <c r="CI196" s="13" t="n">
        <f>IF(COUNT(BY196,CB196,CE196,CH196)=4,SUM(BY196,CB196,CE196,CH196),"")</f>
        <v>1.2161979569487842</v>
      </c>
    </row>
    <row r="197" ht="72" customHeight="1">
      <c r="A197" s="16" t="str">
        <v>32582-ND-40</v>
      </c>
      <c r="B197" s="16" t="str">
        <v>3店-SANDIEX-US</v>
      </c>
      <c r="C197" s="16" t="str">
        <v>徐新怡</v>
      </c>
      <c r="D197" s="26" t="n">
        <f>IF(NOT(ISNUMBER(E197)),"",IF(OR(E197&lt;=0,L197=0),0,IF(OR(NOT(ISNUMBER(F197)),F197&lt;0),"",MIN(E197,INT(F197)))))</f>
        <v>2</v>
      </c>
      <c r="E197" s="27" t="n">
        <f>IF(OR(NOT(ISNUMBER(L197)),COUNT(M197:O197)&lt;&gt;3,MIN(M197:O197)&lt;0),"",ROUNDUP(ROUND(BI197-SUM(M197:O197),10),0))</f>
        <v>2</v>
      </c>
      <c r="F197" s="28" t="n">
        <v>138</v>
      </c>
      <c r="G197" s="28" t="n">
        <f>IF(AND(ISNUMBER(D197),ISNUMBER(E197)),IF(OR(E197&lt;=0,L197=0),0,E197-D197),"")</f>
        <v>0</v>
      </c>
      <c r="H197" s="16" t="str">
        <f>IF(NOT(ISNUMBER(E197)),"销量或海外库存待补",IF(OR(E197&lt;=0,L197=0),IF(L197=0,"零日销，本批不发","本批无需补货"),IF(NOT(ISNUMBER(D197)),"国内库存待补",IF(D197=0,"国内无可用库存",IF(G197&gt;0,"先发国内现货","按建议量发货")))))</f>
        <v>按建议量发货</v>
      </c>
      <c r="I197" s="28" t="n">
        <f>IF(AND(COUNT(Z197,AA197,AB197)=3,Z197&gt;=AA197,AA197&gt;=0,AB197=7),Z197-AA197,"")</f>
        <v>1</v>
      </c>
      <c r="J197" s="28" t="n">
        <f>IF(AND(COUNT(AF197,AG197,AH197)=3,AF197&gt;=AG197,AG197&gt;=0,AH197=14),AF197-AG197,"")</f>
        <v>8</v>
      </c>
      <c r="K197" s="28" t="n">
        <f>IF(AND(COUNT(AL197,AM197,AN197)=3,AL197&gt;=AM197,AM197&gt;=0,AN197=30),AL197-AM197,"")</f>
        <v>15</v>
      </c>
      <c r="L197" s="29" t="n">
        <f>IF(ISNUMBER(BI197),BI197/90,"")</f>
        <v>0.2823855126715521</v>
      </c>
      <c r="M197" s="28" t="n">
        <v>4</v>
      </c>
      <c r="N197" s="28" t="n">
        <v>0</v>
      </c>
      <c r="O197" s="28" t="n">
        <v>20</v>
      </c>
      <c r="P197" s="30" t="n">
        <f>IF(AND(ISNUMBER(L197),L197&gt;0,COUNT(M197:O197)=3,MIN(M197:O197)&gt;=0),SUM(M197:O197)/L197,"")</f>
        <v>84.99019575382697</v>
      </c>
      <c r="Q197" s="16" t="str">
        <v>沿用原计划SKU店铺</v>
      </c>
      <c r="R197" s="16" t="str">
        <v>已匹配</v>
      </c>
      <c r="S197" s="16" t="str">
        <v>在售</v>
      </c>
      <c r="T197" s="16" t="str">
        <v>32582</v>
      </c>
      <c r="U197" s="16" t="str">
        <v>裸色</v>
      </c>
      <c r="V197" s="16" t="n">
        <v>9</v>
      </c>
      <c r="W197" s="8" t="str">
        <v>2026-10-11 至 2026-10-17</v>
      </c>
      <c r="X197" s="8" t="str">
        <v>2026-10-11、2026-10-12、2026-10-13、2026-10-14、2026-10-15、2026-10-16、2026-10-17</v>
      </c>
      <c r="Y197" s="8" t="str">
        <v>无</v>
      </c>
      <c r="Z197" s="8" t="n">
        <v>1</v>
      </c>
      <c r="AA197" s="8" t="n">
        <v>0</v>
      </c>
      <c r="AB197" s="8" t="n">
        <v>7</v>
      </c>
      <c r="AC197" s="8" t="str">
        <v>2026-10-02 至 2026-10-17</v>
      </c>
      <c r="AD197" s="8" t="str">
        <v>2026-10-02、2026-10-03、2026-10-04、2026-10-05、2026-10-08、2026-10-09、2026-10-10、2026-10-11、2026-10-12、2026-10-13、2026-10-14、2026-10-15、2026-10-16、2026-10-17</v>
      </c>
      <c r="AE197" s="8" t="str">
        <v>2026-10-06 大促；2026-10-07 大促</v>
      </c>
      <c r="AF197" s="8" t="n">
        <v>10</v>
      </c>
      <c r="AG197" s="8" t="n">
        <v>2</v>
      </c>
      <c r="AH197" s="8" t="n">
        <v>14</v>
      </c>
      <c r="AI197" s="8" t="str">
        <v>2026-09-16 至 2026-10-17</v>
      </c>
      <c r="AJ1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7" s="8" t="str">
        <v>2026-10-06 大促；2026-10-07 大促</v>
      </c>
      <c r="AL197" s="8" t="n">
        <v>17</v>
      </c>
      <c r="AM197" s="8" t="n">
        <v>2</v>
      </c>
      <c r="AN197" s="8" t="n">
        <v>30</v>
      </c>
      <c r="AO197" s="8" t="str">
        <v>32582 / 裸色羊京绒 / 6574</v>
      </c>
      <c r="AP197" s="11" t="n">
        <v>1.0395067087630607</v>
      </c>
      <c r="AQ197" s="11" t="n">
        <v>1.0395067087630607</v>
      </c>
      <c r="AR197" s="11" t="n">
        <v>1.0707336504782758</v>
      </c>
      <c r="AS197" s="11" t="n">
        <f>IF(AND(COUNT(I197:K197,AP197:AR197)=6,MIN(AP197:AR197)&gt;0),I197/7/AP197*0.5+J197/14/AQ197*0.3+K197/30/AR197*0.2,"")</f>
        <v>0.32702120522271216</v>
      </c>
      <c r="AT197" s="8" t="n">
        <v>34</v>
      </c>
      <c r="AU197" s="8" t="n">
        <v>2</v>
      </c>
      <c r="AV197" s="8" t="n">
        <v>88</v>
      </c>
      <c r="AW197" s="11" t="n">
        <f>IF(AND(COUNT(AT197:AV197)=3,AT197&gt;=AU197,AU197&gt;=0,AV197&gt;0),(AT197-AU197)/AV197,"")</f>
        <v>0.36363636363636365</v>
      </c>
      <c r="AX197" s="8" t="n">
        <v>61</v>
      </c>
      <c r="AY197" s="8" t="n">
        <v>2</v>
      </c>
      <c r="AZ197" s="8" t="n">
        <v>178</v>
      </c>
      <c r="BA197" s="11" t="n">
        <f>IF(AND(COUNT(AX197:AZ197)=3,AX197&gt;=AY197,AY197&gt;=0,AZ197&gt;0),(AX197-AY197)/AZ197,"")</f>
        <v>0.33146067415730335</v>
      </c>
      <c r="BB197" s="8" t="n">
        <f>IF(COUNT(AS197,AW197,BA197)=3,1,0)</f>
        <v>1</v>
      </c>
      <c r="BC197" s="11" t="n">
        <f>IF(SUMIF($AO$11:$AO$1309,AO197,$BB$11:$BB$1309)=COUNTIF($AO$11:$AO$1309,AO197),SUMIF($AO$11:$AO$1309,AO197,$AS$11:$AS$1309),"")</f>
        <v>1.469700342349848</v>
      </c>
      <c r="BD197" s="11" t="n">
        <f>IF(SUMIF($AO$11:$AO$1309,AO197,$BB$11:$BB$1309)=COUNTIF($AO$11:$AO$1309,AO197),SUMIF($AO$11:$AO$1309,AO197,$AW$11:$AW$1309),"")</f>
        <v>1.858288770053476</v>
      </c>
      <c r="BE197" s="11" t="n">
        <f>IF(SUMIF($AO$11:$AO$1309,AO197,$BB$11:$BB$1309)=COUNTIF($AO$11:$AO$1309,AO197),SUMIF($AO$11:$AO$1309,AO197,$BA$11:$BA$1309),"")</f>
        <v>1.6877046548956662</v>
      </c>
      <c r="BF197" s="12" t="n">
        <f>IF(COUNT(BD197:BE197)&lt;&gt;2,"",IF(AND(BD197&gt;0,BE197&gt;0),0.7*AW197/BD197+0.3*BA197/BE197,IF(BD197&gt;0,AW197/BD197,IF(BE197&gt;0,BA197/BE197,IF(AND(ISNUMBER(BH197),BH197=0),0,"")))))</f>
        <v>0.19589761379665951</v>
      </c>
      <c r="BG197" s="11" t="n">
        <f>IF(AND(COUNT(BN197:BU197)=8,MIN(BN197:BU197)&gt;=0),SUMPRODUCT(BN197:BQ197,BR197:BU197),"")</f>
        <v>88.27281580841549</v>
      </c>
      <c r="BH197" s="11" t="n">
        <f>IF(COUNT(BC197,BG197)=2,BC197*BG197,"")</f>
        <v>129.73458761381332</v>
      </c>
      <c r="BI197" s="11" t="n">
        <f>IF(ISNUMBER(CI197),CI197,"")</f>
        <v>25.41469614043969</v>
      </c>
      <c r="BJ197" s="8" t="str"/>
      <c r="BK197" s="8" t="str">
        <v>90天：2026-07-20 至 2026-10-17；180天：2026-04-21 至 2026-10-17</v>
      </c>
      <c r="BL197" s="8" t="str">
        <v>90天：2026-10-06、2026-10-07；180天：2026-10-06、2026-10-07</v>
      </c>
      <c r="BM197" s="8" t="str">
        <v>2026-10：12天 × 1.0395067087630607；2026-11：30天 × 0.9890368360033146；2026-12：31天 × 0.7800796503018808；2027-01：17天 × 1.2908918272824135</v>
      </c>
      <c r="BN197" s="11" t="n">
        <v>1.0395067087630607</v>
      </c>
      <c r="BO197" s="11" t="n">
        <v>0.9890368360033146</v>
      </c>
      <c r="BP197" s="11" t="n">
        <v>0.7800796503018808</v>
      </c>
      <c r="BQ197" s="11" t="n">
        <v>1.2908918272824135</v>
      </c>
      <c r="BR197" s="8" t="n">
        <v>12</v>
      </c>
      <c r="BS197" s="8" t="n">
        <v>30</v>
      </c>
      <c r="BT197" s="8" t="n">
        <v>31</v>
      </c>
      <c r="BU197" s="8" t="n">
        <v>17</v>
      </c>
      <c r="BV197" s="11" t="n">
        <f>IF(COUNT(BC197,BF197)=2,BC197*BF197,"")</f>
        <v>0.2879107900624688</v>
      </c>
      <c r="BW197" s="11" t="n">
        <f>IF(ISNUMBER(BN197),BN197,"")</f>
        <v>1.0395067087630607</v>
      </c>
      <c r="BX197" s="14" t="n">
        <f>IF(ISNUMBER(BR197),BR197,"")</f>
        <v>12</v>
      </c>
      <c r="BY197" s="13" t="n">
        <f>IF(AND(COUNT(BV197,BW197,BX197)=3,MIN(BV197,BW197,BX197)&gt;=0),BV197*BW197*BX197,"")</f>
        <v>3.5914223735425135</v>
      </c>
      <c r="BZ197" s="11" t="n">
        <f>IF(ISNUMBER(BO197),BO197,"")</f>
        <v>0.9890368360033146</v>
      </c>
      <c r="CA197" s="14" t="n">
        <f>IF(ISNUMBER(BS197),BS197,"")</f>
        <v>30</v>
      </c>
      <c r="CB197" s="13" t="n">
        <f>IF(AND(COUNT(BV197,BZ197,CA197)=3,MIN(BV197,BZ197,CA197)&gt;=0),BV197*BZ197*CA197,"")</f>
        <v>8.542631305637961</v>
      </c>
      <c r="CC197" s="11" t="n">
        <f>IF(ISNUMBER(BP197),BP197,"")</f>
        <v>0.7800796503018808</v>
      </c>
      <c r="CD197" s="14" t="n">
        <f>IF(ISNUMBER(BT197),BT197,"")</f>
        <v>31</v>
      </c>
      <c r="CE197" s="13" t="n">
        <f>IF(AND(COUNT(BV197,CC197,CD197)=3,MIN(BV197,CC197,CD197)&gt;=0),BV197*CC197*CD197,"")</f>
        <v>6.962393801332134</v>
      </c>
      <c r="CF197" s="11" t="n">
        <f>IF(ISNUMBER(BQ197),BQ197,"")</f>
        <v>1.2908918272824135</v>
      </c>
      <c r="CG197" s="14" t="n">
        <f>IF(ISNUMBER(BU197),BU197,"")</f>
        <v>17</v>
      </c>
      <c r="CH197" s="13" t="n">
        <f>IF(AND(COUNT(BV197,CF197,CG197)=3,MIN(BV197,CF197,CG197)&gt;=0),BV197*CF197*CG197,"")</f>
        <v>6.3182486599270815</v>
      </c>
      <c r="CI197" s="13" t="n">
        <f>IF(COUNT(BY197,CB197,CE197,CH197)=4,SUM(BY197,CB197,CE197,CH197),"")</f>
        <v>25.41469614043969</v>
      </c>
    </row>
    <row r="198" ht="72" customHeight="1">
      <c r="A198" s="16" t="str">
        <v>B06-WT-40.5</v>
      </c>
      <c r="B198" s="16" t="str">
        <v>1店-MUSSHOE-US</v>
      </c>
      <c r="C198" s="16" t="str">
        <v>艾年</v>
      </c>
      <c r="D198" s="26" t="n">
        <f>IF(NOT(ISNUMBER(E198)),"",IF(OR(E198&lt;=0,L198=0),0,IF(OR(NOT(ISNUMBER(F198)),F198&lt;0),"",MIN(E198,INT(F198)))))</f>
        <v>2</v>
      </c>
      <c r="E198" s="27" t="n">
        <f>IF(OR(NOT(ISNUMBER(L198)),COUNT(M198:O198)&lt;&gt;3,MIN(M198:O198)&lt;0),"",ROUNDUP(ROUND(BI198-SUM(M198:O198),10),0))</f>
        <v>2</v>
      </c>
      <c r="F198" s="28" t="n">
        <v>44</v>
      </c>
      <c r="G198" s="28" t="n">
        <f>IF(AND(ISNUMBER(D198),ISNUMBER(E198)),IF(OR(E198&lt;=0,L198=0),0,E198-D198),"")</f>
        <v>0</v>
      </c>
      <c r="H198" s="16" t="str">
        <f>IF(NOT(ISNUMBER(E198)),"销量或海外库存待补",IF(OR(E198&lt;=0,L198=0),IF(L198=0,"零日销，本批不发","本批无需补货"),IF(NOT(ISNUMBER(D198)),"国内库存待补",IF(D198=0,"国内无可用库存",IF(G198&gt;0,"先发国内现货","按建议量发货")))))</f>
        <v>按建议量发货</v>
      </c>
      <c r="I198" s="28" t="n">
        <f>IF(AND(COUNT(Z198,AA198,AB198)=3,Z198&gt;=AA198,AA198&gt;=0,AB198=7),Z198-AA198,"")</f>
        <v>0</v>
      </c>
      <c r="J198" s="28" t="n">
        <f>IF(AND(COUNT(AF198,AG198,AH198)=3,AF198&gt;=AG198,AG198&gt;=0,AH198=14),AF198-AG198,"")</f>
        <v>0</v>
      </c>
      <c r="K198" s="28" t="n">
        <f>IF(AND(COUNT(AL198,AM198,AN198)=3,AL198&gt;=AM198,AM198&gt;=0,AN198=30),AL198-AM198,"")</f>
        <v>0</v>
      </c>
      <c r="L198" s="29" t="n">
        <f>IF(ISNUMBER(BI198),BI198/90,"")</f>
        <v>0.01734605205414698</v>
      </c>
      <c r="M198" s="28" t="n">
        <v>0</v>
      </c>
      <c r="N198" s="28" t="n">
        <v>0</v>
      </c>
      <c r="O198" s="28" t="n">
        <v>0</v>
      </c>
      <c r="P198" s="30" t="n">
        <f>IF(AND(ISNUMBER(L198),L198&gt;0,COUNT(M198:O198)=3,MIN(M198:O198)&gt;=0),SUM(M198:O198)/L198,"")</f>
        <v>0</v>
      </c>
      <c r="Q198" s="16" t="str">
        <v>沿用原计划SKU店铺</v>
      </c>
      <c r="R198" s="16" t="str">
        <v>已匹配</v>
      </c>
      <c r="S198" s="16" t="str">
        <v>停售</v>
      </c>
      <c r="T198" s="16" t="str">
        <v>B06</v>
      </c>
      <c r="U198" s="16" t="str">
        <v>白色PU</v>
      </c>
      <c r="V198" s="16" t="n">
        <v>9.5</v>
      </c>
      <c r="W198" s="8" t="str">
        <v>2026-10-08 至 2026-10-17</v>
      </c>
      <c r="X198" s="8" t="str">
        <v>2026-10-08、2026-10-09、2026-10-10、2026-10-11、2026-10-14、2026-10-15、2026-10-17</v>
      </c>
      <c r="Y198" s="8" t="str">
        <v>2026-10-12 有记录的停售日；2026-10-13 有记录的停售日；2026-10-16 有记录的停售日</v>
      </c>
      <c r="Z198" s="8" t="n">
        <v>0</v>
      </c>
      <c r="AA198" s="8" t="n">
        <v>0</v>
      </c>
      <c r="AB198" s="8" t="n">
        <v>7</v>
      </c>
      <c r="AC198" s="8" t="str">
        <v>2026-09-29 至 2026-10-17</v>
      </c>
      <c r="AD198" s="8" t="str">
        <v>2026-09-29、2026-09-30、2026-10-01、2026-10-02、2026-10-03、2026-10-04、2026-10-05、2026-10-08、2026-10-09、2026-10-10、2026-10-11、2026-10-14、2026-10-15、2026-10-17</v>
      </c>
      <c r="AE198" s="8" t="str">
        <v>2026-10-06 大促；2026-10-07 大促；2026-10-12 有记录的停售日；2026-10-13 有记录的停售日；2026-10-16 有记录的停售日</v>
      </c>
      <c r="AF198" s="8" t="n">
        <v>0</v>
      </c>
      <c r="AG198" s="8" t="n">
        <v>0</v>
      </c>
      <c r="AH198" s="8" t="n">
        <v>14</v>
      </c>
      <c r="AI198" s="8" t="str">
        <v>2026-09-13 至 2026-10-17</v>
      </c>
      <c r="AJ19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98" s="8" t="str">
        <v>2026-10-06 大促；2026-10-07 大促；2026-10-12 有记录的停售日；2026-10-13 有记录的停售日；2026-10-16 有记录的停售日</v>
      </c>
      <c r="AL198" s="8" t="n">
        <v>0</v>
      </c>
      <c r="AM198" s="8" t="n">
        <v>0</v>
      </c>
      <c r="AN198" s="8" t="n">
        <v>30</v>
      </c>
      <c r="AO198" s="8" t="str">
        <v>B06 / 白色PU / 13120</v>
      </c>
      <c r="AP198" s="11" t="n">
        <v>1.2247029157699902</v>
      </c>
      <c r="AQ198" s="11" t="n">
        <v>1.1929861014741694</v>
      </c>
      <c r="AR198" s="11" t="n">
        <v>1.0914922957275428</v>
      </c>
      <c r="AS198" s="11" t="n">
        <f>IF(AND(COUNT(I198:K198,AP198:AR198)=6,MIN(AP198:AR198)&gt;0),I198/7/AP198*0.5+J198/14/AQ198*0.3+K198/30/AR198*0.2,"")</f>
        <v>0</v>
      </c>
      <c r="AT198" s="8" t="n">
        <v>4</v>
      </c>
      <c r="AU198" s="8" t="n">
        <v>0</v>
      </c>
      <c r="AV198" s="8" t="n">
        <v>85</v>
      </c>
      <c r="AW198" s="11" t="n">
        <f>IF(AND(COUNT(AT198:AV198)=3,AT198&gt;=AU198,AU198&gt;=0,AV198&gt;0),(AT198-AU198)/AV198,"")</f>
        <v>0.047058823529411764</v>
      </c>
      <c r="AX198" s="8" t="n">
        <v>20</v>
      </c>
      <c r="AY198" s="8" t="n">
        <v>0</v>
      </c>
      <c r="AZ198" s="8" t="n">
        <v>175</v>
      </c>
      <c r="BA198" s="11" t="n">
        <f>IF(AND(COUNT(AX198:AZ198)=3,AX198&gt;=AY198,AY198&gt;=0,AZ198&gt;0),(AX198-AY198)/AZ198,"")</f>
        <v>0.11428571428571428</v>
      </c>
      <c r="BB198" s="8" t="n">
        <f>IF(COUNT(AS198,AW198,BA198)=3,1,0)</f>
        <v>1</v>
      </c>
      <c r="BC198" s="11" t="n">
        <f>IF(SUMIF($AO$11:$AO$1309,AO198,$BB$11:$BB$1309)=COUNTIF($AO$11:$AO$1309,AO198),SUMIF($AO$11:$AO$1309,AO198,$AS$11:$AS$1309),"")</f>
        <v>0.2999485325071546</v>
      </c>
      <c r="BD198" s="11" t="n">
        <f>IF(SUMIF($AO$11:$AO$1309,AO198,$BB$11:$BB$1309)=COUNTIF($AO$11:$AO$1309,AO198),SUMIF($AO$11:$AO$1309,AO198,$AW$11:$AW$1309),"")</f>
        <v>0.7291382383674474</v>
      </c>
      <c r="BE198" s="11" t="n">
        <f>IF(SUMIF($AO$11:$AO$1309,AO198,$BB$11:$BB$1309)=COUNTIF($AO$11:$AO$1309,AO198),SUMIF($AO$11:$AO$1309,AO198,$BA$11:$BA$1309),"")</f>
        <v>1.3530960996091448</v>
      </c>
      <c r="BF198" s="12" t="n">
        <f>IF(COUNT(BD198:BE198)&lt;&gt;2,"",IF(AND(BD198&gt;0,BE198&gt;0),0.7*AW198/BD198+0.3*BA198/BE198,IF(BD198&gt;0,AW198/BD198,IF(BE198&gt;0,BA198/BE198,IF(AND(ISNUMBER(BH198),BH198=0),0,"")))))</f>
        <v>0.07051694538034377</v>
      </c>
      <c r="BG198" s="11" t="n">
        <f>IF(AND(COUNT(BN198:BU198)=8,MIN(BN198:BU198)&gt;=0),SUMPRODUCT(BN198:BQ198,BR198:BU198),"")</f>
        <v>73.80791239847399</v>
      </c>
      <c r="BH198" s="11" t="n">
        <f>IF(COUNT(BC198,BG198)=2,BC198*BG198,"")</f>
        <v>22.138575011338894</v>
      </c>
      <c r="BI198" s="11" t="n">
        <f>IF(ISNUMBER(CI198),CI198,"")</f>
        <v>1.561144684873228</v>
      </c>
      <c r="BJ198" s="8" t="str"/>
      <c r="BK198" s="8" t="str">
        <v>90天：2026-07-20 至 2026-10-17；180天：2026-04-21 至 2026-10-17</v>
      </c>
      <c r="BL198" s="8" t="str">
        <v>90天：2026-10-06、2026-10-07、2026-10-12、2026-10-13、2026-10-16；180天：2026-10-06、2026-10-07、2026-10-12、2026-10-13、2026-10-16</v>
      </c>
      <c r="BM198" s="8" t="str">
        <v>2026-10：12天 × 1.2247029157699902；2026-11：30天 × 0.8332682139098497；2026-12：31天 × 0.5511018253564084；2027-01：17天 × 1.0017220238758797</v>
      </c>
      <c r="BN198" s="11" t="n">
        <v>1.2247029157699902</v>
      </c>
      <c r="BO198" s="11" t="n">
        <v>0.8332682139098497</v>
      </c>
      <c r="BP198" s="11" t="n">
        <v>0.5511018253564084</v>
      </c>
      <c r="BQ198" s="11" t="n">
        <v>1.0017220238758797</v>
      </c>
      <c r="BR198" s="8" t="n">
        <v>12</v>
      </c>
      <c r="BS198" s="8" t="n">
        <v>30</v>
      </c>
      <c r="BT198" s="8" t="n">
        <v>31</v>
      </c>
      <c r="BU198" s="8" t="n">
        <v>17</v>
      </c>
      <c r="BV198" s="11" t="n">
        <f>IF(COUNT(BC198,BF198)=2,BC198*BF198,"")</f>
        <v>0.021151454283721286</v>
      </c>
      <c r="BW198" s="11" t="n">
        <f>IF(ISNUMBER(BN198),BN198,"")</f>
        <v>1.2247029157699902</v>
      </c>
      <c r="BX198" s="14" t="n">
        <f>IF(ISNUMBER(BR198),BR198,"")</f>
        <v>12</v>
      </c>
      <c r="BY198" s="13" t="n">
        <f>IF(AND(COUNT(BV198,BW198,BX198)=3,MIN(BV198,BW198,BX198)&gt;=0),BV198*BW198*BX198,"")</f>
        <v>0.3108509728085893</v>
      </c>
      <c r="BZ198" s="11" t="n">
        <f>IF(ISNUMBER(BO198),BO198,"")</f>
        <v>0.8332682139098497</v>
      </c>
      <c r="CA198" s="14" t="n">
        <f>IF(ISNUMBER(BS198),BS198,"")</f>
        <v>30</v>
      </c>
      <c r="CB198" s="13" t="n">
        <f>IF(AND(COUNT(BV198,BZ198,CA198)=3,MIN(BV198,BZ198,CA198)&gt;=0),BV198*BZ198*CA198,"")</f>
        <v>0.5287450359777682</v>
      </c>
      <c r="CC198" s="11" t="n">
        <f>IF(ISNUMBER(BP198),BP198,"")</f>
        <v>0.5511018253564084</v>
      </c>
      <c r="CD198" s="14" t="n">
        <f>IF(ISNUMBER(BT198),BT198,"")</f>
        <v>31</v>
      </c>
      <c r="CE198" s="13" t="n">
        <f>IF(AND(COUNT(BV198,CC198,CD198)=3,MIN(BV198,CC198,CD198)&gt;=0),BV198*CC198*CD198,"")</f>
        <v>0.36135475700574415</v>
      </c>
      <c r="CF198" s="11" t="n">
        <f>IF(ISNUMBER(BQ198),BQ198,"")</f>
        <v>1.0017220238758797</v>
      </c>
      <c r="CG198" s="14" t="n">
        <f>IF(ISNUMBER(BU198),BU198,"")</f>
        <v>17</v>
      </c>
      <c r="CH198" s="13" t="n">
        <f>IF(AND(COUNT(BV198,CF198,CG198)=3,MIN(BV198,CF198,CG198)&gt;=0),BV198*CF198*CG198,"")</f>
        <v>0.36019391908112636</v>
      </c>
      <c r="CI198" s="13" t="n">
        <f>IF(COUNT(BY198,CB198,CE198,CH198)=4,SUM(BY198,CB198,CE198,CH198),"")</f>
        <v>1.561144684873228</v>
      </c>
    </row>
    <row r="199" ht="72" customHeight="1">
      <c r="A199" s="16" t="str">
        <v>1S01-SB-40</v>
      </c>
      <c r="B199" s="16" t="str">
        <v>3店-SANDIEX-US</v>
      </c>
      <c r="C199" s="16" t="str">
        <v>徐新怡</v>
      </c>
      <c r="D199" s="26" t="n">
        <f>IF(NOT(ISNUMBER(E199)),"",IF(OR(E199&lt;=0,L199=0),0,IF(OR(NOT(ISNUMBER(F199)),F199&lt;0),"",MIN(E199,INT(F199)))))</f>
        <v>1</v>
      </c>
      <c r="E199" s="27" t="n">
        <f>IF(OR(NOT(ISNUMBER(L199)),COUNT(M199:O199)&lt;&gt;3,MIN(M199:O199)&lt;0),"",ROUNDUP(ROUND(BI199-SUM(M199:O199),10),0))</f>
        <v>32</v>
      </c>
      <c r="F199" s="28" t="n">
        <v>1</v>
      </c>
      <c r="G199" s="28" t="n">
        <f>IF(AND(ISNUMBER(D199),ISNUMBER(E199)),IF(OR(E199&lt;=0,L199=0),0,E199-D199),"")</f>
        <v>31</v>
      </c>
      <c r="H199" s="16" t="str">
        <f>IF(NOT(ISNUMBER(E199)),"销量或海外库存待补",IF(OR(E199&lt;=0,L199=0),IF(L199=0,"零日销，本批不发","本批无需补货"),IF(NOT(ISNUMBER(D199)),"国内库存待补",IF(D199=0,"国内无可用库存",IF(G199&gt;0,"先发国内现货","按建议量发货")))))</f>
        <v>先发国内现货</v>
      </c>
      <c r="I199" s="28" t="n">
        <f>IF(AND(COUNT(Z199,AA199,AB199)=3,Z199&gt;=AA199,AA199&gt;=0,AB199=7),Z199-AA199,"")</f>
        <v>3</v>
      </c>
      <c r="J199" s="28" t="n">
        <f>IF(AND(COUNT(AF199,AG199,AH199)=3,AF199&gt;=AG199,AG199&gt;=0,AH199=14),AF199-AG199,"")</f>
        <v>6</v>
      </c>
      <c r="K199" s="28" t="n">
        <f>IF(AND(COUNT(AL199,AM199,AN199)=3,AL199&gt;=AM199,AM199&gt;=0,AN199=30),AL199-AM199,"")</f>
        <v>12</v>
      </c>
      <c r="L199" s="29" t="n">
        <f>IF(ISNUMBER(BI199),BI199/90,"")</f>
        <v>0.4436326162512923</v>
      </c>
      <c r="M199" s="28" t="n">
        <v>5</v>
      </c>
      <c r="N199" s="28" t="n">
        <v>0</v>
      </c>
      <c r="O199" s="28" t="n">
        <v>3</v>
      </c>
      <c r="P199" s="30" t="n">
        <f>IF(AND(ISNUMBER(L199),L199&gt;0,COUNT(M199:O199)=3,MIN(M199:O199)&gt;=0),SUM(M199:O199)/L199,"")</f>
        <v>18.03293920902439</v>
      </c>
      <c r="Q199" s="16" t="str">
        <v>沿用原计划SKU店铺</v>
      </c>
      <c r="R199" s="16" t="str">
        <v>已匹配</v>
      </c>
      <c r="S199" s="16" t="str">
        <v>在售</v>
      </c>
      <c r="T199" s="16" t="str">
        <v>1S01</v>
      </c>
      <c r="U199" s="16" t="str">
        <v>黑色蛇纹</v>
      </c>
      <c r="V199" s="16" t="n">
        <v>9</v>
      </c>
      <c r="W199" s="8" t="str">
        <v>2026-10-11 至 2026-10-17</v>
      </c>
      <c r="X199" s="8" t="str">
        <v>2026-10-11、2026-10-12、2026-10-13、2026-10-14、2026-10-15、2026-10-16、2026-10-17</v>
      </c>
      <c r="Y199" s="8" t="str">
        <v>无</v>
      </c>
      <c r="Z199" s="8" t="n">
        <v>3</v>
      </c>
      <c r="AA199" s="8" t="n">
        <v>0</v>
      </c>
      <c r="AB199" s="8" t="n">
        <v>7</v>
      </c>
      <c r="AC199" s="8" t="str">
        <v>2026-10-02 至 2026-10-17</v>
      </c>
      <c r="AD199" s="8" t="str">
        <v>2026-10-02、2026-10-03、2026-10-04、2026-10-05、2026-10-08、2026-10-09、2026-10-10、2026-10-11、2026-10-12、2026-10-13、2026-10-14、2026-10-15、2026-10-16、2026-10-17</v>
      </c>
      <c r="AE199" s="8" t="str">
        <v>2026-10-06 大促；2026-10-07 大促</v>
      </c>
      <c r="AF199" s="8" t="n">
        <v>8</v>
      </c>
      <c r="AG199" s="8" t="n">
        <v>2</v>
      </c>
      <c r="AH199" s="8" t="n">
        <v>14</v>
      </c>
      <c r="AI199" s="8" t="str">
        <v>2026-09-16 至 2026-10-17</v>
      </c>
      <c r="AJ1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99" s="8" t="str">
        <v>2026-10-06 大促；2026-10-07 大促</v>
      </c>
      <c r="AL199" s="8" t="n">
        <v>14</v>
      </c>
      <c r="AM199" s="8" t="n">
        <v>2</v>
      </c>
      <c r="AN199" s="8" t="n">
        <v>30</v>
      </c>
      <c r="AO199" s="8" t="str">
        <v>1S01 / 黑色蛇纹PU / 6574</v>
      </c>
      <c r="AP199" s="11" t="n">
        <v>0.8729500662042875</v>
      </c>
      <c r="AQ199" s="11" t="n">
        <v>0.8729500662042875</v>
      </c>
      <c r="AR199" s="11" t="n">
        <v>1.0921363354767095</v>
      </c>
      <c r="AS199" s="11" t="n">
        <f>IF(AND(COUNT(I199:K199,AP199:AR199)=6,MIN(AP199:AR199)&gt;0),I199/7/AP199*0.5+J199/14/AQ199*0.3+K199/30/AR199*0.2,"")</f>
        <v>0.4660078061649074</v>
      </c>
      <c r="AT199" s="8" t="n">
        <v>36</v>
      </c>
      <c r="AU199" s="8" t="n">
        <v>2</v>
      </c>
      <c r="AV199" s="8" t="n">
        <v>88</v>
      </c>
      <c r="AW199" s="11" t="n">
        <f>IF(AND(COUNT(AT199:AV199)=3,AT199&gt;=AU199,AU199&gt;=0,AV199&gt;0),(AT199-AU199)/AV199,"")</f>
        <v>0.38636363636363635</v>
      </c>
      <c r="AX199" s="8" t="n">
        <v>67</v>
      </c>
      <c r="AY199" s="8" t="n">
        <v>2</v>
      </c>
      <c r="AZ199" s="8" t="n">
        <v>178</v>
      </c>
      <c r="BA199" s="11" t="n">
        <f>IF(AND(COUNT(AX199:AZ199)=3,AX199&gt;=AY199,AY199&gt;=0,AZ199&gt;0),(AX199-AY199)/AZ199,"")</f>
        <v>0.3651685393258427</v>
      </c>
      <c r="BB199" s="8" t="n">
        <f>IF(COUNT(AS199,AW199,BA199)=3,1,0)</f>
        <v>1</v>
      </c>
      <c r="BC199" s="11" t="n">
        <f>IF(SUMIF($AO$11:$AO$1309,AO199,$BB$11:$BB$1309)=COUNTIF($AO$11:$AO$1309,AO199),SUMIF($AO$11:$AO$1309,AO199,$AS$11:$AS$1309),"")</f>
        <v>1.001631473973664</v>
      </c>
      <c r="BD199" s="11" t="n">
        <f>IF(SUMIF($AO$11:$AO$1309,AO199,$BB$11:$BB$1309)=COUNTIF($AO$11:$AO$1309,AO199),SUMIF($AO$11:$AO$1309,AO199,$AW$11:$AW$1309),"")</f>
        <v>0.6254010695187165</v>
      </c>
      <c r="BE199" s="11" t="n">
        <f>IF(SUMIF($AO$11:$AO$1309,AO199,$BB$11:$BB$1309)=COUNTIF($AO$11:$AO$1309,AO199),SUMIF($AO$11:$AO$1309,AO199,$BA$11:$BA$1309),"")</f>
        <v>0.5735152487961477</v>
      </c>
      <c r="BF199" s="12" t="n">
        <f>IF(COUNT(BD199:BE199)&lt;&gt;2,"",IF(AND(BD199&gt;0,BE199&gt;0),0.7*AW199/BD199+0.3*BA199/BE199,IF(BD199&gt;0,AW199/BD199,IF(BE199&gt;0,BA199/BE199,IF(AND(ISNUMBER(BH199),BH199=0),0,"")))))</f>
        <v>0.6234657178374649</v>
      </c>
      <c r="BG199" s="11" t="n">
        <f>IF(AND(COUNT(BN199:BU199)=8,MIN(BN199:BU199)&gt;=0),SUMPRODUCT(BN199:BQ199,BR199:BU199),"")</f>
        <v>63.935996265425516</v>
      </c>
      <c r="BH199" s="11" t="n">
        <f>IF(COUNT(BC199,BG199)=2,BC199*BG199,"")</f>
        <v>64.04030617931284</v>
      </c>
      <c r="BI199" s="11" t="n">
        <f>IF(ISNUMBER(CI199),CI199,"")</f>
        <v>39.926935462616306</v>
      </c>
      <c r="BJ199" s="8" t="str"/>
      <c r="BK199" s="8" t="str">
        <v>90天：2026-07-20 至 2026-10-17；180天：2026-04-21 至 2026-10-17</v>
      </c>
      <c r="BL199" s="8" t="str">
        <v>90天：2026-10-06、2026-10-07；180天：2026-10-06、2026-10-07</v>
      </c>
      <c r="BM199" s="8" t="str">
        <v>2026-10：12天 × 0.8729500662042875；2026-11：30天 × 0.8057375774163482；2026-12：31天 × 0.532550303142279；2027-01：17天 × 0.7517299265337036</v>
      </c>
      <c r="BN199" s="11" t="n">
        <v>0.8729500662042875</v>
      </c>
      <c r="BO199" s="11" t="n">
        <v>0.8057375774163482</v>
      </c>
      <c r="BP199" s="11" t="n">
        <v>0.532550303142279</v>
      </c>
      <c r="BQ199" s="11" t="n">
        <v>0.7517299265337036</v>
      </c>
      <c r="BR199" s="8" t="n">
        <v>12</v>
      </c>
      <c r="BS199" s="8" t="n">
        <v>30</v>
      </c>
      <c r="BT199" s="8" t="n">
        <v>31</v>
      </c>
      <c r="BU199" s="8" t="n">
        <v>17</v>
      </c>
      <c r="BV199" s="11" t="n">
        <f>IF(COUNT(BC199,BF199)=2,BC199*BF199,"")</f>
        <v>0.6244828859295884</v>
      </c>
      <c r="BW199" s="11" t="n">
        <f>IF(ISNUMBER(BN199),BN199,"")</f>
        <v>0.8729500662042875</v>
      </c>
      <c r="BX199" s="14" t="n">
        <f>IF(ISNUMBER(BR199),BR199,"")</f>
        <v>12</v>
      </c>
      <c r="BY199" s="13" t="n">
        <f>IF(AND(COUNT(BV199,BW199,BX199)=3,MIN(BV199,BW199,BX199)&gt;=0),BV199*BW199*BX199,"")</f>
        <v>6.541708519388145</v>
      </c>
      <c r="BZ199" s="11" t="n">
        <f>IF(ISNUMBER(BO199),BO199,"")</f>
        <v>0.8057375774163482</v>
      </c>
      <c r="CA199" s="14" t="n">
        <f>IF(ISNUMBER(BS199),BS199,"")</f>
        <v>30</v>
      </c>
      <c r="CB199" s="13" t="n">
        <f>IF(AND(COUNT(BV199,BZ199,CA199)=3,MIN(BV199,BZ199,CA199)&gt;=0),BV199*BZ199*CA199,"")</f>
        <v>15.095079829406288</v>
      </c>
      <c r="CC199" s="11" t="n">
        <f>IF(ISNUMBER(BP199),BP199,"")</f>
        <v>0.532550303142279</v>
      </c>
      <c r="CD199" s="14" t="n">
        <f>IF(ISNUMBER(BT199),BT199,"")</f>
        <v>31</v>
      </c>
      <c r="CE199" s="13" t="n">
        <f>IF(AND(COUNT(BV199,CC199,CD199)=3,MIN(BV199,CC199,CD199)&gt;=0),BV199*CC199*CD199,"")</f>
        <v>10.309625056477994</v>
      </c>
      <c r="CF199" s="11" t="n">
        <f>IF(ISNUMBER(BQ199),BQ199,"")</f>
        <v>0.7517299265337036</v>
      </c>
      <c r="CG199" s="14" t="n">
        <f>IF(ISNUMBER(BU199),BU199,"")</f>
        <v>17</v>
      </c>
      <c r="CH199" s="13" t="n">
        <f>IF(AND(COUNT(BV199,CF199,CG199)=3,MIN(BV199,CF199,CG199)&gt;=0),BV199*CF199*CG199,"")</f>
        <v>7.980522057343881</v>
      </c>
      <c r="CI199" s="13" t="n">
        <f>IF(COUNT(BY199,CB199,CE199,CH199)=4,SUM(BY199,CB199,CE199,CH199),"")</f>
        <v>39.926935462616306</v>
      </c>
    </row>
    <row r="200" ht="72" customHeight="1">
      <c r="A200" s="16" t="str">
        <v>B07-LP-38-by</v>
      </c>
      <c r="B200" s="16" t="str">
        <v>4店-彬郁-US</v>
      </c>
      <c r="C200" s="16" t="str">
        <v>艾年</v>
      </c>
      <c r="D200" s="26" t="n">
        <f>IF(NOT(ISNUMBER(E200)),"",IF(OR(E200&lt;=0,L200=0),0,IF(OR(NOT(ISNUMBER(F200)),F200&lt;0),"",MIN(E200,INT(F200)))))</f>
        <v>1</v>
      </c>
      <c r="E200" s="27" t="n">
        <f>IF(OR(NOT(ISNUMBER(L200)),COUNT(M200:O200)&lt;&gt;3,MIN(M200:O200)&lt;0),"",ROUNDUP(ROUND(BI200-SUM(M200:O200),10),0))</f>
        <v>30</v>
      </c>
      <c r="F200" s="28" t="n">
        <v>1</v>
      </c>
      <c r="G200" s="28" t="n">
        <f>IF(AND(ISNUMBER(D200),ISNUMBER(E200)),IF(OR(E200&lt;=0,L200=0),0,E200-D200),"")</f>
        <v>29</v>
      </c>
      <c r="H200" s="16" t="str">
        <f>IF(NOT(ISNUMBER(E200)),"销量或海外库存待补",IF(OR(E200&lt;=0,L200=0),IF(L200=0,"零日销，本批不发","本批无需补货"),IF(NOT(ISNUMBER(D200)),"国内库存待补",IF(D200=0,"国内无可用库存",IF(G200&gt;0,"先发国内现货","按建议量发货")))))</f>
        <v>先发国内现货</v>
      </c>
      <c r="I200" s="28" t="n">
        <f>IF(AND(COUNT(Z200,AA200,AB200)=3,Z200&gt;=AA200,AA200&gt;=0,AB200=7),Z200-AA200,"")</f>
        <v>1</v>
      </c>
      <c r="J200" s="28" t="n">
        <f>IF(AND(COUNT(AF200,AG200,AH200)=3,AF200&gt;=AG200,AG200&gt;=0,AH200=14),AF200-AG200,"")</f>
        <v>3</v>
      </c>
      <c r="K200" s="28" t="n">
        <f>IF(AND(COUNT(AL200,AM200,AN200)=3,AL200&gt;=AM200,AM200&gt;=0,AN200=30),AL200-AM200,"")</f>
        <v>5</v>
      </c>
      <c r="L200" s="29" t="n">
        <f>IF(ISNUMBER(BI200),BI200/90,"")</f>
        <v>0.351550567112969</v>
      </c>
      <c r="M200" s="28" t="n">
        <v>2</v>
      </c>
      <c r="N200" s="28" t="n">
        <v>0</v>
      </c>
      <c r="O200" s="28" t="n">
        <v>0</v>
      </c>
      <c r="P200" s="30" t="n">
        <f>IF(AND(ISNUMBER(L200),L200&gt;0,COUNT(M200:O200)=3,MIN(M200:O200)&gt;=0),SUM(M200:O200)/L200,"")</f>
        <v>5.689081990180122</v>
      </c>
      <c r="Q200" s="16" t="str">
        <v>沿用原计划SKU店铺</v>
      </c>
      <c r="R200" s="16" t="str">
        <v>已匹配</v>
      </c>
      <c r="S200" s="16" t="str">
        <v>在售</v>
      </c>
      <c r="T200" s="16" t="str">
        <v>B07</v>
      </c>
      <c r="U200" s="16" t="str">
        <v>豹纹羊京绒</v>
      </c>
      <c r="V200" s="16" t="n">
        <v>7</v>
      </c>
      <c r="W200" s="8" t="str">
        <v>2026-10-11 至 2026-10-17</v>
      </c>
      <c r="X200" s="8" t="str">
        <v>2026-10-11、2026-10-12、2026-10-13、2026-10-14、2026-10-15、2026-10-16、2026-10-17</v>
      </c>
      <c r="Y200" s="8" t="str">
        <v>无</v>
      </c>
      <c r="Z200" s="8" t="n">
        <v>1</v>
      </c>
      <c r="AA200" s="8" t="n">
        <v>0</v>
      </c>
      <c r="AB200" s="8" t="n">
        <v>7</v>
      </c>
      <c r="AC200" s="8" t="str">
        <v>2026-10-02 至 2026-10-17</v>
      </c>
      <c r="AD200" s="8" t="str">
        <v>2026-10-02、2026-10-03、2026-10-04、2026-10-05、2026-10-08、2026-10-09、2026-10-10、2026-10-11、2026-10-12、2026-10-13、2026-10-14、2026-10-15、2026-10-16、2026-10-17</v>
      </c>
      <c r="AE200" s="8" t="str">
        <v>2026-10-06 大促；2026-10-07 大促</v>
      </c>
      <c r="AF200" s="8" t="n">
        <v>3</v>
      </c>
      <c r="AG200" s="8" t="n">
        <v>0</v>
      </c>
      <c r="AH200" s="8" t="n">
        <v>14</v>
      </c>
      <c r="AI200" s="8" t="str">
        <v>2026-09-16 至 2026-10-17</v>
      </c>
      <c r="AJ2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0" s="8" t="str">
        <v>2026-10-06 大促；2026-10-07 大促</v>
      </c>
      <c r="AL200" s="8" t="n">
        <v>5</v>
      </c>
      <c r="AM200" s="8" t="n">
        <v>0</v>
      </c>
      <c r="AN200" s="8" t="n">
        <v>30</v>
      </c>
      <c r="AO200" s="8" t="str">
        <v>B07 / 豹纹羊京绒 / 13306</v>
      </c>
      <c r="AP200" s="11" t="n">
        <v>0.7307750238224848</v>
      </c>
      <c r="AQ200" s="11" t="n">
        <v>0.7307750238224848</v>
      </c>
      <c r="AR200" s="11" t="n">
        <v>0.7449809054134506</v>
      </c>
      <c r="AS200" s="11" t="n">
        <f>IF(AND(COUNT(I200:K200,AP200:AR200)=6,MIN(AP200:AR200)&gt;0),I200/7/AP200*0.5+J200/14/AQ200*0.3+K200/30/AR200*0.2,"")</f>
        <v>0.23045668961264681</v>
      </c>
      <c r="AT200" s="8" t="n">
        <v>22</v>
      </c>
      <c r="AU200" s="8" t="n">
        <v>0</v>
      </c>
      <c r="AV200" s="8" t="n">
        <v>88</v>
      </c>
      <c r="AW200" s="11" t="n">
        <f>IF(AND(COUNT(AT200:AV200)=3,AT200&gt;=AU200,AU200&gt;=0,AV200&gt;0),(AT200-AU200)/AV200,"")</f>
        <v>0.25</v>
      </c>
      <c r="AX200" s="8" t="n">
        <v>44</v>
      </c>
      <c r="AY200" s="8" t="n">
        <v>0</v>
      </c>
      <c r="AZ200" s="8" t="n">
        <v>178</v>
      </c>
      <c r="BA200" s="11" t="n">
        <f>IF(AND(COUNT(AX200:AZ200)=3,AX200&gt;=AY200,AY200&gt;=0,AZ200&gt;0),(AX200-AY200)/AZ200,"")</f>
        <v>0.24719101123595505</v>
      </c>
      <c r="BB200" s="8" t="n">
        <f>IF(COUNT(AS200,AW200,BA200)=3,1,0)</f>
        <v>1</v>
      </c>
      <c r="BC200" s="11" t="n">
        <f>IF(SUMIF($AO$11:$AO$1309,AO200,$BB$11:$BB$1309)=COUNTIF($AO$11:$AO$1309,AO200),SUMIF($AO$11:$AO$1309,AO200,$AS$11:$AS$1309),"")</f>
        <v>6.767888169262786</v>
      </c>
      <c r="BD200" s="11" t="n">
        <f>IF(SUMIF($AO$11:$AO$1309,AO200,$BB$11:$BB$1309)=COUNTIF($AO$11:$AO$1309,AO200),SUMIF($AO$11:$AO$1309,AO200,$AW$11:$AW$1309),"")</f>
        <v>4.467607105538139</v>
      </c>
      <c r="BE200" s="11" t="n">
        <f>IF(SUMIF($AO$11:$AO$1309,AO200,$BB$11:$BB$1309)=COUNTIF($AO$11:$AO$1309,AO200),SUMIF($AO$11:$AO$1309,AO200,$BA$11:$BA$1309),"")</f>
        <v>3.6192153875452298</v>
      </c>
      <c r="BF200" s="12" t="n">
        <f>IF(COUNT(BD200:BE200)&lt;&gt;2,"",IF(AND(BD200&gt;0,BE200&gt;0),0.7*AW200/BD200+0.3*BA200/BE200,IF(BD200&gt;0,AW200/BD200,IF(BE200&gt;0,BA200/BE200,IF(AND(ISNUMBER(BH200),BH200=0),0,"")))))</f>
        <v>0.05966074118453114</v>
      </c>
      <c r="BG200" s="11" t="n">
        <f>IF(AND(COUNT(BN200:BU200)=8,MIN(BN200:BU200)&gt;=0),SUMPRODUCT(BN200:BQ200,BR200:BU200),"")</f>
        <v>78.35892944347341</v>
      </c>
      <c r="BH200" s="11" t="n">
        <f>IF(COUNT(BC200,BG200)=2,BC200*BG200,"")</f>
        <v>530.3244715365811</v>
      </c>
      <c r="BI200" s="11" t="n">
        <f>IF(ISNUMBER(CI200),CI200,"")</f>
        <v>31.639551040167213</v>
      </c>
      <c r="BJ200" s="8" t="str"/>
      <c r="BK200" s="8" t="str">
        <v>90天：2026-07-20 至 2026-10-17；180天：2026-04-21 至 2026-10-17</v>
      </c>
      <c r="BL200" s="8" t="str">
        <v>90天：2026-10-06、2026-10-07；180天：2026-10-06、2026-10-07</v>
      </c>
      <c r="BM200" s="8" t="str">
        <v>2026-10：12天 × 0.7307750238224848；2026-11：30天 × 0.9523018155490097；2026-12：31天 × 0.5958545198749097；2027-01：17天 × 1.3264167397065354</v>
      </c>
      <c r="BN200" s="11" t="n">
        <v>0.7307750238224848</v>
      </c>
      <c r="BO200" s="11" t="n">
        <v>0.9523018155490097</v>
      </c>
      <c r="BP200" s="11" t="n">
        <v>0.5958545198749097</v>
      </c>
      <c r="BQ200" s="11" t="n">
        <v>1.3264167397065354</v>
      </c>
      <c r="BR200" s="8" t="n">
        <v>12</v>
      </c>
      <c r="BS200" s="8" t="n">
        <v>30</v>
      </c>
      <c r="BT200" s="8" t="n">
        <v>31</v>
      </c>
      <c r="BU200" s="8" t="n">
        <v>17</v>
      </c>
      <c r="BV200" s="11" t="n">
        <f>IF(COUNT(BC200,BF200)=2,BC200*BF200,"")</f>
        <v>0.40377722443223735</v>
      </c>
      <c r="BW200" s="11" t="n">
        <f>IF(ISNUMBER(BN200),BN200,"")</f>
        <v>0.7307750238224848</v>
      </c>
      <c r="BX200" s="14" t="n">
        <f>IF(ISNUMBER(BR200),BR200,"")</f>
        <v>12</v>
      </c>
      <c r="BY200" s="13" t="n">
        <f>IF(AND(COUNT(BV200,BW200,BX200)=3,MIN(BV200,BW200,BX200)&gt;=0),BV200*BW200*BX200,"")</f>
        <v>3.5408437296413404</v>
      </c>
      <c r="BZ200" s="11" t="n">
        <f>IF(ISNUMBER(BO200),BO200,"")</f>
        <v>0.9523018155490097</v>
      </c>
      <c r="CA200" s="14" t="n">
        <f>IF(ISNUMBER(BS200),BS200,"")</f>
        <v>30</v>
      </c>
      <c r="CB200" s="13" t="n">
        <f>IF(AND(COUNT(BV200,BZ200,CA200)=3,MIN(BV200,BZ200,CA200)&gt;=0),BV200*BZ200*CA200,"")</f>
        <v>11.535533517124787</v>
      </c>
      <c r="CC200" s="11" t="n">
        <f>IF(ISNUMBER(BP200),BP200,"")</f>
        <v>0.5958545198749097</v>
      </c>
      <c r="CD200" s="14" t="n">
        <f>IF(ISNUMBER(BT200),BT200,"")</f>
        <v>31</v>
      </c>
      <c r="CE200" s="13" t="n">
        <f>IF(AND(COUNT(BV200,CC200,CD200)=3,MIN(BV200,CC200,CD200)&gt;=0),BV200*CC200*CD200,"")</f>
        <v>7.458367010215327</v>
      </c>
      <c r="CF200" s="11" t="n">
        <f>IF(ISNUMBER(BQ200),BQ200,"")</f>
        <v>1.3264167397065354</v>
      </c>
      <c r="CG200" s="14" t="n">
        <f>IF(ISNUMBER(BU200),BU200,"")</f>
        <v>17</v>
      </c>
      <c r="CH200" s="13" t="n">
        <f>IF(AND(COUNT(BV200,CF200,CG200)=3,MIN(BV200,CF200,CG200)&gt;=0),BV200*CF200*CG200,"")</f>
        <v>9.104806783185758</v>
      </c>
      <c r="CI200" s="13" t="n">
        <f>IF(COUNT(BY200,CB200,CE200,CH200)=4,SUM(BY200,CB200,CE200,CH200),"")</f>
        <v>31.639551040167213</v>
      </c>
    </row>
    <row r="201" ht="72" customHeight="1">
      <c r="A201" s="16" t="str">
        <v>S02a-BK-42</v>
      </c>
      <c r="B201" s="16" t="str">
        <v>3店-SANDIEX-US</v>
      </c>
      <c r="C201" s="16" t="str">
        <v>陈晨</v>
      </c>
      <c r="D201" s="26" t="n">
        <f>IF(NOT(ISNUMBER(E201)),"",IF(OR(E201&lt;=0,L201=0),0,IF(OR(NOT(ISNUMBER(F201)),F201&lt;0),"",MIN(E201,INT(F201)))))</f>
        <v>1</v>
      </c>
      <c r="E201" s="27" t="n">
        <f>IF(OR(NOT(ISNUMBER(L201)),COUNT(M201:O201)&lt;&gt;3,MIN(M201:O201)&lt;0),"",ROUNDUP(ROUND(BI201-SUM(M201:O201),10),0))</f>
        <v>24</v>
      </c>
      <c r="F201" s="28" t="n">
        <v>1</v>
      </c>
      <c r="G201" s="28" t="n">
        <f>IF(AND(ISNUMBER(D201),ISNUMBER(E201)),IF(OR(E201&lt;=0,L201=0),0,E201-D201),"")</f>
        <v>23</v>
      </c>
      <c r="H201" s="16" t="str">
        <f>IF(NOT(ISNUMBER(E201)),"销量或海外库存待补",IF(OR(E201&lt;=0,L201=0),IF(L201=0,"零日销，本批不发","本批无需补货"),IF(NOT(ISNUMBER(D201)),"国内库存待补",IF(D201=0,"国内无可用库存",IF(G201&gt;0,"先发国内现货","按建议量发货")))))</f>
        <v>先发国内现货</v>
      </c>
      <c r="I201" s="28" t="n">
        <f>IF(AND(COUNT(Z201,AA201,AB201)=3,Z201&gt;=AA201,AA201&gt;=0,AB201=7),Z201-AA201,"")</f>
        <v>1</v>
      </c>
      <c r="J201" s="28" t="n">
        <f>IF(AND(COUNT(AF201,AG201,AH201)=3,AF201&gt;=AG201,AG201&gt;=0,AH201=14),AF201-AG201,"")</f>
        <v>2</v>
      </c>
      <c r="K201" s="28" t="n">
        <f>IF(AND(COUNT(AL201,AM201,AN201)=3,AL201&gt;=AM201,AM201&gt;=0,AN201=30),AL201-AM201,"")</f>
        <v>5</v>
      </c>
      <c r="L201" s="29" t="n">
        <f>IF(ISNUMBER(BI201),BI201/90,"")</f>
        <v>0.38923596375323427</v>
      </c>
      <c r="M201" s="28" t="n">
        <v>0</v>
      </c>
      <c r="N201" s="28" t="n">
        <v>0</v>
      </c>
      <c r="O201" s="28" t="n">
        <v>12</v>
      </c>
      <c r="P201" s="30" t="n">
        <f>IF(AND(ISNUMBER(L201),L201&gt;0,COUNT(M201:O201)=3,MIN(M201:O201)&gt;=0),SUM(M201:O201)/L201,"")</f>
        <v>30.829628085465647</v>
      </c>
      <c r="Q201" s="16" t="str">
        <v>沿用原计划SKU店铺</v>
      </c>
      <c r="R201" s="16" t="str">
        <v>已匹配</v>
      </c>
      <c r="S201" s="16" t="str">
        <v>在售</v>
      </c>
      <c r="T201" s="16" t="str">
        <v>S02a</v>
      </c>
      <c r="U201" s="16" t="str">
        <v>黑色</v>
      </c>
      <c r="V201" s="16" t="n">
        <v>11</v>
      </c>
      <c r="W201" s="8" t="str">
        <v>2026-10-11 至 2026-10-17</v>
      </c>
      <c r="X201" s="8" t="str">
        <v>2026-10-11、2026-10-12、2026-10-13、2026-10-14、2026-10-15、2026-10-16、2026-10-17</v>
      </c>
      <c r="Y201" s="8" t="str">
        <v>无</v>
      </c>
      <c r="Z201" s="8" t="n">
        <v>1</v>
      </c>
      <c r="AA201" s="8" t="n">
        <v>0</v>
      </c>
      <c r="AB201" s="8" t="n">
        <v>7</v>
      </c>
      <c r="AC201" s="8" t="str">
        <v>2026-10-02 至 2026-10-17</v>
      </c>
      <c r="AD201" s="8" t="str">
        <v>2026-10-02、2026-10-03、2026-10-04、2026-10-05、2026-10-08、2026-10-09、2026-10-10、2026-10-11、2026-10-12、2026-10-13、2026-10-14、2026-10-15、2026-10-16、2026-10-17</v>
      </c>
      <c r="AE201" s="8" t="str">
        <v>2026-10-06 大促；2026-10-07 大促</v>
      </c>
      <c r="AF201" s="8" t="n">
        <v>3</v>
      </c>
      <c r="AG201" s="8" t="n">
        <v>1</v>
      </c>
      <c r="AH201" s="8" t="n">
        <v>14</v>
      </c>
      <c r="AI201" s="8" t="str">
        <v>2026-09-16 至 2026-10-17</v>
      </c>
      <c r="AJ2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1" s="8" t="str">
        <v>2026-10-06 大促；2026-10-07 大促</v>
      </c>
      <c r="AL201" s="8" t="n">
        <v>6</v>
      </c>
      <c r="AM201" s="8" t="n">
        <v>1</v>
      </c>
      <c r="AN201" s="8" t="n">
        <v>30</v>
      </c>
      <c r="AO201" s="8" t="str">
        <v>S02a / 黑色 / 6574</v>
      </c>
      <c r="AP201" s="11" t="n">
        <v>0.7647664488148722</v>
      </c>
      <c r="AQ201" s="11" t="n">
        <v>0.7647664488148722</v>
      </c>
      <c r="AR201" s="11" t="n">
        <v>0.8066052567225582</v>
      </c>
      <c r="AS201" s="11" t="n">
        <f>IF(AND(COUNT(I201:K201,AP201:AR201)=6,MIN(AP201:AR201)&gt;0),I201/7/AP201*0.5+J201/14/AQ201*0.3+K201/30/AR201*0.2,"")</f>
        <v>0.1907641736367151</v>
      </c>
      <c r="AT201" s="8" t="n">
        <v>17</v>
      </c>
      <c r="AU201" s="8" t="n">
        <v>1</v>
      </c>
      <c r="AV201" s="8" t="n">
        <v>88</v>
      </c>
      <c r="AW201" s="11" t="n">
        <f>IF(AND(COUNT(AT201:AV201)=3,AT201&gt;=AU201,AU201&gt;=0,AV201&gt;0),(AT201-AU201)/AV201,"")</f>
        <v>0.18181818181818182</v>
      </c>
      <c r="AX201" s="8" t="n">
        <v>26</v>
      </c>
      <c r="AY201" s="8" t="n">
        <v>1</v>
      </c>
      <c r="AZ201" s="8" t="n">
        <v>178</v>
      </c>
      <c r="BA201" s="11" t="n">
        <f>IF(AND(COUNT(AX201:AZ201)=3,AX201&gt;=AY201,AY201&gt;=0,AZ201&gt;0),(AX201-AY201)/AZ201,"")</f>
        <v>0.1404494382022472</v>
      </c>
      <c r="BB201" s="8" t="n">
        <f>IF(COUNT(AS201,AW201,BA201)=3,1,0)</f>
        <v>1</v>
      </c>
      <c r="BC201" s="11" t="n">
        <f>IF(SUMIF($AO$11:$AO$1309,AO201,$BB$11:$BB$1309)=COUNTIF($AO$11:$AO$1309,AO201),SUMIF($AO$11:$AO$1309,AO201,$AS$11:$AS$1309),"")</f>
        <v>1.8937291591853285</v>
      </c>
      <c r="BD201" s="11" t="n">
        <f>IF(SUMIF($AO$11:$AO$1309,AO201,$BB$11:$BB$1309)=COUNTIF($AO$11:$AO$1309,AO201),SUMIF($AO$11:$AO$1309,AO201,$AW$11:$AW$1309),"")</f>
        <v>1.0754010695187166</v>
      </c>
      <c r="BE201" s="11" t="n">
        <f>IF(SUMIF($AO$11:$AO$1309,AO201,$BB$11:$BB$1309)=COUNTIF($AO$11:$AO$1309,AO201),SUMIF($AO$11:$AO$1309,AO201,$BA$11:$BA$1309),"")</f>
        <v>0.9853611556982342</v>
      </c>
      <c r="BF201" s="12" t="n">
        <f>IF(COUNT(BD201:BE201)&lt;&gt;2,"",IF(AND(BD201&gt;0,BE201&gt;0),0.7*AW201/BD201+0.3*BA201/BE201,IF(BD201&gt;0,AW201/BD201,IF(BE201&gt;0,BA201/BE201,IF(AND(ISNUMBER(BH201),BH201=0),0,"")))))</f>
        <v>0.16110988021605416</v>
      </c>
      <c r="BG201" s="11" t="n">
        <f>IF(AND(COUNT(BN201:BU201)=8,MIN(BN201:BU201)&gt;=0),SUMPRODUCT(BN201:BQ201,BR201:BU201),"")</f>
        <v>114.81944114457707</v>
      </c>
      <c r="BH201" s="11" t="n">
        <f>IF(COUNT(BC201,BG201)=2,BC201*BG201,"")</f>
        <v>217.43692373684925</v>
      </c>
      <c r="BI201" s="11" t="n">
        <f>IF(ISNUMBER(CI201),CI201,"")</f>
        <v>35.03123673779108</v>
      </c>
      <c r="BJ201" s="8" t="str"/>
      <c r="BK201" s="8" t="str">
        <v>90天：2026-07-20 至 2026-10-17；180天：2026-04-21 至 2026-10-17</v>
      </c>
      <c r="BL201" s="8" t="str">
        <v>90天：2026-10-06、2026-10-07；180天：2026-10-06、2026-10-07</v>
      </c>
      <c r="BM201" s="8" t="str">
        <v>2026-10：12天 × 0.7647664488148722；2026-11：30天 × 1.5248287781391903；2026-12：31天 × 1.2288250057360348；2027-01：17天 × 1.2825767786356366</v>
      </c>
      <c r="BN201" s="11" t="n">
        <v>0.7647664488148722</v>
      </c>
      <c r="BO201" s="11" t="n">
        <v>1.5248287781391903</v>
      </c>
      <c r="BP201" s="11" t="n">
        <v>1.2288250057360348</v>
      </c>
      <c r="BQ201" s="11" t="n">
        <v>1.2825767786356366</v>
      </c>
      <c r="BR201" s="8" t="n">
        <v>12</v>
      </c>
      <c r="BS201" s="8" t="n">
        <v>30</v>
      </c>
      <c r="BT201" s="8" t="n">
        <v>31</v>
      </c>
      <c r="BU201" s="8" t="n">
        <v>17</v>
      </c>
      <c r="BV201" s="11" t="n">
        <f>IF(COUNT(BC201,BF201)=2,BC201*BF201,"")</f>
        <v>0.3050984779979972</v>
      </c>
      <c r="BW201" s="11" t="n">
        <f>IF(ISNUMBER(BN201),BN201,"")</f>
        <v>0.7647664488148722</v>
      </c>
      <c r="BX201" s="14" t="n">
        <f>IF(ISNUMBER(BR201),BR201,"")</f>
        <v>12</v>
      </c>
      <c r="BY201" s="13" t="n">
        <f>IF(AND(COUNT(BV201,BW201,BX201)=3,MIN(BV201,BW201,BX201)&gt;=0),BV201*BW201*BX201,"")</f>
        <v>2.799948954688209</v>
      </c>
      <c r="BZ201" s="11" t="n">
        <f>IF(ISNUMBER(BO201),BO201,"")</f>
        <v>1.5248287781391903</v>
      </c>
      <c r="CA201" s="14" t="n">
        <f>IF(ISNUMBER(BS201),BS201,"")</f>
        <v>30</v>
      </c>
      <c r="CB201" s="13" t="n">
        <f>IF(AND(COUNT(BV201,BZ201,CA201)=3,MIN(BV201,BZ201,CA201)&gt;=0),BV201*BZ201*CA201,"")</f>
        <v>13.956688182534382</v>
      </c>
      <c r="CC201" s="11" t="n">
        <f>IF(ISNUMBER(BP201),BP201,"")</f>
        <v>1.2288250057360348</v>
      </c>
      <c r="CD201" s="14" t="n">
        <f>IF(ISNUMBER(BT201),BT201,"")</f>
        <v>31</v>
      </c>
      <c r="CE201" s="13" t="n">
        <f>IF(AND(COUNT(BV201,CC201,CD201)=3,MIN(BV201,CC201,CD201)&gt;=0),BV201*CC201*CD201,"")</f>
        <v>11.622291808254277</v>
      </c>
      <c r="CF201" s="11" t="n">
        <f>IF(ISNUMBER(BQ201),BQ201,"")</f>
        <v>1.2825767786356366</v>
      </c>
      <c r="CG201" s="14" t="n">
        <f>IF(ISNUMBER(BU201),BU201,"")</f>
        <v>17</v>
      </c>
      <c r="CH201" s="13" t="n">
        <f>IF(AND(COUNT(BV201,CF201,CG201)=3,MIN(BV201,CF201,CG201)&gt;=0),BV201*CF201*CG201,"")</f>
        <v>6.652307792314217</v>
      </c>
      <c r="CI201" s="13" t="n">
        <f>IF(COUNT(BY201,CB201,CE201,CH201)=4,SUM(BY201,CB201,CE201,CH201),"")</f>
        <v>35.03123673779108</v>
      </c>
    </row>
    <row r="202" ht="72" customHeight="1">
      <c r="A202" s="16" t="str">
        <v>8392-TN-38.5</v>
      </c>
      <c r="B202" s="16" t="str">
        <v>3店-SANDIEX-US</v>
      </c>
      <c r="C202" s="16" t="str">
        <v>徐新怡</v>
      </c>
      <c r="D202" s="26" t="n">
        <f>IF(NOT(ISNUMBER(E202)),"",IF(OR(E202&lt;=0,L202=0),0,IF(OR(NOT(ISNUMBER(F202)),F202&lt;0),"",MIN(E202,INT(F202)))))</f>
        <v>1</v>
      </c>
      <c r="E202" s="27" t="n">
        <f>IF(OR(NOT(ISNUMBER(L202)),COUNT(M202:O202)&lt;&gt;3,MIN(M202:O202)&lt;0),"",ROUNDUP(ROUND(BI202-SUM(M202:O202),10),0))</f>
        <v>14</v>
      </c>
      <c r="F202" s="28" t="n">
        <v>1</v>
      </c>
      <c r="G202" s="28" t="n">
        <f>IF(AND(ISNUMBER(D202),ISNUMBER(E202)),IF(OR(E202&lt;=0,L202=0),0,E202-D202),"")</f>
        <v>13</v>
      </c>
      <c r="H202" s="16" t="str">
        <f>IF(NOT(ISNUMBER(E202)),"销量或海外库存待补",IF(OR(E202&lt;=0,L202=0),IF(L202=0,"零日销，本批不发","本批无需补货"),IF(NOT(ISNUMBER(D202)),"国内库存待补",IF(D202=0,"国内无可用库存",IF(G202&gt;0,"先发国内现货","按建议量发货")))))</f>
        <v>先发国内现货</v>
      </c>
      <c r="I202" s="28" t="n">
        <f>IF(AND(COUNT(Z202,AA202,AB202)=3,Z202&gt;=AA202,AA202&gt;=0,AB202=7),Z202-AA202,"")</f>
        <v>0</v>
      </c>
      <c r="J202" s="28" t="n">
        <f>IF(AND(COUNT(AF202,AG202,AH202)=3,AF202&gt;=AG202,AG202&gt;=0,AH202=14),AF202-AG202,"")</f>
        <v>5</v>
      </c>
      <c r="K202" s="28" t="n">
        <f>IF(AND(COUNT(AL202,AM202,AN202)=3,AL202&gt;=AM202,AM202&gt;=0,AN202=30),AL202-AM202,"")</f>
        <v>6</v>
      </c>
      <c r="L202" s="29" t="n">
        <f>IF(ISNUMBER(BI202),BI202/90,"")</f>
        <v>0.19845365871099013</v>
      </c>
      <c r="M202" s="28" t="n">
        <v>4</v>
      </c>
      <c r="N202" s="28" t="n">
        <v>0</v>
      </c>
      <c r="O202" s="28" t="n">
        <v>0</v>
      </c>
      <c r="P202" s="30" t="n">
        <f>IF(AND(ISNUMBER(L202),L202&gt;0,COUNT(M202:O202)=3,MIN(M202:O202)&gt;=0),SUM(M202:O202)/L202,"")</f>
        <v>20.155839030537788</v>
      </c>
      <c r="Q202" s="16" t="str">
        <v>按本SKU唯一未删除Listing店铺核实</v>
      </c>
      <c r="R202" s="16" t="str">
        <v>已匹配</v>
      </c>
      <c r="S202" s="16" t="str">
        <v>在售</v>
      </c>
      <c r="T202" s="16" t="str">
        <v>8392</v>
      </c>
      <c r="U202" s="16" t="str">
        <v>驼色</v>
      </c>
      <c r="V202" s="16" t="n">
        <v>7.5</v>
      </c>
      <c r="W202" s="8" t="str">
        <v>2026-10-11 至 2026-10-17</v>
      </c>
      <c r="X202" s="8" t="str">
        <v>2026-10-11、2026-10-12、2026-10-13、2026-10-14、2026-10-15、2026-10-16、2026-10-17</v>
      </c>
      <c r="Y202" s="8" t="str">
        <v>无</v>
      </c>
      <c r="Z202" s="8" t="n">
        <v>0</v>
      </c>
      <c r="AA202" s="8" t="n">
        <v>0</v>
      </c>
      <c r="AB202" s="8" t="n">
        <v>7</v>
      </c>
      <c r="AC202" s="8" t="str">
        <v>2026-10-02 至 2026-10-17</v>
      </c>
      <c r="AD202" s="8" t="str">
        <v>2026-10-02、2026-10-03、2026-10-04、2026-10-05、2026-10-08、2026-10-09、2026-10-10、2026-10-11、2026-10-12、2026-10-13、2026-10-14、2026-10-15、2026-10-16、2026-10-17</v>
      </c>
      <c r="AE202" s="8" t="str">
        <v>2026-10-06 大促；2026-10-07 大促</v>
      </c>
      <c r="AF202" s="8" t="n">
        <v>7</v>
      </c>
      <c r="AG202" s="8" t="n">
        <v>2</v>
      </c>
      <c r="AH202" s="8" t="n">
        <v>14</v>
      </c>
      <c r="AI202" s="8" t="str">
        <v>2026-09-16 至 2026-10-17</v>
      </c>
      <c r="AJ2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2" s="8" t="str">
        <v>2026-10-06 大促；2026-10-07 大促</v>
      </c>
      <c r="AL202" s="8" t="n">
        <v>8</v>
      </c>
      <c r="AM202" s="8" t="n">
        <v>2</v>
      </c>
      <c r="AN202" s="8" t="n">
        <v>30</v>
      </c>
      <c r="AO202" s="8" t="str">
        <v>8392 / 驼色羊京绒 / 6574</v>
      </c>
      <c r="AP202" s="11" t="n">
        <v>1.1743420411079069</v>
      </c>
      <c r="AQ202" s="11" t="n">
        <v>1.1743420411079069</v>
      </c>
      <c r="AR202" s="11" t="n">
        <v>1.144331424468921</v>
      </c>
      <c r="AS202" s="11" t="n">
        <f>IF(AND(COUNT(I202:K202,AP202:AR202)=6,MIN(AP202:AR202)&gt;0),I202/7/AP202*0.5+J202/14/AQ202*0.3+K202/30/AR202*0.2,"")</f>
        <v>0.12619140787594074</v>
      </c>
      <c r="AT202" s="8" t="n">
        <v>10</v>
      </c>
      <c r="AU202" s="8" t="n">
        <v>2</v>
      </c>
      <c r="AV202" s="8" t="n">
        <v>88</v>
      </c>
      <c r="AW202" s="11" t="n">
        <f>IF(AND(COUNT(AT202:AV202)=3,AT202&gt;=AU202,AU202&gt;=0,AV202&gt;0),(AT202-AU202)/AV202,"")</f>
        <v>0.09090909090909091</v>
      </c>
      <c r="AX202" s="8" t="n">
        <v>23</v>
      </c>
      <c r="AY202" s="8" t="n">
        <v>2</v>
      </c>
      <c r="AZ202" s="8" t="n">
        <v>178</v>
      </c>
      <c r="BA202" s="11" t="n">
        <f>IF(AND(COUNT(AX202:AZ202)=3,AX202&gt;=AY202,AY202&gt;=0,AZ202&gt;0),(AX202-AY202)/AZ202,"")</f>
        <v>0.11797752808988764</v>
      </c>
      <c r="BB202" s="8" t="n">
        <f>IF(COUNT(AS202,AW202,BA202)=3,1,0)</f>
        <v>1</v>
      </c>
      <c r="BC202" s="11" t="n">
        <f>IF(SUMIF($AO$11:$AO$1309,AO202,$BB$11:$BB$1309)=COUNTIF($AO$11:$AO$1309,AO202),SUMIF($AO$11:$AO$1309,AO202,$AS$11:$AS$1309),"")</f>
        <v>0.7013954528820118</v>
      </c>
      <c r="BD202" s="11" t="n">
        <f>IF(SUMIF($AO$11:$AO$1309,AO202,$BB$11:$BB$1309)=COUNTIF($AO$11:$AO$1309,AO202),SUMIF($AO$11:$AO$1309,AO202,$AW$11:$AW$1309),"")</f>
        <v>0.33235294117647063</v>
      </c>
      <c r="BE202" s="11" t="n">
        <f>IF(SUMIF($AO$11:$AO$1309,AO202,$BB$11:$BB$1309)=COUNTIF($AO$11:$AO$1309,AO202),SUMIF($AO$11:$AO$1309,AO202,$BA$11:$BA$1309),"")</f>
        <v>0.4921348314606742</v>
      </c>
      <c r="BF202" s="12" t="n">
        <f>IF(COUNT(BD202:BE202)&lt;&gt;2,"",IF(AND(BD202&gt;0,BE202&gt;0),0.7*AW202/BD202+0.3*BA202/BE202,IF(BD202&gt;0,AW202/BD202,IF(BE202&gt;0,BA202/BE202,IF(AND(ISNUMBER(BH202),BH202=0),0,"")))))</f>
        <v>0.26339005278876776</v>
      </c>
      <c r="BG202" s="11" t="n">
        <f>IF(AND(COUNT(BN202:BU202)=8,MIN(BN202:BU202)&gt;=0),SUMPRODUCT(BN202:BQ202,BR202:BU202),"")</f>
        <v>96.68059267618935</v>
      </c>
      <c r="BH202" s="11" t="n">
        <f>IF(COUNT(BC202,BG202)=2,BC202*BG202,"")</f>
        <v>67.81132808501714</v>
      </c>
      <c r="BI202" s="11" t="n">
        <f>IF(ISNUMBER(CI202),CI202,"")</f>
        <v>17.860829283989112</v>
      </c>
      <c r="BJ202" s="8" t="str"/>
      <c r="BK202" s="8" t="str">
        <v>90天：2026-07-20 至 2026-10-17；180天：2026-04-21 至 2026-10-17</v>
      </c>
      <c r="BL202" s="8" t="str">
        <v>90天：2026-10-06、2026-10-07；180天：2026-10-06、2026-10-07</v>
      </c>
      <c r="BM202" s="8" t="str">
        <v>2026-10：12天 × 1.1743420411079069；2026-11：30天 × 1.281694931279211；2026-12：31天 × 0.9007634642750235；2027-01：17天 × 0.9537631089407297</v>
      </c>
      <c r="BN202" s="11" t="n">
        <v>1.1743420411079069</v>
      </c>
      <c r="BO202" s="11" t="n">
        <v>1.281694931279211</v>
      </c>
      <c r="BP202" s="11" t="n">
        <v>0.9007634642750235</v>
      </c>
      <c r="BQ202" s="11" t="n">
        <v>0.9537631089407297</v>
      </c>
      <c r="BR202" s="8" t="n">
        <v>12</v>
      </c>
      <c r="BS202" s="8" t="n">
        <v>30</v>
      </c>
      <c r="BT202" s="8" t="n">
        <v>31</v>
      </c>
      <c r="BU202" s="8" t="n">
        <v>17</v>
      </c>
      <c r="BV202" s="11" t="n">
        <f>IF(COUNT(BC202,BF202)=2,BC202*BF202,"")</f>
        <v>0.18474058536039475</v>
      </c>
      <c r="BW202" s="11" t="n">
        <f>IF(ISNUMBER(BN202),BN202,"")</f>
        <v>1.1743420411079069</v>
      </c>
      <c r="BX202" s="14" t="n">
        <f>IF(ISNUMBER(BR202),BR202,"")</f>
        <v>12</v>
      </c>
      <c r="BY202" s="13" t="n">
        <f>IF(AND(COUNT(BV202,BW202,BX202)=3,MIN(BV202,BW202,BX202)&gt;=0),BV202*BW202*BX202,"")</f>
        <v>2.6033836330511457</v>
      </c>
      <c r="BZ202" s="11" t="n">
        <f>IF(ISNUMBER(BO202),BO202,"")</f>
        <v>1.281694931279211</v>
      </c>
      <c r="CA202" s="14" t="n">
        <f>IF(ISNUMBER(BS202),BS202,"")</f>
        <v>30</v>
      </c>
      <c r="CB202" s="13" t="n">
        <f>IF(AND(COUNT(BV202,BZ202,CA202)=3,MIN(BV202,BZ202,CA202)&gt;=0),BV202*BZ202*CA202,"")</f>
        <v>7.103432155739171</v>
      </c>
      <c r="CC202" s="11" t="n">
        <f>IF(ISNUMBER(BP202),BP202,"")</f>
        <v>0.9007634642750235</v>
      </c>
      <c r="CD202" s="14" t="n">
        <f>IF(ISNUMBER(BT202),BT202,"")</f>
        <v>31</v>
      </c>
      <c r="CE202" s="13" t="n">
        <f>IF(AND(COUNT(BV202,CC202,CD202)=3,MIN(BV202,CC202,CD202)&gt;=0),BV202*CC202*CD202,"")</f>
        <v>5.1586346595041705</v>
      </c>
      <c r="CF202" s="11" t="n">
        <f>IF(ISNUMBER(BQ202),BQ202,"")</f>
        <v>0.9537631089407297</v>
      </c>
      <c r="CG202" s="14" t="n">
        <f>IF(ISNUMBER(BU202),BU202,"")</f>
        <v>17</v>
      </c>
      <c r="CH202" s="13" t="n">
        <f>IF(AND(COUNT(BV202,CF202,CG202)=3,MIN(BV202,CF202,CG202)&gt;=0),BV202*CF202*CG202,"")</f>
        <v>2.995378835694626</v>
      </c>
      <c r="CI202" s="13" t="n">
        <f>IF(COUNT(BY202,CB202,CE202,CH202)=4,SUM(BY202,CB202,CE202,CH202),"")</f>
        <v>17.860829283989112</v>
      </c>
    </row>
    <row r="203" ht="72" customHeight="1">
      <c r="A203" s="16" t="str">
        <v>B06-NY-39.5</v>
      </c>
      <c r="B203" s="16" t="str">
        <v>1店-MUSSHOE-US</v>
      </c>
      <c r="C203" s="16" t="str">
        <v>艾年</v>
      </c>
      <c r="D203" s="26" t="n">
        <f>IF(NOT(ISNUMBER(E203)),"",IF(OR(E203&lt;=0,L203=0),0,IF(OR(NOT(ISNUMBER(F203)),F203&lt;0),"",MIN(E203,INT(F203)))))</f>
        <v>1</v>
      </c>
      <c r="E203" s="27" t="n">
        <f>IF(OR(NOT(ISNUMBER(L203)),COUNT(M203:O203)&lt;&gt;3,MIN(M203:O203)&lt;0),"",ROUNDUP(ROUND(BI203-SUM(M203:O203),10),0))</f>
        <v>11</v>
      </c>
      <c r="F203" s="28" t="n">
        <v>1</v>
      </c>
      <c r="G203" s="28" t="n">
        <f>IF(AND(ISNUMBER(D203),ISNUMBER(E203)),IF(OR(E203&lt;=0,L203=0),0,E203-D203),"")</f>
        <v>10</v>
      </c>
      <c r="H203" s="16" t="str">
        <f>IF(NOT(ISNUMBER(E203)),"销量或海外库存待补",IF(OR(E203&lt;=0,L203=0),IF(L203=0,"零日销，本批不发","本批无需补货"),IF(NOT(ISNUMBER(D203)),"国内库存待补",IF(D203=0,"国内无可用库存",IF(G203&gt;0,"先发国内现货","按建议量发货")))))</f>
        <v>先发国内现货</v>
      </c>
      <c r="I203" s="28" t="n">
        <f>IF(AND(COUNT(Z203,AA203,AB203)=3,Z203&gt;=AA203,AA203&gt;=0,AB203=7),Z203-AA203,"")</f>
        <v>4</v>
      </c>
      <c r="J203" s="28" t="n">
        <f>IF(AND(COUNT(AF203,AG203,AH203)=3,AF203&gt;=AG203,AG203&gt;=0,AH203=14),AF203-AG203,"")</f>
        <v>5</v>
      </c>
      <c r="K203" s="28" t="n">
        <f>IF(AND(COUNT(AL203,AM203,AN203)=3,AL203&gt;=AM203,AM203&gt;=0,AN203=30),AL203-AM203,"")</f>
        <v>9</v>
      </c>
      <c r="L203" s="29" t="n">
        <f>IF(ISNUMBER(BI203),BI203/90,"")</f>
        <v>0.24910728657650896</v>
      </c>
      <c r="M203" s="28" t="n">
        <v>12</v>
      </c>
      <c r="N203" s="28" t="n">
        <v>0</v>
      </c>
      <c r="O203" s="28" t="n">
        <v>0</v>
      </c>
      <c r="P203" s="30" t="n">
        <f>IF(AND(ISNUMBER(L203),L203&gt;0,COUNT(M203:O203)=3,MIN(M203:O203)&gt;=0),SUM(M203:O203)/L203,"")</f>
        <v>48.17201521848864</v>
      </c>
      <c r="Q203" s="16" t="str">
        <v>沿用原计划SKU店铺</v>
      </c>
      <c r="R203" s="16" t="str">
        <v>已匹配</v>
      </c>
      <c r="S203" s="16" t="str">
        <v>在售</v>
      </c>
      <c r="T203" s="16" t="str">
        <v>B06</v>
      </c>
      <c r="U203" s="16" t="str">
        <v>藏青色羊京绒</v>
      </c>
      <c r="V203" s="16" t="n">
        <v>8.5</v>
      </c>
      <c r="W203" s="8" t="str">
        <v>2026-10-11 至 2026-10-17</v>
      </c>
      <c r="X203" s="8" t="str">
        <v>2026-10-11、2026-10-12、2026-10-13、2026-10-14、2026-10-15、2026-10-16、2026-10-17</v>
      </c>
      <c r="Y203" s="8" t="str">
        <v>无</v>
      </c>
      <c r="Z203" s="8" t="n">
        <v>4</v>
      </c>
      <c r="AA203" s="8" t="n">
        <v>0</v>
      </c>
      <c r="AB203" s="8" t="n">
        <v>7</v>
      </c>
      <c r="AC203" s="8" t="str">
        <v>2026-10-02 至 2026-10-17</v>
      </c>
      <c r="AD203" s="8" t="str">
        <v>2026-10-02、2026-10-03、2026-10-04、2026-10-05、2026-10-08、2026-10-09、2026-10-10、2026-10-11、2026-10-12、2026-10-13、2026-10-14、2026-10-15、2026-10-16、2026-10-17</v>
      </c>
      <c r="AE203" s="8" t="str">
        <v>2026-10-06 大促；2026-10-07 大促</v>
      </c>
      <c r="AF203" s="8" t="n">
        <v>6</v>
      </c>
      <c r="AG203" s="8" t="n">
        <v>1</v>
      </c>
      <c r="AH203" s="8" t="n">
        <v>14</v>
      </c>
      <c r="AI203" s="8" t="str">
        <v>2026-09-16 至 2026-10-17</v>
      </c>
      <c r="AJ2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3" s="8" t="str">
        <v>2026-10-06 大促；2026-10-07 大促</v>
      </c>
      <c r="AL203" s="8" t="n">
        <v>10</v>
      </c>
      <c r="AM203" s="8" t="n">
        <v>1</v>
      </c>
      <c r="AN203" s="8" t="n">
        <v>30</v>
      </c>
      <c r="AO203" s="8" t="str">
        <v>B06 / 藏青色羊京绒 / 13120</v>
      </c>
      <c r="AP203" s="11" t="n">
        <v>1.2247029157699902</v>
      </c>
      <c r="AQ203" s="11" t="n">
        <v>1.2247029157699902</v>
      </c>
      <c r="AR203" s="11" t="n">
        <v>1.1136940657346173</v>
      </c>
      <c r="AS203" s="11" t="n">
        <f>IF(AND(COUNT(I203:K203,AP203:AR203)=6,MIN(AP203:AR203)&gt;0),I203/7/AP203*0.5+J203/14/AQ203*0.3+K203/30/AR203*0.2,"")</f>
        <v>0.37465226223608017</v>
      </c>
      <c r="AT203" s="8" t="n">
        <v>25</v>
      </c>
      <c r="AU203" s="8" t="n">
        <v>1</v>
      </c>
      <c r="AV203" s="8" t="n">
        <v>88</v>
      </c>
      <c r="AW203" s="11" t="n">
        <f>IF(AND(COUNT(AT203:AV203)=3,AT203&gt;=AU203,AU203&gt;=0,AV203&gt;0),(AT203-AU203)/AV203,"")</f>
        <v>0.2727272727272727</v>
      </c>
      <c r="AX203" s="8" t="n">
        <v>39</v>
      </c>
      <c r="AY203" s="8" t="n">
        <v>1</v>
      </c>
      <c r="AZ203" s="8" t="n">
        <v>178</v>
      </c>
      <c r="BA203" s="11" t="n">
        <f>IF(AND(COUNT(AX203:AZ203)=3,AX203&gt;=AY203,AY203&gt;=0,AZ203&gt;0),(AX203-AY203)/AZ203,"")</f>
        <v>0.21348314606741572</v>
      </c>
      <c r="BB203" s="8" t="n">
        <f>IF(COUNT(AS203,AW203,BA203)=3,1,0)</f>
        <v>1</v>
      </c>
      <c r="BC203" s="11" t="n">
        <f>IF(SUMIF($AO$11:$AO$1309,AO203,$BB$11:$BB$1309)=COUNTIF($AO$11:$AO$1309,AO203),SUMIF($AO$11:$AO$1309,AO203,$AS$11:$AS$1309),"")</f>
        <v>1.8232025777957794</v>
      </c>
      <c r="BD203" s="11" t="n">
        <f>IF(SUMIF($AO$11:$AO$1309,AO203,$BB$11:$BB$1309)=COUNTIF($AO$11:$AO$1309,AO203),SUMIF($AO$11:$AO$1309,AO203,$AW$11:$AW$1309),"")</f>
        <v>1.5588235294117647</v>
      </c>
      <c r="BE203" s="11" t="n">
        <f>IF(SUMIF($AO$11:$AO$1309,AO203,$BB$11:$BB$1309)=COUNTIF($AO$11:$AO$1309,AO203),SUMIF($AO$11:$AO$1309,AO203,$BA$11:$BA$1309),"")</f>
        <v>1.4510754414125202</v>
      </c>
      <c r="BF203" s="12" t="n">
        <f>IF(COUNT(BD203:BE203)&lt;&gt;2,"",IF(AND(BD203&gt;0,BE203&gt;0),0.7*AW203/BD203+0.3*BA203/BE203,IF(BD203&gt;0,AW203/BD203,IF(BE203&gt;0,BA203/BE203,IF(AND(ISNUMBER(BH203),BH203=0),0,"")))))</f>
        <v>0.1666061745245166</v>
      </c>
      <c r="BG203" s="11" t="n">
        <f>IF(AND(COUNT(BN203:BU203)=8,MIN(BN203:BU203)&gt;=0),SUMPRODUCT(BN203:BQ203,BR203:BU203),"")</f>
        <v>73.80791239847399</v>
      </c>
      <c r="BH203" s="11" t="n">
        <f>IF(COUNT(BC203,BG203)=2,BC203*BG203,"")</f>
        <v>134.56677614662286</v>
      </c>
      <c r="BI203" s="11" t="n">
        <f>IF(ISNUMBER(CI203),CI203,"")</f>
        <v>22.419655791885805</v>
      </c>
      <c r="BJ203" s="8" t="str">
        <v>低销提醒依据不完整</v>
      </c>
      <c r="BK203" s="8" t="str">
        <v>90天：2026-07-20 至 2026-10-17；180天：2026-04-21 至 2026-10-17</v>
      </c>
      <c r="BL203" s="8" t="str">
        <v>90天：2026-10-06、2026-10-07；180天：2026-10-06、2026-10-07</v>
      </c>
      <c r="BM203" s="8" t="str">
        <v>2026-10：12天 × 1.2247029157699902；2026-11：30天 × 0.8332682139098497；2026-12：31天 × 0.5511018253564084；2027-01：17天 × 1.0017220238758797</v>
      </c>
      <c r="BN203" s="11" t="n">
        <v>1.2247029157699902</v>
      </c>
      <c r="BO203" s="11" t="n">
        <v>0.8332682139098497</v>
      </c>
      <c r="BP203" s="11" t="n">
        <v>0.5511018253564084</v>
      </c>
      <c r="BQ203" s="11" t="n">
        <v>1.0017220238758797</v>
      </c>
      <c r="BR203" s="8" t="n">
        <v>12</v>
      </c>
      <c r="BS203" s="8" t="n">
        <v>30</v>
      </c>
      <c r="BT203" s="8" t="n">
        <v>31</v>
      </c>
      <c r="BU203" s="8" t="n">
        <v>17</v>
      </c>
      <c r="BV203" s="11" t="n">
        <f>IF(COUNT(BC203,BF203)=2,BC203*BF203,"")</f>
        <v>0.3037568068697922</v>
      </c>
      <c r="BW203" s="11" t="n">
        <f>IF(ISNUMBER(BN203),BN203,"")</f>
        <v>1.2247029157699902</v>
      </c>
      <c r="BX203" s="14" t="n">
        <f>IF(ISNUMBER(BR203),BR203,"")</f>
        <v>12</v>
      </c>
      <c r="BY203" s="13" t="n">
        <f>IF(AND(COUNT(BV203,BW203,BX203)=3,MIN(BV203,BW203,BX203)&gt;=0),BV203*BW203*BX203,"")</f>
        <v>4.464142164700995</v>
      </c>
      <c r="BZ203" s="11" t="n">
        <f>IF(ISNUMBER(BO203),BO203,"")</f>
        <v>0.8332682139098497</v>
      </c>
      <c r="CA203" s="14" t="n">
        <f>IF(ISNUMBER(BS203),BS203,"")</f>
        <v>30</v>
      </c>
      <c r="CB203" s="13" t="n">
        <f>IF(AND(COUNT(BV203,BZ203,CA203)=3,MIN(BV203,BZ203,CA203)&gt;=0),BV203*BZ203*CA203,"")</f>
        <v>7.5933267577005275</v>
      </c>
      <c r="CC203" s="11" t="n">
        <f>IF(ISNUMBER(BP203),BP203,"")</f>
        <v>0.5511018253564084</v>
      </c>
      <c r="CD203" s="14" t="n">
        <f>IF(ISNUMBER(BT203),BT203,"")</f>
        <v>31</v>
      </c>
      <c r="CE203" s="13" t="n">
        <f>IF(AND(COUNT(BV203,CC203,CD203)=3,MIN(BV203,CC203,CD203)&gt;=0),BV203*CC203*CD203,"")</f>
        <v>5.189428852641671</v>
      </c>
      <c r="CF203" s="11" t="n">
        <f>IF(ISNUMBER(BQ203),BQ203,"")</f>
        <v>1.0017220238758797</v>
      </c>
      <c r="CG203" s="14" t="n">
        <f>IF(ISNUMBER(BU203),BU203,"")</f>
        <v>17</v>
      </c>
      <c r="CH203" s="13" t="n">
        <f>IF(AND(COUNT(BV203,CF203,CG203)=3,MIN(BV203,CF203,CG203)&gt;=0),BV203*CF203*CG203,"")</f>
        <v>5.17275801684261</v>
      </c>
      <c r="CI203" s="13" t="n">
        <f>IF(COUNT(BY203,CB203,CE203,CH203)=4,SUM(BY203,CB203,CE203,CH203),"")</f>
        <v>22.419655791885805</v>
      </c>
    </row>
    <row r="204" ht="72" customHeight="1">
      <c r="A204" s="16" t="str">
        <v>32582-LPB-41.5</v>
      </c>
      <c r="B204" s="16" t="str">
        <v>3店-SANDIEX-US</v>
      </c>
      <c r="C204" s="16" t="str">
        <v>徐新怡</v>
      </c>
      <c r="D204" s="26" t="n">
        <f>IF(NOT(ISNUMBER(E204)),"",IF(OR(E204&lt;=0,L204=0),0,IF(OR(NOT(ISNUMBER(F204)),F204&lt;0),"",MIN(E204,INT(F204)))))</f>
        <v>1</v>
      </c>
      <c r="E204" s="27" t="n">
        <f>IF(OR(NOT(ISNUMBER(L204)),COUNT(M204:O204)&lt;&gt;3,MIN(M204:O204)&lt;0),"",ROUNDUP(ROUND(BI204-SUM(M204:O204),10),0))</f>
        <v>5</v>
      </c>
      <c r="F204" s="28" t="n">
        <v>1</v>
      </c>
      <c r="G204" s="28" t="n">
        <f>IF(AND(ISNUMBER(D204),ISNUMBER(E204)),IF(OR(E204&lt;=0,L204=0),0,E204-D204),"")</f>
        <v>4</v>
      </c>
      <c r="H204" s="16" t="str">
        <f>IF(NOT(ISNUMBER(E204)),"销量或海外库存待补",IF(OR(E204&lt;=0,L204=0),IF(L204=0,"零日销，本批不发","本批无需补货"),IF(NOT(ISNUMBER(D204)),"国内库存待补",IF(D204=0,"国内无可用库存",IF(G204&gt;0,"先发国内现货","按建议量发货")))))</f>
        <v>先发国内现货</v>
      </c>
      <c r="I204" s="28" t="n">
        <f>IF(AND(COUNT(Z204,AA204,AB204)=3,Z204&gt;=AA204,AA204&gt;=0,AB204=7),Z204-AA204,"")</f>
        <v>0</v>
      </c>
      <c r="J204" s="28" t="n">
        <f>IF(AND(COUNT(AF204,AG204,AH204)=3,AF204&gt;=AG204,AG204&gt;=0,AH204=14),AF204-AG204,"")</f>
        <v>1</v>
      </c>
      <c r="K204" s="28" t="n">
        <f>IF(AND(COUNT(AL204,AM204,AN204)=3,AL204&gt;=AM204,AM204&gt;=0,AN204=30),AL204-AM204,"")</f>
        <v>1</v>
      </c>
      <c r="L204" s="29" t="n">
        <f>IF(ISNUMBER(BI204),BI204/90,"")</f>
        <v>0.04641717782581971</v>
      </c>
      <c r="M204" s="28" t="n">
        <v>0</v>
      </c>
      <c r="N204" s="28" t="n">
        <v>0</v>
      </c>
      <c r="O204" s="28" t="n">
        <v>0</v>
      </c>
      <c r="P204" s="30" t="n">
        <f>IF(AND(ISNUMBER(L204),L204&gt;0,COUNT(M204:O204)=3,MIN(M204:O204)&gt;=0),SUM(M204:O204)/L204,"")</f>
        <v>0</v>
      </c>
      <c r="Q204" s="16" t="str">
        <v>沿用原计划SKU店铺</v>
      </c>
      <c r="R204" s="16" t="str">
        <v>已匹配</v>
      </c>
      <c r="S204" s="16" t="str">
        <v>在售</v>
      </c>
      <c r="T204" s="16" t="str">
        <v>32582</v>
      </c>
      <c r="U204" s="16" t="str">
        <v>豹纹黑色内里</v>
      </c>
      <c r="V204" s="16" t="n">
        <v>10.5</v>
      </c>
      <c r="W204" s="8" t="str">
        <v>2026-10-08 至 2026-10-17</v>
      </c>
      <c r="X204" s="8" t="str">
        <v>2026-10-08、2026-10-09、2026-10-10、2026-10-11、2026-10-14、2026-10-15、2026-10-17</v>
      </c>
      <c r="Y204" s="8" t="str">
        <v>2026-10-12 有记录的停售日；2026-10-13 有记录的停售日；2026-10-16 有记录的停售日</v>
      </c>
      <c r="Z204" s="8" t="n">
        <v>0</v>
      </c>
      <c r="AA204" s="8" t="n">
        <v>0</v>
      </c>
      <c r="AB204" s="8" t="n">
        <v>7</v>
      </c>
      <c r="AC204" s="8" t="str">
        <v>2026-09-29 至 2026-10-17</v>
      </c>
      <c r="AD204" s="8" t="str">
        <v>2026-09-29、2026-09-30、2026-10-01、2026-10-02、2026-10-03、2026-10-04、2026-10-05、2026-10-08、2026-10-09、2026-10-10、2026-10-11、2026-10-14、2026-10-15、2026-10-17</v>
      </c>
      <c r="AE204" s="8" t="str">
        <v>2026-10-06 大促；2026-10-07 大促；2026-10-12 有记录的停售日；2026-10-13 有记录的停售日；2026-10-16 有记录的停售日</v>
      </c>
      <c r="AF204" s="8" t="n">
        <v>1</v>
      </c>
      <c r="AG204" s="8" t="n">
        <v>0</v>
      </c>
      <c r="AH204" s="8" t="n">
        <v>14</v>
      </c>
      <c r="AI204" s="8" t="str">
        <v>2026-09-13 至 2026-10-17</v>
      </c>
      <c r="AJ2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04" s="8" t="str">
        <v>2026-10-06 大促；2026-10-07 大促；2026-10-12 有记录的停售日；2026-10-13 有记录的停售日；2026-10-16 有记录的停售日</v>
      </c>
      <c r="AL204" s="8" t="n">
        <v>1</v>
      </c>
      <c r="AM204" s="8" t="n">
        <v>0</v>
      </c>
      <c r="AN204" s="8" t="n">
        <v>30</v>
      </c>
      <c r="AO204" s="8" t="str">
        <v>32582 / 豹纹黑色内里羊京绒 / 6574</v>
      </c>
      <c r="AP204" s="11" t="n">
        <v>1.0395067087630607</v>
      </c>
      <c r="AQ204" s="11" t="n">
        <v>1.048428692110265</v>
      </c>
      <c r="AR204" s="11" t="n">
        <v>1.076979038821319</v>
      </c>
      <c r="AS204" s="11" t="n">
        <f>IF(AND(COUNT(I204:K204,AP204:AR204)=6,MIN(AP204:AR204)&gt;0),I204/7/AP204*0.5+J204/14/AQ204*0.3+K204/30/AR204*0.2,"")</f>
        <v>0.026628904042354712</v>
      </c>
      <c r="AT204" s="8" t="n">
        <v>2</v>
      </c>
      <c r="AU204" s="8" t="n">
        <v>0</v>
      </c>
      <c r="AV204" s="8" t="n">
        <v>85</v>
      </c>
      <c r="AW204" s="11" t="n">
        <f>IF(AND(COUNT(AT204:AV204)=3,AT204&gt;=AU204,AU204&gt;=0,AV204&gt;0),(AT204-AU204)/AV204,"")</f>
        <v>0.023529411764705882</v>
      </c>
      <c r="AX204" s="8" t="n">
        <v>6</v>
      </c>
      <c r="AY204" s="8" t="n">
        <v>0</v>
      </c>
      <c r="AZ204" s="8" t="n">
        <v>175</v>
      </c>
      <c r="BA204" s="11" t="n">
        <f>IF(AND(COUNT(AX204:AZ204)=3,AX204&gt;=AY204,AY204&gt;=0,AZ204&gt;0),(AX204-AY204)/AZ204,"")</f>
        <v>0.03428571428571429</v>
      </c>
      <c r="BB204" s="8" t="n">
        <f>IF(COUNT(AS204,AW204,BA204)=3,1,0)</f>
        <v>1</v>
      </c>
      <c r="BC204" s="11" t="n">
        <f>IF(SUMIF($AO$11:$AO$1309,AO204,$BB$11:$BB$1309)=COUNTIF($AO$11:$AO$1309,AO204),SUMIF($AO$11:$AO$1309,AO204,$AS$11:$AS$1309),"")</f>
        <v>1.9131647321216234</v>
      </c>
      <c r="BD204" s="11" t="n">
        <f>IF(SUMIF($AO$11:$AO$1309,AO204,$BB$11:$BB$1309)=COUNTIF($AO$11:$AO$1309,AO204),SUMIF($AO$11:$AO$1309,AO204,$AW$11:$AW$1309),"")</f>
        <v>1.2065508021390374</v>
      </c>
      <c r="BE204" s="11" t="n">
        <f>IF(SUMIF($AO$11:$AO$1309,AO204,$BB$11:$BB$1309)=COUNTIF($AO$11:$AO$1309,AO204),SUMIF($AO$11:$AO$1309,AO204,$BA$11:$BA$1309),"")</f>
        <v>0.9278330658105939</v>
      </c>
      <c r="BF204" s="12" t="n">
        <f>IF(COUNT(BD204:BE204)&lt;&gt;2,"",IF(AND(BD204&gt;0,BE204&gt;0),0.7*AW204/BD204+0.3*BA204/BE204,IF(BD204&gt;0,AW204/BD204,IF(BE204&gt;0,BA204/BE204,IF(AND(ISNUMBER(BH204),BH204=0),0,"")))))</f>
        <v>0.024736707540296166</v>
      </c>
      <c r="BG204" s="11" t="n">
        <f>IF(AND(COUNT(BN204:BU204)=8,MIN(BN204:BU204)&gt;=0),SUMPRODUCT(BN204:BQ204,BR204:BU204),"")</f>
        <v>88.27281580841549</v>
      </c>
      <c r="BH204" s="11" t="n">
        <f>IF(COUNT(BC204,BG204)=2,BC204*BG204,"")</f>
        <v>168.8804380097286</v>
      </c>
      <c r="BI204" s="11" t="n">
        <f>IF(ISNUMBER(CI204),CI204,"")</f>
        <v>4.177546004323774</v>
      </c>
      <c r="BJ204" s="8" t="str"/>
      <c r="BK204" s="8" t="str">
        <v>90天：2026-07-20 至 2026-10-17；180天：2026-04-21 至 2026-10-17</v>
      </c>
      <c r="BL204" s="8" t="str">
        <v>90天：2026-10-06、2026-10-07、2026-10-12、2026-10-13、2026-10-16；180天：2026-10-06、2026-10-07、2026-10-12、2026-10-13、2026-10-16</v>
      </c>
      <c r="BM204" s="8" t="str">
        <v>2026-10：12天 × 1.0395067087630607；2026-11：30天 × 0.9890368360033146；2026-12：31天 × 0.7800796503018808；2027-01：17天 × 1.2908918272824135</v>
      </c>
      <c r="BN204" s="11" t="n">
        <v>1.0395067087630607</v>
      </c>
      <c r="BO204" s="11" t="n">
        <v>0.9890368360033146</v>
      </c>
      <c r="BP204" s="11" t="n">
        <v>0.7800796503018808</v>
      </c>
      <c r="BQ204" s="11" t="n">
        <v>1.2908918272824135</v>
      </c>
      <c r="BR204" s="8" t="n">
        <v>12</v>
      </c>
      <c r="BS204" s="8" t="n">
        <v>30</v>
      </c>
      <c r="BT204" s="8" t="n">
        <v>31</v>
      </c>
      <c r="BU204" s="8" t="n">
        <v>17</v>
      </c>
      <c r="BV204" s="11" t="n">
        <f>IF(COUNT(BC204,BF204)=2,BC204*BF204,"")</f>
        <v>0.04732539645490166</v>
      </c>
      <c r="BW204" s="11" t="n">
        <f>IF(ISNUMBER(BN204),BN204,"")</f>
        <v>1.0395067087630607</v>
      </c>
      <c r="BX204" s="14" t="n">
        <f>IF(ISNUMBER(BR204),BR204,"")</f>
        <v>12</v>
      </c>
      <c r="BY204" s="13" t="n">
        <f>IF(AND(COUNT(BV204,BW204,BX204)=3,MIN(BV204,BW204,BX204)&gt;=0),BV204*BW204*BX204,"")</f>
        <v>0.5903408053169021</v>
      </c>
      <c r="BZ204" s="11" t="n">
        <f>IF(ISNUMBER(BO204),BO204,"")</f>
        <v>0.9890368360033146</v>
      </c>
      <c r="CA204" s="14" t="n">
        <f>IF(ISNUMBER(BS204),BS204,"")</f>
        <v>30</v>
      </c>
      <c r="CB204" s="13" t="n">
        <f>IF(AND(COUNT(BV204,BZ204,CA204)=3,MIN(BV204,BZ204,CA204)&gt;=0),BV204*BZ204*CA204,"")</f>
        <v>1.4041968111707526</v>
      </c>
      <c r="CC204" s="11" t="n">
        <f>IF(ISNUMBER(BP204),BP204,"")</f>
        <v>0.7800796503018808</v>
      </c>
      <c r="CD204" s="14" t="n">
        <f>IF(ISNUMBER(BT204),BT204,"")</f>
        <v>31</v>
      </c>
      <c r="CE204" s="13" t="n">
        <f>IF(AND(COUNT(BV204,CC204,CD204)=3,MIN(BV204,CC204,CD204)&gt;=0),BV204*CC204*CD204,"")</f>
        <v>1.144444940225064</v>
      </c>
      <c r="CF204" s="11" t="n">
        <f>IF(ISNUMBER(BQ204),BQ204,"")</f>
        <v>1.2908918272824135</v>
      </c>
      <c r="CG204" s="14" t="n">
        <f>IF(ISNUMBER(BU204),BU204,"")</f>
        <v>17</v>
      </c>
      <c r="CH204" s="13" t="n">
        <f>IF(AND(COUNT(BV204,CF204,CG204)=3,MIN(BV204,CF204,CG204)&gt;=0),BV204*CF204*CG204,"")</f>
        <v>1.038563447611055</v>
      </c>
      <c r="CI204" s="13" t="n">
        <f>IF(COUNT(BY204,CB204,CE204,CH204)=4,SUM(BY204,CB204,CE204,CH204),"")</f>
        <v>4.177546004323774</v>
      </c>
    </row>
    <row r="205" ht="72" customHeight="1">
      <c r="A205" s="16" t="str">
        <v>60516-LP-S-K-9.5</v>
      </c>
      <c r="B205" s="16" t="str">
        <v>3店-SANDIEX-US</v>
      </c>
      <c r="C205" s="16" t="str">
        <v>徐新怡</v>
      </c>
      <c r="D205" s="26" t="n">
        <f>IF(NOT(ISNUMBER(E205)),"",IF(OR(E205&lt;=0,L205=0),0,IF(OR(NOT(ISNUMBER(F205)),F205&lt;0),"",MIN(E205,INT(F205)))))</f>
        <v>1</v>
      </c>
      <c r="E205" s="27" t="n">
        <f>IF(OR(NOT(ISNUMBER(L205)),COUNT(M205:O205)&lt;&gt;3,MIN(M205:O205)&lt;0),"",ROUNDUP(ROUND(BI205-SUM(M205:O205),10),0))</f>
        <v>4</v>
      </c>
      <c r="F205" s="28" t="n">
        <v>1</v>
      </c>
      <c r="G205" s="28" t="n">
        <f>IF(AND(ISNUMBER(D205),ISNUMBER(E205)),IF(OR(E205&lt;=0,L205=0),0,E205-D205),"")</f>
        <v>3</v>
      </c>
      <c r="H205" s="16" t="str">
        <f>IF(NOT(ISNUMBER(E205)),"销量或海外库存待补",IF(OR(E205&lt;=0,L205=0),IF(L205=0,"零日销，本批不发","本批无需补货"),IF(NOT(ISNUMBER(D205)),"国内库存待补",IF(D205=0,"国内无可用库存",IF(G205&gt;0,"先发国内现货","按建议量发货")))))</f>
        <v>先发国内现货</v>
      </c>
      <c r="I205" s="28" t="n">
        <f>IF(AND(COUNT(Z205,AA205,AB205)=3,Z205&gt;=AA205,AA205&gt;=0,AB205=7),Z205-AA205,"")</f>
        <v>1</v>
      </c>
      <c r="J205" s="28" t="n">
        <f>IF(AND(COUNT(AF205,AG205,AH205)=3,AF205&gt;=AG205,AG205&gt;=0,AH205=14),AF205-AG205,"")</f>
        <v>4</v>
      </c>
      <c r="K205" s="28" t="n">
        <f>IF(AND(COUNT(AL205,AM205,AN205)=3,AL205&gt;=AM205,AM205&gt;=0,AN205=30),AL205-AM205,"")</f>
        <v>13</v>
      </c>
      <c r="L205" s="29" t="n">
        <f>IF(ISNUMBER(BI205),BI205/90,"")</f>
        <v>0.41173320343547437</v>
      </c>
      <c r="M205" s="28" t="n">
        <v>34</v>
      </c>
      <c r="N205" s="28" t="n">
        <v>0</v>
      </c>
      <c r="O205" s="28" t="n">
        <v>0</v>
      </c>
      <c r="P205" s="30" t="n">
        <f>IF(AND(ISNUMBER(L205),L205&gt;0,COUNT(M205:O205)=3,MIN(M205:O205)&gt;=0),SUM(M205:O205)/L205,"")</f>
        <v>82.57774625972904</v>
      </c>
      <c r="Q205" s="16" t="str">
        <v>按本SKU唯一未删除Listing店铺核实</v>
      </c>
      <c r="R205" s="16" t="str">
        <v>已匹配</v>
      </c>
      <c r="S205" s="16" t="str">
        <v>在售</v>
      </c>
      <c r="T205" s="16" t="str">
        <v>60516</v>
      </c>
      <c r="U205" s="16" t="str">
        <v>豹纹</v>
      </c>
      <c r="V205" s="16" t="n">
        <v>9.5</v>
      </c>
      <c r="W205" s="8" t="str">
        <v>2026-10-11 至 2026-10-17</v>
      </c>
      <c r="X205" s="8" t="str">
        <v>2026-10-11、2026-10-12、2026-10-13、2026-10-14、2026-10-15、2026-10-16、2026-10-17</v>
      </c>
      <c r="Y205" s="8" t="str">
        <v>无</v>
      </c>
      <c r="Z205" s="8" t="n">
        <v>1</v>
      </c>
      <c r="AA205" s="8" t="n">
        <v>0</v>
      </c>
      <c r="AB205" s="8" t="n">
        <v>7</v>
      </c>
      <c r="AC205" s="8" t="str">
        <v>2026-10-02 至 2026-10-17</v>
      </c>
      <c r="AD205" s="8" t="str">
        <v>2026-10-02、2026-10-03、2026-10-04、2026-10-05、2026-10-08、2026-10-09、2026-10-10、2026-10-11、2026-10-12、2026-10-13、2026-10-14、2026-10-15、2026-10-16、2026-10-17</v>
      </c>
      <c r="AE205" s="8" t="str">
        <v>2026-10-06 大促；2026-10-07 大促</v>
      </c>
      <c r="AF205" s="8" t="n">
        <v>7</v>
      </c>
      <c r="AG205" s="8" t="n">
        <v>3</v>
      </c>
      <c r="AH205" s="8" t="n">
        <v>14</v>
      </c>
      <c r="AI205" s="8" t="str">
        <v>2026-09-16 至 2026-10-17</v>
      </c>
      <c r="AJ2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5" s="8" t="str">
        <v>2026-10-06 大促；2026-10-07 大促</v>
      </c>
      <c r="AL205" s="8" t="n">
        <v>16</v>
      </c>
      <c r="AM205" s="8" t="n">
        <v>3</v>
      </c>
      <c r="AN205" s="8" t="n">
        <v>30</v>
      </c>
      <c r="AO205" s="8" t="str">
        <v>60516 / 豹纹羊京绒 / 6574</v>
      </c>
      <c r="AP205" s="11" t="n">
        <v>1.8609238953732312</v>
      </c>
      <c r="AQ205" s="11" t="n">
        <v>1.8609238953732312</v>
      </c>
      <c r="AR205" s="11" t="n">
        <v>1.7598476169692943</v>
      </c>
      <c r="AS205" s="11" t="n">
        <f>IF(AND(COUNT(I205:K205,AP205:AR205)=6,MIN(AP205:AR205)&gt;0),I205/7/AP205*0.5+J205/14/AQ205*0.3+K205/30/AR205*0.2,"")</f>
        <v>0.13369015056619782</v>
      </c>
      <c r="AT205" s="8" t="n">
        <v>28</v>
      </c>
      <c r="AU205" s="8" t="n">
        <v>3</v>
      </c>
      <c r="AV205" s="8" t="n">
        <v>88</v>
      </c>
      <c r="AW205" s="11" t="n">
        <f>IF(AND(COUNT(AT205:AV205)=3,AT205&gt;=AU205,AU205&gt;=0,AV205&gt;0),(AT205-AU205)/AV205,"")</f>
        <v>0.2840909090909091</v>
      </c>
      <c r="AX205" s="8" t="n">
        <v>37</v>
      </c>
      <c r="AY205" s="8" t="n">
        <v>3</v>
      </c>
      <c r="AZ205" s="8" t="n">
        <v>178</v>
      </c>
      <c r="BA205" s="11" t="n">
        <f>IF(AND(COUNT(AX205:AZ205)=3,AX205&gt;=AY205,AY205&gt;=0,AZ205&gt;0),(AX205-AY205)/AZ205,"")</f>
        <v>0.19101123595505617</v>
      </c>
      <c r="BB205" s="8" t="n">
        <f>IF(COUNT(AS205,AW205,BA205)=3,1,0)</f>
        <v>1</v>
      </c>
      <c r="BC205" s="11" t="n">
        <f>IF(SUMIF($AO$11:$AO$1309,AO205,$BB$11:$BB$1309)=COUNTIF($AO$11:$AO$1309,AO205),SUMIF($AO$11:$AO$1309,AO205,$AS$11:$AS$1309),"")</f>
        <v>4.8489600193541325</v>
      </c>
      <c r="BD205" s="11" t="n">
        <f>IF(SUMIF($AO$11:$AO$1309,AO205,$BB$11:$BB$1309)=COUNTIF($AO$11:$AO$1309,AO205),SUMIF($AO$11:$AO$1309,AO205,$AW$11:$AW$1309),"")</f>
        <v>4.045454545454545</v>
      </c>
      <c r="BE205" s="11" t="n">
        <f>IF(SUMIF($AO$11:$AO$1309,AO205,$BB$11:$BB$1309)=COUNTIF($AO$11:$AO$1309,AO205),SUMIF($AO$11:$AO$1309,AO205,$BA$11:$BA$1309),"")</f>
        <v>2.7977528089887636</v>
      </c>
      <c r="BF205" s="12" t="n">
        <f>IF(COUNT(BD205:BE205)&lt;&gt;2,"",IF(AND(BD205&gt;0,BE205&gt;0),0.7*AW205/BD205+0.3*BA205/BE205,IF(BD205&gt;0,AW205/BD205,IF(BE205&gt;0,BA205/BE205,IF(AND(ISNUMBER(BH205),BH205=0),0,"")))))</f>
        <v>0.06963923108162991</v>
      </c>
      <c r="BG205" s="11" t="n">
        <f>IF(AND(COUNT(BN205:BU205)=8,MIN(BN205:BU205)&gt;=0),SUMPRODUCT(BN205:BQ205,BR205:BU205),"")</f>
        <v>109.73769409574882</v>
      </c>
      <c r="BH205" s="11" t="n">
        <f>IF(COUNT(BC205,BG205)=2,BC205*BG205,"")</f>
        <v>532.1136912864001</v>
      </c>
      <c r="BI205" s="11" t="n">
        <f>IF(ISNUMBER(CI205),CI205,"")</f>
        <v>37.05598830919269</v>
      </c>
      <c r="BJ205" s="8" t="str"/>
      <c r="BK205" s="8" t="str">
        <v>90天：2026-07-20 至 2026-10-17；180天：2026-04-21 至 2026-10-17</v>
      </c>
      <c r="BL205" s="8" t="str">
        <v>90天：2026-10-06、2026-10-07；180天：2026-10-06、2026-10-07</v>
      </c>
      <c r="BM205" s="8" t="str">
        <v>2026-10：12天 × 1.8609238953732312；2026-11：30天 × 1.438375649833085；2026-12：31天 × 0.9519742599124907；2027-01：17天 × 0.8673021058229575</v>
      </c>
      <c r="BN205" s="11" t="n">
        <v>1.8609238953732312</v>
      </c>
      <c r="BO205" s="11" t="n">
        <v>1.438375649833085</v>
      </c>
      <c r="BP205" s="11" t="n">
        <v>0.9519742599124907</v>
      </c>
      <c r="BQ205" s="11" t="n">
        <v>0.8673021058229575</v>
      </c>
      <c r="BR205" s="8" t="n">
        <v>12</v>
      </c>
      <c r="BS205" s="8" t="n">
        <v>30</v>
      </c>
      <c r="BT205" s="8" t="n">
        <v>31</v>
      </c>
      <c r="BU205" s="8" t="n">
        <v>17</v>
      </c>
      <c r="BV205" s="11" t="n">
        <f>IF(COUNT(BC205,BF205)=2,BC205*BF205,"")</f>
        <v>0.33767784729338707</v>
      </c>
      <c r="BW205" s="11" t="n">
        <f>IF(ISNUMBER(BN205),BN205,"")</f>
        <v>1.8609238953732312</v>
      </c>
      <c r="BX205" s="14" t="n">
        <f>IF(ISNUMBER(BR205),BR205,"")</f>
        <v>12</v>
      </c>
      <c r="BY205" s="13" t="n">
        <f>IF(AND(COUNT(BV205,BW205,BX205)=3,MIN(BV205,BW205,BX205)&gt;=0),BV205*BW205*BX205,"")</f>
        <v>7.540713299597483</v>
      </c>
      <c r="BZ205" s="11" t="n">
        <f>IF(ISNUMBER(BO205),BO205,"")</f>
        <v>1.438375649833085</v>
      </c>
      <c r="CA205" s="14" t="n">
        <f>IF(ISNUMBER(BS205),BS205,"")</f>
        <v>30</v>
      </c>
      <c r="CB205" s="13" t="n">
        <f>IF(AND(COUNT(BV205,BZ205,CA205)=3,MIN(BV205,BZ205,CA205)&gt;=0),BV205*BZ205*CA205,"")</f>
        <v>14.571227791045887</v>
      </c>
      <c r="CC205" s="11" t="n">
        <f>IF(ISNUMBER(BP205),BP205,"")</f>
        <v>0.9519742599124907</v>
      </c>
      <c r="CD205" s="14" t="n">
        <f>IF(ISNUMBER(BT205),BT205,"")</f>
        <v>31</v>
      </c>
      <c r="CE205" s="13" t="n">
        <f>IF(AND(COUNT(BV205,CC205,CD205)=3,MIN(BV205,CC205,CD205)&gt;=0),BV205*CC205*CD205,"")</f>
        <v>9.965279181744922</v>
      </c>
      <c r="CF205" s="11" t="n">
        <f>IF(ISNUMBER(BQ205),BQ205,"")</f>
        <v>0.8673021058229575</v>
      </c>
      <c r="CG205" s="14" t="n">
        <f>IF(ISNUMBER(BU205),BU205,"")</f>
        <v>17</v>
      </c>
      <c r="CH205" s="13" t="n">
        <f>IF(AND(COUNT(BV205,CF205,CG205)=3,MIN(BV205,CF205,CG205)&gt;=0),BV205*CF205*CG205,"")</f>
        <v>4.978768036804401</v>
      </c>
      <c r="CI205" s="13" t="n">
        <f>IF(COUNT(BY205,CB205,CE205,CH205)=4,SUM(BY205,CB205,CE205,CH205),"")</f>
        <v>37.05598830919269</v>
      </c>
    </row>
    <row r="206" ht="72" customHeight="1">
      <c r="A206" s="16" t="str">
        <v>2302153-CC-P-Z-9.5</v>
      </c>
      <c r="B206" s="16" t="str">
        <v>3店-SANDIEX-US</v>
      </c>
      <c r="C206" s="16" t="str">
        <v>徐新怡</v>
      </c>
      <c r="D206" s="26" t="n">
        <f>IF(NOT(ISNUMBER(E206)),"",IF(OR(E206&lt;=0,L206=0),0,IF(OR(NOT(ISNUMBER(F206)),F206&lt;0),"",MIN(E206,INT(F206)))))</f>
        <v>1</v>
      </c>
      <c r="E206" s="27" t="n">
        <f>IF(OR(NOT(ISNUMBER(L206)),COUNT(M206:O206)&lt;&gt;3,MIN(M206:O206)&lt;0),"",ROUNDUP(ROUND(BI206-SUM(M206:O206),10),0))</f>
        <v>3</v>
      </c>
      <c r="F206" s="28" t="n">
        <v>1</v>
      </c>
      <c r="G206" s="28" t="n">
        <f>IF(AND(ISNUMBER(D206),ISNUMBER(E206)),IF(OR(E206&lt;=0,L206=0),0,E206-D206),"")</f>
        <v>2</v>
      </c>
      <c r="H206" s="16" t="str">
        <f>IF(NOT(ISNUMBER(E206)),"销量或海外库存待补",IF(OR(E206&lt;=0,L206=0),IF(L206=0,"零日销，本批不发","本批无需补货"),IF(NOT(ISNUMBER(D206)),"国内库存待补",IF(D206=0,"国内无可用库存",IF(G206&gt;0,"先发国内现货","按建议量发货")))))</f>
        <v>先发国内现货</v>
      </c>
      <c r="I206" s="28" t="n">
        <f>IF(AND(COUNT(Z206,AA206,AB206)=3,Z206&gt;=AA206,AA206&gt;=0,AB206=7),Z206-AA206,"")</f>
        <v>10</v>
      </c>
      <c r="J206" s="28" t="n">
        <f>IF(AND(COUNT(AF206,AG206,AH206)=3,AF206&gt;=AG206,AG206&gt;=0,AH206=14),AF206-AG206,"")</f>
        <v>20</v>
      </c>
      <c r="K206" s="28" t="n">
        <f>IF(AND(COUNT(AL206,AM206,AN206)=3,AL206&gt;=AM206,AM206&gt;=0,AN206=30),AL206-AM206,"")</f>
        <v>38</v>
      </c>
      <c r="L206" s="29" t="n">
        <f>IF(ISNUMBER(BI206),BI206/90,"")</f>
        <v>0.923627867787762</v>
      </c>
      <c r="M206" s="28" t="n">
        <v>20</v>
      </c>
      <c r="N206" s="28" t="n">
        <v>5</v>
      </c>
      <c r="O206" s="28" t="n">
        <v>56</v>
      </c>
      <c r="P206" s="30" t="n">
        <f>IF(AND(ISNUMBER(L206),L206&gt;0,COUNT(M206:O206)=3,MIN(M206:O206)&gt;=0),SUM(M206:O206)/L206,"")</f>
        <v>87.69765705966418</v>
      </c>
      <c r="Q206" s="16" t="str">
        <v>沿用原计划SKU店铺</v>
      </c>
      <c r="R206" s="16" t="str">
        <v>已匹配</v>
      </c>
      <c r="S206" s="16" t="str">
        <v>在售</v>
      </c>
      <c r="T206" s="16" t="str">
        <v>2302153</v>
      </c>
      <c r="U206" s="16" t="str">
        <v>驼色</v>
      </c>
      <c r="V206" s="16" t="n">
        <v>9.5</v>
      </c>
      <c r="W206" s="8" t="str">
        <v>2026-10-11 至 2026-10-17</v>
      </c>
      <c r="X206" s="8" t="str">
        <v>2026-10-11、2026-10-12、2026-10-13、2026-10-14、2026-10-15、2026-10-16、2026-10-17</v>
      </c>
      <c r="Y206" s="8" t="str">
        <v>无</v>
      </c>
      <c r="Z206" s="8" t="n">
        <v>10</v>
      </c>
      <c r="AA206" s="8" t="n">
        <v>0</v>
      </c>
      <c r="AB206" s="8" t="n">
        <v>7</v>
      </c>
      <c r="AC206" s="8" t="str">
        <v>2026-10-02 至 2026-10-17</v>
      </c>
      <c r="AD206" s="8" t="str">
        <v>2026-10-02、2026-10-03、2026-10-04、2026-10-05、2026-10-08、2026-10-09、2026-10-10、2026-10-11、2026-10-12、2026-10-13、2026-10-14、2026-10-15、2026-10-16、2026-10-17</v>
      </c>
      <c r="AE206" s="8" t="str">
        <v>2026-10-06 大促；2026-10-07 大促</v>
      </c>
      <c r="AF206" s="8" t="n">
        <v>24</v>
      </c>
      <c r="AG206" s="8" t="n">
        <v>4</v>
      </c>
      <c r="AH206" s="8" t="n">
        <v>14</v>
      </c>
      <c r="AI206" s="8" t="str">
        <v>2026-09-16 至 2026-10-17</v>
      </c>
      <c r="AJ2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6" s="8" t="str">
        <v>2026-10-06 大促；2026-10-07 大促</v>
      </c>
      <c r="AL206" s="8" t="n">
        <v>42</v>
      </c>
      <c r="AM206" s="8" t="n">
        <v>4</v>
      </c>
      <c r="AN206" s="8" t="n">
        <v>30</v>
      </c>
      <c r="AO206" s="8" t="str">
        <v>2302153 / 驼色PU / 6574</v>
      </c>
      <c r="AP206" s="11" t="n">
        <v>1.7391279184229513</v>
      </c>
      <c r="AQ206" s="11" t="n">
        <v>1.7391279184229513</v>
      </c>
      <c r="AR206" s="11" t="n">
        <v>1.5731892896917212</v>
      </c>
      <c r="AS206" s="11" t="n">
        <f>IF(AND(COUNT(I206:K206,AP206:AR206)=6,MIN(AP206:AR206)&gt;0),I206/7/AP206*0.5+J206/14/AQ206*0.3+K206/30/AR206*0.2,"")</f>
        <v>0.8181755000818477</v>
      </c>
      <c r="AT206" s="8" t="n">
        <v>92</v>
      </c>
      <c r="AU206" s="8" t="n">
        <v>4</v>
      </c>
      <c r="AV206" s="8" t="n">
        <v>88</v>
      </c>
      <c r="AW206" s="11" t="n">
        <f>IF(AND(COUNT(AT206:AV206)=3,AT206&gt;=AU206,AU206&gt;=0,AV206&gt;0),(AT206-AU206)/AV206,"")</f>
        <v>1</v>
      </c>
      <c r="AX206" s="8" t="n">
        <v>171</v>
      </c>
      <c r="AY206" s="8" t="n">
        <v>4</v>
      </c>
      <c r="AZ206" s="8" t="n">
        <v>178</v>
      </c>
      <c r="BA206" s="11" t="n">
        <f>IF(AND(COUNT(AX206:AZ206)=3,AX206&gt;=AY206,AY206&gt;=0,AZ206&gt;0),(AX206-AY206)/AZ206,"")</f>
        <v>0.9382022471910112</v>
      </c>
      <c r="BB206" s="8" t="n">
        <f>IF(COUNT(AS206,AW206,BA206)=3,1,0)</f>
        <v>1</v>
      </c>
      <c r="BC206" s="11" t="n">
        <f>IF(SUMIF($AO$11:$AO$1309,AO206,$BB$11:$BB$1309)=COUNTIF($AO$11:$AO$1309,AO206),SUMIF($AO$11:$AO$1309,AO206,$AS$11:$AS$1309),"")</f>
        <v>4.064868532287768</v>
      </c>
      <c r="BD206" s="11" t="n">
        <f>IF(SUMIF($AO$11:$AO$1309,AO206,$BB$11:$BB$1309)=COUNTIF($AO$11:$AO$1309,AO206),SUMIF($AO$11:$AO$1309,AO206,$AW$11:$AW$1309),"")</f>
        <v>5.079545454545455</v>
      </c>
      <c r="BE206" s="11" t="n">
        <f>IF(SUMIF($AO$11:$AO$1309,AO206,$BB$11:$BB$1309)=COUNTIF($AO$11:$AO$1309,AO206),SUMIF($AO$11:$AO$1309,AO206,$BA$11:$BA$1309),"")</f>
        <v>5.741573033707865</v>
      </c>
      <c r="BF206" s="12" t="n">
        <f>IF(COUNT(BD206:BE206)&lt;&gt;2,"",IF(AND(BD206&gt;0,BE206&gt;0),0.7*AW206/BD206+0.3*BA206/BE206,IF(BD206&gt;0,AW206/BD206,IF(BE206&gt;0,BA206/BE206,IF(AND(ISNUMBER(BH206),BH206=0),0,"")))))</f>
        <v>0.1868291326827688</v>
      </c>
      <c r="BG206" s="11" t="n">
        <f>IF(AND(COUNT(BN206:BU206)=8,MIN(BN206:BU206)&gt;=0),SUMPRODUCT(BN206:BQ206,BR206:BU206),"")</f>
        <v>109.4582336985339</v>
      </c>
      <c r="BH206" s="11" t="n">
        <f>IF(COUNT(BC206,BG206)=2,BC206*BG206,"")</f>
        <v>444.93332976097105</v>
      </c>
      <c r="BI206" s="11" t="n">
        <f>IF(ISNUMBER(CI206),CI206,"")</f>
        <v>83.12650810089858</v>
      </c>
      <c r="BJ206" s="8" t="str"/>
      <c r="BK206" s="8" t="str">
        <v>90天：2026-07-20 至 2026-10-17；180天：2026-04-21 至 2026-10-17</v>
      </c>
      <c r="BL206" s="8" t="str">
        <v>90天：2026-10-06、2026-10-07；180天：2026-10-06、2026-10-07</v>
      </c>
      <c r="BM206" s="8" t="str">
        <v>2026-10：12天 × 1.7391279184229513；2026-11：30天 × 1.4002077845513243；2026-12：31天 × 1.079339935625147；2027-01：17天 × 0.7719368903846591</v>
      </c>
      <c r="BN206" s="11" t="n">
        <v>1.7391279184229513</v>
      </c>
      <c r="BO206" s="11" t="n">
        <v>1.4002077845513243</v>
      </c>
      <c r="BP206" s="11" t="n">
        <v>1.079339935625147</v>
      </c>
      <c r="BQ206" s="11" t="n">
        <v>0.7719368903846591</v>
      </c>
      <c r="BR206" s="8" t="n">
        <v>12</v>
      </c>
      <c r="BS206" s="8" t="n">
        <v>30</v>
      </c>
      <c r="BT206" s="8" t="n">
        <v>31</v>
      </c>
      <c r="BU206" s="8" t="n">
        <v>17</v>
      </c>
      <c r="BV206" s="11" t="n">
        <f>IF(COUNT(BC206,BF206)=2,BC206*BF206,"")</f>
        <v>0.759435862356803</v>
      </c>
      <c r="BW206" s="11" t="n">
        <f>IF(ISNUMBER(BN206),BN206,"")</f>
        <v>1.7391279184229513</v>
      </c>
      <c r="BX206" s="14" t="n">
        <f>IF(ISNUMBER(BR206),BR206,"")</f>
        <v>12</v>
      </c>
      <c r="BY206" s="13" t="n">
        <f>IF(AND(COUNT(BV206,BW206,BX206)=3,MIN(BV206,BW206,BX206)&gt;=0),BV206*BW206*BX206,"")</f>
        <v>15.84907332571591</v>
      </c>
      <c r="BZ206" s="11" t="n">
        <f>IF(ISNUMBER(BO206),BO206,"")</f>
        <v>1.4002077845513243</v>
      </c>
      <c r="CA206" s="14" t="n">
        <f>IF(ISNUMBER(BS206),BS206,"")</f>
        <v>30</v>
      </c>
      <c r="CB206" s="13" t="n">
        <f>IF(AND(COUNT(BV206,BZ206,CA206)=3,MIN(BV206,BZ206,CA206)&gt;=0),BV206*BZ206*CA206,"")</f>
        <v>31.901040190183313</v>
      </c>
      <c r="CC206" s="11" t="n">
        <f>IF(ISNUMBER(BP206),BP206,"")</f>
        <v>1.079339935625147</v>
      </c>
      <c r="CD206" s="14" t="n">
        <f>IF(ISNUMBER(BT206),BT206,"")</f>
        <v>31</v>
      </c>
      <c r="CE206" s="13" t="n">
        <f>IF(AND(COUNT(BV206,CC206,CD206)=3,MIN(BV206,CC206,CD206)&gt;=0),BV206*CC206*CD206,"")</f>
        <v>25.410373098416212</v>
      </c>
      <c r="CF206" s="11" t="n">
        <f>IF(ISNUMBER(BQ206),BQ206,"")</f>
        <v>0.7719368903846591</v>
      </c>
      <c r="CG206" s="14" t="n">
        <f>IF(ISNUMBER(BU206),BU206,"")</f>
        <v>17</v>
      </c>
      <c r="CH206" s="13" t="n">
        <f>IF(AND(COUNT(BV206,CF206,CG206)=3,MIN(BV206,CF206,CG206)&gt;=0),BV206*CF206*CG206,"")</f>
        <v>9.966021486583143</v>
      </c>
      <c r="CI206" s="13" t="n">
        <f>IF(COUNT(BY206,CB206,CE206,CH206)=4,SUM(BY206,CB206,CE206,CH206),"")</f>
        <v>83.12650810089858</v>
      </c>
    </row>
    <row r="207" ht="72" customHeight="1">
      <c r="A207" s="16" t="str">
        <v>32582-NY-41.5</v>
      </c>
      <c r="B207" s="16" t="str">
        <v>3店-SANDIEX-US</v>
      </c>
      <c r="C207" s="16" t="str">
        <v>徐新怡</v>
      </c>
      <c r="D207" s="26" t="n">
        <f>IF(NOT(ISNUMBER(E207)),"",IF(OR(E207&lt;=0,L207=0),0,IF(OR(NOT(ISNUMBER(F207)),F207&lt;0),"",MIN(E207,INT(F207)))))</f>
        <v>1</v>
      </c>
      <c r="E207" s="27" t="n">
        <f>IF(OR(NOT(ISNUMBER(L207)),COUNT(M207:O207)&lt;&gt;3,MIN(M207:O207)&lt;0),"",ROUNDUP(ROUND(BI207-SUM(M207:O207),10),0))</f>
        <v>3</v>
      </c>
      <c r="F207" s="28" t="n">
        <v>1</v>
      </c>
      <c r="G207" s="28" t="n">
        <f>IF(AND(ISNUMBER(D207),ISNUMBER(E207)),IF(OR(E207&lt;=0,L207=0),0,E207-D207),"")</f>
        <v>2</v>
      </c>
      <c r="H207" s="16" t="str">
        <f>IF(NOT(ISNUMBER(E207)),"销量或海外库存待补",IF(OR(E207&lt;=0,L207=0),IF(L207=0,"零日销，本批不发","本批无需补货"),IF(NOT(ISNUMBER(D207)),"国内库存待补",IF(D207=0,"国内无可用库存",IF(G207&gt;0,"先发国内现货","按建议量发货")))))</f>
        <v>先发国内现货</v>
      </c>
      <c r="I207" s="28" t="n">
        <f>IF(AND(COUNT(Z207,AA207,AB207)=3,Z207&gt;=AA207,AA207&gt;=0,AB207=7),Z207-AA207,"")</f>
        <v>0</v>
      </c>
      <c r="J207" s="28" t="n">
        <f>IF(AND(COUNT(AF207,AG207,AH207)=3,AF207&gt;=AG207,AG207&gt;=0,AH207=14),AF207-AG207,"")</f>
        <v>0</v>
      </c>
      <c r="K207" s="28" t="n">
        <f>IF(AND(COUNT(AL207,AM207,AN207)=3,AL207&gt;=AM207,AM207&gt;=0,AN207=30),AL207-AM207,"")</f>
        <v>1</v>
      </c>
      <c r="L207" s="29" t="n">
        <f>IF(ISNUMBER(BI207),BI207/90,"")</f>
        <v>0.029358497382436868</v>
      </c>
      <c r="M207" s="28" t="n">
        <v>0</v>
      </c>
      <c r="N207" s="28" t="n">
        <v>0</v>
      </c>
      <c r="O207" s="28" t="n">
        <v>0</v>
      </c>
      <c r="P207" s="30" t="n">
        <f>IF(AND(ISNUMBER(L207),L207&gt;0,COUNT(M207:O207)=3,MIN(M207:O207)&gt;=0),SUM(M207:O207)/L207,"")</f>
        <v>0</v>
      </c>
      <c r="Q207" s="16" t="str">
        <v>沿用原计划SKU店铺</v>
      </c>
      <c r="R207" s="16" t="str">
        <v>已匹配</v>
      </c>
      <c r="S207" s="16" t="str">
        <v>停售</v>
      </c>
      <c r="T207" s="16" t="str">
        <v>32582</v>
      </c>
      <c r="U207" s="16" t="str">
        <v>藏青色</v>
      </c>
      <c r="V207" s="16" t="n">
        <v>10.5</v>
      </c>
      <c r="W207" s="8" t="str">
        <v>2026-10-08 至 2026-10-17</v>
      </c>
      <c r="X207" s="8" t="str">
        <v>2026-10-08、2026-10-09、2026-10-10、2026-10-11、2026-10-14、2026-10-15、2026-10-17</v>
      </c>
      <c r="Y207" s="8" t="str">
        <v>2026-10-12 有记录的停售日；2026-10-13 有记录的停售日；2026-10-16 有记录的停售日</v>
      </c>
      <c r="Z207" s="8" t="n">
        <v>0</v>
      </c>
      <c r="AA207" s="8" t="n">
        <v>0</v>
      </c>
      <c r="AB207" s="8" t="n">
        <v>7</v>
      </c>
      <c r="AC207" s="8" t="str">
        <v>2026-09-29 至 2026-10-17</v>
      </c>
      <c r="AD207" s="8" t="str">
        <v>2026-09-29、2026-09-30、2026-10-01、2026-10-02、2026-10-03、2026-10-04、2026-10-05、2026-10-08、2026-10-09、2026-10-10、2026-10-11、2026-10-14、2026-10-15、2026-10-17</v>
      </c>
      <c r="AE207" s="8" t="str">
        <v>2026-10-06 大促；2026-10-07 大促；2026-10-12 有记录的停售日；2026-10-13 有记录的停售日；2026-10-16 有记录的停售日</v>
      </c>
      <c r="AF207" s="8" t="n">
        <v>0</v>
      </c>
      <c r="AG207" s="8" t="n">
        <v>0</v>
      </c>
      <c r="AH207" s="8" t="n">
        <v>14</v>
      </c>
      <c r="AI207" s="8" t="str">
        <v>2026-09-13 至 2026-10-17</v>
      </c>
      <c r="AJ20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07" s="8" t="str">
        <v>2026-10-06 大促；2026-10-07 大促；2026-10-12 有记录的停售日；2026-10-13 有记录的停售日；2026-10-16 有记录的停售日</v>
      </c>
      <c r="AL207" s="8" t="n">
        <v>1</v>
      </c>
      <c r="AM207" s="8" t="n">
        <v>0</v>
      </c>
      <c r="AN207" s="8" t="n">
        <v>30</v>
      </c>
      <c r="AO207" s="8" t="str">
        <v>32582 / 藏青色羊京绒 / 6574</v>
      </c>
      <c r="AP207" s="11" t="n">
        <v>1.0395067087630607</v>
      </c>
      <c r="AQ207" s="11" t="n">
        <v>1.048428692110265</v>
      </c>
      <c r="AR207" s="11" t="n">
        <v>1.076979038821319</v>
      </c>
      <c r="AS207" s="11" t="n">
        <f>IF(AND(COUNT(I207:K207,AP207:AR207)=6,MIN(AP207:AR207)&gt;0),I207/7/AP207*0.5+J207/14/AQ207*0.3+K207/30/AR207*0.2,"")</f>
        <v>0.0061901545214500045</v>
      </c>
      <c r="AT207" s="8" t="n">
        <v>1</v>
      </c>
      <c r="AU207" s="8" t="n">
        <v>0</v>
      </c>
      <c r="AV207" s="8" t="n">
        <v>85</v>
      </c>
      <c r="AW207" s="11" t="n">
        <f>IF(AND(COUNT(AT207:AV207)=3,AT207&gt;=AU207,AU207&gt;=0,AV207&gt;0),(AT207-AU207)/AV207,"")</f>
        <v>0.011764705882352941</v>
      </c>
      <c r="AX207" s="8" t="n">
        <v>17</v>
      </c>
      <c r="AY207" s="8" t="n">
        <v>0</v>
      </c>
      <c r="AZ207" s="8" t="n">
        <v>175</v>
      </c>
      <c r="BA207" s="11" t="n">
        <f>IF(AND(COUNT(AX207:AZ207)=3,AX207&gt;=AY207,AY207&gt;=0,AZ207&gt;0),(AX207-AY207)/AZ207,"")</f>
        <v>0.09714285714285714</v>
      </c>
      <c r="BB207" s="8" t="n">
        <f>IF(COUNT(AS207,AW207,BA207)=3,1,0)</f>
        <v>1</v>
      </c>
      <c r="BC207" s="11" t="n">
        <f>IF(SUMIF($AO$11:$AO$1309,AO207,$BB$11:$BB$1309)=COUNTIF($AO$11:$AO$1309,AO207),SUMIF($AO$11:$AO$1309,AO207,$AS$11:$AS$1309),"")</f>
        <v>1.3720516715672233</v>
      </c>
      <c r="BD207" s="11" t="n">
        <f>IF(SUMIF($AO$11:$AO$1309,AO207,$BB$11:$BB$1309)=COUNTIF($AO$11:$AO$1309,AO207),SUMIF($AO$11:$AO$1309,AO207,$AW$11:$AW$1309),"")</f>
        <v>1.1959893048128343</v>
      </c>
      <c r="BE207" s="11" t="n">
        <f>IF(SUMIF($AO$11:$AO$1309,AO207,$BB$11:$BB$1309)=COUNTIF($AO$11:$AO$1309,AO207),SUMIF($AO$11:$AO$1309,AO207,$BA$11:$BA$1309),"")</f>
        <v>1.9519101123595508</v>
      </c>
      <c r="BF207" s="12" t="n">
        <f>IF(COUNT(BD207:BE207)&lt;&gt;2,"",IF(AND(BD207&gt;0,BE207&gt;0),0.7*AW207/BD207+0.3*BA207/BE207,IF(BD207&gt;0,AW207/BD207,IF(BE207&gt;0,BA207/BE207,IF(AND(ISNUMBER(BH207),BH207=0),0,"")))))</f>
        <v>0.021816188918503468</v>
      </c>
      <c r="BG207" s="11" t="n">
        <f>IF(AND(COUNT(BN207:BU207)=8,MIN(BN207:BU207)&gt;=0),SUMPRODUCT(BN207:BQ207,BR207:BU207),"")</f>
        <v>88.27281580841549</v>
      </c>
      <c r="BH207" s="11" t="n">
        <f>IF(COUNT(BC207,BG207)=2,BC207*BG207,"")</f>
        <v>121.11486448388209</v>
      </c>
      <c r="BI207" s="11" t="n">
        <f>IF(ISNUMBER(CI207),CI207,"")</f>
        <v>2.642264764419318</v>
      </c>
      <c r="BJ207" s="8" t="str"/>
      <c r="BK207" s="8" t="str">
        <v>90天：2026-07-20 至 2026-10-17；180天：2026-04-21 至 2026-10-17</v>
      </c>
      <c r="BL207" s="8" t="str">
        <v>90天：2026-10-06、2026-10-07、2026-10-12、2026-10-13、2026-10-16；180天：2026-10-06、2026-10-07、2026-10-12、2026-10-13、2026-10-16</v>
      </c>
      <c r="BM207" s="8" t="str">
        <v>2026-10：12天 × 1.0395067087630607；2026-11：30天 × 0.9890368360033146；2026-12：31天 × 0.7800796503018808；2027-01：17天 × 1.2908918272824135</v>
      </c>
      <c r="BN207" s="11" t="n">
        <v>1.0395067087630607</v>
      </c>
      <c r="BO207" s="11" t="n">
        <v>0.9890368360033146</v>
      </c>
      <c r="BP207" s="11" t="n">
        <v>0.7800796503018808</v>
      </c>
      <c r="BQ207" s="11" t="n">
        <v>1.2908918272824135</v>
      </c>
      <c r="BR207" s="8" t="n">
        <v>12</v>
      </c>
      <c r="BS207" s="8" t="n">
        <v>30</v>
      </c>
      <c r="BT207" s="8" t="n">
        <v>31</v>
      </c>
      <c r="BU207" s="8" t="n">
        <v>17</v>
      </c>
      <c r="BV207" s="11" t="n">
        <f>IF(COUNT(BC207,BF207)=2,BC207*BF207,"")</f>
        <v>0.029932938472859015</v>
      </c>
      <c r="BW207" s="11" t="n">
        <f>IF(ISNUMBER(BN207),BN207,"")</f>
        <v>1.0395067087630607</v>
      </c>
      <c r="BX207" s="14" t="n">
        <f>IF(ISNUMBER(BR207),BR207,"")</f>
        <v>12</v>
      </c>
      <c r="BY207" s="13" t="n">
        <f>IF(AND(COUNT(BV207,BW207,BX207)=3,MIN(BV207,BW207,BX207)&gt;=0),BV207*BW207*BX207,"")</f>
        <v>0.37338588426634645</v>
      </c>
      <c r="BZ207" s="11" t="n">
        <f>IF(ISNUMBER(BO207),BO207,"")</f>
        <v>0.9890368360033146</v>
      </c>
      <c r="CA207" s="14" t="n">
        <f>IF(ISNUMBER(BS207),BS207,"")</f>
        <v>30</v>
      </c>
      <c r="CB207" s="13" t="n">
        <f>IF(AND(COUNT(BV207,BZ207,CA207)=3,MIN(BV207,BZ207,CA207)&gt;=0),BV207*BZ207*CA207,"")</f>
        <v>0.888143362784351</v>
      </c>
      <c r="CC207" s="11" t="n">
        <f>IF(ISNUMBER(BP207),BP207,"")</f>
        <v>0.7800796503018808</v>
      </c>
      <c r="CD207" s="14" t="n">
        <f>IF(ISNUMBER(BT207),BT207,"")</f>
        <v>31</v>
      </c>
      <c r="CE207" s="13" t="n">
        <f>IF(AND(COUNT(BV207,CC207,CD207)=3,MIN(BV207,CC207,CD207)&gt;=0),BV207*CC207*CD207,"")</f>
        <v>0.7238523614688828</v>
      </c>
      <c r="CF207" s="11" t="n">
        <f>IF(ISNUMBER(BQ207),BQ207,"")</f>
        <v>1.2908918272824135</v>
      </c>
      <c r="CG207" s="14" t="n">
        <f>IF(ISNUMBER(BU207),BU207,"")</f>
        <v>17</v>
      </c>
      <c r="CH207" s="13" t="n">
        <f>IF(AND(COUNT(BV207,CF207,CG207)=3,MIN(BV207,CF207,CG207)&gt;=0),BV207*CF207*CG207,"")</f>
        <v>0.6568831558997374</v>
      </c>
      <c r="CI207" s="13" t="n">
        <f>IF(COUNT(BY207,CB207,CE207,CH207)=4,SUM(BY207,CB207,CE207,CH207),"")</f>
        <v>2.642264764419318</v>
      </c>
    </row>
    <row r="208" ht="72" customHeight="1">
      <c r="A208" s="16" t="str">
        <v>60516-ND-S-K-11</v>
      </c>
      <c r="B208" s="16" t="str">
        <v>3店-SANDIEX-US</v>
      </c>
      <c r="C208" s="16" t="str">
        <v>徐新怡</v>
      </c>
      <c r="D208" s="26" t="n">
        <f>IF(NOT(ISNUMBER(E208)),"",IF(OR(E208&lt;=0,L208=0),0,IF(OR(NOT(ISNUMBER(F208)),F208&lt;0),"",MIN(E208,INT(F208)))))</f>
        <v>1</v>
      </c>
      <c r="E208" s="27" t="n">
        <f>IF(OR(NOT(ISNUMBER(L208)),COUNT(M208:O208)&lt;&gt;3,MIN(M208:O208)&lt;0),"",ROUNDUP(ROUND(BI208-SUM(M208:O208),10),0))</f>
        <v>2</v>
      </c>
      <c r="F208" s="28" t="n">
        <v>1</v>
      </c>
      <c r="G208" s="28" t="n">
        <f>IF(AND(ISNUMBER(D208),ISNUMBER(E208)),IF(OR(E208&lt;=0,L208=0),0,E208-D208),"")</f>
        <v>1</v>
      </c>
      <c r="H208" s="16" t="str">
        <f>IF(NOT(ISNUMBER(E208)),"销量或海外库存待补",IF(OR(E208&lt;=0,L208=0),IF(L208=0,"零日销，本批不发","本批无需补货"),IF(NOT(ISNUMBER(D208)),"国内库存待补",IF(D208=0,"国内无可用库存",IF(G208&gt;0,"先发国内现货","按建议量发货")))))</f>
        <v>先发国内现货</v>
      </c>
      <c r="I208" s="28" t="n">
        <f>IF(AND(COUNT(Z208,AA208,AB208)=3,Z208&gt;=AA208,AA208&gt;=0,AB208=7),Z208-AA208,"")</f>
        <v>0</v>
      </c>
      <c r="J208" s="28" t="n">
        <f>IF(AND(COUNT(AF208,AG208,AH208)=3,AF208&gt;=AG208,AG208&gt;=0,AH208=14),AF208-AG208,"")</f>
        <v>0</v>
      </c>
      <c r="K208" s="28" t="n">
        <f>IF(AND(COUNT(AL208,AM208,AN208)=3,AL208&gt;=AM208,AM208&gt;=0,AN208=30),AL208-AM208,"")</f>
        <v>0</v>
      </c>
      <c r="L208" s="29" t="n">
        <f>IF(ISNUMBER(BI208),BI208/90,"")</f>
        <v>0.014472584570670625</v>
      </c>
      <c r="M208" s="28" t="n">
        <v>0</v>
      </c>
      <c r="N208" s="28" t="n">
        <v>0</v>
      </c>
      <c r="O208" s="28" t="n">
        <v>0</v>
      </c>
      <c r="P208" s="30" t="n">
        <f>IF(AND(ISNUMBER(L208),L208&gt;0,COUNT(M208:O208)=3,MIN(M208:O208)&gt;=0),SUM(M208:O208)/L208,"")</f>
        <v>0</v>
      </c>
      <c r="Q208" s="16" t="str">
        <v>沿用原计划SKU店铺</v>
      </c>
      <c r="R208" s="16" t="str">
        <v>已匹配</v>
      </c>
      <c r="S208" s="16" t="str">
        <v>停售</v>
      </c>
      <c r="T208" s="16" t="str">
        <v>60516</v>
      </c>
      <c r="U208" s="16" t="str">
        <v>裸色</v>
      </c>
      <c r="V208" s="16" t="n">
        <v>11</v>
      </c>
      <c r="W208" s="8" t="str">
        <v>2026-10-08 至 2026-10-17</v>
      </c>
      <c r="X208" s="8" t="str">
        <v>2026-10-08、2026-10-09、2026-10-10、2026-10-11、2026-10-14、2026-10-15、2026-10-17</v>
      </c>
      <c r="Y208" s="8" t="str">
        <v>2026-10-12 有记录的停售日；2026-10-13 有记录的停售日；2026-10-16 有记录的停售日</v>
      </c>
      <c r="Z208" s="8" t="n">
        <v>0</v>
      </c>
      <c r="AA208" s="8" t="n">
        <v>0</v>
      </c>
      <c r="AB208" s="8" t="n">
        <v>7</v>
      </c>
      <c r="AC208" s="8" t="str">
        <v>2026-09-29 至 2026-10-17</v>
      </c>
      <c r="AD208" s="8" t="str">
        <v>2026-09-29、2026-09-30、2026-10-01、2026-10-02、2026-10-03、2026-10-04、2026-10-05、2026-10-08、2026-10-09、2026-10-10、2026-10-11、2026-10-14、2026-10-15、2026-10-17</v>
      </c>
      <c r="AE208" s="8" t="str">
        <v>2026-10-06 大促；2026-10-07 大促；2026-10-12 有记录的停售日；2026-10-13 有记录的停售日；2026-10-16 有记录的停售日</v>
      </c>
      <c r="AF208" s="8" t="n">
        <v>0</v>
      </c>
      <c r="AG208" s="8" t="n">
        <v>0</v>
      </c>
      <c r="AH208" s="8" t="n">
        <v>14</v>
      </c>
      <c r="AI208" s="8" t="str">
        <v>2026-09-13 至 2026-10-17</v>
      </c>
      <c r="AJ2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08" s="8" t="str">
        <v>2026-10-06 大促；2026-10-07 大促；2026-10-12 有记录的停售日；2026-10-13 有记录的停售日；2026-10-16 有记录的停售日</v>
      </c>
      <c r="AL208" s="8" t="n">
        <v>0</v>
      </c>
      <c r="AM208" s="8" t="n">
        <v>0</v>
      </c>
      <c r="AN208" s="8" t="n">
        <v>30</v>
      </c>
      <c r="AO208" s="8" t="str">
        <v>60516 / 裸色羊京绒 / 6574</v>
      </c>
      <c r="AP208" s="11" t="n">
        <v>1.8609238953732312</v>
      </c>
      <c r="AQ208" s="11" t="n">
        <v>1.832044958686392</v>
      </c>
      <c r="AR208" s="11" t="n">
        <v>1.7396323612885067</v>
      </c>
      <c r="AS208" s="11" t="n">
        <f>IF(AND(COUNT(I208:K208,AP208:AR208)=6,MIN(AP208:AR208)&gt;0),I208/7/AP208*0.5+J208/14/AQ208*0.3+K208/30/AR208*0.2,"")</f>
        <v>0</v>
      </c>
      <c r="AT208" s="8" t="n">
        <v>1</v>
      </c>
      <c r="AU208" s="8" t="n">
        <v>0</v>
      </c>
      <c r="AV208" s="8" t="n">
        <v>85</v>
      </c>
      <c r="AW208" s="11" t="n">
        <f>IF(AND(COUNT(AT208:AV208)=3,AT208&gt;=AU208,AU208&gt;=0,AV208&gt;0),(AT208-AU208)/AV208,"")</f>
        <v>0.011764705882352941</v>
      </c>
      <c r="AX208" s="8" t="n">
        <v>2</v>
      </c>
      <c r="AY208" s="8" t="n">
        <v>0</v>
      </c>
      <c r="AZ208" s="8" t="n">
        <v>175</v>
      </c>
      <c r="BA208" s="11" t="n">
        <f>IF(AND(COUNT(AX208:AZ208)=3,AX208&gt;=AY208,AY208&gt;=0,AZ208&gt;0),(AX208-AY208)/AZ208,"")</f>
        <v>0.011428571428571429</v>
      </c>
      <c r="BB208" s="8" t="n">
        <f>IF(COUNT(AS208,AW208,BA208)=3,1,0)</f>
        <v>1</v>
      </c>
      <c r="BC208" s="11" t="n">
        <f>IF(SUMIF($AO$11:$AO$1309,AO208,$BB$11:$BB$1309)=COUNTIF($AO$11:$AO$1309,AO208),SUMIF($AO$11:$AO$1309,AO208,$AS$11:$AS$1309),"")</f>
        <v>0.8385909885010574</v>
      </c>
      <c r="BD208" s="11" t="n">
        <f>IF(SUMIF($AO$11:$AO$1309,AO208,$BB$11:$BB$1309)=COUNTIF($AO$11:$AO$1309,AO208),SUMIF($AO$11:$AO$1309,AO208,$AW$11:$AW$1309),"")</f>
        <v>0.8766042780748663</v>
      </c>
      <c r="BE208" s="11" t="n">
        <f>IF(SUMIF($AO$11:$AO$1309,AO208,$BB$11:$BB$1309)=COUNTIF($AO$11:$AO$1309,AO208),SUMIF($AO$11:$AO$1309,AO208,$BA$11:$BA$1309),"")</f>
        <v>0.7203531300160514</v>
      </c>
      <c r="BF208" s="12" t="n">
        <f>IF(COUNT(BD208:BE208)&lt;&gt;2,"",IF(AND(BD208&gt;0,BE208&gt;0),0.7*AW208/BD208+0.3*BA208/BE208,IF(BD208&gt;0,AW208/BD208,IF(BE208&gt;0,BA208/BE208,IF(AND(ISNUMBER(BH208),BH208=0),0,"")))))</f>
        <v>0.014154110576898079</v>
      </c>
      <c r="BG208" s="11" t="n">
        <f>IF(AND(COUNT(BN208:BU208)=8,MIN(BN208:BU208)&gt;=0),SUMPRODUCT(BN208:BQ208,BR208:BU208),"")</f>
        <v>109.73769409574882</v>
      </c>
      <c r="BH208" s="11" t="n">
        <f>IF(COUNT(BC208,BG208)=2,BC208*BG208,"")</f>
        <v>92.02504136758066</v>
      </c>
      <c r="BI208" s="11" t="n">
        <f>IF(ISNUMBER(CI208),CI208,"")</f>
        <v>1.3025326113603564</v>
      </c>
      <c r="BJ208" s="8" t="str"/>
      <c r="BK208" s="8" t="str">
        <v>90天：2026-07-20 至 2026-10-17；180天：2026-04-21 至 2026-10-17</v>
      </c>
      <c r="BL208" s="8" t="str">
        <v>90天：2026-10-06、2026-10-07、2026-10-12、2026-10-13、2026-10-16；180天：2026-10-06、2026-10-07、2026-10-12、2026-10-13、2026-10-16</v>
      </c>
      <c r="BM208" s="8" t="str">
        <v>2026-10：12天 × 1.8609238953732312；2026-11：30天 × 1.438375649833085；2026-12：31天 × 0.9519742599124907；2027-01：17天 × 0.8673021058229575</v>
      </c>
      <c r="BN208" s="11" t="n">
        <v>1.8609238953732312</v>
      </c>
      <c r="BO208" s="11" t="n">
        <v>1.438375649833085</v>
      </c>
      <c r="BP208" s="11" t="n">
        <v>0.9519742599124907</v>
      </c>
      <c r="BQ208" s="11" t="n">
        <v>0.8673021058229575</v>
      </c>
      <c r="BR208" s="8" t="n">
        <v>12</v>
      </c>
      <c r="BS208" s="8" t="n">
        <v>30</v>
      </c>
      <c r="BT208" s="8" t="n">
        <v>31</v>
      </c>
      <c r="BU208" s="8" t="n">
        <v>17</v>
      </c>
      <c r="BV208" s="11" t="n">
        <f>IF(COUNT(BC208,BF208)=2,BC208*BF208,"")</f>
        <v>0.011869509580034231</v>
      </c>
      <c r="BW208" s="11" t="n">
        <f>IF(ISNUMBER(BN208),BN208,"")</f>
        <v>1.8609238953732312</v>
      </c>
      <c r="BX208" s="14" t="n">
        <f>IF(ISNUMBER(BR208),BR208,"")</f>
        <v>12</v>
      </c>
      <c r="BY208" s="13" t="n">
        <f>IF(AND(COUNT(BV208,BW208,BX208)=3,MIN(BV208,BW208,BX208)&gt;=0),BV208*BW208*BX208,"")</f>
        <v>0.26505904804616626</v>
      </c>
      <c r="BZ208" s="11" t="n">
        <f>IF(ISNUMBER(BO208),BO208,"")</f>
        <v>1.438375649833085</v>
      </c>
      <c r="CA208" s="14" t="n">
        <f>IF(ISNUMBER(BS208),BS208,"")</f>
        <v>30</v>
      </c>
      <c r="CB208" s="13" t="n">
        <f>IF(AND(COUNT(BV208,BZ208,CA208)=3,MIN(BV208,BZ208,CA208)&gt;=0),BV208*BZ208*CA208,"")</f>
        <v>0.512184406661453</v>
      </c>
      <c r="CC208" s="11" t="n">
        <f>IF(ISNUMBER(BP208),BP208,"")</f>
        <v>0.9519742599124907</v>
      </c>
      <c r="CD208" s="14" t="n">
        <f>IF(ISNUMBER(BT208),BT208,"")</f>
        <v>31</v>
      </c>
      <c r="CE208" s="13" t="n">
        <f>IF(AND(COUNT(BV208,CC208,CD208)=3,MIN(BV208,CC208,CD208)&gt;=0),BV208*CC208*CD208,"")</f>
        <v>0.3502834955372965</v>
      </c>
      <c r="CF208" s="11" t="n">
        <f>IF(ISNUMBER(BQ208),BQ208,"")</f>
        <v>0.8673021058229575</v>
      </c>
      <c r="CG208" s="14" t="n">
        <f>IF(ISNUMBER(BU208),BU208,"")</f>
        <v>17</v>
      </c>
      <c r="CH208" s="13" t="n">
        <f>IF(AND(COUNT(BV208,CF208,CG208)=3,MIN(BV208,CF208,CG208)&gt;=0),BV208*CF208*CG208,"")</f>
        <v>0.17500566111544077</v>
      </c>
      <c r="CI208" s="13" t="n">
        <f>IF(COUNT(BY208,CB208,CE208,CH208)=4,SUM(BY208,CB208,CE208,CH208),"")</f>
        <v>1.3025326113603564</v>
      </c>
    </row>
    <row r="209" ht="72" customHeight="1">
      <c r="A209" s="16" t="str">
        <v>B07-ND-Z-0-39.5</v>
      </c>
      <c r="B209" s="16" t="str">
        <v>4店-彬郁-US</v>
      </c>
      <c r="C209" s="16" t="str">
        <v>艾年</v>
      </c>
      <c r="D209" s="26" t="n">
        <f>IF(NOT(ISNUMBER(E209)),"",IF(OR(E209&lt;=0,L209=0),0,IF(OR(NOT(ISNUMBER(F209)),F209&lt;0),"",MIN(E209,INT(F209)))))</f>
        <v>1</v>
      </c>
      <c r="E209" s="27" t="n">
        <f>IF(OR(NOT(ISNUMBER(L209)),COUNT(M209:O209)&lt;&gt;3,MIN(M209:O209)&lt;0),"",ROUNDUP(ROUND(BI209-SUM(M209:O209),10),0))</f>
        <v>2</v>
      </c>
      <c r="F209" s="28" t="n">
        <v>1</v>
      </c>
      <c r="G209" s="28" t="n">
        <f>IF(AND(ISNUMBER(D209),ISNUMBER(E209)),IF(OR(E209&lt;=0,L209=0),0,E209-D209),"")</f>
        <v>1</v>
      </c>
      <c r="H209" s="16" t="str">
        <f>IF(NOT(ISNUMBER(E209)),"销量或海外库存待补",IF(OR(E209&lt;=0,L209=0),IF(L209=0,"零日销，本批不发","本批无需补货"),IF(NOT(ISNUMBER(D209)),"国内库存待补",IF(D209=0,"国内无可用库存",IF(G209&gt;0,"先发国内现货","按建议量发货")))))</f>
        <v>先发国内现货</v>
      </c>
      <c r="I209" s="28" t="n">
        <f>IF(AND(COUNT(Z209,AA209,AB209)=3,Z209&gt;=AA209,AA209&gt;=0,AB209=7),Z209-AA209,"")</f>
        <v>0</v>
      </c>
      <c r="J209" s="28" t="n">
        <f>IF(AND(COUNT(AF209,AG209,AH209)=3,AF209&gt;=AG209,AG209&gt;=0,AH209=14),AF209-AG209,"")</f>
        <v>0</v>
      </c>
      <c r="K209" s="28" t="n">
        <f>IF(AND(COUNT(AL209,AM209,AN209)=3,AL209&gt;=AM209,AM209&gt;=0,AN209=30),AL209-AM209,"")</f>
        <v>0</v>
      </c>
      <c r="L209" s="29" t="n">
        <f>IF(ISNUMBER(BI209),BI209/90,"")</f>
        <v>0.03709798713362912</v>
      </c>
      <c r="M209" s="28" t="n">
        <v>2</v>
      </c>
      <c r="N209" s="28" t="n">
        <v>0</v>
      </c>
      <c r="O209" s="28" t="n">
        <v>0</v>
      </c>
      <c r="P209" s="30" t="n">
        <f>IF(AND(ISNUMBER(L209),L209&gt;0,COUNT(M209:O209)=3,MIN(M209:O209)&gt;=0),SUM(M209:O209)/L209,"")</f>
        <v>53.91128076021707</v>
      </c>
      <c r="Q209" s="16" t="str">
        <v>沿用原计划SKU店铺</v>
      </c>
      <c r="R209" s="16" t="str">
        <v>已匹配</v>
      </c>
      <c r="S209" s="16" t="str">
        <v>在售</v>
      </c>
      <c r="T209" s="16" t="str">
        <v>B07</v>
      </c>
      <c r="U209" s="16" t="str">
        <v>裸色镜面PU</v>
      </c>
      <c r="V209" s="16" t="n">
        <v>8.5</v>
      </c>
      <c r="W209" s="8" t="str">
        <v>2026-10-11 至 2026-10-17</v>
      </c>
      <c r="X209" s="8" t="str">
        <v>2026-10-11、2026-10-12、2026-10-13、2026-10-14、2026-10-15、2026-10-16、2026-10-17</v>
      </c>
      <c r="Y209" s="8" t="str">
        <v>无</v>
      </c>
      <c r="Z209" s="8" t="n">
        <v>0</v>
      </c>
      <c r="AA209" s="8" t="n">
        <v>0</v>
      </c>
      <c r="AB209" s="8" t="n">
        <v>7</v>
      </c>
      <c r="AC209" s="8" t="str">
        <v>2026-10-02 至 2026-10-17</v>
      </c>
      <c r="AD209" s="8" t="str">
        <v>2026-10-02、2026-10-03、2026-10-04、2026-10-05、2026-10-08、2026-10-09、2026-10-10、2026-10-11、2026-10-12、2026-10-13、2026-10-14、2026-10-15、2026-10-16、2026-10-17</v>
      </c>
      <c r="AE209" s="8" t="str">
        <v>2026-10-06 大促；2026-10-07 大促</v>
      </c>
      <c r="AF209" s="8" t="n">
        <v>1</v>
      </c>
      <c r="AG209" s="8" t="n">
        <v>1</v>
      </c>
      <c r="AH209" s="8" t="n">
        <v>14</v>
      </c>
      <c r="AI209" s="8" t="str">
        <v>2026-09-16 至 2026-10-17</v>
      </c>
      <c r="AJ2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09" s="8" t="str">
        <v>2026-10-06 大促；2026-10-07 大促</v>
      </c>
      <c r="AL209" s="8" t="n">
        <v>1</v>
      </c>
      <c r="AM209" s="8" t="n">
        <v>1</v>
      </c>
      <c r="AN209" s="8" t="n">
        <v>30</v>
      </c>
      <c r="AO209" s="8" t="str">
        <v>B07 / 裸色镜面PU / 13306</v>
      </c>
      <c r="AP209" s="11" t="n">
        <v>0.7307750238224848</v>
      </c>
      <c r="AQ209" s="11" t="n">
        <v>0.7307750238224848</v>
      </c>
      <c r="AR209" s="11" t="n">
        <v>0.7449809054134506</v>
      </c>
      <c r="AS209" s="11" t="n">
        <f>IF(AND(COUNT(I209:K209,AP209:AR209)=6,MIN(AP209:AR209)&gt;0),I209/7/AP209*0.5+J209/14/AQ209*0.3+K209/30/AR209*0.2,"")</f>
        <v>0</v>
      </c>
      <c r="AT209" s="8" t="n">
        <v>3</v>
      </c>
      <c r="AU209" s="8" t="n">
        <v>1</v>
      </c>
      <c r="AV209" s="8" t="n">
        <v>88</v>
      </c>
      <c r="AW209" s="11" t="n">
        <f>IF(AND(COUNT(AT209:AV209)=3,AT209&gt;=AU209,AU209&gt;=0,AV209&gt;0),(AT209-AU209)/AV209,"")</f>
        <v>0.022727272727272728</v>
      </c>
      <c r="AX209" s="8" t="n">
        <v>6</v>
      </c>
      <c r="AY209" s="8" t="n">
        <v>1</v>
      </c>
      <c r="AZ209" s="8" t="n">
        <v>178</v>
      </c>
      <c r="BA209" s="11" t="n">
        <f>IF(AND(COUNT(AX209:AZ209)=3,AX209&gt;=AY209,AY209&gt;=0,AZ209&gt;0),(AX209-AY209)/AZ209,"")</f>
        <v>0.028089887640449437</v>
      </c>
      <c r="BB209" s="8" t="n">
        <f>IF(COUNT(AS209,AW209,BA209)=3,1,0)</f>
        <v>1</v>
      </c>
      <c r="BC209" s="11" t="n">
        <f>IF(SUMIF($AO$11:$AO$1309,AO209,$BB$11:$BB$1309)=COUNTIF($AO$11:$AO$1309,AO209),SUMIF($AO$11:$AO$1309,AO209,$AS$11:$AS$1309),"")</f>
        <v>0.683212878207941</v>
      </c>
      <c r="BD209" s="11" t="n">
        <f>IF(SUMIF($AO$11:$AO$1309,AO209,$BB$11:$BB$1309)=COUNTIF($AO$11:$AO$1309,AO209),SUMIF($AO$11:$AO$1309,AO209,$AW$11:$AW$1309),"")</f>
        <v>0.3772696182066906</v>
      </c>
      <c r="BE209" s="11" t="n">
        <f>IF(SUMIF($AO$11:$AO$1309,AO209,$BB$11:$BB$1309)=COUNTIF($AO$11:$AO$1309,AO209),SUMIF($AO$11:$AO$1309,AO209,$BA$11:$BA$1309),"")</f>
        <v>0.41723770611411054</v>
      </c>
      <c r="BF209" s="12" t="n">
        <f>IF(COUNT(BD209:BE209)&lt;&gt;2,"",IF(AND(BD209&gt;0,BE209&gt;0),0.7*AW209/BD209+0.3*BA209/BE209,IF(BD209&gt;0,AW209/BD209,IF(BE209&gt;0,BA209/BE209,IF(AND(ISNUMBER(BH209),BH209=0),0,"")))))</f>
        <v>0.06236606137592099</v>
      </c>
      <c r="BG209" s="11" t="n">
        <f>IF(AND(COUNT(BN209:BU209)=8,MIN(BN209:BU209)&gt;=0),SUMPRODUCT(BN209:BQ209,BR209:BU209),"")</f>
        <v>78.35892944347341</v>
      </c>
      <c r="BH209" s="11" t="n">
        <f>IF(COUNT(BC209,BG209)=2,BC209*BG209,"")</f>
        <v>53.53582971836844</v>
      </c>
      <c r="BI209" s="11" t="n">
        <f>IF(ISNUMBER(CI209),CI209,"")</f>
        <v>3.338818842026621</v>
      </c>
      <c r="BJ209" s="8" t="str"/>
      <c r="BK209" s="8" t="str">
        <v>90天：2026-07-20 至 2026-10-17；180天：2026-04-21 至 2026-10-17</v>
      </c>
      <c r="BL209" s="8" t="str">
        <v>90天：2026-10-06、2026-10-07；180天：2026-10-06、2026-10-07</v>
      </c>
      <c r="BM209" s="8" t="str">
        <v>2026-10：12天 × 0.7307750238224848；2026-11：30天 × 0.9523018155490097；2026-12：31天 × 0.5958545198749097；2027-01：17天 × 1.3264167397065354</v>
      </c>
      <c r="BN209" s="11" t="n">
        <v>0.7307750238224848</v>
      </c>
      <c r="BO209" s="11" t="n">
        <v>0.9523018155490097</v>
      </c>
      <c r="BP209" s="11" t="n">
        <v>0.5958545198749097</v>
      </c>
      <c r="BQ209" s="11" t="n">
        <v>1.3264167397065354</v>
      </c>
      <c r="BR209" s="8" t="n">
        <v>12</v>
      </c>
      <c r="BS209" s="8" t="n">
        <v>30</v>
      </c>
      <c r="BT209" s="8" t="n">
        <v>31</v>
      </c>
      <c r="BU209" s="8" t="n">
        <v>17</v>
      </c>
      <c r="BV209" s="11" t="n">
        <f>IF(COUNT(BC209,BF209)=2,BC209*BF209,"")</f>
        <v>0.04260929629513608</v>
      </c>
      <c r="BW209" s="11" t="n">
        <f>IF(ISNUMBER(BN209),BN209,"")</f>
        <v>0.7307750238224848</v>
      </c>
      <c r="BX209" s="14" t="n">
        <f>IF(ISNUMBER(BR209),BR209,"")</f>
        <v>12</v>
      </c>
      <c r="BY209" s="13" t="n">
        <f>IF(AND(COUNT(BV209,BW209,BX209)=3,MIN(BV209,BW209,BX209)&gt;=0),BV209*BW209*BX209,"")</f>
        <v>0.3736537141816486</v>
      </c>
      <c r="BZ209" s="11" t="n">
        <f>IF(ISNUMBER(BO209),BO209,"")</f>
        <v>0.9523018155490097</v>
      </c>
      <c r="CA209" s="14" t="n">
        <f>IF(ISNUMBER(BS209),BS209,"")</f>
        <v>30</v>
      </c>
      <c r="CB209" s="13" t="n">
        <f>IF(AND(COUNT(BV209,BZ209,CA209)=3,MIN(BV209,BZ209,CA209)&gt;=0),BV209*BZ209*CA209,"")</f>
        <v>1.2173073066337134</v>
      </c>
      <c r="CC209" s="11" t="n">
        <f>IF(ISNUMBER(BP209),BP209,"")</f>
        <v>0.5958545198749097</v>
      </c>
      <c r="CD209" s="14" t="n">
        <f>IF(ISNUMBER(BT209),BT209,"")</f>
        <v>31</v>
      </c>
      <c r="CE209" s="13" t="n">
        <f>IF(AND(COUNT(BV209,CC209,CD209)=3,MIN(BV209,CC209,CD209)&gt;=0),BV209*CC209*CD209,"")</f>
        <v>0.7870571953705284</v>
      </c>
      <c r="CF209" s="11" t="n">
        <f>IF(ISNUMBER(BQ209),BQ209,"")</f>
        <v>1.3264167397065354</v>
      </c>
      <c r="CG209" s="14" t="n">
        <f>IF(ISNUMBER(BU209),BU209,"")</f>
        <v>17</v>
      </c>
      <c r="CH209" s="13" t="n">
        <f>IF(AND(COUNT(BV209,CF209,CG209)=3,MIN(BV209,CF209,CG209)&gt;=0),BV209*CF209*CG209,"")</f>
        <v>0.9608006258407307</v>
      </c>
      <c r="CI209" s="13" t="n">
        <f>IF(COUNT(BY209,CB209,CE209,CH209)=4,SUM(BY209,CB209,CE209,CH209),"")</f>
        <v>3.338818842026621</v>
      </c>
    </row>
    <row r="210" ht="72" customHeight="1">
      <c r="A210" s="16" t="str">
        <v>1S01-BKP-38</v>
      </c>
      <c r="B210" s="16" t="str">
        <v>3店-SANDIEX-US</v>
      </c>
      <c r="C210" s="16" t="str">
        <v>徐新怡</v>
      </c>
      <c r="D210" s="26" t="n">
        <f>IF(NOT(ISNUMBER(E210)),"",IF(OR(E210&lt;=0,L210=0),0,IF(OR(NOT(ISNUMBER(F210)),F210&lt;0),"",MIN(E210,INT(F210)))))</f>
        <v>1</v>
      </c>
      <c r="E210" s="27" t="n">
        <f>IF(OR(NOT(ISNUMBER(L210)),COUNT(M210:O210)&lt;&gt;3,MIN(M210:O210)&lt;0),"",ROUNDUP(ROUND(BI210-SUM(M210:O210),10),0))</f>
        <v>1</v>
      </c>
      <c r="F210" s="28" t="n">
        <v>20</v>
      </c>
      <c r="G210" s="28" t="n">
        <f>IF(AND(ISNUMBER(D210),ISNUMBER(E210)),IF(OR(E210&lt;=0,L210=0),0,E210-D210),"")</f>
        <v>0</v>
      </c>
      <c r="H210" s="16" t="str">
        <f>IF(NOT(ISNUMBER(E210)),"销量或海外库存待补",IF(OR(E210&lt;=0,L210=0),IF(L210=0,"零日销，本批不发","本批无需补货"),IF(NOT(ISNUMBER(D210)),"国内库存待补",IF(D210=0,"国内无可用库存",IF(G210&gt;0,"先发国内现货","按建议量发货")))))</f>
        <v>按建议量发货</v>
      </c>
      <c r="I210" s="28" t="n">
        <f>IF(AND(COUNT(Z210,AA210,AB210)=3,Z210&gt;=AA210,AA210&gt;=0,AB210=7),Z210-AA210,"")</f>
        <v>0</v>
      </c>
      <c r="J210" s="28" t="n">
        <f>IF(AND(COUNT(AF210,AG210,AH210)=3,AF210&gt;=AG210,AG210&gt;=0,AH210=14),AF210-AG210,"")</f>
        <v>0</v>
      </c>
      <c r="K210" s="28" t="n">
        <f>IF(AND(COUNT(AL210,AM210,AN210)=3,AL210&gt;=AM210,AM210&gt;=0,AN210=30),AL210-AM210,"")</f>
        <v>0</v>
      </c>
      <c r="L210" s="29" t="n">
        <f>IF(ISNUMBER(BI210),BI210/90,"")</f>
        <v>0.00258677402462424</v>
      </c>
      <c r="M210" s="28" t="n">
        <v>0</v>
      </c>
      <c r="N210" s="28" t="n">
        <v>0</v>
      </c>
      <c r="O210" s="28" t="n">
        <v>0</v>
      </c>
      <c r="P210" s="30" t="n">
        <f>IF(AND(ISNUMBER(L210),L210&gt;0,COUNT(M210:O210)=3,MIN(M210:O210)&gt;=0),SUM(M210:O210)/L210,"")</f>
        <v>0</v>
      </c>
      <c r="Q210" s="16" t="str">
        <v>沿用原计划SKU店铺</v>
      </c>
      <c r="R210" s="16" t="str">
        <v>已匹配</v>
      </c>
      <c r="S210" s="16" t="str">
        <v>停售</v>
      </c>
      <c r="T210" s="16" t="str">
        <v>1S01</v>
      </c>
      <c r="U210" s="16" t="str">
        <v>黑色</v>
      </c>
      <c r="V210" s="16" t="n">
        <v>7</v>
      </c>
      <c r="W210" s="8" t="str">
        <v>2026-10-08 至 2026-10-17</v>
      </c>
      <c r="X210" s="8" t="str">
        <v>2026-10-08、2026-10-09、2026-10-10、2026-10-11、2026-10-14、2026-10-15、2026-10-17</v>
      </c>
      <c r="Y210" s="8" t="str">
        <v>2026-10-12 有记录的停售日；2026-10-13 有记录的停售日；2026-10-16 有记录的停售日</v>
      </c>
      <c r="Z210" s="8" t="n">
        <v>0</v>
      </c>
      <c r="AA210" s="8" t="n">
        <v>0</v>
      </c>
      <c r="AB210" s="8" t="n">
        <v>7</v>
      </c>
      <c r="AC210" s="8" t="str">
        <v>2026-09-29 至 2026-10-17</v>
      </c>
      <c r="AD210" s="8" t="str">
        <v>2026-09-29、2026-09-30、2026-10-01、2026-10-02、2026-10-03、2026-10-04、2026-10-05、2026-10-08、2026-10-09、2026-10-10、2026-10-11、2026-10-14、2026-10-15、2026-10-17</v>
      </c>
      <c r="AE210" s="8" t="str">
        <v>2026-10-06 大促；2026-10-07 大促；2026-10-12 有记录的停售日；2026-10-13 有记录的停售日；2026-10-16 有记录的停售日</v>
      </c>
      <c r="AF210" s="8" t="n">
        <v>0</v>
      </c>
      <c r="AG210" s="8" t="n">
        <v>0</v>
      </c>
      <c r="AH210" s="8" t="n">
        <v>14</v>
      </c>
      <c r="AI210" s="8" t="str">
        <v>2026-09-13 至 2026-10-17</v>
      </c>
      <c r="AJ2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10" s="8" t="str">
        <v>2026-10-06 大促；2026-10-07 大促；2026-10-12 有记录的停售日；2026-10-13 有记录的停售日；2026-10-16 有记录的停售日</v>
      </c>
      <c r="AL210" s="8" t="n">
        <v>0</v>
      </c>
      <c r="AM210" s="8" t="n">
        <v>0</v>
      </c>
      <c r="AN210" s="8" t="n">
        <v>30</v>
      </c>
      <c r="AO210" s="8" t="str">
        <v>1S01 / 黑色PU / 6574</v>
      </c>
      <c r="AP210" s="11" t="n">
        <v>0.8729500662042875</v>
      </c>
      <c r="AQ210" s="11" t="n">
        <v>0.9355747145678367</v>
      </c>
      <c r="AR210" s="11" t="n">
        <v>1.135973589331194</v>
      </c>
      <c r="AS210" s="11" t="n">
        <f>IF(AND(COUNT(I210:K210,AP210:AR210)=6,MIN(AP210:AR210)&gt;0),I210/7/AP210*0.5+J210/14/AQ210*0.3+K210/30/AR210*0.2,"")</f>
        <v>0</v>
      </c>
      <c r="AT210" s="8" t="n">
        <v>0</v>
      </c>
      <c r="AU210" s="8" t="n">
        <v>0</v>
      </c>
      <c r="AV210" s="8" t="n">
        <v>85</v>
      </c>
      <c r="AW210" s="11" t="n">
        <f>IF(AND(COUNT(AT210:AV210)=3,AT210&gt;=AU210,AU210&gt;=0,AV210&gt;0),(AT210-AU210)/AV210,"")</f>
        <v>0</v>
      </c>
      <c r="AX210" s="8" t="n">
        <v>2</v>
      </c>
      <c r="AY210" s="8" t="n">
        <v>0</v>
      </c>
      <c r="AZ210" s="8" t="n">
        <v>175</v>
      </c>
      <c r="BA210" s="11" t="n">
        <f>IF(AND(COUNT(AX210:AZ210)=3,AX210&gt;=AY210,AY210&gt;=0,AZ210&gt;0),(AX210-AY210)/AZ210,"")</f>
        <v>0.011428571428571429</v>
      </c>
      <c r="BB210" s="8" t="n">
        <f>IF(COUNT(AS210,AW210,BA210)=3,1,0)</f>
        <v>1</v>
      </c>
      <c r="BC210" s="11" t="n">
        <f>IF(SUMIF($AO$11:$AO$1309,AO210,$BB$11:$BB$1309)=COUNTIF($AO$11:$AO$1309,AO210),SUMIF($AO$11:$AO$1309,AO210,$AS$11:$AS$1309),"")</f>
        <v>0.35366223656175183</v>
      </c>
      <c r="BD210" s="11" t="n">
        <f>IF(SUMIF($AO$11:$AO$1309,AO210,$BB$11:$BB$1309)=COUNTIF($AO$11:$AO$1309,AO210),SUMIF($AO$11:$AO$1309,AO210,$AW$11:$AW$1309),"")</f>
        <v>0.25</v>
      </c>
      <c r="BE210" s="11" t="n">
        <f>IF(SUMIF($AO$11:$AO$1309,AO210,$BB$11:$BB$1309)=COUNTIF($AO$11:$AO$1309,AO210),SUMIF($AO$11:$AO$1309,AO210,$BA$11:$BA$1309),"")</f>
        <v>0.3330016051364366</v>
      </c>
      <c r="BF210" s="12" t="n">
        <f>IF(COUNT(BD210:BE210)&lt;&gt;2,"",IF(AND(BD210&gt;0,BE210&gt;0),0.7*AW210/BD210+0.3*BA210/BE210,IF(BD210&gt;0,AW210/BD210,IF(BE210&gt;0,BA210/BE210,IF(AND(ISNUMBER(BH210),BH210=0),0,"")))))</f>
        <v>0.010295960667116551</v>
      </c>
      <c r="BG210" s="11" t="n">
        <f>IF(AND(COUNT(BN210:BU210)=8,MIN(BN210:BU210)&gt;=0),SUMPRODUCT(BN210:BQ210,BR210:BU210),"")</f>
        <v>63.935996265425516</v>
      </c>
      <c r="BH210" s="11" t="n">
        <f>IF(COUNT(BC210,BG210)=2,BC210*BG210,"")</f>
        <v>22.6117474360342</v>
      </c>
      <c r="BI210" s="11" t="n">
        <f>IF(ISNUMBER(CI210),CI210,"")</f>
        <v>0.23280966221618163</v>
      </c>
      <c r="BJ210" s="8" t="str"/>
      <c r="BK210" s="8" t="str">
        <v>90天：2026-07-20 至 2026-10-17；180天：2026-04-21 至 2026-10-17</v>
      </c>
      <c r="BL210" s="8" t="str">
        <v>90天：2026-10-06、2026-10-07、2026-10-12、2026-10-13、2026-10-16；180天：2026-10-06、2026-10-07、2026-10-12、2026-10-13、2026-10-16</v>
      </c>
      <c r="BM210" s="8" t="str">
        <v>2026-10：12天 × 0.8729500662042875；2026-11：30天 × 0.8057375774163482；2026-12：31天 × 0.532550303142279；2027-01：17天 × 0.7517299265337036</v>
      </c>
      <c r="BN210" s="11" t="n">
        <v>0.8729500662042875</v>
      </c>
      <c r="BO210" s="11" t="n">
        <v>0.8057375774163482</v>
      </c>
      <c r="BP210" s="11" t="n">
        <v>0.532550303142279</v>
      </c>
      <c r="BQ210" s="11" t="n">
        <v>0.7517299265337036</v>
      </c>
      <c r="BR210" s="8" t="n">
        <v>12</v>
      </c>
      <c r="BS210" s="8" t="n">
        <v>30</v>
      </c>
      <c r="BT210" s="8" t="n">
        <v>31</v>
      </c>
      <c r="BU210" s="8" t="n">
        <v>17</v>
      </c>
      <c r="BV210" s="11" t="n">
        <f>IF(COUNT(BC210,BF210)=2,BC210*BF210,"")</f>
        <v>0.0036412924770842657</v>
      </c>
      <c r="BW210" s="11" t="n">
        <f>IF(ISNUMBER(BN210),BN210,"")</f>
        <v>0.8729500662042875</v>
      </c>
      <c r="BX210" s="14" t="n">
        <f>IF(ISNUMBER(BR210),BR210,"")</f>
        <v>12</v>
      </c>
      <c r="BY210" s="13" t="n">
        <f>IF(AND(COUNT(BV210,BW210,BX210)=3,MIN(BV210,BW210,BX210)&gt;=0),BV210*BW210*BX210,"")</f>
        <v>0.03814399810727861</v>
      </c>
      <c r="BZ210" s="11" t="n">
        <f>IF(ISNUMBER(BO210),BO210,"")</f>
        <v>0.8057375774163482</v>
      </c>
      <c r="CA210" s="14" t="n">
        <f>IF(ISNUMBER(BS210),BS210,"")</f>
        <v>30</v>
      </c>
      <c r="CB210" s="13" t="n">
        <f>IF(AND(COUNT(BV210,BZ210,CA210)=3,MIN(BV210,BZ210,CA210)&gt;=0),BV210*BZ210*CA210,"")</f>
        <v>0.0880177853745075</v>
      </c>
      <c r="CC210" s="11" t="n">
        <f>IF(ISNUMBER(BP210),BP210,"")</f>
        <v>0.532550303142279</v>
      </c>
      <c r="CD210" s="14" t="n">
        <f>IF(ISNUMBER(BT210),BT210,"")</f>
        <v>31</v>
      </c>
      <c r="CE210" s="13" t="n">
        <f>IF(AND(COUNT(BV210,CC210,CD210)=3,MIN(BV210,CC210,CD210)&gt;=0),BV210*CC210*CD210,"")</f>
        <v>0.0601143137875287</v>
      </c>
      <c r="CF210" s="11" t="n">
        <f>IF(ISNUMBER(BQ210),BQ210,"")</f>
        <v>0.7517299265337036</v>
      </c>
      <c r="CG210" s="14" t="n">
        <f>IF(ISNUMBER(BU210),BU210,"")</f>
        <v>17</v>
      </c>
      <c r="CH210" s="13" t="n">
        <f>IF(AND(COUNT(BV210,CF210,CG210)=3,MIN(BV210,CF210,CG210)&gt;=0),BV210*CF210*CG210,"")</f>
        <v>0.04653356494686681</v>
      </c>
      <c r="CI210" s="13" t="n">
        <f>IF(COUNT(BY210,CB210,CE210,CH210)=4,SUM(BY210,CB210,CE210,CH210),"")</f>
        <v>0.23280966221618163</v>
      </c>
    </row>
    <row r="211" ht="72" customHeight="1">
      <c r="A211" s="16" t="str">
        <v>1S01-BKP-40</v>
      </c>
      <c r="B211" s="16" t="str">
        <v>3店-SANDIEX-US</v>
      </c>
      <c r="C211" s="16" t="str">
        <v>徐新怡</v>
      </c>
      <c r="D211" s="26" t="n">
        <f>IF(NOT(ISNUMBER(E211)),"",IF(OR(E211&lt;=0,L211=0),0,IF(OR(NOT(ISNUMBER(F211)),F211&lt;0),"",MIN(E211,INT(F211)))))</f>
        <v>1</v>
      </c>
      <c r="E211" s="27" t="n">
        <f>IF(OR(NOT(ISNUMBER(L211)),COUNT(M211:O211)&lt;&gt;3,MIN(M211:O211)&lt;0),"",ROUNDUP(ROUND(BI211-SUM(M211:O211),10),0))</f>
        <v>1</v>
      </c>
      <c r="F211" s="28" t="n">
        <v>137</v>
      </c>
      <c r="G211" s="28" t="n">
        <f>IF(AND(ISNUMBER(D211),ISNUMBER(E211)),IF(OR(E211&lt;=0,L211=0),0,E211-D211),"")</f>
        <v>0</v>
      </c>
      <c r="H211" s="16" t="str">
        <f>IF(NOT(ISNUMBER(E211)),"销量或海外库存待补",IF(OR(E211&lt;=0,L211=0),IF(L211=0,"零日销，本批不发","本批无需补货"),IF(NOT(ISNUMBER(D211)),"国内库存待补",IF(D211=0,"国内无可用库存",IF(G211&gt;0,"先发国内现货","按建议量发货")))))</f>
        <v>按建议量发货</v>
      </c>
      <c r="I211" s="28" t="n">
        <f>IF(AND(COUNT(Z211,AA211,AB211)=3,Z211&gt;=AA211,AA211&gt;=0,AB211=7),Z211-AA211,"")</f>
        <v>0</v>
      </c>
      <c r="J211" s="28" t="n">
        <f>IF(AND(COUNT(AF211,AG211,AH211)=3,AF211&gt;=AG211,AG211&gt;=0,AH211=14),AF211-AG211,"")</f>
        <v>0</v>
      </c>
      <c r="K211" s="28" t="n">
        <f>IF(AND(COUNT(AL211,AM211,AN211)=3,AL211&gt;=AM211,AM211&gt;=0,AN211=30),AL211-AM211,"")</f>
        <v>0</v>
      </c>
      <c r="L211" s="29" t="n">
        <f>IF(ISNUMBER(BI211),BI211/90,"")</f>
        <v>0.00517354804924848</v>
      </c>
      <c r="M211" s="28" t="n">
        <v>0</v>
      </c>
      <c r="N211" s="28" t="n">
        <v>0</v>
      </c>
      <c r="O211" s="28" t="n">
        <v>0</v>
      </c>
      <c r="P211" s="30" t="n">
        <f>IF(AND(ISNUMBER(L211),L211&gt;0,COUNT(M211:O211)=3,MIN(M211:O211)&gt;=0),SUM(M211:O211)/L211,"")</f>
        <v>0</v>
      </c>
      <c r="Q211" s="16" t="str">
        <v>沿用原计划SKU店铺</v>
      </c>
      <c r="R211" s="16" t="str">
        <v>已匹配</v>
      </c>
      <c r="S211" s="16" t="str">
        <v>停售</v>
      </c>
      <c r="T211" s="16" t="str">
        <v>1S01</v>
      </c>
      <c r="U211" s="16" t="str">
        <v>黑色</v>
      </c>
      <c r="V211" s="16" t="n">
        <v>9</v>
      </c>
      <c r="W211" s="8" t="str">
        <v>2026-10-08 至 2026-10-17</v>
      </c>
      <c r="X211" s="8" t="str">
        <v>2026-10-08、2026-10-09、2026-10-10、2026-10-11、2026-10-14、2026-10-15、2026-10-17</v>
      </c>
      <c r="Y211" s="8" t="str">
        <v>2026-10-12 有记录的停售日；2026-10-13 有记录的停售日；2026-10-16 有记录的停售日</v>
      </c>
      <c r="Z211" s="8" t="n">
        <v>0</v>
      </c>
      <c r="AA211" s="8" t="n">
        <v>0</v>
      </c>
      <c r="AB211" s="8" t="n">
        <v>7</v>
      </c>
      <c r="AC211" s="8" t="str">
        <v>2026-09-29 至 2026-10-17</v>
      </c>
      <c r="AD211" s="8" t="str">
        <v>2026-09-29、2026-09-30、2026-10-01、2026-10-02、2026-10-03、2026-10-04、2026-10-05、2026-10-08、2026-10-09、2026-10-10、2026-10-11、2026-10-14、2026-10-15、2026-10-17</v>
      </c>
      <c r="AE211" s="8" t="str">
        <v>2026-10-06 大促；2026-10-07 大促；2026-10-12 有记录的停售日；2026-10-13 有记录的停售日；2026-10-16 有记录的停售日</v>
      </c>
      <c r="AF211" s="8" t="n">
        <v>0</v>
      </c>
      <c r="AG211" s="8" t="n">
        <v>0</v>
      </c>
      <c r="AH211" s="8" t="n">
        <v>14</v>
      </c>
      <c r="AI211" s="8" t="str">
        <v>2026-09-13 至 2026-10-17</v>
      </c>
      <c r="AJ21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11" s="8" t="str">
        <v>2026-10-06 大促；2026-10-07 大促；2026-10-12 有记录的停售日；2026-10-13 有记录的停售日；2026-10-16 有记录的停售日</v>
      </c>
      <c r="AL211" s="8" t="n">
        <v>0</v>
      </c>
      <c r="AM211" s="8" t="n">
        <v>0</v>
      </c>
      <c r="AN211" s="8" t="n">
        <v>30</v>
      </c>
      <c r="AO211" s="8" t="str">
        <v>1S01 / 黑色PU / 6574</v>
      </c>
      <c r="AP211" s="11" t="n">
        <v>0.8729500662042875</v>
      </c>
      <c r="AQ211" s="11" t="n">
        <v>0.9355747145678367</v>
      </c>
      <c r="AR211" s="11" t="n">
        <v>1.135973589331194</v>
      </c>
      <c r="AS211" s="11" t="n">
        <f>IF(AND(COUNT(I211:K211,AP211:AR211)=6,MIN(AP211:AR211)&gt;0),I211/7/AP211*0.5+J211/14/AQ211*0.3+K211/30/AR211*0.2,"")</f>
        <v>0</v>
      </c>
      <c r="AT211" s="8" t="n">
        <v>0</v>
      </c>
      <c r="AU211" s="8" t="n">
        <v>0</v>
      </c>
      <c r="AV211" s="8" t="n">
        <v>85</v>
      </c>
      <c r="AW211" s="11" t="n">
        <f>IF(AND(COUNT(AT211:AV211)=3,AT211&gt;=AU211,AU211&gt;=0,AV211&gt;0),(AT211-AU211)/AV211,"")</f>
        <v>0</v>
      </c>
      <c r="AX211" s="8" t="n">
        <v>4</v>
      </c>
      <c r="AY211" s="8" t="n">
        <v>0</v>
      </c>
      <c r="AZ211" s="8" t="n">
        <v>175</v>
      </c>
      <c r="BA211" s="11" t="n">
        <f>IF(AND(COUNT(AX211:AZ211)=3,AX211&gt;=AY211,AY211&gt;=0,AZ211&gt;0),(AX211-AY211)/AZ211,"")</f>
        <v>0.022857142857142857</v>
      </c>
      <c r="BB211" s="8" t="n">
        <f>IF(COUNT(AS211,AW211,BA211)=3,1,0)</f>
        <v>1</v>
      </c>
      <c r="BC211" s="11" t="n">
        <f>IF(SUMIF($AO$11:$AO$1309,AO211,$BB$11:$BB$1309)=COUNTIF($AO$11:$AO$1309,AO211),SUMIF($AO$11:$AO$1309,AO211,$AS$11:$AS$1309),"")</f>
        <v>0.35366223656175183</v>
      </c>
      <c r="BD211" s="11" t="n">
        <f>IF(SUMIF($AO$11:$AO$1309,AO211,$BB$11:$BB$1309)=COUNTIF($AO$11:$AO$1309,AO211),SUMIF($AO$11:$AO$1309,AO211,$AW$11:$AW$1309),"")</f>
        <v>0.25</v>
      </c>
      <c r="BE211" s="11" t="n">
        <f>IF(SUMIF($AO$11:$AO$1309,AO211,$BB$11:$BB$1309)=COUNTIF($AO$11:$AO$1309,AO211),SUMIF($AO$11:$AO$1309,AO211,$BA$11:$BA$1309),"")</f>
        <v>0.3330016051364366</v>
      </c>
      <c r="BF211" s="12" t="n">
        <f>IF(COUNT(BD211:BE211)&lt;&gt;2,"",IF(AND(BD211&gt;0,BE211&gt;0),0.7*AW211/BD211+0.3*BA211/BE211,IF(BD211&gt;0,AW211/BD211,IF(BE211&gt;0,BA211/BE211,IF(AND(ISNUMBER(BH211),BH211=0),0,"")))))</f>
        <v>0.020591921334233102</v>
      </c>
      <c r="BG211" s="11" t="n">
        <f>IF(AND(COUNT(BN211:BU211)=8,MIN(BN211:BU211)&gt;=0),SUMPRODUCT(BN211:BQ211,BR211:BU211),"")</f>
        <v>63.935996265425516</v>
      </c>
      <c r="BH211" s="11" t="n">
        <f>IF(COUNT(BC211,BG211)=2,BC211*BG211,"")</f>
        <v>22.6117474360342</v>
      </c>
      <c r="BI211" s="11" t="n">
        <f>IF(ISNUMBER(CI211),CI211,"")</f>
        <v>0.46561932443236326</v>
      </c>
      <c r="BJ211" s="8" t="str"/>
      <c r="BK211" s="8" t="str">
        <v>90天：2026-07-20 至 2026-10-17；180天：2026-04-21 至 2026-10-17</v>
      </c>
      <c r="BL211" s="8" t="str">
        <v>90天：2026-10-06、2026-10-07、2026-10-12、2026-10-13、2026-10-16；180天：2026-10-06、2026-10-07、2026-10-12、2026-10-13、2026-10-16</v>
      </c>
      <c r="BM211" s="8" t="str">
        <v>2026-10：12天 × 0.8729500662042875；2026-11：30天 × 0.8057375774163482；2026-12：31天 × 0.532550303142279；2027-01：17天 × 0.7517299265337036</v>
      </c>
      <c r="BN211" s="11" t="n">
        <v>0.8729500662042875</v>
      </c>
      <c r="BO211" s="11" t="n">
        <v>0.8057375774163482</v>
      </c>
      <c r="BP211" s="11" t="n">
        <v>0.532550303142279</v>
      </c>
      <c r="BQ211" s="11" t="n">
        <v>0.7517299265337036</v>
      </c>
      <c r="BR211" s="8" t="n">
        <v>12</v>
      </c>
      <c r="BS211" s="8" t="n">
        <v>30</v>
      </c>
      <c r="BT211" s="8" t="n">
        <v>31</v>
      </c>
      <c r="BU211" s="8" t="n">
        <v>17</v>
      </c>
      <c r="BV211" s="11" t="n">
        <f>IF(COUNT(BC211,BF211)=2,BC211*BF211,"")</f>
        <v>0.0072825849541685314</v>
      </c>
      <c r="BW211" s="11" t="n">
        <f>IF(ISNUMBER(BN211),BN211,"")</f>
        <v>0.8729500662042875</v>
      </c>
      <c r="BX211" s="14" t="n">
        <f>IF(ISNUMBER(BR211),BR211,"")</f>
        <v>12</v>
      </c>
      <c r="BY211" s="13" t="n">
        <f>IF(AND(COUNT(BV211,BW211,BX211)=3,MIN(BV211,BW211,BX211)&gt;=0),BV211*BW211*BX211,"")</f>
        <v>0.07628799621455722</v>
      </c>
      <c r="BZ211" s="11" t="n">
        <f>IF(ISNUMBER(BO211),BO211,"")</f>
        <v>0.8057375774163482</v>
      </c>
      <c r="CA211" s="14" t="n">
        <f>IF(ISNUMBER(BS211),BS211,"")</f>
        <v>30</v>
      </c>
      <c r="CB211" s="13" t="n">
        <f>IF(AND(COUNT(BV211,BZ211,CA211)=3,MIN(BV211,BZ211,CA211)&gt;=0),BV211*BZ211*CA211,"")</f>
        <v>0.176035570749015</v>
      </c>
      <c r="CC211" s="11" t="n">
        <f>IF(ISNUMBER(BP211),BP211,"")</f>
        <v>0.532550303142279</v>
      </c>
      <c r="CD211" s="14" t="n">
        <f>IF(ISNUMBER(BT211),BT211,"")</f>
        <v>31</v>
      </c>
      <c r="CE211" s="13" t="n">
        <f>IF(AND(COUNT(BV211,CC211,CD211)=3,MIN(BV211,CC211,CD211)&gt;=0),BV211*CC211*CD211,"")</f>
        <v>0.1202286275750574</v>
      </c>
      <c r="CF211" s="11" t="n">
        <f>IF(ISNUMBER(BQ211),BQ211,"")</f>
        <v>0.7517299265337036</v>
      </c>
      <c r="CG211" s="14" t="n">
        <f>IF(ISNUMBER(BU211),BU211,"")</f>
        <v>17</v>
      </c>
      <c r="CH211" s="13" t="n">
        <f>IF(AND(COUNT(BV211,CF211,CG211)=3,MIN(BV211,CF211,CG211)&gt;=0),BV211*CF211*CG211,"")</f>
        <v>0.09306712989373361</v>
      </c>
      <c r="CI211" s="13" t="n">
        <f>IF(COUNT(BY211,CB211,CE211,CH211)=4,SUM(BY211,CB211,CE211,CH211),"")</f>
        <v>0.46561932443236326</v>
      </c>
    </row>
    <row r="212" ht="72" customHeight="1">
      <c r="A212" s="16" t="str">
        <v>32582-MT-40</v>
      </c>
      <c r="B212" s="16" t="str">
        <v>3店-SANDIEX-US</v>
      </c>
      <c r="C212" s="16" t="str">
        <v>徐新怡</v>
      </c>
      <c r="D212" s="26" t="n">
        <f>IF(NOT(ISNUMBER(E212)),"",IF(OR(E212&lt;=0,L212=0),0,IF(OR(NOT(ISNUMBER(F212)),F212&lt;0),"",MIN(E212,INT(F212)))))</f>
        <v>1</v>
      </c>
      <c r="E212" s="27" t="n">
        <f>IF(OR(NOT(ISNUMBER(L212)),COUNT(M212:O212)&lt;&gt;3,MIN(M212:O212)&lt;0),"",ROUNDUP(ROUND(BI212-SUM(M212:O212),10),0))</f>
        <v>1</v>
      </c>
      <c r="F212" s="28" t="n">
        <v>4</v>
      </c>
      <c r="G212" s="28" t="n">
        <f>IF(AND(ISNUMBER(D212),ISNUMBER(E212)),IF(OR(E212&lt;=0,L212=0),0,E212-D212),"")</f>
        <v>0</v>
      </c>
      <c r="H212" s="16" t="str">
        <f>IF(NOT(ISNUMBER(E212)),"销量或海外库存待补",IF(OR(E212&lt;=0,L212=0),IF(L212=0,"零日销，本批不发","本批无需补货"),IF(NOT(ISNUMBER(D212)),"国内库存待补",IF(D212=0,"国内无可用库存",IF(G212&gt;0,"先发国内现货","按建议量发货")))))</f>
        <v>按建议量发货</v>
      </c>
      <c r="I212" s="28" t="n">
        <f>IF(AND(COUNT(Z212,AA212,AB212)=3,Z212&gt;=AA212,AA212&gt;=0,AB212=7),Z212-AA212,"")</f>
        <v>2</v>
      </c>
      <c r="J212" s="28" t="n">
        <f>IF(AND(COUNT(AF212,AG212,AH212)=3,AF212&gt;=AG212,AG212&gt;=0,AH212=14),AF212-AG212,"")</f>
        <v>7</v>
      </c>
      <c r="K212" s="28" t="n">
        <f>IF(AND(COUNT(AL212,AM212,AN212)=3,AL212&gt;=AM212,AM212&gt;=0,AN212=30),AL212-AM212,"")</f>
        <v>8</v>
      </c>
      <c r="L212" s="29" t="n">
        <f>IF(ISNUMBER(BI212),BI212/90,"")</f>
        <v>0.18026638439685433</v>
      </c>
      <c r="M212" s="28" t="n">
        <v>16</v>
      </c>
      <c r="N212" s="28" t="n">
        <v>0</v>
      </c>
      <c r="O212" s="28" t="n">
        <v>0</v>
      </c>
      <c r="P212" s="30" t="n">
        <f>IF(AND(ISNUMBER(L212),L212&gt;0,COUNT(M212:O212)=3,MIN(M212:O212)&gt;=0),SUM(M212:O212)/L212,"")</f>
        <v>88.75753543032287</v>
      </c>
      <c r="Q212" s="16" t="str">
        <v>沿用原计划SKU店铺</v>
      </c>
      <c r="R212" s="16" t="str">
        <v>已匹配</v>
      </c>
      <c r="S212" s="16" t="str">
        <v>在售</v>
      </c>
      <c r="T212" s="16" t="str">
        <v>32582</v>
      </c>
      <c r="U212" s="16" t="str">
        <v>黄色</v>
      </c>
      <c r="V212" s="16" t="n">
        <v>9</v>
      </c>
      <c r="W212" s="8" t="str">
        <v>2026-10-11 至 2026-10-17</v>
      </c>
      <c r="X212" s="8" t="str">
        <v>2026-10-11、2026-10-12、2026-10-13、2026-10-14、2026-10-15、2026-10-16、2026-10-17</v>
      </c>
      <c r="Y212" s="8" t="str">
        <v>无</v>
      </c>
      <c r="Z212" s="8" t="n">
        <v>2</v>
      </c>
      <c r="AA212" s="8" t="n">
        <v>0</v>
      </c>
      <c r="AB212" s="8" t="n">
        <v>7</v>
      </c>
      <c r="AC212" s="8" t="str">
        <v>2026-10-02 至 2026-10-17</v>
      </c>
      <c r="AD212" s="8" t="str">
        <v>2026-10-02、2026-10-03、2026-10-04、2026-10-05、2026-10-08、2026-10-09、2026-10-10、2026-10-11、2026-10-12、2026-10-13、2026-10-14、2026-10-15、2026-10-16、2026-10-17</v>
      </c>
      <c r="AE212" s="8" t="str">
        <v>2026-10-06 大促；2026-10-07 大促</v>
      </c>
      <c r="AF212" s="8" t="n">
        <v>7</v>
      </c>
      <c r="AG212" s="8" t="n">
        <v>0</v>
      </c>
      <c r="AH212" s="8" t="n">
        <v>14</v>
      </c>
      <c r="AI212" s="8" t="str">
        <v>2026-09-16 至 2026-10-17</v>
      </c>
      <c r="AJ2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2" s="8" t="str">
        <v>2026-10-06 大促；2026-10-07 大促</v>
      </c>
      <c r="AL212" s="8" t="n">
        <v>8</v>
      </c>
      <c r="AM212" s="8" t="n">
        <v>0</v>
      </c>
      <c r="AN212" s="8" t="n">
        <v>30</v>
      </c>
      <c r="AO212" s="8" t="str">
        <v>32582 / 黄色羊京绒 / 6574</v>
      </c>
      <c r="AP212" s="11" t="n">
        <v>1.0395067087630607</v>
      </c>
      <c r="AQ212" s="11" t="n">
        <v>1.0395067087630607</v>
      </c>
      <c r="AR212" s="11" t="n">
        <v>1.0707336504782758</v>
      </c>
      <c r="AS212" s="11" t="n">
        <f>IF(AND(COUNT(I212:K212,AP212:AR212)=6,MIN(AP212:AR212)&gt;0),I212/7/AP212*0.5+J212/14/AQ212*0.3+K212/30/AR212*0.2,"")</f>
        <v>0.33153711918131484</v>
      </c>
      <c r="AT212" s="8" t="n">
        <v>16</v>
      </c>
      <c r="AU212" s="8" t="n">
        <v>0</v>
      </c>
      <c r="AV212" s="8" t="n">
        <v>88</v>
      </c>
      <c r="AW212" s="11" t="n">
        <f>IF(AND(COUNT(AT212:AV212)=3,AT212&gt;=AU212,AU212&gt;=0,AV212&gt;0),(AT212-AU212)/AV212,"")</f>
        <v>0.18181818181818182</v>
      </c>
      <c r="AX212" s="8" t="n">
        <v>26</v>
      </c>
      <c r="AY212" s="8" t="n">
        <v>0</v>
      </c>
      <c r="AZ212" s="8" t="n">
        <v>178</v>
      </c>
      <c r="BA212" s="11" t="n">
        <f>IF(AND(COUNT(AX212:AZ212)=3,AX212&gt;=AY212,AY212&gt;=0,AZ212&gt;0),(AX212-AY212)/AZ212,"")</f>
        <v>0.14606741573033707</v>
      </c>
      <c r="BB212" s="8" t="n">
        <f>IF(COUNT(AS212,AW212,BA212)=3,1,0)</f>
        <v>1</v>
      </c>
      <c r="BC212" s="11" t="n">
        <f>IF(SUMIF($AO$11:$AO$1309,AO212,$BB$11:$BB$1309)=COUNTIF($AO$11:$AO$1309,AO212),SUMIF($AO$11:$AO$1309,AO212,$AS$11:$AS$1309),"")</f>
        <v>0.47872862187367615</v>
      </c>
      <c r="BD212" s="11" t="n">
        <f>IF(SUMIF($AO$11:$AO$1309,AO212,$BB$11:$BB$1309)=COUNTIF($AO$11:$AO$1309,AO212),SUMIF($AO$11:$AO$1309,AO212,$AW$11:$AW$1309),"")</f>
        <v>0.4244652406417112</v>
      </c>
      <c r="BE212" s="11" t="n">
        <f>IF(SUMIF($AO$11:$AO$1309,AO212,$BB$11:$BB$1309)=COUNTIF($AO$11:$AO$1309,AO212),SUMIF($AO$11:$AO$1309,AO212,$BA$11:$BA$1309),"")</f>
        <v>0.5211878009630819</v>
      </c>
      <c r="BF212" s="12" t="n">
        <f>IF(COUNT(BD212:BE212)&lt;&gt;2,"",IF(AND(BD212&gt;0,BE212&gt;0),0.7*AW212/BD212+0.3*BA212/BE212,IF(BD212&gt;0,AW212/BD212,IF(BE212&gt;0,BA212/BE212,IF(AND(ISNUMBER(BH212),BH212=0),0,"")))))</f>
        <v>0.3839201297866716</v>
      </c>
      <c r="BG212" s="11" t="n">
        <f>IF(AND(COUNT(BN212:BU212)=8,MIN(BN212:BU212)&gt;=0),SUMPRODUCT(BN212:BQ212,BR212:BU212),"")</f>
        <v>88.27281580841549</v>
      </c>
      <c r="BH212" s="11" t="n">
        <f>IF(COUNT(BC212,BG212)=2,BC212*BG212,"")</f>
        <v>42.2587234608716</v>
      </c>
      <c r="BI212" s="11" t="n">
        <f>IF(ISNUMBER(CI212),CI212,"")</f>
        <v>16.22397459571689</v>
      </c>
      <c r="BJ212" s="8" t="str"/>
      <c r="BK212" s="8" t="str">
        <v>90天：2026-07-20 至 2026-10-17；180天：2026-04-21 至 2026-10-17</v>
      </c>
      <c r="BL212" s="8" t="str">
        <v>90天：2026-10-06、2026-10-07；180天：2026-10-06、2026-10-07</v>
      </c>
      <c r="BM212" s="8" t="str">
        <v>2026-10：12天 × 1.0395067087630607；2026-11：30天 × 0.9890368360033146；2026-12：31天 × 0.7800796503018808；2027-01：17天 × 1.2908918272824135</v>
      </c>
      <c r="BN212" s="11" t="n">
        <v>1.0395067087630607</v>
      </c>
      <c r="BO212" s="11" t="n">
        <v>0.9890368360033146</v>
      </c>
      <c r="BP212" s="11" t="n">
        <v>0.7800796503018808</v>
      </c>
      <c r="BQ212" s="11" t="n">
        <v>1.2908918272824135</v>
      </c>
      <c r="BR212" s="8" t="n">
        <v>12</v>
      </c>
      <c r="BS212" s="8" t="n">
        <v>30</v>
      </c>
      <c r="BT212" s="8" t="n">
        <v>31</v>
      </c>
      <c r="BU212" s="8" t="n">
        <v>17</v>
      </c>
      <c r="BV212" s="11" t="n">
        <f>IF(COUNT(BC212,BF212)=2,BC212*BF212,"")</f>
        <v>0.18379355464233618</v>
      </c>
      <c r="BW212" s="11" t="n">
        <f>IF(ISNUMBER(BN212),BN212,"")</f>
        <v>1.0395067087630607</v>
      </c>
      <c r="BX212" s="14" t="n">
        <f>IF(ISNUMBER(BR212),BR212,"")</f>
        <v>12</v>
      </c>
      <c r="BY212" s="13" t="n">
        <f>IF(AND(COUNT(BV212,BW212,BX212)=3,MIN(BV212,BW212,BX212)&gt;=0),BV212*BW212*BX212,"")</f>
        <v>2.292655596937424</v>
      </c>
      <c r="BZ212" s="11" t="n">
        <f>IF(ISNUMBER(BO212),BO212,"")</f>
        <v>0.9890368360033146</v>
      </c>
      <c r="CA212" s="14" t="n">
        <f>IF(ISNUMBER(BS212),BS212,"")</f>
        <v>30</v>
      </c>
      <c r="CB212" s="13" t="n">
        <f>IF(AND(COUNT(BV212,BZ212,CA212)=3,MIN(BV212,BZ212,CA212)&gt;=0),BV212*BZ212*CA212,"")</f>
        <v>5.4533578728377545</v>
      </c>
      <c r="CC212" s="11" t="n">
        <f>IF(ISNUMBER(BP212),BP212,"")</f>
        <v>0.7800796503018808</v>
      </c>
      <c r="CD212" s="14" t="n">
        <f>IF(ISNUMBER(BT212),BT212,"")</f>
        <v>31</v>
      </c>
      <c r="CE212" s="13" t="n">
        <f>IF(AND(COUNT(BV212,CC212,CD212)=3,MIN(BV212,CC212,CD212)&gt;=0),BV212*CC212*CD212,"")</f>
        <v>4.44458196682713</v>
      </c>
      <c r="CF212" s="11" t="n">
        <f>IF(ISNUMBER(BQ212),BQ212,"")</f>
        <v>1.2908918272824135</v>
      </c>
      <c r="CG212" s="14" t="n">
        <f>IF(ISNUMBER(BU212),BU212,"")</f>
        <v>17</v>
      </c>
      <c r="CH212" s="13" t="n">
        <f>IF(AND(COUNT(BV212,CF212,CG212)=3,MIN(BV212,CF212,CG212)&gt;=0),BV212*CF212*CG212,"")</f>
        <v>4.033379159114583</v>
      </c>
      <c r="CI212" s="13" t="n">
        <f>IF(COUNT(BY212,CB212,CE212,CH212)=4,SUM(BY212,CB212,CE212,CH212),"")</f>
        <v>16.22397459571689</v>
      </c>
    </row>
    <row r="213" ht="72" customHeight="1">
      <c r="A213" s="16" t="str">
        <v>8392-ND-40</v>
      </c>
      <c r="B213" s="16" t="str">
        <v>3店-SANDIEX-US</v>
      </c>
      <c r="C213" s="16" t="str">
        <v>徐新怡</v>
      </c>
      <c r="D213" s="26" t="n">
        <f>IF(NOT(ISNUMBER(E213)),"",IF(OR(E213&lt;=0,L213=0),0,IF(OR(NOT(ISNUMBER(F213)),F213&lt;0),"",MIN(E213,INT(F213)))))</f>
        <v>1</v>
      </c>
      <c r="E213" s="27" t="n">
        <f>IF(OR(NOT(ISNUMBER(L213)),COUNT(M213:O213)&lt;&gt;3,MIN(M213:O213)&lt;0),"",ROUNDUP(ROUND(BI213-SUM(M213:O213),10),0))</f>
        <v>1</v>
      </c>
      <c r="F213" s="28" t="n">
        <v>36</v>
      </c>
      <c r="G213" s="28" t="n">
        <f>IF(AND(ISNUMBER(D213),ISNUMBER(E213)),IF(OR(E213&lt;=0,L213=0),0,E213-D213),"")</f>
        <v>0</v>
      </c>
      <c r="H213" s="16" t="str">
        <f>IF(NOT(ISNUMBER(E213)),"销量或海外库存待补",IF(OR(E213&lt;=0,L213=0),IF(L213=0,"零日销，本批不发","本批无需补货"),IF(NOT(ISNUMBER(D213)),"国内库存待补",IF(D213=0,"国内无可用库存",IF(G213&gt;0,"先发国内现货","按建议量发货")))))</f>
        <v>按建议量发货</v>
      </c>
      <c r="I213" s="28" t="n">
        <f>IF(AND(COUNT(Z213,AA213,AB213)=3,Z213&gt;=AA213,AA213&gt;=0,AB213=7),Z213-AA213,"")</f>
        <v>3</v>
      </c>
      <c r="J213" s="28" t="n">
        <f>IF(AND(COUNT(AF213,AG213,AH213)=3,AF213&gt;=AG213,AG213&gt;=0,AH213=14),AF213-AG213,"")</f>
        <v>6</v>
      </c>
      <c r="K213" s="28" t="n">
        <f>IF(AND(COUNT(AL213,AM213,AN213)=3,AL213&gt;=AM213,AM213&gt;=0,AN213=30),AL213-AM213,"")</f>
        <v>13</v>
      </c>
      <c r="L213" s="29" t="n">
        <f>IF(ISNUMBER(BI213),BI213/90,"")</f>
        <v>0.6082259677132007</v>
      </c>
      <c r="M213" s="28" t="n">
        <v>54</v>
      </c>
      <c r="N213" s="28" t="n">
        <v>0</v>
      </c>
      <c r="O213" s="28" t="n">
        <v>0</v>
      </c>
      <c r="P213" s="30" t="n">
        <f>IF(AND(ISNUMBER(L213),L213&gt;0,COUNT(M213:O213)=3,MIN(M213:O213)&gt;=0),SUM(M213:O213)/L213,"")</f>
        <v>88.78279268974396</v>
      </c>
      <c r="Q213" s="16" t="str">
        <v>按本SKU唯一未删除Listing店铺核实</v>
      </c>
      <c r="R213" s="16" t="str">
        <v>已匹配</v>
      </c>
      <c r="S213" s="16" t="str">
        <v>在售</v>
      </c>
      <c r="T213" s="16" t="str">
        <v>8392</v>
      </c>
      <c r="U213" s="16" t="str">
        <v>裸色</v>
      </c>
      <c r="V213" s="16" t="n">
        <v>9</v>
      </c>
      <c r="W213" s="8" t="str">
        <v>2026-10-11 至 2026-10-17</v>
      </c>
      <c r="X213" s="8" t="str">
        <v>2026-10-11、2026-10-12、2026-10-13、2026-10-14、2026-10-15、2026-10-16、2026-10-17</v>
      </c>
      <c r="Y213" s="8" t="str">
        <v>无</v>
      </c>
      <c r="Z213" s="8" t="n">
        <v>3</v>
      </c>
      <c r="AA213" s="8" t="n">
        <v>0</v>
      </c>
      <c r="AB213" s="8" t="n">
        <v>7</v>
      </c>
      <c r="AC213" s="8" t="str">
        <v>2026-10-02 至 2026-10-17</v>
      </c>
      <c r="AD213" s="8" t="str">
        <v>2026-10-02、2026-10-03、2026-10-04、2026-10-05、2026-10-08、2026-10-09、2026-10-10、2026-10-11、2026-10-12、2026-10-13、2026-10-14、2026-10-15、2026-10-16、2026-10-17</v>
      </c>
      <c r="AE213" s="8" t="str">
        <v>2026-10-06 大促；2026-10-07 大促</v>
      </c>
      <c r="AF213" s="8" t="n">
        <v>9</v>
      </c>
      <c r="AG213" s="8" t="n">
        <v>3</v>
      </c>
      <c r="AH213" s="8" t="n">
        <v>14</v>
      </c>
      <c r="AI213" s="8" t="str">
        <v>2026-09-16 至 2026-10-17</v>
      </c>
      <c r="AJ2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3" s="8" t="str">
        <v>2026-10-06 大促；2026-10-07 大促</v>
      </c>
      <c r="AL213" s="8" t="n">
        <v>16</v>
      </c>
      <c r="AM213" s="8" t="n">
        <v>3</v>
      </c>
      <c r="AN213" s="8" t="n">
        <v>30</v>
      </c>
      <c r="AO213" s="8" t="str">
        <v>8392 / 裸色羊京绒 / 6574</v>
      </c>
      <c r="AP213" s="11" t="n">
        <v>1.1743420411079069</v>
      </c>
      <c r="AQ213" s="11" t="n">
        <v>1.1743420411079069</v>
      </c>
      <c r="AR213" s="11" t="n">
        <v>1.144331424468921</v>
      </c>
      <c r="AS213" s="11" t="n">
        <f>IF(AND(COUNT(I213:K213,AP213:AR213)=6,MIN(AP213:AR213)&gt;0),I213/7/AP213*0.5+J213/14/AQ213*0.3+K213/30/AR213*0.2,"")</f>
        <v>0.3676924332994393</v>
      </c>
      <c r="AT213" s="8" t="n">
        <v>26</v>
      </c>
      <c r="AU213" s="8" t="n">
        <v>3</v>
      </c>
      <c r="AV213" s="8" t="n">
        <v>88</v>
      </c>
      <c r="AW213" s="11" t="n">
        <f>IF(AND(COUNT(AT213:AV213)=3,AT213&gt;=AU213,AU213&gt;=0,AV213&gt;0),(AT213-AU213)/AV213,"")</f>
        <v>0.26136363636363635</v>
      </c>
      <c r="AX213" s="8" t="n">
        <v>71</v>
      </c>
      <c r="AY213" s="8" t="n">
        <v>3</v>
      </c>
      <c r="AZ213" s="8" t="n">
        <v>178</v>
      </c>
      <c r="BA213" s="11" t="n">
        <f>IF(AND(COUNT(AX213:AZ213)=3,AX213&gt;=AY213,AY213&gt;=0,AZ213&gt;0),(AX213-AY213)/AZ213,"")</f>
        <v>0.38202247191011235</v>
      </c>
      <c r="BB213" s="8" t="n">
        <f>IF(COUNT(AS213,AW213,BA213)=3,1,0)</f>
        <v>1</v>
      </c>
      <c r="BC213" s="11" t="n">
        <f>IF(SUMIF($AO$11:$AO$1309,AO213,$BB$11:$BB$1309)=COUNTIF($AO$11:$AO$1309,AO213),SUMIF($AO$11:$AO$1309,AO213,$AS$11:$AS$1309),"")</f>
        <v>2.532116178578144</v>
      </c>
      <c r="BD213" s="11" t="n">
        <f>IF(SUMIF($AO$11:$AO$1309,AO213,$BB$11:$BB$1309)=COUNTIF($AO$11:$AO$1309,AO213),SUMIF($AO$11:$AO$1309,AO213,$AW$11:$AW$1309),"")</f>
        <v>1.3068181818181819</v>
      </c>
      <c r="BE213" s="11" t="n">
        <f>IF(SUMIF($AO$11:$AO$1309,AO213,$BB$11:$BB$1309)=COUNTIF($AO$11:$AO$1309,AO213),SUMIF($AO$11:$AO$1309,AO213,$BA$11:$BA$1309),"")</f>
        <v>1.3707865168539328</v>
      </c>
      <c r="BF213" s="12" t="n">
        <f>IF(COUNT(BD213:BE213)&lt;&gt;2,"",IF(AND(BD213&gt;0,BE213&gt;0),0.7*AW213/BD213+0.3*BA213/BE213,IF(BD213&gt;0,AW213/BD213,IF(BE213&gt;0,BA213/BE213,IF(AND(ISNUMBER(BH213),BH213=0),0,"")))))</f>
        <v>0.22360655737704913</v>
      </c>
      <c r="BG213" s="11" t="n">
        <f>IF(AND(COUNT(BN213:BU213)=8,MIN(BN213:BU213)&gt;=0),SUMPRODUCT(BN213:BQ213,BR213:BU213),"")</f>
        <v>96.68059267618935</v>
      </c>
      <c r="BH213" s="11" t="n">
        <f>IF(COUNT(BC213,BG213)=2,BC213*BG213,"")</f>
        <v>244.80649286990268</v>
      </c>
      <c r="BI213" s="11" t="n">
        <f>IF(ISNUMBER(CI213),CI213,"")</f>
        <v>54.740337094188064</v>
      </c>
      <c r="BJ213" s="8" t="str"/>
      <c r="BK213" s="8" t="str">
        <v>90天：2026-07-20 至 2026-10-17；180天：2026-04-21 至 2026-10-17</v>
      </c>
      <c r="BL213" s="8" t="str">
        <v>90天：2026-10-06、2026-10-07；180天：2026-10-06、2026-10-07</v>
      </c>
      <c r="BM213" s="8" t="str">
        <v>2026-10：12天 × 1.1743420411079069；2026-11：30天 × 1.281694931279211；2026-12：31天 × 0.9007634642750235；2027-01：17天 × 0.9537631089407297</v>
      </c>
      <c r="BN213" s="11" t="n">
        <v>1.1743420411079069</v>
      </c>
      <c r="BO213" s="11" t="n">
        <v>1.281694931279211</v>
      </c>
      <c r="BP213" s="11" t="n">
        <v>0.9007634642750235</v>
      </c>
      <c r="BQ213" s="11" t="n">
        <v>0.9537631089407297</v>
      </c>
      <c r="BR213" s="8" t="n">
        <v>12</v>
      </c>
      <c r="BS213" s="8" t="n">
        <v>30</v>
      </c>
      <c r="BT213" s="8" t="n">
        <v>31</v>
      </c>
      <c r="BU213" s="8" t="n">
        <v>17</v>
      </c>
      <c r="BV213" s="11" t="n">
        <f>IF(COUNT(BC213,BF213)=2,BC213*BF213,"")</f>
        <v>0.5661977815705882</v>
      </c>
      <c r="BW213" s="11" t="n">
        <f>IF(ISNUMBER(BN213),BN213,"")</f>
        <v>1.1743420411079069</v>
      </c>
      <c r="BX213" s="14" t="n">
        <f>IF(ISNUMBER(BR213),BR213,"")</f>
        <v>12</v>
      </c>
      <c r="BY213" s="13" t="n">
        <f>IF(AND(COUNT(BV213,BW213,BX213)=3,MIN(BV213,BW213,BX213)&gt;=0),BV213*BW213*BX213,"")</f>
        <v>7.97891830176448</v>
      </c>
      <c r="BZ213" s="11" t="n">
        <f>IF(ISNUMBER(BO213),BO213,"")</f>
        <v>1.281694931279211</v>
      </c>
      <c r="CA213" s="14" t="n">
        <f>IF(ISNUMBER(BS213),BS213,"")</f>
        <v>30</v>
      </c>
      <c r="CB213" s="13" t="n">
        <f>IF(AND(COUNT(BV213,BZ213,CA213)=3,MIN(BV213,BZ213,CA213)&gt;=0),BV213*BZ213*CA213,"")</f>
        <v>21.770784802216703</v>
      </c>
      <c r="CC213" s="11" t="n">
        <f>IF(ISNUMBER(BP213),BP213,"")</f>
        <v>0.9007634642750235</v>
      </c>
      <c r="CD213" s="14" t="n">
        <f>IF(ISNUMBER(BT213),BT213,"")</f>
        <v>31</v>
      </c>
      <c r="CE213" s="13" t="n">
        <f>IF(AND(COUNT(BV213,CC213,CD213)=3,MIN(BV213,CC213,CD213)&gt;=0),BV213*CC213*CD213,"")</f>
        <v>15.81031853096304</v>
      </c>
      <c r="CF213" s="11" t="n">
        <f>IF(ISNUMBER(BQ213),BQ213,"")</f>
        <v>0.9537631089407297</v>
      </c>
      <c r="CG213" s="14" t="n">
        <f>IF(ISNUMBER(BU213),BU213,"")</f>
        <v>17</v>
      </c>
      <c r="CH213" s="13" t="n">
        <f>IF(AND(COUNT(BV213,CF213,CG213)=3,MIN(BV213,CF213,CG213)&gt;=0),BV213*CF213*CG213,"")</f>
        <v>9.180315459243843</v>
      </c>
      <c r="CI213" s="13" t="n">
        <f>IF(COUNT(BY213,CB213,CE213,CH213)=4,SUM(BY213,CB213,CE213,CH213),"")</f>
        <v>54.740337094188064</v>
      </c>
    </row>
    <row r="214" ht="72" customHeight="1">
      <c r="A214" s="16" t="str">
        <v>B06-BKP-38-N</v>
      </c>
      <c r="B214" s="16" t="str">
        <v>1店-MUSSHOE-US</v>
      </c>
      <c r="C214" s="16" t="str">
        <v>艾年</v>
      </c>
      <c r="D214" s="26" t="n">
        <f>IF(NOT(ISNUMBER(E214)),"",IF(OR(E214&lt;=0,L214=0),0,IF(OR(NOT(ISNUMBER(F214)),F214&lt;0),"",MIN(E214,INT(F214)))))</f>
        <v>1</v>
      </c>
      <c r="E214" s="27" t="n">
        <f>IF(OR(NOT(ISNUMBER(L214)),COUNT(M214:O214)&lt;&gt;3,MIN(M214:O214)&lt;0),"",ROUNDUP(ROUND(BI214-SUM(M214:O214),10),0))</f>
        <v>1</v>
      </c>
      <c r="F214" s="28" t="n">
        <v>42</v>
      </c>
      <c r="G214" s="28" t="n">
        <f>IF(AND(ISNUMBER(D214),ISNUMBER(E214)),IF(OR(E214&lt;=0,L214=0),0,E214-D214),"")</f>
        <v>0</v>
      </c>
      <c r="H214" s="16" t="str">
        <f>IF(NOT(ISNUMBER(E214)),"销量或海外库存待补",IF(OR(E214&lt;=0,L214=0),IF(L214=0,"零日销，本批不发","本批无需补货"),IF(NOT(ISNUMBER(D214)),"国内库存待补",IF(D214=0,"国内无可用库存",IF(G214&gt;0,"先发国内现货","按建议量发货")))))</f>
        <v>按建议量发货</v>
      </c>
      <c r="I214" s="28" t="n">
        <f>IF(AND(COUNT(Z214,AA214,AB214)=3,Z214&gt;=AA214,AA214&gt;=0,AB214=7),Z214-AA214,"")</f>
        <v>4</v>
      </c>
      <c r="J214" s="28" t="n">
        <f>IF(AND(COUNT(AF214,AG214,AH214)=3,AF214&gt;=AG214,AG214&gt;=0,AH214=14),AF214-AG214,"")</f>
        <v>8</v>
      </c>
      <c r="K214" s="28" t="n">
        <f>IF(AND(COUNT(AL214,AM214,AN214)=3,AL214&gt;=AM214,AM214&gt;=0,AN214=30),AL214-AM214,"")</f>
        <v>11</v>
      </c>
      <c r="L214" s="29" t="n">
        <f>IF(ISNUMBER(BI214),BI214/90,"")</f>
        <v>0.3386030286599444</v>
      </c>
      <c r="M214" s="28" t="n">
        <v>30</v>
      </c>
      <c r="N214" s="28" t="n">
        <v>0</v>
      </c>
      <c r="O214" s="28" t="n">
        <v>0</v>
      </c>
      <c r="P214" s="30" t="n">
        <f>IF(AND(ISNUMBER(L214),L214&gt;0,COUNT(M214:O214)=3,MIN(M214:O214)&gt;=0),SUM(M214:O214)/L214,"")</f>
        <v>88.59932564315217</v>
      </c>
      <c r="Q214" s="16" t="str">
        <v>沿用原计划SKU店铺</v>
      </c>
      <c r="R214" s="16" t="str">
        <v>已匹配</v>
      </c>
      <c r="S214" s="16" t="str">
        <v>在售</v>
      </c>
      <c r="T214" s="16" t="str">
        <v>B06</v>
      </c>
      <c r="U214" s="16" t="str">
        <v>黑色PU</v>
      </c>
      <c r="V214" s="16" t="n">
        <v>7</v>
      </c>
      <c r="W214" s="8" t="str">
        <v>2026-10-11 至 2026-10-17</v>
      </c>
      <c r="X214" s="8" t="str">
        <v>2026-10-11、2026-10-12、2026-10-13、2026-10-14、2026-10-15、2026-10-16、2026-10-17</v>
      </c>
      <c r="Y214" s="8" t="str">
        <v>无</v>
      </c>
      <c r="Z214" s="8" t="n">
        <v>4</v>
      </c>
      <c r="AA214" s="8" t="n">
        <v>0</v>
      </c>
      <c r="AB214" s="8" t="n">
        <v>7</v>
      </c>
      <c r="AC214" s="8" t="str">
        <v>2026-10-02 至 2026-10-17</v>
      </c>
      <c r="AD214" s="8" t="str">
        <v>2026-10-02、2026-10-03、2026-10-04、2026-10-05、2026-10-08、2026-10-09、2026-10-10、2026-10-11、2026-10-12、2026-10-13、2026-10-14、2026-10-15、2026-10-16、2026-10-17</v>
      </c>
      <c r="AE214" s="8" t="str">
        <v>2026-10-06 大促；2026-10-07 大促</v>
      </c>
      <c r="AF214" s="8" t="n">
        <v>9</v>
      </c>
      <c r="AG214" s="8" t="n">
        <v>1</v>
      </c>
      <c r="AH214" s="8" t="n">
        <v>14</v>
      </c>
      <c r="AI214" s="8" t="str">
        <v>2026-09-16 至 2026-10-17</v>
      </c>
      <c r="AJ2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4" s="8" t="str">
        <v>2026-10-06 大促；2026-10-07 大促</v>
      </c>
      <c r="AL214" s="8" t="n">
        <v>12</v>
      </c>
      <c r="AM214" s="8" t="n">
        <v>1</v>
      </c>
      <c r="AN214" s="8" t="n">
        <v>30</v>
      </c>
      <c r="AO214" s="8" t="str">
        <v>B06 / 黑色PU / 13120</v>
      </c>
      <c r="AP214" s="11" t="n">
        <v>1.2247029157699902</v>
      </c>
      <c r="AQ214" s="11" t="n">
        <v>1.2247029157699902</v>
      </c>
      <c r="AR214" s="11" t="n">
        <v>1.1136940657346173</v>
      </c>
      <c r="AS214" s="11" t="n">
        <f>IF(AND(COUNT(I214:K214,AP214:AR214)=6,MIN(AP214:AR214)&gt;0),I214/7/AP214*0.5+J214/14/AQ214*0.3+K214/30/AR214*0.2,"")</f>
        <v>0.43911529510067765</v>
      </c>
      <c r="AT214" s="8" t="n">
        <v>51</v>
      </c>
      <c r="AU214" s="8" t="n">
        <v>1</v>
      </c>
      <c r="AV214" s="8" t="n">
        <v>88</v>
      </c>
      <c r="AW214" s="11" t="n">
        <f>IF(AND(COUNT(AT214:AV214)=3,AT214&gt;=AU214,AU214&gt;=0,AV214&gt;0),(AT214-AU214)/AV214,"")</f>
        <v>0.5681818181818182</v>
      </c>
      <c r="AX214" s="8" t="n">
        <v>96</v>
      </c>
      <c r="AY214" s="8" t="n">
        <v>1</v>
      </c>
      <c r="AZ214" s="8" t="n">
        <v>178</v>
      </c>
      <c r="BA214" s="11" t="n">
        <f>IF(AND(COUNT(AX214:AZ214)=3,AX214&gt;=AY214,AY214&gt;=0,AZ214&gt;0),(AX214-AY214)/AZ214,"")</f>
        <v>0.5337078651685393</v>
      </c>
      <c r="BB214" s="8" t="n">
        <f>IF(COUNT(AS214,AW214,BA214)=3,1,0)</f>
        <v>1</v>
      </c>
      <c r="BC214" s="11" t="n">
        <f>IF(SUMIF($AO$11:$AO$1309,AO214,$BB$11:$BB$1309)=COUNTIF($AO$11:$AO$1309,AO214),SUMIF($AO$11:$AO$1309,AO214,$AS$11:$AS$1309),"")</f>
        <v>3.356331278136211</v>
      </c>
      <c r="BD214" s="11" t="n">
        <f>IF(SUMIF($AO$11:$AO$1309,AO214,$BB$11:$BB$1309)=COUNTIF($AO$11:$AO$1309,AO214),SUMIF($AO$11:$AO$1309,AO214,$AW$11:$AW$1309),"")</f>
        <v>4.654443391412116</v>
      </c>
      <c r="BE214" s="11" t="n">
        <f>IF(SUMIF($AO$11:$AO$1309,AO214,$BB$11:$BB$1309)=COUNTIF($AO$11:$AO$1309,AO214),SUMIF($AO$11:$AO$1309,AO214,$BA$11:$BA$1309),"")</f>
        <v>4.262156775332837</v>
      </c>
      <c r="BF214" s="12" t="n">
        <f>IF(COUNT(BD214:BE214)&lt;&gt;2,"",IF(AND(BD214&gt;0,BE214&gt;0),0.7*AW214/BD214+0.3*BA214/BE214,IF(BD214&gt;0,AW214/BD214,IF(BE214&gt;0,BA214/BE214,IF(AND(ISNUMBER(BH214),BH214=0),0,"")))))</f>
        <v>0.1230171342826445</v>
      </c>
      <c r="BG214" s="11" t="n">
        <f>IF(AND(COUNT(BN214:BU214)=8,MIN(BN214:BU214)&gt;=0),SUMPRODUCT(BN214:BQ214,BR214:BU214),"")</f>
        <v>73.80791239847399</v>
      </c>
      <c r="BH214" s="11" t="n">
        <f>IF(COUNT(BC214,BG214)=2,BC214*BG214,"")</f>
        <v>247.72380495693568</v>
      </c>
      <c r="BI214" s="11" t="n">
        <f>IF(ISNUMBER(CI214),CI214,"")</f>
        <v>30.474272579395</v>
      </c>
      <c r="BJ214" s="8" t="str">
        <v>低销提醒依据不完整</v>
      </c>
      <c r="BK214" s="8" t="str">
        <v>90天：2026-07-20 至 2026-10-17；180天：2026-04-21 至 2026-10-17</v>
      </c>
      <c r="BL214" s="8" t="str">
        <v>90天：2026-10-06、2026-10-07；180天：2026-10-06、2026-10-07</v>
      </c>
      <c r="BM214" s="8" t="str">
        <v>2026-10：12天 × 1.2247029157699902；2026-11：30天 × 0.8332682139098497；2026-12：31天 × 0.5511018253564084；2027-01：17天 × 1.0017220238758797</v>
      </c>
      <c r="BN214" s="11" t="n">
        <v>1.2247029157699902</v>
      </c>
      <c r="BO214" s="11" t="n">
        <v>0.8332682139098497</v>
      </c>
      <c r="BP214" s="11" t="n">
        <v>0.5511018253564084</v>
      </c>
      <c r="BQ214" s="11" t="n">
        <v>1.0017220238758797</v>
      </c>
      <c r="BR214" s="8" t="n">
        <v>12</v>
      </c>
      <c r="BS214" s="8" t="n">
        <v>30</v>
      </c>
      <c r="BT214" s="8" t="n">
        <v>31</v>
      </c>
      <c r="BU214" s="8" t="n">
        <v>17</v>
      </c>
      <c r="BV214" s="11" t="n">
        <f>IF(COUNT(BC214,BF214)=2,BC214*BF214,"")</f>
        <v>0.41288625553952213</v>
      </c>
      <c r="BW214" s="11" t="n">
        <f>IF(ISNUMBER(BN214),BN214,"")</f>
        <v>1.2247029157699902</v>
      </c>
      <c r="BX214" s="14" t="n">
        <f>IF(ISNUMBER(BR214),BR214,"")</f>
        <v>12</v>
      </c>
      <c r="BY214" s="13" t="n">
        <f>IF(AND(COUNT(BV214,BW214,BX214)=3,MIN(BV214,BW214,BX214)&gt;=0),BV214*BW214*BX214,"")</f>
        <v>6.067956012487272</v>
      </c>
      <c r="BZ214" s="11" t="n">
        <f>IF(ISNUMBER(BO214),BO214,"")</f>
        <v>0.8332682139098497</v>
      </c>
      <c r="CA214" s="14" t="n">
        <f>IF(ISNUMBER(BS214),BS214,"")</f>
        <v>30</v>
      </c>
      <c r="CB214" s="13" t="n">
        <f>IF(AND(COUNT(BV214,BZ214,CA214)=3,MIN(BV214,BZ214,CA214)&gt;=0),BV214*BZ214*CA214,"")</f>
        <v>10.321349781040302</v>
      </c>
      <c r="CC214" s="11" t="n">
        <f>IF(ISNUMBER(BP214),BP214,"")</f>
        <v>0.5511018253564084</v>
      </c>
      <c r="CD214" s="14" t="n">
        <f>IF(ISNUMBER(BT214),BT214,"")</f>
        <v>31</v>
      </c>
      <c r="CE214" s="13" t="n">
        <f>IF(AND(COUNT(BV214,CC214,CD214)=3,MIN(BV214,CC214,CD214)&gt;=0),BV214*CC214*CD214,"")</f>
        <v>7.053813441864497</v>
      </c>
      <c r="CF214" s="11" t="n">
        <f>IF(ISNUMBER(BQ214),BQ214,"")</f>
        <v>1.0017220238758797</v>
      </c>
      <c r="CG214" s="14" t="n">
        <f>IF(ISNUMBER(BU214),BU214,"")</f>
        <v>17</v>
      </c>
      <c r="CH214" s="13" t="n">
        <f>IF(AND(COUNT(BV214,CF214,CG214)=3,MIN(BV214,CF214,CG214)&gt;=0),BV214*CF214*CG214,"")</f>
        <v>7.031153344002924</v>
      </c>
      <c r="CI214" s="13" t="n">
        <f>IF(COUNT(BY214,CB214,CE214,CH214)=4,SUM(BY214,CB214,CE214,CH214),"")</f>
        <v>30.474272579395</v>
      </c>
    </row>
    <row r="215" ht="72" customHeight="1">
      <c r="A215" s="16" t="str">
        <v>B06-IV-P-0-39</v>
      </c>
      <c r="B215" s="16" t="str">
        <v>1店-MUSSHOE-US</v>
      </c>
      <c r="C215" s="16" t="str">
        <v>艾年</v>
      </c>
      <c r="D215" s="26" t="n">
        <f>IF(NOT(ISNUMBER(E215)),"",IF(OR(E215&lt;=0,L215=0),0,IF(OR(NOT(ISNUMBER(F215)),F215&lt;0),"",MIN(E215,INT(F215)))))</f>
        <v>1</v>
      </c>
      <c r="E215" s="27" t="n">
        <f>IF(OR(NOT(ISNUMBER(L215)),COUNT(M215:O215)&lt;&gt;3,MIN(M215:O215)&lt;0),"",ROUNDUP(ROUND(BI215-SUM(M215:O215),10),0))</f>
        <v>1</v>
      </c>
      <c r="F215" s="28" t="n">
        <v>16</v>
      </c>
      <c r="G215" s="28" t="n">
        <f>IF(AND(ISNUMBER(D215),ISNUMBER(E215)),IF(OR(E215&lt;=0,L215=0),0,E215-D215),"")</f>
        <v>0</v>
      </c>
      <c r="H215" s="16" t="str">
        <f>IF(NOT(ISNUMBER(E215)),"销量或海外库存待补",IF(OR(E215&lt;=0,L215=0),IF(L215=0,"零日销，本批不发","本批无需补货"),IF(NOT(ISNUMBER(D215)),"国内库存待补",IF(D215=0,"国内无可用库存",IF(G215&gt;0,"先发国内现货","按建议量发货")))))</f>
        <v>按建议量发货</v>
      </c>
      <c r="I215" s="28" t="n">
        <f>IF(AND(COUNT(Z215,AA215,AB215)=3,Z215&gt;=AA215,AA215&gt;=0,AB215=7),Z215-AA215,"")</f>
        <v>0</v>
      </c>
      <c r="J215" s="28" t="n">
        <f>IF(AND(COUNT(AF215,AG215,AH215)=3,AF215&gt;=AG215,AG215&gt;=0,AH215=14),AF215-AG215,"")</f>
        <v>0</v>
      </c>
      <c r="K215" s="28" t="n">
        <f>IF(AND(COUNT(AL215,AM215,AN215)=3,AL215&gt;=AM215,AM215&gt;=0,AN215=30),AL215-AM215,"")</f>
        <v>0</v>
      </c>
      <c r="L215" s="29" t="n">
        <f>IF(ISNUMBER(BI215),BI215/90,"")</f>
        <v>0.00642227210838173</v>
      </c>
      <c r="M215" s="28" t="n">
        <v>0</v>
      </c>
      <c r="N215" s="28" t="n">
        <v>0</v>
      </c>
      <c r="O215" s="28" t="n">
        <v>0</v>
      </c>
      <c r="P215" s="30" t="n">
        <f>IF(AND(ISNUMBER(L215),L215&gt;0,COUNT(M215:O215)=3,MIN(M215:O215)&gt;=0),SUM(M215:O215)/L215,"")</f>
        <v>0</v>
      </c>
      <c r="Q215" s="16" t="str">
        <v>沿用原计划SKU店铺</v>
      </c>
      <c r="R215" s="16" t="str">
        <v>已匹配</v>
      </c>
      <c r="S215" s="16" t="str">
        <v>停售</v>
      </c>
      <c r="T215" s="16" t="str">
        <v>B06</v>
      </c>
      <c r="U215" s="16" t="str">
        <v>米白色PU</v>
      </c>
      <c r="V215" s="16" t="n">
        <v>8.5</v>
      </c>
      <c r="W215" s="8" t="str">
        <v>2026-10-08 至 2026-10-17</v>
      </c>
      <c r="X215" s="8" t="str">
        <v>2026-10-08、2026-10-09、2026-10-10、2026-10-11、2026-10-14、2026-10-15、2026-10-17</v>
      </c>
      <c r="Y215" s="8" t="str">
        <v>2026-10-12 有记录的停售日；2026-10-13 有记录的停售日；2026-10-16 有记录的停售日</v>
      </c>
      <c r="Z215" s="8" t="n">
        <v>0</v>
      </c>
      <c r="AA215" s="8" t="n">
        <v>0</v>
      </c>
      <c r="AB215" s="8" t="n">
        <v>7</v>
      </c>
      <c r="AC215" s="8" t="str">
        <v>2026-09-29 至 2026-10-17</v>
      </c>
      <c r="AD215" s="8" t="str">
        <v>2026-09-29、2026-09-30、2026-10-01、2026-10-02、2026-10-03、2026-10-04、2026-10-05、2026-10-08、2026-10-09、2026-10-10、2026-10-11、2026-10-14、2026-10-15、2026-10-17</v>
      </c>
      <c r="AE215" s="8" t="str">
        <v>2026-10-06 大促；2026-10-07 大促；2026-10-12 有记录的停售日；2026-10-13 有记录的停售日；2026-10-16 有记录的停售日</v>
      </c>
      <c r="AF215" s="8" t="n">
        <v>0</v>
      </c>
      <c r="AG215" s="8" t="n">
        <v>0</v>
      </c>
      <c r="AH215" s="8" t="n">
        <v>14</v>
      </c>
      <c r="AI215" s="8" t="str">
        <v>2026-09-13 至 2026-10-17</v>
      </c>
      <c r="AJ2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15" s="8" t="str">
        <v>2026-10-06 大促；2026-10-07 大促；2026-10-12 有记录的停售日；2026-10-13 有记录的停售日；2026-10-16 有记录的停售日</v>
      </c>
      <c r="AL215" s="8" t="n">
        <v>0</v>
      </c>
      <c r="AM215" s="8" t="n">
        <v>0</v>
      </c>
      <c r="AN215" s="8" t="n">
        <v>30</v>
      </c>
      <c r="AO215" s="8" t="str">
        <v>B06 / 米白色PU / 13120</v>
      </c>
      <c r="AP215" s="11" t="n">
        <v>1.2247029157699902</v>
      </c>
      <c r="AQ215" s="11" t="n">
        <v>1.1929861014741694</v>
      </c>
      <c r="AR215" s="11" t="n">
        <v>1.0914922957275428</v>
      </c>
      <c r="AS215" s="11" t="n">
        <f>IF(AND(COUNT(I215:K215,AP215:AR215)=6,MIN(AP215:AR215)&gt;0),I215/7/AP215*0.5+J215/14/AQ215*0.3+K215/30/AR215*0.2,"")</f>
        <v>0</v>
      </c>
      <c r="AT215" s="8" t="n">
        <v>2</v>
      </c>
      <c r="AU215" s="8" t="n">
        <v>0</v>
      </c>
      <c r="AV215" s="8" t="n">
        <v>85</v>
      </c>
      <c r="AW215" s="11" t="n">
        <f>IF(AND(COUNT(AT215:AV215)=3,AT215&gt;=AU215,AU215&gt;=0,AV215&gt;0),(AT215-AU215)/AV215,"")</f>
        <v>0.023529411764705882</v>
      </c>
      <c r="AX215" s="8" t="n">
        <v>3</v>
      </c>
      <c r="AY215" s="8" t="n">
        <v>0</v>
      </c>
      <c r="AZ215" s="8" t="n">
        <v>175</v>
      </c>
      <c r="BA215" s="11" t="n">
        <f>IF(AND(COUNT(AX215:AZ215)=3,AX215&gt;=AY215,AY215&gt;=0,AZ215&gt;0),(AX215-AY215)/AZ215,"")</f>
        <v>0.017142857142857144</v>
      </c>
      <c r="BB215" s="8" t="n">
        <f>IF(COUNT(AS215,AW215,BA215)=3,1,0)</f>
        <v>1</v>
      </c>
      <c r="BC215" s="11" t="n">
        <f>IF(SUMIF($AO$11:$AO$1309,AO215,$BB$11:$BB$1309)=COUNTIF($AO$11:$AO$1309,AO215),SUMIF($AO$11:$AO$1309,AO215,$AS$11:$AS$1309),"")</f>
        <v>0.02946912348029766</v>
      </c>
      <c r="BD215" s="11" t="n">
        <f>IF(SUMIF($AO$11:$AO$1309,AO215,$BB$11:$BB$1309)=COUNTIF($AO$11:$AO$1309,AO215),SUMIF($AO$11:$AO$1309,AO215,$AW$11:$AW$1309),"")</f>
        <v>0.0803475935828877</v>
      </c>
      <c r="BE215" s="11" t="n">
        <f>IF(SUMIF($AO$11:$AO$1309,AO215,$BB$11:$BB$1309)=COUNTIF($AO$11:$AO$1309,AO215),SUMIF($AO$11:$AO$1309,AO215,$BA$11:$BA$1309),"")</f>
        <v>0.08465489566613162</v>
      </c>
      <c r="BF215" s="12" t="n">
        <f>IF(COUNT(BD215:BE215)&lt;&gt;2,"",IF(AND(BD215&gt;0,BE215&gt;0),0.7*AW215/BD215+0.3*BA215/BE215,IF(BD215&gt;0,AW215/BD215,IF(BE215&gt;0,BA215/BE215,IF(AND(ISNUMBER(BH215),BH215=0),0,"")))))</f>
        <v>0.2657425337747667</v>
      </c>
      <c r="BG215" s="11" t="n">
        <f>IF(AND(COUNT(BN215:BU215)=8,MIN(BN215:BU215)&gt;=0),SUMPRODUCT(BN215:BQ215,BR215:BU215),"")</f>
        <v>73.80791239847399</v>
      </c>
      <c r="BH215" s="11" t="n">
        <f>IF(COUNT(BC215,BG215)=2,BC215*BG215,"")</f>
        <v>2.1750544842936224</v>
      </c>
      <c r="BI215" s="11" t="n">
        <f>IF(ISNUMBER(CI215),CI215,"")</f>
        <v>0.5780044897543557</v>
      </c>
      <c r="BJ215" s="8" t="str">
        <v>低销提醒依据不完整</v>
      </c>
      <c r="BK215" s="8" t="str">
        <v>90天：2026-07-20 至 2026-10-17；180天：2026-04-21 至 2026-10-17</v>
      </c>
      <c r="BL215" s="8" t="str">
        <v>90天：2026-10-06、2026-10-07、2026-10-12、2026-10-13、2026-10-16；180天：2026-10-06、2026-10-07、2026-10-12、2026-10-13、2026-10-16</v>
      </c>
      <c r="BM215" s="8" t="str">
        <v>2026-10：12天 × 1.2247029157699902；2026-11：30天 × 0.8332682139098497；2026-12：31天 × 0.5511018253564084；2027-01：17天 × 1.0017220238758797</v>
      </c>
      <c r="BN215" s="11" t="n">
        <v>1.2247029157699902</v>
      </c>
      <c r="BO215" s="11" t="n">
        <v>0.8332682139098497</v>
      </c>
      <c r="BP215" s="11" t="n">
        <v>0.5511018253564084</v>
      </c>
      <c r="BQ215" s="11" t="n">
        <v>1.0017220238758797</v>
      </c>
      <c r="BR215" s="8" t="n">
        <v>12</v>
      </c>
      <c r="BS215" s="8" t="n">
        <v>30</v>
      </c>
      <c r="BT215" s="8" t="n">
        <v>31</v>
      </c>
      <c r="BU215" s="8" t="n">
        <v>17</v>
      </c>
      <c r="BV215" s="11" t="n">
        <f>IF(COUNT(BC215,BF215)=2,BC215*BF215,"")</f>
        <v>0.00783119954177577</v>
      </c>
      <c r="BW215" s="11" t="n">
        <f>IF(ISNUMBER(BN215),BN215,"")</f>
        <v>1.2247029157699902</v>
      </c>
      <c r="BX215" s="14" t="n">
        <f>IF(ISNUMBER(BR215),BR215,"")</f>
        <v>12</v>
      </c>
      <c r="BY215" s="13" t="n">
        <f>IF(AND(COUNT(BV215,BW215,BX215)=3,MIN(BV215,BW215,BX215)&gt;=0),BV215*BW215*BX215,"")</f>
        <v>0.11509071495347278</v>
      </c>
      <c r="BZ215" s="11" t="n">
        <f>IF(ISNUMBER(BO215),BO215,"")</f>
        <v>0.8332682139098497</v>
      </c>
      <c r="CA215" s="14" t="n">
        <f>IF(ISNUMBER(BS215),BS215,"")</f>
        <v>30</v>
      </c>
      <c r="CB215" s="13" t="n">
        <f>IF(AND(COUNT(BV215,BZ215,CA215)=3,MIN(BV215,BZ215,CA215)&gt;=0),BV215*BZ215*CA215,"")</f>
        <v>0.1957646896484139</v>
      </c>
      <c r="CC215" s="11" t="n">
        <f>IF(ISNUMBER(BP215),BP215,"")</f>
        <v>0.5511018253564084</v>
      </c>
      <c r="CD215" s="14" t="n">
        <f>IF(ISNUMBER(BT215),BT215,"")</f>
        <v>31</v>
      </c>
      <c r="CE215" s="13" t="n">
        <f>IF(AND(COUNT(BV215,CC215,CD215)=3,MIN(BV215,CC215,CD215)&gt;=0),BV215*CC215*CD215,"")</f>
        <v>0.13378943922828979</v>
      </c>
      <c r="CF215" s="11" t="n">
        <f>IF(ISNUMBER(BQ215),BQ215,"")</f>
        <v>1.0017220238758797</v>
      </c>
      <c r="CG215" s="14" t="n">
        <f>IF(ISNUMBER(BU215),BU215,"")</f>
        <v>17</v>
      </c>
      <c r="CH215" s="13" t="n">
        <f>IF(AND(COUNT(BV215,CF215,CG215)=3,MIN(BV215,CF215,CG215)&gt;=0),BV215*CF215*CG215,"")</f>
        <v>0.13335964592417926</v>
      </c>
      <c r="CI215" s="13" t="n">
        <f>IF(COUNT(BY215,CB215,CE215,CH215)=4,SUM(BY215,CB215,CE215,CH215),"")</f>
        <v>0.5780044897543557</v>
      </c>
    </row>
    <row r="216" ht="72" customHeight="1">
      <c r="A216" s="16" t="str">
        <v>B06-RD-41.5</v>
      </c>
      <c r="B216" s="16" t="str">
        <v>1店-MUSSHOE-US</v>
      </c>
      <c r="C216" s="16" t="str">
        <v>艾年</v>
      </c>
      <c r="D216" s="26" t="n">
        <f>IF(NOT(ISNUMBER(E216)),"",IF(OR(E216&lt;=0,L216=0),0,IF(OR(NOT(ISNUMBER(F216)),F216&lt;0),"",MIN(E216,INT(F216)))))</f>
        <v>1</v>
      </c>
      <c r="E216" s="27" t="n">
        <f>IF(OR(NOT(ISNUMBER(L216)),COUNT(M216:O216)&lt;&gt;3,MIN(M216:O216)&lt;0),"",ROUNDUP(ROUND(BI216-SUM(M216:O216),10),0))</f>
        <v>1</v>
      </c>
      <c r="F216" s="28" t="n">
        <v>28</v>
      </c>
      <c r="G216" s="28" t="n">
        <f>IF(AND(ISNUMBER(D216),ISNUMBER(E216)),IF(OR(E216&lt;=0,L216=0),0,E216-D216),"")</f>
        <v>0</v>
      </c>
      <c r="H216" s="16" t="str">
        <f>IF(NOT(ISNUMBER(E216)),"销量或海外库存待补",IF(OR(E216&lt;=0,L216=0),IF(L216=0,"零日销，本批不发","本批无需补货"),IF(NOT(ISNUMBER(D216)),"国内库存待补",IF(D216=0,"国内无可用库存",IF(G216&gt;0,"先发国内现货","按建议量发货")))))</f>
        <v>按建议量发货</v>
      </c>
      <c r="I216" s="28" t="n">
        <f>IF(AND(COUNT(Z216,AA216,AB216)=3,Z216&gt;=AA216,AA216&gt;=0,AB216=7),Z216-AA216,"")</f>
        <v>1</v>
      </c>
      <c r="J216" s="28" t="n">
        <f>IF(AND(COUNT(AF216,AG216,AH216)=3,AF216&gt;=AG216,AG216&gt;=0,AH216=14),AF216-AG216,"")</f>
        <v>1</v>
      </c>
      <c r="K216" s="28" t="n">
        <f>IF(AND(COUNT(AL216,AM216,AN216)=3,AL216&gt;=AM216,AM216&gt;=0,AN216=30),AL216-AM216,"")</f>
        <v>1</v>
      </c>
      <c r="L216" s="29" t="n">
        <f>IF(ISNUMBER(BI216),BI216/90,"")</f>
        <v>0.025239012076107643</v>
      </c>
      <c r="M216" s="28" t="n">
        <v>2</v>
      </c>
      <c r="N216" s="28" t="n">
        <v>0</v>
      </c>
      <c r="O216" s="28" t="n">
        <v>0</v>
      </c>
      <c r="P216" s="30" t="n">
        <f>IF(AND(ISNUMBER(L216),L216&gt;0,COUNT(M216:O216)=3,MIN(M216:O216)&gt;=0),SUM(M216:O216)/L216,"")</f>
        <v>79.2424043369466</v>
      </c>
      <c r="Q216" s="16" t="str">
        <v>沿用原计划SKU店铺</v>
      </c>
      <c r="R216" s="16" t="str">
        <v>已匹配</v>
      </c>
      <c r="S216" s="16" t="str">
        <v>在售</v>
      </c>
      <c r="T216" s="16" t="str">
        <v>B06</v>
      </c>
      <c r="U216" s="16" t="str">
        <v>红色羊京绒</v>
      </c>
      <c r="V216" s="16" t="n">
        <v>10.5</v>
      </c>
      <c r="W216" s="8" t="str">
        <v>2026-10-11 至 2026-10-17</v>
      </c>
      <c r="X216" s="8" t="str">
        <v>2026-10-11、2026-10-12、2026-10-13、2026-10-14、2026-10-15、2026-10-16、2026-10-17</v>
      </c>
      <c r="Y216" s="8" t="str">
        <v>无</v>
      </c>
      <c r="Z216" s="8" t="n">
        <v>1</v>
      </c>
      <c r="AA216" s="8" t="n">
        <v>0</v>
      </c>
      <c r="AB216" s="8" t="n">
        <v>7</v>
      </c>
      <c r="AC216" s="8" t="str">
        <v>2026-10-02 至 2026-10-17</v>
      </c>
      <c r="AD216" s="8" t="str">
        <v>2026-10-02、2026-10-03、2026-10-04、2026-10-05、2026-10-08、2026-10-09、2026-10-10、2026-10-11、2026-10-12、2026-10-13、2026-10-14、2026-10-15、2026-10-16、2026-10-17</v>
      </c>
      <c r="AE216" s="8" t="str">
        <v>2026-10-06 大促；2026-10-07 大促</v>
      </c>
      <c r="AF216" s="8" t="n">
        <v>2</v>
      </c>
      <c r="AG216" s="8" t="n">
        <v>1</v>
      </c>
      <c r="AH216" s="8" t="n">
        <v>14</v>
      </c>
      <c r="AI216" s="8" t="str">
        <v>2026-09-16 至 2026-10-17</v>
      </c>
      <c r="AJ2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6" s="8" t="str">
        <v>2026-10-06 大促；2026-10-07 大促</v>
      </c>
      <c r="AL216" s="8" t="n">
        <v>2</v>
      </c>
      <c r="AM216" s="8" t="n">
        <v>1</v>
      </c>
      <c r="AN216" s="8" t="n">
        <v>30</v>
      </c>
      <c r="AO216" s="8" t="str">
        <v>B06 / 红色羊京绒 / 13120</v>
      </c>
      <c r="AP216" s="11" t="n">
        <v>1.2247029157699902</v>
      </c>
      <c r="AQ216" s="11" t="n">
        <v>1.2247029157699902</v>
      </c>
      <c r="AR216" s="11" t="n">
        <v>1.1136940657346173</v>
      </c>
      <c r="AS216" s="11" t="n">
        <f>IF(AND(COUNT(I216:K216,AP216:AR216)=6,MIN(AP216:AR216)&gt;0),I216/7/AP216*0.5+J216/14/AQ216*0.3+K216/30/AR216*0.2,"")</f>
        <v>0.08180622139339022</v>
      </c>
      <c r="AT216" s="8" t="n">
        <v>3</v>
      </c>
      <c r="AU216" s="8" t="n">
        <v>1</v>
      </c>
      <c r="AV216" s="8" t="n">
        <v>88</v>
      </c>
      <c r="AW216" s="11" t="n">
        <f>IF(AND(COUNT(AT216:AV216)=3,AT216&gt;=AU216,AU216&gt;=0,AV216&gt;0),(AT216-AU216)/AV216,"")</f>
        <v>0.022727272727272728</v>
      </c>
      <c r="AX216" s="8" t="n">
        <v>14</v>
      </c>
      <c r="AY216" s="8" t="n">
        <v>1</v>
      </c>
      <c r="AZ216" s="8" t="n">
        <v>178</v>
      </c>
      <c r="BA216" s="11" t="n">
        <f>IF(AND(COUNT(AX216:AZ216)=3,AX216&gt;=AY216,AY216&gt;=0,AZ216&gt;0),(AX216-AY216)/AZ216,"")</f>
        <v>0.07303370786516854</v>
      </c>
      <c r="BB216" s="8" t="n">
        <f>IF(COUNT(AS216,AW216,BA216)=3,1,0)</f>
        <v>1</v>
      </c>
      <c r="BC216" s="11" t="n">
        <f>IF(SUMIF($AO$11:$AO$1309,AO216,$BB$11:$BB$1309)=COUNTIF($AO$11:$AO$1309,AO216),SUMIF($AO$11:$AO$1309,AO216,$AS$11:$AS$1309),"")</f>
        <v>0.8439809959730303</v>
      </c>
      <c r="BD216" s="11" t="n">
        <f>IF(SUMIF($AO$11:$AO$1309,AO216,$BB$11:$BB$1309)=COUNTIF($AO$11:$AO$1309,AO216),SUMIF($AO$11:$AO$1309,AO216,$AW$11:$AW$1309),"")</f>
        <v>0.8696244248227831</v>
      </c>
      <c r="BE216" s="11" t="n">
        <f>IF(SUMIF($AO$11:$AO$1309,AO216,$BB$11:$BB$1309)=COUNTIF($AO$11:$AO$1309,AO216),SUMIF($AO$11:$AO$1309,AO216,$BA$11:$BA$1309),"")</f>
        <v>1.2057704654895667</v>
      </c>
      <c r="BF216" s="12" t="n">
        <f>IF(COUNT(BD216:BE216)&lt;&gt;2,"",IF(AND(BD216&gt;0,BE216&gt;0),0.7*AW216/BD216+0.3*BA216/BE216,IF(BD216&gt;0,AW216/BD216,IF(BE216&gt;0,BA216/BE216,IF(AND(ISNUMBER(BH216),BH216=0),0,"")))))</f>
        <v>0.036465256383738764</v>
      </c>
      <c r="BG216" s="11" t="n">
        <f>IF(AND(COUNT(BN216:BU216)=8,MIN(BN216:BU216)&gt;=0),SUMPRODUCT(BN216:BQ216,BR216:BU216),"")</f>
        <v>73.80791239847399</v>
      </c>
      <c r="BH216" s="11" t="n">
        <f>IF(COUNT(BC216,BG216)=2,BC216*BG216,"")</f>
        <v>62.29247541675425</v>
      </c>
      <c r="BI216" s="11" t="n">
        <f>IF(ISNUMBER(CI216),CI216,"")</f>
        <v>2.2715110868496877</v>
      </c>
      <c r="BJ216" s="8" t="str">
        <v>低销提醒依据不完整</v>
      </c>
      <c r="BK216" s="8" t="str">
        <v>90天：2026-07-20 至 2026-10-17；180天：2026-04-21 至 2026-10-17</v>
      </c>
      <c r="BL216" s="8" t="str">
        <v>90天：2026-10-06、2026-10-07；180天：2026-10-06、2026-10-07</v>
      </c>
      <c r="BM216" s="8" t="str">
        <v>2026-10：12天 × 1.2247029157699902；2026-11：30天 × 0.8332682139098497；2026-12：31天 × 0.5511018253564084；2027-01：17天 × 1.0017220238758797</v>
      </c>
      <c r="BN216" s="11" t="n">
        <v>1.2247029157699902</v>
      </c>
      <c r="BO216" s="11" t="n">
        <v>0.8332682139098497</v>
      </c>
      <c r="BP216" s="11" t="n">
        <v>0.5511018253564084</v>
      </c>
      <c r="BQ216" s="11" t="n">
        <v>1.0017220238758797</v>
      </c>
      <c r="BR216" s="8" t="n">
        <v>12</v>
      </c>
      <c r="BS216" s="8" t="n">
        <v>30</v>
      </c>
      <c r="BT216" s="8" t="n">
        <v>31</v>
      </c>
      <c r="BU216" s="8" t="n">
        <v>17</v>
      </c>
      <c r="BV216" s="11" t="n">
        <f>IF(COUNT(BC216,BF216)=2,BC216*BF216,"")</f>
        <v>0.030775983401159744</v>
      </c>
      <c r="BW216" s="11" t="n">
        <f>IF(ISNUMBER(BN216),BN216,"")</f>
        <v>1.2247029157699902</v>
      </c>
      <c r="BX216" s="14" t="n">
        <f>IF(ISNUMBER(BR216),BR216,"")</f>
        <v>12</v>
      </c>
      <c r="BY216" s="13" t="n">
        <f>IF(AND(COUNT(BV216,BW216,BX216)=3,MIN(BV216,BW216,BX216)&gt;=0),BV216*BW216*BX216,"")</f>
        <v>0.45229723928506993</v>
      </c>
      <c r="BZ216" s="11" t="n">
        <f>IF(ISNUMBER(BO216),BO216,"")</f>
        <v>0.8332682139098497</v>
      </c>
      <c r="CA216" s="14" t="n">
        <f>IF(ISNUMBER(BS216),BS216,"")</f>
        <v>30</v>
      </c>
      <c r="CB216" s="13" t="n">
        <f>IF(AND(COUNT(BV216,BZ216,CA216)=3,MIN(BV216,BZ216,CA216)&gt;=0),BV216*BZ216*CA216,"")</f>
        <v>0.7693394616001069</v>
      </c>
      <c r="CC216" s="11" t="n">
        <f>IF(ISNUMBER(BP216),BP216,"")</f>
        <v>0.5511018253564084</v>
      </c>
      <c r="CD216" s="14" t="n">
        <f>IF(ISNUMBER(BT216),BT216,"")</f>
        <v>31</v>
      </c>
      <c r="CE216" s="13" t="n">
        <f>IF(AND(COUNT(BV216,CC216,CD216)=3,MIN(BV216,CC216,CD216)&gt;=0),BV216*CC216*CD216,"")</f>
        <v>0.5257817195150475</v>
      </c>
      <c r="CF216" s="11" t="n">
        <f>IF(ISNUMBER(BQ216),BQ216,"")</f>
        <v>1.0017220238758797</v>
      </c>
      <c r="CG216" s="14" t="n">
        <f>IF(ISNUMBER(BU216),BU216,"")</f>
        <v>17</v>
      </c>
      <c r="CH216" s="13" t="n">
        <f>IF(AND(COUNT(BV216,CF216,CG216)=3,MIN(BV216,CF216,CG216)&gt;=0),BV216*CF216*CG216,"")</f>
        <v>0.5240926664494637</v>
      </c>
      <c r="CI216" s="13" t="n">
        <f>IF(COUNT(BY216,CB216,CE216,CH216)=4,SUM(BY216,CB216,CE216,CH216),"")</f>
        <v>2.2715110868496877</v>
      </c>
    </row>
    <row r="217" ht="72" customHeight="1">
      <c r="A217" s="16" t="str">
        <v>B06-SP-42</v>
      </c>
      <c r="B217" s="16" t="str">
        <v>1店-MUSSHOE-US</v>
      </c>
      <c r="C217" s="16" t="str">
        <v>艾年</v>
      </c>
      <c r="D217" s="26" t="n">
        <f>IF(NOT(ISNUMBER(E217)),"",IF(OR(E217&lt;=0,L217=0),0,IF(OR(NOT(ISNUMBER(F217)),F217&lt;0),"",MIN(E217,INT(F217)))))</f>
        <v>1</v>
      </c>
      <c r="E217" s="27" t="n">
        <f>IF(OR(NOT(ISNUMBER(L217)),COUNT(M217:O217)&lt;&gt;3,MIN(M217:O217)&lt;0),"",ROUNDUP(ROUND(BI217-SUM(M217:O217),10),0))</f>
        <v>1</v>
      </c>
      <c r="F217" s="28" t="n">
        <v>1</v>
      </c>
      <c r="G217" s="28" t="n">
        <f>IF(AND(ISNUMBER(D217),ISNUMBER(E217)),IF(OR(E217&lt;=0,L217=0),0,E217-D217),"")</f>
        <v>0</v>
      </c>
      <c r="H217" s="16" t="str">
        <f>IF(NOT(ISNUMBER(E217)),"销量或海外库存待补",IF(OR(E217&lt;=0,L217=0),IF(L217=0,"零日销，本批不发","本批无需补货"),IF(NOT(ISNUMBER(D217)),"国内库存待补",IF(D217=0,"国内无可用库存",IF(G217&gt;0,"先发国内现货","按建议量发货")))))</f>
        <v>按建议量发货</v>
      </c>
      <c r="I217" s="28" t="n">
        <f>IF(AND(COUNT(Z217,AA217,AB217)=3,Z217&gt;=AA217,AA217&gt;=0,AB217=7),Z217-AA217,"")</f>
        <v>0</v>
      </c>
      <c r="J217" s="28" t="n">
        <f>IF(AND(COUNT(AF217,AG217,AH217)=3,AF217&gt;=AG217,AG217&gt;=0,AH217=14),AF217-AG217,"")</f>
        <v>0</v>
      </c>
      <c r="K217" s="28" t="n">
        <f>IF(AND(COUNT(AL217,AM217,AN217)=3,AL217&gt;=AM217,AM217&gt;=0,AN217=30),AL217-AM217,"")</f>
        <v>0</v>
      </c>
      <c r="L217" s="29" t="n">
        <f>IF(ISNUMBER(BI217),BI217/90,"")</f>
        <v>0.0009928406300041407</v>
      </c>
      <c r="M217" s="28" t="n">
        <v>0</v>
      </c>
      <c r="N217" s="28" t="n">
        <v>0</v>
      </c>
      <c r="O217" s="28" t="n">
        <v>0</v>
      </c>
      <c r="P217" s="30" t="n">
        <f>IF(AND(ISNUMBER(L217),L217&gt;0,COUNT(M217:O217)=3,MIN(M217:O217)&gt;=0),SUM(M217:O217)/L217,"")</f>
        <v>0</v>
      </c>
      <c r="Q217" s="16" t="str">
        <v>沿用原计划SKU店铺</v>
      </c>
      <c r="R217" s="16" t="str">
        <v>已匹配</v>
      </c>
      <c r="S217" s="16" t="str">
        <v>停售</v>
      </c>
      <c r="T217" s="16" t="str">
        <v>B06</v>
      </c>
      <c r="U217" s="16" t="str">
        <v>蛇纹PU</v>
      </c>
      <c r="V217" s="16" t="n">
        <v>11</v>
      </c>
      <c r="W217" s="8" t="str">
        <v>2026-10-08 至 2026-10-17</v>
      </c>
      <c r="X217" s="8" t="str">
        <v>2026-10-08、2026-10-09、2026-10-10、2026-10-11、2026-10-14、2026-10-15、2026-10-17</v>
      </c>
      <c r="Y217" s="8" t="str">
        <v>2026-10-12 有记录的停售日；2026-10-13 有记录的停售日；2026-10-16 有记录的停售日</v>
      </c>
      <c r="Z217" s="8" t="n">
        <v>0</v>
      </c>
      <c r="AA217" s="8" t="n">
        <v>0</v>
      </c>
      <c r="AB217" s="8" t="n">
        <v>7</v>
      </c>
      <c r="AC217" s="8" t="str">
        <v>2026-09-29 至 2026-10-17</v>
      </c>
      <c r="AD217" s="8" t="str">
        <v>2026-09-29、2026-09-30、2026-10-01、2026-10-02、2026-10-03、2026-10-04、2026-10-05、2026-10-08、2026-10-09、2026-10-10、2026-10-11、2026-10-14、2026-10-15、2026-10-17</v>
      </c>
      <c r="AE217" s="8" t="str">
        <v>2026-10-06 大促；2026-10-07 大促；2026-10-12 有记录的停售日；2026-10-13 有记录的停售日；2026-10-16 有记录的停售日</v>
      </c>
      <c r="AF217" s="8" t="n">
        <v>0</v>
      </c>
      <c r="AG217" s="8" t="n">
        <v>0</v>
      </c>
      <c r="AH217" s="8" t="n">
        <v>14</v>
      </c>
      <c r="AI217" s="8" t="str">
        <v>2026-09-13 至 2026-10-17</v>
      </c>
      <c r="AJ21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17" s="8" t="str">
        <v>2026-10-06 大促；2026-10-07 大促；2026-10-12 有记录的停售日；2026-10-13 有记录的停售日；2026-10-16 有记录的停售日</v>
      </c>
      <c r="AL217" s="8" t="n">
        <v>0</v>
      </c>
      <c r="AM217" s="8" t="n">
        <v>0</v>
      </c>
      <c r="AN217" s="8" t="n">
        <v>30</v>
      </c>
      <c r="AO217" s="8" t="str">
        <v>B06 / 蛇纹PU / 13120</v>
      </c>
      <c r="AP217" s="11" t="n">
        <v>1.2247029157699902</v>
      </c>
      <c r="AQ217" s="11" t="n">
        <v>1.1929861014741694</v>
      </c>
      <c r="AR217" s="11" t="n">
        <v>1.0914922957275428</v>
      </c>
      <c r="AS217" s="11" t="n">
        <f>IF(AND(COUNT(I217:K217,AP217:AR217)=6,MIN(AP217:AR217)&gt;0),I217/7/AP217*0.5+J217/14/AQ217*0.3+K217/30/AR217*0.2,"")</f>
        <v>0</v>
      </c>
      <c r="AT217" s="8" t="n">
        <v>0</v>
      </c>
      <c r="AU217" s="8" t="n">
        <v>0</v>
      </c>
      <c r="AV217" s="8" t="n">
        <v>85</v>
      </c>
      <c r="AW217" s="11" t="n">
        <f>IF(AND(COUNT(AT217:AV217)=3,AT217&gt;=AU217,AU217&gt;=0,AV217&gt;0),(AT217-AU217)/AV217,"")</f>
        <v>0</v>
      </c>
      <c r="AX217" s="8" t="n">
        <v>1</v>
      </c>
      <c r="AY217" s="8" t="n">
        <v>0</v>
      </c>
      <c r="AZ217" s="8" t="n">
        <v>175</v>
      </c>
      <c r="BA217" s="11" t="n">
        <f>IF(AND(COUNT(AX217:AZ217)=3,AX217&gt;=AY217,AY217&gt;=0,AZ217&gt;0),(AX217-AY217)/AZ217,"")</f>
        <v>0.005714285714285714</v>
      </c>
      <c r="BB217" s="8" t="n">
        <f>IF(COUNT(AS217,AW217,BA217)=3,1,0)</f>
        <v>1</v>
      </c>
      <c r="BC217" s="11" t="n">
        <f>IF(SUMIF($AO$11:$AO$1309,AO217,$BB$11:$BB$1309)=COUNTIF($AO$11:$AO$1309,AO217),SUMIF($AO$11:$AO$1309,AO217,$AS$11:$AS$1309),"")</f>
        <v>0.9486156980046698</v>
      </c>
      <c r="BD217" s="11" t="n">
        <f>IF(SUMIF($AO$11:$AO$1309,AO217,$BB$11:$BB$1309)=COUNTIF($AO$11:$AO$1309,AO217),SUMIF($AO$11:$AO$1309,AO217,$AW$11:$AW$1309),"")</f>
        <v>0.7897058823529413</v>
      </c>
      <c r="BE217" s="11" t="n">
        <f>IF(SUMIF($AO$11:$AO$1309,AO217,$BB$11:$BB$1309)=COUNTIF($AO$11:$AO$1309,AO217),SUMIF($AO$11:$AO$1309,AO217,$BA$11:$BA$1309),"")</f>
        <v>1.343242375601926</v>
      </c>
      <c r="BF217" s="12" t="n">
        <f>IF(COUNT(BD217:BE217)&lt;&gt;2,"",IF(AND(BD217&gt;0,BE217&gt;0),0.7*AW217/BD217+0.3*BA217/BE217,IF(BD217&gt;0,AW217/BD217,IF(BE217&gt;0,BA217/BE217,IF(AND(ISNUMBER(BH217),BH217=0),0,"")))))</f>
        <v>0.0012762296257349075</v>
      </c>
      <c r="BG217" s="11" t="n">
        <f>IF(AND(COUNT(BN217:BU217)=8,MIN(BN217:BU217)&gt;=0),SUMPRODUCT(BN217:BQ217,BR217:BU217),"")</f>
        <v>73.80791239847399</v>
      </c>
      <c r="BH217" s="11" t="n">
        <f>IF(COUNT(BC217,BG217)=2,BC217*BG217,"")</f>
        <v>70.01534433814592</v>
      </c>
      <c r="BI217" s="11" t="n">
        <f>IF(ISNUMBER(CI217),CI217,"")</f>
        <v>0.08935565670037267</v>
      </c>
      <c r="BJ217" s="8" t="str"/>
      <c r="BK217" s="8" t="str">
        <v>90天：2026-07-20 至 2026-10-17；180天：2026-04-21 至 2026-10-17</v>
      </c>
      <c r="BL217" s="8" t="str">
        <v>90天：2026-10-06、2026-10-07、2026-10-12、2026-10-13、2026-10-16；180天：2026-10-06、2026-10-07、2026-10-12、2026-10-13、2026-10-16</v>
      </c>
      <c r="BM217" s="8" t="str">
        <v>2026-10：12天 × 1.2247029157699902；2026-11：30天 × 0.8332682139098497；2026-12：31天 × 0.5511018253564084；2027-01：17天 × 1.0017220238758797</v>
      </c>
      <c r="BN217" s="11" t="n">
        <v>1.2247029157699902</v>
      </c>
      <c r="BO217" s="11" t="n">
        <v>0.8332682139098497</v>
      </c>
      <c r="BP217" s="11" t="n">
        <v>0.5511018253564084</v>
      </c>
      <c r="BQ217" s="11" t="n">
        <v>1.0017220238758797</v>
      </c>
      <c r="BR217" s="8" t="n">
        <v>12</v>
      </c>
      <c r="BS217" s="8" t="n">
        <v>30</v>
      </c>
      <c r="BT217" s="8" t="n">
        <v>31</v>
      </c>
      <c r="BU217" s="8" t="n">
        <v>17</v>
      </c>
      <c r="BV217" s="11" t="n">
        <f>IF(COUNT(BC217,BF217)=2,BC217*BF217,"")</f>
        <v>0.001210651457230758</v>
      </c>
      <c r="BW217" s="11" t="n">
        <f>IF(ISNUMBER(BN217),BN217,"")</f>
        <v>1.2247029157699902</v>
      </c>
      <c r="BX217" s="14" t="n">
        <f>IF(ISNUMBER(BR217),BR217,"")</f>
        <v>12</v>
      </c>
      <c r="BY217" s="13" t="n">
        <f>IF(AND(COUNT(BV217,BW217,BX217)=3,MIN(BV217,BW217,BX217)&gt;=0),BV217*BW217*BX217,"")</f>
        <v>0.017792260435820363</v>
      </c>
      <c r="BZ217" s="11" t="n">
        <f>IF(ISNUMBER(BO217),BO217,"")</f>
        <v>0.8332682139098497</v>
      </c>
      <c r="CA217" s="14" t="n">
        <f>IF(ISNUMBER(BS217),BS217,"")</f>
        <v>30</v>
      </c>
      <c r="CB217" s="13" t="n">
        <f>IF(AND(COUNT(BV217,BZ217,CA217)=3,MIN(BV217,BZ217,CA217)&gt;=0),BV217*BZ217*CA217,"")</f>
        <v>0.030263921323020915</v>
      </c>
      <c r="CC217" s="11" t="n">
        <f>IF(ISNUMBER(BP217),BP217,"")</f>
        <v>0.5511018253564084</v>
      </c>
      <c r="CD217" s="14" t="n">
        <f>IF(ISNUMBER(BT217),BT217,"")</f>
        <v>31</v>
      </c>
      <c r="CE217" s="13" t="n">
        <f>IF(AND(COUNT(BV217,CC217,CD217)=3,MIN(BV217,CC217,CD217)&gt;=0),BV217*CC217*CD217,"")</f>
        <v>0.02068295906645826</v>
      </c>
      <c r="CF217" s="11" t="n">
        <f>IF(ISNUMBER(BQ217),BQ217,"")</f>
        <v>1.0017220238758797</v>
      </c>
      <c r="CG217" s="14" t="n">
        <f>IF(ISNUMBER(BU217),BU217,"")</f>
        <v>17</v>
      </c>
      <c r="CH217" s="13" t="n">
        <f>IF(AND(COUNT(BV217,CF217,CG217)=3,MIN(BV217,CF217,CG217)&gt;=0),BV217*CF217*CG217,"")</f>
        <v>0.020616515875073124</v>
      </c>
      <c r="CI217" s="13" t="n">
        <f>IF(COUNT(BY217,CB217,CE217,CH217)=4,SUM(BY217,CB217,CE217,CH217),"")</f>
        <v>0.08935565670037267</v>
      </c>
    </row>
    <row r="218" ht="72" customHeight="1">
      <c r="A218" s="16" t="str">
        <v>B06-WT-41-N</v>
      </c>
      <c r="B218" s="16" t="str">
        <v>1店-MUSSHOE-US</v>
      </c>
      <c r="C218" s="16" t="str">
        <v>艾年</v>
      </c>
      <c r="D218" s="26" t="n">
        <f>IF(NOT(ISNUMBER(E218)),"",IF(OR(E218&lt;=0,L218=0),0,IF(OR(NOT(ISNUMBER(F218)),F218&lt;0),"",MIN(E218,INT(F218)))))</f>
        <v>1</v>
      </c>
      <c r="E218" s="27" t="n">
        <f>IF(OR(NOT(ISNUMBER(L218)),COUNT(M218:O218)&lt;&gt;3,MIN(M218:O218)&lt;0),"",ROUNDUP(ROUND(BI218-SUM(M218:O218),10),0))</f>
        <v>1</v>
      </c>
      <c r="F218" s="28" t="n">
        <v>22</v>
      </c>
      <c r="G218" s="28" t="n">
        <f>IF(AND(ISNUMBER(D218),ISNUMBER(E218)),IF(OR(E218&lt;=0,L218=0),0,E218-D218),"")</f>
        <v>0</v>
      </c>
      <c r="H218" s="16" t="str">
        <f>IF(NOT(ISNUMBER(E218)),"销量或海外库存待补",IF(OR(E218&lt;=0,L218=0),IF(L218=0,"零日销，本批不发","本批无需补货"),IF(NOT(ISNUMBER(D218)),"国内库存待补",IF(D218=0,"国内无可用库存",IF(G218&gt;0,"先发国内现货","按建议量发货")))))</f>
        <v>按建议量发货</v>
      </c>
      <c r="I218" s="28" t="n">
        <f>IF(AND(COUNT(Z218,AA218,AB218)=3,Z218&gt;=AA218,AA218&gt;=0,AB218=7),Z218-AA218,"")</f>
        <v>0</v>
      </c>
      <c r="J218" s="28" t="n">
        <f>IF(AND(COUNT(AF218,AG218,AH218)=3,AF218&gt;=AG218,AG218&gt;=0,AH218=14),AF218-AG218,"")</f>
        <v>0</v>
      </c>
      <c r="K218" s="28" t="n">
        <f>IF(AND(COUNT(AL218,AM218,AN218)=3,AL218&gt;=AM218,AM218&gt;=0,AN218=30),AL218-AM218,"")</f>
        <v>0</v>
      </c>
      <c r="L218" s="29" t="n">
        <f>IF(ISNUMBER(BI218),BI218/90,"")</f>
        <v>0.007791152882543418</v>
      </c>
      <c r="M218" s="28" t="n">
        <v>0</v>
      </c>
      <c r="N218" s="28" t="n">
        <v>0</v>
      </c>
      <c r="O218" s="28" t="n">
        <v>0</v>
      </c>
      <c r="P218" s="30" t="n">
        <f>IF(AND(ISNUMBER(L218),L218&gt;0,COUNT(M218:O218)=3,MIN(M218:O218)&gt;=0),SUM(M218:O218)/L218,"")</f>
        <v>0</v>
      </c>
      <c r="Q218" s="16" t="str">
        <v>沿用原计划SKU店铺</v>
      </c>
      <c r="R218" s="16" t="str">
        <v>已匹配</v>
      </c>
      <c r="S218" s="16" t="str">
        <v>停售</v>
      </c>
      <c r="T218" s="16" t="str">
        <v>B06</v>
      </c>
      <c r="U218" s="16" t="str">
        <v>白色PU</v>
      </c>
      <c r="V218" s="16" t="n">
        <v>10</v>
      </c>
      <c r="W218" s="8" t="str">
        <v>2026-10-08 至 2026-10-17</v>
      </c>
      <c r="X218" s="8" t="str">
        <v>2026-10-08、2026-10-09、2026-10-10、2026-10-11、2026-10-14、2026-10-15、2026-10-17</v>
      </c>
      <c r="Y218" s="8" t="str">
        <v>2026-10-12 有记录的停售日；2026-10-13 有记录的停售日；2026-10-16 有记录的停售日</v>
      </c>
      <c r="Z218" s="8" t="n">
        <v>0</v>
      </c>
      <c r="AA218" s="8" t="n">
        <v>0</v>
      </c>
      <c r="AB218" s="8" t="n">
        <v>7</v>
      </c>
      <c r="AC218" s="8" t="str">
        <v>2026-09-29 至 2026-10-17</v>
      </c>
      <c r="AD218" s="8" t="str">
        <v>2026-09-29、2026-09-30、2026-10-01、2026-10-02、2026-10-03、2026-10-04、2026-10-05、2026-10-08、2026-10-09、2026-10-10、2026-10-11、2026-10-14、2026-10-15、2026-10-17</v>
      </c>
      <c r="AE218" s="8" t="str">
        <v>2026-10-06 大促；2026-10-07 大促；2026-10-12 有记录的停售日；2026-10-13 有记录的停售日；2026-10-16 有记录的停售日</v>
      </c>
      <c r="AF218" s="8" t="n">
        <v>0</v>
      </c>
      <c r="AG218" s="8" t="n">
        <v>0</v>
      </c>
      <c r="AH218" s="8" t="n">
        <v>14</v>
      </c>
      <c r="AI218" s="8" t="str">
        <v>2026-09-13 至 2026-10-17</v>
      </c>
      <c r="AJ2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18" s="8" t="str">
        <v>2026-10-06 大促；2026-10-07 大促；2026-10-12 有记录的停售日；2026-10-13 有记录的停售日；2026-10-16 有记录的停售日</v>
      </c>
      <c r="AL218" s="8" t="n">
        <v>0</v>
      </c>
      <c r="AM218" s="8" t="n">
        <v>0</v>
      </c>
      <c r="AN218" s="8" t="n">
        <v>30</v>
      </c>
      <c r="AO218" s="8" t="str">
        <v>B06 / 白色PU / 13120</v>
      </c>
      <c r="AP218" s="11" t="n">
        <v>1.2247029157699902</v>
      </c>
      <c r="AQ218" s="11" t="n">
        <v>1.1929861014741694</v>
      </c>
      <c r="AR218" s="11" t="n">
        <v>1.0914922957275428</v>
      </c>
      <c r="AS218" s="11" t="n">
        <f>IF(AND(COUNT(I218:K218,AP218:AR218)=6,MIN(AP218:AR218)&gt;0),I218/7/AP218*0.5+J218/14/AQ218*0.3+K218/30/AR218*0.2,"")</f>
        <v>0</v>
      </c>
      <c r="AT218" s="8" t="n">
        <v>0</v>
      </c>
      <c r="AU218" s="8" t="n">
        <v>0</v>
      </c>
      <c r="AV218" s="8" t="n">
        <v>85</v>
      </c>
      <c r="AW218" s="11" t="n">
        <f>IF(AND(COUNT(AT218:AV218)=3,AT218&gt;=AU218,AU218&gt;=0,AV218&gt;0),(AT218-AU218)/AV218,"")</f>
        <v>0</v>
      </c>
      <c r="AX218" s="8" t="n">
        <v>25</v>
      </c>
      <c r="AY218" s="8" t="n">
        <v>0</v>
      </c>
      <c r="AZ218" s="8" t="n">
        <v>175</v>
      </c>
      <c r="BA218" s="11" t="n">
        <f>IF(AND(COUNT(AX218:AZ218)=3,AX218&gt;=AY218,AY218&gt;=0,AZ218&gt;0),(AX218-AY218)/AZ218,"")</f>
        <v>0.14285714285714285</v>
      </c>
      <c r="BB218" s="8" t="n">
        <f>IF(COUNT(AS218,AW218,BA218)=3,1,0)</f>
        <v>1</v>
      </c>
      <c r="BC218" s="11" t="n">
        <f>IF(SUMIF($AO$11:$AO$1309,AO218,$BB$11:$BB$1309)=COUNTIF($AO$11:$AO$1309,AO218),SUMIF($AO$11:$AO$1309,AO218,$AS$11:$AS$1309),"")</f>
        <v>0.2999485325071546</v>
      </c>
      <c r="BD218" s="11" t="n">
        <f>IF(SUMIF($AO$11:$AO$1309,AO218,$BB$11:$BB$1309)=COUNTIF($AO$11:$AO$1309,AO218),SUMIF($AO$11:$AO$1309,AO218,$AW$11:$AW$1309),"")</f>
        <v>0.7291382383674474</v>
      </c>
      <c r="BE218" s="11" t="n">
        <f>IF(SUMIF($AO$11:$AO$1309,AO218,$BB$11:$BB$1309)=COUNTIF($AO$11:$AO$1309,AO218),SUMIF($AO$11:$AO$1309,AO218,$BA$11:$BA$1309),"")</f>
        <v>1.3530960996091448</v>
      </c>
      <c r="BF218" s="12" t="n">
        <f>IF(COUNT(BD218:BE218)&lt;&gt;2,"",IF(AND(BD218&gt;0,BE218&gt;0),0.7*AW218/BD218+0.3*BA218/BE218,IF(BD218&gt;0,AW218/BD218,IF(BE218&gt;0,BA218/BE218,IF(AND(ISNUMBER(BH218),BH218=0),0,"")))))</f>
        <v>0.031673391763912824</v>
      </c>
      <c r="BG218" s="11" t="n">
        <f>IF(AND(COUNT(BN218:BU218)=8,MIN(BN218:BU218)&gt;=0),SUMPRODUCT(BN218:BQ218,BR218:BU218),"")</f>
        <v>73.80791239847399</v>
      </c>
      <c r="BH218" s="11" t="n">
        <f>IF(COUNT(BC218,BG218)=2,BC218*BG218,"")</f>
        <v>22.138575011338894</v>
      </c>
      <c r="BI218" s="11" t="n">
        <f>IF(ISNUMBER(CI218),CI218,"")</f>
        <v>0.7012037594289076</v>
      </c>
      <c r="BJ218" s="8" t="str"/>
      <c r="BK218" s="8" t="str">
        <v>90天：2026-07-20 至 2026-10-17；180天：2026-04-21 至 2026-10-17</v>
      </c>
      <c r="BL218" s="8" t="str">
        <v>90天：2026-10-06、2026-10-07、2026-10-12、2026-10-13、2026-10-16；180天：2026-10-06、2026-10-07、2026-10-12、2026-10-13、2026-10-16</v>
      </c>
      <c r="BM218" s="8" t="str">
        <v>2026-10：12天 × 1.2247029157699902；2026-11：30天 × 0.8332682139098497；2026-12：31天 × 0.5511018253564084；2027-01：17天 × 1.0017220238758797</v>
      </c>
      <c r="BN218" s="11" t="n">
        <v>1.2247029157699902</v>
      </c>
      <c r="BO218" s="11" t="n">
        <v>0.8332682139098497</v>
      </c>
      <c r="BP218" s="11" t="n">
        <v>0.5511018253564084</v>
      </c>
      <c r="BQ218" s="11" t="n">
        <v>1.0017220238758797</v>
      </c>
      <c r="BR218" s="8" t="n">
        <v>12</v>
      </c>
      <c r="BS218" s="8" t="n">
        <v>30</v>
      </c>
      <c r="BT218" s="8" t="n">
        <v>31</v>
      </c>
      <c r="BU218" s="8" t="n">
        <v>17</v>
      </c>
      <c r="BV218" s="11" t="n">
        <f>IF(COUNT(BC218,BF218)=2,BC218*BF218,"")</f>
        <v>0.009500387379109848</v>
      </c>
      <c r="BW218" s="11" t="n">
        <f>IF(ISNUMBER(BN218),BN218,"")</f>
        <v>1.2247029157699902</v>
      </c>
      <c r="BX218" s="14" t="n">
        <f>IF(ISNUMBER(BR218),BR218,"")</f>
        <v>12</v>
      </c>
      <c r="BY218" s="13" t="n">
        <f>IF(AND(COUNT(BV218,BW218,BX218)=3,MIN(BV218,BW218,BX218)&gt;=0),BV218*BW218*BX218,"")</f>
        <v>0.13962182548968297</v>
      </c>
      <c r="BZ218" s="11" t="n">
        <f>IF(ISNUMBER(BO218),BO218,"")</f>
        <v>0.8332682139098497</v>
      </c>
      <c r="CA218" s="14" t="n">
        <f>IF(ISNUMBER(BS218),BS218,"")</f>
        <v>30</v>
      </c>
      <c r="CB218" s="13" t="n">
        <f>IF(AND(COUNT(BV218,BZ218,CA218)=3,MIN(BV218,BZ218,CA218)&gt;=0),BV218*BZ218*CA218,"")</f>
        <v>0.23749112468527625</v>
      </c>
      <c r="CC218" s="11" t="n">
        <f>IF(ISNUMBER(BP218),BP218,"")</f>
        <v>0.5511018253564084</v>
      </c>
      <c r="CD218" s="14" t="n">
        <f>IF(ISNUMBER(BT218),BT218,"")</f>
        <v>31</v>
      </c>
      <c r="CE218" s="13" t="n">
        <f>IF(AND(COUNT(BV218,CC218,CD218)=3,MIN(BV218,CC218,CD218)&gt;=0),BV218*CC218*CD218,"")</f>
        <v>0.1623061056128331</v>
      </c>
      <c r="CF218" s="11" t="n">
        <f>IF(ISNUMBER(BQ218),BQ218,"")</f>
        <v>1.0017220238758797</v>
      </c>
      <c r="CG218" s="14" t="n">
        <f>IF(ISNUMBER(BU218),BU218,"")</f>
        <v>17</v>
      </c>
      <c r="CH218" s="13" t="n">
        <f>IF(AND(COUNT(BV218,CF218,CG218)=3,MIN(BV218,CF218,CG218)&gt;=0),BV218*CF218*CG218,"")</f>
        <v>0.16178470364111527</v>
      </c>
      <c r="CI218" s="13" t="n">
        <f>IF(COUNT(BY218,CB218,CE218,CH218)=4,SUM(BY218,CB218,CE218,CH218),"")</f>
        <v>0.7012037594289076</v>
      </c>
    </row>
    <row r="219" ht="72" customHeight="1">
      <c r="A219" s="16" t="str">
        <v>B06b-BKP-41</v>
      </c>
      <c r="B219" s="16" t="str">
        <v>1店-MUSSHOE-US</v>
      </c>
      <c r="C219" s="16" t="str">
        <v>艾年</v>
      </c>
      <c r="D219" s="26" t="n">
        <f>IF(NOT(ISNUMBER(E219)),"",IF(OR(E219&lt;=0,L219=0),0,IF(OR(NOT(ISNUMBER(F219)),F219&lt;0),"",MIN(E219,INT(F219)))))</f>
        <v>1</v>
      </c>
      <c r="E219" s="27" t="n">
        <f>IF(OR(NOT(ISNUMBER(L219)),COUNT(M219:O219)&lt;&gt;3,MIN(M219:O219)&lt;0),"",ROUNDUP(ROUND(BI219-SUM(M219:O219),10),0))</f>
        <v>1</v>
      </c>
      <c r="F219" s="28" t="n">
        <v>30</v>
      </c>
      <c r="G219" s="28" t="n">
        <f>IF(AND(ISNUMBER(D219),ISNUMBER(E219)),IF(OR(E219&lt;=0,L219=0),0,E219-D219),"")</f>
        <v>0</v>
      </c>
      <c r="H219" s="16" t="str">
        <f>IF(NOT(ISNUMBER(E219)),"销量或海外库存待补",IF(OR(E219&lt;=0,L219=0),IF(L219=0,"零日销，本批不发","本批无需补货"),IF(NOT(ISNUMBER(D219)),"国内库存待补",IF(D219=0,"国内无可用库存",IF(G219&gt;0,"先发国内现货","按建议量发货")))))</f>
        <v>按建议量发货</v>
      </c>
      <c r="I219" s="28" t="n">
        <f>IF(AND(COUNT(Z219,AA219,AB219)=3,Z219&gt;=AA219,AA219&gt;=0,AB219=7),Z219-AA219,"")</f>
        <v>1</v>
      </c>
      <c r="J219" s="28" t="n">
        <f>IF(AND(COUNT(AF219,AG219,AH219)=3,AF219&gt;=AG219,AG219&gt;=0,AH219=14),AF219-AG219,"")</f>
        <v>2</v>
      </c>
      <c r="K219" s="28" t="n">
        <f>IF(AND(COUNT(AL219,AM219,AN219)=3,AL219&gt;=AM219,AM219&gt;=0,AN219=30),AL219-AM219,"")</f>
        <v>5</v>
      </c>
      <c r="L219" s="29" t="n">
        <f>IF(ISNUMBER(BI219),BI219/90,"")</f>
        <v>0.24321866057444272</v>
      </c>
      <c r="M219" s="28" t="n">
        <v>1</v>
      </c>
      <c r="N219" s="28" t="n">
        <v>0</v>
      </c>
      <c r="O219" s="28" t="n">
        <v>20</v>
      </c>
      <c r="P219" s="30" t="n">
        <f>IF(AND(ISNUMBER(L219),L219&gt;0,COUNT(M219:O219)=3,MIN(M219:O219)&gt;=0),SUM(M219:O219)/L219,"")</f>
        <v>86.34205924167756</v>
      </c>
      <c r="Q219" s="16" t="str">
        <v>沿用原计划SKU店铺</v>
      </c>
      <c r="R219" s="16" t="str">
        <v>已匹配</v>
      </c>
      <c r="S219" s="16" t="str">
        <v>在售</v>
      </c>
      <c r="T219" s="16" t="str">
        <v>B06b</v>
      </c>
      <c r="U219" s="16" t="str">
        <v>黑色PU</v>
      </c>
      <c r="V219" s="16" t="n">
        <v>10</v>
      </c>
      <c r="W219" s="8" t="str">
        <v>2026-10-11 至 2026-10-17</v>
      </c>
      <c r="X219" s="8" t="str">
        <v>2026-10-11、2026-10-12、2026-10-13、2026-10-14、2026-10-15、2026-10-16、2026-10-17</v>
      </c>
      <c r="Y219" s="8" t="str">
        <v>无</v>
      </c>
      <c r="Z219" s="8" t="n">
        <v>1</v>
      </c>
      <c r="AA219" s="8" t="n">
        <v>0</v>
      </c>
      <c r="AB219" s="8" t="n">
        <v>7</v>
      </c>
      <c r="AC219" s="8" t="str">
        <v>2026-10-02 至 2026-10-17</v>
      </c>
      <c r="AD219" s="8" t="str">
        <v>2026-10-02、2026-10-03、2026-10-04、2026-10-05、2026-10-08、2026-10-09、2026-10-10、2026-10-11、2026-10-12、2026-10-13、2026-10-14、2026-10-15、2026-10-16、2026-10-17</v>
      </c>
      <c r="AE219" s="8" t="str">
        <v>2026-10-06 大促；2026-10-07 大促</v>
      </c>
      <c r="AF219" s="8" t="n">
        <v>3</v>
      </c>
      <c r="AG219" s="8" t="n">
        <v>1</v>
      </c>
      <c r="AH219" s="8" t="n">
        <v>14</v>
      </c>
      <c r="AI219" s="8" t="str">
        <v>2026-09-16 至 2026-10-17</v>
      </c>
      <c r="AJ2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19" s="8" t="str">
        <v>2026-10-06 大促；2026-10-07 大促</v>
      </c>
      <c r="AL219" s="8" t="n">
        <v>6</v>
      </c>
      <c r="AM219" s="8" t="n">
        <v>1</v>
      </c>
      <c r="AN219" s="8" t="n">
        <v>30</v>
      </c>
      <c r="AO219" s="8" t="str">
        <v>B06b / 黑色PU / 13120</v>
      </c>
      <c r="AP219" s="11" t="n">
        <v>1.1090677182221615</v>
      </c>
      <c r="AQ219" s="11" t="n">
        <v>1.1090677182221615</v>
      </c>
      <c r="AR219" s="11" t="n">
        <v>0.9505188216044452</v>
      </c>
      <c r="AS219" s="11" t="n">
        <f>IF(AND(COUNT(I219:K219,AP219:AR219)=6,MIN(AP219:AR219)&gt;0),I219/7/AP219*0.5+J219/14/AQ219*0.3+K219/30/AR219*0.2,"")</f>
        <v>0.13811521854347425</v>
      </c>
      <c r="AT219" s="8" t="n">
        <v>24</v>
      </c>
      <c r="AU219" s="8" t="n">
        <v>1</v>
      </c>
      <c r="AV219" s="8" t="n">
        <v>88</v>
      </c>
      <c r="AW219" s="11" t="n">
        <f>IF(AND(COUNT(AT219:AV219)=3,AT219&gt;=AU219,AU219&gt;=0,AV219&gt;0),(AT219-AU219)/AV219,"")</f>
        <v>0.26136363636363635</v>
      </c>
      <c r="AX219" s="8" t="n">
        <v>37</v>
      </c>
      <c r="AY219" s="8" t="n">
        <v>1</v>
      </c>
      <c r="AZ219" s="8" t="n">
        <v>178</v>
      </c>
      <c r="BA219" s="11" t="n">
        <f>IF(AND(COUNT(AX219:AZ219)=3,AX219&gt;=AY219,AY219&gt;=0,AZ219&gt;0),(AX219-AY219)/AZ219,"")</f>
        <v>0.20224719101123595</v>
      </c>
      <c r="BB219" s="8" t="n">
        <f>IF(COUNT(AS219,AW219,BA219)=3,1,0)</f>
        <v>1</v>
      </c>
      <c r="BC219" s="11" t="n">
        <f>IF(SUMIF($AO$11:$AO$1309,AO219,$BB$11:$BB$1309)=COUNTIF($AO$11:$AO$1309,AO219),SUMIF($AO$11:$AO$1309,AO219,$AS$11:$AS$1309),"")</f>
        <v>2.196839072529989</v>
      </c>
      <c r="BD219" s="11" t="n">
        <f>IF(SUMIF($AO$11:$AO$1309,AO219,$BB$11:$BB$1309)=COUNTIF($AO$11:$AO$1309,AO219),SUMIF($AO$11:$AO$1309,AO219,$AW$11:$AW$1309),"")</f>
        <v>2.461979838957527</v>
      </c>
      <c r="BE219" s="11" t="n">
        <f>IF(SUMIF($AO$11:$AO$1309,AO219,$BB$11:$BB$1309)=COUNTIF($AO$11:$AO$1309,AO219),SUMIF($AO$11:$AO$1309,AO219,$BA$11:$BA$1309),"")</f>
        <v>1.9475686263840901</v>
      </c>
      <c r="BF219" s="12" t="n">
        <f>IF(COUNT(BD219:BE219)&lt;&gt;2,"",IF(AND(BD219&gt;0,BE219&gt;0),0.7*AW219/BD219+0.3*BA219/BE219,IF(BD219&gt;0,AW219/BD219,IF(BE219&gt;0,BA219/BE219,IF(AND(ISNUMBER(BH219),BH219=0),0,"")))))</f>
        <v>0.10546575607728848</v>
      </c>
      <c r="BG219" s="11" t="n">
        <f>IF(AND(COUNT(BN219:BU219)=8,MIN(BN219:BU219)&gt;=0),SUMPRODUCT(BN219:BQ219,BR219:BU219),"")</f>
        <v>94.47778160343367</v>
      </c>
      <c r="BH219" s="11" t="n">
        <f>IF(COUNT(BC219,BG219)=2,BC219*BG219,"")</f>
        <v>207.55248211237807</v>
      </c>
      <c r="BI219" s="11" t="n">
        <f>IF(ISNUMBER(CI219),CI219,"")</f>
        <v>21.889679451699845</v>
      </c>
      <c r="BJ219" s="8" t="str"/>
      <c r="BK219" s="8" t="str">
        <v>90天：2026-07-20 至 2026-10-17；180天：2026-04-21 至 2026-10-17</v>
      </c>
      <c r="BL219" s="8" t="str">
        <v>90天：2026-10-06、2026-10-07；180天：2026-10-06、2026-10-07</v>
      </c>
      <c r="BM219" s="8" t="str">
        <v>2026-10：12天 × 1.1090677182221615；2026-11：30天 × 1.0372741535934282；2026-12：31天 × 0.979949351738161；2027-01：17天 × 1.1571949690048173</v>
      </c>
      <c r="BN219" s="11" t="n">
        <v>1.1090677182221615</v>
      </c>
      <c r="BO219" s="11" t="n">
        <v>1.0372741535934282</v>
      </c>
      <c r="BP219" s="11" t="n">
        <v>0.979949351738161</v>
      </c>
      <c r="BQ219" s="11" t="n">
        <v>1.1571949690048173</v>
      </c>
      <c r="BR219" s="8" t="n">
        <v>12</v>
      </c>
      <c r="BS219" s="8" t="n">
        <v>30</v>
      </c>
      <c r="BT219" s="8" t="n">
        <v>31</v>
      </c>
      <c r="BU219" s="8" t="n">
        <v>17</v>
      </c>
      <c r="BV219" s="11" t="n">
        <f>IF(COUNT(BC219,BF219)=2,BC219*BF219,"")</f>
        <v>0.23169129376450445</v>
      </c>
      <c r="BW219" s="11" t="n">
        <f>IF(ISNUMBER(BN219),BN219,"")</f>
        <v>1.1090677182221615</v>
      </c>
      <c r="BX219" s="14" t="n">
        <f>IF(ISNUMBER(BR219),BR219,"")</f>
        <v>12</v>
      </c>
      <c r="BY219" s="13" t="n">
        <f>IF(AND(COUNT(BV219,BW219,BX219)=3,MIN(BV219,BW219,BX219)&gt;=0),BV219*BW219*BX219,"")</f>
        <v>3.083536014088074</v>
      </c>
      <c r="BZ219" s="11" t="n">
        <f>IF(ISNUMBER(BO219),BO219,"")</f>
        <v>1.0372741535934282</v>
      </c>
      <c r="CA219" s="14" t="n">
        <f>IF(ISNUMBER(BS219),BS219,"")</f>
        <v>30</v>
      </c>
      <c r="CB219" s="13" t="n">
        <f>IF(AND(COUNT(BV219,BZ219,CA219)=3,MIN(BV219,BZ219,CA219)&gt;=0),BV219*BZ219*CA219,"")</f>
        <v>7.209821719036281</v>
      </c>
      <c r="CC219" s="11" t="n">
        <f>IF(ISNUMBER(BP219),BP219,"")</f>
        <v>0.979949351738161</v>
      </c>
      <c r="CD219" s="14" t="n">
        <f>IF(ISNUMBER(BT219),BT219,"")</f>
        <v>31</v>
      </c>
      <c r="CE219" s="13" t="n">
        <f>IF(AND(COUNT(BV219,CC219,CD219)=3,MIN(BV219,CC219,CD219)&gt;=0),BV219*CC219*CD219,"")</f>
        <v>7.038417726964961</v>
      </c>
      <c r="CF219" s="11" t="n">
        <f>IF(ISNUMBER(BQ219),BQ219,"")</f>
        <v>1.1571949690048173</v>
      </c>
      <c r="CG219" s="14" t="n">
        <f>IF(ISNUMBER(BU219),BU219,"")</f>
        <v>17</v>
      </c>
      <c r="CH219" s="13" t="n">
        <f>IF(AND(COUNT(BV219,CF219,CG219)=3,MIN(BV219,CF219,CG219)&gt;=0),BV219*CF219*CG219,"")</f>
        <v>4.55790399161053</v>
      </c>
      <c r="CI219" s="13" t="n">
        <f>IF(COUNT(BY219,CB219,CE219,CH219)=4,SUM(BY219,CB219,CE219,CH219),"")</f>
        <v>21.889679451699845</v>
      </c>
    </row>
    <row r="220" ht="72" customHeight="1">
      <c r="A220" s="16" t="str">
        <v>B07-IV-P-41</v>
      </c>
      <c r="B220" s="16" t="str">
        <v>4店-彬郁-US</v>
      </c>
      <c r="C220" s="16" t="str">
        <v>艾年</v>
      </c>
      <c r="D220" s="26" t="n">
        <f>IF(NOT(ISNUMBER(E220)),"",IF(OR(E220&lt;=0,L220=0),0,IF(OR(NOT(ISNUMBER(F220)),F220&lt;0),"",MIN(E220,INT(F220)))))</f>
        <v>1</v>
      </c>
      <c r="E220" s="27" t="n">
        <f>IF(OR(NOT(ISNUMBER(L220)),COUNT(M220:O220)&lt;&gt;3,MIN(M220:O220)&lt;0),"",ROUNDUP(ROUND(BI220-SUM(M220:O220),10),0))</f>
        <v>1</v>
      </c>
      <c r="F220" s="28" t="n">
        <v>4</v>
      </c>
      <c r="G220" s="28" t="n">
        <f>IF(AND(ISNUMBER(D220),ISNUMBER(E220)),IF(OR(E220&lt;=0,L220=0),0,E220-D220),"")</f>
        <v>0</v>
      </c>
      <c r="H220" s="16" t="str">
        <f>IF(NOT(ISNUMBER(E220)),"销量或海外库存待补",IF(OR(E220&lt;=0,L220=0),IF(L220=0,"零日销，本批不发","本批无需补货"),IF(NOT(ISNUMBER(D220)),"国内库存待补",IF(D220=0,"国内无可用库存",IF(G220&gt;0,"先发国内现货","按建议量发货")))))</f>
        <v>按建议量发货</v>
      </c>
      <c r="I220" s="28" t="n">
        <f>IF(AND(COUNT(Z220,AA220,AB220)=3,Z220&gt;=AA220,AA220&gt;=0,AB220=7),Z220-AA220,"")</f>
        <v>0</v>
      </c>
      <c r="J220" s="28" t="n">
        <f>IF(AND(COUNT(AF220,AG220,AH220)=3,AF220&gt;=AG220,AG220&gt;=0,AH220=14),AF220-AG220,"")</f>
        <v>1</v>
      </c>
      <c r="K220" s="28" t="n">
        <f>IF(AND(COUNT(AL220,AM220,AN220)=3,AL220&gt;=AM220,AM220&gt;=0,AN220=30),AL220-AM220,"")</f>
        <v>1</v>
      </c>
      <c r="L220" s="29" t="n">
        <f>IF(ISNUMBER(BI220),BI220/90,"")</f>
        <v>0.019727251161412288</v>
      </c>
      <c r="M220" s="28" t="n">
        <v>1</v>
      </c>
      <c r="N220" s="28" t="n">
        <v>0</v>
      </c>
      <c r="O220" s="28" t="n">
        <v>0</v>
      </c>
      <c r="P220" s="30" t="n">
        <f>IF(AND(ISNUMBER(L220),L220&gt;0,COUNT(M220:O220)=3,MIN(M220:O220)&gt;=0),SUM(M220:O220)/L220,"")</f>
        <v>50.69129965537527</v>
      </c>
      <c r="Q220" s="16" t="str">
        <v>沿用原计划SKU店铺</v>
      </c>
      <c r="R220" s="16" t="str">
        <v>已匹配</v>
      </c>
      <c r="S220" s="16" t="str">
        <v>在售</v>
      </c>
      <c r="T220" s="16" t="str">
        <v>B07</v>
      </c>
      <c r="U220" s="16" t="str">
        <v>米白色PU</v>
      </c>
      <c r="V220" s="16" t="n">
        <v>10</v>
      </c>
      <c r="W220" s="8" t="str">
        <v>2026-10-11 至 2026-10-17</v>
      </c>
      <c r="X220" s="8" t="str">
        <v>2026-10-11、2026-10-12、2026-10-13、2026-10-14、2026-10-15、2026-10-16、2026-10-17</v>
      </c>
      <c r="Y220" s="8" t="str">
        <v>无</v>
      </c>
      <c r="Z220" s="8" t="n">
        <v>0</v>
      </c>
      <c r="AA220" s="8" t="n">
        <v>0</v>
      </c>
      <c r="AB220" s="8" t="n">
        <v>7</v>
      </c>
      <c r="AC220" s="8" t="str">
        <v>2026-10-02 至 2026-10-17</v>
      </c>
      <c r="AD220" s="8" t="str">
        <v>2026-10-02、2026-10-03、2026-10-04、2026-10-05、2026-10-08、2026-10-09、2026-10-10、2026-10-11、2026-10-12、2026-10-13、2026-10-14、2026-10-15、2026-10-16、2026-10-17</v>
      </c>
      <c r="AE220" s="8" t="str">
        <v>2026-10-06 大促；2026-10-07 大促</v>
      </c>
      <c r="AF220" s="8" t="n">
        <v>1</v>
      </c>
      <c r="AG220" s="8" t="n">
        <v>0</v>
      </c>
      <c r="AH220" s="8" t="n">
        <v>14</v>
      </c>
      <c r="AI220" s="8" t="str">
        <v>2026-09-16 至 2026-10-17</v>
      </c>
      <c r="AJ2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0" s="8" t="str">
        <v>2026-10-06 大促；2026-10-07 大促</v>
      </c>
      <c r="AL220" s="8" t="n">
        <v>1</v>
      </c>
      <c r="AM220" s="8" t="n">
        <v>0</v>
      </c>
      <c r="AN220" s="8" t="n">
        <v>30</v>
      </c>
      <c r="AO220" s="8" t="str">
        <v>B07 / 米白色PU / 13306</v>
      </c>
      <c r="AP220" s="11" t="n">
        <v>0.7307750238224848</v>
      </c>
      <c r="AQ220" s="11" t="n">
        <v>0.7307750238224848</v>
      </c>
      <c r="AR220" s="11" t="n">
        <v>0.7449809054134506</v>
      </c>
      <c r="AS220" s="11" t="n">
        <f>IF(AND(COUNT(I220:K220,AP220:AR220)=6,MIN(AP220:AR220)&gt;0),I220/7/AP220*0.5+J220/14/AQ220*0.3+K220/30/AR220*0.2,"")</f>
        <v>0.038271851038049046</v>
      </c>
      <c r="AT220" s="8" t="n">
        <v>3</v>
      </c>
      <c r="AU220" s="8" t="n">
        <v>0</v>
      </c>
      <c r="AV220" s="8" t="n">
        <v>88</v>
      </c>
      <c r="AW220" s="11" t="n">
        <f>IF(AND(COUNT(AT220:AV220)=3,AT220&gt;=AU220,AU220&gt;=0,AV220&gt;0),(AT220-AU220)/AV220,"")</f>
        <v>0.03409090909090909</v>
      </c>
      <c r="AX220" s="8" t="n">
        <v>10</v>
      </c>
      <c r="AY220" s="8" t="n">
        <v>0</v>
      </c>
      <c r="AZ220" s="8" t="n">
        <v>178</v>
      </c>
      <c r="BA220" s="11" t="n">
        <f>IF(AND(COUNT(AX220:AZ220)=3,AX220&gt;=AY220,AY220&gt;=0,AZ220&gt;0),(AX220-AY220)/AZ220,"")</f>
        <v>0.056179775280898875</v>
      </c>
      <c r="BB220" s="8" t="n">
        <f>IF(COUNT(AS220,AW220,BA220)=3,1,0)</f>
        <v>1</v>
      </c>
      <c r="BC220" s="11" t="n">
        <f>IF(SUMIF($AO$11:$AO$1309,AO220,$BB$11:$BB$1309)=COUNTIF($AO$11:$AO$1309,AO220),SUMIF($AO$11:$AO$1309,AO220,$AS$11:$AS$1309),"")</f>
        <v>0.313323126299849</v>
      </c>
      <c r="BD220" s="11" t="n">
        <f>IF(SUMIF($AO$11:$AO$1309,AO220,$BB$11:$BB$1309)=COUNTIF($AO$11:$AO$1309,AO220),SUMIF($AO$11:$AO$1309,AO220,$AW$11:$AW$1309),"")</f>
        <v>0.5132135306553911</v>
      </c>
      <c r="BE220" s="11" t="n">
        <f>IF(SUMIF($AO$11:$AO$1309,AO220,$BB$11:$BB$1309)=COUNTIF($AO$11:$AO$1309,AO220),SUMIF($AO$11:$AO$1309,AO220,$BA$11:$BA$1309),"")</f>
        <v>0.6528356194367431</v>
      </c>
      <c r="BF220" s="12" t="n">
        <f>IF(COUNT(BD220:BE220)&lt;&gt;2,"",IF(AND(BD220&gt;0,BE220&gt;0),0.7*AW220/BD220+0.3*BA220/BE220,IF(BD220&gt;0,AW220/BD220,IF(BE220&gt;0,BA220/BE220,IF(AND(ISNUMBER(BH220),BH220=0),0,"")))))</f>
        <v>0.07231495798112712</v>
      </c>
      <c r="BG220" s="11" t="n">
        <f>IF(AND(COUNT(BN220:BU220)=8,MIN(BN220:BU220)&gt;=0),SUMPRODUCT(BN220:BQ220,BR220:BU220),"")</f>
        <v>78.35892944347341</v>
      </c>
      <c r="BH220" s="11" t="n">
        <f>IF(COUNT(BC220,BG220)=2,BC220*BG220,"")</f>
        <v>24.551664746738375</v>
      </c>
      <c r="BI220" s="11" t="n">
        <f>IF(ISNUMBER(CI220),CI220,"")</f>
        <v>1.775452604527106</v>
      </c>
      <c r="BJ220" s="8" t="str"/>
      <c r="BK220" s="8" t="str">
        <v>90天：2026-07-20 至 2026-10-17；180天：2026-04-21 至 2026-10-17</v>
      </c>
      <c r="BL220" s="8" t="str">
        <v>90天：2026-10-06、2026-10-07；180天：2026-10-06、2026-10-07</v>
      </c>
      <c r="BM220" s="8" t="str">
        <v>2026-10：12天 × 0.7307750238224848；2026-11：30天 × 0.9523018155490097；2026-12：31天 × 0.5958545198749097；2027-01：17天 × 1.3264167397065354</v>
      </c>
      <c r="BN220" s="11" t="n">
        <v>0.7307750238224848</v>
      </c>
      <c r="BO220" s="11" t="n">
        <v>0.9523018155490097</v>
      </c>
      <c r="BP220" s="11" t="n">
        <v>0.5958545198749097</v>
      </c>
      <c r="BQ220" s="11" t="n">
        <v>1.3264167397065354</v>
      </c>
      <c r="BR220" s="8" t="n">
        <v>12</v>
      </c>
      <c r="BS220" s="8" t="n">
        <v>30</v>
      </c>
      <c r="BT220" s="8" t="n">
        <v>31</v>
      </c>
      <c r="BU220" s="8" t="n">
        <v>17</v>
      </c>
      <c r="BV220" s="11" t="n">
        <f>IF(COUNT(BC220,BF220)=2,BC220*BF220,"")</f>
        <v>0.022657948712888967</v>
      </c>
      <c r="BW220" s="11" t="n">
        <f>IF(ISNUMBER(BN220),BN220,"")</f>
        <v>0.7307750238224848</v>
      </c>
      <c r="BX220" s="14" t="n">
        <f>IF(ISNUMBER(BR220),BR220,"")</f>
        <v>12</v>
      </c>
      <c r="BY220" s="13" t="n">
        <f>IF(AND(COUNT(BV220,BW220,BX220)=3,MIN(BV220,BW220,BX220)&gt;=0),BV220*BW220*BX220,"")</f>
        <v>0.1986943561251609</v>
      </c>
      <c r="BZ220" s="11" t="n">
        <f>IF(ISNUMBER(BO220),BO220,"")</f>
        <v>0.9523018155490097</v>
      </c>
      <c r="CA220" s="14" t="n">
        <f>IF(ISNUMBER(BS220),BS220,"")</f>
        <v>30</v>
      </c>
      <c r="CB220" s="13" t="n">
        <f>IF(AND(COUNT(BV220,BZ220,CA220)=3,MIN(BV220,BZ220,CA220)&gt;=0),BV220*BZ220*CA220,"")</f>
        <v>0.6473161708770154</v>
      </c>
      <c r="CC220" s="11" t="n">
        <f>IF(ISNUMBER(BP220),BP220,"")</f>
        <v>0.5958545198749097</v>
      </c>
      <c r="CD220" s="14" t="n">
        <f>IF(ISNUMBER(BT220),BT220,"")</f>
        <v>31</v>
      </c>
      <c r="CE220" s="13" t="n">
        <f>IF(AND(COUNT(BV220,CC220,CD220)=3,MIN(BV220,CC220,CD220)&gt;=0),BV220*CC220*CD220,"")</f>
        <v>0.4185260757017323</v>
      </c>
      <c r="CF220" s="11" t="n">
        <f>IF(ISNUMBER(BQ220),BQ220,"")</f>
        <v>1.3264167397065354</v>
      </c>
      <c r="CG220" s="14" t="n">
        <f>IF(ISNUMBER(BU220),BU220,"")</f>
        <v>17</v>
      </c>
      <c r="CH220" s="13" t="n">
        <f>IF(AND(COUNT(BV220,CF220,CG220)=3,MIN(BV220,CF220,CG220)&gt;=0),BV220*CF220*CG220,"")</f>
        <v>0.5109160018231973</v>
      </c>
      <c r="CI220" s="13" t="n">
        <f>IF(COUNT(BY220,CB220,CE220,CH220)=4,SUM(BY220,CB220,CE220,CH220),"")</f>
        <v>1.775452604527106</v>
      </c>
    </row>
    <row r="221" ht="72" customHeight="1">
      <c r="A221" s="16" t="str">
        <v>S02-BG1-38</v>
      </c>
      <c r="B221" s="16" t="str">
        <v>3店-SANDIEX-US</v>
      </c>
      <c r="C221" s="16" t="str">
        <v>陈晨</v>
      </c>
      <c r="D221" s="26" t="n">
        <f>IF(NOT(ISNUMBER(E221)),"",IF(OR(E221&lt;=0,L221=0),0,IF(OR(NOT(ISNUMBER(F221)),F221&lt;0),"",MIN(E221,INT(F221)))))</f>
        <v>0</v>
      </c>
      <c r="E221" s="27" t="n">
        <f>IF(OR(NOT(ISNUMBER(L221)),COUNT(M221:O221)&lt;&gt;3,MIN(M221:O221)&lt;0),"",ROUNDUP(ROUND(BI221-SUM(M221:O221),10),0))</f>
        <v>111</v>
      </c>
      <c r="F221" s="28" t="n">
        <v>0</v>
      </c>
      <c r="G221" s="28" t="n">
        <f>IF(AND(ISNUMBER(D221),ISNUMBER(E221)),IF(OR(E221&lt;=0,L221=0),0,E221-D221),"")</f>
        <v>111</v>
      </c>
      <c r="H221" s="16" t="str">
        <f>IF(NOT(ISNUMBER(E221)),"销量或海外库存待补",IF(OR(E221&lt;=0,L221=0),IF(L221=0,"零日销，本批不发","本批无需补货"),IF(NOT(ISNUMBER(D221)),"国内库存待补",IF(D221=0,"国内无可用库存",IF(G221&gt;0,"先发国内现货","按建议量发货")))))</f>
        <v>国内无可用库存</v>
      </c>
      <c r="I221" s="28" t="n">
        <f>IF(AND(COUNT(Z221,AA221,AB221)=3,Z221&gt;=AA221,AA221&gt;=0,AB221=7),Z221-AA221,"")</f>
        <v>4</v>
      </c>
      <c r="J221" s="28" t="n">
        <f>IF(AND(COUNT(AF221,AG221,AH221)=3,AF221&gt;=AG221,AG221&gt;=0,AH221=14),AF221-AG221,"")</f>
        <v>12</v>
      </c>
      <c r="K221" s="28" t="n">
        <f>IF(AND(COUNT(AL221,AM221,AN221)=3,AL221&gt;=AM221,AM221&gt;=0,AN221=30),AL221-AM221,"")</f>
        <v>37</v>
      </c>
      <c r="L221" s="29" t="n">
        <f>IF(ISNUMBER(BI221),BI221/90,"")</f>
        <v>1.3278803459295445</v>
      </c>
      <c r="M221" s="28" t="n">
        <v>9</v>
      </c>
      <c r="N221" s="28" t="n">
        <v>0</v>
      </c>
      <c r="O221" s="28" t="n">
        <v>0</v>
      </c>
      <c r="P221" s="30" t="n">
        <f>IF(AND(ISNUMBER(L221),L221&gt;0,COUNT(M221:O221)=3,MIN(M221:O221)&gt;=0),SUM(M221:O221)/L221,"")</f>
        <v>6.777719112711024</v>
      </c>
      <c r="Q221" s="16" t="str">
        <v>沿用原计划SKU店铺</v>
      </c>
      <c r="R221" s="16" t="str">
        <v>已匹配</v>
      </c>
      <c r="S221" s="16" t="str">
        <v>在售</v>
      </c>
      <c r="T221" s="16" t="str">
        <v>S02</v>
      </c>
      <c r="U221" s="16" t="str">
        <v>裸色</v>
      </c>
      <c r="V221" s="16" t="n">
        <v>7.5</v>
      </c>
      <c r="W221" s="8" t="str">
        <v>2026-10-11 至 2026-10-17</v>
      </c>
      <c r="X221" s="8" t="str">
        <v>2026-10-11、2026-10-12、2026-10-13、2026-10-14、2026-10-15、2026-10-16、2026-10-17</v>
      </c>
      <c r="Y221" s="8" t="str">
        <v>无</v>
      </c>
      <c r="Z221" s="8" t="n">
        <v>4</v>
      </c>
      <c r="AA221" s="8" t="n">
        <v>0</v>
      </c>
      <c r="AB221" s="8" t="n">
        <v>7</v>
      </c>
      <c r="AC221" s="8" t="str">
        <v>2026-10-02 至 2026-10-17</v>
      </c>
      <c r="AD221" s="8" t="str">
        <v>2026-10-02、2026-10-03、2026-10-04、2026-10-05、2026-10-08、2026-10-09、2026-10-10、2026-10-11、2026-10-12、2026-10-13、2026-10-14、2026-10-15、2026-10-16、2026-10-17</v>
      </c>
      <c r="AE221" s="8" t="str">
        <v>2026-10-06 大促；2026-10-07 大促</v>
      </c>
      <c r="AF221" s="8" t="n">
        <v>16</v>
      </c>
      <c r="AG221" s="8" t="n">
        <v>4</v>
      </c>
      <c r="AH221" s="8" t="n">
        <v>14</v>
      </c>
      <c r="AI221" s="8" t="str">
        <v>2026-09-16 至 2026-10-17</v>
      </c>
      <c r="AJ2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1" s="8" t="str">
        <v>2026-10-06 大促；2026-10-07 大促</v>
      </c>
      <c r="AL221" s="8" t="n">
        <v>41</v>
      </c>
      <c r="AM221" s="8" t="n">
        <v>4</v>
      </c>
      <c r="AN221" s="8" t="n">
        <v>30</v>
      </c>
      <c r="AO221" s="8" t="str">
        <v>S02 / 裸色 / 6574</v>
      </c>
      <c r="AP221" s="11" t="n">
        <v>0.9634503791704667</v>
      </c>
      <c r="AQ221" s="11" t="n">
        <v>0.9634503791704667</v>
      </c>
      <c r="AR221" s="11" t="n">
        <v>0.902244307144596</v>
      </c>
      <c r="AS221" s="11" t="n">
        <f>IF(AND(COUNT(I221:K221,AP221:AR221)=6,MIN(AP221:AR221)&gt;0),I221/7/AP221*0.5+J221/14/AQ221*0.3+K221/30/AR221*0.2,"")</f>
        <v>0.8368433882451467</v>
      </c>
      <c r="AT221" s="8" t="n">
        <v>89</v>
      </c>
      <c r="AU221" s="8" t="n">
        <v>4</v>
      </c>
      <c r="AV221" s="8" t="n">
        <v>88</v>
      </c>
      <c r="AW221" s="11" t="n">
        <f>IF(AND(COUNT(AT221:AV221)=3,AT221&gt;=AU221,AU221&gt;=0,AV221&gt;0),(AT221-AU221)/AV221,"")</f>
        <v>0.9659090909090909</v>
      </c>
      <c r="AX221" s="8" t="n">
        <v>179</v>
      </c>
      <c r="AY221" s="8" t="n">
        <v>4</v>
      </c>
      <c r="AZ221" s="8" t="n">
        <v>178</v>
      </c>
      <c r="BA221" s="11" t="n">
        <f>IF(AND(COUNT(AX221:AZ221)=3,AX221&gt;=AY221,AY221&gt;=0,AZ221&gt;0),(AX221-AY221)/AZ221,"")</f>
        <v>0.9831460674157303</v>
      </c>
      <c r="BB221" s="8" t="n">
        <f>IF(COUNT(AS221,AW221,BA221)=3,1,0)</f>
        <v>1</v>
      </c>
      <c r="BC221" s="11" t="n">
        <f>IF(SUMIF($AO$11:$AO$1309,AO221,$BB$11:$BB$1309)=COUNTIF($AO$11:$AO$1309,AO221),SUMIF($AO$11:$AO$1309,AO221,$AS$11:$AS$1309),"")</f>
        <v>13.209043546268767</v>
      </c>
      <c r="BD221" s="11" t="n">
        <f>IF(SUMIF($AO$11:$AO$1309,AO221,$BB$11:$BB$1309)=COUNTIF($AO$11:$AO$1309,AO221),SUMIF($AO$11:$AO$1309,AO221,$AW$11:$AW$1309),"")</f>
        <v>8.681818181818183</v>
      </c>
      <c r="BE221" s="11" t="n">
        <f>IF(SUMIF($AO$11:$AO$1309,AO221,$BB$11:$BB$1309)=COUNTIF($AO$11:$AO$1309,AO221),SUMIF($AO$11:$AO$1309,AO221,$BA$11:$BA$1309),"")</f>
        <v>8</v>
      </c>
      <c r="BF221" s="12" t="n">
        <f>IF(COUNT(BD221:BE221)&lt;&gt;2,"",IF(AND(BD221&gt;0,BE221&gt;0),0.7*AW221/BD221+0.3*BA221/BE221,IF(BD221&gt;0,AW221/BD221,IF(BE221&gt;0,BA221/BE221,IF(AND(ISNUMBER(BH221),BH221=0),0,"")))))</f>
        <v>0.11474755867992234</v>
      </c>
      <c r="BG221" s="11" t="n">
        <f>IF(AND(COUNT(BN221:BU221)=8,MIN(BN221:BU221)&gt;=0),SUMPRODUCT(BN221:BQ221,BR221:BU221),"")</f>
        <v>78.84726365280937</v>
      </c>
      <c r="BH221" s="11" t="n">
        <f>IF(COUNT(BC221,BG221)=2,BC221*BG221,"")</f>
        <v>1041.4969390940935</v>
      </c>
      <c r="BI221" s="11" t="n">
        <f>IF(ISNUMBER(CI221),CI221,"")</f>
        <v>119.509231133659</v>
      </c>
      <c r="BJ221" s="8" t="str"/>
      <c r="BK221" s="8" t="str">
        <v>90天：2026-07-20 至 2026-10-17；180天：2026-04-21 至 2026-10-17</v>
      </c>
      <c r="BL221" s="8" t="str">
        <v>90天：2026-10-06、2026-10-07；180天：2026-10-06、2026-10-07</v>
      </c>
      <c r="BM221" s="8" t="str">
        <v>2026-10：12天 × 0.9634503791704667；2026-11：30天 × 0.8585031562320637；2026-12：31天 × 0.7896606554092485；2027-01：17天 × 1.0030167116538329</v>
      </c>
      <c r="BN221" s="11" t="n">
        <v>0.9634503791704667</v>
      </c>
      <c r="BO221" s="11" t="n">
        <v>0.8585031562320637</v>
      </c>
      <c r="BP221" s="11" t="n">
        <v>0.7896606554092485</v>
      </c>
      <c r="BQ221" s="11" t="n">
        <v>1.0030167116538329</v>
      </c>
      <c r="BR221" s="8" t="n">
        <v>12</v>
      </c>
      <c r="BS221" s="8" t="n">
        <v>30</v>
      </c>
      <c r="BT221" s="8" t="n">
        <v>31</v>
      </c>
      <c r="BU221" s="8" t="n">
        <v>17</v>
      </c>
      <c r="BV221" s="11" t="n">
        <f>IF(COUNT(BC221,BF221)=2,BC221*BF221,"")</f>
        <v>1.5157054994311248</v>
      </c>
      <c r="BW221" s="11" t="n">
        <f>IF(ISNUMBER(BN221),BN221,"")</f>
        <v>0.9634503791704667</v>
      </c>
      <c r="BX221" s="14" t="n">
        <f>IF(ISNUMBER(BR221),BR221,"")</f>
        <v>12</v>
      </c>
      <c r="BY221" s="13" t="n">
        <f>IF(AND(COUNT(BV221,BW221,BX221)=3,MIN(BV221,BW221,BX221)&gt;=0),BV221*BW221*BX221,"")</f>
        <v>17.523684457652145</v>
      </c>
      <c r="BZ221" s="11" t="n">
        <f>IF(ISNUMBER(BO221),BO221,"")</f>
        <v>0.8585031562320637</v>
      </c>
      <c r="CA221" s="14" t="n">
        <f>IF(ISNUMBER(BS221),BS221,"")</f>
        <v>30</v>
      </c>
      <c r="CB221" s="13" t="n">
        <f>IF(AND(COUNT(BV221,BZ221,CA221)=3,MIN(BV221,BZ221,CA221)&gt;=0),BV221*BZ221*CA221,"")</f>
        <v>39.03713865539751</v>
      </c>
      <c r="CC221" s="11" t="n">
        <f>IF(ISNUMBER(BP221),BP221,"")</f>
        <v>0.7896606554092485</v>
      </c>
      <c r="CD221" s="14" t="n">
        <f>IF(ISNUMBER(BT221),BT221,"")</f>
        <v>31</v>
      </c>
      <c r="CE221" s="13" t="n">
        <f>IF(AND(COUNT(BV221,CC221,CD221)=3,MIN(BV221,CC221,CD221)&gt;=0),BV221*CC221*CD221,"")</f>
        <v>37.10368294073371</v>
      </c>
      <c r="CF221" s="11" t="n">
        <f>IF(ISNUMBER(BQ221),BQ221,"")</f>
        <v>1.0030167116538329</v>
      </c>
      <c r="CG221" s="14" t="n">
        <f>IF(ISNUMBER(BU221),BU221,"")</f>
        <v>17</v>
      </c>
      <c r="CH221" s="13" t="n">
        <f>IF(AND(COUNT(BV221,CF221,CG221)=3,MIN(BV221,CF221,CG221)&gt;=0),BV221*CF221*CG221,"")</f>
        <v>25.844725079875634</v>
      </c>
      <c r="CI221" s="13" t="n">
        <f>IF(COUNT(BY221,CB221,CE221,CH221)=4,SUM(BY221,CB221,CE221,CH221),"")</f>
        <v>119.509231133659</v>
      </c>
    </row>
    <row r="222" ht="72" customHeight="1">
      <c r="A222" s="16" t="str">
        <v>S02b-LP1-41</v>
      </c>
      <c r="B222" s="16" t="str">
        <v>3店-SANDIEX-US</v>
      </c>
      <c r="C222" s="16" t="str">
        <v>陈晨</v>
      </c>
      <c r="D222" s="26" t="n">
        <f>IF(NOT(ISNUMBER(E222)),"",IF(OR(E222&lt;=0,L222=0),0,IF(OR(NOT(ISNUMBER(F222)),F222&lt;0),"",MIN(E222,INT(F222)))))</f>
        <v>0</v>
      </c>
      <c r="E222" s="27" t="n">
        <f>IF(OR(NOT(ISNUMBER(L222)),COUNT(M222:O222)&lt;&gt;3,MIN(M222:O222)&lt;0),"",ROUNDUP(ROUND(BI222-SUM(M222:O222),10),0))</f>
        <v>84</v>
      </c>
      <c r="F222" s="28" t="n">
        <v>0</v>
      </c>
      <c r="G222" s="28" t="n">
        <f>IF(AND(ISNUMBER(D222),ISNUMBER(E222)),IF(OR(E222&lt;=0,L222=0),0,E222-D222),"")</f>
        <v>84</v>
      </c>
      <c r="H222" s="16" t="str">
        <f>IF(NOT(ISNUMBER(E222)),"销量或海外库存待补",IF(OR(E222&lt;=0,L222=0),IF(L222=0,"零日销，本批不发","本批无需补货"),IF(NOT(ISNUMBER(D222)),"国内库存待补",IF(D222=0,"国内无可用库存",IF(G222&gt;0,"先发国内现货","按建议量发货")))))</f>
        <v>国内无可用库存</v>
      </c>
      <c r="I222" s="28" t="n">
        <f>IF(AND(COUNT(Z222,AA222,AB222)=3,Z222&gt;=AA222,AA222&gt;=0,AB222=7),Z222-AA222,"")</f>
        <v>9</v>
      </c>
      <c r="J222" s="28" t="n">
        <f>IF(AND(COUNT(AF222,AG222,AH222)=3,AF222&gt;=AG222,AG222&gt;=0,AH222=14),AF222-AG222,"")</f>
        <v>11</v>
      </c>
      <c r="K222" s="28" t="n">
        <f>IF(AND(COUNT(AL222,AM222,AN222)=3,AL222&gt;=AM222,AM222&gt;=0,AN222=30),AL222-AM222,"")</f>
        <v>21</v>
      </c>
      <c r="L222" s="29" t="n">
        <f>IF(ISNUMBER(BI222),BI222/90,"")</f>
        <v>0.9571038191507227</v>
      </c>
      <c r="M222" s="28" t="n">
        <v>3</v>
      </c>
      <c r="N222" s="28" t="n">
        <v>0</v>
      </c>
      <c r="O222" s="28" t="n">
        <v>0</v>
      </c>
      <c r="P222" s="30" t="n">
        <f>IF(AND(ISNUMBER(L222),L222&gt;0,COUNT(M222:O222)=3,MIN(M222:O222)&gt;=0),SUM(M222:O222)/L222,"")</f>
        <v>3.134456200020205</v>
      </c>
      <c r="Q222" s="16" t="str">
        <v>沿用同SPU原计划店铺</v>
      </c>
      <c r="R222" s="16" t="str">
        <v>已匹配</v>
      </c>
      <c r="S222" s="16" t="str">
        <v>在售</v>
      </c>
      <c r="T222" s="16" t="str">
        <v>S02b</v>
      </c>
      <c r="U222" s="16" t="str">
        <v>豹纹</v>
      </c>
      <c r="V222" s="16" t="n">
        <v>9.5</v>
      </c>
      <c r="W222" s="8" t="str">
        <v>2026-10-11 至 2026-10-17</v>
      </c>
      <c r="X222" s="8" t="str">
        <v>2026-10-11、2026-10-12、2026-10-13、2026-10-14、2026-10-15、2026-10-16、2026-10-17</v>
      </c>
      <c r="Y222" s="8" t="str">
        <v>无</v>
      </c>
      <c r="Z222" s="8" t="n">
        <v>9</v>
      </c>
      <c r="AA222" s="8" t="n">
        <v>0</v>
      </c>
      <c r="AB222" s="8" t="n">
        <v>7</v>
      </c>
      <c r="AC222" s="8" t="str">
        <v>2026-10-02 至 2026-10-17</v>
      </c>
      <c r="AD222" s="8" t="str">
        <v>2026-10-02、2026-10-03、2026-10-04、2026-10-05、2026-10-08、2026-10-09、2026-10-10、2026-10-11、2026-10-12、2026-10-13、2026-10-14、2026-10-15、2026-10-16、2026-10-17</v>
      </c>
      <c r="AE222" s="8" t="str">
        <v>2026-10-06 大促；2026-10-07 大促</v>
      </c>
      <c r="AF222" s="8" t="n">
        <v>11</v>
      </c>
      <c r="AG222" s="8" t="n">
        <v>0</v>
      </c>
      <c r="AH222" s="8" t="n">
        <v>14</v>
      </c>
      <c r="AI222" s="8" t="str">
        <v>2026-09-16 至 2026-10-17</v>
      </c>
      <c r="AJ2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2" s="8" t="str">
        <v>2026-10-06 大促；2026-10-07 大促</v>
      </c>
      <c r="AL222" s="8" t="n">
        <v>21</v>
      </c>
      <c r="AM222" s="8" t="n">
        <v>0</v>
      </c>
      <c r="AN222" s="8" t="n">
        <v>30</v>
      </c>
      <c r="AO222" s="8" t="str">
        <v>S02b / 豹纹 / 6574</v>
      </c>
      <c r="AP222" s="11" t="n">
        <v>0.9658602967882928</v>
      </c>
      <c r="AQ222" s="11" t="n">
        <v>0.9658602967882928</v>
      </c>
      <c r="AR222" s="11" t="n">
        <v>0.9166270540270348</v>
      </c>
      <c r="AS222" s="11" t="n">
        <f>IF(AND(COUNT(I222:K222,AP222:AR222)=6,MIN(AP222:AR222)&gt;0),I222/7/AP222*0.5+J222/14/AQ222*0.3+K222/30/AR222*0.2,"")</f>
        <v>1.0623596557675792</v>
      </c>
      <c r="AT222" s="8" t="n">
        <v>51</v>
      </c>
      <c r="AU222" s="8" t="n">
        <v>0</v>
      </c>
      <c r="AV222" s="8" t="n">
        <v>88</v>
      </c>
      <c r="AW222" s="11" t="n">
        <f>IF(AND(COUNT(AT222:AV222)=3,AT222&gt;=AU222,AU222&gt;=0,AV222&gt;0),(AT222-AU222)/AV222,"")</f>
        <v>0.5795454545454546</v>
      </c>
      <c r="AX222" s="8" t="n">
        <v>82</v>
      </c>
      <c r="AY222" s="8" t="n">
        <v>0</v>
      </c>
      <c r="AZ222" s="8" t="n">
        <v>178</v>
      </c>
      <c r="BA222" s="11" t="n">
        <f>IF(AND(COUNT(AX222:AZ222)=3,AX222&gt;=AY222,AY222&gt;=0,AZ222&gt;0),(AX222-AY222)/AZ222,"")</f>
        <v>0.4606741573033708</v>
      </c>
      <c r="BB222" s="8" t="n">
        <f>IF(COUNT(AS222,AW222,BA222)=3,1,0)</f>
        <v>1</v>
      </c>
      <c r="BC222" s="11" t="n">
        <f>IF(SUMIF($AO$11:$AO$1309,AO222,$BB$11:$BB$1309)=COUNTIF($AO$11:$AO$1309,AO222),SUMIF($AO$11:$AO$1309,AO222,$AS$11:$AS$1309),"")</f>
        <v>7.593711834893618</v>
      </c>
      <c r="BD222" s="11" t="n">
        <f>IF(SUMIF($AO$11:$AO$1309,AO222,$BB$11:$BB$1309)=COUNTIF($AO$11:$AO$1309,AO222),SUMIF($AO$11:$AO$1309,AO222,$AW$11:$AW$1309),"")</f>
        <v>4.863636363636363</v>
      </c>
      <c r="BE222" s="11" t="n">
        <f>IF(SUMIF($AO$11:$AO$1309,AO222,$BB$11:$BB$1309)=COUNTIF($AO$11:$AO$1309,AO222),SUMIF($AO$11:$AO$1309,AO222,$BA$11:$BA$1309),"")</f>
        <v>3.7977528089887644</v>
      </c>
      <c r="BF222" s="12" t="n">
        <f>IF(COUNT(BD222:BE222)&lt;&gt;2,"",IF(AND(BD222&gt;0,BE222&gt;0),0.7*AW222/BD222+0.3*BA222/BE222,IF(BD222&gt;0,AW222/BD222,IF(BE222&gt;0,BA222/BE222,IF(AND(ISNUMBER(BH222),BH222=0),0,"")))))</f>
        <v>0.11980174749764974</v>
      </c>
      <c r="BG222" s="11" t="n">
        <f>IF(AND(COUNT(BN222:BU222)=8,MIN(BN222:BU222)&gt;=0),SUMPRODUCT(BN222:BQ222,BR222:BU222),"")</f>
        <v>94.68567795727022</v>
      </c>
      <c r="BH222" s="11" t="n">
        <f>IF(COUNT(BC222,BG222)=2,BC222*BG222,"")</f>
        <v>719.0157532990486</v>
      </c>
      <c r="BI222" s="11" t="n">
        <f>IF(ISNUMBER(CI222),CI222,"")</f>
        <v>86.13934372356505</v>
      </c>
      <c r="BJ222" s="8" t="str"/>
      <c r="BK222" s="8" t="str">
        <v>90天：2026-07-20 至 2026-10-17；180天：2026-04-21 至 2026-10-17</v>
      </c>
      <c r="BL222" s="8" t="str">
        <v>90天：2026-10-06、2026-10-07；180天：2026-10-06、2026-10-07</v>
      </c>
      <c r="BM222" s="8" t="str">
        <v>2026-10：12天 × 0.9658602967882928；2026-11：30天 × 1.1727174450092641；2026-12：31天 × 0.8763339075184018；2027-01：17天 × 1.2204399948507247</v>
      </c>
      <c r="BN222" s="11" t="n">
        <v>0.9658602967882928</v>
      </c>
      <c r="BO222" s="11" t="n">
        <v>1.1727174450092641</v>
      </c>
      <c r="BP222" s="11" t="n">
        <v>0.8763339075184018</v>
      </c>
      <c r="BQ222" s="11" t="n">
        <v>1.2204399948507247</v>
      </c>
      <c r="BR222" s="8" t="n">
        <v>12</v>
      </c>
      <c r="BS222" s="8" t="n">
        <v>30</v>
      </c>
      <c r="BT222" s="8" t="n">
        <v>31</v>
      </c>
      <c r="BU222" s="8" t="n">
        <v>17</v>
      </c>
      <c r="BV222" s="11" t="n">
        <f>IF(COUNT(BC222,BF222)=2,BC222*BF222,"")</f>
        <v>0.9097399478138397</v>
      </c>
      <c r="BW222" s="11" t="n">
        <f>IF(ISNUMBER(BN222),BN222,"")</f>
        <v>0.9658602967882928</v>
      </c>
      <c r="BX222" s="14" t="n">
        <f>IF(ISNUMBER(BR222),BR222,"")</f>
        <v>12</v>
      </c>
      <c r="BY222" s="13" t="n">
        <f>IF(AND(COUNT(BV222,BW222,BX222)=3,MIN(BV222,BW222,BX222)&gt;=0),BV222*BW222*BX222,"")</f>
        <v>10.544180351947695</v>
      </c>
      <c r="BZ222" s="11" t="n">
        <f>IF(ISNUMBER(BO222),BO222,"")</f>
        <v>1.1727174450092641</v>
      </c>
      <c r="CA222" s="14" t="n">
        <f>IF(ISNUMBER(BS222),BS222,"")</f>
        <v>30</v>
      </c>
      <c r="CB222" s="13" t="n">
        <f>IF(AND(COUNT(BV222,BZ222,CA222)=3,MIN(BV222,BZ222,CA222)&gt;=0),BV222*BZ222*CA222,"")</f>
        <v>32.00603721669322</v>
      </c>
      <c r="CC222" s="11" t="n">
        <f>IF(ISNUMBER(BP222),BP222,"")</f>
        <v>0.8763339075184018</v>
      </c>
      <c r="CD222" s="14" t="n">
        <f>IF(ISNUMBER(BT222),BT222,"")</f>
        <v>31</v>
      </c>
      <c r="CE222" s="13" t="n">
        <f>IF(AND(COUNT(BV222,CC222,CD222)=3,MIN(BV222,CC222,CD222)&gt;=0),BV222*CC222*CD222,"")</f>
        <v>24.71431486209196</v>
      </c>
      <c r="CF222" s="11" t="n">
        <f>IF(ISNUMBER(BQ222),BQ222,"")</f>
        <v>1.2204399948507247</v>
      </c>
      <c r="CG222" s="14" t="n">
        <f>IF(ISNUMBER(BU222),BU222,"")</f>
        <v>17</v>
      </c>
      <c r="CH222" s="13" t="n">
        <f>IF(AND(COUNT(BV222,CF222,CG222)=3,MIN(BV222,CF222,CG222)&gt;=0),BV222*CF222*CG222,"")</f>
        <v>18.87481129283216</v>
      </c>
      <c r="CI222" s="13" t="n">
        <f>IF(COUNT(BY222,CB222,CE222,CH222)=4,SUM(BY222,CB222,CE222,CH222),"")</f>
        <v>86.13934372356505</v>
      </c>
    </row>
    <row r="223" ht="72" customHeight="1">
      <c r="A223" s="16" t="str">
        <v>8392-BK-40</v>
      </c>
      <c r="B223" s="16" t="str">
        <v>3店-SANDIEX-US</v>
      </c>
      <c r="C223" s="16" t="str">
        <v>徐新怡</v>
      </c>
      <c r="D223" s="26" t="n">
        <f>IF(NOT(ISNUMBER(E223)),"",IF(OR(E223&lt;=0,L223=0),0,IF(OR(NOT(ISNUMBER(F223)),F223&lt;0),"",MIN(E223,INT(F223)))))</f>
        <v>0</v>
      </c>
      <c r="E223" s="27" t="n">
        <f>IF(OR(NOT(ISNUMBER(L223)),COUNT(M223:O223)&lt;&gt;3,MIN(M223:O223)&lt;0),"",ROUNDUP(ROUND(BI223-SUM(M223:O223),10),0))</f>
        <v>76</v>
      </c>
      <c r="F223" s="28" t="n">
        <v>0</v>
      </c>
      <c r="G223" s="28" t="n">
        <f>IF(AND(ISNUMBER(D223),ISNUMBER(E223)),IF(OR(E223&lt;=0,L223=0),0,E223-D223),"")</f>
        <v>76</v>
      </c>
      <c r="H223" s="16" t="str">
        <f>IF(NOT(ISNUMBER(E223)),"销量或海外库存待补",IF(OR(E223&lt;=0,L223=0),IF(L223=0,"零日销，本批不发","本批无需补货"),IF(NOT(ISNUMBER(D223)),"国内库存待补",IF(D223=0,"国内无可用库存",IF(G223&gt;0,"先发国内现货","按建议量发货")))))</f>
        <v>国内无可用库存</v>
      </c>
      <c r="I223" s="28" t="n">
        <f>IF(AND(COUNT(Z223,AA223,AB223)=3,Z223&gt;=AA223,AA223&gt;=0,AB223=7),Z223-AA223,"")</f>
        <v>6</v>
      </c>
      <c r="J223" s="28" t="n">
        <f>IF(AND(COUNT(AF223,AG223,AH223)=3,AF223&gt;=AG223,AG223&gt;=0,AH223=14),AF223-AG223,"")</f>
        <v>8</v>
      </c>
      <c r="K223" s="28" t="n">
        <f>IF(AND(COUNT(AL223,AM223,AN223)=3,AL223&gt;=AM223,AM223&gt;=0,AN223=30),AL223-AM223,"")</f>
        <v>12</v>
      </c>
      <c r="L223" s="29" t="n">
        <f>IF(ISNUMBER(BI223),BI223/90,"")</f>
        <v>0.943192544226809</v>
      </c>
      <c r="M223" s="28" t="n">
        <v>9</v>
      </c>
      <c r="N223" s="28" t="n">
        <v>0</v>
      </c>
      <c r="O223" s="28" t="n">
        <v>0</v>
      </c>
      <c r="P223" s="30" t="n">
        <f>IF(AND(ISNUMBER(L223),L223&gt;0,COUNT(M223:O223)=3,MIN(M223:O223)&gt;=0),SUM(M223:O223)/L223,"")</f>
        <v>9.542060160555907</v>
      </c>
      <c r="Q223" s="16" t="str">
        <v>按本SKU唯一未删除Listing店铺核实</v>
      </c>
      <c r="R223" s="16" t="str">
        <v>已匹配</v>
      </c>
      <c r="S223" s="16" t="str">
        <v>在售</v>
      </c>
      <c r="T223" s="16" t="str">
        <v>8392</v>
      </c>
      <c r="U223" s="16" t="str">
        <v>黑色</v>
      </c>
      <c r="V223" s="16" t="n">
        <v>9</v>
      </c>
      <c r="W223" s="8" t="str">
        <v>2026-10-11 至 2026-10-17</v>
      </c>
      <c r="X223" s="8" t="str">
        <v>2026-10-11、2026-10-12、2026-10-13、2026-10-14、2026-10-15、2026-10-16、2026-10-17</v>
      </c>
      <c r="Y223" s="8" t="str">
        <v>无</v>
      </c>
      <c r="Z223" s="8" t="n">
        <v>6</v>
      </c>
      <c r="AA223" s="8" t="n">
        <v>0</v>
      </c>
      <c r="AB223" s="8" t="n">
        <v>7</v>
      </c>
      <c r="AC223" s="8" t="str">
        <v>2026-10-02 至 2026-10-17</v>
      </c>
      <c r="AD223" s="8" t="str">
        <v>2026-10-02、2026-10-03、2026-10-04、2026-10-05、2026-10-08、2026-10-09、2026-10-10、2026-10-11、2026-10-12、2026-10-13、2026-10-14、2026-10-15、2026-10-16、2026-10-17</v>
      </c>
      <c r="AE223" s="8" t="str">
        <v>2026-10-06 大促；2026-10-07 大促</v>
      </c>
      <c r="AF223" s="8" t="n">
        <v>11</v>
      </c>
      <c r="AG223" s="8" t="n">
        <v>3</v>
      </c>
      <c r="AH223" s="8" t="n">
        <v>14</v>
      </c>
      <c r="AI223" s="8" t="str">
        <v>2026-09-16 至 2026-10-17</v>
      </c>
      <c r="AJ2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3" s="8" t="str">
        <v>2026-10-06 大促；2026-10-07 大促</v>
      </c>
      <c r="AL223" s="8" t="n">
        <v>15</v>
      </c>
      <c r="AM223" s="8" t="n">
        <v>3</v>
      </c>
      <c r="AN223" s="8" t="n">
        <v>30</v>
      </c>
      <c r="AO223" s="8" t="str">
        <v>8392 / 黑色羊京绒 / 6574</v>
      </c>
      <c r="AP223" s="11" t="n">
        <v>1.1743420411079069</v>
      </c>
      <c r="AQ223" s="11" t="n">
        <v>1.1743420411079069</v>
      </c>
      <c r="AR223" s="11" t="n">
        <v>1.144331424468921</v>
      </c>
      <c r="AS223" s="11" t="n">
        <f>IF(AND(COUNT(I223:K223,AP223:AR223)=6,MIN(AP223:AR223)&gt;0),I223/7/AP223*0.5+J223/14/AQ223*0.3+K223/30/AR223*0.2,"")</f>
        <v>0.5808342142476657</v>
      </c>
      <c r="AT223" s="8" t="n">
        <v>35</v>
      </c>
      <c r="AU223" s="8" t="n">
        <v>3</v>
      </c>
      <c r="AV223" s="8" t="n">
        <v>88</v>
      </c>
      <c r="AW223" s="11" t="n">
        <f>IF(AND(COUNT(AT223:AV223)=3,AT223&gt;=AU223,AU223&gt;=0,AV223&gt;0),(AT223-AU223)/AV223,"")</f>
        <v>0.36363636363636365</v>
      </c>
      <c r="AX223" s="8" t="n">
        <v>82</v>
      </c>
      <c r="AY223" s="8" t="n">
        <v>3</v>
      </c>
      <c r="AZ223" s="8" t="n">
        <v>178</v>
      </c>
      <c r="BA223" s="11" t="n">
        <f>IF(AND(COUNT(AX223:AZ223)=3,AX223&gt;=AY223,AY223&gt;=0,AZ223&gt;0),(AX223-AY223)/AZ223,"")</f>
        <v>0.4438202247191011</v>
      </c>
      <c r="BB223" s="8" t="n">
        <f>IF(COUNT(AS223,AW223,BA223)=3,1,0)</f>
        <v>1</v>
      </c>
      <c r="BC223" s="11" t="n">
        <f>IF(SUMIF($AO$11:$AO$1309,AO223,$BB$11:$BB$1309)=COUNTIF($AO$11:$AO$1309,AO223),SUMIF($AO$11:$AO$1309,AO223,$AS$11:$AS$1309),"")</f>
        <v>5.8206872914932575</v>
      </c>
      <c r="BD223" s="11" t="n">
        <f>IF(SUMIF($AO$11:$AO$1309,AO223,$BB$11:$BB$1309)=COUNTIF($AO$11:$AO$1309,AO223),SUMIF($AO$11:$AO$1309,AO223,$AW$11:$AW$1309),"")</f>
        <v>2.7613636363636367</v>
      </c>
      <c r="BE223" s="11" t="n">
        <f>IF(SUMIF($AO$11:$AO$1309,AO223,$BB$11:$BB$1309)=COUNTIF($AO$11:$AO$1309,AO223),SUMIF($AO$11:$AO$1309,AO223,$BA$11:$BA$1309),"")</f>
        <v>2.2696629213483144</v>
      </c>
      <c r="BF223" s="12" t="n">
        <f>IF(COUNT(BD223:BE223)&lt;&gt;2,"",IF(AND(BD223&gt;0,BE223&gt;0),0.7*AW223/BD223+0.3*BA223/BE223,IF(BD223&gt;0,AW223/BD223,IF(BE223&gt;0,BA223/BE223,IF(AND(ISNUMBER(BH223),BH223=0),0,"")))))</f>
        <v>0.1508444362954814</v>
      </c>
      <c r="BG223" s="11" t="n">
        <f>IF(AND(COUNT(BN223:BU223)=8,MIN(BN223:BU223)&gt;=0),SUMPRODUCT(BN223:BQ223,BR223:BU223),"")</f>
        <v>96.68059267618935</v>
      </c>
      <c r="BH223" s="11" t="n">
        <f>IF(COUNT(BC223,BG223)=2,BC223*BG223,"")</f>
        <v>562.7474971243314</v>
      </c>
      <c r="BI223" s="11" t="n">
        <f>IF(ISNUMBER(CI223),CI223,"")</f>
        <v>84.8873289804128</v>
      </c>
      <c r="BJ223" s="8" t="str"/>
      <c r="BK223" s="8" t="str">
        <v>90天：2026-07-20 至 2026-10-17；180天：2026-04-21 至 2026-10-17</v>
      </c>
      <c r="BL223" s="8" t="str">
        <v>90天：2026-10-06、2026-10-07；180天：2026-10-06、2026-10-07</v>
      </c>
      <c r="BM223" s="8" t="str">
        <v>2026-10：12天 × 1.1743420411079069；2026-11：30天 × 1.281694931279211；2026-12：31天 × 0.9007634642750235；2027-01：17天 × 0.9537631089407297</v>
      </c>
      <c r="BN223" s="11" t="n">
        <v>1.1743420411079069</v>
      </c>
      <c r="BO223" s="11" t="n">
        <v>1.281694931279211</v>
      </c>
      <c r="BP223" s="11" t="n">
        <v>0.9007634642750235</v>
      </c>
      <c r="BQ223" s="11" t="n">
        <v>0.9537631089407297</v>
      </c>
      <c r="BR223" s="8" t="n">
        <v>12</v>
      </c>
      <c r="BS223" s="8" t="n">
        <v>30</v>
      </c>
      <c r="BT223" s="8" t="n">
        <v>31</v>
      </c>
      <c r="BU223" s="8" t="n">
        <v>17</v>
      </c>
      <c r="BV223" s="11" t="n">
        <f>IF(COUNT(BC223,BF223)=2,BC223*BF223,"")</f>
        <v>0.8780182933375728</v>
      </c>
      <c r="BW223" s="11" t="n">
        <f>IF(ISNUMBER(BN223),BN223,"")</f>
        <v>1.1743420411079069</v>
      </c>
      <c r="BX223" s="14" t="n">
        <f>IF(ISNUMBER(BR223),BR223,"")</f>
        <v>12</v>
      </c>
      <c r="BY223" s="13" t="n">
        <f>IF(AND(COUNT(BV223,BW223,BX223)=3,MIN(BV223,BW223,BX223)&gt;=0),BV223*BW223*BX223,"")</f>
        <v>12.373125536737511</v>
      </c>
      <c r="BZ223" s="11" t="n">
        <f>IF(ISNUMBER(BO223),BO223,"")</f>
        <v>1.281694931279211</v>
      </c>
      <c r="CA223" s="14" t="n">
        <f>IF(ISNUMBER(BS223),BS223,"")</f>
        <v>30</v>
      </c>
      <c r="CB223" s="13" t="n">
        <f>IF(AND(COUNT(BV223,BZ223,CA223)=3,MIN(BV223,BZ223,CA223)&gt;=0),BV223*BZ223*CA223,"")</f>
        <v>33.76054788423571</v>
      </c>
      <c r="CC223" s="11" t="n">
        <f>IF(ISNUMBER(BP223),BP223,"")</f>
        <v>0.9007634642750235</v>
      </c>
      <c r="CD223" s="14" t="n">
        <f>IF(ISNUMBER(BT223),BT223,"")</f>
        <v>31</v>
      </c>
      <c r="CE223" s="13" t="n">
        <f>IF(AND(COUNT(BV223,CC223,CD223)=3,MIN(BV223,CC223,CD223)&gt;=0),BV223*CC223*CD223,"")</f>
        <v>24.517490787711473</v>
      </c>
      <c r="CF223" s="11" t="n">
        <f>IF(ISNUMBER(BQ223),BQ223,"")</f>
        <v>0.9537631089407297</v>
      </c>
      <c r="CG223" s="14" t="n">
        <f>IF(ISNUMBER(BU223),BU223,"")</f>
        <v>17</v>
      </c>
      <c r="CH223" s="13" t="n">
        <f>IF(AND(COUNT(BV223,CF223,CG223)=3,MIN(BV223,CF223,CG223)&gt;=0),BV223*CF223*CG223,"")</f>
        <v>14.23616477172811</v>
      </c>
      <c r="CI223" s="13" t="n">
        <f>IF(COUNT(BY223,CB223,CE223,CH223)=4,SUM(BY223,CB223,CE223,CH223),"")</f>
        <v>84.8873289804128</v>
      </c>
    </row>
    <row r="224" ht="72" customHeight="1">
      <c r="A224" s="16" t="str">
        <v>8392-BK-42</v>
      </c>
      <c r="B224" s="16" t="str">
        <v>3店-SANDIEX-US</v>
      </c>
      <c r="C224" s="16" t="str">
        <v>徐新怡</v>
      </c>
      <c r="D224" s="26" t="n">
        <f>IF(NOT(ISNUMBER(E224)),"",IF(OR(E224&lt;=0,L224=0),0,IF(OR(NOT(ISNUMBER(F224)),F224&lt;0),"",MIN(E224,INT(F224)))))</f>
        <v>0</v>
      </c>
      <c r="E224" s="27" t="n">
        <f>IF(OR(NOT(ISNUMBER(L224)),COUNT(M224:O224)&lt;&gt;3,MIN(M224:O224)&lt;0),"",ROUNDUP(ROUND(BI224-SUM(M224:O224),10),0))</f>
        <v>68</v>
      </c>
      <c r="F224" s="28" t="n">
        <v>0</v>
      </c>
      <c r="G224" s="28" t="n">
        <f>IF(AND(ISNUMBER(D224),ISNUMBER(E224)),IF(OR(E224&lt;=0,L224=0),0,E224-D224),"")</f>
        <v>68</v>
      </c>
      <c r="H224" s="16" t="str">
        <f>IF(NOT(ISNUMBER(E224)),"销量或海外库存待补",IF(OR(E224&lt;=0,L224=0),IF(L224=0,"零日销，本批不发","本批无需补货"),IF(NOT(ISNUMBER(D224)),"国内库存待补",IF(D224=0,"国内无可用库存",IF(G224&gt;0,"先发国内现货","按建议量发货")))))</f>
        <v>国内无可用库存</v>
      </c>
      <c r="I224" s="28" t="n">
        <f>IF(AND(COUNT(Z224,AA224,AB224)=3,Z224&gt;=AA224,AA224&gt;=0,AB224=7),Z224-AA224,"")</f>
        <v>12</v>
      </c>
      <c r="J224" s="28" t="n">
        <f>IF(AND(COUNT(AF224,AG224,AH224)=3,AF224&gt;=AG224,AG224&gt;=0,AH224=14),AF224-AG224,"")</f>
        <v>19</v>
      </c>
      <c r="K224" s="28" t="n">
        <f>IF(AND(COUNT(AL224,AM224,AN224)=3,AL224&gt;=AM224,AM224&gt;=0,AN224=30),AL224-AM224,"")</f>
        <v>29</v>
      </c>
      <c r="L224" s="29" t="n">
        <f>IF(ISNUMBER(BI224),BI224/90,"")</f>
        <v>0.9392691302387902</v>
      </c>
      <c r="M224" s="28" t="n">
        <v>17</v>
      </c>
      <c r="N224" s="28" t="n">
        <v>0</v>
      </c>
      <c r="O224" s="28" t="n">
        <v>0</v>
      </c>
      <c r="P224" s="30" t="n">
        <f>IF(AND(ISNUMBER(L224),L224&gt;0,COUNT(M224:O224)=3,MIN(M224:O224)&gt;=0),SUM(M224:O224)/L224,"")</f>
        <v>18.09917887504521</v>
      </c>
      <c r="Q224" s="16" t="str">
        <v>新增SPU唯一在售店铺</v>
      </c>
      <c r="R224" s="16" t="str">
        <v>已匹配</v>
      </c>
      <c r="S224" s="16" t="str">
        <v>在售</v>
      </c>
      <c r="T224" s="16" t="str">
        <v>8392</v>
      </c>
      <c r="U224" s="16" t="str">
        <v>黑色</v>
      </c>
      <c r="V224" s="16" t="n">
        <v>11</v>
      </c>
      <c r="W224" s="8" t="str">
        <v>2026-10-11 至 2026-10-17</v>
      </c>
      <c r="X224" s="8" t="str">
        <v>2026-10-11、2026-10-12、2026-10-13、2026-10-14、2026-10-15、2026-10-16、2026-10-17</v>
      </c>
      <c r="Y224" s="8" t="str">
        <v>无</v>
      </c>
      <c r="Z224" s="8" t="n">
        <v>12</v>
      </c>
      <c r="AA224" s="8" t="n">
        <v>0</v>
      </c>
      <c r="AB224" s="8" t="n">
        <v>7</v>
      </c>
      <c r="AC224" s="8" t="str">
        <v>2026-10-02 至 2026-10-17</v>
      </c>
      <c r="AD224" s="8" t="str">
        <v>2026-10-02、2026-10-03、2026-10-04、2026-10-05、2026-10-08、2026-10-09、2026-10-10、2026-10-11、2026-10-12、2026-10-13、2026-10-14、2026-10-15、2026-10-16、2026-10-17</v>
      </c>
      <c r="AE224" s="8" t="str">
        <v>2026-10-06 大促；2026-10-07 大促</v>
      </c>
      <c r="AF224" s="8" t="n">
        <v>27</v>
      </c>
      <c r="AG224" s="8" t="n">
        <v>8</v>
      </c>
      <c r="AH224" s="8" t="n">
        <v>14</v>
      </c>
      <c r="AI224" s="8" t="str">
        <v>2026-09-16 至 2026-10-17</v>
      </c>
      <c r="AJ2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4" s="8" t="str">
        <v>2026-10-06 大促；2026-10-07 大促</v>
      </c>
      <c r="AL224" s="8" t="n">
        <v>37</v>
      </c>
      <c r="AM224" s="8" t="n">
        <v>8</v>
      </c>
      <c r="AN224" s="8" t="n">
        <v>30</v>
      </c>
      <c r="AO224" s="8" t="str">
        <v>8392 / 黑色羊京绒 / 6574</v>
      </c>
      <c r="AP224" s="11" t="n">
        <v>1.1743420411079069</v>
      </c>
      <c r="AQ224" s="11" t="n">
        <v>1.1743420411079069</v>
      </c>
      <c r="AR224" s="11" t="n">
        <v>1.144331424468921</v>
      </c>
      <c r="AS224" s="11" t="n">
        <f>IF(AND(COUNT(I224:K224,AP224:AR224)=6,MIN(AP224:AR224)&gt;0),I224/7/AP224*0.5+J224/14/AQ224*0.3+K224/30/AR224*0.2,"")</f>
        <v>1.245539418489444</v>
      </c>
      <c r="AT224" s="8" t="n">
        <v>47</v>
      </c>
      <c r="AU224" s="8" t="n">
        <v>8</v>
      </c>
      <c r="AV224" s="8" t="n">
        <v>88</v>
      </c>
      <c r="AW224" s="11" t="n">
        <f>IF(AND(COUNT(AT224:AV224)=3,AT224&gt;=AU224,AU224&gt;=0,AV224&gt;0),(AT224-AU224)/AV224,"")</f>
        <v>0.4431818181818182</v>
      </c>
      <c r="AX224" s="8" t="n">
        <v>59</v>
      </c>
      <c r="AY224" s="8" t="n">
        <v>8</v>
      </c>
      <c r="AZ224" s="8" t="n">
        <v>178</v>
      </c>
      <c r="BA224" s="11" t="n">
        <f>IF(AND(COUNT(AX224:AZ224)=3,AX224&gt;=AY224,AY224&gt;=0,AZ224&gt;0),(AX224-AY224)/AZ224,"")</f>
        <v>0.28651685393258425</v>
      </c>
      <c r="BB224" s="8" t="n">
        <f>IF(COUNT(AS224,AW224,BA224)=3,1,0)</f>
        <v>1</v>
      </c>
      <c r="BC224" s="11" t="n">
        <f>IF(SUMIF($AO$11:$AO$1309,AO224,$BB$11:$BB$1309)=COUNTIF($AO$11:$AO$1309,AO224),SUMIF($AO$11:$AO$1309,AO224,$AS$11:$AS$1309),"")</f>
        <v>5.8206872914932575</v>
      </c>
      <c r="BD224" s="11" t="n">
        <f>IF(SUMIF($AO$11:$AO$1309,AO224,$BB$11:$BB$1309)=COUNTIF($AO$11:$AO$1309,AO224),SUMIF($AO$11:$AO$1309,AO224,$AW$11:$AW$1309),"")</f>
        <v>2.7613636363636367</v>
      </c>
      <c r="BE224" s="11" t="n">
        <f>IF(SUMIF($AO$11:$AO$1309,AO224,$BB$11:$BB$1309)=COUNTIF($AO$11:$AO$1309,AO224),SUMIF($AO$11:$AO$1309,AO224,$BA$11:$BA$1309),"")</f>
        <v>2.2696629213483144</v>
      </c>
      <c r="BF224" s="12" t="n">
        <f>IF(COUNT(BD224:BE224)&lt;&gt;2,"",IF(AND(BD224&gt;0,BE224&gt;0),0.7*AW224/BD224+0.3*BA224/BE224,IF(BD224&gt;0,AW224/BD224,IF(BE224&gt;0,BA224/BE224,IF(AND(ISNUMBER(BH224),BH224=0),0,"")))))</f>
        <v>0.15021696614105853</v>
      </c>
      <c r="BG224" s="11" t="n">
        <f>IF(AND(COUNT(BN224:BU224)=8,MIN(BN224:BU224)&gt;=0),SUMPRODUCT(BN224:BQ224,BR224:BU224),"")</f>
        <v>96.68059267618935</v>
      </c>
      <c r="BH224" s="11" t="n">
        <f>IF(COUNT(BC224,BG224)=2,BC224*BG224,"")</f>
        <v>562.7474971243314</v>
      </c>
      <c r="BI224" s="11" t="n">
        <f>IF(ISNUMBER(CI224),CI224,"")</f>
        <v>84.53422172149112</v>
      </c>
      <c r="BJ224" s="8" t="str"/>
      <c r="BK224" s="8" t="str">
        <v>90天：2026-07-20 至 2026-10-17；180天：2026-04-21 至 2026-10-17</v>
      </c>
      <c r="BL224" s="8" t="str">
        <v>90天：2026-10-06、2026-10-07；180天：2026-10-06、2026-10-07</v>
      </c>
      <c r="BM224" s="8" t="str">
        <v>2026-10：12天 × 1.1743420411079069；2026-11：30天 × 1.281694931279211；2026-12：31天 × 0.9007634642750235；2027-01：17天 × 0.9537631089407297</v>
      </c>
      <c r="BN224" s="11" t="n">
        <v>1.1743420411079069</v>
      </c>
      <c r="BO224" s="11" t="n">
        <v>1.281694931279211</v>
      </c>
      <c r="BP224" s="11" t="n">
        <v>0.9007634642750235</v>
      </c>
      <c r="BQ224" s="11" t="n">
        <v>0.9537631089407297</v>
      </c>
      <c r="BR224" s="8" t="n">
        <v>12</v>
      </c>
      <c r="BS224" s="8" t="n">
        <v>30</v>
      </c>
      <c r="BT224" s="8" t="n">
        <v>31</v>
      </c>
      <c r="BU224" s="8" t="n">
        <v>17</v>
      </c>
      <c r="BV224" s="11" t="n">
        <f>IF(COUNT(BC224,BF224)=2,BC224*BF224,"")</f>
        <v>0.8743659857839323</v>
      </c>
      <c r="BW224" s="11" t="n">
        <f>IF(ISNUMBER(BN224),BN224,"")</f>
        <v>1.1743420411079069</v>
      </c>
      <c r="BX224" s="14" t="n">
        <f>IF(ISNUMBER(BR224),BR224,"")</f>
        <v>12</v>
      </c>
      <c r="BY224" s="13" t="n">
        <f>IF(AND(COUNT(BV224,BW224,BX224)=3,MIN(BV224,BW224,BX224)&gt;=0),BV224*BW224*BX224,"")</f>
        <v>12.32165683704996</v>
      </c>
      <c r="BZ224" s="11" t="n">
        <f>IF(ISNUMBER(BO224),BO224,"")</f>
        <v>1.281694931279211</v>
      </c>
      <c r="CA224" s="14" t="n">
        <f>IF(ISNUMBER(BS224),BS224,"")</f>
        <v>30</v>
      </c>
      <c r="CB224" s="13" t="n">
        <f>IF(AND(COUNT(BV224,BZ224,CA224)=3,MIN(BV224,BZ224,CA224)&gt;=0),BV224*BZ224*CA224,"")</f>
        <v>33.620113561866496</v>
      </c>
      <c r="CC224" s="11" t="n">
        <f>IF(ISNUMBER(BP224),BP224,"")</f>
        <v>0.9007634642750235</v>
      </c>
      <c r="CD224" s="14" t="n">
        <f>IF(ISNUMBER(BT224),BT224,"")</f>
        <v>31</v>
      </c>
      <c r="CE224" s="13" t="n">
        <f>IF(AND(COUNT(BV224,CC224,CD224)=3,MIN(BV224,CC224,CD224)&gt;=0),BV224*CC224*CD224,"")</f>
        <v>24.415504966368406</v>
      </c>
      <c r="CF224" s="11" t="n">
        <f>IF(ISNUMBER(BQ224),BQ224,"")</f>
        <v>0.9537631089407297</v>
      </c>
      <c r="CG224" s="14" t="n">
        <f>IF(ISNUMBER(BU224),BU224,"")</f>
        <v>17</v>
      </c>
      <c r="CH224" s="13" t="n">
        <f>IF(AND(COUNT(BV224,CF224,CG224)=3,MIN(BV224,CF224,CG224)&gt;=0),BV224*CF224*CG224,"")</f>
        <v>14.176946356206255</v>
      </c>
      <c r="CI224" s="13" t="n">
        <f>IF(COUNT(BY224,CB224,CE224,CH224)=4,SUM(BY224,CB224,CE224,CH224),"")</f>
        <v>84.53422172149112</v>
      </c>
    </row>
    <row r="225" ht="72" customHeight="1">
      <c r="A225" s="16" t="str">
        <v>8392-BK-39</v>
      </c>
      <c r="B225" s="16" t="str">
        <v>3店-SANDIEX-US</v>
      </c>
      <c r="C225" s="16" t="str">
        <v>徐新怡</v>
      </c>
      <c r="D225" s="26" t="n">
        <f>IF(NOT(ISNUMBER(E225)),"",IF(OR(E225&lt;=0,L225=0),0,IF(OR(NOT(ISNUMBER(F225)),F225&lt;0),"",MIN(E225,INT(F225)))))</f>
        <v>0</v>
      </c>
      <c r="E225" s="27" t="n">
        <f>IF(OR(NOT(ISNUMBER(L225)),COUNT(M225:O225)&lt;&gt;3,MIN(M225:O225)&lt;0),"",ROUNDUP(ROUND(BI225-SUM(M225:O225),10),0))</f>
        <v>65</v>
      </c>
      <c r="F225" s="28" t="n">
        <v>0</v>
      </c>
      <c r="G225" s="28" t="n">
        <f>IF(AND(ISNUMBER(D225),ISNUMBER(E225)),IF(OR(E225&lt;=0,L225=0),0,E225-D225),"")</f>
        <v>65</v>
      </c>
      <c r="H225" s="16" t="str">
        <f>IF(NOT(ISNUMBER(E225)),"销量或海外库存待补",IF(OR(E225&lt;=0,L225=0),IF(L225=0,"零日销，本批不发","本批无需补货"),IF(NOT(ISNUMBER(D225)),"国内库存待补",IF(D225=0,"国内无可用库存",IF(G225&gt;0,"先发国内现货","按建议量发货")))))</f>
        <v>国内无可用库存</v>
      </c>
      <c r="I225" s="28" t="n">
        <f>IF(AND(COUNT(Z225,AA225,AB225)=3,Z225&gt;=AA225,AA225&gt;=0,AB225=7),Z225-AA225,"")</f>
        <v>4</v>
      </c>
      <c r="J225" s="28" t="n">
        <f>IF(AND(COUNT(AF225,AG225,AH225)=3,AF225&gt;=AG225,AG225&gt;=0,AH225=14),AF225-AG225,"")</f>
        <v>8</v>
      </c>
      <c r="K225" s="28" t="n">
        <f>IF(AND(COUNT(AL225,AM225,AN225)=3,AL225&gt;=AM225,AM225&gt;=0,AN225=30),AL225-AM225,"")</f>
        <v>19</v>
      </c>
      <c r="L225" s="29" t="n">
        <f>IF(ISNUMBER(BI225),BI225/90,"")</f>
        <v>0.9403901056639385</v>
      </c>
      <c r="M225" s="28" t="n">
        <v>20</v>
      </c>
      <c r="N225" s="28" t="n">
        <v>0</v>
      </c>
      <c r="O225" s="28" t="n">
        <v>0</v>
      </c>
      <c r="P225" s="30" t="n">
        <f>IF(AND(ISNUMBER(L225),L225&gt;0,COUNT(M225:O225)=3,MIN(M225:O225)&gt;=0),SUM(M225:O225)/L225,"")</f>
        <v>21.267769492193356</v>
      </c>
      <c r="Q225" s="16" t="str">
        <v>按本SKU唯一未删除Listing店铺核实</v>
      </c>
      <c r="R225" s="16" t="str">
        <v>已匹配</v>
      </c>
      <c r="S225" s="16" t="str">
        <v>在售</v>
      </c>
      <c r="T225" s="16" t="str">
        <v>8392</v>
      </c>
      <c r="U225" s="16" t="str">
        <v>黑色</v>
      </c>
      <c r="V225" s="16" t="n">
        <v>8</v>
      </c>
      <c r="W225" s="8" t="str">
        <v>2026-10-11 至 2026-10-17</v>
      </c>
      <c r="X225" s="8" t="str">
        <v>2026-10-11、2026-10-12、2026-10-13、2026-10-14、2026-10-15、2026-10-16、2026-10-17</v>
      </c>
      <c r="Y225" s="8" t="str">
        <v>无</v>
      </c>
      <c r="Z225" s="8" t="n">
        <v>4</v>
      </c>
      <c r="AA225" s="8" t="n">
        <v>0</v>
      </c>
      <c r="AB225" s="8" t="n">
        <v>7</v>
      </c>
      <c r="AC225" s="8" t="str">
        <v>2026-10-02 至 2026-10-17</v>
      </c>
      <c r="AD225" s="8" t="str">
        <v>2026-10-02、2026-10-03、2026-10-04、2026-10-05、2026-10-08、2026-10-09、2026-10-10、2026-10-11、2026-10-12、2026-10-13、2026-10-14、2026-10-15、2026-10-16、2026-10-17</v>
      </c>
      <c r="AE225" s="8" t="str">
        <v>2026-10-06 大促；2026-10-07 大促</v>
      </c>
      <c r="AF225" s="8" t="n">
        <v>11</v>
      </c>
      <c r="AG225" s="8" t="n">
        <v>3</v>
      </c>
      <c r="AH225" s="8" t="n">
        <v>14</v>
      </c>
      <c r="AI225" s="8" t="str">
        <v>2026-09-16 至 2026-10-17</v>
      </c>
      <c r="AJ2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5" s="8" t="str">
        <v>2026-10-06 大促；2026-10-07 大促</v>
      </c>
      <c r="AL225" s="8" t="n">
        <v>22</v>
      </c>
      <c r="AM225" s="8" t="n">
        <v>3</v>
      </c>
      <c r="AN225" s="8" t="n">
        <v>30</v>
      </c>
      <c r="AO225" s="8" t="str">
        <v>8392 / 黑色羊京绒 / 6574</v>
      </c>
      <c r="AP225" s="11" t="n">
        <v>1.1743420411079069</v>
      </c>
      <c r="AQ225" s="11" t="n">
        <v>1.1743420411079069</v>
      </c>
      <c r="AR225" s="11" t="n">
        <v>1.144331424468921</v>
      </c>
      <c r="AS225" s="11" t="n">
        <f>IF(AND(COUNT(I225:K225,AP225:AR225)=6,MIN(AP225:AR225)&gt;0),I225/7/AP225*0.5+J225/14/AQ225*0.3+K225/30/AR225*0.2,"")</f>
        <v>0.4999662744808575</v>
      </c>
      <c r="AT225" s="8" t="n">
        <v>40</v>
      </c>
      <c r="AU225" s="8" t="n">
        <v>3</v>
      </c>
      <c r="AV225" s="8" t="n">
        <v>88</v>
      </c>
      <c r="AW225" s="11" t="n">
        <f>IF(AND(COUNT(AT225:AV225)=3,AT225&gt;=AU225,AU225&gt;=0,AV225&gt;0),(AT225-AU225)/AV225,"")</f>
        <v>0.42045454545454547</v>
      </c>
      <c r="AX225" s="8" t="n">
        <v>62</v>
      </c>
      <c r="AY225" s="8" t="n">
        <v>3</v>
      </c>
      <c r="AZ225" s="8" t="n">
        <v>178</v>
      </c>
      <c r="BA225" s="11" t="n">
        <f>IF(AND(COUNT(AX225:AZ225)=3,AX225&gt;=AY225,AY225&gt;=0,AZ225&gt;0),(AX225-AY225)/AZ225,"")</f>
        <v>0.33146067415730335</v>
      </c>
      <c r="BB225" s="8" t="n">
        <f>IF(COUNT(AS225,AW225,BA225)=3,1,0)</f>
        <v>1</v>
      </c>
      <c r="BC225" s="11" t="n">
        <f>IF(SUMIF($AO$11:$AO$1309,AO225,$BB$11:$BB$1309)=COUNTIF($AO$11:$AO$1309,AO225),SUMIF($AO$11:$AO$1309,AO225,$AS$11:$AS$1309),"")</f>
        <v>5.8206872914932575</v>
      </c>
      <c r="BD225" s="11" t="n">
        <f>IF(SUMIF($AO$11:$AO$1309,AO225,$BB$11:$BB$1309)=COUNTIF($AO$11:$AO$1309,AO225),SUMIF($AO$11:$AO$1309,AO225,$AW$11:$AW$1309),"")</f>
        <v>2.7613636363636367</v>
      </c>
      <c r="BE225" s="11" t="n">
        <f>IF(SUMIF($AO$11:$AO$1309,AO225,$BB$11:$BB$1309)=COUNTIF($AO$11:$AO$1309,AO225),SUMIF($AO$11:$AO$1309,AO225,$BA$11:$BA$1309),"")</f>
        <v>2.2696629213483144</v>
      </c>
      <c r="BF225" s="12" t="n">
        <f>IF(COUNT(BD225:BE225)&lt;&gt;2,"",IF(AND(BD225&gt;0,BE225&gt;0),0.7*AW225/BD225+0.3*BA225/BE225,IF(BD225&gt;0,AW225/BD225,IF(BE225&gt;0,BA225/BE225,IF(AND(ISNUMBER(BH225),BH225=0),0,"")))))</f>
        <v>0.1503962433280365</v>
      </c>
      <c r="BG225" s="11" t="n">
        <f>IF(AND(COUNT(BN225:BU225)=8,MIN(BN225:BU225)&gt;=0),SUMPRODUCT(BN225:BQ225,BR225:BU225),"")</f>
        <v>96.68059267618935</v>
      </c>
      <c r="BH225" s="11" t="n">
        <f>IF(COUNT(BC225,BG225)=2,BC225*BG225,"")</f>
        <v>562.7474971243314</v>
      </c>
      <c r="BI225" s="11" t="n">
        <f>IF(ISNUMBER(CI225),CI225,"")</f>
        <v>84.63510950975447</v>
      </c>
      <c r="BJ225" s="8" t="str"/>
      <c r="BK225" s="8" t="str">
        <v>90天：2026-07-20 至 2026-10-17；180天：2026-04-21 至 2026-10-17</v>
      </c>
      <c r="BL225" s="8" t="str">
        <v>90天：2026-10-06、2026-10-07；180天：2026-10-06、2026-10-07</v>
      </c>
      <c r="BM225" s="8" t="str">
        <v>2026-10：12天 × 1.1743420411079069；2026-11：30天 × 1.281694931279211；2026-12：31天 × 0.9007634642750235；2027-01：17天 × 0.9537631089407297</v>
      </c>
      <c r="BN225" s="11" t="n">
        <v>1.1743420411079069</v>
      </c>
      <c r="BO225" s="11" t="n">
        <v>1.281694931279211</v>
      </c>
      <c r="BP225" s="11" t="n">
        <v>0.9007634642750235</v>
      </c>
      <c r="BQ225" s="11" t="n">
        <v>0.9537631089407297</v>
      </c>
      <c r="BR225" s="8" t="n">
        <v>12</v>
      </c>
      <c r="BS225" s="8" t="n">
        <v>30</v>
      </c>
      <c r="BT225" s="8" t="n">
        <v>31</v>
      </c>
      <c r="BU225" s="8" t="n">
        <v>17</v>
      </c>
      <c r="BV225" s="11" t="n">
        <f>IF(COUNT(BC225,BF225)=2,BC225*BF225,"")</f>
        <v>0.8754095022278297</v>
      </c>
      <c r="BW225" s="11" t="n">
        <f>IF(ISNUMBER(BN225),BN225,"")</f>
        <v>1.1743420411079069</v>
      </c>
      <c r="BX225" s="14" t="n">
        <f>IF(ISNUMBER(BR225),BR225,"")</f>
        <v>12</v>
      </c>
      <c r="BY225" s="13" t="n">
        <f>IF(AND(COUNT(BV225,BW225,BX225)=3,MIN(BV225,BW225,BX225)&gt;=0),BV225*BW225*BX225,"")</f>
        <v>12.336362179817836</v>
      </c>
      <c r="BZ225" s="11" t="n">
        <f>IF(ISNUMBER(BO225),BO225,"")</f>
        <v>1.281694931279211</v>
      </c>
      <c r="CA225" s="14" t="n">
        <f>IF(ISNUMBER(BS225),BS225,"")</f>
        <v>30</v>
      </c>
      <c r="CB225" s="13" t="n">
        <f>IF(AND(COUNT(BV225,BZ225,CA225)=3,MIN(BV225,BZ225,CA225)&gt;=0),BV225*BZ225*CA225,"")</f>
        <v>33.66023765397199</v>
      </c>
      <c r="CC225" s="11" t="n">
        <f>IF(ISNUMBER(BP225),BP225,"")</f>
        <v>0.9007634642750235</v>
      </c>
      <c r="CD225" s="14" t="n">
        <f>IF(ISNUMBER(BT225),BT225,"")</f>
        <v>31</v>
      </c>
      <c r="CE225" s="13" t="n">
        <f>IF(AND(COUNT(BV225,CC225,CD225)=3,MIN(BV225,CC225,CD225)&gt;=0),BV225*CC225*CD225,"")</f>
        <v>24.444643772466424</v>
      </c>
      <c r="CF225" s="11" t="n">
        <f>IF(ISNUMBER(BQ225),BQ225,"")</f>
        <v>0.9537631089407297</v>
      </c>
      <c r="CG225" s="14" t="n">
        <f>IF(ISNUMBER(BU225),BU225,"")</f>
        <v>17</v>
      </c>
      <c r="CH225" s="13" t="n">
        <f>IF(AND(COUNT(BV225,CF225,CG225)=3,MIN(BV225,CF225,CG225)&gt;=0),BV225*CF225*CG225,"")</f>
        <v>14.193865903498214</v>
      </c>
      <c r="CI225" s="13" t="n">
        <f>IF(COUNT(BY225,CB225,CE225,CH225)=4,SUM(BY225,CB225,CE225,CH225),"")</f>
        <v>84.63510950975447</v>
      </c>
    </row>
    <row r="226" ht="72" customHeight="1">
      <c r="A226" s="16" t="str">
        <v>8392-BK-41</v>
      </c>
      <c r="B226" s="16" t="str">
        <v>3店-SANDIEX-US</v>
      </c>
      <c r="C226" s="16" t="str">
        <v>徐新怡</v>
      </c>
      <c r="D226" s="26" t="n">
        <f>IF(NOT(ISNUMBER(E226)),"",IF(OR(E226&lt;=0,L226=0),0,IF(OR(NOT(ISNUMBER(F226)),F226&lt;0),"",MIN(E226,INT(F226)))))</f>
        <v>0</v>
      </c>
      <c r="E226" s="27" t="n">
        <f>IF(OR(NOT(ISNUMBER(L226)),COUNT(M226:O226)&lt;&gt;3,MIN(M226:O226)&lt;0),"",ROUNDUP(ROUND(BI226-SUM(M226:O226),10),0))</f>
        <v>65</v>
      </c>
      <c r="F226" s="28" t="n">
        <v>0</v>
      </c>
      <c r="G226" s="28" t="n">
        <f>IF(AND(ISNUMBER(D226),ISNUMBER(E226)),IF(OR(E226&lt;=0,L226=0),0,E226-D226),"")</f>
        <v>65</v>
      </c>
      <c r="H226" s="16" t="str">
        <f>IF(NOT(ISNUMBER(E226)),"销量或海外库存待补",IF(OR(E226&lt;=0,L226=0),IF(L226=0,"零日销，本批不发","本批无需补货"),IF(NOT(ISNUMBER(D226)),"国内库存待补",IF(D226=0,"国内无可用库存",IF(G226&gt;0,"先发国内现货","按建议量发货")))))</f>
        <v>国内无可用库存</v>
      </c>
      <c r="I226" s="28" t="n">
        <f>IF(AND(COUNT(Z226,AA226,AB226)=3,Z226&gt;=AA226,AA226&gt;=0,AB226=7),Z226-AA226,"")</f>
        <v>6</v>
      </c>
      <c r="J226" s="28" t="n">
        <f>IF(AND(COUNT(AF226,AG226,AH226)=3,AF226&gt;=AG226,AG226&gt;=0,AH226=14),AF226-AG226,"")</f>
        <v>9</v>
      </c>
      <c r="K226" s="28" t="n">
        <f>IF(AND(COUNT(AL226,AM226,AN226)=3,AL226&gt;=AM226,AM226&gt;=0,AN226=30),AL226-AM226,"")</f>
        <v>16</v>
      </c>
      <c r="L226" s="29" t="n">
        <f>IF(ISNUMBER(BI226),BI226/90,"")</f>
        <v>0.8347190643080667</v>
      </c>
      <c r="M226" s="28" t="n">
        <v>11</v>
      </c>
      <c r="N226" s="28" t="n">
        <v>0</v>
      </c>
      <c r="O226" s="28" t="n">
        <v>0</v>
      </c>
      <c r="P226" s="30" t="n">
        <f>IF(AND(ISNUMBER(L226),L226&gt;0,COUNT(M226:O226)=3,MIN(M226:O226)&gt;=0),SUM(M226:O226)/L226,"")</f>
        <v>13.178086460884126</v>
      </c>
      <c r="Q226" s="16" t="str">
        <v>按本SKU唯一未删除Listing店铺核实</v>
      </c>
      <c r="R226" s="16" t="str">
        <v>已匹配</v>
      </c>
      <c r="S226" s="16" t="str">
        <v>在售</v>
      </c>
      <c r="T226" s="16" t="str">
        <v>8392</v>
      </c>
      <c r="U226" s="16" t="str">
        <v>黑色</v>
      </c>
      <c r="V226" s="16" t="n">
        <v>10</v>
      </c>
      <c r="W226" s="8" t="str">
        <v>2026-10-11 至 2026-10-17</v>
      </c>
      <c r="X226" s="8" t="str">
        <v>2026-10-11、2026-10-12、2026-10-13、2026-10-14、2026-10-15、2026-10-16、2026-10-17</v>
      </c>
      <c r="Y226" s="8" t="str">
        <v>无</v>
      </c>
      <c r="Z226" s="8" t="n">
        <v>6</v>
      </c>
      <c r="AA226" s="8" t="n">
        <v>0</v>
      </c>
      <c r="AB226" s="8" t="n">
        <v>7</v>
      </c>
      <c r="AC226" s="8" t="str">
        <v>2026-10-02 至 2026-10-17</v>
      </c>
      <c r="AD226" s="8" t="str">
        <v>2026-10-02、2026-10-03、2026-10-04、2026-10-05、2026-10-08、2026-10-09、2026-10-10、2026-10-11、2026-10-12、2026-10-13、2026-10-14、2026-10-15、2026-10-16、2026-10-17</v>
      </c>
      <c r="AE226" s="8" t="str">
        <v>2026-10-06 大促；2026-10-07 大促</v>
      </c>
      <c r="AF226" s="8" t="n">
        <v>16</v>
      </c>
      <c r="AG226" s="8" t="n">
        <v>7</v>
      </c>
      <c r="AH226" s="8" t="n">
        <v>14</v>
      </c>
      <c r="AI226" s="8" t="str">
        <v>2026-09-16 至 2026-10-17</v>
      </c>
      <c r="AJ2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6" s="8" t="str">
        <v>2026-10-06 大促；2026-10-07 大促</v>
      </c>
      <c r="AL226" s="8" t="n">
        <v>23</v>
      </c>
      <c r="AM226" s="8" t="n">
        <v>7</v>
      </c>
      <c r="AN226" s="8" t="n">
        <v>30</v>
      </c>
      <c r="AO226" s="8" t="str">
        <v>8392 / 黑色羊京绒 / 6574</v>
      </c>
      <c r="AP226" s="11" t="n">
        <v>1.1743420411079069</v>
      </c>
      <c r="AQ226" s="11" t="n">
        <v>1.1743420411079069</v>
      </c>
      <c r="AR226" s="11" t="n">
        <v>1.144331424468921</v>
      </c>
      <c r="AS226" s="11" t="n">
        <f>IF(AND(COUNT(I226:K226,AP226:AR226)=6,MIN(AP226:AR226)&gt;0),I226/7/AP226*0.5+J226/14/AQ226*0.3+K226/30/AR226*0.2,"")</f>
        <v>0.6223847863599504</v>
      </c>
      <c r="AT226" s="8" t="n">
        <v>42</v>
      </c>
      <c r="AU226" s="8" t="n">
        <v>7</v>
      </c>
      <c r="AV226" s="8" t="n">
        <v>88</v>
      </c>
      <c r="AW226" s="11" t="n">
        <f>IF(AND(COUNT(AT226:AV226)=3,AT226&gt;=AU226,AU226&gt;=0,AV226&gt;0),(AT226-AU226)/AV226,"")</f>
        <v>0.3977272727272727</v>
      </c>
      <c r="AX226" s="8" t="n">
        <v>51</v>
      </c>
      <c r="AY226" s="8" t="n">
        <v>7</v>
      </c>
      <c r="AZ226" s="8" t="n">
        <v>178</v>
      </c>
      <c r="BA226" s="11" t="n">
        <f>IF(AND(COUNT(AX226:AZ226)=3,AX226&gt;=AY226,AY226&gt;=0,AZ226&gt;0),(AX226-AY226)/AZ226,"")</f>
        <v>0.24719101123595505</v>
      </c>
      <c r="BB226" s="8" t="n">
        <f>IF(COUNT(AS226,AW226,BA226)=3,1,0)</f>
        <v>1</v>
      </c>
      <c r="BC226" s="11" t="n">
        <f>IF(SUMIF($AO$11:$AO$1309,AO226,$BB$11:$BB$1309)=COUNTIF($AO$11:$AO$1309,AO226),SUMIF($AO$11:$AO$1309,AO226,$AS$11:$AS$1309),"")</f>
        <v>5.8206872914932575</v>
      </c>
      <c r="BD226" s="11" t="n">
        <f>IF(SUMIF($AO$11:$AO$1309,AO226,$BB$11:$BB$1309)=COUNTIF($AO$11:$AO$1309,AO226),SUMIF($AO$11:$AO$1309,AO226,$AW$11:$AW$1309),"")</f>
        <v>2.7613636363636367</v>
      </c>
      <c r="BE226" s="11" t="n">
        <f>IF(SUMIF($AO$11:$AO$1309,AO226,$BB$11:$BB$1309)=COUNTIF($AO$11:$AO$1309,AO226),SUMIF($AO$11:$AO$1309,AO226,$BA$11:$BA$1309),"")</f>
        <v>2.2696629213483144</v>
      </c>
      <c r="BF226" s="12" t="n">
        <f>IF(COUNT(BD226:BE226)&lt;&gt;2,"",IF(AND(BD226&gt;0,BE226&gt;0),0.7*AW226/BD226+0.3*BA226/BE226,IF(BD226&gt;0,AW226/BD226,IF(BE226&gt;0,BA226/BE226,IF(AND(ISNUMBER(BH226),BH226=0),0,"")))))</f>
        <v>0.13349631259422237</v>
      </c>
      <c r="BG226" s="11" t="n">
        <f>IF(AND(COUNT(BN226:BU226)=8,MIN(BN226:BU226)&gt;=0),SUMPRODUCT(BN226:BQ226,BR226:BU226),"")</f>
        <v>96.68059267618935</v>
      </c>
      <c r="BH226" s="11" t="n">
        <f>IF(COUNT(BC226,BG226)=2,BC226*BG226,"")</f>
        <v>562.7474971243314</v>
      </c>
      <c r="BI226" s="11" t="n">
        <f>IF(ISNUMBER(CI226),CI226,"")</f>
        <v>75.124715787726</v>
      </c>
      <c r="BJ226" s="8" t="str"/>
      <c r="BK226" s="8" t="str">
        <v>90天：2026-07-20 至 2026-10-17；180天：2026-04-21 至 2026-10-17</v>
      </c>
      <c r="BL226" s="8" t="str">
        <v>90天：2026-10-06、2026-10-07；180天：2026-10-06、2026-10-07</v>
      </c>
      <c r="BM226" s="8" t="str">
        <v>2026-10：12天 × 1.1743420411079069；2026-11：30天 × 1.281694931279211；2026-12：31天 × 0.9007634642750235；2027-01：17天 × 0.9537631089407297</v>
      </c>
      <c r="BN226" s="11" t="n">
        <v>1.1743420411079069</v>
      </c>
      <c r="BO226" s="11" t="n">
        <v>1.281694931279211</v>
      </c>
      <c r="BP226" s="11" t="n">
        <v>0.9007634642750235</v>
      </c>
      <c r="BQ226" s="11" t="n">
        <v>0.9537631089407297</v>
      </c>
      <c r="BR226" s="8" t="n">
        <v>12</v>
      </c>
      <c r="BS226" s="8" t="n">
        <v>30</v>
      </c>
      <c r="BT226" s="8" t="n">
        <v>31</v>
      </c>
      <c r="BU226" s="8" t="n">
        <v>17</v>
      </c>
      <c r="BV226" s="11" t="n">
        <f>IF(COUNT(BC226,BF226)=2,BC226*BF226,"")</f>
        <v>0.7770402901784015</v>
      </c>
      <c r="BW226" s="11" t="n">
        <f>IF(ISNUMBER(BN226),BN226,"")</f>
        <v>1.1743420411079069</v>
      </c>
      <c r="BX226" s="14" t="n">
        <f>IF(ISNUMBER(BR226),BR226,"")</f>
        <v>12</v>
      </c>
      <c r="BY226" s="13" t="n">
        <f>IF(AND(COUNT(BV226,BW226,BX226)=3,MIN(BV226,BW226,BX226)&gt;=0),BV226*BW226*BX226,"")</f>
        <v>10.95013296469421</v>
      </c>
      <c r="BZ226" s="11" t="n">
        <f>IF(ISNUMBER(BO226),BO226,"")</f>
        <v>1.281694931279211</v>
      </c>
      <c r="CA226" s="14" t="n">
        <f>IF(ISNUMBER(BS226),BS226,"")</f>
        <v>30</v>
      </c>
      <c r="CB226" s="13" t="n">
        <f>IF(AND(COUNT(BV226,BZ226,CA226)=3,MIN(BV226,BZ226,CA226)&gt;=0),BV226*BZ226*CA226,"")</f>
        <v>29.87785803964153</v>
      </c>
      <c r="CC226" s="11" t="n">
        <f>IF(ISNUMBER(BP226),BP226,"")</f>
        <v>0.9007634642750235</v>
      </c>
      <c r="CD226" s="14" t="n">
        <f>IF(ISNUMBER(BT226),BT226,"")</f>
        <v>31</v>
      </c>
      <c r="CE226" s="13" t="n">
        <f>IF(AND(COUNT(BV226,CC226,CD226)=3,MIN(BV226,CC226,CD226)&gt;=0),BV226*CC226*CD226,"")</f>
        <v>21.69781461353336</v>
      </c>
      <c r="CF226" s="11" t="n">
        <f>IF(ISNUMBER(BQ226),BQ226,"")</f>
        <v>0.9537631089407297</v>
      </c>
      <c r="CG226" s="14" t="n">
        <f>IF(ISNUMBER(BU226),BU226,"")</f>
        <v>17</v>
      </c>
      <c r="CH226" s="13" t="n">
        <f>IF(AND(COUNT(BV226,CF226,CG226)=3,MIN(BV226,CF226,CG226)&gt;=0),BV226*CF226*CG226,"")</f>
        <v>12.598910169856902</v>
      </c>
      <c r="CI226" s="13" t="n">
        <f>IF(COUNT(BY226,CB226,CE226,CH226)=4,SUM(BY226,CB226,CE226,CH226),"")</f>
        <v>75.124715787726</v>
      </c>
    </row>
    <row r="227" ht="72" customHeight="1">
      <c r="A227" s="16" t="str">
        <v>32582-BK-41</v>
      </c>
      <c r="B227" s="16" t="str">
        <v>3店-SANDIEX-US</v>
      </c>
      <c r="C227" s="16" t="str">
        <v>徐新怡</v>
      </c>
      <c r="D227" s="26" t="n">
        <f>IF(NOT(ISNUMBER(E227)),"",IF(OR(E227&lt;=0,L227=0),0,IF(OR(NOT(ISNUMBER(F227)),F227&lt;0),"",MIN(E227,INT(F227)))))</f>
        <v>0</v>
      </c>
      <c r="E227" s="27" t="n">
        <f>IF(OR(NOT(ISNUMBER(L227)),COUNT(M227:O227)&lt;&gt;3,MIN(M227:O227)&lt;0),"",ROUNDUP(ROUND(BI227-SUM(M227:O227),10),0))</f>
        <v>63</v>
      </c>
      <c r="F227" s="28" t="n">
        <v>0</v>
      </c>
      <c r="G227" s="28" t="n">
        <f>IF(AND(ISNUMBER(D227),ISNUMBER(E227)),IF(OR(E227&lt;=0,L227=0),0,E227-D227),"")</f>
        <v>63</v>
      </c>
      <c r="H227" s="16" t="str">
        <f>IF(NOT(ISNUMBER(E227)),"销量或海外库存待补",IF(OR(E227&lt;=0,L227=0),IF(L227=0,"零日销，本批不发","本批无需补货"),IF(NOT(ISNUMBER(D227)),"国内库存待补",IF(D227=0,"国内无可用库存",IF(G227&gt;0,"先发国内现货","按建议量发货")))))</f>
        <v>国内无可用库存</v>
      </c>
      <c r="I227" s="28" t="n">
        <f>IF(AND(COUNT(Z227,AA227,AB227)=3,Z227&gt;=AA227,AA227&gt;=0,AB227=7),Z227-AA227,"")</f>
        <v>7</v>
      </c>
      <c r="J227" s="28" t="n">
        <f>IF(AND(COUNT(AF227,AG227,AH227)=3,AF227&gt;=AG227,AG227&gt;=0,AH227=14),AF227-AG227,"")</f>
        <v>17</v>
      </c>
      <c r="K227" s="28" t="n">
        <f>IF(AND(COUNT(AL227,AM227,AN227)=3,AL227&gt;=AM227,AM227&gt;=0,AN227=30),AL227-AM227,"")</f>
        <v>33</v>
      </c>
      <c r="L227" s="29" t="n">
        <f>IF(ISNUMBER(BI227),BI227/90,"")</f>
        <v>1.1267517744197755</v>
      </c>
      <c r="M227" s="28" t="n">
        <v>18</v>
      </c>
      <c r="N227" s="28" t="n">
        <v>0</v>
      </c>
      <c r="O227" s="28" t="n">
        <v>21</v>
      </c>
      <c r="P227" s="30" t="n">
        <f>IF(AND(ISNUMBER(L227),L227&gt;0,COUNT(M227:O227)=3,MIN(M227:O227)&gt;=0),SUM(M227:O227)/L227,"")</f>
        <v>34.61276998661322</v>
      </c>
      <c r="Q227" s="16" t="str">
        <v>沿用原计划SKU店铺</v>
      </c>
      <c r="R227" s="16" t="str">
        <v>已匹配</v>
      </c>
      <c r="S227" s="16" t="str">
        <v>在售</v>
      </c>
      <c r="T227" s="16" t="str">
        <v>32582</v>
      </c>
      <c r="U227" s="16" t="str">
        <v>黑色</v>
      </c>
      <c r="V227" s="16" t="n">
        <v>10</v>
      </c>
      <c r="W227" s="8" t="str">
        <v>2026-10-11 至 2026-10-17</v>
      </c>
      <c r="X227" s="8" t="str">
        <v>2026-10-11、2026-10-12、2026-10-13、2026-10-14、2026-10-15、2026-10-16、2026-10-17</v>
      </c>
      <c r="Y227" s="8" t="str">
        <v>无</v>
      </c>
      <c r="Z227" s="8" t="n">
        <v>7</v>
      </c>
      <c r="AA227" s="8" t="n">
        <v>0</v>
      </c>
      <c r="AB227" s="8" t="n">
        <v>7</v>
      </c>
      <c r="AC227" s="8" t="str">
        <v>2026-10-02 至 2026-10-17</v>
      </c>
      <c r="AD227" s="8" t="str">
        <v>2026-10-02、2026-10-03、2026-10-04、2026-10-05、2026-10-08、2026-10-09、2026-10-10、2026-10-11、2026-10-12、2026-10-13、2026-10-14、2026-10-15、2026-10-16、2026-10-17</v>
      </c>
      <c r="AE227" s="8" t="str">
        <v>2026-10-06 大促；2026-10-07 大促</v>
      </c>
      <c r="AF227" s="8" t="n">
        <v>21</v>
      </c>
      <c r="AG227" s="8" t="n">
        <v>4</v>
      </c>
      <c r="AH227" s="8" t="n">
        <v>14</v>
      </c>
      <c r="AI227" s="8" t="str">
        <v>2026-09-16 至 2026-10-17</v>
      </c>
      <c r="AJ2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7" s="8" t="str">
        <v>2026-10-06 大促；2026-10-07 大促</v>
      </c>
      <c r="AL227" s="8" t="n">
        <v>37</v>
      </c>
      <c r="AM227" s="8" t="n">
        <v>4</v>
      </c>
      <c r="AN227" s="8" t="n">
        <v>30</v>
      </c>
      <c r="AO227" s="8" t="str">
        <v>32582 / 黑色羊京绒 / 6574</v>
      </c>
      <c r="AP227" s="11" t="n">
        <v>1.0395067087630607</v>
      </c>
      <c r="AQ227" s="11" t="n">
        <v>1.0395067087630607</v>
      </c>
      <c r="AR227" s="11" t="n">
        <v>1.0707336504782758</v>
      </c>
      <c r="AS227" s="11" t="n">
        <f>IF(AND(COUNT(I227:K227,AP227:AR227)=6,MIN(AP227:AR227)&gt;0),I227/7/AP227*0.5+J227/14/AQ227*0.3+K227/30/AR227*0.2,"")</f>
        <v>1.0369049201265172</v>
      </c>
      <c r="AT227" s="8" t="n">
        <v>79</v>
      </c>
      <c r="AU227" s="8" t="n">
        <v>4</v>
      </c>
      <c r="AV227" s="8" t="n">
        <v>88</v>
      </c>
      <c r="AW227" s="11" t="n">
        <f>IF(AND(COUNT(AT227:AV227)=3,AT227&gt;=AU227,AU227&gt;=0,AV227&gt;0),(AT227-AU227)/AV227,"")</f>
        <v>0.8522727272727273</v>
      </c>
      <c r="AX227" s="8" t="n">
        <v>114</v>
      </c>
      <c r="AY227" s="8" t="n">
        <v>4</v>
      </c>
      <c r="AZ227" s="8" t="n">
        <v>178</v>
      </c>
      <c r="BA227" s="11" t="n">
        <f>IF(AND(COUNT(AX227:AZ227)=3,AX227&gt;=AY227,AY227&gt;=0,AZ227&gt;0),(AX227-AY227)/AZ227,"")</f>
        <v>0.6179775280898876</v>
      </c>
      <c r="BB227" s="8" t="n">
        <f>IF(COUNT(AS227,AW227,BA227)=3,1,0)</f>
        <v>1</v>
      </c>
      <c r="BC227" s="11" t="n">
        <f>IF(SUMIF($AO$11:$AO$1309,AO227,$BB$11:$BB$1309)=COUNTIF($AO$11:$AO$1309,AO227),SUMIF($AO$11:$AO$1309,AO227,$AS$11:$AS$1309),"")</f>
        <v>8.693659224127387</v>
      </c>
      <c r="BD227" s="11" t="n">
        <f>IF(SUMIF($AO$11:$AO$1309,AO227,$BB$11:$BB$1309)=COUNTIF($AO$11:$AO$1309,AO227),SUMIF($AO$11:$AO$1309,AO227,$AW$11:$AW$1309),"")</f>
        <v>6.372516749646567</v>
      </c>
      <c r="BE227" s="11" t="n">
        <f>IF(SUMIF($AO$11:$AO$1309,AO227,$BB$11:$BB$1309)=COUNTIF($AO$11:$AO$1309,AO227),SUMIF($AO$11:$AO$1309,AO227,$BA$11:$BA$1309),"")</f>
        <v>4.812567583498835</v>
      </c>
      <c r="BF227" s="12" t="n">
        <f>IF(COUNT(BD227:BE227)&lt;&gt;2,"",IF(AND(BD227&gt;0,BE227&gt;0),0.7*AW227/BD227+0.3*BA227/BE227,IF(BD227&gt;0,AW227/BD227,IF(BE227&gt;0,BA227/BE227,IF(AND(ISNUMBER(BH227),BH227=0),0,"")))))</f>
        <v>0.13214208868917135</v>
      </c>
      <c r="BG227" s="11" t="n">
        <f>IF(AND(COUNT(BN227:BU227)=8,MIN(BN227:BU227)&gt;=0),SUMPRODUCT(BN227:BQ227,BR227:BU227),"")</f>
        <v>88.27281580841549</v>
      </c>
      <c r="BH227" s="11" t="n">
        <f>IF(COUNT(BC227,BG227)=2,BC227*BG227,"")</f>
        <v>767.4137793925291</v>
      </c>
      <c r="BI227" s="11" t="n">
        <f>IF(ISNUMBER(CI227),CI227,"")</f>
        <v>101.40765969777979</v>
      </c>
      <c r="BJ227" s="8" t="str">
        <v>低销提醒依据不完整</v>
      </c>
      <c r="BK227" s="8" t="str">
        <v>90天：2026-07-20 至 2026-10-17；180天：2026-04-21 至 2026-10-17</v>
      </c>
      <c r="BL227" s="8" t="str">
        <v>90天：2026-10-06、2026-10-07；180天：2026-10-06、2026-10-07</v>
      </c>
      <c r="BM227" s="8" t="str">
        <v>2026-10：12天 × 1.0395067087630607；2026-11：30天 × 0.9890368360033146；2026-12：31天 × 0.7800796503018808；2027-01：17天 × 1.2908918272824135</v>
      </c>
      <c r="BN227" s="11" t="n">
        <v>1.0395067087630607</v>
      </c>
      <c r="BO227" s="11" t="n">
        <v>0.9890368360033146</v>
      </c>
      <c r="BP227" s="11" t="n">
        <v>0.7800796503018808</v>
      </c>
      <c r="BQ227" s="11" t="n">
        <v>1.2908918272824135</v>
      </c>
      <c r="BR227" s="8" t="n">
        <v>12</v>
      </c>
      <c r="BS227" s="8" t="n">
        <v>30</v>
      </c>
      <c r="BT227" s="8" t="n">
        <v>31</v>
      </c>
      <c r="BU227" s="8" t="n">
        <v>17</v>
      </c>
      <c r="BV227" s="11" t="n">
        <f>IF(COUNT(BC227,BF227)=2,BC227*BF227,"")</f>
        <v>1.1487982882280738</v>
      </c>
      <c r="BW227" s="11" t="n">
        <f>IF(ISNUMBER(BN227),BN227,"")</f>
        <v>1.0395067087630607</v>
      </c>
      <c r="BX227" s="14" t="n">
        <f>IF(ISNUMBER(BR227),BR227,"")</f>
        <v>12</v>
      </c>
      <c r="BY227" s="13" t="n">
        <f>IF(AND(COUNT(BV227,BW227,BX227)=3,MIN(BV227,BW227,BX227)&gt;=0),BV227*BW227*BX227,"")</f>
        <v>14.330202331543237</v>
      </c>
      <c r="BZ227" s="11" t="n">
        <f>IF(ISNUMBER(BO227),BO227,"")</f>
        <v>0.9890368360033146</v>
      </c>
      <c r="CA227" s="14" t="n">
        <f>IF(ISNUMBER(BS227),BS227,"")</f>
        <v>30</v>
      </c>
      <c r="CB227" s="13" t="n">
        <f>IF(AND(COUNT(BV227,BZ227,CA227)=3,MIN(BV227,BZ227,CA227)&gt;=0),BV227*BZ227*CA227,"")</f>
        <v>34.08611472585354</v>
      </c>
      <c r="CC227" s="11" t="n">
        <f>IF(ISNUMBER(BP227),BP227,"")</f>
        <v>0.7800796503018808</v>
      </c>
      <c r="CD227" s="14" t="n">
        <f>IF(ISNUMBER(BT227),BT227,"")</f>
        <v>31</v>
      </c>
      <c r="CE227" s="13" t="n">
        <f>IF(AND(COUNT(BV227,CC227,CD227)=3,MIN(BV227,CC227,CD227)&gt;=0),BV227*CC227*CD227,"")</f>
        <v>27.780779175399005</v>
      </c>
      <c r="CF227" s="11" t="n">
        <f>IF(ISNUMBER(BQ227),BQ227,"")</f>
        <v>1.2908918272824135</v>
      </c>
      <c r="CG227" s="14" t="n">
        <f>IF(ISNUMBER(BU227),BU227,"")</f>
        <v>17</v>
      </c>
      <c r="CH227" s="13" t="n">
        <f>IF(AND(COUNT(BV227,CF227,CG227)=3,MIN(BV227,CF227,CG227)&gt;=0),BV227*CF227*CG227,"")</f>
        <v>25.210563464984</v>
      </c>
      <c r="CI227" s="13" t="n">
        <f>IF(COUNT(BY227,CB227,CE227,CH227)=4,SUM(BY227,CB227,CE227,CH227),"")</f>
        <v>101.40765969777979</v>
      </c>
    </row>
    <row r="228" ht="72" customHeight="1">
      <c r="A228" s="16" t="str">
        <v>32582-BK-39.5</v>
      </c>
      <c r="B228" s="16" t="str">
        <v>3店-SANDIEX-US</v>
      </c>
      <c r="C228" s="16" t="str">
        <v>徐新怡</v>
      </c>
      <c r="D228" s="26" t="n">
        <f>IF(NOT(ISNUMBER(E228)),"",IF(OR(E228&lt;=0,L228=0),0,IF(OR(NOT(ISNUMBER(F228)),F228&lt;0),"",MIN(E228,INT(F228)))))</f>
        <v>0</v>
      </c>
      <c r="E228" s="27" t="n">
        <f>IF(OR(NOT(ISNUMBER(L228)),COUNT(M228:O228)&lt;&gt;3,MIN(M228:O228)&lt;0),"",ROUNDUP(ROUND(BI228-SUM(M228:O228),10),0))</f>
        <v>60</v>
      </c>
      <c r="F228" s="28" t="n">
        <v>0</v>
      </c>
      <c r="G228" s="28" t="n">
        <f>IF(AND(ISNUMBER(D228),ISNUMBER(E228)),IF(OR(E228&lt;=0,L228=0),0,E228-D228),"")</f>
        <v>60</v>
      </c>
      <c r="H228" s="16" t="str">
        <f>IF(NOT(ISNUMBER(E228)),"销量或海外库存待补",IF(OR(E228&lt;=0,L228=0),IF(L228=0,"零日销，本批不发","本批无需补货"),IF(NOT(ISNUMBER(D228)),"国内库存待补",IF(D228=0,"国内无可用库存",IF(G228&gt;0,"先发国内现货","按建议量发货")))))</f>
        <v>国内无可用库存</v>
      </c>
      <c r="I228" s="28" t="n">
        <f>IF(AND(COUNT(Z228,AA228,AB228)=3,Z228&gt;=AA228,AA228&gt;=0,AB228=7),Z228-AA228,"")</f>
        <v>9</v>
      </c>
      <c r="J228" s="28" t="n">
        <f>IF(AND(COUNT(AF228,AG228,AH228)=3,AF228&gt;=AG228,AG228&gt;=0,AH228=14),AF228-AG228,"")</f>
        <v>19</v>
      </c>
      <c r="K228" s="28" t="n">
        <f>IF(AND(COUNT(AL228,AM228,AN228)=3,AL228&gt;=AM228,AM228&gt;=0,AN228=30),AL228-AM228,"")</f>
        <v>33</v>
      </c>
      <c r="L228" s="29" t="n">
        <f>IF(ISNUMBER(BI228),BI228/90,"")</f>
        <v>1.0406857759395955</v>
      </c>
      <c r="M228" s="28" t="n">
        <v>34</v>
      </c>
      <c r="N228" s="28" t="n">
        <v>0</v>
      </c>
      <c r="O228" s="28" t="n">
        <v>0</v>
      </c>
      <c r="P228" s="30" t="n">
        <f>IF(AND(ISNUMBER(L228),L228&gt;0,COUNT(M228:O228)=3,MIN(M228:O228)&gt;=0),SUM(M228:O228)/L228,"")</f>
        <v>32.670764592033265</v>
      </c>
      <c r="Q228" s="16" t="str">
        <v>沿用原计划SKU店铺</v>
      </c>
      <c r="R228" s="16" t="str">
        <v>已匹配</v>
      </c>
      <c r="S228" s="16" t="str">
        <v>在售</v>
      </c>
      <c r="T228" s="16" t="str">
        <v>32582</v>
      </c>
      <c r="U228" s="16" t="str">
        <v>黑色</v>
      </c>
      <c r="V228" s="16" t="n">
        <v>8.5</v>
      </c>
      <c r="W228" s="8" t="str">
        <v>2026-10-11 至 2026-10-17</v>
      </c>
      <c r="X228" s="8" t="str">
        <v>2026-10-11、2026-10-12、2026-10-13、2026-10-14、2026-10-15、2026-10-16、2026-10-17</v>
      </c>
      <c r="Y228" s="8" t="str">
        <v>无</v>
      </c>
      <c r="Z228" s="8" t="n">
        <v>9</v>
      </c>
      <c r="AA228" s="8" t="n">
        <v>0</v>
      </c>
      <c r="AB228" s="8" t="n">
        <v>7</v>
      </c>
      <c r="AC228" s="8" t="str">
        <v>2026-10-02 至 2026-10-17</v>
      </c>
      <c r="AD228" s="8" t="str">
        <v>2026-10-02、2026-10-03、2026-10-04、2026-10-05、2026-10-08、2026-10-09、2026-10-10、2026-10-11、2026-10-12、2026-10-13、2026-10-14、2026-10-15、2026-10-16、2026-10-17</v>
      </c>
      <c r="AE228" s="8" t="str">
        <v>2026-10-06 大促；2026-10-07 大促</v>
      </c>
      <c r="AF228" s="8" t="n">
        <v>26</v>
      </c>
      <c r="AG228" s="8" t="n">
        <v>7</v>
      </c>
      <c r="AH228" s="8" t="n">
        <v>14</v>
      </c>
      <c r="AI228" s="8" t="str">
        <v>2026-09-16 至 2026-10-17</v>
      </c>
      <c r="AJ2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8" s="8" t="str">
        <v>2026-10-06 大促；2026-10-07 大促</v>
      </c>
      <c r="AL228" s="8" t="n">
        <v>40</v>
      </c>
      <c r="AM228" s="8" t="n">
        <v>7</v>
      </c>
      <c r="AN228" s="8" t="n">
        <v>30</v>
      </c>
      <c r="AO228" s="8" t="str">
        <v>32582 / 黑色羊京绒 / 6574</v>
      </c>
      <c r="AP228" s="11" t="n">
        <v>1.0395067087630607</v>
      </c>
      <c r="AQ228" s="11" t="n">
        <v>1.0395067087630607</v>
      </c>
      <c r="AR228" s="11" t="n">
        <v>1.0707336504782758</v>
      </c>
      <c r="AS228" s="11" t="n">
        <f>IF(AND(COUNT(I228:K228,AP228:AR228)=6,MIN(AP228:AR228)&gt;0),I228/7/AP228*0.5+J228/14/AQ228*0.3+K228/30/AR228*0.2,"")</f>
        <v>1.2155610886232773</v>
      </c>
      <c r="AT228" s="8" t="n">
        <v>77</v>
      </c>
      <c r="AU228" s="8" t="n">
        <v>7</v>
      </c>
      <c r="AV228" s="8" t="n">
        <v>88</v>
      </c>
      <c r="AW228" s="11" t="n">
        <f>IF(AND(COUNT(AT228:AV228)=3,AT228&gt;=AU228,AU228&gt;=0,AV228&gt;0),(AT228-AU228)/AV228,"")</f>
        <v>0.7954545454545454</v>
      </c>
      <c r="AX228" s="8" t="n">
        <v>106</v>
      </c>
      <c r="AY228" s="8" t="n">
        <v>7</v>
      </c>
      <c r="AZ228" s="8" t="n">
        <v>178</v>
      </c>
      <c r="BA228" s="11" t="n">
        <f>IF(AND(COUNT(AX228:AZ228)=3,AX228&gt;=AY228,AY228&gt;=0,AZ228&gt;0),(AX228-AY228)/AZ228,"")</f>
        <v>0.5561797752808989</v>
      </c>
      <c r="BB228" s="8" t="n">
        <f>IF(COUNT(AS228,AW228,BA228)=3,1,0)</f>
        <v>1</v>
      </c>
      <c r="BC228" s="11" t="n">
        <f>IF(SUMIF($AO$11:$AO$1309,AO228,$BB$11:$BB$1309)=COUNTIF($AO$11:$AO$1309,AO228),SUMIF($AO$11:$AO$1309,AO228,$AS$11:$AS$1309),"")</f>
        <v>8.693659224127387</v>
      </c>
      <c r="BD228" s="11" t="n">
        <f>IF(SUMIF($AO$11:$AO$1309,AO228,$BB$11:$BB$1309)=COUNTIF($AO$11:$AO$1309,AO228),SUMIF($AO$11:$AO$1309,AO228,$AW$11:$AW$1309),"")</f>
        <v>6.372516749646567</v>
      </c>
      <c r="BE228" s="11" t="n">
        <f>IF(SUMIF($AO$11:$AO$1309,AO228,$BB$11:$BB$1309)=COUNTIF($AO$11:$AO$1309,AO228),SUMIF($AO$11:$AO$1309,AO228,$BA$11:$BA$1309),"")</f>
        <v>4.812567583498835</v>
      </c>
      <c r="BF228" s="12" t="n">
        <f>IF(COUNT(BD228:BE228)&lt;&gt;2,"",IF(AND(BD228&gt;0,BE228&gt;0),0.7*AW228/BD228+0.3*BA228/BE228,IF(BD228&gt;0,AW228/BD228,IF(BE228&gt;0,BA228/BE228,IF(AND(ISNUMBER(BH228),BH228=0),0,"")))))</f>
        <v>0.12204852499352373</v>
      </c>
      <c r="BG228" s="11" t="n">
        <f>IF(AND(COUNT(BN228:BU228)=8,MIN(BN228:BU228)&gt;=0),SUMPRODUCT(BN228:BQ228,BR228:BU228),"")</f>
        <v>88.27281580841549</v>
      </c>
      <c r="BH228" s="11" t="n">
        <f>IF(COUNT(BC228,BG228)=2,BC228*BG228,"")</f>
        <v>767.4137793925291</v>
      </c>
      <c r="BI228" s="11" t="n">
        <f>IF(ISNUMBER(CI228),CI228,"")</f>
        <v>93.6617198345636</v>
      </c>
      <c r="BJ228" s="8" t="str">
        <v>低销提醒依据不完整</v>
      </c>
      <c r="BK228" s="8" t="str">
        <v>90天：2026-07-20 至 2026-10-17；180天：2026-04-21 至 2026-10-17</v>
      </c>
      <c r="BL228" s="8" t="str">
        <v>90天：2026-10-06、2026-10-07；180天：2026-10-06、2026-10-07</v>
      </c>
      <c r="BM228" s="8" t="str">
        <v>2026-10：12天 × 1.0395067087630607；2026-11：30天 × 0.9890368360033146；2026-12：31天 × 0.7800796503018808；2027-01：17天 × 1.2908918272824135</v>
      </c>
      <c r="BN228" s="11" t="n">
        <v>1.0395067087630607</v>
      </c>
      <c r="BO228" s="11" t="n">
        <v>0.9890368360033146</v>
      </c>
      <c r="BP228" s="11" t="n">
        <v>0.7800796503018808</v>
      </c>
      <c r="BQ228" s="11" t="n">
        <v>1.2908918272824135</v>
      </c>
      <c r="BR228" s="8" t="n">
        <v>12</v>
      </c>
      <c r="BS228" s="8" t="n">
        <v>30</v>
      </c>
      <c r="BT228" s="8" t="n">
        <v>31</v>
      </c>
      <c r="BU228" s="8" t="n">
        <v>17</v>
      </c>
      <c r="BV228" s="11" t="n">
        <f>IF(COUNT(BC228,BF228)=2,BC228*BF228,"")</f>
        <v>1.0610482851010894</v>
      </c>
      <c r="BW228" s="11" t="n">
        <f>IF(ISNUMBER(BN228),BN228,"")</f>
        <v>1.0395067087630607</v>
      </c>
      <c r="BX228" s="14" t="n">
        <f>IF(ISNUMBER(BR228),BR228,"")</f>
        <v>12</v>
      </c>
      <c r="BY228" s="13" t="n">
        <f>IF(AND(COUNT(BV228,BW228,BX228)=3,MIN(BV228,BW228,BX228)&gt;=0),BV228*BW228*BX228,"")</f>
        <v>13.235601728209478</v>
      </c>
      <c r="BZ228" s="11" t="n">
        <f>IF(ISNUMBER(BO228),BO228,"")</f>
        <v>0.9890368360033146</v>
      </c>
      <c r="CA228" s="14" t="n">
        <f>IF(ISNUMBER(BS228),BS228,"")</f>
        <v>30</v>
      </c>
      <c r="CB228" s="13" t="n">
        <f>IF(AND(COUNT(BV228,BZ228,CA228)=3,MIN(BV228,BZ228,CA228)&gt;=0),BV228*BZ228*CA228,"")</f>
        <v>31.482475162293728</v>
      </c>
      <c r="CC228" s="11" t="n">
        <f>IF(ISNUMBER(BP228),BP228,"")</f>
        <v>0.7800796503018808</v>
      </c>
      <c r="CD228" s="14" t="n">
        <f>IF(ISNUMBER(BT228),BT228,"")</f>
        <v>31</v>
      </c>
      <c r="CE228" s="13" t="n">
        <f>IF(AND(COUNT(BV228,CC228,CD228)=3,MIN(BV228,CC228,CD228)&gt;=0),BV228*CC228*CD228,"")</f>
        <v>25.65876743104711</v>
      </c>
      <c r="CF228" s="11" t="n">
        <f>IF(ISNUMBER(BQ228),BQ228,"")</f>
        <v>1.2908918272824135</v>
      </c>
      <c r="CG228" s="14" t="n">
        <f>IF(ISNUMBER(BU228),BU228,"")</f>
        <v>17</v>
      </c>
      <c r="CH228" s="13" t="n">
        <f>IF(AND(COUNT(BV228,CF228,CG228)=3,MIN(BV228,CF228,CG228)&gt;=0),BV228*CF228*CG228,"")</f>
        <v>23.284875513013283</v>
      </c>
      <c r="CI228" s="13" t="n">
        <f>IF(COUNT(BY228,CB228,CE228,CH228)=4,SUM(BY228,CB228,CE228,CH228),"")</f>
        <v>93.6617198345636</v>
      </c>
    </row>
    <row r="229" ht="72" customHeight="1">
      <c r="A229" s="16" t="str">
        <v>S02a-TN-42</v>
      </c>
      <c r="B229" s="16" t="str">
        <v>3店-SANDIEX-US</v>
      </c>
      <c r="C229" s="16" t="str">
        <v>陈晨</v>
      </c>
      <c r="D229" s="26" t="n">
        <f>IF(NOT(ISNUMBER(E229)),"",IF(OR(E229&lt;=0,L229=0),0,IF(OR(NOT(ISNUMBER(F229)),F229&lt;0),"",MIN(E229,INT(F229)))))</f>
        <v>0</v>
      </c>
      <c r="E229" s="27" t="n">
        <f>IF(OR(NOT(ISNUMBER(L229)),COUNT(M229:O229)&lt;&gt;3,MIN(M229:O229)&lt;0),"",ROUNDUP(ROUND(BI229-SUM(M229:O229),10),0))</f>
        <v>60</v>
      </c>
      <c r="F229" s="28" t="n">
        <v>0</v>
      </c>
      <c r="G229" s="28" t="n">
        <f>IF(AND(ISNUMBER(D229),ISNUMBER(E229)),IF(OR(E229&lt;=0,L229=0),0,E229-D229),"")</f>
        <v>60</v>
      </c>
      <c r="H229" s="16" t="str">
        <f>IF(NOT(ISNUMBER(E229)),"销量或海外库存待补",IF(OR(E229&lt;=0,L229=0),IF(L229=0,"零日销，本批不发","本批无需补货"),IF(NOT(ISNUMBER(D229)),"国内库存待补",IF(D229=0,"国内无可用库存",IF(G229&gt;0,"先发国内现货","按建议量发货")))))</f>
        <v>国内无可用库存</v>
      </c>
      <c r="I229" s="28" t="n">
        <f>IF(AND(COUNT(Z229,AA229,AB229)=3,Z229&gt;=AA229,AA229&gt;=0,AB229=7),Z229-AA229,"")</f>
        <v>4</v>
      </c>
      <c r="J229" s="28" t="n">
        <f>IF(AND(COUNT(AF229,AG229,AH229)=3,AF229&gt;=AG229,AG229&gt;=0,AH229=14),AF229-AG229,"")</f>
        <v>6</v>
      </c>
      <c r="K229" s="28" t="n">
        <f>IF(AND(COUNT(AL229,AM229,AN229)=3,AL229&gt;=AM229,AM229&gt;=0,AN229=30),AL229-AM229,"")</f>
        <v>14</v>
      </c>
      <c r="L229" s="29" t="n">
        <f>IF(ISNUMBER(BI229),BI229/90,"")</f>
        <v>0.9077998012573507</v>
      </c>
      <c r="M229" s="28" t="n">
        <v>5</v>
      </c>
      <c r="N229" s="28" t="n">
        <v>0</v>
      </c>
      <c r="O229" s="28" t="n">
        <v>17</v>
      </c>
      <c r="P229" s="30" t="n">
        <f>IF(AND(ISNUMBER(L229),L229&gt;0,COUNT(M229:O229)=3,MIN(M229:O229)&gt;=0),SUM(M229:O229)/L229,"")</f>
        <v>24.234418171857758</v>
      </c>
      <c r="Q229" s="16" t="str">
        <v>沿用原计划SKU店铺</v>
      </c>
      <c r="R229" s="16" t="str">
        <v>已匹配</v>
      </c>
      <c r="S229" s="16" t="str">
        <v>在售</v>
      </c>
      <c r="T229" s="16" t="str">
        <v>S02a</v>
      </c>
      <c r="U229" s="16" t="str">
        <v>驼色</v>
      </c>
      <c r="V229" s="16" t="n">
        <v>11</v>
      </c>
      <c r="W229" s="8" t="str">
        <v>2026-10-11 至 2026-10-17</v>
      </c>
      <c r="X229" s="8" t="str">
        <v>2026-10-11、2026-10-12、2026-10-13、2026-10-14、2026-10-15、2026-10-16、2026-10-17</v>
      </c>
      <c r="Y229" s="8" t="str">
        <v>无</v>
      </c>
      <c r="Z229" s="8" t="n">
        <v>4</v>
      </c>
      <c r="AA229" s="8" t="n">
        <v>0</v>
      </c>
      <c r="AB229" s="8" t="n">
        <v>7</v>
      </c>
      <c r="AC229" s="8" t="str">
        <v>2026-10-02 至 2026-10-17</v>
      </c>
      <c r="AD229" s="8" t="str">
        <v>2026-10-02、2026-10-03、2026-10-04、2026-10-05、2026-10-08、2026-10-09、2026-10-10、2026-10-11、2026-10-12、2026-10-13、2026-10-14、2026-10-15、2026-10-16、2026-10-17</v>
      </c>
      <c r="AE229" s="8" t="str">
        <v>2026-10-06 大促；2026-10-07 大促</v>
      </c>
      <c r="AF229" s="8" t="n">
        <v>9</v>
      </c>
      <c r="AG229" s="8" t="n">
        <v>3</v>
      </c>
      <c r="AH229" s="8" t="n">
        <v>14</v>
      </c>
      <c r="AI229" s="8" t="str">
        <v>2026-09-16 至 2026-10-17</v>
      </c>
      <c r="AJ2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29" s="8" t="str">
        <v>2026-10-06 大促；2026-10-07 大促</v>
      </c>
      <c r="AL229" s="8" t="n">
        <v>17</v>
      </c>
      <c r="AM229" s="8" t="n">
        <v>3</v>
      </c>
      <c r="AN229" s="8" t="n">
        <v>30</v>
      </c>
      <c r="AO229" s="8" t="str">
        <v>S02a / 驼色 / 6574</v>
      </c>
      <c r="AP229" s="11" t="n">
        <v>0.7647664488148722</v>
      </c>
      <c r="AQ229" s="11" t="n">
        <v>0.7647664488148722</v>
      </c>
      <c r="AR229" s="11" t="n">
        <v>0.8066052567225582</v>
      </c>
      <c r="AS229" s="11" t="n">
        <f>IF(AND(COUNT(I229:K229,AP229:AR229)=6,MIN(AP229:AR229)&gt;0),I229/7/AP229*0.5+J229/14/AQ229*0.3+K229/30/AR229*0.2,"")</f>
        <v>0.6574266248708488</v>
      </c>
      <c r="AT229" s="8" t="n">
        <v>32</v>
      </c>
      <c r="AU229" s="8" t="n">
        <v>3</v>
      </c>
      <c r="AV229" s="8" t="n">
        <v>88</v>
      </c>
      <c r="AW229" s="11" t="n">
        <f>IF(AND(COUNT(AT229:AV229)=3,AT229&gt;=AU229,AU229&gt;=0,AV229&gt;0),(AT229-AU229)/AV229,"")</f>
        <v>0.32954545454545453</v>
      </c>
      <c r="AX229" s="8" t="n">
        <v>39</v>
      </c>
      <c r="AY229" s="8" t="n">
        <v>3</v>
      </c>
      <c r="AZ229" s="8" t="n">
        <v>178</v>
      </c>
      <c r="BA229" s="11" t="n">
        <f>IF(AND(COUNT(AX229:AZ229)=3,AX229&gt;=AY229,AY229&gt;=0,AZ229&gt;0),(AX229-AY229)/AZ229,"")</f>
        <v>0.20224719101123595</v>
      </c>
      <c r="BB229" s="8" t="n">
        <f>IF(COUNT(AS229,AW229,BA229)=3,1,0)</f>
        <v>1</v>
      </c>
      <c r="BC229" s="11" t="n">
        <f>IF(SUMIF($AO$11:$AO$1309,AO229,$BB$11:$BB$1309)=COUNTIF($AO$11:$AO$1309,AO229),SUMIF($AO$11:$AO$1309,AO229,$AS$11:$AS$1309),"")</f>
        <v>4.646128546626029</v>
      </c>
      <c r="BD229" s="11" t="n">
        <f>IF(SUMIF($AO$11:$AO$1309,AO229,$BB$11:$BB$1309)=COUNTIF($AO$11:$AO$1309,AO229),SUMIF($AO$11:$AO$1309,AO229,$AW$11:$AW$1309),"")</f>
        <v>1.9772727272727275</v>
      </c>
      <c r="BE229" s="11" t="n">
        <f>IF(SUMIF($AO$11:$AO$1309,AO229,$BB$11:$BB$1309)=COUNTIF($AO$11:$AO$1309,AO229),SUMIF($AO$11:$AO$1309,AO229,$BA$11:$BA$1309),"")</f>
        <v>1.6629213483146066</v>
      </c>
      <c r="BF229" s="12" t="n">
        <f>IF(COUNT(BD229:BE229)&lt;&gt;2,"",IF(AND(BD229&gt;0,BE229&gt;0),0.7*AW229/BD229+0.3*BA229/BE229,IF(BD229&gt;0,AW229/BD229,IF(BE229&gt;0,BA229/BE229,IF(AND(ISNUMBER(BH229),BH229=0),0,"")))))</f>
        <v>0.15315315315315314</v>
      </c>
      <c r="BG229" s="11" t="n">
        <f>IF(AND(COUNT(BN229:BU229)=8,MIN(BN229:BU229)&gt;=0),SUMPRODUCT(BN229:BQ229,BR229:BU229),"")</f>
        <v>114.81944114457707</v>
      </c>
      <c r="BH229" s="11" t="n">
        <f>IF(COUNT(BC229,BG229)=2,BC229*BG229,"")</f>
        <v>533.4658832094667</v>
      </c>
      <c r="BI229" s="11" t="n">
        <f>IF(ISNUMBER(CI229),CI229,"")</f>
        <v>81.70198211316156</v>
      </c>
      <c r="BJ229" s="8" t="str"/>
      <c r="BK229" s="8" t="str">
        <v>90天：2026-07-20 至 2026-10-17；180天：2026-04-21 至 2026-10-17</v>
      </c>
      <c r="BL229" s="8" t="str">
        <v>90天：2026-10-06、2026-10-07；180天：2026-10-06、2026-10-07</v>
      </c>
      <c r="BM229" s="8" t="str">
        <v>2026-10：12天 × 0.7647664488148722；2026-11：30天 × 1.5248287781391903；2026-12：31天 × 1.2288250057360348；2027-01：17天 × 1.2825767786356366</v>
      </c>
      <c r="BN229" s="11" t="n">
        <v>0.7647664488148722</v>
      </c>
      <c r="BO229" s="11" t="n">
        <v>1.5248287781391903</v>
      </c>
      <c r="BP229" s="11" t="n">
        <v>1.2288250057360348</v>
      </c>
      <c r="BQ229" s="11" t="n">
        <v>1.2825767786356366</v>
      </c>
      <c r="BR229" s="8" t="n">
        <v>12</v>
      </c>
      <c r="BS229" s="8" t="n">
        <v>30</v>
      </c>
      <c r="BT229" s="8" t="n">
        <v>31</v>
      </c>
      <c r="BU229" s="8" t="n">
        <v>17</v>
      </c>
      <c r="BV229" s="11" t="n">
        <f>IF(COUNT(BC229,BF229)=2,BC229*BF229,"")</f>
        <v>0.711569236870653</v>
      </c>
      <c r="BW229" s="11" t="n">
        <f>IF(ISNUMBER(BN229),BN229,"")</f>
        <v>0.7647664488148722</v>
      </c>
      <c r="BX229" s="14" t="n">
        <f>IF(ISNUMBER(BR229),BR229,"")</f>
        <v>12</v>
      </c>
      <c r="BY229" s="13" t="n">
        <f>IF(AND(COUNT(BV229,BW229,BX229)=3,MIN(BV229,BW229,BX229)&gt;=0),BV229*BW229*BX229,"")</f>
        <v>6.5302113404097355</v>
      </c>
      <c r="BZ229" s="11" t="n">
        <f>IF(ISNUMBER(BO229),BO229,"")</f>
        <v>1.5248287781391903</v>
      </c>
      <c r="CA229" s="14" t="n">
        <f>IF(ISNUMBER(BS229),BS229,"")</f>
        <v>30</v>
      </c>
      <c r="CB229" s="13" t="n">
        <f>IF(AND(COUNT(BV229,BZ229,CA229)=3,MIN(BV229,BZ229,CA229)&gt;=0),BV229*BZ229*CA229,"")</f>
        <v>32.55063750056741</v>
      </c>
      <c r="CC229" s="11" t="n">
        <f>IF(ISNUMBER(BP229),BP229,"")</f>
        <v>1.2288250057360348</v>
      </c>
      <c r="CD229" s="14" t="n">
        <f>IF(ISNUMBER(BT229),BT229,"")</f>
        <v>31</v>
      </c>
      <c r="CE229" s="13" t="n">
        <f>IF(AND(COUNT(BV229,CC229,CD229)=3,MIN(BV229,CC229,CD229)&gt;=0),BV229*CC229*CD229,"")</f>
        <v>27.10621621895415</v>
      </c>
      <c r="CF229" s="11" t="n">
        <f>IF(ISNUMBER(BQ229),BQ229,"")</f>
        <v>1.2825767786356366</v>
      </c>
      <c r="CG229" s="14" t="n">
        <f>IF(ISNUMBER(BU229),BU229,"")</f>
        <v>17</v>
      </c>
      <c r="CH229" s="13" t="n">
        <f>IF(AND(COUNT(BV229,CF229,CG229)=3,MIN(BV229,CF229,CG229)&gt;=0),BV229*CF229*CG229,"")</f>
        <v>15.514917053230265</v>
      </c>
      <c r="CI229" s="13" t="n">
        <f>IF(COUNT(BY229,CB229,CE229,CH229)=4,SUM(BY229,CB229,CE229,CH229),"")</f>
        <v>81.70198211316156</v>
      </c>
    </row>
    <row r="230" ht="72" customHeight="1">
      <c r="A230" s="16" t="str">
        <v>230918-BK-P-Z-10</v>
      </c>
      <c r="B230" s="16" t="str">
        <v>1店-MUSSHOE-US</v>
      </c>
      <c r="C230" s="16" t="str">
        <v>艾年</v>
      </c>
      <c r="D230" s="26" t="n">
        <f>IF(NOT(ISNUMBER(E230)),"",IF(OR(E230&lt;=0,L230=0),0,IF(OR(NOT(ISNUMBER(F230)),F230&lt;0),"",MIN(E230,INT(F230)))))</f>
        <v>0</v>
      </c>
      <c r="E230" s="27" t="n">
        <f>IF(OR(NOT(ISNUMBER(L230)),COUNT(M230:O230)&lt;&gt;3,MIN(M230:O230)&lt;0),"",ROUNDUP(ROUND(BI230-SUM(M230:O230),10),0))</f>
        <v>55</v>
      </c>
      <c r="F230" s="28" t="n">
        <v>0</v>
      </c>
      <c r="G230" s="28" t="n">
        <f>IF(AND(ISNUMBER(D230),ISNUMBER(E230)),IF(OR(E230&lt;=0,L230=0),0,E230-D230),"")</f>
        <v>55</v>
      </c>
      <c r="H230" s="16" t="str">
        <f>IF(NOT(ISNUMBER(E230)),"销量或海外库存待补",IF(OR(E230&lt;=0,L230=0),IF(L230=0,"零日销，本批不发","本批无需补货"),IF(NOT(ISNUMBER(D230)),"国内库存待补",IF(D230=0,"国内无可用库存",IF(G230&gt;0,"先发国内现货","按建议量发货")))))</f>
        <v>国内无可用库存</v>
      </c>
      <c r="I230" s="28" t="n">
        <f>IF(AND(COUNT(Z230,AA230,AB230)=3,Z230&gt;=AA230,AA230&gt;=0,AB230=7),Z230-AA230,"")</f>
        <v>11</v>
      </c>
      <c r="J230" s="28" t="n">
        <f>IF(AND(COUNT(AF230,AG230,AH230)=3,AF230&gt;=AG230,AG230&gt;=0,AH230=14),AF230-AG230,"")</f>
        <v>20</v>
      </c>
      <c r="K230" s="28" t="n">
        <f>IF(AND(COUNT(AL230,AM230,AN230)=3,AL230&gt;=AM230,AM230&gt;=0,AN230=30),AL230-AM230,"")</f>
        <v>22</v>
      </c>
      <c r="L230" s="29" t="n">
        <f>IF(ISNUMBER(BI230),BI230/90,"")</f>
        <v>0.8258889256702818</v>
      </c>
      <c r="M230" s="28" t="n">
        <v>10</v>
      </c>
      <c r="N230" s="28" t="n">
        <v>0</v>
      </c>
      <c r="O230" s="28" t="n">
        <v>10</v>
      </c>
      <c r="P230" s="30" t="n">
        <f>IF(AND(ISNUMBER(L230),L230&gt;0,COUNT(M230:O230)=3,MIN(M230:O230)&gt;=0),SUM(M230:O230)/L230,"")</f>
        <v>24.21633149248034</v>
      </c>
      <c r="Q230" s="16" t="str">
        <v>沿用原计划SKU店铺</v>
      </c>
      <c r="R230" s="16" t="str">
        <v>已匹配</v>
      </c>
      <c r="S230" s="16" t="str">
        <v>在售</v>
      </c>
      <c r="T230" s="16" t="str">
        <v>230918</v>
      </c>
      <c r="U230" s="16" t="str">
        <v>黑色PU</v>
      </c>
      <c r="V230" s="16" t="n">
        <v>10</v>
      </c>
      <c r="W230" s="8" t="str">
        <v>2026-10-11 至 2026-10-17</v>
      </c>
      <c r="X230" s="8" t="str">
        <v>2026-10-11、2026-10-12、2026-10-13、2026-10-14、2026-10-15、2026-10-16、2026-10-17</v>
      </c>
      <c r="Y230" s="8" t="str">
        <v>无</v>
      </c>
      <c r="Z230" s="8" t="n">
        <v>11</v>
      </c>
      <c r="AA230" s="8" t="n">
        <v>0</v>
      </c>
      <c r="AB230" s="8" t="n">
        <v>7</v>
      </c>
      <c r="AC230" s="8" t="str">
        <v>2026-10-02 至 2026-10-17</v>
      </c>
      <c r="AD230" s="8" t="str">
        <v>2026-10-02、2026-10-03、2026-10-04、2026-10-05、2026-10-08、2026-10-09、2026-10-10、2026-10-11、2026-10-12、2026-10-13、2026-10-14、2026-10-15、2026-10-16、2026-10-17</v>
      </c>
      <c r="AE230" s="8" t="str">
        <v>2026-10-06 大促；2026-10-07 大促</v>
      </c>
      <c r="AF230" s="8" t="n">
        <v>20</v>
      </c>
      <c r="AG230" s="8" t="n">
        <v>0</v>
      </c>
      <c r="AH230" s="8" t="n">
        <v>14</v>
      </c>
      <c r="AI230" s="8" t="str">
        <v>2026-09-16 至 2026-10-17</v>
      </c>
      <c r="AJ2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0" s="8" t="str">
        <v>2026-10-06 大促；2026-10-07 大促</v>
      </c>
      <c r="AL230" s="8" t="n">
        <v>22</v>
      </c>
      <c r="AM230" s="8" t="n">
        <v>0</v>
      </c>
      <c r="AN230" s="8" t="n">
        <v>30</v>
      </c>
      <c r="AO230" s="8" t="str">
        <v>230918 / 黑色PU / 13120</v>
      </c>
      <c r="AP230" s="11" t="n">
        <v>1.6747911769553039</v>
      </c>
      <c r="AQ230" s="11" t="n">
        <v>1.6747911769553039</v>
      </c>
      <c r="AR230" s="11" t="n">
        <v>1.7386907395039133</v>
      </c>
      <c r="AS230" s="11" t="n">
        <f>IF(AND(COUNT(I230:K230,AP230:AR230)=6,MIN(AP230:AR230)&gt;0),I230/7/AP230*0.5+J230/14/AQ230*0.3+K230/30/AR230*0.2,"")</f>
        <v>0.8093917460956317</v>
      </c>
      <c r="AT230" s="8" t="n">
        <v>73</v>
      </c>
      <c r="AU230" s="8" t="n">
        <v>0</v>
      </c>
      <c r="AV230" s="8" t="n">
        <v>88</v>
      </c>
      <c r="AW230" s="11" t="n">
        <f>IF(AND(COUNT(AT230:AV230)=3,AT230&gt;=AU230,AU230&gt;=0,AV230&gt;0),(AT230-AU230)/AV230,"")</f>
        <v>0.8295454545454546</v>
      </c>
      <c r="AX230" s="8" t="n">
        <v>104</v>
      </c>
      <c r="AY230" s="8" t="n">
        <v>0</v>
      </c>
      <c r="AZ230" s="8" t="n">
        <v>178</v>
      </c>
      <c r="BA230" s="11" t="n">
        <f>IF(AND(COUNT(AX230:AZ230)=3,AX230&gt;=AY230,AY230&gt;=0,AZ230&gt;0),(AX230-AY230)/AZ230,"")</f>
        <v>0.5842696629213483</v>
      </c>
      <c r="BB230" s="8" t="n">
        <f>IF(COUNT(AS230,AW230,BA230)=3,1,0)</f>
        <v>1</v>
      </c>
      <c r="BC230" s="11" t="n">
        <f>IF(SUMIF($AO$11:$AO$1309,AO230,$BB$11:$BB$1309)=COUNTIF($AO$11:$AO$1309,AO230),SUMIF($AO$11:$AO$1309,AO230,$AS$11:$AS$1309),"")</f>
        <v>6.885958849970173</v>
      </c>
      <c r="BD230" s="11" t="n">
        <f>IF(SUMIF($AO$11:$AO$1309,AO230,$BB$11:$BB$1309)=COUNTIF($AO$11:$AO$1309,AO230),SUMIF($AO$11:$AO$1309,AO230,$AW$11:$AW$1309),"")</f>
        <v>8.045454545454545</v>
      </c>
      <c r="BE230" s="11" t="n">
        <f>IF(SUMIF($AO$11:$AO$1309,AO230,$BB$11:$BB$1309)=COUNTIF($AO$11:$AO$1309,AO230),SUMIF($AO$11:$AO$1309,AO230,$BA$11:$BA$1309),"")</f>
        <v>7.202247191011236</v>
      </c>
      <c r="BF230" s="12" t="n">
        <f>IF(COUNT(BD230:BE230)&lt;&gt;2,"",IF(AND(BD230&gt;0,BE230&gt;0),0.7*AW230/BD230+0.3*BA230/BE230,IF(BD230&gt;0,AW230/BD230,IF(BE230&gt;0,BA230/BE230,IF(AND(ISNUMBER(BH230),BH230=0),0,"")))))</f>
        <v>0.09651211472187701</v>
      </c>
      <c r="BG230" s="11" t="n">
        <f>IF(AND(COUNT(BN230:BU230)=8,MIN(BN230:BU230)&gt;=0),SUMPRODUCT(BN230:BQ230,BR230:BU230),"")</f>
        <v>111.84534083910866</v>
      </c>
      <c r="BH230" s="11" t="n">
        <f>IF(COUNT(BC230,BG230)=2,BC230*BG230,"")</f>
        <v>770.1624145789907</v>
      </c>
      <c r="BI230" s="11" t="n">
        <f>IF(ISNUMBER(CI230),CI230,"")</f>
        <v>74.33000331032537</v>
      </c>
      <c r="BJ230" s="8" t="str"/>
      <c r="BK230" s="8" t="str">
        <v>90天：2026-07-20 至 2026-10-17；180天：2026-04-21 至 2026-10-17</v>
      </c>
      <c r="BL230" s="8" t="str">
        <v>90天：2026-10-06、2026-10-07；180天：2026-10-06、2026-10-07</v>
      </c>
      <c r="BM230" s="8" t="str">
        <v>2026-10：12天 × 1.6747911769553037；2026-11：30天 × 1.5065205700457112；2026-12：31天 × 1.1492423388181006；2027-01：17天 × 0.6426892418183868</v>
      </c>
      <c r="BN230" s="11" t="n">
        <v>1.6747911769553037</v>
      </c>
      <c r="BO230" s="11" t="n">
        <v>1.5065205700457112</v>
      </c>
      <c r="BP230" s="11" t="n">
        <v>1.1492423388181006</v>
      </c>
      <c r="BQ230" s="11" t="n">
        <v>0.6426892418183868</v>
      </c>
      <c r="BR230" s="8" t="n">
        <v>12</v>
      </c>
      <c r="BS230" s="8" t="n">
        <v>30</v>
      </c>
      <c r="BT230" s="8" t="n">
        <v>31</v>
      </c>
      <c r="BU230" s="8" t="n">
        <v>17</v>
      </c>
      <c r="BV230" s="11" t="n">
        <f>IF(COUNT(BC230,BF230)=2,BC230*BF230,"")</f>
        <v>0.6645784504984457</v>
      </c>
      <c r="BW230" s="11" t="n">
        <f>IF(ISNUMBER(BN230),BN230,"")</f>
        <v>1.6747911769553037</v>
      </c>
      <c r="BX230" s="14" t="n">
        <f>IF(ISNUMBER(BR230),BR230,"")</f>
        <v>12</v>
      </c>
      <c r="BY230" s="13" t="n">
        <f>IF(AND(COUNT(BV230,BW230,BX230)=3,MIN(BV230,BW230,BX230)&gt;=0),BV230*BW230*BX230,"")</f>
        <v>13.356361503473087</v>
      </c>
      <c r="BZ230" s="11" t="n">
        <f>IF(ISNUMBER(BO230),BO230,"")</f>
        <v>1.5065205700457112</v>
      </c>
      <c r="CA230" s="14" t="n">
        <f>IF(ISNUMBER(BS230),BS230,"")</f>
        <v>30</v>
      </c>
      <c r="CB230" s="13" t="n">
        <f>IF(AND(COUNT(BV230,BZ230,CA230)=3,MIN(BV230,BZ230,CA230)&gt;=0),BV230*BZ230*CA230,"")</f>
        <v>30.036033182550415</v>
      </c>
      <c r="CC230" s="11" t="n">
        <f>IF(ISNUMBER(BP230),BP230,"")</f>
        <v>1.1492423388181006</v>
      </c>
      <c r="CD230" s="14" t="n">
        <f>IF(ISNUMBER(BT230),BT230,"")</f>
        <v>31</v>
      </c>
      <c r="CE230" s="13" t="n">
        <f>IF(AND(COUNT(BV230,CC230,CD230)=3,MIN(BV230,CC230,CD230)&gt;=0),BV230*CC230*CD230,"")</f>
        <v>23.676612476147234</v>
      </c>
      <c r="CF230" s="11" t="n">
        <f>IF(ISNUMBER(BQ230),BQ230,"")</f>
        <v>0.6426892418183868</v>
      </c>
      <c r="CG230" s="14" t="n">
        <f>IF(ISNUMBER(BU230),BU230,"")</f>
        <v>17</v>
      </c>
      <c r="CH230" s="13" t="n">
        <f>IF(AND(COUNT(BV230,CF230,CG230)=3,MIN(BV230,CF230,CG230)&gt;=0),BV230*CF230*CG230,"")</f>
        <v>7.260996148154634</v>
      </c>
      <c r="CI230" s="13" t="n">
        <f>IF(COUNT(BY230,CB230,CE230,CH230)=4,SUM(BY230,CB230,CE230,CH230),"")</f>
        <v>74.33000331032537</v>
      </c>
    </row>
    <row r="231" ht="72" customHeight="1">
      <c r="A231" s="16" t="str">
        <v>B07-LP-39.5</v>
      </c>
      <c r="B231" s="16" t="str">
        <v>4店-彬郁-US</v>
      </c>
      <c r="C231" s="16" t="str">
        <v>艾年</v>
      </c>
      <c r="D231" s="26" t="n">
        <f>IF(NOT(ISNUMBER(E231)),"",IF(OR(E231&lt;=0,L231=0),0,IF(OR(NOT(ISNUMBER(F231)),F231&lt;0),"",MIN(E231,INT(F231)))))</f>
        <v>0</v>
      </c>
      <c r="E231" s="27" t="n">
        <f>IF(OR(NOT(ISNUMBER(L231)),COUNT(M231:O231)&lt;&gt;3,MIN(M231:O231)&lt;0),"",ROUNDUP(ROUND(BI231-SUM(M231:O231),10),0))</f>
        <v>52</v>
      </c>
      <c r="F231" s="28" t="n">
        <v>0</v>
      </c>
      <c r="G231" s="28" t="n">
        <f>IF(AND(ISNUMBER(D231),ISNUMBER(E231)),IF(OR(E231&lt;=0,L231=0),0,E231-D231),"")</f>
        <v>52</v>
      </c>
      <c r="H231" s="16" t="str">
        <f>IF(NOT(ISNUMBER(E231)),"销量或海外库存待补",IF(OR(E231&lt;=0,L231=0),IF(L231=0,"零日销，本批不发","本批无需补货"),IF(NOT(ISNUMBER(D231)),"国内库存待补",IF(D231=0,"国内无可用库存",IF(G231&gt;0,"先发国内现货","按建议量发货")))))</f>
        <v>国内无可用库存</v>
      </c>
      <c r="I231" s="28" t="n">
        <f>IF(AND(COUNT(Z231,AA231,AB231)=3,Z231&gt;=AA231,AA231&gt;=0,AB231=7),Z231-AA231,"")</f>
        <v>5</v>
      </c>
      <c r="J231" s="28" t="n">
        <f>IF(AND(COUNT(AF231,AG231,AH231)=3,AF231&gt;=AG231,AG231&gt;=0,AH231=14),AF231-AG231,"")</f>
        <v>13</v>
      </c>
      <c r="K231" s="28" t="n">
        <f>IF(AND(COUNT(AL231,AM231,AN231)=3,AL231&gt;=AM231,AM231&gt;=0,AN231=30),AL231-AM231,"")</f>
        <v>20</v>
      </c>
      <c r="L231" s="29" t="n">
        <f>IF(ISNUMBER(BI231),BI231/90,"")</f>
        <v>0.8047880980723741</v>
      </c>
      <c r="M231" s="28" t="n">
        <v>21</v>
      </c>
      <c r="N231" s="28" t="n">
        <v>0</v>
      </c>
      <c r="O231" s="28" t="n">
        <v>0</v>
      </c>
      <c r="P231" s="30" t="n">
        <f>IF(AND(ISNUMBER(L231),L231&gt;0,COUNT(M231:O231)=3,MIN(M231:O231)&gt;=0),SUM(M231:O231)/L231,"")</f>
        <v>26.09382525698272</v>
      </c>
      <c r="Q231" s="16" t="str">
        <v>沿用原计划SKU店铺</v>
      </c>
      <c r="R231" s="16" t="str">
        <v>已匹配</v>
      </c>
      <c r="S231" s="16" t="str">
        <v>在售</v>
      </c>
      <c r="T231" s="16" t="str">
        <v>B07</v>
      </c>
      <c r="U231" s="16" t="str">
        <v>豹纹羊京绒</v>
      </c>
      <c r="V231" s="16" t="n">
        <v>8.5</v>
      </c>
      <c r="W231" s="8" t="str">
        <v>2026-10-11 至 2026-10-17</v>
      </c>
      <c r="X231" s="8" t="str">
        <v>2026-10-11、2026-10-12、2026-10-13、2026-10-14、2026-10-15、2026-10-16、2026-10-17</v>
      </c>
      <c r="Y231" s="8" t="str">
        <v>无</v>
      </c>
      <c r="Z231" s="8" t="n">
        <v>5</v>
      </c>
      <c r="AA231" s="8" t="n">
        <v>0</v>
      </c>
      <c r="AB231" s="8" t="n">
        <v>7</v>
      </c>
      <c r="AC231" s="8" t="str">
        <v>2026-10-02 至 2026-10-17</v>
      </c>
      <c r="AD231" s="8" t="str">
        <v>2026-10-02、2026-10-03、2026-10-04、2026-10-05、2026-10-08、2026-10-09、2026-10-10、2026-10-11、2026-10-12、2026-10-13、2026-10-14、2026-10-15、2026-10-16、2026-10-17</v>
      </c>
      <c r="AE231" s="8" t="str">
        <v>2026-10-06 大促；2026-10-07 大促</v>
      </c>
      <c r="AF231" s="8" t="n">
        <v>17</v>
      </c>
      <c r="AG231" s="8" t="n">
        <v>4</v>
      </c>
      <c r="AH231" s="8" t="n">
        <v>14</v>
      </c>
      <c r="AI231" s="8" t="str">
        <v>2026-09-16 至 2026-10-17</v>
      </c>
      <c r="AJ2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1" s="8" t="str">
        <v>2026-10-06 大促；2026-10-07 大促</v>
      </c>
      <c r="AL231" s="8" t="n">
        <v>24</v>
      </c>
      <c r="AM231" s="8" t="n">
        <v>4</v>
      </c>
      <c r="AN231" s="8" t="n">
        <v>30</v>
      </c>
      <c r="AO231" s="8" t="str">
        <v>B07 / 豹纹羊京绒 / 13306</v>
      </c>
      <c r="AP231" s="11" t="n">
        <v>0.7307750238224848</v>
      </c>
      <c r="AQ231" s="11" t="n">
        <v>0.7307750238224848</v>
      </c>
      <c r="AR231" s="11" t="n">
        <v>0.7449809054134506</v>
      </c>
      <c r="AS231" s="11" t="n">
        <f>IF(AND(COUNT(I231:K231,AP231:AR231)=6,MIN(AP231:AR231)&gt;0),I231/7/AP231*0.5+J231/14/AQ231*0.3+K231/30/AR231*0.2,"")</f>
        <v>1.0488934203233926</v>
      </c>
      <c r="AT231" s="8" t="n">
        <v>59</v>
      </c>
      <c r="AU231" s="8" t="n">
        <v>4</v>
      </c>
      <c r="AV231" s="8" t="n">
        <v>88</v>
      </c>
      <c r="AW231" s="11" t="n">
        <f>IF(AND(COUNT(AT231:AV231)=3,AT231&gt;=AU231,AU231&gt;=0,AV231&gt;0),(AT231-AU231)/AV231,"")</f>
        <v>0.625</v>
      </c>
      <c r="AX231" s="8" t="n">
        <v>87</v>
      </c>
      <c r="AY231" s="8" t="n">
        <v>4</v>
      </c>
      <c r="AZ231" s="8" t="n">
        <v>178</v>
      </c>
      <c r="BA231" s="11" t="n">
        <f>IF(AND(COUNT(AX231:AZ231)=3,AX231&gt;=AY231,AY231&gt;=0,AZ231&gt;0),(AX231-AY231)/AZ231,"")</f>
        <v>0.46629213483146065</v>
      </c>
      <c r="BB231" s="8" t="n">
        <f>IF(COUNT(AS231,AW231,BA231)=3,1,0)</f>
        <v>1</v>
      </c>
      <c r="BC231" s="11" t="n">
        <f>IF(SUMIF($AO$11:$AO$1309,AO231,$BB$11:$BB$1309)=COUNTIF($AO$11:$AO$1309,AO231),SUMIF($AO$11:$AO$1309,AO231,$AS$11:$AS$1309),"")</f>
        <v>6.767888169262786</v>
      </c>
      <c r="BD231" s="11" t="n">
        <f>IF(SUMIF($AO$11:$AO$1309,AO231,$BB$11:$BB$1309)=COUNTIF($AO$11:$AO$1309,AO231),SUMIF($AO$11:$AO$1309,AO231,$AW$11:$AW$1309),"")</f>
        <v>4.467607105538139</v>
      </c>
      <c r="BE231" s="11" t="n">
        <f>IF(SUMIF($AO$11:$AO$1309,AO231,$BB$11:$BB$1309)=COUNTIF($AO$11:$AO$1309,AO231),SUMIF($AO$11:$AO$1309,AO231,$BA$11:$BA$1309),"")</f>
        <v>3.6192153875452298</v>
      </c>
      <c r="BF231" s="12" t="n">
        <f>IF(COUNT(BD231:BE231)&lt;&gt;2,"",IF(AND(BD231&gt;0,BE231&gt;0),0.7*AW231/BD231+0.3*BA231/BE231,IF(BD231&gt;0,AW231/BD231,IF(BE231&gt;0,BA231/BE231,IF(AND(ISNUMBER(BH231),BH231=0),0,"")))))</f>
        <v>0.1365785150676711</v>
      </c>
      <c r="BG231" s="11" t="n">
        <f>IF(AND(COUNT(BN231:BU231)=8,MIN(BN231:BU231)&gt;=0),SUMPRODUCT(BN231:BQ231,BR231:BU231),"")</f>
        <v>78.35892944347341</v>
      </c>
      <c r="BH231" s="11" t="n">
        <f>IF(COUNT(BC231,BG231)=2,BC231*BG231,"")</f>
        <v>530.3244715365811</v>
      </c>
      <c r="BI231" s="11" t="n">
        <f>IF(ISNUMBER(CI231),CI231,"")</f>
        <v>72.43092882651366</v>
      </c>
      <c r="BJ231" s="8" t="str"/>
      <c r="BK231" s="8" t="str">
        <v>90天：2026-07-20 至 2026-10-17；180天：2026-04-21 至 2026-10-17</v>
      </c>
      <c r="BL231" s="8" t="str">
        <v>90天：2026-10-06、2026-10-07；180天：2026-10-06、2026-10-07</v>
      </c>
      <c r="BM231" s="8" t="str">
        <v>2026-10：12天 × 0.7307750238224848；2026-11：30天 × 0.9523018155490097；2026-12：31天 × 0.5958545198749097；2027-01：17天 × 1.3264167397065354</v>
      </c>
      <c r="BN231" s="11" t="n">
        <v>0.7307750238224848</v>
      </c>
      <c r="BO231" s="11" t="n">
        <v>0.9523018155490097</v>
      </c>
      <c r="BP231" s="11" t="n">
        <v>0.5958545198749097</v>
      </c>
      <c r="BQ231" s="11" t="n">
        <v>1.3264167397065354</v>
      </c>
      <c r="BR231" s="8" t="n">
        <v>12</v>
      </c>
      <c r="BS231" s="8" t="n">
        <v>30</v>
      </c>
      <c r="BT231" s="8" t="n">
        <v>31</v>
      </c>
      <c r="BU231" s="8" t="n">
        <v>17</v>
      </c>
      <c r="BV231" s="11" t="n">
        <f>IF(COUNT(BC231,BF231)=2,BC231*BF231,"")</f>
        <v>0.9243481163019704</v>
      </c>
      <c r="BW231" s="11" t="n">
        <f>IF(ISNUMBER(BN231),BN231,"")</f>
        <v>0.7307750238224848</v>
      </c>
      <c r="BX231" s="14" t="n">
        <f>IF(ISNUMBER(BR231),BR231,"")</f>
        <v>12</v>
      </c>
      <c r="BY231" s="13" t="n">
        <f>IF(AND(COUNT(BV231,BW231,BX231)=3,MIN(BV231,BW231,BX231)&gt;=0),BV231*BW231*BX231,"")</f>
        <v>8.105886200530097</v>
      </c>
      <c r="BZ231" s="11" t="n">
        <f>IF(ISNUMBER(BO231),BO231,"")</f>
        <v>0.9523018155490097</v>
      </c>
      <c r="CA231" s="14" t="n">
        <f>IF(ISNUMBER(BS231),BS231,"")</f>
        <v>30</v>
      </c>
      <c r="CB231" s="13" t="n">
        <f>IF(AND(COUNT(BV231,BZ231,CA231)=3,MIN(BV231,BZ231,CA231)&gt;=0),BV231*BZ231*CA231,"")</f>
        <v>26.407751680610208</v>
      </c>
      <c r="CC231" s="11" t="n">
        <f>IF(ISNUMBER(BP231),BP231,"")</f>
        <v>0.5958545198749097</v>
      </c>
      <c r="CD231" s="14" t="n">
        <f>IF(ISNUMBER(BT231),BT231,"")</f>
        <v>31</v>
      </c>
      <c r="CE231" s="13" t="n">
        <f>IF(AND(COUNT(BV231,CC231,CD231)=3,MIN(BV231,CC231,CD231)&gt;=0),BV231*CC231*CD231,"")</f>
        <v>17.07408709412802</v>
      </c>
      <c r="CF231" s="11" t="n">
        <f>IF(ISNUMBER(BQ231),BQ231,"")</f>
        <v>1.3264167397065354</v>
      </c>
      <c r="CG231" s="14" t="n">
        <f>IF(ISNUMBER(BU231),BU231,"")</f>
        <v>17</v>
      </c>
      <c r="CH231" s="13" t="n">
        <f>IF(AND(COUNT(BV231,CF231,CG231)=3,MIN(BV231,CF231,CG231)&gt;=0),BV231*CF231*CG231,"")</f>
        <v>20.84320385124533</v>
      </c>
      <c r="CI231" s="13" t="n">
        <f>IF(COUNT(BY231,CB231,CE231,CH231)=4,SUM(BY231,CB231,CE231,CH231),"")</f>
        <v>72.43092882651366</v>
      </c>
    </row>
    <row r="232" ht="72" customHeight="1">
      <c r="A232" s="16" t="str">
        <v>32582-BK-39</v>
      </c>
      <c r="B232" s="16" t="str">
        <v>3店-SANDIEX-US</v>
      </c>
      <c r="C232" s="16" t="str">
        <v>徐新怡</v>
      </c>
      <c r="D232" s="26" t="n">
        <f>IF(NOT(ISNUMBER(E232)),"",IF(OR(E232&lt;=0,L232=0),0,IF(OR(NOT(ISNUMBER(F232)),F232&lt;0),"",MIN(E232,INT(F232)))))</f>
        <v>0</v>
      </c>
      <c r="E232" s="27" t="n">
        <f>IF(OR(NOT(ISNUMBER(L232)),COUNT(M232:O232)&lt;&gt;3,MIN(M232:O232)&lt;0),"",ROUNDUP(ROUND(BI232-SUM(M232:O232),10),0))</f>
        <v>51</v>
      </c>
      <c r="F232" s="28" t="n">
        <v>0</v>
      </c>
      <c r="G232" s="28" t="n">
        <f>IF(AND(ISNUMBER(D232),ISNUMBER(E232)),IF(OR(E232&lt;=0,L232=0),0,E232-D232),"")</f>
        <v>51</v>
      </c>
      <c r="H232" s="16" t="str">
        <f>IF(NOT(ISNUMBER(E232)),"销量或海外库存待补",IF(OR(E232&lt;=0,L232=0),IF(L232=0,"零日销，本批不发","本批无需补货"),IF(NOT(ISNUMBER(D232)),"国内库存待补",IF(D232=0,"国内无可用库存",IF(G232&gt;0,"先发国内现货","按建议量发货")))))</f>
        <v>国内无可用库存</v>
      </c>
      <c r="I232" s="28" t="n">
        <f>IF(AND(COUNT(Z232,AA232,AB232)=3,Z232&gt;=AA232,AA232&gt;=0,AB232=7),Z232-AA232,"")</f>
        <v>10</v>
      </c>
      <c r="J232" s="28" t="n">
        <f>IF(AND(COUNT(AF232,AG232,AH232)=3,AF232&gt;=AG232,AG232&gt;=0,AH232=14),AF232-AG232,"")</f>
        <v>17</v>
      </c>
      <c r="K232" s="28" t="n">
        <f>IF(AND(COUNT(AL232,AM232,AN232)=3,AL232&gt;=AM232,AM232&gt;=0,AN232=30),AL232-AM232,"")</f>
        <v>36</v>
      </c>
      <c r="L232" s="29" t="n">
        <f>IF(ISNUMBER(BI232),BI232/90,"")</f>
        <v>0.9422908817145005</v>
      </c>
      <c r="M232" s="28" t="n">
        <v>34</v>
      </c>
      <c r="N232" s="28" t="n">
        <v>0</v>
      </c>
      <c r="O232" s="28" t="n">
        <v>0</v>
      </c>
      <c r="P232" s="30" t="n">
        <f>IF(AND(ISNUMBER(L232),L232&gt;0,COUNT(M232:O232)=3,MIN(M232:O232)&gt;=0),SUM(M232:O232)/L232,"")</f>
        <v>36.082276354130606</v>
      </c>
      <c r="Q232" s="16" t="str">
        <v>沿用原计划SKU店铺</v>
      </c>
      <c r="R232" s="16" t="str">
        <v>已匹配</v>
      </c>
      <c r="S232" s="16" t="str">
        <v>在售</v>
      </c>
      <c r="T232" s="16" t="str">
        <v>32582</v>
      </c>
      <c r="U232" s="16" t="str">
        <v>黑色</v>
      </c>
      <c r="V232" s="16" t="n">
        <v>8</v>
      </c>
      <c r="W232" s="8" t="str">
        <v>2026-10-11 至 2026-10-17</v>
      </c>
      <c r="X232" s="8" t="str">
        <v>2026-10-11、2026-10-12、2026-10-13、2026-10-14、2026-10-15、2026-10-16、2026-10-17</v>
      </c>
      <c r="Y232" s="8" t="str">
        <v>无</v>
      </c>
      <c r="Z232" s="8" t="n">
        <v>10</v>
      </c>
      <c r="AA232" s="8" t="n">
        <v>0</v>
      </c>
      <c r="AB232" s="8" t="n">
        <v>7</v>
      </c>
      <c r="AC232" s="8" t="str">
        <v>2026-10-02 至 2026-10-17</v>
      </c>
      <c r="AD232" s="8" t="str">
        <v>2026-10-02、2026-10-03、2026-10-04、2026-10-05、2026-10-08、2026-10-09、2026-10-10、2026-10-11、2026-10-12、2026-10-13、2026-10-14、2026-10-15、2026-10-16、2026-10-17</v>
      </c>
      <c r="AE232" s="8" t="str">
        <v>2026-10-06 大促；2026-10-07 大促</v>
      </c>
      <c r="AF232" s="8" t="n">
        <v>27</v>
      </c>
      <c r="AG232" s="8" t="n">
        <v>10</v>
      </c>
      <c r="AH232" s="8" t="n">
        <v>14</v>
      </c>
      <c r="AI232" s="8" t="str">
        <v>2026-09-16 至 2026-10-17</v>
      </c>
      <c r="AJ2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2" s="8" t="str">
        <v>2026-10-06 大促；2026-10-07 大促</v>
      </c>
      <c r="AL232" s="8" t="n">
        <v>46</v>
      </c>
      <c r="AM232" s="8" t="n">
        <v>10</v>
      </c>
      <c r="AN232" s="8" t="n">
        <v>30</v>
      </c>
      <c r="AO232" s="8" t="str">
        <v>32582 / 黑色羊京绒 / 6574</v>
      </c>
      <c r="AP232" s="11" t="n">
        <v>1.0395067087630607</v>
      </c>
      <c r="AQ232" s="11" t="n">
        <v>1.0395067087630607</v>
      </c>
      <c r="AR232" s="11" t="n">
        <v>1.0707336504782758</v>
      </c>
      <c r="AS232" s="11" t="n">
        <f>IF(AND(COUNT(I232:K232,AP232:AR232)=6,MIN(AP232:AR232)&gt;0),I232/7/AP232*0.5+J232/14/AQ232*0.3+K232/30/AR232*0.2,"")</f>
        <v>1.2617254345989377</v>
      </c>
      <c r="AT232" s="8" t="n">
        <v>73</v>
      </c>
      <c r="AU232" s="8" t="n">
        <v>10</v>
      </c>
      <c r="AV232" s="8" t="n">
        <v>88</v>
      </c>
      <c r="AW232" s="11" t="n">
        <f>IF(AND(COUNT(AT232:AV232)=3,AT232&gt;=AU232,AU232&gt;=0,AV232&gt;0),(AT232-AU232)/AV232,"")</f>
        <v>0.7159090909090909</v>
      </c>
      <c r="AX232" s="8" t="n">
        <v>101</v>
      </c>
      <c r="AY232" s="8" t="n">
        <v>10</v>
      </c>
      <c r="AZ232" s="8" t="n">
        <v>178</v>
      </c>
      <c r="BA232" s="11" t="n">
        <f>IF(AND(COUNT(AX232:AZ232)=3,AX232&gt;=AY232,AY232&gt;=0,AZ232&gt;0),(AX232-AY232)/AZ232,"")</f>
        <v>0.5112359550561798</v>
      </c>
      <c r="BB232" s="8" t="n">
        <f>IF(COUNT(AS232,AW232,BA232)=3,1,0)</f>
        <v>1</v>
      </c>
      <c r="BC232" s="11" t="n">
        <f>IF(SUMIF($AO$11:$AO$1309,AO232,$BB$11:$BB$1309)=COUNTIF($AO$11:$AO$1309,AO232),SUMIF($AO$11:$AO$1309,AO232,$AS$11:$AS$1309),"")</f>
        <v>8.693659224127387</v>
      </c>
      <c r="BD232" s="11" t="n">
        <f>IF(SUMIF($AO$11:$AO$1309,AO232,$BB$11:$BB$1309)=COUNTIF($AO$11:$AO$1309,AO232),SUMIF($AO$11:$AO$1309,AO232,$AW$11:$AW$1309),"")</f>
        <v>6.372516749646567</v>
      </c>
      <c r="BE232" s="11" t="n">
        <f>IF(SUMIF($AO$11:$AO$1309,AO232,$BB$11:$BB$1309)=COUNTIF($AO$11:$AO$1309,AO232),SUMIF($AO$11:$AO$1309,AO232,$BA$11:$BA$1309),"")</f>
        <v>4.812567583498835</v>
      </c>
      <c r="BF232" s="12" t="n">
        <f>IF(COUNT(BD232:BE232)&lt;&gt;2,"",IF(AND(BD232&gt;0,BE232&gt;0),0.7*AW232/BD232+0.3*BA232/BE232,IF(BD232&gt;0,AW232/BD232,IF(BE232&gt;0,BA232/BE232,IF(AND(ISNUMBER(BH232),BH232=0),0,"")))))</f>
        <v>0.11050906516356283</v>
      </c>
      <c r="BG232" s="11" t="n">
        <f>IF(AND(COUNT(BN232:BU232)=8,MIN(BN232:BU232)&gt;=0),SUMPRODUCT(BN232:BQ232,BR232:BU232),"")</f>
        <v>88.27281580841549</v>
      </c>
      <c r="BH232" s="11" t="n">
        <f>IF(COUNT(BC232,BG232)=2,BC232*BG232,"")</f>
        <v>767.4137793925291</v>
      </c>
      <c r="BI232" s="11" t="n">
        <f>IF(ISNUMBER(CI232),CI232,"")</f>
        <v>84.80617935430504</v>
      </c>
      <c r="BJ232" s="8" t="str">
        <v>低销提醒依据不完整</v>
      </c>
      <c r="BK232" s="8" t="str">
        <v>90天：2026-07-20 至 2026-10-17；180天：2026-04-21 至 2026-10-17</v>
      </c>
      <c r="BL232" s="8" t="str">
        <v>90天：2026-10-06、2026-10-07；180天：2026-10-06、2026-10-07</v>
      </c>
      <c r="BM232" s="8" t="str">
        <v>2026-10：12天 × 1.0395067087630607；2026-11：30天 × 0.9890368360033146；2026-12：31天 × 0.7800796503018808；2027-01：17天 × 1.2908918272824135</v>
      </c>
      <c r="BN232" s="11" t="n">
        <v>1.0395067087630607</v>
      </c>
      <c r="BO232" s="11" t="n">
        <v>0.9890368360033146</v>
      </c>
      <c r="BP232" s="11" t="n">
        <v>0.7800796503018808</v>
      </c>
      <c r="BQ232" s="11" t="n">
        <v>1.2908918272824135</v>
      </c>
      <c r="BR232" s="8" t="n">
        <v>12</v>
      </c>
      <c r="BS232" s="8" t="n">
        <v>30</v>
      </c>
      <c r="BT232" s="8" t="n">
        <v>31</v>
      </c>
      <c r="BU232" s="8" t="n">
        <v>17</v>
      </c>
      <c r="BV232" s="11" t="n">
        <f>IF(COUNT(BC232,BF232)=2,BC232*BF232,"")</f>
        <v>0.9607281537089025</v>
      </c>
      <c r="BW232" s="11" t="n">
        <f>IF(ISNUMBER(BN232),BN232,"")</f>
        <v>1.0395067087630607</v>
      </c>
      <c r="BX232" s="14" t="n">
        <f>IF(ISNUMBER(BR232),BR232,"")</f>
        <v>12</v>
      </c>
      <c r="BY232" s="13" t="n">
        <f>IF(AND(COUNT(BV232,BW232,BX232)=3,MIN(BV232,BW232,BX232)&gt;=0),BV232*BW232*BX232,"")</f>
        <v>11.984200332935439</v>
      </c>
      <c r="BZ232" s="11" t="n">
        <f>IF(ISNUMBER(BO232),BO232,"")</f>
        <v>0.9890368360033146</v>
      </c>
      <c r="CA232" s="14" t="n">
        <f>IF(ISNUMBER(BS232),BS232,"")</f>
        <v>30</v>
      </c>
      <c r="CB232" s="13" t="n">
        <f>IF(AND(COUNT(BV232,BZ232,CA232)=3,MIN(BV232,BZ232,CA232)&gt;=0),BV232*BZ232*CA232,"")</f>
        <v>28.50586600210677</v>
      </c>
      <c r="CC232" s="11" t="n">
        <f>IF(ISNUMBER(BP232),BP232,"")</f>
        <v>0.7800796503018808</v>
      </c>
      <c r="CD232" s="14" t="n">
        <f>IF(ISNUMBER(BT232),BT232,"")</f>
        <v>31</v>
      </c>
      <c r="CE232" s="13" t="n">
        <f>IF(AND(COUNT(BV232,CC232,CD232)=3,MIN(BV232,CC232,CD232)&gt;=0),BV232*CC232*CD232,"")</f>
        <v>23.23277894759278</v>
      </c>
      <c r="CF232" s="11" t="n">
        <f>IF(ISNUMBER(BQ232),BQ232,"")</f>
        <v>1.2908918272824135</v>
      </c>
      <c r="CG232" s="14" t="n">
        <f>IF(ISNUMBER(BU232),BU232,"")</f>
        <v>17</v>
      </c>
      <c r="CH232" s="13" t="n">
        <f>IF(AND(COUNT(BV232,CF232,CG232)=3,MIN(BV232,CF232,CG232)&gt;=0),BV232*CF232*CG232,"")</f>
        <v>21.083334071670055</v>
      </c>
      <c r="CI232" s="13" t="n">
        <f>IF(COUNT(BY232,CB232,CE232,CH232)=4,SUM(BY232,CB232,CE232,CH232),"")</f>
        <v>84.80617935430504</v>
      </c>
    </row>
    <row r="233" ht="72" customHeight="1">
      <c r="A233" s="16" t="str">
        <v>S02-TNP-39</v>
      </c>
      <c r="B233" s="16" t="str">
        <v>3店-SANDIEX-US</v>
      </c>
      <c r="C233" s="16" t="str">
        <v>陈晨</v>
      </c>
      <c r="D233" s="26" t="n">
        <f>IF(NOT(ISNUMBER(E233)),"",IF(OR(E233&lt;=0,L233=0),0,IF(OR(NOT(ISNUMBER(F233)),F233&lt;0),"",MIN(E233,INT(F233)))))</f>
        <v>0</v>
      </c>
      <c r="E233" s="27" t="n">
        <f>IF(OR(NOT(ISNUMBER(L233)),COUNT(M233:O233)&lt;&gt;3,MIN(M233:O233)&lt;0),"",ROUNDUP(ROUND(BI233-SUM(M233:O233),10),0))</f>
        <v>51</v>
      </c>
      <c r="F233" s="28" t="n">
        <v>0</v>
      </c>
      <c r="G233" s="28" t="n">
        <f>IF(AND(ISNUMBER(D233),ISNUMBER(E233)),IF(OR(E233&lt;=0,L233=0),0,E233-D233),"")</f>
        <v>51</v>
      </c>
      <c r="H233" s="16" t="str">
        <f>IF(NOT(ISNUMBER(E233)),"销量或海外库存待补",IF(OR(E233&lt;=0,L233=0),IF(L233=0,"零日销，本批不发","本批无需补货"),IF(NOT(ISNUMBER(D233)),"国内库存待补",IF(D233=0,"国内无可用库存",IF(G233&gt;0,"先发国内现货","按建议量发货")))))</f>
        <v>国内无可用库存</v>
      </c>
      <c r="I233" s="28" t="n">
        <f>IF(AND(COUNT(Z233,AA233,AB233)=3,Z233&gt;=AA233,AA233&gt;=0,AB233=7),Z233-AA233,"")</f>
        <v>6</v>
      </c>
      <c r="J233" s="28" t="n">
        <f>IF(AND(COUNT(AF233,AG233,AH233)=3,AF233&gt;=AG233,AG233&gt;=0,AH233=14),AF233-AG233,"")</f>
        <v>19</v>
      </c>
      <c r="K233" s="28" t="n">
        <f>IF(AND(COUNT(AL233,AM233,AN233)=3,AL233&gt;=AM233,AM233&gt;=0,AN233=30),AL233-AM233,"")</f>
        <v>33</v>
      </c>
      <c r="L233" s="29" t="n">
        <f>IF(ISNUMBER(BI233),BI233/90,"")</f>
        <v>0.9497374321666394</v>
      </c>
      <c r="M233" s="28" t="n">
        <v>35</v>
      </c>
      <c r="N233" s="28" t="n">
        <v>0</v>
      </c>
      <c r="O233" s="28" t="n">
        <v>0</v>
      </c>
      <c r="P233" s="30" t="n">
        <f>IF(AND(ISNUMBER(L233),L233&gt;0,COUNT(M233:O233)=3,MIN(M233:O233)&gt;=0),SUM(M233:O233)/L233,"")</f>
        <v>36.85229076435829</v>
      </c>
      <c r="Q233" s="16" t="str">
        <v>沿用原计划SKU店铺</v>
      </c>
      <c r="R233" s="16" t="str">
        <v>已匹配</v>
      </c>
      <c r="S233" s="16" t="str">
        <v>在售</v>
      </c>
      <c r="T233" s="16" t="str">
        <v>S02</v>
      </c>
      <c r="U233" s="16" t="str">
        <v>驼色PU</v>
      </c>
      <c r="V233" s="16" t="n">
        <v>8</v>
      </c>
      <c r="W233" s="8" t="str">
        <v>2026-10-11 至 2026-10-17</v>
      </c>
      <c r="X233" s="8" t="str">
        <v>2026-10-11、2026-10-12、2026-10-13、2026-10-14、2026-10-15、2026-10-16、2026-10-17</v>
      </c>
      <c r="Y233" s="8" t="str">
        <v>无</v>
      </c>
      <c r="Z233" s="8" t="n">
        <v>6</v>
      </c>
      <c r="AA233" s="8" t="n">
        <v>0</v>
      </c>
      <c r="AB233" s="8" t="n">
        <v>7</v>
      </c>
      <c r="AC233" s="8" t="str">
        <v>2026-10-02 至 2026-10-17</v>
      </c>
      <c r="AD233" s="8" t="str">
        <v>2026-10-02、2026-10-03、2026-10-04、2026-10-05、2026-10-08、2026-10-09、2026-10-10、2026-10-11、2026-10-12、2026-10-13、2026-10-14、2026-10-15、2026-10-16、2026-10-17</v>
      </c>
      <c r="AE233" s="8" t="str">
        <v>2026-10-06 大促；2026-10-07 大促</v>
      </c>
      <c r="AF233" s="8" t="n">
        <v>28</v>
      </c>
      <c r="AG233" s="8" t="n">
        <v>9</v>
      </c>
      <c r="AH233" s="8" t="n">
        <v>14</v>
      </c>
      <c r="AI233" s="8" t="str">
        <v>2026-09-16 至 2026-10-17</v>
      </c>
      <c r="AJ2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3" s="8" t="str">
        <v>2026-10-06 大促；2026-10-07 大促</v>
      </c>
      <c r="AL233" s="8" t="n">
        <v>42</v>
      </c>
      <c r="AM233" s="8" t="n">
        <v>9</v>
      </c>
      <c r="AN233" s="8" t="n">
        <v>30</v>
      </c>
      <c r="AO233" s="8" t="str">
        <v>S02 / 驼色PU / 6574</v>
      </c>
      <c r="AP233" s="11" t="n">
        <v>0.9634503791704667</v>
      </c>
      <c r="AQ233" s="11" t="n">
        <v>0.9634503791704667</v>
      </c>
      <c r="AR233" s="11" t="n">
        <v>0.902244307144596</v>
      </c>
      <c r="AS233" s="11" t="n">
        <f>IF(AND(COUNT(I233:K233,AP233:AR233)=6,MIN(AP233:AR233)&gt;0),I233/7/AP233*0.5+J233/14/AQ233*0.3+K233/30/AR233*0.2,"")</f>
        <v>1.111254483745157</v>
      </c>
      <c r="AT233" s="8" t="n">
        <v>71</v>
      </c>
      <c r="AU233" s="8" t="n">
        <v>9</v>
      </c>
      <c r="AV233" s="8" t="n">
        <v>88</v>
      </c>
      <c r="AW233" s="11" t="n">
        <f>IF(AND(COUNT(AT233:AV233)=3,AT233&gt;=AU233,AU233&gt;=0,AV233&gt;0),(AT233-AU233)/AV233,"")</f>
        <v>0.7045454545454546</v>
      </c>
      <c r="AX233" s="8" t="n">
        <v>112</v>
      </c>
      <c r="AY233" s="8" t="n">
        <v>9</v>
      </c>
      <c r="AZ233" s="8" t="n">
        <v>178</v>
      </c>
      <c r="BA233" s="11" t="n">
        <f>IF(AND(COUNT(AX233:AZ233)=3,AX233&gt;=AY233,AY233&gt;=0,AZ233&gt;0),(AX233-AY233)/AZ233,"")</f>
        <v>0.5786516853932584</v>
      </c>
      <c r="BB233" s="8" t="n">
        <f>IF(COUNT(AS233,AW233,BA233)=3,1,0)</f>
        <v>1</v>
      </c>
      <c r="BC233" s="11" t="n">
        <f>IF(SUMIF($AO$11:$AO$1309,AO233,$BB$11:$BB$1309)=COUNTIF($AO$11:$AO$1309,AO233),SUMIF($AO$11:$AO$1309,AO233,$AS$11:$AS$1309),"")</f>
        <v>2.9113987850676852</v>
      </c>
      <c r="BD233" s="11" t="n">
        <f>IF(SUMIF($AO$11:$AO$1309,AO233,$BB$11:$BB$1309)=COUNTIF($AO$11:$AO$1309,AO233),SUMIF($AO$11:$AO$1309,AO233,$AW$11:$AW$1309),"")</f>
        <v>1.9090909090909094</v>
      </c>
      <c r="BE233" s="11" t="n">
        <f>IF(SUMIF($AO$11:$AO$1309,AO233,$BB$11:$BB$1309)=COUNTIF($AO$11:$AO$1309,AO233),SUMIF($AO$11:$AO$1309,AO233,$BA$11:$BA$1309),"")</f>
        <v>1.5224719101123596</v>
      </c>
      <c r="BF233" s="12" t="n">
        <f>IF(COUNT(BD233:BE233)&lt;&gt;2,"",IF(AND(BD233&gt;0,BE233&gt;0),0.7*AW233/BD233+0.3*BA233/BE233,IF(BD233&gt;0,AW233/BD233,IF(BE233&gt;0,BA233/BE233,IF(AND(ISNUMBER(BH233),BH233=0),0,"")))))</f>
        <v>0.3723554735547355</v>
      </c>
      <c r="BG233" s="11" t="n">
        <f>IF(AND(COUNT(BN233:BU233)=8,MIN(BN233:BU233)&gt;=0),SUMPRODUCT(BN233:BQ233,BR233:BU233),"")</f>
        <v>78.84726365280937</v>
      </c>
      <c r="BH233" s="11" t="n">
        <f>IF(COUNT(BC233,BG233)=2,BC233*BG233,"")</f>
        <v>229.55582760470068</v>
      </c>
      <c r="BI233" s="11" t="n">
        <f>IF(ISNUMBER(CI233),CI233,"")</f>
        <v>85.47636889499755</v>
      </c>
      <c r="BJ233" s="8" t="str"/>
      <c r="BK233" s="8" t="str">
        <v>90天：2026-07-20 至 2026-10-17；180天：2026-04-21 至 2026-10-17</v>
      </c>
      <c r="BL233" s="8" t="str">
        <v>90天：2026-10-06、2026-10-07；180天：2026-10-06、2026-10-07</v>
      </c>
      <c r="BM233" s="8" t="str">
        <v>2026-10：12天 × 0.9634503791704667；2026-11：30天 × 0.8585031562320637；2026-12：31天 × 0.7896606554092485；2027-01：17天 × 1.0030167116538329</v>
      </c>
      <c r="BN233" s="11" t="n">
        <v>0.9634503791704667</v>
      </c>
      <c r="BO233" s="11" t="n">
        <v>0.8585031562320637</v>
      </c>
      <c r="BP233" s="11" t="n">
        <v>0.7896606554092485</v>
      </c>
      <c r="BQ233" s="11" t="n">
        <v>1.0030167116538329</v>
      </c>
      <c r="BR233" s="8" t="n">
        <v>12</v>
      </c>
      <c r="BS233" s="8" t="n">
        <v>30</v>
      </c>
      <c r="BT233" s="8" t="n">
        <v>31</v>
      </c>
      <c r="BU233" s="8" t="n">
        <v>17</v>
      </c>
      <c r="BV233" s="11" t="n">
        <f>IF(COUNT(BC233,BF233)=2,BC233*BF233,"")</f>
        <v>1.0840752733205596</v>
      </c>
      <c r="BW233" s="11" t="n">
        <f>IF(ISNUMBER(BN233),BN233,"")</f>
        <v>0.9634503791704667</v>
      </c>
      <c r="BX233" s="14" t="n">
        <f>IF(ISNUMBER(BR233),BR233,"")</f>
        <v>12</v>
      </c>
      <c r="BY233" s="13" t="n">
        <f>IF(AND(COUNT(BV233,BW233,BX233)=3,MIN(BV233,BW233,BX233)&gt;=0),BV233*BW233*BX233,"")</f>
        <v>12.533432797560248</v>
      </c>
      <c r="BZ233" s="11" t="n">
        <f>IF(ISNUMBER(BO233),BO233,"")</f>
        <v>0.8585031562320637</v>
      </c>
      <c r="CA233" s="14" t="n">
        <f>IF(ISNUMBER(BS233),BS233,"")</f>
        <v>30</v>
      </c>
      <c r="CB233" s="13" t="n">
        <f>IF(AND(COUNT(BV233,BZ233,CA233)=3,MIN(BV233,BZ233,CA233)&gt;=0),BV233*BZ233*CA233,"")</f>
        <v>27.92046131216513</v>
      </c>
      <c r="CC233" s="11" t="n">
        <f>IF(ISNUMBER(BP233),BP233,"")</f>
        <v>0.7896606554092485</v>
      </c>
      <c r="CD233" s="14" t="n">
        <f>IF(ISNUMBER(BT233),BT233,"")</f>
        <v>31</v>
      </c>
      <c r="CE233" s="13" t="n">
        <f>IF(AND(COUNT(BV233,CC233,CD233)=3,MIN(BV233,CC233,CD233)&gt;=0),BV233*CC233*CD233,"")</f>
        <v>26.537599316141474</v>
      </c>
      <c r="CF233" s="11" t="n">
        <f>IF(ISNUMBER(BQ233),BQ233,"")</f>
        <v>1.0030167116538329</v>
      </c>
      <c r="CG233" s="14" t="n">
        <f>IF(ISNUMBER(BU233),BU233,"")</f>
        <v>17</v>
      </c>
      <c r="CH233" s="13" t="n">
        <f>IF(AND(COUNT(BV233,CF233,CG233)=3,MIN(BV233,CF233,CG233)&gt;=0),BV233*CF233*CG233,"")</f>
        <v>18.484875469130703</v>
      </c>
      <c r="CI233" s="13" t="n">
        <f>IF(COUNT(BY233,CB233,CE233,CH233)=4,SUM(BY233,CB233,CE233,CH233),"")</f>
        <v>85.47636889499755</v>
      </c>
    </row>
    <row r="234" ht="72" customHeight="1">
      <c r="A234" s="16" t="str">
        <v>8392-ND-38.5</v>
      </c>
      <c r="B234" s="16" t="str">
        <v>3店-SANDIEX-US</v>
      </c>
      <c r="C234" s="16" t="str">
        <v>徐新怡</v>
      </c>
      <c r="D234" s="26" t="n">
        <f>IF(NOT(ISNUMBER(E234)),"",IF(OR(E234&lt;=0,L234=0),0,IF(OR(NOT(ISNUMBER(F234)),F234&lt;0),"",MIN(E234,INT(F234)))))</f>
        <v>0</v>
      </c>
      <c r="E234" s="27" t="n">
        <f>IF(OR(NOT(ISNUMBER(L234)),COUNT(M234:O234)&lt;&gt;3,MIN(M234:O234)&lt;0),"",ROUNDUP(ROUND(BI234-SUM(M234:O234),10),0))</f>
        <v>50</v>
      </c>
      <c r="F234" s="28" t="n">
        <v>0</v>
      </c>
      <c r="G234" s="28" t="n">
        <f>IF(AND(ISNUMBER(D234),ISNUMBER(E234)),IF(OR(E234&lt;=0,L234=0),0,E234-D234),"")</f>
        <v>50</v>
      </c>
      <c r="H234" s="16" t="str">
        <f>IF(NOT(ISNUMBER(E234)),"销量或海外库存待补",IF(OR(E234&lt;=0,L234=0),IF(L234=0,"零日销，本批不发","本批无需补货"),IF(NOT(ISNUMBER(D234)),"国内库存待补",IF(D234=0,"国内无可用库存",IF(G234&gt;0,"先发国内现货","按建议量发货")))))</f>
        <v>国内无可用库存</v>
      </c>
      <c r="I234" s="28" t="n">
        <f>IF(AND(COUNT(Z234,AA234,AB234)=3,Z234&gt;=AA234,AA234&gt;=0,AB234=7),Z234-AA234,"")</f>
        <v>6</v>
      </c>
      <c r="J234" s="28" t="n">
        <f>IF(AND(COUNT(AF234,AG234,AH234)=3,AF234&gt;=AG234,AG234&gt;=0,AH234=14),AF234-AG234,"")</f>
        <v>8</v>
      </c>
      <c r="K234" s="28" t="n">
        <f>IF(AND(COUNT(AL234,AM234,AN234)=3,AL234&gt;=AM234,AM234&gt;=0,AN234=30),AL234-AM234,"")</f>
        <v>13</v>
      </c>
      <c r="L234" s="29" t="n">
        <f>IF(ISNUMBER(BI234),BI234/90,"")</f>
        <v>0.644025064021451</v>
      </c>
      <c r="M234" s="28" t="n">
        <v>8</v>
      </c>
      <c r="N234" s="28" t="n">
        <v>0</v>
      </c>
      <c r="O234" s="28" t="n">
        <v>0</v>
      </c>
      <c r="P234" s="30" t="n">
        <f>IF(AND(ISNUMBER(L234),L234&gt;0,COUNT(M234:O234)=3,MIN(M234:O234)&gt;=0),SUM(M234:O234)/L234,"")</f>
        <v>12.421876797847014</v>
      </c>
      <c r="Q234" s="16" t="str">
        <v>按本SKU唯一未删除Listing店铺核实</v>
      </c>
      <c r="R234" s="16" t="str">
        <v>已匹配</v>
      </c>
      <c r="S234" s="16" t="str">
        <v>在售</v>
      </c>
      <c r="T234" s="16" t="str">
        <v>8392</v>
      </c>
      <c r="U234" s="16" t="str">
        <v>裸色</v>
      </c>
      <c r="V234" s="16" t="n">
        <v>7.5</v>
      </c>
      <c r="W234" s="8" t="str">
        <v>2026-10-11 至 2026-10-17</v>
      </c>
      <c r="X234" s="8" t="str">
        <v>2026-10-11、2026-10-12、2026-10-13、2026-10-14、2026-10-15、2026-10-16、2026-10-17</v>
      </c>
      <c r="Y234" s="8" t="str">
        <v>无</v>
      </c>
      <c r="Z234" s="8" t="n">
        <v>6</v>
      </c>
      <c r="AA234" s="8" t="n">
        <v>0</v>
      </c>
      <c r="AB234" s="8" t="n">
        <v>7</v>
      </c>
      <c r="AC234" s="8" t="str">
        <v>2026-10-02 至 2026-10-17</v>
      </c>
      <c r="AD234" s="8" t="str">
        <v>2026-10-02、2026-10-03、2026-10-04、2026-10-05、2026-10-08、2026-10-09、2026-10-10、2026-10-11、2026-10-12、2026-10-13、2026-10-14、2026-10-15、2026-10-16、2026-10-17</v>
      </c>
      <c r="AE234" s="8" t="str">
        <v>2026-10-06 大促；2026-10-07 大促</v>
      </c>
      <c r="AF234" s="8" t="n">
        <v>12</v>
      </c>
      <c r="AG234" s="8" t="n">
        <v>4</v>
      </c>
      <c r="AH234" s="8" t="n">
        <v>14</v>
      </c>
      <c r="AI234" s="8" t="str">
        <v>2026-09-16 至 2026-10-17</v>
      </c>
      <c r="AJ2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4" s="8" t="str">
        <v>2026-10-06 大促；2026-10-07 大促</v>
      </c>
      <c r="AL234" s="8" t="n">
        <v>17</v>
      </c>
      <c r="AM234" s="8" t="n">
        <v>4</v>
      </c>
      <c r="AN234" s="8" t="n">
        <v>30</v>
      </c>
      <c r="AO234" s="8" t="str">
        <v>8392 / 裸色羊京绒 / 6574</v>
      </c>
      <c r="AP234" s="11" t="n">
        <v>1.1743420411079069</v>
      </c>
      <c r="AQ234" s="11" t="n">
        <v>1.1743420411079069</v>
      </c>
      <c r="AR234" s="11" t="n">
        <v>1.144331424468921</v>
      </c>
      <c r="AS234" s="11" t="n">
        <f>IF(AND(COUNT(I234:K234,AP234:AR234)=6,MIN(AP234:AR234)&gt;0),I234/7/AP234*0.5+J234/14/AQ234*0.3+K234/30/AR234*0.2,"")</f>
        <v>0.5866600322966288</v>
      </c>
      <c r="AT234" s="8" t="n">
        <v>33</v>
      </c>
      <c r="AU234" s="8" t="n">
        <v>4</v>
      </c>
      <c r="AV234" s="8" t="n">
        <v>88</v>
      </c>
      <c r="AW234" s="11" t="n">
        <f>IF(AND(COUNT(AT234:AV234)=3,AT234&gt;=AU234,AU234&gt;=0,AV234&gt;0),(AT234-AU234)/AV234,"")</f>
        <v>0.32954545454545453</v>
      </c>
      <c r="AX234" s="8" t="n">
        <v>53</v>
      </c>
      <c r="AY234" s="8" t="n">
        <v>4</v>
      </c>
      <c r="AZ234" s="8" t="n">
        <v>178</v>
      </c>
      <c r="BA234" s="11" t="n">
        <f>IF(AND(COUNT(AX234:AZ234)=3,AX234&gt;=AY234,AY234&gt;=0,AZ234&gt;0),(AX234-AY234)/AZ234,"")</f>
        <v>0.2752808988764045</v>
      </c>
      <c r="BB234" s="8" t="n">
        <f>IF(COUNT(AS234,AW234,BA234)=3,1,0)</f>
        <v>1</v>
      </c>
      <c r="BC234" s="11" t="n">
        <f>IF(SUMIF($AO$11:$AO$1309,AO234,$BB$11:$BB$1309)=COUNTIF($AO$11:$AO$1309,AO234),SUMIF($AO$11:$AO$1309,AO234,$AS$11:$AS$1309),"")</f>
        <v>2.532116178578144</v>
      </c>
      <c r="BD234" s="11" t="n">
        <f>IF(SUMIF($AO$11:$AO$1309,AO234,$BB$11:$BB$1309)=COUNTIF($AO$11:$AO$1309,AO234),SUMIF($AO$11:$AO$1309,AO234,$AW$11:$AW$1309),"")</f>
        <v>1.3068181818181819</v>
      </c>
      <c r="BE234" s="11" t="n">
        <f>IF(SUMIF($AO$11:$AO$1309,AO234,$BB$11:$BB$1309)=COUNTIF($AO$11:$AO$1309,AO234),SUMIF($AO$11:$AO$1309,AO234,$BA$11:$BA$1309),"")</f>
        <v>1.3707865168539328</v>
      </c>
      <c r="BF234" s="12" t="n">
        <f>IF(COUNT(BD234:BE234)&lt;&gt;2,"",IF(AND(BD234&gt;0,BE234&gt;0),0.7*AW234/BD234+0.3*BA234/BE234,IF(BD234&gt;0,AW234/BD234,IF(BE234&gt;0,BA234/BE234,IF(AND(ISNUMBER(BH234),BH234=0),0,"")))))</f>
        <v>0.23676764076977902</v>
      </c>
      <c r="BG234" s="11" t="n">
        <f>IF(AND(COUNT(BN234:BU234)=8,MIN(BN234:BU234)&gt;=0),SUMPRODUCT(BN234:BQ234,BR234:BU234),"")</f>
        <v>96.68059267618935</v>
      </c>
      <c r="BH234" s="11" t="n">
        <f>IF(COUNT(BC234,BG234)=2,BC234*BG234,"")</f>
        <v>244.80649286990268</v>
      </c>
      <c r="BI234" s="11" t="n">
        <f>IF(ISNUMBER(CI234),CI234,"")</f>
        <v>57.962255761930585</v>
      </c>
      <c r="BJ234" s="8" t="str"/>
      <c r="BK234" s="8" t="str">
        <v>90天：2026-07-20 至 2026-10-17；180天：2026-04-21 至 2026-10-17</v>
      </c>
      <c r="BL234" s="8" t="str">
        <v>90天：2026-10-06、2026-10-07；180天：2026-10-06、2026-10-07</v>
      </c>
      <c r="BM234" s="8" t="str">
        <v>2026-10：12天 × 1.1743420411079069；2026-11：30天 × 1.281694931279211；2026-12：31天 × 0.9007634642750235；2027-01：17天 × 0.9537631089407297</v>
      </c>
      <c r="BN234" s="11" t="n">
        <v>1.1743420411079069</v>
      </c>
      <c r="BO234" s="11" t="n">
        <v>1.281694931279211</v>
      </c>
      <c r="BP234" s="11" t="n">
        <v>0.9007634642750235</v>
      </c>
      <c r="BQ234" s="11" t="n">
        <v>0.9537631089407297</v>
      </c>
      <c r="BR234" s="8" t="n">
        <v>12</v>
      </c>
      <c r="BS234" s="8" t="n">
        <v>30</v>
      </c>
      <c r="BT234" s="8" t="n">
        <v>31</v>
      </c>
      <c r="BU234" s="8" t="n">
        <v>17</v>
      </c>
      <c r="BV234" s="11" t="n">
        <f>IF(COUNT(BC234,BF234)=2,BC234*BF234,"")</f>
        <v>0.5995231737569356</v>
      </c>
      <c r="BW234" s="11" t="n">
        <f>IF(ISNUMBER(BN234),BN234,"")</f>
        <v>1.1743420411079069</v>
      </c>
      <c r="BX234" s="14" t="n">
        <f>IF(ISNUMBER(BR234),BR234,"")</f>
        <v>12</v>
      </c>
      <c r="BY234" s="13" t="n">
        <f>IF(AND(COUNT(BV234,BW234,BX234)=3,MIN(BV234,BW234,BX234)&gt;=0),BV234*BW234*BX234,"")</f>
        <v>8.44854321073452</v>
      </c>
      <c r="BZ234" s="11" t="n">
        <f>IF(ISNUMBER(BO234),BO234,"")</f>
        <v>1.281694931279211</v>
      </c>
      <c r="CA234" s="14" t="n">
        <f>IF(ISNUMBER(BS234),BS234,"")</f>
        <v>30</v>
      </c>
      <c r="CB234" s="13" t="n">
        <f>IF(AND(COUNT(BV234,BZ234,CA234)=3,MIN(BV234,BZ234,CA234)&gt;=0),BV234*BZ234*CA234,"")</f>
        <v>23.052174389660703</v>
      </c>
      <c r="CC234" s="11" t="n">
        <f>IF(ISNUMBER(BP234),BP234,"")</f>
        <v>0.9007634642750235</v>
      </c>
      <c r="CD234" s="14" t="n">
        <f>IF(ISNUMBER(BT234),BT234,"")</f>
        <v>31</v>
      </c>
      <c r="CE234" s="13" t="n">
        <f>IF(AND(COUNT(BV234,CC234,CD234)=3,MIN(BV234,CC234,CD234)&gt;=0),BV234*CC234*CD234,"")</f>
        <v>16.74088569810008</v>
      </c>
      <c r="CF234" s="11" t="n">
        <f>IF(ISNUMBER(BQ234),BQ234,"")</f>
        <v>0.9537631089407297</v>
      </c>
      <c r="CG234" s="14" t="n">
        <f>IF(ISNUMBER(BU234),BU234,"")</f>
        <v>17</v>
      </c>
      <c r="CH234" s="13" t="n">
        <f>IF(AND(COUNT(BV234,CF234,CG234)=3,MIN(BV234,CF234,CG234)&gt;=0),BV234*CF234*CG234,"")</f>
        <v>9.720652463435279</v>
      </c>
      <c r="CI234" s="13" t="n">
        <f>IF(COUNT(BY234,CB234,CE234,CH234)=4,SUM(BY234,CB234,CE234,CH234),"")</f>
        <v>57.962255761930585</v>
      </c>
    </row>
    <row r="235" ht="72" customHeight="1">
      <c r="A235" s="16" t="str">
        <v>32582-BK-38.5</v>
      </c>
      <c r="B235" s="16" t="str">
        <v>3店-SANDIEX-US</v>
      </c>
      <c r="C235" s="16" t="str">
        <v>徐新怡</v>
      </c>
      <c r="D235" s="26" t="n">
        <f>IF(NOT(ISNUMBER(E235)),"",IF(OR(E235&lt;=0,L235=0),0,IF(OR(NOT(ISNUMBER(F235)),F235&lt;0),"",MIN(E235,INT(F235)))))</f>
        <v>0</v>
      </c>
      <c r="E235" s="27" t="n">
        <f>IF(OR(NOT(ISNUMBER(L235)),COUNT(M235:O235)&lt;&gt;3,MIN(M235:O235)&lt;0),"",ROUNDUP(ROUND(BI235-SUM(M235:O235),10),0))</f>
        <v>49</v>
      </c>
      <c r="F235" s="28" t="n">
        <v>0</v>
      </c>
      <c r="G235" s="28" t="n">
        <f>IF(AND(ISNUMBER(D235),ISNUMBER(E235)),IF(OR(E235&lt;=0,L235=0),0,E235-D235),"")</f>
        <v>49</v>
      </c>
      <c r="H235" s="16" t="str">
        <f>IF(NOT(ISNUMBER(E235)),"销量或海外库存待补",IF(OR(E235&lt;=0,L235=0),IF(L235=0,"零日销，本批不发","本批无需补货"),IF(NOT(ISNUMBER(D235)),"国内库存待补",IF(D235=0,"国内无可用库存",IF(G235&gt;0,"先发国内现货","按建议量发货")))))</f>
        <v>国内无可用库存</v>
      </c>
      <c r="I235" s="28" t="n">
        <f>IF(AND(COUNT(Z235,AA235,AB235)=3,Z235&gt;=AA235,AA235&gt;=0,AB235=7),Z235-AA235,"")</f>
        <v>7</v>
      </c>
      <c r="J235" s="28" t="n">
        <f>IF(AND(COUNT(AF235,AG235,AH235)=3,AF235&gt;=AG235,AG235&gt;=0,AH235=14),AF235-AG235,"")</f>
        <v>20</v>
      </c>
      <c r="K235" s="28" t="n">
        <f>IF(AND(COUNT(AL235,AM235,AN235)=3,AL235&gt;=AM235,AM235&gt;=0,AN235=30),AL235-AM235,"")</f>
        <v>36</v>
      </c>
      <c r="L235" s="29" t="n">
        <f>IF(ISNUMBER(BI235),BI235/90,"")</f>
        <v>1.1506409675518365</v>
      </c>
      <c r="M235" s="28" t="n">
        <v>55</v>
      </c>
      <c r="N235" s="28" t="n">
        <v>0</v>
      </c>
      <c r="O235" s="28" t="n">
        <v>0</v>
      </c>
      <c r="P235" s="30" t="n">
        <f>IF(AND(ISNUMBER(L235),L235&gt;0,COUNT(M235:O235)=3,MIN(M235:O235)&gt;=0),SUM(M235:O235)/L235,"")</f>
        <v>47.79944531005258</v>
      </c>
      <c r="Q235" s="16" t="str">
        <v>沿用原计划SKU店铺</v>
      </c>
      <c r="R235" s="16" t="str">
        <v>已匹配</v>
      </c>
      <c r="S235" s="16" t="str">
        <v>在售</v>
      </c>
      <c r="T235" s="16" t="str">
        <v>32582</v>
      </c>
      <c r="U235" s="16" t="str">
        <v>黑色</v>
      </c>
      <c r="V235" s="16" t="n">
        <v>7.5</v>
      </c>
      <c r="W235" s="8" t="str">
        <v>2026-10-11 至 2026-10-17</v>
      </c>
      <c r="X235" s="8" t="str">
        <v>2026-10-11、2026-10-12、2026-10-13、2026-10-14、2026-10-15、2026-10-16、2026-10-17</v>
      </c>
      <c r="Y235" s="8" t="str">
        <v>无</v>
      </c>
      <c r="Z235" s="8" t="n">
        <v>7</v>
      </c>
      <c r="AA235" s="8" t="n">
        <v>0</v>
      </c>
      <c r="AB235" s="8" t="n">
        <v>7</v>
      </c>
      <c r="AC235" s="8" t="str">
        <v>2026-10-02 至 2026-10-17</v>
      </c>
      <c r="AD235" s="8" t="str">
        <v>2026-10-02、2026-10-03、2026-10-04、2026-10-05、2026-10-08、2026-10-09、2026-10-10、2026-10-11、2026-10-12、2026-10-13、2026-10-14、2026-10-15、2026-10-16、2026-10-17</v>
      </c>
      <c r="AE235" s="8" t="str">
        <v>2026-10-06 大促；2026-10-07 大促</v>
      </c>
      <c r="AF235" s="8" t="n">
        <v>21</v>
      </c>
      <c r="AG235" s="8" t="n">
        <v>1</v>
      </c>
      <c r="AH235" s="8" t="n">
        <v>14</v>
      </c>
      <c r="AI235" s="8" t="str">
        <v>2026-09-16 至 2026-10-17</v>
      </c>
      <c r="AJ2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5" s="8" t="str">
        <v>2026-10-06 大促；2026-10-07 大促</v>
      </c>
      <c r="AL235" s="8" t="n">
        <v>37</v>
      </c>
      <c r="AM235" s="8" t="n">
        <v>1</v>
      </c>
      <c r="AN235" s="8" t="n">
        <v>30</v>
      </c>
      <c r="AO235" s="8" t="str">
        <v>32582 / 黑色羊京绒 / 6574</v>
      </c>
      <c r="AP235" s="11" t="n">
        <v>1.0395067087630607</v>
      </c>
      <c r="AQ235" s="11" t="n">
        <v>1.0395067087630607</v>
      </c>
      <c r="AR235" s="11" t="n">
        <v>1.0707336504782758</v>
      </c>
      <c r="AS235" s="11" t="n">
        <f>IF(AND(COUNT(I235:K235,AP235:AR235)=6,MIN(AP235:AR235)&gt;0),I235/7/AP235*0.5+J235/14/AQ235*0.3+K235/30/AR235*0.2,"")</f>
        <v>1.1174262215823239</v>
      </c>
      <c r="AT235" s="8" t="n">
        <v>76</v>
      </c>
      <c r="AU235" s="8" t="n">
        <v>1</v>
      </c>
      <c r="AV235" s="8" t="n">
        <v>88</v>
      </c>
      <c r="AW235" s="11" t="n">
        <f>IF(AND(COUNT(AT235:AV235)=3,AT235&gt;=AU235,AU235&gt;=0,AV235&gt;0),(AT235-AU235)/AV235,"")</f>
        <v>0.8522727272727273</v>
      </c>
      <c r="AX235" s="8" t="n">
        <v>119</v>
      </c>
      <c r="AY235" s="8" t="n">
        <v>1</v>
      </c>
      <c r="AZ235" s="8" t="n">
        <v>178</v>
      </c>
      <c r="BA235" s="11" t="n">
        <f>IF(AND(COUNT(AX235:AZ235)=3,AX235&gt;=AY235,AY235&gt;=0,AZ235&gt;0),(AX235-AY235)/AZ235,"")</f>
        <v>0.6629213483146067</v>
      </c>
      <c r="BB235" s="8" t="n">
        <f>IF(COUNT(AS235,AW235,BA235)=3,1,0)</f>
        <v>1</v>
      </c>
      <c r="BC235" s="11" t="n">
        <f>IF(SUMIF($AO$11:$AO$1309,AO235,$BB$11:$BB$1309)=COUNTIF($AO$11:$AO$1309,AO235),SUMIF($AO$11:$AO$1309,AO235,$AS$11:$AS$1309),"")</f>
        <v>8.693659224127387</v>
      </c>
      <c r="BD235" s="11" t="n">
        <f>IF(SUMIF($AO$11:$AO$1309,AO235,$BB$11:$BB$1309)=COUNTIF($AO$11:$AO$1309,AO235),SUMIF($AO$11:$AO$1309,AO235,$AW$11:$AW$1309),"")</f>
        <v>6.372516749646567</v>
      </c>
      <c r="BE235" s="11" t="n">
        <f>IF(SUMIF($AO$11:$AO$1309,AO235,$BB$11:$BB$1309)=COUNTIF($AO$11:$AO$1309,AO235),SUMIF($AO$11:$AO$1309,AO235,$BA$11:$BA$1309),"")</f>
        <v>4.812567583498835</v>
      </c>
      <c r="BF235" s="12" t="n">
        <f>IF(COUNT(BD235:BE235)&lt;&gt;2,"",IF(AND(BD235&gt;0,BE235&gt;0),0.7*AW235/BD235+0.3*BA235/BE235,IF(BD235&gt;0,AW235/BD235,IF(BE235&gt;0,BA235/BE235,IF(AND(ISNUMBER(BH235),BH235=0),0,"")))))</f>
        <v>0.13494374203397763</v>
      </c>
      <c r="BG235" s="11" t="n">
        <f>IF(AND(COUNT(BN235:BU235)=8,MIN(BN235:BU235)&gt;=0),SUMPRODUCT(BN235:BQ235,BR235:BU235),"")</f>
        <v>88.27281580841549</v>
      </c>
      <c r="BH235" s="11" t="n">
        <f>IF(COUNT(BC235,BG235)=2,BC235*BG235,"")</f>
        <v>767.4137793925291</v>
      </c>
      <c r="BI235" s="11" t="n">
        <f>IF(ISNUMBER(CI235),CI235,"")</f>
        <v>103.55768707966529</v>
      </c>
      <c r="BJ235" s="8" t="str">
        <v>低销提醒依据不完整</v>
      </c>
      <c r="BK235" s="8" t="str">
        <v>90天：2026-07-20 至 2026-10-17；180天：2026-04-21 至 2026-10-17</v>
      </c>
      <c r="BL235" s="8" t="str">
        <v>90天：2026-10-06、2026-10-07；180天：2026-10-06、2026-10-07</v>
      </c>
      <c r="BM235" s="8" t="str">
        <v>2026-10：12天 × 1.0395067087630607；2026-11：30天 × 0.9890368360033146；2026-12：31天 × 0.7800796503018808；2027-01：17天 × 1.2908918272824135</v>
      </c>
      <c r="BN235" s="11" t="n">
        <v>1.0395067087630607</v>
      </c>
      <c r="BO235" s="11" t="n">
        <v>0.9890368360033146</v>
      </c>
      <c r="BP235" s="11" t="n">
        <v>0.7800796503018808</v>
      </c>
      <c r="BQ235" s="11" t="n">
        <v>1.2908918272824135</v>
      </c>
      <c r="BR235" s="8" t="n">
        <v>12</v>
      </c>
      <c r="BS235" s="8" t="n">
        <v>30</v>
      </c>
      <c r="BT235" s="8" t="n">
        <v>31</v>
      </c>
      <c r="BU235" s="8" t="n">
        <v>17</v>
      </c>
      <c r="BV235" s="11" t="n">
        <f>IF(COUNT(BC235,BF235)=2,BC235*BF235,"")</f>
        <v>1.1731549076719563</v>
      </c>
      <c r="BW235" s="11" t="n">
        <f>IF(ISNUMBER(BN235),BN235,"")</f>
        <v>1.0395067087630607</v>
      </c>
      <c r="BX235" s="14" t="n">
        <f>IF(ISNUMBER(BR235),BR235,"")</f>
        <v>12</v>
      </c>
      <c r="BY235" s="13" t="n">
        <f>IF(AND(COUNT(BV235,BW235,BX235)=3,MIN(BV235,BW235,BX235)&gt;=0),BV235*BW235*BX235,"")</f>
        <v>14.63402876331969</v>
      </c>
      <c r="BZ235" s="11" t="n">
        <f>IF(ISNUMBER(BO235),BO235,"")</f>
        <v>0.9890368360033146</v>
      </c>
      <c r="CA235" s="14" t="n">
        <f>IF(ISNUMBER(BS235),BS235,"")</f>
        <v>30</v>
      </c>
      <c r="CB235" s="13" t="n">
        <f>IF(AND(COUNT(BV235,BZ235,CA235)=3,MIN(BV235,BZ235,CA235)&gt;=0),BV235*BZ235*CA235,"")</f>
        <v>34.80880254076897</v>
      </c>
      <c r="CC235" s="11" t="n">
        <f>IF(ISNUMBER(BP235),BP235,"")</f>
        <v>0.7800796503018808</v>
      </c>
      <c r="CD235" s="14" t="n">
        <f>IF(ISNUMBER(BT235),BT235,"")</f>
        <v>31</v>
      </c>
      <c r="CE235" s="13" t="n">
        <f>IF(AND(COUNT(BV235,CC235,CD235)=3,MIN(BV235,CC235,CD235)&gt;=0),BV235*CC235*CD235,"")</f>
        <v>28.36978237392692</v>
      </c>
      <c r="CF235" s="11" t="n">
        <f>IF(ISNUMBER(BQ235),BQ235,"")</f>
        <v>1.2908918272824135</v>
      </c>
      <c r="CG235" s="14" t="n">
        <f>IF(ISNUMBER(BU235),BU235,"")</f>
        <v>17</v>
      </c>
      <c r="CH235" s="13" t="n">
        <f>IF(AND(COUNT(BV235,CF235,CG235)=3,MIN(BV235,CF235,CG235)&gt;=0),BV235*CF235*CG235,"")</f>
        <v>25.74507340164971</v>
      </c>
      <c r="CI235" s="13" t="n">
        <f>IF(COUNT(BY235,CB235,CE235,CH235)=4,SUM(BY235,CB235,CE235,CH235),"")</f>
        <v>103.55768707966529</v>
      </c>
    </row>
    <row r="236" ht="72" customHeight="1">
      <c r="A236" s="16" t="str">
        <v>B06b-BK-40.5</v>
      </c>
      <c r="B236" s="16" t="str">
        <v>1店-MUSSHOE-US</v>
      </c>
      <c r="C236" s="16" t="str">
        <v>艾年</v>
      </c>
      <c r="D236" s="26" t="n">
        <f>IF(NOT(ISNUMBER(E236)),"",IF(OR(E236&lt;=0,L236=0),0,IF(OR(NOT(ISNUMBER(F236)),F236&lt;0),"",MIN(E236,INT(F236)))))</f>
        <v>0</v>
      </c>
      <c r="E236" s="27" t="n">
        <f>IF(OR(NOT(ISNUMBER(L236)),COUNT(M236:O236)&lt;&gt;3,MIN(M236:O236)&lt;0),"",ROUNDUP(ROUND(BI236-SUM(M236:O236),10),0))</f>
        <v>41</v>
      </c>
      <c r="F236" s="28" t="n">
        <v>0</v>
      </c>
      <c r="G236" s="28" t="n">
        <f>IF(AND(ISNUMBER(D236),ISNUMBER(E236)),IF(OR(E236&lt;=0,L236=0),0,E236-D236),"")</f>
        <v>41</v>
      </c>
      <c r="H236" s="16" t="str">
        <f>IF(NOT(ISNUMBER(E236)),"销量或海外库存待补",IF(OR(E236&lt;=0,L236=0),IF(L236=0,"零日销，本批不发","本批无需补货"),IF(NOT(ISNUMBER(D236)),"国内库存待补",IF(D236=0,"国内无可用库存",IF(G236&gt;0,"先发国内现货","按建议量发货")))))</f>
        <v>国内无可用库存</v>
      </c>
      <c r="I236" s="28" t="n">
        <f>IF(AND(COUNT(Z236,AA236,AB236)=3,Z236&gt;=AA236,AA236&gt;=0,AB236=7),Z236-AA236,"")</f>
        <v>8</v>
      </c>
      <c r="J236" s="28" t="n">
        <f>IF(AND(COUNT(AF236,AG236,AH236)=3,AF236&gt;=AG236,AG236&gt;=0,AH236=14),AF236-AG236,"")</f>
        <v>12</v>
      </c>
      <c r="K236" s="28" t="n">
        <f>IF(AND(COUNT(AL236,AM236,AN236)=3,AL236&gt;=AM236,AM236&gt;=0,AN236=30),AL236-AM236,"")</f>
        <v>26</v>
      </c>
      <c r="L236" s="29" t="n">
        <f>IF(ISNUMBER(BI236),BI236/90,"")</f>
        <v>1.2867839842612339</v>
      </c>
      <c r="M236" s="28" t="n">
        <v>57</v>
      </c>
      <c r="N236" s="28" t="n">
        <v>5</v>
      </c>
      <c r="O236" s="28" t="n">
        <v>13</v>
      </c>
      <c r="P236" s="30" t="n">
        <f>IF(AND(ISNUMBER(L236),L236&gt;0,COUNT(M236:O236)=3,MIN(M236:O236)&gt;=0),SUM(M236:O236)/L236,"")</f>
        <v>58.28484105905225</v>
      </c>
      <c r="Q236" s="16" t="str">
        <v>沿用原计划SKU店铺</v>
      </c>
      <c r="R236" s="16" t="str">
        <v>已匹配</v>
      </c>
      <c r="S236" s="16" t="str">
        <v>在售</v>
      </c>
      <c r="T236" s="16" t="str">
        <v>B06b</v>
      </c>
      <c r="U236" s="16" t="str">
        <v>黑色羊京绒</v>
      </c>
      <c r="V236" s="16" t="n">
        <v>9.5</v>
      </c>
      <c r="W236" s="8" t="str">
        <v>2026-10-11 至 2026-10-17</v>
      </c>
      <c r="X236" s="8" t="str">
        <v>2026-10-11、2026-10-12、2026-10-13、2026-10-14、2026-10-15、2026-10-16、2026-10-17</v>
      </c>
      <c r="Y236" s="8" t="str">
        <v>无</v>
      </c>
      <c r="Z236" s="8" t="n">
        <v>8</v>
      </c>
      <c r="AA236" s="8" t="n">
        <v>0</v>
      </c>
      <c r="AB236" s="8" t="n">
        <v>7</v>
      </c>
      <c r="AC236" s="8" t="str">
        <v>2026-10-02 至 2026-10-17</v>
      </c>
      <c r="AD236" s="8" t="str">
        <v>2026-10-02、2026-10-03、2026-10-04、2026-10-05、2026-10-08、2026-10-09、2026-10-10、2026-10-11、2026-10-12、2026-10-13、2026-10-14、2026-10-15、2026-10-16、2026-10-17</v>
      </c>
      <c r="AE236" s="8" t="str">
        <v>2026-10-06 大促；2026-10-07 大促</v>
      </c>
      <c r="AF236" s="8" t="n">
        <v>15</v>
      </c>
      <c r="AG236" s="8" t="n">
        <v>3</v>
      </c>
      <c r="AH236" s="8" t="n">
        <v>14</v>
      </c>
      <c r="AI236" s="8" t="str">
        <v>2026-09-16 至 2026-10-17</v>
      </c>
      <c r="AJ2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6" s="8" t="str">
        <v>2026-10-06 大促；2026-10-07 大促</v>
      </c>
      <c r="AL236" s="8" t="n">
        <v>29</v>
      </c>
      <c r="AM236" s="8" t="n">
        <v>3</v>
      </c>
      <c r="AN236" s="8" t="n">
        <v>30</v>
      </c>
      <c r="AO236" s="8" t="str">
        <v>B06b / 黑色羊京绒 / 13120</v>
      </c>
      <c r="AP236" s="11" t="n">
        <v>1.1090677182221615</v>
      </c>
      <c r="AQ236" s="11" t="n">
        <v>1.1090677182221615</v>
      </c>
      <c r="AR236" s="11" t="n">
        <v>0.9505188216044452</v>
      </c>
      <c r="AS236" s="11" t="n">
        <f>IF(AND(COUNT(I236:K236,AP236:AR236)=6,MIN(AP236:AR236)&gt;0),I236/7/AP236*0.5+J236/14/AQ236*0.3+K236/30/AR236*0.2,"")</f>
        <v>0.9294447713285722</v>
      </c>
      <c r="AT236" s="8" t="n">
        <v>82</v>
      </c>
      <c r="AU236" s="8" t="n">
        <v>3</v>
      </c>
      <c r="AV236" s="8" t="n">
        <v>88</v>
      </c>
      <c r="AW236" s="11" t="n">
        <f>IF(AND(COUNT(AT236:AV236)=3,AT236&gt;=AU236,AU236&gt;=0,AV236&gt;0),(AT236-AU236)/AV236,"")</f>
        <v>0.8977272727272727</v>
      </c>
      <c r="AX236" s="8" t="n">
        <v>108</v>
      </c>
      <c r="AY236" s="8" t="n">
        <v>3</v>
      </c>
      <c r="AZ236" s="8" t="n">
        <v>178</v>
      </c>
      <c r="BA236" s="11" t="n">
        <f>IF(AND(COUNT(AX236:AZ236)=3,AX236&gt;=AY236,AY236&gt;=0,AZ236&gt;0),(AX236-AY236)/AZ236,"")</f>
        <v>0.5898876404494382</v>
      </c>
      <c r="BB236" s="8" t="n">
        <f>IF(COUNT(AS236,AW236,BA236)=3,1,0)</f>
        <v>1</v>
      </c>
      <c r="BC236" s="11" t="n">
        <f>IF(SUMIF($AO$11:$AO$1309,AO236,$BB$11:$BB$1309)=COUNTIF($AO$11:$AO$1309,AO236),SUMIF($AO$11:$AO$1309,AO236,$AS$11:$AS$1309),"")</f>
        <v>8.918815730624303</v>
      </c>
      <c r="BD236" s="11" t="n">
        <f>IF(SUMIF($AO$11:$AO$1309,AO236,$BB$11:$BB$1309)=COUNTIF($AO$11:$AO$1309,AO236),SUMIF($AO$11:$AO$1309,AO236,$AW$11:$AW$1309),"")</f>
        <v>6.183288770053475</v>
      </c>
      <c r="BE236" s="11" t="n">
        <f>IF(SUMIF($AO$11:$AO$1309,AO236,$BB$11:$BB$1309)=COUNTIF($AO$11:$AO$1309,AO236),SUMIF($AO$11:$AO$1309,AO236,$BA$11:$BA$1309),"")</f>
        <v>4.941926163723917</v>
      </c>
      <c r="BF236" s="12" t="n">
        <f>IF(COUNT(BD236:BE236)&lt;&gt;2,"",IF(AND(BD236&gt;0,BE236&gt;0),0.7*AW236/BD236+0.3*BA236/BE236,IF(BD236&gt;0,AW236/BD236,IF(BE236&gt;0,BA236/BE236,IF(AND(ISNUMBER(BH236),BH236=0),0,"")))))</f>
        <v>0.13743940866639365</v>
      </c>
      <c r="BG236" s="11" t="n">
        <f>IF(AND(COUNT(BN236:BU236)=8,MIN(BN236:BU236)&gt;=0),SUMPRODUCT(BN236:BQ236,BR236:BU236),"")</f>
        <v>94.47778160343367</v>
      </c>
      <c r="BH236" s="11" t="n">
        <f>IF(COUNT(BC236,BG236)=2,BC236*BG236,"")</f>
        <v>842.6299247591916</v>
      </c>
      <c r="BI236" s="11" t="n">
        <f>IF(ISNUMBER(CI236),CI236,"")</f>
        <v>115.81055858351105</v>
      </c>
      <c r="BJ236" s="8" t="str"/>
      <c r="BK236" s="8" t="str">
        <v>90天：2026-07-20 至 2026-10-17；180天：2026-04-21 至 2026-10-17</v>
      </c>
      <c r="BL236" s="8" t="str">
        <v>90天：2026-10-06、2026-10-07；180天：2026-10-06、2026-10-07</v>
      </c>
      <c r="BM236" s="8" t="str">
        <v>2026-10：12天 × 1.1090677182221615；2026-11：30天 × 1.0372741535934282；2026-12：31天 × 0.979949351738161；2027-01：17天 × 1.1571949690048173</v>
      </c>
      <c r="BN236" s="11" t="n">
        <v>1.1090677182221615</v>
      </c>
      <c r="BO236" s="11" t="n">
        <v>1.0372741535934282</v>
      </c>
      <c r="BP236" s="11" t="n">
        <v>0.979949351738161</v>
      </c>
      <c r="BQ236" s="11" t="n">
        <v>1.1571949690048173</v>
      </c>
      <c r="BR236" s="8" t="n">
        <v>12</v>
      </c>
      <c r="BS236" s="8" t="n">
        <v>30</v>
      </c>
      <c r="BT236" s="8" t="n">
        <v>31</v>
      </c>
      <c r="BU236" s="8" t="n">
        <v>17</v>
      </c>
      <c r="BV236" s="11" t="n">
        <f>IF(COUNT(BC236,BF236)=2,BC236*BF236,"")</f>
        <v>1.2257967600215338</v>
      </c>
      <c r="BW236" s="11" t="n">
        <f>IF(ISNUMBER(BN236),BN236,"")</f>
        <v>1.1090677182221615</v>
      </c>
      <c r="BX236" s="14" t="n">
        <f>IF(ISNUMBER(BR236),BR236,"")</f>
        <v>12</v>
      </c>
      <c r="BY236" s="13" t="n">
        <f>IF(AND(COUNT(BV236,BW236,BX236)=3,MIN(BV236,BW236,BX236)&gt;=0),BV236*BW236*BX236,"")</f>
        <v>16.313899387694413</v>
      </c>
      <c r="BZ236" s="11" t="n">
        <f>IF(ISNUMBER(BO236),BO236,"")</f>
        <v>1.0372741535934282</v>
      </c>
      <c r="CA236" s="14" t="n">
        <f>IF(ISNUMBER(BS236),BS236,"")</f>
        <v>30</v>
      </c>
      <c r="CB236" s="13" t="n">
        <f>IF(AND(COUNT(BV236,BZ236,CA236)=3,MIN(BV236,BZ236,CA236)&gt;=0),BV236*BZ236*CA236,"")</f>
        <v>38.14461890186709</v>
      </c>
      <c r="CC236" s="11" t="n">
        <f>IF(ISNUMBER(BP236),BP236,"")</f>
        <v>0.979949351738161</v>
      </c>
      <c r="CD236" s="14" t="n">
        <f>IF(ISNUMBER(BT236),BT236,"")</f>
        <v>31</v>
      </c>
      <c r="CE236" s="13" t="n">
        <f>IF(AND(COUNT(BV236,CC236,CD236)=3,MIN(BV236,CC236,CD236)&gt;=0),BV236*CC236*CD236,"")</f>
        <v>37.237780950721046</v>
      </c>
      <c r="CF236" s="11" t="n">
        <f>IF(ISNUMBER(BQ236),BQ236,"")</f>
        <v>1.1571949690048173</v>
      </c>
      <c r="CG236" s="14" t="n">
        <f>IF(ISNUMBER(BU236),BU236,"")</f>
        <v>17</v>
      </c>
      <c r="CH236" s="13" t="n">
        <f>IF(AND(COUNT(BV236,CF236,CG236)=3,MIN(BV236,CF236,CG236)&gt;=0),BV236*CF236*CG236,"")</f>
        <v>24.114259343228515</v>
      </c>
      <c r="CI236" s="13" t="n">
        <f>IF(COUNT(BY236,CB236,CE236,CH236)=4,SUM(BY236,CB236,CE236,CH236),"")</f>
        <v>115.81055858351105</v>
      </c>
    </row>
    <row r="237" ht="72" customHeight="1">
      <c r="A237" s="16" t="str">
        <v>B06b-LP-40</v>
      </c>
      <c r="B237" s="16" t="str">
        <v>1店-MUSSHOE-US</v>
      </c>
      <c r="C237" s="16" t="str">
        <v>艾年</v>
      </c>
      <c r="D237" s="26" t="n">
        <f>IF(NOT(ISNUMBER(E237)),"",IF(OR(E237&lt;=0,L237=0),0,IF(OR(NOT(ISNUMBER(F237)),F237&lt;0),"",MIN(E237,INT(F237)))))</f>
        <v>0</v>
      </c>
      <c r="E237" s="27" t="n">
        <f>IF(OR(NOT(ISNUMBER(L237)),COUNT(M237:O237)&lt;&gt;3,MIN(M237:O237)&lt;0),"",ROUNDUP(ROUND(BI237-SUM(M237:O237),10),0))</f>
        <v>41</v>
      </c>
      <c r="F237" s="28" t="n">
        <v>0</v>
      </c>
      <c r="G237" s="28" t="n">
        <f>IF(AND(ISNUMBER(D237),ISNUMBER(E237)),IF(OR(E237&lt;=0,L237=0),0,E237-D237),"")</f>
        <v>41</v>
      </c>
      <c r="H237" s="16" t="str">
        <f>IF(NOT(ISNUMBER(E237)),"销量或海外库存待补",IF(OR(E237&lt;=0,L237=0),IF(L237=0,"零日销，本批不发","本批无需补货"),IF(NOT(ISNUMBER(D237)),"国内库存待补",IF(D237=0,"国内无可用库存",IF(G237&gt;0,"先发国内现货","按建议量发货")))))</f>
        <v>国内无可用库存</v>
      </c>
      <c r="I237" s="28" t="n">
        <f>IF(AND(COUNT(Z237,AA237,AB237)=3,Z237&gt;=AA237,AA237&gt;=0,AB237=7),Z237-AA237,"")</f>
        <v>9</v>
      </c>
      <c r="J237" s="28" t="n">
        <f>IF(AND(COUNT(AF237,AG237,AH237)=3,AF237&gt;=AG237,AG237&gt;=0,AH237=14),AF237-AG237,"")</f>
        <v>9</v>
      </c>
      <c r="K237" s="28" t="n">
        <f>IF(AND(COUNT(AL237,AM237,AN237)=3,AL237&gt;=AM237,AM237&gt;=0,AN237=30),AL237-AM237,"")</f>
        <v>19</v>
      </c>
      <c r="L237" s="29" t="n">
        <f>IF(ISNUMBER(BI237),BI237/90,"")</f>
        <v>0.7913298154865174</v>
      </c>
      <c r="M237" s="28" t="n">
        <v>31</v>
      </c>
      <c r="N237" s="28" t="n">
        <v>0</v>
      </c>
      <c r="O237" s="28" t="n">
        <v>0</v>
      </c>
      <c r="P237" s="30" t="n">
        <f>IF(AND(ISNUMBER(L237),L237&gt;0,COUNT(M237:O237)=3,MIN(M237:O237)&gt;=0),SUM(M237:O237)/L237,"")</f>
        <v>39.17456336577043</v>
      </c>
      <c r="Q237" s="16" t="str">
        <v>沿用原计划SKU店铺</v>
      </c>
      <c r="R237" s="16" t="str">
        <v>已匹配</v>
      </c>
      <c r="S237" s="16" t="str">
        <v>在售</v>
      </c>
      <c r="T237" s="16" t="str">
        <v>B06b</v>
      </c>
      <c r="U237" s="16" t="str">
        <v>豹纹羊京绒</v>
      </c>
      <c r="V237" s="16" t="n">
        <v>9</v>
      </c>
      <c r="W237" s="8" t="str">
        <v>2026-10-11 至 2026-10-17</v>
      </c>
      <c r="X237" s="8" t="str">
        <v>2026-10-11、2026-10-12、2026-10-13、2026-10-14、2026-10-15、2026-10-16、2026-10-17</v>
      </c>
      <c r="Y237" s="8" t="str">
        <v>无</v>
      </c>
      <c r="Z237" s="8" t="n">
        <v>9</v>
      </c>
      <c r="AA237" s="8" t="n">
        <v>0</v>
      </c>
      <c r="AB237" s="8" t="n">
        <v>7</v>
      </c>
      <c r="AC237" s="8" t="str">
        <v>2026-10-02 至 2026-10-17</v>
      </c>
      <c r="AD237" s="8" t="str">
        <v>2026-10-02、2026-10-03、2026-10-04、2026-10-05、2026-10-08、2026-10-09、2026-10-10、2026-10-11、2026-10-12、2026-10-13、2026-10-14、2026-10-15、2026-10-16、2026-10-17</v>
      </c>
      <c r="AE237" s="8" t="str">
        <v>2026-10-06 大促；2026-10-07 大促</v>
      </c>
      <c r="AF237" s="8" t="n">
        <v>9</v>
      </c>
      <c r="AG237" s="8" t="n">
        <v>0</v>
      </c>
      <c r="AH237" s="8" t="n">
        <v>14</v>
      </c>
      <c r="AI237" s="8" t="str">
        <v>2026-09-16 至 2026-10-17</v>
      </c>
      <c r="AJ2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7" s="8" t="str">
        <v>2026-10-06 大促；2026-10-07 大促</v>
      </c>
      <c r="AL237" s="8" t="n">
        <v>19</v>
      </c>
      <c r="AM237" s="8" t="n">
        <v>0</v>
      </c>
      <c r="AN237" s="8" t="n">
        <v>30</v>
      </c>
      <c r="AO237" s="8" t="str">
        <v>B06b / 豹纹羊京绒 / 13120</v>
      </c>
      <c r="AP237" s="11" t="n">
        <v>1.1090677182221615</v>
      </c>
      <c r="AQ237" s="11" t="n">
        <v>1.1090677182221615</v>
      </c>
      <c r="AR237" s="11" t="n">
        <v>0.9505188216044452</v>
      </c>
      <c r="AS237" s="11" t="n">
        <f>IF(AND(COUNT(I237:K237,AP237:AR237)=6,MIN(AP237:AR237)&gt;0),I237/7/AP237*0.5+J237/14/AQ237*0.3+K237/30/AR237*0.2,"")</f>
        <v>0.8867891927066914</v>
      </c>
      <c r="AT237" s="8" t="n">
        <v>48</v>
      </c>
      <c r="AU237" s="8" t="n">
        <v>0</v>
      </c>
      <c r="AV237" s="8" t="n">
        <v>88</v>
      </c>
      <c r="AW237" s="11" t="n">
        <f>IF(AND(COUNT(AT237:AV237)=3,AT237&gt;=AU237,AU237&gt;=0,AV237&gt;0),(AT237-AU237)/AV237,"")</f>
        <v>0.5454545454545454</v>
      </c>
      <c r="AX237" s="8" t="n">
        <v>58</v>
      </c>
      <c r="AY237" s="8" t="n">
        <v>0</v>
      </c>
      <c r="AZ237" s="8" t="n">
        <v>178</v>
      </c>
      <c r="BA237" s="11" t="n">
        <f>IF(AND(COUNT(AX237:AZ237)=3,AX237&gt;=AY237,AY237&gt;=0,AZ237&gt;0),(AX237-AY237)/AZ237,"")</f>
        <v>0.3258426966292135</v>
      </c>
      <c r="BB237" s="8" t="n">
        <f>IF(COUNT(AS237,AW237,BA237)=3,1,0)</f>
        <v>1</v>
      </c>
      <c r="BC237" s="11" t="n">
        <f>IF(SUMIF($AO$11:$AO$1309,AO237,$BB$11:$BB$1309)=COUNTIF($AO$11:$AO$1309,AO237),SUMIF($AO$11:$AO$1309,AO237,$AS$11:$AS$1309),"")</f>
        <v>3.3094608435746915</v>
      </c>
      <c r="BD237" s="11" t="n">
        <f>IF(SUMIF($AO$11:$AO$1309,AO237,$BB$11:$BB$1309)=COUNTIF($AO$11:$AO$1309,AO237),SUMIF($AO$11:$AO$1309,AO237,$AW$11:$AW$1309),"")</f>
        <v>2.343716577540107</v>
      </c>
      <c r="BE237" s="11" t="n">
        <f>IF(SUMIF($AO$11:$AO$1309,AO237,$BB$11:$BB$1309)=COUNTIF($AO$11:$AO$1309,AO237),SUMIF($AO$11:$AO$1309,AO237,$BA$11:$BA$1309),"")</f>
        <v>1.5069662921348317</v>
      </c>
      <c r="BF237" s="12" t="n">
        <f>IF(COUNT(BD237:BE237)&lt;&gt;2,"",IF(AND(BD237&gt;0,BE237&gt;0),0.7*AW237/BD237+0.3*BA237/BE237,IF(BD237&gt;0,AW237/BD237,IF(BE237&gt;0,BA237/BE237,IF(AND(ISNUMBER(BH237),BH237=0),0,"")))))</f>
        <v>0.227778697096633</v>
      </c>
      <c r="BG237" s="11" t="n">
        <f>IF(AND(COUNT(BN237:BU237)=8,MIN(BN237:BU237)&gt;=0),SUMPRODUCT(BN237:BQ237,BR237:BU237),"")</f>
        <v>94.47778160343367</v>
      </c>
      <c r="BH237" s="11" t="n">
        <f>IF(COUNT(BC237,BG237)=2,BC237*BG237,"")</f>
        <v>312.6705188043651</v>
      </c>
      <c r="BI237" s="11" t="n">
        <f>IF(ISNUMBER(CI237),CI237,"")</f>
        <v>71.21968339378657</v>
      </c>
      <c r="BJ237" s="8" t="str"/>
      <c r="BK237" s="8" t="str">
        <v>90天：2026-07-20 至 2026-10-17；180天：2026-04-21 至 2026-10-17</v>
      </c>
      <c r="BL237" s="8" t="str">
        <v>90天：2026-10-06、2026-10-07；180天：2026-10-06、2026-10-07</v>
      </c>
      <c r="BM237" s="8" t="str">
        <v>2026-10：12天 × 1.1090677182221615；2026-11：30天 × 1.0372741535934282；2026-12：31天 × 0.979949351738161；2027-01：17天 × 1.1571949690048173</v>
      </c>
      <c r="BN237" s="11" t="n">
        <v>1.1090677182221615</v>
      </c>
      <c r="BO237" s="11" t="n">
        <v>1.0372741535934282</v>
      </c>
      <c r="BP237" s="11" t="n">
        <v>0.979949351738161</v>
      </c>
      <c r="BQ237" s="11" t="n">
        <v>1.1571949690048173</v>
      </c>
      <c r="BR237" s="8" t="n">
        <v>12</v>
      </c>
      <c r="BS237" s="8" t="n">
        <v>30</v>
      </c>
      <c r="BT237" s="8" t="n">
        <v>31</v>
      </c>
      <c r="BU237" s="8" t="n">
        <v>17</v>
      </c>
      <c r="BV237" s="11" t="n">
        <f>IF(COUNT(BC237,BF237)=2,BC237*BF237,"")</f>
        <v>0.7538246790417672</v>
      </c>
      <c r="BW237" s="11" t="n">
        <f>IF(ISNUMBER(BN237),BN237,"")</f>
        <v>1.1090677182221615</v>
      </c>
      <c r="BX237" s="14" t="n">
        <f>IF(ISNUMBER(BR237),BR237,"")</f>
        <v>12</v>
      </c>
      <c r="BY237" s="13" t="n">
        <f>IF(AND(COUNT(BV237,BW237,BX237)=3,MIN(BV237,BW237,BX237)&gt;=0),BV237*BW237*BX237,"")</f>
        <v>10.032511400692872</v>
      </c>
      <c r="BZ237" s="11" t="n">
        <f>IF(ISNUMBER(BO237),BO237,"")</f>
        <v>1.0372741535934282</v>
      </c>
      <c r="CA237" s="14" t="n">
        <f>IF(ISNUMBER(BS237),BS237,"")</f>
        <v>30</v>
      </c>
      <c r="CB237" s="13" t="n">
        <f>IF(AND(COUNT(BV237,BZ237,CA237)=3,MIN(BV237,BZ237,CA237)&gt;=0),BV237*BZ237*CA237,"")</f>
        <v>23.4576856773266</v>
      </c>
      <c r="CC237" s="11" t="n">
        <f>IF(ISNUMBER(BP237),BP237,"")</f>
        <v>0.979949351738161</v>
      </c>
      <c r="CD237" s="14" t="n">
        <f>IF(ISNUMBER(BT237),BT237,"")</f>
        <v>31</v>
      </c>
      <c r="CE237" s="13" t="n">
        <f>IF(AND(COUNT(BV237,CC237,CD237)=3,MIN(BV237,CC237,CD237)&gt;=0),BV237*CC237*CD237,"")</f>
        <v>22.900010172087416</v>
      </c>
      <c r="CF237" s="11" t="n">
        <f>IF(ISNUMBER(BQ237),BQ237,"")</f>
        <v>1.1571949690048173</v>
      </c>
      <c r="CG237" s="14" t="n">
        <f>IF(ISNUMBER(BU237),BU237,"")</f>
        <v>17</v>
      </c>
      <c r="CH237" s="13" t="n">
        <f>IF(AND(COUNT(BV237,CF237,CG237)=3,MIN(BV237,CF237,CG237)&gt;=0),BV237*CF237*CG237,"")</f>
        <v>14.829476143679672</v>
      </c>
      <c r="CI237" s="13" t="n">
        <f>IF(COUNT(BY237,CB237,CE237,CH237)=4,SUM(BY237,CB237,CE237,CH237),"")</f>
        <v>71.21968339378657</v>
      </c>
    </row>
    <row r="238" ht="72" customHeight="1">
      <c r="A238" s="16" t="str">
        <v>B06b-CCP0-9</v>
      </c>
      <c r="B238" s="16" t="str">
        <v>1店-MUSSHOE-US</v>
      </c>
      <c r="C238" s="16" t="str">
        <v>艾年</v>
      </c>
      <c r="D238" s="26" t="n">
        <f>IF(NOT(ISNUMBER(E238)),"",IF(OR(E238&lt;=0,L238=0),0,IF(OR(NOT(ISNUMBER(F238)),F238&lt;0),"",MIN(E238,INT(F238)))))</f>
        <v>0</v>
      </c>
      <c r="E238" s="27" t="n">
        <f>IF(OR(NOT(ISNUMBER(L238)),COUNT(M238:O238)&lt;&gt;3,MIN(M238:O238)&lt;0),"",ROUNDUP(ROUND(BI238-SUM(M238:O238),10),0))</f>
        <v>39</v>
      </c>
      <c r="F238" s="28" t="n">
        <v>0</v>
      </c>
      <c r="G238" s="28" t="n">
        <f>IF(AND(ISNUMBER(D238),ISNUMBER(E238)),IF(OR(E238&lt;=0,L238=0),0,E238-D238),"")</f>
        <v>39</v>
      </c>
      <c r="H238" s="16" t="str">
        <f>IF(NOT(ISNUMBER(E238)),"销量或海外库存待补",IF(OR(E238&lt;=0,L238=0),IF(L238=0,"零日销，本批不发","本批无需补货"),IF(NOT(ISNUMBER(D238)),"国内库存待补",IF(D238=0,"国内无可用库存",IF(G238&gt;0,"先发国内现货","按建议量发货")))))</f>
        <v>国内无可用库存</v>
      </c>
      <c r="I238" s="28" t="n">
        <f>IF(AND(COUNT(Z238,AA238,AB238)=3,Z238&gt;=AA238,AA238&gt;=0,AB238=7),Z238-AA238,"")</f>
        <v>5</v>
      </c>
      <c r="J238" s="28" t="n">
        <f>IF(AND(COUNT(AF238,AG238,AH238)=3,AF238&gt;=AG238,AG238&gt;=0,AH238=14),AF238-AG238,"")</f>
        <v>8</v>
      </c>
      <c r="K238" s="28" t="n">
        <f>IF(AND(COUNT(AL238,AM238,AN238)=3,AL238&gt;=AM238,AM238&gt;=0,AN238=30),AL238-AM238,"")</f>
        <v>21</v>
      </c>
      <c r="L238" s="29" t="n">
        <f>IF(ISNUMBER(BI238),BI238/90,"")</f>
        <v>0.5493131413899796</v>
      </c>
      <c r="M238" s="28" t="n">
        <v>11</v>
      </c>
      <c r="N238" s="28" t="n">
        <v>0</v>
      </c>
      <c r="O238" s="28" t="n">
        <v>0</v>
      </c>
      <c r="P238" s="30" t="n">
        <f>IF(AND(ISNUMBER(L238),L238&gt;0,COUNT(M238:O238)=3,MIN(M238:O238)&gt;=0),SUM(M238:O238)/L238,"")</f>
        <v>20.025007907449016</v>
      </c>
      <c r="Q238" s="16" t="str">
        <v>沿用原计划SKU店铺</v>
      </c>
      <c r="R238" s="16" t="str">
        <v>已匹配</v>
      </c>
      <c r="S238" s="16" t="str">
        <v>在售</v>
      </c>
      <c r="T238" s="16" t="str">
        <v>B06b</v>
      </c>
      <c r="U238" s="16" t="str">
        <v>咖色PU</v>
      </c>
      <c r="V238" s="16" t="n">
        <v>9</v>
      </c>
      <c r="W238" s="8" t="str">
        <v>2026-10-11 至 2026-10-17</v>
      </c>
      <c r="X238" s="8" t="str">
        <v>2026-10-11、2026-10-12、2026-10-13、2026-10-14、2026-10-15、2026-10-16、2026-10-17</v>
      </c>
      <c r="Y238" s="8" t="str">
        <v>无</v>
      </c>
      <c r="Z238" s="8" t="n">
        <v>5</v>
      </c>
      <c r="AA238" s="8" t="n">
        <v>0</v>
      </c>
      <c r="AB238" s="8" t="n">
        <v>7</v>
      </c>
      <c r="AC238" s="8" t="str">
        <v>2026-10-02 至 2026-10-17</v>
      </c>
      <c r="AD238" s="8" t="str">
        <v>2026-10-02、2026-10-03、2026-10-04、2026-10-05、2026-10-08、2026-10-09、2026-10-10、2026-10-11、2026-10-12、2026-10-13、2026-10-14、2026-10-15、2026-10-16、2026-10-17</v>
      </c>
      <c r="AE238" s="8" t="str">
        <v>2026-10-06 大促；2026-10-07 大促</v>
      </c>
      <c r="AF238" s="8" t="n">
        <v>17</v>
      </c>
      <c r="AG238" s="8" t="n">
        <v>9</v>
      </c>
      <c r="AH238" s="8" t="n">
        <v>14</v>
      </c>
      <c r="AI238" s="8" t="str">
        <v>2026-09-16 至 2026-10-17</v>
      </c>
      <c r="AJ2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38" s="8" t="str">
        <v>2026-10-06 大促；2026-10-07 大促</v>
      </c>
      <c r="AL238" s="8" t="n">
        <v>30</v>
      </c>
      <c r="AM238" s="8" t="n">
        <v>9</v>
      </c>
      <c r="AN238" s="8" t="n">
        <v>30</v>
      </c>
      <c r="AO238" s="8" t="str">
        <v>B06b / 咖色PU / 13120</v>
      </c>
      <c r="AP238" s="11" t="n">
        <v>1.1090677182221615</v>
      </c>
      <c r="AQ238" s="11" t="n">
        <v>1.1090677182221615</v>
      </c>
      <c r="AR238" s="11" t="n">
        <v>0.9505188216044452</v>
      </c>
      <c r="AS238" s="11" t="n">
        <f>IF(AND(COUNT(I238:K238,AP238:AR238)=6,MIN(AP238:AR238)&gt;0),I238/7/AP238*0.5+J238/14/AQ238*0.3+K238/30/AR238*0.2,"")</f>
        <v>0.6238787446306724</v>
      </c>
      <c r="AT238" s="8" t="n">
        <v>55</v>
      </c>
      <c r="AU238" s="8" t="n">
        <v>9</v>
      </c>
      <c r="AV238" s="8" t="n">
        <v>88</v>
      </c>
      <c r="AW238" s="11" t="n">
        <f>IF(AND(COUNT(AT238:AV238)=3,AT238&gt;=AU238,AU238&gt;=0,AV238&gt;0),(AT238-AU238)/AV238,"")</f>
        <v>0.5227272727272727</v>
      </c>
      <c r="AX238" s="8" t="n">
        <v>77</v>
      </c>
      <c r="AY238" s="8" t="n">
        <v>9</v>
      </c>
      <c r="AZ238" s="8" t="n">
        <v>178</v>
      </c>
      <c r="BA238" s="11" t="n">
        <f>IF(AND(COUNT(AX238:AZ238)=3,AX238&gt;=AY238,AY238&gt;=0,AZ238&gt;0),(AX238-AY238)/AZ238,"")</f>
        <v>0.38202247191011235</v>
      </c>
      <c r="BB238" s="8" t="n">
        <f>IF(COUNT(AS238,AW238,BA238)=3,1,0)</f>
        <v>1</v>
      </c>
      <c r="BC238" s="11" t="n">
        <f>IF(SUMIF($AO$11:$AO$1309,AO238,$BB$11:$BB$1309)=COUNTIF($AO$11:$AO$1309,AO238),SUMIF($AO$11:$AO$1309,AO238,$AS$11:$AS$1309),"")</f>
        <v>2.1842159740642213</v>
      </c>
      <c r="BD238" s="11" t="n">
        <f>IF(SUMIF($AO$11:$AO$1309,AO238,$BB$11:$BB$1309)=COUNTIF($AO$11:$AO$1309,AO238),SUMIF($AO$11:$AO$1309,AO238,$AW$11:$AW$1309),"")</f>
        <v>2.1590909090909087</v>
      </c>
      <c r="BE238" s="11" t="n">
        <f>IF(SUMIF($AO$11:$AO$1309,AO238,$BB$11:$BB$1309)=COUNTIF($AO$11:$AO$1309,AO238),SUMIF($AO$11:$AO$1309,AO238,$BA$11:$BA$1309),"")</f>
        <v>1.6349277688603532</v>
      </c>
      <c r="BF238" s="12" t="n">
        <f>IF(COUNT(BD238:BE238)&lt;&gt;2,"",IF(AND(BD238&gt;0,BE238&gt;0),0.7*AW238/BD238+0.3*BA238/BE238,IF(BD238&gt;0,AW238/BD238,IF(BE238&gt;0,BA238/BE238,IF(AND(ISNUMBER(BH238),BH238=0),0,"")))))</f>
        <v>0.23957264745275061</v>
      </c>
      <c r="BG238" s="11" t="n">
        <f>IF(AND(COUNT(BN238:BU238)=8,MIN(BN238:BU238)&gt;=0),SUMPRODUCT(BN238:BQ238,BR238:BU238),"")</f>
        <v>94.47778160343367</v>
      </c>
      <c r="BH238" s="11" t="n">
        <f>IF(COUNT(BC238,BG238)=2,BC238*BG238,"")</f>
        <v>206.35987977237065</v>
      </c>
      <c r="BI238" s="11" t="n">
        <f>IF(ISNUMBER(CI238),CI238,"")</f>
        <v>49.43818272509816</v>
      </c>
      <c r="BJ238" s="8" t="str"/>
      <c r="BK238" s="8" t="str">
        <v>90天：2026-07-20 至 2026-10-17；180天：2026-04-21 至 2026-10-17</v>
      </c>
      <c r="BL238" s="8" t="str">
        <v>90天：2026-10-06、2026-10-07；180天：2026-10-06、2026-10-07</v>
      </c>
      <c r="BM238" s="8" t="str">
        <v>2026-10：12天 × 1.1090677182221615；2026-11：30天 × 1.0372741535934282；2026-12：31天 × 0.979949351738161；2027-01：17天 × 1.1571949690048173</v>
      </c>
      <c r="BN238" s="11" t="n">
        <v>1.1090677182221615</v>
      </c>
      <c r="BO238" s="11" t="n">
        <v>1.0372741535934282</v>
      </c>
      <c r="BP238" s="11" t="n">
        <v>0.979949351738161</v>
      </c>
      <c r="BQ238" s="11" t="n">
        <v>1.1571949690048173</v>
      </c>
      <c r="BR238" s="8" t="n">
        <v>12</v>
      </c>
      <c r="BS238" s="8" t="n">
        <v>30</v>
      </c>
      <c r="BT238" s="8" t="n">
        <v>31</v>
      </c>
      <c r="BU238" s="8" t="n">
        <v>17</v>
      </c>
      <c r="BV238" s="11" t="n">
        <f>IF(COUNT(BC238,BF238)=2,BC238*BF238,"")</f>
        <v>0.523278403515154</v>
      </c>
      <c r="BW238" s="11" t="n">
        <f>IF(ISNUMBER(BN238),BN238,"")</f>
        <v>1.1090677182221615</v>
      </c>
      <c r="BX238" s="14" t="n">
        <f>IF(ISNUMBER(BR238),BR238,"")</f>
        <v>12</v>
      </c>
      <c r="BY238" s="13" t="n">
        <f>IF(AND(COUNT(BV238,BW238,BX238)=3,MIN(BV238,BW238,BX238)&gt;=0),BV238*BW238*BX238,"")</f>
        <v>6.964214219777848</v>
      </c>
      <c r="BZ238" s="11" t="n">
        <f>IF(ISNUMBER(BO238),BO238,"")</f>
        <v>1.0372741535934282</v>
      </c>
      <c r="CA238" s="14" t="n">
        <f>IF(ISNUMBER(BS238),BS238,"")</f>
        <v>30</v>
      </c>
      <c r="CB238" s="13" t="n">
        <f>IF(AND(COUNT(BV238,BZ238,CA238)=3,MIN(BV238,BZ238,CA238)&gt;=0),BV238*BZ238*CA238,"")</f>
        <v>16.28349489299705</v>
      </c>
      <c r="CC238" s="11" t="n">
        <f>IF(ISNUMBER(BP238),BP238,"")</f>
        <v>0.979949351738161</v>
      </c>
      <c r="CD238" s="14" t="n">
        <f>IF(ISNUMBER(BT238),BT238,"")</f>
        <v>31</v>
      </c>
      <c r="CE238" s="13" t="n">
        <f>IF(AND(COUNT(BV238,CC238,CD238)=3,MIN(BV238,CC238,CD238)&gt;=0),BV238*CC238*CD238,"")</f>
        <v>15.896376301400904</v>
      </c>
      <c r="CF238" s="11" t="n">
        <f>IF(ISNUMBER(BQ238),BQ238,"")</f>
        <v>1.1571949690048173</v>
      </c>
      <c r="CG238" s="14" t="n">
        <f>IF(ISNUMBER(BU238),BU238,"")</f>
        <v>17</v>
      </c>
      <c r="CH238" s="13" t="n">
        <f>IF(AND(COUNT(BV238,CF238,CG238)=3,MIN(BV238,CF238,CG238)&gt;=0),BV238*CF238*CG238,"")</f>
        <v>10.294097310922352</v>
      </c>
      <c r="CI238" s="13" t="n">
        <f>IF(COUNT(BY238,CB238,CE238,CH238)=4,SUM(BY238,CB238,CE238,CH238),"")</f>
        <v>49.43818272509816</v>
      </c>
    </row>
    <row r="239" ht="72" customHeight="1">
      <c r="A239" s="16" t="str">
        <v>S02a-BK-41</v>
      </c>
      <c r="B239" s="16" t="str">
        <v>3店-SANDIEX-US</v>
      </c>
      <c r="C239" s="16" t="str">
        <v>陈晨</v>
      </c>
      <c r="D239" s="26" t="n">
        <f>IF(NOT(ISNUMBER(E239)),"",IF(OR(E239&lt;=0,L239=0),0,IF(OR(NOT(ISNUMBER(F239)),F239&lt;0),"",MIN(E239,INT(F239)))))</f>
        <v>0</v>
      </c>
      <c r="E239" s="27" t="n">
        <f>IF(OR(NOT(ISNUMBER(L239)),COUNT(M239:O239)&lt;&gt;3,MIN(M239:O239)&lt;0),"",ROUNDUP(ROUND(BI239-SUM(M239:O239),10),0))</f>
        <v>39</v>
      </c>
      <c r="F239" s="28" t="n">
        <v>0</v>
      </c>
      <c r="G239" s="28" t="n">
        <f>IF(AND(ISNUMBER(D239),ISNUMBER(E239)),IF(OR(E239&lt;=0,L239=0),0,E239-D239),"")</f>
        <v>39</v>
      </c>
      <c r="H239" s="16" t="str">
        <f>IF(NOT(ISNUMBER(E239)),"销量或海外库存待补",IF(OR(E239&lt;=0,L239=0),IF(L239=0,"零日销，本批不发","本批无需补货"),IF(NOT(ISNUMBER(D239)),"国内库存待补",IF(D239=0,"国内无可用库存",IF(G239&gt;0,"先发国内现货","按建议量发货")))))</f>
        <v>国内无可用库存</v>
      </c>
      <c r="I239" s="28" t="n">
        <f>IF(AND(COUNT(Z239,AA239,AB239)=3,Z239&gt;=AA239,AA239&gt;=0,AB239=7),Z239-AA239,"")</f>
        <v>1</v>
      </c>
      <c r="J239" s="28" t="n">
        <f>IF(AND(COUNT(AF239,AG239,AH239)=3,AF239&gt;=AG239,AG239&gt;=0,AH239=14),AF239-AG239,"")</f>
        <v>1</v>
      </c>
      <c r="K239" s="28" t="n">
        <f>IF(AND(COUNT(AL239,AM239,AN239)=3,AL239&gt;=AM239,AM239&gt;=0,AN239=30),AL239-AM239,"")</f>
        <v>6</v>
      </c>
      <c r="L239" s="29" t="n">
        <f>IF(ISNUMBER(BI239),BI239/90,"")</f>
        <v>0.429694511464186</v>
      </c>
      <c r="M239" s="28" t="n">
        <v>0</v>
      </c>
      <c r="N239" s="28" t="n">
        <v>0</v>
      </c>
      <c r="O239" s="28" t="n">
        <v>0</v>
      </c>
      <c r="P239" s="30" t="n">
        <f>IF(AND(ISNUMBER(L239),L239&gt;0,COUNT(M239:O239)=3,MIN(M239:O239)&gt;=0),SUM(M239:O239)/L239,"")</f>
        <v>0</v>
      </c>
      <c r="Q239" s="16" t="str">
        <v>沿用原计划SKU店铺</v>
      </c>
      <c r="R239" s="16" t="str">
        <v>已匹配</v>
      </c>
      <c r="S239" s="16" t="str">
        <v>停售</v>
      </c>
      <c r="T239" s="16" t="str">
        <v>S02a</v>
      </c>
      <c r="U239" s="16" t="str">
        <v>黑色</v>
      </c>
      <c r="V239" s="16" t="n">
        <v>10</v>
      </c>
      <c r="W239" s="8" t="str">
        <v>2026-10-08 至 2026-10-17</v>
      </c>
      <c r="X239" s="8" t="str">
        <v>2026-10-08、2026-10-09、2026-10-10、2026-10-11、2026-10-14、2026-10-15、2026-10-17</v>
      </c>
      <c r="Y239" s="8" t="str">
        <v>2026-10-12 有记录的停售日；2026-10-13 有记录的停售日；2026-10-16 有记录的停售日</v>
      </c>
      <c r="Z239" s="8" t="n">
        <v>1</v>
      </c>
      <c r="AA239" s="8" t="n">
        <v>0</v>
      </c>
      <c r="AB239" s="8" t="n">
        <v>7</v>
      </c>
      <c r="AC239" s="8" t="str">
        <v>2026-09-29 至 2026-10-17</v>
      </c>
      <c r="AD239" s="8" t="str">
        <v>2026-09-29、2026-09-30、2026-10-01、2026-10-02、2026-10-03、2026-10-04、2026-10-05、2026-10-08、2026-10-09、2026-10-10、2026-10-11、2026-10-14、2026-10-15、2026-10-17</v>
      </c>
      <c r="AE239" s="8" t="str">
        <v>2026-10-06 大促；2026-10-07 大促；2026-10-12 有记录的停售日；2026-10-13 有记录的停售日；2026-10-16 有记录的停售日</v>
      </c>
      <c r="AF239" s="8" t="n">
        <v>2</v>
      </c>
      <c r="AG239" s="8" t="n">
        <v>1</v>
      </c>
      <c r="AH239" s="8" t="n">
        <v>14</v>
      </c>
      <c r="AI239" s="8" t="str">
        <v>2026-09-13 至 2026-10-17</v>
      </c>
      <c r="AJ2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39" s="8" t="str">
        <v>2026-10-06 大促；2026-10-07 大促；2026-10-12 有记录的停售日；2026-10-13 有记录的停售日；2026-10-16 有记录的停售日</v>
      </c>
      <c r="AL239" s="8" t="n">
        <v>7</v>
      </c>
      <c r="AM239" s="8" t="n">
        <v>1</v>
      </c>
      <c r="AN239" s="8" t="n">
        <v>30</v>
      </c>
      <c r="AO239" s="8" t="str">
        <v>S02a / 黑色 / 6574</v>
      </c>
      <c r="AP239" s="11" t="n">
        <v>0.7647664488148722</v>
      </c>
      <c r="AQ239" s="11" t="n">
        <v>0.776720393931354</v>
      </c>
      <c r="AR239" s="11" t="n">
        <v>0.8149730183040955</v>
      </c>
      <c r="AS239" s="11" t="n">
        <f>IF(AND(COUNT(I239:K239,AP239:AR239)=6,MIN(AP239:AR239)&gt;0),I239/7/AP239*0.5+J239/14/AQ239*0.3+K239/30/AR239*0.2,"")</f>
        <v>0.17006910231512185</v>
      </c>
      <c r="AT239" s="8" t="n">
        <v>19</v>
      </c>
      <c r="AU239" s="8" t="n">
        <v>1</v>
      </c>
      <c r="AV239" s="8" t="n">
        <v>85</v>
      </c>
      <c r="AW239" s="11" t="n">
        <f>IF(AND(COUNT(AT239:AV239)=3,AT239&gt;=AU239,AU239&gt;=0,AV239&gt;0),(AT239-AU239)/AV239,"")</f>
        <v>0.21176470588235294</v>
      </c>
      <c r="AX239" s="8" t="n">
        <v>24</v>
      </c>
      <c r="AY239" s="8" t="n">
        <v>1</v>
      </c>
      <c r="AZ239" s="8" t="n">
        <v>175</v>
      </c>
      <c r="BA239" s="11" t="n">
        <f>IF(AND(COUNT(AX239:AZ239)=3,AX239&gt;=AY239,AY239&gt;=0,AZ239&gt;0),(AX239-AY239)/AZ239,"")</f>
        <v>0.13142857142857142</v>
      </c>
      <c r="BB239" s="8" t="n">
        <f>IF(COUNT(AS239,AW239,BA239)=3,1,0)</f>
        <v>1</v>
      </c>
      <c r="BC239" s="11" t="n">
        <f>IF(SUMIF($AO$11:$AO$1309,AO239,$BB$11:$BB$1309)=COUNTIF($AO$11:$AO$1309,AO239),SUMIF($AO$11:$AO$1309,AO239,$AS$11:$AS$1309),"")</f>
        <v>1.8937291591853285</v>
      </c>
      <c r="BD239" s="11" t="n">
        <f>IF(SUMIF($AO$11:$AO$1309,AO239,$BB$11:$BB$1309)=COUNTIF($AO$11:$AO$1309,AO239),SUMIF($AO$11:$AO$1309,AO239,$AW$11:$AW$1309),"")</f>
        <v>1.0754010695187166</v>
      </c>
      <c r="BE239" s="11" t="n">
        <f>IF(SUMIF($AO$11:$AO$1309,AO239,$BB$11:$BB$1309)=COUNTIF($AO$11:$AO$1309,AO239),SUMIF($AO$11:$AO$1309,AO239,$BA$11:$BA$1309),"")</f>
        <v>0.9853611556982342</v>
      </c>
      <c r="BF239" s="12" t="n">
        <f>IF(COUNT(BD239:BE239)&lt;&gt;2,"",IF(AND(BD239&gt;0,BE239&gt;0),0.7*AW239/BD239+0.3*BA239/BE239,IF(BD239&gt;0,AW239/BD239,IF(BE239&gt;0,BA239/BE239,IF(AND(ISNUMBER(BH239),BH239=0),0,"")))))</f>
        <v>0.1778562047657542</v>
      </c>
      <c r="BG239" s="11" t="n">
        <f>IF(AND(COUNT(BN239:BU239)=8,MIN(BN239:BU239)&gt;=0),SUMPRODUCT(BN239:BQ239,BR239:BU239),"")</f>
        <v>114.81944114457707</v>
      </c>
      <c r="BH239" s="11" t="n">
        <f>IF(COUNT(BC239,BG239)=2,BC239*BG239,"")</f>
        <v>217.43692373684925</v>
      </c>
      <c r="BI239" s="11" t="n">
        <f>IF(ISNUMBER(CI239),CI239,"")</f>
        <v>38.67250603177674</v>
      </c>
      <c r="BJ239" s="8" t="str"/>
      <c r="BK239" s="8" t="str">
        <v>90天：2026-07-20 至 2026-10-17；180天：2026-04-21 至 2026-10-17</v>
      </c>
      <c r="BL239" s="8" t="str">
        <v>90天：2026-10-06、2026-10-07、2026-10-12、2026-10-13、2026-10-16；180天：2026-10-06、2026-10-07、2026-10-12、2026-10-13、2026-10-16</v>
      </c>
      <c r="BM239" s="8" t="str">
        <v>2026-10：12天 × 0.7647664488148722；2026-11：30天 × 1.5248287781391903；2026-12：31天 × 1.2288250057360348；2027-01：17天 × 1.2825767786356366</v>
      </c>
      <c r="BN239" s="11" t="n">
        <v>0.7647664488148722</v>
      </c>
      <c r="BO239" s="11" t="n">
        <v>1.5248287781391903</v>
      </c>
      <c r="BP239" s="11" t="n">
        <v>1.2288250057360348</v>
      </c>
      <c r="BQ239" s="11" t="n">
        <v>1.2825767786356366</v>
      </c>
      <c r="BR239" s="8" t="n">
        <v>12</v>
      </c>
      <c r="BS239" s="8" t="n">
        <v>30</v>
      </c>
      <c r="BT239" s="8" t="n">
        <v>31</v>
      </c>
      <c r="BU239" s="8" t="n">
        <v>17</v>
      </c>
      <c r="BV239" s="11" t="n">
        <f>IF(COUNT(BC239,BF239)=2,BC239*BF239,"")</f>
        <v>0.3368114811069453</v>
      </c>
      <c r="BW239" s="11" t="n">
        <f>IF(ISNUMBER(BN239),BN239,"")</f>
        <v>0.7647664488148722</v>
      </c>
      <c r="BX239" s="14" t="n">
        <f>IF(ISNUMBER(BR239),BR239,"")</f>
        <v>12</v>
      </c>
      <c r="BY239" s="13" t="n">
        <f>IF(AND(COUNT(BV239,BW239,BX239)=3,MIN(BV239,BW239,BX239)&gt;=0),BV239*BW239*BX239,"")</f>
        <v>3.090985443914832</v>
      </c>
      <c r="BZ239" s="11" t="n">
        <f>IF(ISNUMBER(BO239),BO239,"")</f>
        <v>1.5248287781391903</v>
      </c>
      <c r="CA239" s="14" t="n">
        <f>IF(ISNUMBER(BS239),BS239,"")</f>
        <v>30</v>
      </c>
      <c r="CB239" s="13" t="n">
        <f>IF(AND(COUNT(BV239,BZ239,CA239)=3,MIN(BV239,BZ239,CA239)&gt;=0),BV239*BZ239*CA239,"")</f>
        <v>15.407395175986633</v>
      </c>
      <c r="CC239" s="11" t="n">
        <f>IF(ISNUMBER(BP239),BP239,"")</f>
        <v>1.2288250057360348</v>
      </c>
      <c r="CD239" s="14" t="n">
        <f>IF(ISNUMBER(BT239),BT239,"")</f>
        <v>31</v>
      </c>
      <c r="CE239" s="13" t="n">
        <f>IF(AND(COUNT(BV239,CC239,CD239)=3,MIN(BV239,CC239,CD239)&gt;=0),BV239*CC239*CD239,"")</f>
        <v>12.830353476299338</v>
      </c>
      <c r="CF239" s="11" t="n">
        <f>IF(ISNUMBER(BQ239),BQ239,"")</f>
        <v>1.2825767786356366</v>
      </c>
      <c r="CG239" s="14" t="n">
        <f>IF(ISNUMBER(BU239),BU239,"")</f>
        <v>17</v>
      </c>
      <c r="CH239" s="13" t="n">
        <f>IF(AND(COUNT(BV239,CF239,CG239)=3,MIN(BV239,CF239,CG239)&gt;=0),BV239*CF239*CG239,"")</f>
        <v>7.343771935575939</v>
      </c>
      <c r="CI239" s="13" t="n">
        <f>IF(COUNT(BY239,CB239,CE239,CH239)=4,SUM(BY239,CB239,CE239,CH239),"")</f>
        <v>38.67250603177674</v>
      </c>
    </row>
    <row r="240" ht="72" customHeight="1">
      <c r="A240" s="16" t="str">
        <v>B06b-LP-41</v>
      </c>
      <c r="B240" s="16" t="str">
        <v>1店-MUSSHOE-US</v>
      </c>
      <c r="C240" s="16" t="str">
        <v>艾年</v>
      </c>
      <c r="D240" s="26" t="n">
        <f>IF(NOT(ISNUMBER(E240)),"",IF(OR(E240&lt;=0,L240=0),0,IF(OR(NOT(ISNUMBER(F240)),F240&lt;0),"",MIN(E240,INT(F240)))))</f>
        <v>0</v>
      </c>
      <c r="E240" s="27" t="n">
        <f>IF(OR(NOT(ISNUMBER(L240)),COUNT(M240:O240)&lt;&gt;3,MIN(M240:O240)&lt;0),"",ROUNDUP(ROUND(BI240-SUM(M240:O240),10),0))</f>
        <v>38</v>
      </c>
      <c r="F240" s="28" t="n">
        <v>0</v>
      </c>
      <c r="G240" s="28" t="n">
        <f>IF(AND(ISNUMBER(D240),ISNUMBER(E240)),IF(OR(E240&lt;=0,L240=0),0,E240-D240),"")</f>
        <v>38</v>
      </c>
      <c r="H240" s="16" t="str">
        <f>IF(NOT(ISNUMBER(E240)),"销量或海外库存待补",IF(OR(E240&lt;=0,L240=0),IF(L240=0,"零日销，本批不发","本批无需补货"),IF(NOT(ISNUMBER(D240)),"国内库存待补",IF(D240=0,"国内无可用库存",IF(G240&gt;0,"先发国内现货","按建议量发货")))))</f>
        <v>国内无可用库存</v>
      </c>
      <c r="I240" s="28" t="n">
        <f>IF(AND(COUNT(Z240,AA240,AB240)=3,Z240&gt;=AA240,AA240&gt;=0,AB240=7),Z240-AA240,"")</f>
        <v>2</v>
      </c>
      <c r="J240" s="28" t="n">
        <f>IF(AND(COUNT(AF240,AG240,AH240)=3,AF240&gt;=AG240,AG240&gt;=0,AH240=14),AF240-AG240,"")</f>
        <v>3</v>
      </c>
      <c r="K240" s="28" t="n">
        <f>IF(AND(COUNT(AL240,AM240,AN240)=3,AL240&gt;=AM240,AM240&gt;=0,AN240=30),AL240-AM240,"")</f>
        <v>11</v>
      </c>
      <c r="L240" s="29" t="n">
        <f>IF(ISNUMBER(BI240),BI240/90,"")</f>
        <v>0.4347889574263767</v>
      </c>
      <c r="M240" s="28" t="n">
        <v>2</v>
      </c>
      <c r="N240" s="28" t="n">
        <v>0</v>
      </c>
      <c r="O240" s="28" t="n">
        <v>0</v>
      </c>
      <c r="P240" s="30" t="n">
        <f>IF(AND(ISNUMBER(L240),L240&gt;0,COUNT(M240:O240)=3,MIN(M240:O240)&gt;=0),SUM(M240:O240)/L240,"")</f>
        <v>4.599932831409736</v>
      </c>
      <c r="Q240" s="16" t="str">
        <v>沿用原计划SKU店铺</v>
      </c>
      <c r="R240" s="16" t="str">
        <v>已匹配</v>
      </c>
      <c r="S240" s="16" t="str">
        <v>在售</v>
      </c>
      <c r="T240" s="16" t="str">
        <v>B06b</v>
      </c>
      <c r="U240" s="16" t="str">
        <v>豹纹羊京绒</v>
      </c>
      <c r="V240" s="16" t="n">
        <v>10</v>
      </c>
      <c r="W240" s="8" t="str">
        <v>2026-10-11 至 2026-10-17</v>
      </c>
      <c r="X240" s="8" t="str">
        <v>2026-10-11、2026-10-12、2026-10-13、2026-10-14、2026-10-15、2026-10-16、2026-10-17</v>
      </c>
      <c r="Y240" s="8" t="str">
        <v>无</v>
      </c>
      <c r="Z240" s="8" t="n">
        <v>2</v>
      </c>
      <c r="AA240" s="8" t="n">
        <v>0</v>
      </c>
      <c r="AB240" s="8" t="n">
        <v>7</v>
      </c>
      <c r="AC240" s="8" t="str">
        <v>2026-10-02 至 2026-10-17</v>
      </c>
      <c r="AD240" s="8" t="str">
        <v>2026-10-02、2026-10-03、2026-10-04、2026-10-05、2026-10-08、2026-10-09、2026-10-10、2026-10-11、2026-10-12、2026-10-13、2026-10-14、2026-10-15、2026-10-16、2026-10-17</v>
      </c>
      <c r="AE240" s="8" t="str">
        <v>2026-10-06 大促；2026-10-07 大促</v>
      </c>
      <c r="AF240" s="8" t="n">
        <v>4</v>
      </c>
      <c r="AG240" s="8" t="n">
        <v>1</v>
      </c>
      <c r="AH240" s="8" t="n">
        <v>14</v>
      </c>
      <c r="AI240" s="8" t="str">
        <v>2026-09-16 至 2026-10-17</v>
      </c>
      <c r="AJ2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0" s="8" t="str">
        <v>2026-10-06 大促；2026-10-07 大促</v>
      </c>
      <c r="AL240" s="8" t="n">
        <v>12</v>
      </c>
      <c r="AM240" s="8" t="n">
        <v>1</v>
      </c>
      <c r="AN240" s="8" t="n">
        <v>30</v>
      </c>
      <c r="AO240" s="8" t="str">
        <v>B06b / 豹纹羊京绒 / 13120</v>
      </c>
      <c r="AP240" s="11" t="n">
        <v>1.1090677182221615</v>
      </c>
      <c r="AQ240" s="11" t="n">
        <v>1.1090677182221615</v>
      </c>
      <c r="AR240" s="11" t="n">
        <v>0.9505188216044452</v>
      </c>
      <c r="AS240" s="11" t="n">
        <f>IF(AND(COUNT(I240:K240,AP240:AR240)=6,MIN(AP240:AR240)&gt;0),I240/7/AP240*0.5+J240/14/AQ240*0.3+K240/30/AR240*0.2,"")</f>
        <v>0.2639229034665111</v>
      </c>
      <c r="AT240" s="8" t="n">
        <v>27</v>
      </c>
      <c r="AU240" s="8" t="n">
        <v>1</v>
      </c>
      <c r="AV240" s="8" t="n">
        <v>88</v>
      </c>
      <c r="AW240" s="11" t="n">
        <f>IF(AND(COUNT(AT240:AV240)=3,AT240&gt;=AU240,AU240&gt;=0,AV240&gt;0),(AT240-AU240)/AV240,"")</f>
        <v>0.29545454545454547</v>
      </c>
      <c r="AX240" s="8" t="n">
        <v>34</v>
      </c>
      <c r="AY240" s="8" t="n">
        <v>1</v>
      </c>
      <c r="AZ240" s="8" t="n">
        <v>178</v>
      </c>
      <c r="BA240" s="11" t="n">
        <f>IF(AND(COUNT(AX240:AZ240)=3,AX240&gt;=AY240,AY240&gt;=0,AZ240&gt;0),(AX240-AY240)/AZ240,"")</f>
        <v>0.1853932584269663</v>
      </c>
      <c r="BB240" s="8" t="n">
        <f>IF(COUNT(AS240,AW240,BA240)=3,1,0)</f>
        <v>1</v>
      </c>
      <c r="BC240" s="11" t="n">
        <f>IF(SUMIF($AO$11:$AO$1309,AO240,$BB$11:$BB$1309)=COUNTIF($AO$11:$AO$1309,AO240),SUMIF($AO$11:$AO$1309,AO240,$AS$11:$AS$1309),"")</f>
        <v>3.3094608435746915</v>
      </c>
      <c r="BD240" s="11" t="n">
        <f>IF(SUMIF($AO$11:$AO$1309,AO240,$BB$11:$BB$1309)=COUNTIF($AO$11:$AO$1309,AO240),SUMIF($AO$11:$AO$1309,AO240,$AW$11:$AW$1309),"")</f>
        <v>2.343716577540107</v>
      </c>
      <c r="BE240" s="11" t="n">
        <f>IF(SUMIF($AO$11:$AO$1309,AO240,$BB$11:$BB$1309)=COUNTIF($AO$11:$AO$1309,AO240),SUMIF($AO$11:$AO$1309,AO240,$BA$11:$BA$1309),"")</f>
        <v>1.5069662921348317</v>
      </c>
      <c r="BF240" s="12" t="n">
        <f>IF(COUNT(BD240:BE240)&lt;&gt;2,"",IF(AND(BD240&gt;0,BE240&gt;0),0.7*AW240/BD240+0.3*BA240/BE240,IF(BD240&gt;0,AW240/BD240,IF(BE240&gt;0,BA240/BE240,IF(AND(ISNUMBER(BH240),BH240=0),0,"")))))</f>
        <v>0.12515092986063645</v>
      </c>
      <c r="BG240" s="11" t="n">
        <f>IF(AND(COUNT(BN240:BU240)=8,MIN(BN240:BU240)&gt;=0),SUMPRODUCT(BN240:BQ240,BR240:BU240),"")</f>
        <v>94.47778160343367</v>
      </c>
      <c r="BH240" s="11" t="n">
        <f>IF(COUNT(BC240,BG240)=2,BC240*BG240,"")</f>
        <v>312.6705188043651</v>
      </c>
      <c r="BI240" s="11" t="n">
        <f>IF(ISNUMBER(CI240),CI240,"")</f>
        <v>39.1310061683739</v>
      </c>
      <c r="BJ240" s="8" t="str"/>
      <c r="BK240" s="8" t="str">
        <v>90天：2026-07-20 至 2026-10-17；180天：2026-04-21 至 2026-10-17</v>
      </c>
      <c r="BL240" s="8" t="str">
        <v>90天：2026-10-06、2026-10-07；180天：2026-10-06、2026-10-07</v>
      </c>
      <c r="BM240" s="8" t="str">
        <v>2026-10：12天 × 1.1090677182221615；2026-11：30天 × 1.0372741535934282；2026-12：31天 × 0.979949351738161；2027-01：17天 × 1.1571949690048173</v>
      </c>
      <c r="BN240" s="11" t="n">
        <v>1.1090677182221615</v>
      </c>
      <c r="BO240" s="11" t="n">
        <v>1.0372741535934282</v>
      </c>
      <c r="BP240" s="11" t="n">
        <v>0.979949351738161</v>
      </c>
      <c r="BQ240" s="11" t="n">
        <v>1.1571949690048173</v>
      </c>
      <c r="BR240" s="8" t="n">
        <v>12</v>
      </c>
      <c r="BS240" s="8" t="n">
        <v>30</v>
      </c>
      <c r="BT240" s="8" t="n">
        <v>31</v>
      </c>
      <c r="BU240" s="8" t="n">
        <v>17</v>
      </c>
      <c r="BV240" s="11" t="n">
        <f>IF(COUNT(BC240,BF240)=2,BC240*BF240,"")</f>
        <v>0.41418210191073895</v>
      </c>
      <c r="BW240" s="11" t="n">
        <f>IF(ISNUMBER(BN240),BN240,"")</f>
        <v>1.1090677182221615</v>
      </c>
      <c r="BX240" s="14" t="n">
        <f>IF(ISNUMBER(BR240),BR240,"")</f>
        <v>12</v>
      </c>
      <c r="BY240" s="13" t="n">
        <f>IF(AND(COUNT(BV240,BW240,BX240)=3,MIN(BV240,BW240,BX240)&gt;=0),BV240*BW240*BX240,"")</f>
        <v>5.512271984335224</v>
      </c>
      <c r="BZ240" s="11" t="n">
        <f>IF(ISNUMBER(BO240),BO240,"")</f>
        <v>1.0372741535934282</v>
      </c>
      <c r="CA240" s="14" t="n">
        <f>IF(ISNUMBER(BS240),BS240,"")</f>
        <v>30</v>
      </c>
      <c r="CB240" s="13" t="n">
        <f>IF(AND(COUNT(BV240,BZ240,CA240)=3,MIN(BV240,BZ240,CA240)&gt;=0),BV240*BZ240*CA240,"")</f>
        <v>12.888611675790264</v>
      </c>
      <c r="CC240" s="11" t="n">
        <f>IF(ISNUMBER(BP240),BP240,"")</f>
        <v>0.979949351738161</v>
      </c>
      <c r="CD240" s="14" t="n">
        <f>IF(ISNUMBER(BT240),BT240,"")</f>
        <v>31</v>
      </c>
      <c r="CE240" s="13" t="n">
        <f>IF(AND(COUNT(BV240,CC240,CD240)=3,MIN(BV240,CC240,CD240)&gt;=0),BV240*CC240*CD240,"")</f>
        <v>12.582201950338305</v>
      </c>
      <c r="CF240" s="11" t="n">
        <f>IF(ISNUMBER(BQ240),BQ240,"")</f>
        <v>1.1571949690048173</v>
      </c>
      <c r="CG240" s="14" t="n">
        <f>IF(ISNUMBER(BU240),BU240,"")</f>
        <v>17</v>
      </c>
      <c r="CH240" s="13" t="n">
        <f>IF(AND(COUNT(BV240,CF240,CG240)=3,MIN(BV240,CF240,CG240)&gt;=0),BV240*CF240*CG240,"")</f>
        <v>8.14792055791011</v>
      </c>
      <c r="CI240" s="13" t="n">
        <f>IF(COUNT(BY240,CB240,CE240,CH240)=4,SUM(BY240,CB240,CE240,CH240),"")</f>
        <v>39.1310061683739</v>
      </c>
    </row>
    <row r="241" ht="72" customHeight="1">
      <c r="A241" s="16" t="str">
        <v>32582-BK-42</v>
      </c>
      <c r="B241" s="16" t="str">
        <v>3店-SANDIEX-US</v>
      </c>
      <c r="C241" s="16" t="str">
        <v>徐新怡</v>
      </c>
      <c r="D241" s="26" t="n">
        <f>IF(NOT(ISNUMBER(E241)),"",IF(OR(E241&lt;=0,L241=0),0,IF(OR(NOT(ISNUMBER(F241)),F241&lt;0),"",MIN(E241,INT(F241)))))</f>
        <v>0</v>
      </c>
      <c r="E241" s="27" t="n">
        <f>IF(OR(NOT(ISNUMBER(L241)),COUNT(M241:O241)&lt;&gt;3,MIN(M241:O241)&lt;0),"",ROUNDUP(ROUND(BI241-SUM(M241:O241),10),0))</f>
        <v>37</v>
      </c>
      <c r="F241" s="28" t="n">
        <v>0</v>
      </c>
      <c r="G241" s="28" t="n">
        <f>IF(AND(ISNUMBER(D241),ISNUMBER(E241)),IF(OR(E241&lt;=0,L241=0),0,E241-D241),"")</f>
        <v>37</v>
      </c>
      <c r="H241" s="16" t="str">
        <f>IF(NOT(ISNUMBER(E241)),"销量或海外库存待补",IF(OR(E241&lt;=0,L241=0),IF(L241=0,"零日销，本批不发","本批无需补货"),IF(NOT(ISNUMBER(D241)),"国内库存待补",IF(D241=0,"国内无可用库存",IF(G241&gt;0,"先发国内现货","按建议量发货")))))</f>
        <v>国内无可用库存</v>
      </c>
      <c r="I241" s="28" t="n">
        <f>IF(AND(COUNT(Z241,AA241,AB241)=3,Z241&gt;=AA241,AA241&gt;=0,AB241=7),Z241-AA241,"")</f>
        <v>2</v>
      </c>
      <c r="J241" s="28" t="n">
        <f>IF(AND(COUNT(AF241,AG241,AH241)=3,AF241&gt;=AG241,AG241&gt;=0,AH241=14),AF241-AG241,"")</f>
        <v>7</v>
      </c>
      <c r="K241" s="28" t="n">
        <f>IF(AND(COUNT(AL241,AM241,AN241)=3,AL241&gt;=AM241,AM241&gt;=0,AN241=30),AL241-AM241,"")</f>
        <v>10</v>
      </c>
      <c r="L241" s="29" t="n">
        <f>IF(ISNUMBER(BI241),BI241/90,"")</f>
        <v>0.40728923780358756</v>
      </c>
      <c r="M241" s="28" t="n">
        <v>0</v>
      </c>
      <c r="N241" s="28" t="n">
        <v>0</v>
      </c>
      <c r="O241" s="28" t="n">
        <v>0</v>
      </c>
      <c r="P241" s="30" t="n">
        <f>IF(AND(ISNUMBER(L241),L241&gt;0,COUNT(M241:O241)=3,MIN(M241:O241)&gt;=0),SUM(M241:O241)/L241,"")</f>
        <v>0</v>
      </c>
      <c r="Q241" s="16" t="str">
        <v>沿用原计划SKU店铺</v>
      </c>
      <c r="R241" s="16" t="str">
        <v>已匹配</v>
      </c>
      <c r="S241" s="16" t="str">
        <v>在售</v>
      </c>
      <c r="T241" s="16" t="str">
        <v>32582</v>
      </c>
      <c r="U241" s="16" t="str">
        <v>黑色</v>
      </c>
      <c r="V241" s="16" t="n">
        <v>11</v>
      </c>
      <c r="W241" s="8" t="str">
        <v>2026-10-10 至 2026-10-17</v>
      </c>
      <c r="X241" s="8" t="str">
        <v>2026-10-10、2026-10-11、2026-10-12、2026-10-13、2026-10-14、2026-10-15、2026-10-17</v>
      </c>
      <c r="Y241" s="8" t="str">
        <v>2026-10-16 有记录的停售日</v>
      </c>
      <c r="Z241" s="8" t="n">
        <v>2</v>
      </c>
      <c r="AA241" s="8" t="n">
        <v>0</v>
      </c>
      <c r="AB241" s="8" t="n">
        <v>7</v>
      </c>
      <c r="AC241" s="8" t="str">
        <v>2026-10-01 至 2026-10-17</v>
      </c>
      <c r="AD241" s="8" t="str">
        <v>2026-10-01、2026-10-02、2026-10-03、2026-10-04、2026-10-05、2026-10-08、2026-10-09、2026-10-10、2026-10-11、2026-10-12、2026-10-13、2026-10-14、2026-10-15、2026-10-17</v>
      </c>
      <c r="AE241" s="8" t="str">
        <v>2026-10-06 大促；2026-10-07 大促；2026-10-16 有记录的停售日</v>
      </c>
      <c r="AF241" s="8" t="n">
        <v>9</v>
      </c>
      <c r="AG241" s="8" t="n">
        <v>2</v>
      </c>
      <c r="AH241" s="8" t="n">
        <v>14</v>
      </c>
      <c r="AI241" s="8" t="str">
        <v>2026-09-15 至 2026-10-17</v>
      </c>
      <c r="AJ241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241" s="8" t="str">
        <v>2026-10-06 大促；2026-10-07 大促；2026-10-16 有记录的停售日</v>
      </c>
      <c r="AL241" s="8" t="n">
        <v>12</v>
      </c>
      <c r="AM241" s="8" t="n">
        <v>2</v>
      </c>
      <c r="AN241" s="8" t="n">
        <v>30</v>
      </c>
      <c r="AO241" s="8" t="str">
        <v>32582 / 黑色羊京绒 / 6574</v>
      </c>
      <c r="AP241" s="11" t="n">
        <v>1.0395067087630607</v>
      </c>
      <c r="AQ241" s="11" t="n">
        <v>1.0395067087630607</v>
      </c>
      <c r="AR241" s="11" t="n">
        <v>1.0728154465926236</v>
      </c>
      <c r="AS241" s="11" t="n">
        <f>IF(AND(COUNT(I241:K241,AP241:AR241)=6,MIN(AP241:AR241)&gt;0),I241/7/AP241*0.5+J241/14/AQ241*0.3+K241/30/AR241*0.2,"")</f>
        <v>0.3438688197878985</v>
      </c>
      <c r="AT241" s="8" t="n">
        <v>27</v>
      </c>
      <c r="AU241" s="8" t="n">
        <v>2</v>
      </c>
      <c r="AV241" s="8" t="n">
        <v>87</v>
      </c>
      <c r="AW241" s="11" t="n">
        <f>IF(AND(COUNT(AT241:AV241)=3,AT241&gt;=AU241,AU241&gt;=0,AV241&gt;0),(AT241-AU241)/AV241,"")</f>
        <v>0.28735632183908044</v>
      </c>
      <c r="AX241" s="8" t="n">
        <v>48</v>
      </c>
      <c r="AY241" s="8" t="n">
        <v>2</v>
      </c>
      <c r="AZ241" s="8" t="n">
        <v>177</v>
      </c>
      <c r="BA241" s="11" t="n">
        <f>IF(AND(COUNT(AX241:AZ241)=3,AX241&gt;=AY241,AY241&gt;=0,AZ241&gt;0),(AX241-AY241)/AZ241,"")</f>
        <v>0.2598870056497175</v>
      </c>
      <c r="BB241" s="8" t="n">
        <f>IF(COUNT(AS241,AW241,BA241)=3,1,0)</f>
        <v>1</v>
      </c>
      <c r="BC241" s="11" t="n">
        <f>IF(SUMIF($AO$11:$AO$1309,AO241,$BB$11:$BB$1309)=COUNTIF($AO$11:$AO$1309,AO241),SUMIF($AO$11:$AO$1309,AO241,$AS$11:$AS$1309),"")</f>
        <v>8.693659224127387</v>
      </c>
      <c r="BD241" s="11" t="n">
        <f>IF(SUMIF($AO$11:$AO$1309,AO241,$BB$11:$BB$1309)=COUNTIF($AO$11:$AO$1309,AO241),SUMIF($AO$11:$AO$1309,AO241,$AW$11:$AW$1309),"")</f>
        <v>6.372516749646567</v>
      </c>
      <c r="BE241" s="11" t="n">
        <f>IF(SUMIF($AO$11:$AO$1309,AO241,$BB$11:$BB$1309)=COUNTIF($AO$11:$AO$1309,AO241),SUMIF($AO$11:$AO$1309,AO241,$BA$11:$BA$1309),"")</f>
        <v>4.812567583498835</v>
      </c>
      <c r="BF241" s="12" t="n">
        <f>IF(COUNT(BD241:BE241)&lt;&gt;2,"",IF(AND(BD241&gt;0,BE241&gt;0),0.7*AW241/BD241+0.3*BA241/BE241,IF(BD241&gt;0,AW241/BD241,IF(BE241&gt;0,BA241/BE241,IF(AND(ISNUMBER(BH241),BH241=0),0,"")))))</f>
        <v>0.04776566747516461</v>
      </c>
      <c r="BG241" s="11" t="n">
        <f>IF(AND(COUNT(BN241:BU241)=8,MIN(BN241:BU241)&gt;=0),SUMPRODUCT(BN241:BQ241,BR241:BU241),"")</f>
        <v>88.27281580841549</v>
      </c>
      <c r="BH241" s="11" t="n">
        <f>IF(COUNT(BC241,BG241)=2,BC241*BG241,"")</f>
        <v>767.4137793925291</v>
      </c>
      <c r="BI241" s="11" t="n">
        <f>IF(ISNUMBER(CI241),CI241,"")</f>
        <v>36.65603140232288</v>
      </c>
      <c r="BJ241" s="8" t="str">
        <v>低销提醒依据不完整</v>
      </c>
      <c r="BK241" s="8" t="str">
        <v>90天：2026-07-20 至 2026-10-17；180天：2026-04-21 至 2026-10-17</v>
      </c>
      <c r="BL241" s="8" t="str">
        <v>90天：2026-10-06、2026-10-07、2026-10-16；180天：2026-10-06、2026-10-07、2026-10-16</v>
      </c>
      <c r="BM241" s="8" t="str">
        <v>2026-10：12天 × 1.0395067087630607；2026-11：30天 × 0.9890368360033146；2026-12：31天 × 0.7800796503018808；2027-01：17天 × 1.2908918272824135</v>
      </c>
      <c r="BN241" s="11" t="n">
        <v>1.0395067087630607</v>
      </c>
      <c r="BO241" s="11" t="n">
        <v>0.9890368360033146</v>
      </c>
      <c r="BP241" s="11" t="n">
        <v>0.7800796503018808</v>
      </c>
      <c r="BQ241" s="11" t="n">
        <v>1.2908918272824135</v>
      </c>
      <c r="BR241" s="8" t="n">
        <v>12</v>
      </c>
      <c r="BS241" s="8" t="n">
        <v>30</v>
      </c>
      <c r="BT241" s="8" t="n">
        <v>31</v>
      </c>
      <c r="BU241" s="8" t="n">
        <v>17</v>
      </c>
      <c r="BV241" s="11" t="n">
        <f>IF(COUNT(BC241,BF241)=2,BC241*BF241,"")</f>
        <v>0.4152584356420663</v>
      </c>
      <c r="BW241" s="11" t="n">
        <f>IF(ISNUMBER(BN241),BN241,"")</f>
        <v>1.0395067087630607</v>
      </c>
      <c r="BX241" s="14" t="n">
        <f>IF(ISNUMBER(BR241),BR241,"")</f>
        <v>12</v>
      </c>
      <c r="BY241" s="13" t="n">
        <f>IF(AND(COUNT(BV241,BW241,BX241)=3,MIN(BV241,BW241,BX241)&gt;=0),BV241*BW241*BX241,"")</f>
        <v>5.1799671566445795</v>
      </c>
      <c r="BZ241" s="11" t="n">
        <f>IF(ISNUMBER(BO241),BO241,"")</f>
        <v>0.9890368360033146</v>
      </c>
      <c r="CA241" s="14" t="n">
        <f>IF(ISNUMBER(BS241),BS241,"")</f>
        <v>30</v>
      </c>
      <c r="CB241" s="13" t="n">
        <f>IF(AND(COUNT(BV241,BZ241,CA241)=3,MIN(BV241,BZ241,CA241)&gt;=0),BV241*BZ241*CA241,"")</f>
        <v>12.32117667933346</v>
      </c>
      <c r="CC241" s="11" t="n">
        <f>IF(ISNUMBER(BP241),BP241,"")</f>
        <v>0.7800796503018808</v>
      </c>
      <c r="CD241" s="14" t="n">
        <f>IF(ISNUMBER(BT241),BT241,"")</f>
        <v>31</v>
      </c>
      <c r="CE241" s="13" t="n">
        <f>IF(AND(COUNT(BV241,CC241,CD241)=3,MIN(BV241,CC241,CD241)&gt;=0),BV241*CC241*CD241,"")</f>
        <v>10.041974313077644</v>
      </c>
      <c r="CF241" s="11" t="n">
        <f>IF(ISNUMBER(BQ241),BQ241,"")</f>
        <v>1.2908918272824135</v>
      </c>
      <c r="CG241" s="14" t="n">
        <f>IF(ISNUMBER(BU241),BU241,"")</f>
        <v>17</v>
      </c>
      <c r="CH241" s="13" t="n">
        <f>IF(AND(COUNT(BV241,CF241,CG241)=3,MIN(BV241,CF241,CG241)&gt;=0),BV241*CF241*CG241,"")</f>
        <v>9.112913253267198</v>
      </c>
      <c r="CI241" s="13" t="n">
        <f>IF(COUNT(BY241,CB241,CE241,CH241)=4,SUM(BY241,CB241,CE241,CH241),"")</f>
        <v>36.65603140232288</v>
      </c>
    </row>
    <row r="242" ht="72" customHeight="1">
      <c r="A242" s="16" t="str">
        <v>S02a-BKP-42</v>
      </c>
      <c r="B242" s="16" t="str">
        <v>3店-SANDIEX-US</v>
      </c>
      <c r="C242" s="16" t="str">
        <v>陈晨</v>
      </c>
      <c r="D242" s="26" t="n">
        <f>IF(NOT(ISNUMBER(E242)),"",IF(OR(E242&lt;=0,L242=0),0,IF(OR(NOT(ISNUMBER(F242)),F242&lt;0),"",MIN(E242,INT(F242)))))</f>
        <v>0</v>
      </c>
      <c r="E242" s="27" t="n">
        <f>IF(OR(NOT(ISNUMBER(L242)),COUNT(M242:O242)&lt;&gt;3,MIN(M242:O242)&lt;0),"",ROUNDUP(ROUND(BI242-SUM(M242:O242),10),0))</f>
        <v>36</v>
      </c>
      <c r="F242" s="28" t="n">
        <v>0</v>
      </c>
      <c r="G242" s="28" t="n">
        <f>IF(AND(ISNUMBER(D242),ISNUMBER(E242)),IF(OR(E242&lt;=0,L242=0),0,E242-D242),"")</f>
        <v>36</v>
      </c>
      <c r="H242" s="16" t="str">
        <f>IF(NOT(ISNUMBER(E242)),"销量或海外库存待补",IF(OR(E242&lt;=0,L242=0),IF(L242=0,"零日销，本批不发","本批无需补货"),IF(NOT(ISNUMBER(D242)),"国内库存待补",IF(D242=0,"国内无可用库存",IF(G242&gt;0,"先发国内现货","按建议量发货")))))</f>
        <v>国内无可用库存</v>
      </c>
      <c r="I242" s="28" t="n">
        <f>IF(AND(COUNT(Z242,AA242,AB242)=3,Z242&gt;=AA242,AA242&gt;=0,AB242=7),Z242-AA242,"")</f>
        <v>7</v>
      </c>
      <c r="J242" s="28" t="n">
        <f>IF(AND(COUNT(AF242,AG242,AH242)=3,AF242&gt;=AG242,AG242&gt;=0,AH242=14),AF242-AG242,"")</f>
        <v>7</v>
      </c>
      <c r="K242" s="28" t="n">
        <f>IF(AND(COUNT(AL242,AM242,AN242)=3,AL242&gt;=AM242,AM242&gt;=0,AN242=30),AL242-AM242,"")</f>
        <v>14</v>
      </c>
      <c r="L242" s="29" t="n">
        <f>IF(ISNUMBER(BI242),BI242/90,"")</f>
        <v>0.720686726267648</v>
      </c>
      <c r="M242" s="28" t="n">
        <v>29</v>
      </c>
      <c r="N242" s="28" t="n">
        <v>0</v>
      </c>
      <c r="O242" s="28" t="n">
        <v>0</v>
      </c>
      <c r="P242" s="30" t="n">
        <f>IF(AND(ISNUMBER(L242),L242&gt;0,COUNT(M242:O242)=3,MIN(M242:O242)&gt;=0),SUM(M242:O242)/L242,"")</f>
        <v>40.23939798390293</v>
      </c>
      <c r="Q242" s="16" t="str">
        <v>沿用原计划SKU店铺</v>
      </c>
      <c r="R242" s="16" t="str">
        <v>已匹配</v>
      </c>
      <c r="S242" s="16" t="str">
        <v>在售</v>
      </c>
      <c r="T242" s="16" t="str">
        <v>S02a</v>
      </c>
      <c r="U242" s="16" t="str">
        <v>黑色PU</v>
      </c>
      <c r="V242" s="16" t="n">
        <v>11</v>
      </c>
      <c r="W242" s="8" t="str">
        <v>2026-10-11 至 2026-10-17</v>
      </c>
      <c r="X242" s="8" t="str">
        <v>2026-10-11、2026-10-12、2026-10-13、2026-10-14、2026-10-15、2026-10-16、2026-10-17</v>
      </c>
      <c r="Y242" s="8" t="str">
        <v>无</v>
      </c>
      <c r="Z242" s="8" t="n">
        <v>7</v>
      </c>
      <c r="AA242" s="8" t="n">
        <v>0</v>
      </c>
      <c r="AB242" s="8" t="n">
        <v>7</v>
      </c>
      <c r="AC242" s="8" t="str">
        <v>2026-10-02 至 2026-10-17</v>
      </c>
      <c r="AD242" s="8" t="str">
        <v>2026-10-02、2026-10-03、2026-10-04、2026-10-05、2026-10-08、2026-10-09、2026-10-10、2026-10-11、2026-10-12、2026-10-13、2026-10-14、2026-10-15、2026-10-16、2026-10-17</v>
      </c>
      <c r="AE242" s="8" t="str">
        <v>2026-10-06 大促；2026-10-07 大促</v>
      </c>
      <c r="AF242" s="8" t="n">
        <v>8</v>
      </c>
      <c r="AG242" s="8" t="n">
        <v>1</v>
      </c>
      <c r="AH242" s="8" t="n">
        <v>14</v>
      </c>
      <c r="AI242" s="8" t="str">
        <v>2026-09-16 至 2026-10-17</v>
      </c>
      <c r="AJ2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2" s="8" t="str">
        <v>2026-10-06 大促；2026-10-07 大促</v>
      </c>
      <c r="AL242" s="8" t="n">
        <v>15</v>
      </c>
      <c r="AM242" s="8" t="n">
        <v>1</v>
      </c>
      <c r="AN242" s="8" t="n">
        <v>30</v>
      </c>
      <c r="AO242" s="8" t="str">
        <v>S02a / 黑色PU / 6574</v>
      </c>
      <c r="AP242" s="11" t="n">
        <v>0.7647664488148722</v>
      </c>
      <c r="AQ242" s="11" t="n">
        <v>0.7647664488148722</v>
      </c>
      <c r="AR242" s="11" t="n">
        <v>0.8066052567225582</v>
      </c>
      <c r="AS242" s="11" t="n">
        <f>IF(AND(COUNT(I242:K242,AP242:AR242)=6,MIN(AP242:AR242)&gt;0),I242/7/AP242*0.5+J242/14/AQ242*0.3+K242/30/AR242*0.2,"")</f>
        <v>0.9656439715909654</v>
      </c>
      <c r="AT242" s="8" t="n">
        <v>23</v>
      </c>
      <c r="AU242" s="8" t="n">
        <v>1</v>
      </c>
      <c r="AV242" s="8" t="n">
        <v>88</v>
      </c>
      <c r="AW242" s="11" t="n">
        <f>IF(AND(COUNT(AT242:AV242)=3,AT242&gt;=AU242,AU242&gt;=0,AV242&gt;0),(AT242-AU242)/AV242,"")</f>
        <v>0.25</v>
      </c>
      <c r="AX242" s="8" t="n">
        <v>43</v>
      </c>
      <c r="AY242" s="8" t="n">
        <v>1</v>
      </c>
      <c r="AZ242" s="8" t="n">
        <v>178</v>
      </c>
      <c r="BA242" s="11" t="n">
        <f>IF(AND(COUNT(AX242:AZ242)=3,AX242&gt;=AY242,AY242&gt;=0,AZ242&gt;0),(AX242-AY242)/AZ242,"")</f>
        <v>0.23595505617977527</v>
      </c>
      <c r="BB242" s="8" t="n">
        <f>IF(COUNT(AS242,AW242,BA242)=3,1,0)</f>
        <v>1</v>
      </c>
      <c r="BC242" s="11" t="n">
        <f>IF(SUMIF($AO$11:$AO$1309,AO242,$BB$11:$BB$1309)=COUNTIF($AO$11:$AO$1309,AO242),SUMIF($AO$11:$AO$1309,AO242,$AS$11:$AS$1309),"")</f>
        <v>1.3346079165193463</v>
      </c>
      <c r="BD242" s="11" t="n">
        <f>IF(SUMIF($AO$11:$AO$1309,AO242,$BB$11:$BB$1309)=COUNTIF($AO$11:$AO$1309,AO242),SUMIF($AO$11:$AO$1309,AO242,$AW$11:$AW$1309),"")</f>
        <v>0.5454545454545454</v>
      </c>
      <c r="BE242" s="11" t="n">
        <f>IF(SUMIF($AO$11:$AO$1309,AO242,$BB$11:$BB$1309)=COUNTIF($AO$11:$AO$1309,AO242),SUMIF($AO$11:$AO$1309,AO242,$BA$11:$BA$1309),"")</f>
        <v>0.6910112359550562</v>
      </c>
      <c r="BF242" s="12" t="n">
        <f>IF(COUNT(BD242:BE242)&lt;&gt;2,"",IF(AND(BD242&gt;0,BE242&gt;0),0.7*AW242/BD242+0.3*BA242/BE242,IF(BD242&gt;0,AW242/BD242,IF(BE242&gt;0,BA242/BE242,IF(AND(ISNUMBER(BH242),BH242=0),0,"")))))</f>
        <v>0.42327235772357724</v>
      </c>
      <c r="BG242" s="11" t="n">
        <f>IF(AND(COUNT(BN242:BU242)=8,MIN(BN242:BU242)&gt;=0),SUMPRODUCT(BN242:BQ242,BR242:BU242),"")</f>
        <v>114.81944114457707</v>
      </c>
      <c r="BH242" s="11" t="n">
        <f>IF(COUNT(BC242,BG242)=2,BC242*BG242,"")</f>
        <v>153.2389351218797</v>
      </c>
      <c r="BI242" s="11" t="n">
        <f>IF(ISNUMBER(CI242),CI242,"")</f>
        <v>64.86180536408831</v>
      </c>
      <c r="BJ242" s="8" t="str"/>
      <c r="BK242" s="8" t="str">
        <v>90天：2026-07-20 至 2026-10-17；180天：2026-04-21 至 2026-10-17</v>
      </c>
      <c r="BL242" s="8" t="str">
        <v>90天：2026-10-06、2026-10-07；180天：2026-10-06、2026-10-07</v>
      </c>
      <c r="BM242" s="8" t="str">
        <v>2026-10：12天 × 0.7647664488148722；2026-11：30天 × 1.5248287781391903；2026-12：31天 × 1.2288250057360348；2027-01：17天 × 1.2825767786356366</v>
      </c>
      <c r="BN242" s="11" t="n">
        <v>0.7647664488148722</v>
      </c>
      <c r="BO242" s="11" t="n">
        <v>1.5248287781391903</v>
      </c>
      <c r="BP242" s="11" t="n">
        <v>1.2288250057360348</v>
      </c>
      <c r="BQ242" s="11" t="n">
        <v>1.2825767786356366</v>
      </c>
      <c r="BR242" s="8" t="n">
        <v>12</v>
      </c>
      <c r="BS242" s="8" t="n">
        <v>30</v>
      </c>
      <c r="BT242" s="8" t="n">
        <v>31</v>
      </c>
      <c r="BU242" s="8" t="n">
        <v>17</v>
      </c>
      <c r="BV242" s="11" t="n">
        <f>IF(COUNT(BC242,BF242)=2,BC242*BF242,"")</f>
        <v>0.5649026394616948</v>
      </c>
      <c r="BW242" s="11" t="n">
        <f>IF(ISNUMBER(BN242),BN242,"")</f>
        <v>0.7647664488148722</v>
      </c>
      <c r="BX242" s="14" t="n">
        <f>IF(ISNUMBER(BR242),BR242,"")</f>
        <v>12</v>
      </c>
      <c r="BY242" s="13" t="n">
        <f>IF(AND(COUNT(BV242,BW242,BX242)=3,MIN(BV242,BW242,BX242)&gt;=0),BV242*BW242*BX242,"")</f>
        <v>5.1842230260872215</v>
      </c>
      <c r="BZ242" s="11" t="n">
        <f>IF(ISNUMBER(BO242),BO242,"")</f>
        <v>1.5248287781391903</v>
      </c>
      <c r="CA242" s="14" t="n">
        <f>IF(ISNUMBER(BS242),BS242,"")</f>
        <v>30</v>
      </c>
      <c r="CB242" s="13" t="n">
        <f>IF(AND(COUNT(BV242,BZ242,CA242)=3,MIN(BV242,BZ242,CA242)&gt;=0),BV242*BZ242*CA242,"")</f>
        <v>25.84139404493939</v>
      </c>
      <c r="CC242" s="11" t="n">
        <f>IF(ISNUMBER(BP242),BP242,"")</f>
        <v>1.2288250057360348</v>
      </c>
      <c r="CD242" s="14" t="n">
        <f>IF(ISNUMBER(BT242),BT242,"")</f>
        <v>31</v>
      </c>
      <c r="CE242" s="13" t="n">
        <f>IF(AND(COUNT(BV242,CC242,CD242)=3,MIN(BV242,CC242,CD242)&gt;=0),BV242*CC242*CD242,"")</f>
        <v>21.519161164481368</v>
      </c>
      <c r="CF242" s="11" t="n">
        <f>IF(ISNUMBER(BQ242),BQ242,"")</f>
        <v>1.2825767786356366</v>
      </c>
      <c r="CG242" s="14" t="n">
        <f>IF(ISNUMBER(BU242),BU242,"")</f>
        <v>17</v>
      </c>
      <c r="CH242" s="13" t="n">
        <f>IF(AND(COUNT(BV242,CF242,CG242)=3,MIN(BV242,CF242,CG242)&gt;=0),BV242*CF242*CG242,"")</f>
        <v>12.317027128580333</v>
      </c>
      <c r="CI242" s="13" t="n">
        <f>IF(COUNT(BY242,CB242,CE242,CH242)=4,SUM(BY242,CB242,CE242,CH242),"")</f>
        <v>64.86180536408831</v>
      </c>
    </row>
    <row r="243" ht="72" customHeight="1">
      <c r="A243" s="16" t="str">
        <v>32582-BK-37</v>
      </c>
      <c r="B243" s="16" t="str">
        <v>3店-SANDIEX-US</v>
      </c>
      <c r="C243" s="16" t="str">
        <v>徐新怡</v>
      </c>
      <c r="D243" s="26" t="n">
        <f>IF(NOT(ISNUMBER(E243)),"",IF(OR(E243&lt;=0,L243=0),0,IF(OR(NOT(ISNUMBER(F243)),F243&lt;0),"",MIN(E243,INT(F243)))))</f>
        <v>0</v>
      </c>
      <c r="E243" s="27" t="n">
        <f>IF(OR(NOT(ISNUMBER(L243)),COUNT(M243:O243)&lt;&gt;3,MIN(M243:O243)&lt;0),"",ROUNDUP(ROUND(BI243-SUM(M243:O243),10),0))</f>
        <v>35</v>
      </c>
      <c r="F243" s="28" t="n">
        <v>0</v>
      </c>
      <c r="G243" s="28" t="n">
        <f>IF(AND(ISNUMBER(D243),ISNUMBER(E243)),IF(OR(E243&lt;=0,L243=0),0,E243-D243),"")</f>
        <v>35</v>
      </c>
      <c r="H243" s="16" t="str">
        <f>IF(NOT(ISNUMBER(E243)),"销量或海外库存待补",IF(OR(E243&lt;=0,L243=0),IF(L243=0,"零日销，本批不发","本批无需补货"),IF(NOT(ISNUMBER(D243)),"国内库存待补",IF(D243=0,"国内无可用库存",IF(G243&gt;0,"先发国内现货","按建议量发货")))))</f>
        <v>国内无可用库存</v>
      </c>
      <c r="I243" s="28" t="n">
        <f>IF(AND(COUNT(Z243,AA243,AB243)=3,Z243&gt;=AA243,AA243&gt;=0,AB243=7),Z243-AA243,"")</f>
        <v>6</v>
      </c>
      <c r="J243" s="28" t="n">
        <f>IF(AND(COUNT(AF243,AG243,AH243)=3,AF243&gt;=AG243,AG243&gt;=0,AH243=14),AF243-AG243,"")</f>
        <v>7</v>
      </c>
      <c r="K243" s="28" t="n">
        <f>IF(AND(COUNT(AL243,AM243,AN243)=3,AL243&gt;=AM243,AM243&gt;=0,AN243=30),AL243-AM243,"")</f>
        <v>8</v>
      </c>
      <c r="L243" s="29" t="n">
        <f>IF(ISNUMBER(BI243),BI243/90,"")</f>
        <v>0.38515345609939905</v>
      </c>
      <c r="M243" s="28" t="n">
        <v>0</v>
      </c>
      <c r="N243" s="28" t="n">
        <v>0</v>
      </c>
      <c r="O243" s="28" t="n">
        <v>0</v>
      </c>
      <c r="P243" s="30" t="n">
        <f>IF(AND(ISNUMBER(L243),L243&gt;0,COUNT(M243:O243)=3,MIN(M243:O243)&gt;=0),SUM(M243:O243)/L243,"")</f>
        <v>0</v>
      </c>
      <c r="Q243" s="16" t="str">
        <v>沿用原计划SKU店铺</v>
      </c>
      <c r="R243" s="16" t="str">
        <v>已匹配</v>
      </c>
      <c r="S243" s="16" t="str">
        <v>停售</v>
      </c>
      <c r="T243" s="16" t="str">
        <v>32582</v>
      </c>
      <c r="U243" s="16" t="str">
        <v>黑色</v>
      </c>
      <c r="V243" s="16" t="n">
        <v>6</v>
      </c>
      <c r="W243" s="8" t="str">
        <v>2026-10-11 至 2026-10-17</v>
      </c>
      <c r="X243" s="8" t="str">
        <v>2026-10-11、2026-10-12、2026-10-13、2026-10-14、2026-10-15、2026-10-16、2026-10-17</v>
      </c>
      <c r="Y243" s="8" t="str">
        <v>无</v>
      </c>
      <c r="Z243" s="8" t="n">
        <v>6</v>
      </c>
      <c r="AA243" s="8" t="n">
        <v>0</v>
      </c>
      <c r="AB243" s="8" t="n">
        <v>7</v>
      </c>
      <c r="AC243" s="8" t="str">
        <v>2026-10-02 至 2026-10-17</v>
      </c>
      <c r="AD243" s="8" t="str">
        <v>2026-10-02、2026-10-03、2026-10-04、2026-10-05、2026-10-08、2026-10-09、2026-10-10、2026-10-11、2026-10-12、2026-10-13、2026-10-14、2026-10-15、2026-10-16、2026-10-17</v>
      </c>
      <c r="AE243" s="8" t="str">
        <v>2026-10-06 大促；2026-10-07 大促</v>
      </c>
      <c r="AF243" s="8" t="n">
        <v>7</v>
      </c>
      <c r="AG243" s="8" t="n">
        <v>0</v>
      </c>
      <c r="AH243" s="8" t="n">
        <v>14</v>
      </c>
      <c r="AI243" s="8" t="str">
        <v>2026-09-16 至 2026-10-17</v>
      </c>
      <c r="AJ2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3" s="8" t="str">
        <v>2026-10-06 大促；2026-10-07 大促</v>
      </c>
      <c r="AL243" s="8" t="n">
        <v>8</v>
      </c>
      <c r="AM243" s="8" t="n">
        <v>0</v>
      </c>
      <c r="AN243" s="8" t="n">
        <v>30</v>
      </c>
      <c r="AO243" s="8" t="str">
        <v>32582 / 黑色羊京绒 / 6574</v>
      </c>
      <c r="AP243" s="11" t="n">
        <v>1.0395067087630607</v>
      </c>
      <c r="AQ243" s="11" t="n">
        <v>1.0395067087630607</v>
      </c>
      <c r="AR243" s="11" t="n">
        <v>1.0707336504782758</v>
      </c>
      <c r="AS243" s="11" t="n">
        <f>IF(AND(COUNT(I243:K243,AP243:AR243)=6,MIN(AP243:AR243)&gt;0),I243/7/AP243*0.5+J243/14/AQ243*0.3+K243/30/AR243*0.2,"")</f>
        <v>0.6063927630224839</v>
      </c>
      <c r="AT243" s="8" t="n">
        <v>23</v>
      </c>
      <c r="AU243" s="8" t="n">
        <v>0</v>
      </c>
      <c r="AV243" s="8" t="n">
        <v>88</v>
      </c>
      <c r="AW243" s="11" t="n">
        <f>IF(AND(COUNT(AT243:AV243)=3,AT243&gt;=AU243,AU243&gt;=0,AV243&gt;0),(AT243-AU243)/AV243,"")</f>
        <v>0.26136363636363635</v>
      </c>
      <c r="AX243" s="8" t="n">
        <v>47</v>
      </c>
      <c r="AY243" s="8" t="n">
        <v>0</v>
      </c>
      <c r="AZ243" s="8" t="n">
        <v>178</v>
      </c>
      <c r="BA243" s="11" t="n">
        <f>IF(AND(COUNT(AX243:AZ243)=3,AX243&gt;=AY243,AY243&gt;=0,AZ243&gt;0),(AX243-AY243)/AZ243,"")</f>
        <v>0.2640449438202247</v>
      </c>
      <c r="BB243" s="8" t="n">
        <f>IF(COUNT(AS243,AW243,BA243)=3,1,0)</f>
        <v>1</v>
      </c>
      <c r="BC243" s="11" t="n">
        <f>IF(SUMIF($AO$11:$AO$1309,AO243,$BB$11:$BB$1309)=COUNTIF($AO$11:$AO$1309,AO243),SUMIF($AO$11:$AO$1309,AO243,$AS$11:$AS$1309),"")</f>
        <v>8.693659224127387</v>
      </c>
      <c r="BD243" s="11" t="n">
        <f>IF(SUMIF($AO$11:$AO$1309,AO243,$BB$11:$BB$1309)=COUNTIF($AO$11:$AO$1309,AO243),SUMIF($AO$11:$AO$1309,AO243,$AW$11:$AW$1309),"")</f>
        <v>6.372516749646567</v>
      </c>
      <c r="BE243" s="11" t="n">
        <f>IF(SUMIF($AO$11:$AO$1309,AO243,$BB$11:$BB$1309)=COUNTIF($AO$11:$AO$1309,AO243),SUMIF($AO$11:$AO$1309,AO243,$BA$11:$BA$1309),"")</f>
        <v>4.812567583498835</v>
      </c>
      <c r="BF243" s="12" t="n">
        <f>IF(COUNT(BD243:BE243)&lt;&gt;2,"",IF(AND(BD243&gt;0,BE243&gt;0),0.7*AW243/BD243+0.3*BA243/BE243,IF(BD243&gt;0,AW243/BD243,IF(BE243&gt;0,BA243/BE243,IF(AND(ISNUMBER(BH243),BH243=0),0,"")))))</f>
        <v>0.04516964899481627</v>
      </c>
      <c r="BG243" s="11" t="n">
        <f>IF(AND(COUNT(BN243:BU243)=8,MIN(BN243:BU243)&gt;=0),SUMPRODUCT(BN243:BQ243,BR243:BU243),"")</f>
        <v>88.27281580841549</v>
      </c>
      <c r="BH243" s="11" t="n">
        <f>IF(COUNT(BC243,BG243)=2,BC243*BG243,"")</f>
        <v>767.4137793925291</v>
      </c>
      <c r="BI243" s="11" t="n">
        <f>IF(ISNUMBER(CI243),CI243,"")</f>
        <v>34.66381104894592</v>
      </c>
      <c r="BJ243" s="8" t="str">
        <v>低销提醒依据不完整</v>
      </c>
      <c r="BK243" s="8" t="str">
        <v>90天：2026-07-20 至 2026-10-17；180天：2026-04-21 至 2026-10-17</v>
      </c>
      <c r="BL243" s="8" t="str">
        <v>90天：2026-10-06、2026-10-07；180天：2026-10-06、2026-10-07</v>
      </c>
      <c r="BM243" s="8" t="str">
        <v>2026-10：12天 × 1.0395067087630607；2026-11：30天 × 0.9890368360033146；2026-12：31天 × 0.7800796503018808；2027-01：17天 × 1.2908918272824135</v>
      </c>
      <c r="BN243" s="11" t="n">
        <v>1.0395067087630607</v>
      </c>
      <c r="BO243" s="11" t="n">
        <v>0.9890368360033146</v>
      </c>
      <c r="BP243" s="11" t="n">
        <v>0.7800796503018808</v>
      </c>
      <c r="BQ243" s="11" t="n">
        <v>1.2908918272824135</v>
      </c>
      <c r="BR243" s="8" t="n">
        <v>12</v>
      </c>
      <c r="BS243" s="8" t="n">
        <v>30</v>
      </c>
      <c r="BT243" s="8" t="n">
        <v>31</v>
      </c>
      <c r="BU243" s="8" t="n">
        <v>17</v>
      </c>
      <c r="BV243" s="11" t="n">
        <f>IF(COUNT(BC243,BF243)=2,BC243*BF243,"")</f>
        <v>0.39268953563438086</v>
      </c>
      <c r="BW243" s="11" t="n">
        <f>IF(ISNUMBER(BN243),BN243,"")</f>
        <v>1.0395067087630607</v>
      </c>
      <c r="BX243" s="14" t="n">
        <f>IF(ISNUMBER(BR243),BR243,"")</f>
        <v>12</v>
      </c>
      <c r="BY243" s="13" t="n">
        <f>IF(AND(COUNT(BV243,BW243,BX243)=3,MIN(BV243,BW243,BX243)&gt;=0),BV243*BW243*BX243,"")</f>
        <v>4.898440881035879</v>
      </c>
      <c r="BZ243" s="11" t="n">
        <f>IF(ISNUMBER(BO243),BO243,"")</f>
        <v>0.9890368360033146</v>
      </c>
      <c r="CA243" s="14" t="n">
        <f>IF(ISNUMBER(BS243),BS243,"")</f>
        <v>30</v>
      </c>
      <c r="CB243" s="13" t="n">
        <f>IF(AND(COUNT(BV243,BZ243,CA243)=3,MIN(BV243,BZ243,CA243)&gt;=0),BV243*BZ243*CA243,"")</f>
        <v>11.651532475663167</v>
      </c>
      <c r="CC243" s="11" t="n">
        <f>IF(ISNUMBER(BP243),BP243,"")</f>
        <v>0.7800796503018808</v>
      </c>
      <c r="CD243" s="14" t="n">
        <f>IF(ISNUMBER(BT243),BT243,"")</f>
        <v>31</v>
      </c>
      <c r="CE243" s="13" t="n">
        <f>IF(AND(COUNT(BV243,CC243,CD243)=3,MIN(BV243,CC243,CD243)&gt;=0),BV243*CC243*CD243,"")</f>
        <v>9.496202584681148</v>
      </c>
      <c r="CF243" s="11" t="n">
        <f>IF(ISNUMBER(BQ243),BQ243,"")</f>
        <v>1.2908918272824135</v>
      </c>
      <c r="CG243" s="14" t="n">
        <f>IF(ISNUMBER(BU243),BU243,"")</f>
        <v>17</v>
      </c>
      <c r="CH243" s="13" t="n">
        <f>IF(AND(COUNT(BV243,CF243,CG243)=3,MIN(BV243,CF243,CG243)&gt;=0),BV243*CF243*CG243,"")</f>
        <v>8.617635107565722</v>
      </c>
      <c r="CI243" s="13" t="n">
        <f>IF(COUNT(BY243,CB243,CE243,CH243)=4,SUM(BY243,CB243,CE243,CH243),"")</f>
        <v>34.66381104894592</v>
      </c>
    </row>
    <row r="244" ht="72" customHeight="1">
      <c r="A244" s="16" t="str">
        <v>B06b-CCP0-7</v>
      </c>
      <c r="B244" s="16" t="str">
        <v>1店-MUSSHOE-US</v>
      </c>
      <c r="C244" s="16" t="str">
        <v>艾年</v>
      </c>
      <c r="D244" s="26" t="n">
        <f>IF(NOT(ISNUMBER(E244)),"",IF(OR(E244&lt;=0,L244=0),0,IF(OR(NOT(ISNUMBER(F244)),F244&lt;0),"",MIN(E244,INT(F244)))))</f>
        <v>0</v>
      </c>
      <c r="E244" s="27" t="n">
        <f>IF(OR(NOT(ISNUMBER(L244)),COUNT(M244:O244)&lt;&gt;3,MIN(M244:O244)&lt;0),"",ROUNDUP(ROUND(BI244-SUM(M244:O244),10),0))</f>
        <v>32</v>
      </c>
      <c r="F244" s="28" t="n">
        <v>0</v>
      </c>
      <c r="G244" s="28" t="n">
        <f>IF(AND(ISNUMBER(D244),ISNUMBER(E244)),IF(OR(E244&lt;=0,L244=0),0,E244-D244),"")</f>
        <v>32</v>
      </c>
      <c r="H244" s="16" t="str">
        <f>IF(NOT(ISNUMBER(E244)),"销量或海外库存待补",IF(OR(E244&lt;=0,L244=0),IF(L244=0,"零日销，本批不发","本批无需补货"),IF(NOT(ISNUMBER(D244)),"国内库存待补",IF(D244=0,"国内无可用库存",IF(G244&gt;0,"先发国内现货","按建议量发货")))))</f>
        <v>国内无可用库存</v>
      </c>
      <c r="I244" s="28" t="n">
        <f>IF(AND(COUNT(Z244,AA244,AB244)=3,Z244&gt;=AA244,AA244&gt;=0,AB244=7),Z244-AA244,"")</f>
        <v>1</v>
      </c>
      <c r="J244" s="28" t="n">
        <f>IF(AND(COUNT(AF244,AG244,AH244)=3,AF244&gt;=AG244,AG244&gt;=0,AH244=14),AF244-AG244,"")</f>
        <v>3</v>
      </c>
      <c r="K244" s="28" t="n">
        <f>IF(AND(COUNT(AL244,AM244,AN244)=3,AL244&gt;=AM244,AM244&gt;=0,AN244=30),AL244-AM244,"")</f>
        <v>8</v>
      </c>
      <c r="L244" s="29" t="n">
        <f>IF(ISNUMBER(BI244),BI244/90,"")</f>
        <v>0.35978921983519907</v>
      </c>
      <c r="M244" s="28" t="n">
        <v>1</v>
      </c>
      <c r="N244" s="28" t="n">
        <v>0</v>
      </c>
      <c r="O244" s="28" t="n">
        <v>0</v>
      </c>
      <c r="P244" s="30" t="n">
        <f>IF(AND(ISNUMBER(L244),L244&gt;0,COUNT(M244:O244)=3,MIN(M244:O244)&gt;=0),SUM(M244:O244)/L244,"")</f>
        <v>2.779405120748333</v>
      </c>
      <c r="Q244" s="16" t="str">
        <v>沿用原计划SKU店铺</v>
      </c>
      <c r="R244" s="16" t="str">
        <v>已匹配</v>
      </c>
      <c r="S244" s="16" t="str">
        <v>在售</v>
      </c>
      <c r="T244" s="16" t="str">
        <v>B06b</v>
      </c>
      <c r="U244" s="16" t="str">
        <v>咖色PU</v>
      </c>
      <c r="V244" s="16" t="n">
        <v>7</v>
      </c>
      <c r="W244" s="8" t="str">
        <v>2026-10-11 至 2026-10-17</v>
      </c>
      <c r="X244" s="8" t="str">
        <v>2026-10-11、2026-10-12、2026-10-13、2026-10-14、2026-10-15、2026-10-16、2026-10-17</v>
      </c>
      <c r="Y244" s="8" t="str">
        <v>无</v>
      </c>
      <c r="Z244" s="8" t="n">
        <v>1</v>
      </c>
      <c r="AA244" s="8" t="n">
        <v>0</v>
      </c>
      <c r="AB244" s="8" t="n">
        <v>7</v>
      </c>
      <c r="AC244" s="8" t="str">
        <v>2026-10-02 至 2026-10-17</v>
      </c>
      <c r="AD244" s="8" t="str">
        <v>2026-10-02、2026-10-03、2026-10-04、2026-10-05、2026-10-08、2026-10-09、2026-10-10、2026-10-11、2026-10-12、2026-10-13、2026-10-14、2026-10-15、2026-10-16、2026-10-17</v>
      </c>
      <c r="AE244" s="8" t="str">
        <v>2026-10-06 大促；2026-10-07 大促</v>
      </c>
      <c r="AF244" s="8" t="n">
        <v>3</v>
      </c>
      <c r="AG244" s="8" t="n">
        <v>0</v>
      </c>
      <c r="AH244" s="8" t="n">
        <v>14</v>
      </c>
      <c r="AI244" s="8" t="str">
        <v>2026-09-16 至 2026-10-17</v>
      </c>
      <c r="AJ2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4" s="8" t="str">
        <v>2026-10-06 大促；2026-10-07 大促</v>
      </c>
      <c r="AL244" s="8" t="n">
        <v>8</v>
      </c>
      <c r="AM244" s="8" t="n">
        <v>0</v>
      </c>
      <c r="AN244" s="8" t="n">
        <v>30</v>
      </c>
      <c r="AO244" s="8" t="str">
        <v>B06b / 咖色PU / 13120</v>
      </c>
      <c r="AP244" s="11" t="n">
        <v>1.1090677182221615</v>
      </c>
      <c r="AQ244" s="11" t="n">
        <v>1.1090677182221615</v>
      </c>
      <c r="AR244" s="11" t="n">
        <v>0.9505188216044452</v>
      </c>
      <c r="AS244" s="11" t="n">
        <f>IF(AND(COUNT(I244:K244,AP244:AR244)=6,MIN(AP244:AR244)&gt;0),I244/7/AP244*0.5+J244/14/AQ244*0.3+K244/30/AR244*0.2,"")</f>
        <v>0.1784776060611277</v>
      </c>
      <c r="AT244" s="8" t="n">
        <v>30</v>
      </c>
      <c r="AU244" s="8" t="n">
        <v>0</v>
      </c>
      <c r="AV244" s="8" t="n">
        <v>88</v>
      </c>
      <c r="AW244" s="11" t="n">
        <f>IF(AND(COUNT(AT244:AV244)=3,AT244&gt;=AU244,AU244&gt;=0,AV244&gt;0),(AT244-AU244)/AV244,"")</f>
        <v>0.3409090909090909</v>
      </c>
      <c r="AX244" s="8" t="n">
        <v>45</v>
      </c>
      <c r="AY244" s="8" t="n">
        <v>0</v>
      </c>
      <c r="AZ244" s="8" t="n">
        <v>178</v>
      </c>
      <c r="BA244" s="11" t="n">
        <f>IF(AND(COUNT(AX244:AZ244)=3,AX244&gt;=AY244,AY244&gt;=0,AZ244&gt;0),(AX244-AY244)/AZ244,"")</f>
        <v>0.25280898876404495</v>
      </c>
      <c r="BB244" s="8" t="n">
        <f>IF(COUNT(AS244,AW244,BA244)=3,1,0)</f>
        <v>1</v>
      </c>
      <c r="BC244" s="11" t="n">
        <f>IF(SUMIF($AO$11:$AO$1309,AO244,$BB$11:$BB$1309)=COUNTIF($AO$11:$AO$1309,AO244),SUMIF($AO$11:$AO$1309,AO244,$AS$11:$AS$1309),"")</f>
        <v>2.1842159740642213</v>
      </c>
      <c r="BD244" s="11" t="n">
        <f>IF(SUMIF($AO$11:$AO$1309,AO244,$BB$11:$BB$1309)=COUNTIF($AO$11:$AO$1309,AO244),SUMIF($AO$11:$AO$1309,AO244,$AW$11:$AW$1309),"")</f>
        <v>2.1590909090909087</v>
      </c>
      <c r="BE244" s="11" t="n">
        <f>IF(SUMIF($AO$11:$AO$1309,AO244,$BB$11:$BB$1309)=COUNTIF($AO$11:$AO$1309,AO244),SUMIF($AO$11:$AO$1309,AO244,$BA$11:$BA$1309),"")</f>
        <v>1.6349277688603532</v>
      </c>
      <c r="BF244" s="12" t="n">
        <f>IF(COUNT(BD244:BE244)&lt;&gt;2,"",IF(AND(BD244&gt;0,BE244&gt;0),0.7*AW244/BD244+0.3*BA244/BE244,IF(BD244&gt;0,AW244/BD244,IF(BE244&gt;0,BA244/BE244,IF(AND(ISNUMBER(BH244),BH244=0),0,"")))))</f>
        <v>0.15691533558212212</v>
      </c>
      <c r="BG244" s="11" t="n">
        <f>IF(AND(COUNT(BN244:BU244)=8,MIN(BN244:BU244)&gt;=0),SUMPRODUCT(BN244:BQ244,BR244:BU244),"")</f>
        <v>94.47778160343367</v>
      </c>
      <c r="BH244" s="11" t="n">
        <f>IF(COUNT(BC244,BG244)=2,BC244*BG244,"")</f>
        <v>206.35987977237065</v>
      </c>
      <c r="BI244" s="11" t="n">
        <f>IF(ISNUMBER(CI244),CI244,"")</f>
        <v>32.38102978516792</v>
      </c>
      <c r="BJ244" s="8" t="str"/>
      <c r="BK244" s="8" t="str">
        <v>90天：2026-07-20 至 2026-10-17；180天：2026-04-21 至 2026-10-17</v>
      </c>
      <c r="BL244" s="8" t="str">
        <v>90天：2026-10-06、2026-10-07；180天：2026-10-06、2026-10-07</v>
      </c>
      <c r="BM244" s="8" t="str">
        <v>2026-10：12天 × 1.1090677182221615；2026-11：30天 × 1.0372741535934282；2026-12：31天 × 0.979949351738161；2027-01：17天 × 1.1571949690048173</v>
      </c>
      <c r="BN244" s="11" t="n">
        <v>1.1090677182221615</v>
      </c>
      <c r="BO244" s="11" t="n">
        <v>1.0372741535934282</v>
      </c>
      <c r="BP244" s="11" t="n">
        <v>0.979949351738161</v>
      </c>
      <c r="BQ244" s="11" t="n">
        <v>1.1571949690048173</v>
      </c>
      <c r="BR244" s="8" t="n">
        <v>12</v>
      </c>
      <c r="BS244" s="8" t="n">
        <v>30</v>
      </c>
      <c r="BT244" s="8" t="n">
        <v>31</v>
      </c>
      <c r="BU244" s="8" t="n">
        <v>17</v>
      </c>
      <c r="BV244" s="11" t="n">
        <f>IF(COUNT(BC244,BF244)=2,BC244*BF244,"")</f>
        <v>0.34273698255411905</v>
      </c>
      <c r="BW244" s="11" t="n">
        <f>IF(ISNUMBER(BN244),BN244,"")</f>
        <v>1.1090677182221615</v>
      </c>
      <c r="BX244" s="14" t="n">
        <f>IF(ISNUMBER(BR244),BR244,"")</f>
        <v>12</v>
      </c>
      <c r="BY244" s="13" t="n">
        <f>IF(AND(COUNT(BV244,BW244,BX244)=3,MIN(BV244,BW244,BX244)&gt;=0),BV244*BW244*BX244,"")</f>
        <v>4.561422278299748</v>
      </c>
      <c r="BZ244" s="11" t="n">
        <f>IF(ISNUMBER(BO244),BO244,"")</f>
        <v>1.0372741535934282</v>
      </c>
      <c r="CA244" s="14" t="n">
        <f>IF(ISNUMBER(BS244),BS244,"")</f>
        <v>30</v>
      </c>
      <c r="CB244" s="13" t="n">
        <f>IF(AND(COUNT(BV244,BZ244,CA244)=3,MIN(BV244,BZ244,CA244)&gt;=0),BV244*BZ244*CA244,"")</f>
        <v>10.665366404519682</v>
      </c>
      <c r="CC244" s="11" t="n">
        <f>IF(ISNUMBER(BP244),BP244,"")</f>
        <v>0.979949351738161</v>
      </c>
      <c r="CD244" s="14" t="n">
        <f>IF(ISNUMBER(BT244),BT244,"")</f>
        <v>31</v>
      </c>
      <c r="CE244" s="13" t="n">
        <f>IF(AND(COUNT(BV244,CC244,CD244)=3,MIN(BV244,CC244,CD244)&gt;=0),BV244*CC244*CD244,"")</f>
        <v>10.411811399988673</v>
      </c>
      <c r="CF244" s="11" t="n">
        <f>IF(ISNUMBER(BQ244),BQ244,"")</f>
        <v>1.1571949690048173</v>
      </c>
      <c r="CG244" s="14" t="n">
        <f>IF(ISNUMBER(BU244),BU244,"")</f>
        <v>17</v>
      </c>
      <c r="CH244" s="13" t="n">
        <f>IF(AND(COUNT(BV244,CF244,CG244)=3,MIN(BV244,CF244,CG244)&gt;=0),BV244*CF244*CG244,"")</f>
        <v>6.7424297023598125</v>
      </c>
      <c r="CI244" s="13" t="n">
        <f>IF(COUNT(BY244,CB244,CE244,CH244)=4,SUM(BY244,CB244,CE244,CH244),"")</f>
        <v>32.38102978516792</v>
      </c>
    </row>
    <row r="245" ht="72" customHeight="1">
      <c r="A245" s="16" t="str">
        <v>1S01-LMN-41-FX</v>
      </c>
      <c r="B245" s="16" t="str">
        <v>3店-SANDIEX-US</v>
      </c>
      <c r="C245" s="16" t="str">
        <v>徐新怡</v>
      </c>
      <c r="D245" s="26" t="n">
        <f>IF(NOT(ISNUMBER(E245)),"",IF(OR(E245&lt;=0,L245=0),0,IF(OR(NOT(ISNUMBER(F245)),F245&lt;0),"",MIN(E245,INT(F245)))))</f>
        <v>0</v>
      </c>
      <c r="E245" s="27" t="n">
        <f>IF(OR(NOT(ISNUMBER(L245)),COUNT(M245:O245)&lt;&gt;3,MIN(M245:O245)&lt;0),"",ROUNDUP(ROUND(BI245-SUM(M245:O245),10),0))</f>
        <v>31</v>
      </c>
      <c r="F245" s="28" t="n">
        <v>0</v>
      </c>
      <c r="G245" s="28" t="n">
        <f>IF(AND(ISNUMBER(D245),ISNUMBER(E245)),IF(OR(E245&lt;=0,L245=0),0,E245-D245),"")</f>
        <v>31</v>
      </c>
      <c r="H245" s="16" t="str">
        <f>IF(NOT(ISNUMBER(E245)),"销量或海外库存待补",IF(OR(E245&lt;=0,L245=0),IF(L245=0,"零日销，本批不发","本批无需补货"),IF(NOT(ISNUMBER(D245)),"国内库存待补",IF(D245=0,"国内无可用库存",IF(G245&gt;0,"先发国内现货","按建议量发货")))))</f>
        <v>国内无可用库存</v>
      </c>
      <c r="I245" s="28" t="n">
        <f>IF(AND(COUNT(Z245,AA245,AB245)=3,Z245&gt;=AA245,AA245&gt;=0,AB245=7),Z245-AA245,"")</f>
        <v>2</v>
      </c>
      <c r="J245" s="28" t="n">
        <f>IF(AND(COUNT(AF245,AG245,AH245)=3,AF245&gt;=AG245,AG245&gt;=0,AH245=14),AF245-AG245,"")</f>
        <v>2</v>
      </c>
      <c r="K245" s="28" t="n">
        <f>IF(AND(COUNT(AL245,AM245,AN245)=3,AL245&gt;=AM245,AM245&gt;=0,AN245=30),AL245-AM245,"")</f>
        <v>14</v>
      </c>
      <c r="L245" s="29" t="n">
        <f>IF(ISNUMBER(BI245),BI245/90,"")</f>
        <v>0.3532007111412332</v>
      </c>
      <c r="M245" s="28" t="n">
        <v>1</v>
      </c>
      <c r="N245" s="28" t="n">
        <v>0</v>
      </c>
      <c r="O245" s="28" t="n">
        <v>0</v>
      </c>
      <c r="P245" s="30" t="n">
        <f>IF(AND(ISNUMBER(L245),L245&gt;0,COUNT(M245:O245)=3,MIN(M245:O245)&gt;=0),SUM(M245:O245)/L245,"")</f>
        <v>2.8312513776342123</v>
      </c>
      <c r="Q245" s="16" t="str">
        <v>沿用原计划SKU店铺</v>
      </c>
      <c r="R245" s="16" t="str">
        <v>已匹配</v>
      </c>
      <c r="S245" s="16" t="str">
        <v>在售</v>
      </c>
      <c r="T245" s="16" t="str">
        <v>1S01</v>
      </c>
      <c r="U245" s="16" t="str">
        <v>豹纹</v>
      </c>
      <c r="V245" s="16" t="n">
        <v>10</v>
      </c>
      <c r="W245" s="8" t="str">
        <v>2026-10-11 至 2026-10-17</v>
      </c>
      <c r="X245" s="8" t="str">
        <v>2026-10-11、2026-10-12、2026-10-13、2026-10-14、2026-10-15、2026-10-16、2026-10-17</v>
      </c>
      <c r="Y245" s="8" t="str">
        <v>无</v>
      </c>
      <c r="Z245" s="8" t="n">
        <v>2</v>
      </c>
      <c r="AA245" s="8" t="n">
        <v>0</v>
      </c>
      <c r="AB245" s="8" t="n">
        <v>7</v>
      </c>
      <c r="AC245" s="8" t="str">
        <v>2026-10-02 至 2026-10-17</v>
      </c>
      <c r="AD245" s="8" t="str">
        <v>2026-10-02、2026-10-03、2026-10-04、2026-10-05、2026-10-08、2026-10-09、2026-10-10、2026-10-11、2026-10-12、2026-10-13、2026-10-14、2026-10-15、2026-10-16、2026-10-17</v>
      </c>
      <c r="AE245" s="8" t="str">
        <v>2026-10-06 大促；2026-10-07 大促</v>
      </c>
      <c r="AF245" s="8" t="n">
        <v>2</v>
      </c>
      <c r="AG245" s="8" t="n">
        <v>0</v>
      </c>
      <c r="AH245" s="8" t="n">
        <v>14</v>
      </c>
      <c r="AI245" s="8" t="str">
        <v>2026-09-16 至 2026-10-17</v>
      </c>
      <c r="AJ2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5" s="8" t="str">
        <v>2026-10-06 大促；2026-10-07 大促</v>
      </c>
      <c r="AL245" s="8" t="n">
        <v>14</v>
      </c>
      <c r="AM245" s="8" t="n">
        <v>0</v>
      </c>
      <c r="AN245" s="8" t="n">
        <v>30</v>
      </c>
      <c r="AO245" s="8" t="str">
        <v>1S01 / 豹纹羊京绒 / 6574</v>
      </c>
      <c r="AP245" s="11" t="n">
        <v>0.8729500662042875</v>
      </c>
      <c r="AQ245" s="11" t="n">
        <v>0.8729500662042875</v>
      </c>
      <c r="AR245" s="11" t="n">
        <v>1.0921363354767095</v>
      </c>
      <c r="AS245" s="11" t="n">
        <f>IF(AND(COUNT(I245:K245,AP245:AR245)=6,MIN(AP245:AR245)&gt;0),I245/7/AP245*0.5+J245/14/AQ245*0.3+K245/30/AR245*0.2,"")</f>
        <v>0.298202724962391</v>
      </c>
      <c r="AT245" s="8" t="n">
        <v>26</v>
      </c>
      <c r="AU245" s="8" t="n">
        <v>0</v>
      </c>
      <c r="AV245" s="8" t="n">
        <v>88</v>
      </c>
      <c r="AW245" s="11" t="n">
        <f>IF(AND(COUNT(AT245:AV245)=3,AT245&gt;=AU245,AU245&gt;=0,AV245&gt;0),(AT245-AU245)/AV245,"")</f>
        <v>0.29545454545454547</v>
      </c>
      <c r="AX245" s="8" t="n">
        <v>34</v>
      </c>
      <c r="AY245" s="8" t="n">
        <v>0</v>
      </c>
      <c r="AZ245" s="8" t="n">
        <v>178</v>
      </c>
      <c r="BA245" s="11" t="n">
        <f>IF(AND(COUNT(AX245:AZ245)=3,AX245&gt;=AY245,AY245&gt;=0,AZ245&gt;0),(AX245-AY245)/AZ245,"")</f>
        <v>0.19101123595505617</v>
      </c>
      <c r="BB245" s="8" t="n">
        <f>IF(COUNT(AS245,AW245,BA245)=3,1,0)</f>
        <v>1</v>
      </c>
      <c r="BC245" s="11" t="n">
        <f>IF(SUMIF($AO$11:$AO$1309,AO245,$BB$11:$BB$1309)=COUNTIF($AO$11:$AO$1309,AO245),SUMIF($AO$11:$AO$1309,AO245,$AS$11:$AS$1309),"")</f>
        <v>2.9367051066815764</v>
      </c>
      <c r="BD245" s="11" t="n">
        <f>IF(SUMIF($AO$11:$AO$1309,AO245,$BB$11:$BB$1309)=COUNTIF($AO$11:$AO$1309,AO245),SUMIF($AO$11:$AO$1309,AO245,$AW$11:$AW$1309),"")</f>
        <v>1.6598930481283423</v>
      </c>
      <c r="BE245" s="11" t="n">
        <f>IF(SUMIF($AO$11:$AO$1309,AO245,$BB$11:$BB$1309)=COUNTIF($AO$11:$AO$1309,AO245),SUMIF($AO$11:$AO$1309,AO245,$BA$11:$BA$1309),"")</f>
        <v>1.2818619582664526</v>
      </c>
      <c r="BF245" s="12" t="n">
        <f>IF(COUNT(BD245:BE245)&lt;&gt;2,"",IF(AND(BD245&gt;0,BE245&gt;0),0.7*AW245/BD245+0.3*BA245/BE245,IF(BD245&gt;0,AW245/BD245,IF(BE245&gt;0,BA245/BE245,IF(AND(ISNUMBER(BH245),BH245=0),0,"")))))</f>
        <v>0.16930052446807686</v>
      </c>
      <c r="BG245" s="11" t="n">
        <f>IF(AND(COUNT(BN245:BU245)=8,MIN(BN245:BU245)&gt;=0),SUMPRODUCT(BN245:BQ245,BR245:BU245),"")</f>
        <v>63.935996265425516</v>
      </c>
      <c r="BH245" s="11" t="n">
        <f>IF(COUNT(BC245,BG245)=2,BC245*BG245,"")</f>
        <v>187.7611667334493</v>
      </c>
      <c r="BI245" s="11" t="n">
        <f>IF(ISNUMBER(CI245),CI245,"")</f>
        <v>31.78806400271099</v>
      </c>
      <c r="BJ245" s="8" t="str"/>
      <c r="BK245" s="8" t="str">
        <v>90天：2026-07-20 至 2026-10-17；180天：2026-04-21 至 2026-10-17</v>
      </c>
      <c r="BL245" s="8" t="str">
        <v>90天：2026-10-06、2026-10-07；180天：2026-10-06、2026-10-07</v>
      </c>
      <c r="BM245" s="8" t="str">
        <v>2026-10：12天 × 0.8729500662042875；2026-11：30天 × 0.8057375774163482；2026-12：31天 × 0.532550303142279；2027-01：17天 × 0.7517299265337036</v>
      </c>
      <c r="BN245" s="11" t="n">
        <v>0.8729500662042875</v>
      </c>
      <c r="BO245" s="11" t="n">
        <v>0.8057375774163482</v>
      </c>
      <c r="BP245" s="11" t="n">
        <v>0.532550303142279</v>
      </c>
      <c r="BQ245" s="11" t="n">
        <v>0.7517299265337036</v>
      </c>
      <c r="BR245" s="8" t="n">
        <v>12</v>
      </c>
      <c r="BS245" s="8" t="n">
        <v>30</v>
      </c>
      <c r="BT245" s="8" t="n">
        <v>31</v>
      </c>
      <c r="BU245" s="8" t="n">
        <v>17</v>
      </c>
      <c r="BV245" s="11" t="n">
        <f>IF(COUNT(BC245,BF245)=2,BC245*BF245,"")</f>
        <v>0.4971857147692705</v>
      </c>
      <c r="BW245" s="11" t="n">
        <f>IF(ISNUMBER(BN245),BN245,"")</f>
        <v>0.8729500662042875</v>
      </c>
      <c r="BX245" s="14" t="n">
        <f>IF(ISNUMBER(BR245),BR245,"")</f>
        <v>12</v>
      </c>
      <c r="BY245" s="13" t="n">
        <f>IF(AND(COUNT(BV245,BW245,BX245)=3,MIN(BV245,BW245,BX245)&gt;=0),BV245*BW245*BX245,"")</f>
        <v>5.208219631483928</v>
      </c>
      <c r="BZ245" s="11" t="n">
        <f>IF(ISNUMBER(BO245),BO245,"")</f>
        <v>0.8057375774163482</v>
      </c>
      <c r="CA245" s="14" t="n">
        <f>IF(ISNUMBER(BS245),BS245,"")</f>
        <v>30</v>
      </c>
      <c r="CB245" s="13" t="n">
        <f>IF(AND(COUNT(BV245,BZ245,CA245)=3,MIN(BV245,BZ245,CA245)&gt;=0),BV245*BZ245*CA245,"")</f>
        <v>12.018036400326226</v>
      </c>
      <c r="CC245" s="11" t="n">
        <f>IF(ISNUMBER(BP245),BP245,"")</f>
        <v>0.532550303142279</v>
      </c>
      <c r="CD245" s="14" t="n">
        <f>IF(ISNUMBER(BT245),BT245,"")</f>
        <v>31</v>
      </c>
      <c r="CE245" s="13" t="n">
        <f>IF(AND(COUNT(BV245,CC245,CD245)=3,MIN(BV245,CC245,CD245)&gt;=0),BV245*CC245*CD245,"")</f>
        <v>8.208068496669956</v>
      </c>
      <c r="CF245" s="11" t="n">
        <f>IF(ISNUMBER(BQ245),BQ245,"")</f>
        <v>0.7517299265337036</v>
      </c>
      <c r="CG245" s="14" t="n">
        <f>IF(ISNUMBER(BU245),BU245,"")</f>
        <v>17</v>
      </c>
      <c r="CH245" s="13" t="n">
        <f>IF(AND(COUNT(BV245,CF245,CG245)=3,MIN(BV245,CF245,CG245)&gt;=0),BV245*CF245*CG245,"")</f>
        <v>6.35373947423088</v>
      </c>
      <c r="CI245" s="13" t="n">
        <f>IF(COUNT(BY245,CB245,CE245,CH245)=4,SUM(BY245,CB245,CE245,CH245),"")</f>
        <v>31.78806400271099</v>
      </c>
    </row>
    <row r="246" ht="72" customHeight="1">
      <c r="A246" s="16" t="str">
        <v>2302153-LP-S-Z-9</v>
      </c>
      <c r="B246" s="16" t="str">
        <v>3店-SANDIEX-US</v>
      </c>
      <c r="C246" s="16" t="str">
        <v>徐新怡</v>
      </c>
      <c r="D246" s="26" t="n">
        <f>IF(NOT(ISNUMBER(E246)),"",IF(OR(E246&lt;=0,L246=0),0,IF(OR(NOT(ISNUMBER(F246)),F246&lt;0),"",MIN(E246,INT(F246)))))</f>
        <v>0</v>
      </c>
      <c r="E246" s="27" t="n">
        <f>IF(OR(NOT(ISNUMBER(L246)),COUNT(M246:O246)&lt;&gt;3,MIN(M246:O246)&lt;0),"",ROUNDUP(ROUND(BI246-SUM(M246:O246),10),0))</f>
        <v>30</v>
      </c>
      <c r="F246" s="28" t="n">
        <v>0</v>
      </c>
      <c r="G246" s="28" t="n">
        <f>IF(AND(ISNUMBER(D246),ISNUMBER(E246)),IF(OR(E246&lt;=0,L246=0),0,E246-D246),"")</f>
        <v>30</v>
      </c>
      <c r="H246" s="16" t="str">
        <f>IF(NOT(ISNUMBER(E246)),"销量或海外库存待补",IF(OR(E246&lt;=0,L246=0),IF(L246=0,"零日销，本批不发","本批无需补货"),IF(NOT(ISNUMBER(D246)),"国内库存待补",IF(D246=0,"国内无可用库存",IF(G246&gt;0,"先发国内现货","按建议量发货")))))</f>
        <v>国内无可用库存</v>
      </c>
      <c r="I246" s="28" t="n">
        <f>IF(AND(COUNT(Z246,AA246,AB246)=3,Z246&gt;=AA246,AA246&gt;=0,AB246=7),Z246-AA246,"")</f>
        <v>10</v>
      </c>
      <c r="J246" s="28" t="n">
        <f>IF(AND(COUNT(AF246,AG246,AH246)=3,AF246&gt;=AG246,AG246&gt;=0,AH246=14),AF246-AG246,"")</f>
        <v>19</v>
      </c>
      <c r="K246" s="28" t="n">
        <f>IF(AND(COUNT(AL246,AM246,AN246)=3,AL246&gt;=AM246,AM246&gt;=0,AN246=30),AL246-AM246,"")</f>
        <v>37</v>
      </c>
      <c r="L246" s="29" t="n">
        <f>IF(ISNUMBER(BI246),BI246/90,"")</f>
        <v>0.7073065946976316</v>
      </c>
      <c r="M246" s="28" t="n">
        <v>10</v>
      </c>
      <c r="N246" s="28" t="n">
        <v>0</v>
      </c>
      <c r="O246" s="28" t="n">
        <v>24</v>
      </c>
      <c r="P246" s="30" t="n">
        <f>IF(AND(ISNUMBER(L246),L246&gt;0,COUNT(M246:O246)=3,MIN(M246:O246)&gt;=0),SUM(M246:O246)/L246,"")</f>
        <v>48.0696776403375</v>
      </c>
      <c r="Q246" s="16" t="str">
        <v>沿用原计划SKU店铺</v>
      </c>
      <c r="R246" s="16" t="str">
        <v>已匹配</v>
      </c>
      <c r="S246" s="16" t="str">
        <v>在售</v>
      </c>
      <c r="T246" s="16" t="str">
        <v>2302153</v>
      </c>
      <c r="U246" s="16" t="str">
        <v>豹纹</v>
      </c>
      <c r="V246" s="16" t="n">
        <v>9</v>
      </c>
      <c r="W246" s="8" t="str">
        <v>2026-10-11 至 2026-10-17</v>
      </c>
      <c r="X246" s="8" t="str">
        <v>2026-10-11、2026-10-12、2026-10-13、2026-10-14、2026-10-15、2026-10-16、2026-10-17</v>
      </c>
      <c r="Y246" s="8" t="str">
        <v>无</v>
      </c>
      <c r="Z246" s="8" t="n">
        <v>10</v>
      </c>
      <c r="AA246" s="8" t="n">
        <v>0</v>
      </c>
      <c r="AB246" s="8" t="n">
        <v>7</v>
      </c>
      <c r="AC246" s="8" t="str">
        <v>2026-10-02 至 2026-10-17</v>
      </c>
      <c r="AD246" s="8" t="str">
        <v>2026-10-02、2026-10-03、2026-10-04、2026-10-05、2026-10-08、2026-10-09、2026-10-10、2026-10-11、2026-10-12、2026-10-13、2026-10-14、2026-10-15、2026-10-16、2026-10-17</v>
      </c>
      <c r="AE246" s="8" t="str">
        <v>2026-10-06 大促；2026-10-07 大促</v>
      </c>
      <c r="AF246" s="8" t="n">
        <v>30</v>
      </c>
      <c r="AG246" s="8" t="n">
        <v>11</v>
      </c>
      <c r="AH246" s="8" t="n">
        <v>14</v>
      </c>
      <c r="AI246" s="8" t="str">
        <v>2026-09-16 至 2026-10-17</v>
      </c>
      <c r="AJ2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6" s="8" t="str">
        <v>2026-10-06 大促；2026-10-07 大促</v>
      </c>
      <c r="AL246" s="8" t="n">
        <v>48</v>
      </c>
      <c r="AM246" s="8" t="n">
        <v>11</v>
      </c>
      <c r="AN246" s="8" t="n">
        <v>30</v>
      </c>
      <c r="AO246" s="8" t="str">
        <v>2302153 / 豹纹羊京绒 / 6574</v>
      </c>
      <c r="AP246" s="11" t="n">
        <v>1.7391279184229513</v>
      </c>
      <c r="AQ246" s="11" t="n">
        <v>1.7391279184229513</v>
      </c>
      <c r="AR246" s="11" t="n">
        <v>1.5731892896917212</v>
      </c>
      <c r="AS246" s="11" t="n">
        <f>IF(AND(COUNT(I246:K246,AP246:AR246)=6,MIN(AP246:AR246)&gt;0),I246/7/AP246*0.5+J246/14/AQ246*0.3+K246/30/AR246*0.2,"")</f>
        <v>0.8016163775741939</v>
      </c>
      <c r="AT246" s="8" t="n">
        <v>79</v>
      </c>
      <c r="AU246" s="8" t="n">
        <v>11</v>
      </c>
      <c r="AV246" s="8" t="n">
        <v>88</v>
      </c>
      <c r="AW246" s="11" t="n">
        <f>IF(AND(COUNT(AT246:AV246)=3,AT246&gt;=AU246,AU246&gt;=0,AV246&gt;0),(AT246-AU246)/AV246,"")</f>
        <v>0.7727272727272727</v>
      </c>
      <c r="AX246" s="8" t="n">
        <v>133</v>
      </c>
      <c r="AY246" s="8" t="n">
        <v>11</v>
      </c>
      <c r="AZ246" s="8" t="n">
        <v>178</v>
      </c>
      <c r="BA246" s="11" t="n">
        <f>IF(AND(COUNT(AX246:AZ246)=3,AX246&gt;=AY246,AY246&gt;=0,AZ246&gt;0),(AX246-AY246)/AZ246,"")</f>
        <v>0.6853932584269663</v>
      </c>
      <c r="BB246" s="8" t="n">
        <f>IF(COUNT(AS246,AW246,BA246)=3,1,0)</f>
        <v>1</v>
      </c>
      <c r="BC246" s="11" t="n">
        <f>IF(SUMIF($AO$11:$AO$1309,AO246,$BB$11:$BB$1309)=COUNTIF($AO$11:$AO$1309,AO246),SUMIF($AO$11:$AO$1309,AO246,$AS$11:$AS$1309),"")</f>
        <v>4.164684574329155</v>
      </c>
      <c r="BD246" s="11" t="n">
        <f>IF(SUMIF($AO$11:$AO$1309,AO246,$BB$11:$BB$1309)=COUNTIF($AO$11:$AO$1309,AO246),SUMIF($AO$11:$AO$1309,AO246,$AW$11:$AW$1309),"")</f>
        <v>5.636363636363635</v>
      </c>
      <c r="BE246" s="11" t="n">
        <f>IF(SUMIF($AO$11:$AO$1309,AO246,$BB$11:$BB$1309)=COUNTIF($AO$11:$AO$1309,AO246),SUMIF($AO$11:$AO$1309,AO246,$BA$11:$BA$1309),"")</f>
        <v>4.707865168539326</v>
      </c>
      <c r="BF246" s="12" t="n">
        <f>IF(COUNT(BD246:BE246)&lt;&gt;2,"",IF(AND(BD246&gt;0,BE246&gt;0),0.7*AW246/BD246+0.3*BA246/BE246,IF(BD246&gt;0,AW246/BD246,IF(BE246&gt;0,BA246/BE246,IF(AND(ISNUMBER(BH246),BH246=0),0,"")))))</f>
        <v>0.13964315959658175</v>
      </c>
      <c r="BG246" s="11" t="n">
        <f>IF(AND(COUNT(BN246:BU246)=8,MIN(BN246:BU246)&gt;=0),SUMPRODUCT(BN246:BQ246,BR246:BU246),"")</f>
        <v>109.4582336985339</v>
      </c>
      <c r="BH246" s="11" t="n">
        <f>IF(COUNT(BC246,BG246)=2,BC246*BG246,"")</f>
        <v>455.85901741759983</v>
      </c>
      <c r="BI246" s="11" t="n">
        <f>IF(ISNUMBER(CI246),CI246,"")</f>
        <v>63.65759352278684</v>
      </c>
      <c r="BJ246" s="8" t="str"/>
      <c r="BK246" s="8" t="str">
        <v>90天：2026-07-20 至 2026-10-17；180天：2026-04-21 至 2026-10-17</v>
      </c>
      <c r="BL246" s="8" t="str">
        <v>90天：2026-10-06、2026-10-07；180天：2026-10-06、2026-10-07</v>
      </c>
      <c r="BM246" s="8" t="str">
        <v>2026-10：12天 × 1.7391279184229513；2026-11：30天 × 1.4002077845513243；2026-12：31天 × 1.079339935625147；2027-01：17天 × 0.7719368903846591</v>
      </c>
      <c r="BN246" s="11" t="n">
        <v>1.7391279184229513</v>
      </c>
      <c r="BO246" s="11" t="n">
        <v>1.4002077845513243</v>
      </c>
      <c r="BP246" s="11" t="n">
        <v>1.079339935625147</v>
      </c>
      <c r="BQ246" s="11" t="n">
        <v>0.7719368903846591</v>
      </c>
      <c r="BR246" s="8" t="n">
        <v>12</v>
      </c>
      <c r="BS246" s="8" t="n">
        <v>30</v>
      </c>
      <c r="BT246" s="8" t="n">
        <v>31</v>
      </c>
      <c r="BU246" s="8" t="n">
        <v>17</v>
      </c>
      <c r="BV246" s="11" t="n">
        <f>IF(COUNT(BC246,BF246)=2,BC246*BF246,"")</f>
        <v>0.5815697126824684</v>
      </c>
      <c r="BW246" s="11" t="n">
        <f>IF(ISNUMBER(BN246),BN246,"")</f>
        <v>1.7391279184229513</v>
      </c>
      <c r="BX246" s="14" t="n">
        <f>IF(ISNUMBER(BR246),BR246,"")</f>
        <v>12</v>
      </c>
      <c r="BY246" s="13" t="n">
        <f>IF(AND(COUNT(BV246,BW246,BX246)=3,MIN(BV246,BW246,BX246)&gt;=0),BV246*BW246*BX246,"")</f>
        <v>12.137089486023541</v>
      </c>
      <c r="BZ246" s="11" t="n">
        <f>IF(ISNUMBER(BO246),BO246,"")</f>
        <v>1.4002077845513243</v>
      </c>
      <c r="CA246" s="14" t="n">
        <f>IF(ISNUMBER(BS246),BS246,"")</f>
        <v>30</v>
      </c>
      <c r="CB246" s="13" t="n">
        <f>IF(AND(COUNT(BV246,BZ246,CA246)=3,MIN(BV246,BZ246,CA246)&gt;=0),BV246*BZ246*CA246,"")</f>
        <v>24.42955316871808</v>
      </c>
      <c r="CC246" s="11" t="n">
        <f>IF(ISNUMBER(BP246),BP246,"")</f>
        <v>1.079339935625147</v>
      </c>
      <c r="CD246" s="14" t="n">
        <f>IF(ISNUMBER(BT246),BT246,"")</f>
        <v>31</v>
      </c>
      <c r="CE246" s="13" t="n">
        <f>IF(AND(COUNT(BV246,CC246,CD246)=3,MIN(BV246,CC246,CD246)&gt;=0),BV246*CC246*CD246,"")</f>
        <v>19.45905390369515</v>
      </c>
      <c r="CF246" s="11" t="n">
        <f>IF(ISNUMBER(BQ246),BQ246,"")</f>
        <v>0.7719368903846591</v>
      </c>
      <c r="CG246" s="14" t="n">
        <f>IF(ISNUMBER(BU246),BU246,"")</f>
        <v>17</v>
      </c>
      <c r="CH246" s="13" t="n">
        <f>IF(AND(COUNT(BV246,CF246,CG246)=3,MIN(BV246,CF246,CG246)&gt;=0),BV246*CF246*CG246,"")</f>
        <v>7.631896964350072</v>
      </c>
      <c r="CI246" s="13" t="n">
        <f>IF(COUNT(BY246,CB246,CE246,CH246)=4,SUM(BY246,CB246,CE246,CH246),"")</f>
        <v>63.65759352278684</v>
      </c>
    </row>
    <row r="247" ht="72" customHeight="1">
      <c r="A247" s="16" t="str">
        <v>S02b-LP-41</v>
      </c>
      <c r="B247" s="16" t="str">
        <v>3店-SANDIEX-US</v>
      </c>
      <c r="C247" s="16" t="str">
        <v>陈晨</v>
      </c>
      <c r="D247" s="26" t="n">
        <f>IF(NOT(ISNUMBER(E247)),"",IF(OR(E247&lt;=0,L247=0),0,IF(OR(NOT(ISNUMBER(F247)),F247&lt;0),"",MIN(E247,INT(F247)))))</f>
        <v>0</v>
      </c>
      <c r="E247" s="27" t="n">
        <f>IF(OR(NOT(ISNUMBER(L247)),COUNT(M247:O247)&lt;&gt;3,MIN(M247:O247)&lt;0),"",ROUNDUP(ROUND(BI247-SUM(M247:O247),10),0))</f>
        <v>30</v>
      </c>
      <c r="F247" s="28" t="n">
        <v>0</v>
      </c>
      <c r="G247" s="28" t="n">
        <f>IF(AND(ISNUMBER(D247),ISNUMBER(E247)),IF(OR(E247&lt;=0,L247=0),0,E247-D247),"")</f>
        <v>30</v>
      </c>
      <c r="H247" s="16" t="str">
        <f>IF(NOT(ISNUMBER(E247)),"销量或海外库存待补",IF(OR(E247&lt;=0,L247=0),IF(L247=0,"零日销，本批不发","本批无需补货"),IF(NOT(ISNUMBER(D247)),"国内库存待补",IF(D247=0,"国内无可用库存",IF(G247&gt;0,"先发国内现货","按建议量发货")))))</f>
        <v>国内无可用库存</v>
      </c>
      <c r="I247" s="28" t="n">
        <f>IF(AND(COUNT(Z247,AA247,AB247)=3,Z247&gt;=AA247,AA247&gt;=0,AB247=7),Z247-AA247,"")</f>
        <v>6</v>
      </c>
      <c r="J247" s="28" t="n">
        <f>IF(AND(COUNT(AF247,AG247,AH247)=3,AF247&gt;=AG247,AG247&gt;=0,AH247=14),AF247-AG247,"")</f>
        <v>14</v>
      </c>
      <c r="K247" s="28" t="n">
        <f>IF(AND(COUNT(AL247,AM247,AN247)=3,AL247&gt;=AM247,AM247&gt;=0,AN247=30),AL247-AM247,"")</f>
        <v>21</v>
      </c>
      <c r="L247" s="29" t="n">
        <f>IF(ISNUMBER(BI247),BI247/90,"")</f>
        <v>1.1136997218443803</v>
      </c>
      <c r="M247" s="28" t="n">
        <v>44</v>
      </c>
      <c r="N247" s="28" t="n">
        <v>2</v>
      </c>
      <c r="O247" s="28" t="n">
        <v>25</v>
      </c>
      <c r="P247" s="30" t="n">
        <f>IF(AND(ISNUMBER(L247),L247&gt;0,COUNT(M247:O247)=3,MIN(M247:O247)&gt;=0),SUM(M247:O247)/L247,"")</f>
        <v>63.75147502274494</v>
      </c>
      <c r="Q247" s="16" t="str">
        <v>沿用原计划SKU店铺</v>
      </c>
      <c r="R247" s="16" t="str">
        <v>已匹配</v>
      </c>
      <c r="S247" s="16" t="str">
        <v>在售</v>
      </c>
      <c r="T247" s="16" t="str">
        <v>S02b</v>
      </c>
      <c r="U247" s="16" t="str">
        <v>豹纹</v>
      </c>
      <c r="V247" s="16" t="n">
        <v>10</v>
      </c>
      <c r="W247" s="8" t="str">
        <v>2026-10-11 至 2026-10-17</v>
      </c>
      <c r="X247" s="8" t="str">
        <v>2026-10-11、2026-10-12、2026-10-13、2026-10-14、2026-10-15、2026-10-16、2026-10-17</v>
      </c>
      <c r="Y247" s="8" t="str">
        <v>无</v>
      </c>
      <c r="Z247" s="8" t="n">
        <v>6</v>
      </c>
      <c r="AA247" s="8" t="n">
        <v>0</v>
      </c>
      <c r="AB247" s="8" t="n">
        <v>7</v>
      </c>
      <c r="AC247" s="8" t="str">
        <v>2026-10-02 至 2026-10-17</v>
      </c>
      <c r="AD247" s="8" t="str">
        <v>2026-10-02、2026-10-03、2026-10-04、2026-10-05、2026-10-08、2026-10-09、2026-10-10、2026-10-11、2026-10-12、2026-10-13、2026-10-14、2026-10-15、2026-10-16、2026-10-17</v>
      </c>
      <c r="AE247" s="8" t="str">
        <v>2026-10-06 大促；2026-10-07 大促</v>
      </c>
      <c r="AF247" s="8" t="n">
        <v>28</v>
      </c>
      <c r="AG247" s="8" t="n">
        <v>14</v>
      </c>
      <c r="AH247" s="8" t="n">
        <v>14</v>
      </c>
      <c r="AI247" s="8" t="str">
        <v>2026-09-16 至 2026-10-17</v>
      </c>
      <c r="AJ2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7" s="8" t="str">
        <v>2026-10-06 大促；2026-10-07 大促</v>
      </c>
      <c r="AL247" s="8" t="n">
        <v>35</v>
      </c>
      <c r="AM247" s="8" t="n">
        <v>14</v>
      </c>
      <c r="AN247" s="8" t="n">
        <v>30</v>
      </c>
      <c r="AO247" s="8" t="str">
        <v>S02b / 豹纹 / 6574</v>
      </c>
      <c r="AP247" s="11" t="n">
        <v>0.9658602967882928</v>
      </c>
      <c r="AQ247" s="11" t="n">
        <v>0.9658602967882928</v>
      </c>
      <c r="AR247" s="11" t="n">
        <v>0.9166270540270348</v>
      </c>
      <c r="AS247" s="11" t="n">
        <f>IF(AND(COUNT(I247:K247,AP247:AR247)=6,MIN(AP247:AR247)&gt;0),I247/7/AP247*0.5+J247/14/AQ247*0.3+K247/30/AR247*0.2,"")</f>
        <v>0.9070576928452139</v>
      </c>
      <c r="AT247" s="8" t="n">
        <v>74</v>
      </c>
      <c r="AU247" s="8" t="n">
        <v>14</v>
      </c>
      <c r="AV247" s="8" t="n">
        <v>88</v>
      </c>
      <c r="AW247" s="11" t="n">
        <f>IF(AND(COUNT(AT247:AV247)=3,AT247&gt;=AU247,AU247&gt;=0,AV247&gt;0),(AT247-AU247)/AV247,"")</f>
        <v>0.6818181818181818</v>
      </c>
      <c r="AX247" s="8" t="n">
        <v>107</v>
      </c>
      <c r="AY247" s="8" t="n">
        <v>14</v>
      </c>
      <c r="AZ247" s="8" t="n">
        <v>178</v>
      </c>
      <c r="BA247" s="11" t="n">
        <f>IF(AND(COUNT(AX247:AZ247)=3,AX247&gt;=AY247,AY247&gt;=0,AZ247&gt;0),(AX247-AY247)/AZ247,"")</f>
        <v>0.5224719101123596</v>
      </c>
      <c r="BB247" s="8" t="n">
        <f>IF(COUNT(AS247,AW247,BA247)=3,1,0)</f>
        <v>1</v>
      </c>
      <c r="BC247" s="11" t="n">
        <f>IF(SUMIF($AO$11:$AO$1309,AO247,$BB$11:$BB$1309)=COUNTIF($AO$11:$AO$1309,AO247),SUMIF($AO$11:$AO$1309,AO247,$AS$11:$AS$1309),"")</f>
        <v>7.593711834893618</v>
      </c>
      <c r="BD247" s="11" t="n">
        <f>IF(SUMIF($AO$11:$AO$1309,AO247,$BB$11:$BB$1309)=COUNTIF($AO$11:$AO$1309,AO247),SUMIF($AO$11:$AO$1309,AO247,$AW$11:$AW$1309),"")</f>
        <v>4.863636363636363</v>
      </c>
      <c r="BE247" s="11" t="n">
        <f>IF(SUMIF($AO$11:$AO$1309,AO247,$BB$11:$BB$1309)=COUNTIF($AO$11:$AO$1309,AO247),SUMIF($AO$11:$AO$1309,AO247,$BA$11:$BA$1309),"")</f>
        <v>3.7977528089887644</v>
      </c>
      <c r="BF247" s="12" t="n">
        <f>IF(COUNT(BD247:BE247)&lt;&gt;2,"",IF(AND(BD247&gt;0,BE247&gt;0),0.7*AW247/BD247+0.3*BA247/BE247,IF(BD247&gt;0,AW247/BD247,IF(BE247&gt;0,BA247/BE247,IF(AND(ISNUMBER(BH247),BH247=0),0,"")))))</f>
        <v>0.13940303047060773</v>
      </c>
      <c r="BG247" s="11" t="n">
        <f>IF(AND(COUNT(BN247:BU247)=8,MIN(BN247:BU247)&gt;=0),SUMPRODUCT(BN247:BQ247,BR247:BU247),"")</f>
        <v>94.68567795727022</v>
      </c>
      <c r="BH247" s="11" t="n">
        <f>IF(COUNT(BC247,BG247)=2,BC247*BG247,"")</f>
        <v>719.0157532990486</v>
      </c>
      <c r="BI247" s="11" t="n">
        <f>IF(ISNUMBER(CI247),CI247,"")</f>
        <v>100.23297496599423</v>
      </c>
      <c r="BJ247" s="8" t="str"/>
      <c r="BK247" s="8" t="str">
        <v>90天：2026-07-20 至 2026-10-17；180天：2026-04-21 至 2026-10-17</v>
      </c>
      <c r="BL247" s="8" t="str">
        <v>90天：2026-10-06、2026-10-07；180天：2026-10-06、2026-10-07</v>
      </c>
      <c r="BM247" s="8" t="str">
        <v>2026-10：12天 × 0.9658602967882928；2026-11：30天 × 1.1727174450092641；2026-12：31天 × 0.8763339075184018；2027-01：17天 × 1.2204399948507247</v>
      </c>
      <c r="BN247" s="11" t="n">
        <v>0.9658602967882928</v>
      </c>
      <c r="BO247" s="11" t="n">
        <v>1.1727174450092641</v>
      </c>
      <c r="BP247" s="11" t="n">
        <v>0.8763339075184018</v>
      </c>
      <c r="BQ247" s="11" t="n">
        <v>1.2204399948507247</v>
      </c>
      <c r="BR247" s="8" t="n">
        <v>12</v>
      </c>
      <c r="BS247" s="8" t="n">
        <v>30</v>
      </c>
      <c r="BT247" s="8" t="n">
        <v>31</v>
      </c>
      <c r="BU247" s="8" t="n">
        <v>17</v>
      </c>
      <c r="BV247" s="11" t="n">
        <f>IF(COUNT(BC247,BF247)=2,BC247*BF247,"")</f>
        <v>1.0585864423046896</v>
      </c>
      <c r="BW247" s="11" t="n">
        <f>IF(ISNUMBER(BN247),BN247,"")</f>
        <v>0.9658602967882928</v>
      </c>
      <c r="BX247" s="14" t="n">
        <f>IF(ISNUMBER(BR247),BR247,"")</f>
        <v>12</v>
      </c>
      <c r="BY247" s="13" t="n">
        <f>IF(AND(COUNT(BV247,BW247,BX247)=3,MIN(BV247,BW247,BX247)&gt;=0),BV247*BW247*BX247,"")</f>
        <v>12.269359384085643</v>
      </c>
      <c r="BZ247" s="11" t="n">
        <f>IF(ISNUMBER(BO247),BO247,"")</f>
        <v>1.1727174450092641</v>
      </c>
      <c r="CA247" s="14" t="n">
        <f>IF(ISNUMBER(BS247),BS247,"")</f>
        <v>30</v>
      </c>
      <c r="CB247" s="13" t="n">
        <f>IF(AND(COUNT(BV247,BZ247,CA247)=3,MIN(BV247,BZ247,CA247)&gt;=0),BV247*BZ247*CA247,"")</f>
        <v>37.24268363823007</v>
      </c>
      <c r="CC247" s="11" t="n">
        <f>IF(ISNUMBER(BP247),BP247,"")</f>
        <v>0.8763339075184018</v>
      </c>
      <c r="CD247" s="14" t="n">
        <f>IF(ISNUMBER(BT247),BT247,"")</f>
        <v>31</v>
      </c>
      <c r="CE247" s="13" t="n">
        <f>IF(AND(COUNT(BV247,CC247,CD247)=3,MIN(BV247,CC247,CD247)&gt;=0),BV247*CC247*CD247,"")</f>
        <v>28.757930996357025</v>
      </c>
      <c r="CF247" s="11" t="n">
        <f>IF(ISNUMBER(BQ247),BQ247,"")</f>
        <v>1.2204399948507247</v>
      </c>
      <c r="CG247" s="14" t="n">
        <f>IF(ISNUMBER(BU247),BU247,"")</f>
        <v>17</v>
      </c>
      <c r="CH247" s="13" t="n">
        <f>IF(AND(COUNT(BV247,CF247,CG247)=3,MIN(BV247,CF247,CG247)&gt;=0),BV247*CF247*CG247,"")</f>
        <v>21.963000947321497</v>
      </c>
      <c r="CI247" s="13" t="n">
        <f>IF(COUNT(BY247,CB247,CE247,CH247)=4,SUM(BY247,CB247,CE247,CH247),"")</f>
        <v>100.23297496599423</v>
      </c>
    </row>
    <row r="248" ht="72" customHeight="1">
      <c r="A248" s="16" t="str">
        <v>B06b-CCP0-7.5</v>
      </c>
      <c r="B248" s="16" t="str">
        <v>1店-MUSSHOE-US</v>
      </c>
      <c r="C248" s="16" t="str">
        <v>艾年</v>
      </c>
      <c r="D248" s="26" t="n">
        <f>IF(NOT(ISNUMBER(E248)),"",IF(OR(E248&lt;=0,L248=0),0,IF(OR(NOT(ISNUMBER(F248)),F248&lt;0),"",MIN(E248,INT(F248)))))</f>
        <v>0</v>
      </c>
      <c r="E248" s="27" t="n">
        <f>IF(OR(NOT(ISNUMBER(L248)),COUNT(M248:O248)&lt;&gt;3,MIN(M248:O248)&lt;0),"",ROUNDUP(ROUND(BI248-SUM(M248:O248),10),0))</f>
        <v>29</v>
      </c>
      <c r="F248" s="28" t="n">
        <v>0</v>
      </c>
      <c r="G248" s="28" t="n">
        <f>IF(AND(ISNUMBER(D248),ISNUMBER(E248)),IF(OR(E248&lt;=0,L248=0),0,E248-D248),"")</f>
        <v>29</v>
      </c>
      <c r="H248" s="16" t="str">
        <f>IF(NOT(ISNUMBER(E248)),"销量或海外库存待补",IF(OR(E248&lt;=0,L248=0),IF(L248=0,"零日销，本批不发","本批无需补货"),IF(NOT(ISNUMBER(D248)),"国内库存待补",IF(D248=0,"国内无可用库存",IF(G248&gt;0,"先发国内现货","按建议量发货")))))</f>
        <v>国内无可用库存</v>
      </c>
      <c r="I248" s="28" t="n">
        <f>IF(AND(COUNT(Z248,AA248,AB248)=3,Z248&gt;=AA248,AA248&gt;=0,AB248=7),Z248-AA248,"")</f>
        <v>1</v>
      </c>
      <c r="J248" s="28" t="n">
        <f>IF(AND(COUNT(AF248,AG248,AH248)=3,AF248&gt;=AG248,AG248&gt;=0,AH248=14),AF248-AG248,"")</f>
        <v>1</v>
      </c>
      <c r="K248" s="28" t="n">
        <f>IF(AND(COUNT(AL248,AM248,AN248)=3,AL248&gt;=AM248,AM248&gt;=0,AN248=30),AL248-AM248,"")</f>
        <v>9</v>
      </c>
      <c r="L248" s="29" t="n">
        <f>IF(ISNUMBER(BI248),BI248/90,"")</f>
        <v>0.35878205086441434</v>
      </c>
      <c r="M248" s="28" t="n">
        <v>4</v>
      </c>
      <c r="N248" s="28" t="n">
        <v>0</v>
      </c>
      <c r="O248" s="28" t="n">
        <v>0</v>
      </c>
      <c r="P248" s="30" t="n">
        <f>IF(AND(ISNUMBER(L248),L248&gt;0,COUNT(M248:O248)=3,MIN(M248:O248)&gt;=0),SUM(M248:O248)/L248,"")</f>
        <v>11.148829743190307</v>
      </c>
      <c r="Q248" s="16" t="str">
        <v>沿用原计划SKU店铺</v>
      </c>
      <c r="R248" s="16" t="str">
        <v>已匹配</v>
      </c>
      <c r="S248" s="16" t="str">
        <v>在售</v>
      </c>
      <c r="T248" s="16" t="str">
        <v>B06b</v>
      </c>
      <c r="U248" s="16" t="str">
        <v>咖色PU</v>
      </c>
      <c r="V248" s="16" t="n">
        <v>7.5</v>
      </c>
      <c r="W248" s="8" t="str">
        <v>2026-10-11 至 2026-10-17</v>
      </c>
      <c r="X248" s="8" t="str">
        <v>2026-10-11、2026-10-12、2026-10-13、2026-10-14、2026-10-15、2026-10-16、2026-10-17</v>
      </c>
      <c r="Y248" s="8" t="str">
        <v>无</v>
      </c>
      <c r="Z248" s="8" t="n">
        <v>1</v>
      </c>
      <c r="AA248" s="8" t="n">
        <v>0</v>
      </c>
      <c r="AB248" s="8" t="n">
        <v>7</v>
      </c>
      <c r="AC248" s="8" t="str">
        <v>2026-10-02 至 2026-10-17</v>
      </c>
      <c r="AD248" s="8" t="str">
        <v>2026-10-02、2026-10-03、2026-10-04、2026-10-05、2026-10-08、2026-10-09、2026-10-10、2026-10-11、2026-10-12、2026-10-13、2026-10-14、2026-10-15、2026-10-16、2026-10-17</v>
      </c>
      <c r="AE248" s="8" t="str">
        <v>2026-10-06 大促；2026-10-07 大促</v>
      </c>
      <c r="AF248" s="8" t="n">
        <v>1</v>
      </c>
      <c r="AG248" s="8" t="n">
        <v>0</v>
      </c>
      <c r="AH248" s="8" t="n">
        <v>14</v>
      </c>
      <c r="AI248" s="8" t="str">
        <v>2026-09-16 至 2026-10-17</v>
      </c>
      <c r="AJ2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8" s="8" t="str">
        <v>2026-10-06 大促；2026-10-07 大促</v>
      </c>
      <c r="AL248" s="8" t="n">
        <v>9</v>
      </c>
      <c r="AM248" s="8" t="n">
        <v>0</v>
      </c>
      <c r="AN248" s="8" t="n">
        <v>30</v>
      </c>
      <c r="AO248" s="8" t="str">
        <v>B06b / 咖色PU / 13120</v>
      </c>
      <c r="AP248" s="11" t="n">
        <v>1.1090677182221615</v>
      </c>
      <c r="AQ248" s="11" t="n">
        <v>1.1090677182221615</v>
      </c>
      <c r="AR248" s="11" t="n">
        <v>0.9505188216044452</v>
      </c>
      <c r="AS248" s="11" t="n">
        <f>IF(AND(COUNT(I248:K248,AP248:AR248)=6,MIN(AP248:AR248)&gt;0),I248/7/AP248*0.5+J248/14/AQ248*0.3+K248/30/AR248*0.2,"")</f>
        <v>0.14684882534594887</v>
      </c>
      <c r="AT248" s="8" t="n">
        <v>31</v>
      </c>
      <c r="AU248" s="8" t="n">
        <v>0</v>
      </c>
      <c r="AV248" s="8" t="n">
        <v>88</v>
      </c>
      <c r="AW248" s="11" t="n">
        <f>IF(AND(COUNT(AT248:AV248)=3,AT248&gt;=AU248,AU248&gt;=0,AV248&gt;0),(AT248-AU248)/AV248,"")</f>
        <v>0.3522727272727273</v>
      </c>
      <c r="AX248" s="8" t="n">
        <v>41</v>
      </c>
      <c r="AY248" s="8" t="n">
        <v>0</v>
      </c>
      <c r="AZ248" s="8" t="n">
        <v>178</v>
      </c>
      <c r="BA248" s="11" t="n">
        <f>IF(AND(COUNT(AX248:AZ248)=3,AX248&gt;=AY248,AY248&gt;=0,AZ248&gt;0),(AX248-AY248)/AZ248,"")</f>
        <v>0.2303370786516854</v>
      </c>
      <c r="BB248" s="8" t="n">
        <f>IF(COUNT(AS248,AW248,BA248)=3,1,0)</f>
        <v>1</v>
      </c>
      <c r="BC248" s="11" t="n">
        <f>IF(SUMIF($AO$11:$AO$1309,AO248,$BB$11:$BB$1309)=COUNTIF($AO$11:$AO$1309,AO248),SUMIF($AO$11:$AO$1309,AO248,$AS$11:$AS$1309),"")</f>
        <v>2.1842159740642213</v>
      </c>
      <c r="BD248" s="11" t="n">
        <f>IF(SUMIF($AO$11:$AO$1309,AO248,$BB$11:$BB$1309)=COUNTIF($AO$11:$AO$1309,AO248),SUMIF($AO$11:$AO$1309,AO248,$AW$11:$AW$1309),"")</f>
        <v>2.1590909090909087</v>
      </c>
      <c r="BE248" s="11" t="n">
        <f>IF(SUMIF($AO$11:$AO$1309,AO248,$BB$11:$BB$1309)=COUNTIF($AO$11:$AO$1309,AO248),SUMIF($AO$11:$AO$1309,AO248,$BA$11:$BA$1309),"")</f>
        <v>1.6349277688603532</v>
      </c>
      <c r="BF248" s="12" t="n">
        <f>IF(COUNT(BD248:BE248)&lt;&gt;2,"",IF(AND(BD248&gt;0,BE248&gt;0),0.7*AW248/BD248+0.3*BA248/BE248,IF(BD248&gt;0,AW248/BD248,IF(BE248&gt;0,BA248/BE248,IF(AND(ISNUMBER(BH248),BH248=0),0,"")))))</f>
        <v>0.15647607768242472</v>
      </c>
      <c r="BG248" s="11" t="n">
        <f>IF(AND(COUNT(BN248:BU248)=8,MIN(BN248:BU248)&gt;=0),SUMPRODUCT(BN248:BQ248,BR248:BU248),"")</f>
        <v>94.47778160343367</v>
      </c>
      <c r="BH248" s="11" t="n">
        <f>IF(COUNT(BC248,BG248)=2,BC248*BG248,"")</f>
        <v>206.35987977237065</v>
      </c>
      <c r="BI248" s="11" t="n">
        <f>IF(ISNUMBER(CI248),CI248,"")</f>
        <v>32.29038457779729</v>
      </c>
      <c r="BJ248" s="8" t="str"/>
      <c r="BK248" s="8" t="str">
        <v>90天：2026-07-20 至 2026-10-17；180天：2026-04-21 至 2026-10-17</v>
      </c>
      <c r="BL248" s="8" t="str">
        <v>90天：2026-10-06、2026-10-07；180天：2026-10-06、2026-10-07</v>
      </c>
      <c r="BM248" s="8" t="str">
        <v>2026-10：12天 × 1.1090677182221615；2026-11：30天 × 1.0372741535934282；2026-12：31天 × 0.979949351738161；2027-01：17天 × 1.1571949690048173</v>
      </c>
      <c r="BN248" s="11" t="n">
        <v>1.1090677182221615</v>
      </c>
      <c r="BO248" s="11" t="n">
        <v>1.0372741535934282</v>
      </c>
      <c r="BP248" s="11" t="n">
        <v>0.979949351738161</v>
      </c>
      <c r="BQ248" s="11" t="n">
        <v>1.1571949690048173</v>
      </c>
      <c r="BR248" s="8" t="n">
        <v>12</v>
      </c>
      <c r="BS248" s="8" t="n">
        <v>30</v>
      </c>
      <c r="BT248" s="8" t="n">
        <v>31</v>
      </c>
      <c r="BU248" s="8" t="n">
        <v>17</v>
      </c>
      <c r="BV248" s="11" t="n">
        <f>IF(COUNT(BC248,BF248)=2,BC248*BF248,"")</f>
        <v>0.34177754843286606</v>
      </c>
      <c r="BW248" s="11" t="n">
        <f>IF(ISNUMBER(BN248),BN248,"")</f>
        <v>1.1090677182221615</v>
      </c>
      <c r="BX248" s="14" t="n">
        <f>IF(ISNUMBER(BR248),BR248,"")</f>
        <v>12</v>
      </c>
      <c r="BY248" s="13" t="n">
        <f>IF(AND(COUNT(BV248,BW248,BX248)=3,MIN(BV248,BW248,BX248)&gt;=0),BV248*BW248*BX248,"")</f>
        <v>4.548653349360037</v>
      </c>
      <c r="BZ248" s="11" t="n">
        <f>IF(ISNUMBER(BO248),BO248,"")</f>
        <v>1.0372741535934282</v>
      </c>
      <c r="CA248" s="14" t="n">
        <f>IF(ISNUMBER(BS248),BS248,"")</f>
        <v>30</v>
      </c>
      <c r="CB248" s="13" t="n">
        <f>IF(AND(COUNT(BV248,BZ248,CA248)=3,MIN(BV248,BZ248,CA248)&gt;=0),BV248*BZ248*CA248,"")</f>
        <v>10.635510518038142</v>
      </c>
      <c r="CC248" s="11" t="n">
        <f>IF(ISNUMBER(BP248),BP248,"")</f>
        <v>0.979949351738161</v>
      </c>
      <c r="CD248" s="14" t="n">
        <f>IF(ISNUMBER(BT248),BT248,"")</f>
        <v>31</v>
      </c>
      <c r="CE248" s="13" t="n">
        <f>IF(AND(COUNT(BV248,CC248,CD248)=3,MIN(BV248,CC248,CD248)&gt;=0),BV248*CC248*CD248,"")</f>
        <v>10.382665297788796</v>
      </c>
      <c r="CF248" s="11" t="n">
        <f>IF(ISNUMBER(BQ248),BQ248,"")</f>
        <v>1.1571949690048173</v>
      </c>
      <c r="CG248" s="14" t="n">
        <f>IF(ISNUMBER(BU248),BU248,"")</f>
        <v>17</v>
      </c>
      <c r="CH248" s="13" t="n">
        <f>IF(AND(COUNT(BV248,CF248,CG248)=3,MIN(BV248,CF248,CG248)&gt;=0),BV248*CF248*CG248,"")</f>
        <v>6.723555412610319</v>
      </c>
      <c r="CI248" s="13" t="n">
        <f>IF(COUNT(BY248,CB248,CE248,CH248)=4,SUM(BY248,CB248,CE248,CH248),"")</f>
        <v>32.29038457779729</v>
      </c>
    </row>
    <row r="249" ht="72" customHeight="1">
      <c r="A249" s="16" t="str">
        <v>1S01-BLK-39.5</v>
      </c>
      <c r="B249" s="16" t="str">
        <v>3店-SANDIEX-US</v>
      </c>
      <c r="C249" s="16" t="str">
        <v>徐新怡</v>
      </c>
      <c r="D249" s="26" t="n">
        <f>IF(NOT(ISNUMBER(E249)),"",IF(OR(E249&lt;=0,L249=0),0,IF(OR(NOT(ISNUMBER(F249)),F249&lt;0),"",MIN(E249,INT(F249)))))</f>
        <v>0</v>
      </c>
      <c r="E249" s="27" t="n">
        <f>IF(OR(NOT(ISNUMBER(L249)),COUNT(M249:O249)&lt;&gt;3,MIN(M249:O249)&lt;0),"",ROUNDUP(ROUND(BI249-SUM(M249:O249),10),0))</f>
        <v>28</v>
      </c>
      <c r="F249" s="28" t="n">
        <v>0</v>
      </c>
      <c r="G249" s="28" t="n">
        <f>IF(AND(ISNUMBER(D249),ISNUMBER(E249)),IF(OR(E249&lt;=0,L249=0),0,E249-D249),"")</f>
        <v>28</v>
      </c>
      <c r="H249" s="16" t="str">
        <f>IF(NOT(ISNUMBER(E249)),"销量或海外库存待补",IF(OR(E249&lt;=0,L249=0),IF(L249=0,"零日销，本批不发","本批无需补货"),IF(NOT(ISNUMBER(D249)),"国内库存待补",IF(D249=0,"国内无可用库存",IF(G249&gt;0,"先发国内现货","按建议量发货")))))</f>
        <v>国内无可用库存</v>
      </c>
      <c r="I249" s="28" t="n">
        <f>IF(AND(COUNT(Z249,AA249,AB249)=3,Z249&gt;=AA249,AA249&gt;=0,AB249=7),Z249-AA249,"")</f>
        <v>7</v>
      </c>
      <c r="J249" s="28" t="n">
        <f>IF(AND(COUNT(AF249,AG249,AH249)=3,AF249&gt;=AG249,AG249&gt;=0,AH249=14),AF249-AG249,"")</f>
        <v>14</v>
      </c>
      <c r="K249" s="28" t="n">
        <f>IF(AND(COUNT(AL249,AM249,AN249)=3,AL249&gt;=AM249,AM249&gt;=0,AN249=30),AL249-AM249,"")</f>
        <v>28</v>
      </c>
      <c r="L249" s="29" t="n">
        <f>IF(ISNUMBER(BI249),BI249/90,"")</f>
        <v>0.5816791506217713</v>
      </c>
      <c r="M249" s="28" t="n">
        <v>6</v>
      </c>
      <c r="N249" s="28" t="n">
        <v>0</v>
      </c>
      <c r="O249" s="28" t="n">
        <v>19</v>
      </c>
      <c r="P249" s="30" t="n">
        <f>IF(AND(ISNUMBER(L249),L249&gt;0,COUNT(M249:O249)=3,MIN(M249:O249)&gt;=0),SUM(M249:O249)/L249,"")</f>
        <v>42.97902026104404</v>
      </c>
      <c r="Q249" s="16" t="str">
        <v>沿用原计划SKU店铺</v>
      </c>
      <c r="R249" s="16" t="str">
        <v>已匹配</v>
      </c>
      <c r="S249" s="16" t="str">
        <v>在售</v>
      </c>
      <c r="T249" s="16" t="str">
        <v>1S01</v>
      </c>
      <c r="U249" s="16" t="str">
        <v>黑色</v>
      </c>
      <c r="V249" s="16" t="n">
        <v>8.5</v>
      </c>
      <c r="W249" s="8" t="str">
        <v>2026-10-11 至 2026-10-17</v>
      </c>
      <c r="X249" s="8" t="str">
        <v>2026-10-11、2026-10-12、2026-10-13、2026-10-14、2026-10-15、2026-10-16、2026-10-17</v>
      </c>
      <c r="Y249" s="8" t="str">
        <v>无</v>
      </c>
      <c r="Z249" s="8" t="n">
        <v>7</v>
      </c>
      <c r="AA249" s="8" t="n">
        <v>0</v>
      </c>
      <c r="AB249" s="8" t="n">
        <v>7</v>
      </c>
      <c r="AC249" s="8" t="str">
        <v>2026-10-02 至 2026-10-17</v>
      </c>
      <c r="AD249" s="8" t="str">
        <v>2026-10-02、2026-10-03、2026-10-04、2026-10-05、2026-10-08、2026-10-09、2026-10-10、2026-10-11、2026-10-12、2026-10-13、2026-10-14、2026-10-15、2026-10-16、2026-10-17</v>
      </c>
      <c r="AE249" s="8" t="str">
        <v>2026-10-06 大促；2026-10-07 大促</v>
      </c>
      <c r="AF249" s="8" t="n">
        <v>21</v>
      </c>
      <c r="AG249" s="8" t="n">
        <v>7</v>
      </c>
      <c r="AH249" s="8" t="n">
        <v>14</v>
      </c>
      <c r="AI249" s="8" t="str">
        <v>2026-09-16 至 2026-10-17</v>
      </c>
      <c r="AJ2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49" s="8" t="str">
        <v>2026-10-06 大促；2026-10-07 大促</v>
      </c>
      <c r="AL249" s="8" t="n">
        <v>35</v>
      </c>
      <c r="AM249" s="8" t="n">
        <v>7</v>
      </c>
      <c r="AN249" s="8" t="n">
        <v>30</v>
      </c>
      <c r="AO249" s="8" t="str">
        <v>1S01 / 黑色羊京绒 / 6574</v>
      </c>
      <c r="AP249" s="11" t="n">
        <v>0.8729500662042875</v>
      </c>
      <c r="AQ249" s="11" t="n">
        <v>0.8729500662042875</v>
      </c>
      <c r="AR249" s="11" t="n">
        <v>1.0921363354767095</v>
      </c>
      <c r="AS249" s="11" t="n">
        <f>IF(AND(COUNT(I249:K249,AP249:AR249)=6,MIN(AP249:AR249)&gt;0),I249/7/AP249*0.5+J249/14/AQ249*0.3+K249/30/AR249*0.2,"")</f>
        <v>1.087351547718117</v>
      </c>
      <c r="AT249" s="8" t="n">
        <v>76</v>
      </c>
      <c r="AU249" s="8" t="n">
        <v>7</v>
      </c>
      <c r="AV249" s="8" t="n">
        <v>88</v>
      </c>
      <c r="AW249" s="11" t="n">
        <f>IF(AND(COUNT(AT249:AV249)=3,AT249&gt;=AU249,AU249&gt;=0,AV249&gt;0),(AT249-AU249)/AV249,"")</f>
        <v>0.7840909090909091</v>
      </c>
      <c r="AX249" s="8" t="n">
        <v>103</v>
      </c>
      <c r="AY249" s="8" t="n">
        <v>7</v>
      </c>
      <c r="AZ249" s="8" t="n">
        <v>178</v>
      </c>
      <c r="BA249" s="11" t="n">
        <f>IF(AND(COUNT(AX249:AZ249)=3,AX249&gt;=AY249,AY249&gt;=0,AZ249&gt;0),(AX249-AY249)/AZ249,"")</f>
        <v>0.5393258426966292</v>
      </c>
      <c r="BB249" s="8" t="n">
        <f>IF(COUNT(AS249,AW249,BA249)=3,1,0)</f>
        <v>1</v>
      </c>
      <c r="BC249" s="11" t="n">
        <f>IF(SUMIF($AO$11:$AO$1309,AO249,$BB$11:$BB$1309)=COUNTIF($AO$11:$AO$1309,AO249),SUMIF($AO$11:$AO$1309,AO249,$AS$11:$AS$1309),"")</f>
        <v>6.231458447413107</v>
      </c>
      <c r="BD249" s="11" t="n">
        <f>IF(SUMIF($AO$11:$AO$1309,AO249,$BB$11:$BB$1309)=COUNTIF($AO$11:$AO$1309,AO249),SUMIF($AO$11:$AO$1309,AO249,$AW$11:$AW$1309),"")</f>
        <v>5.866248693834901</v>
      </c>
      <c r="BE249" s="11" t="n">
        <f>IF(SUMIF($AO$11:$AO$1309,AO249,$BB$11:$BB$1309)=COUNTIF($AO$11:$AO$1309,AO249),SUMIF($AO$11:$AO$1309,AO249,$BA$11:$BA$1309),"")</f>
        <v>4.27632831841554</v>
      </c>
      <c r="BF249" s="12" t="n">
        <f>IF(COUNT(BD249:BE249)&lt;&gt;2,"",IF(AND(BD249&gt;0,BE249&gt;0),0.7*AW249/BD249+0.3*BA249/BE249,IF(BD249&gt;0,AW249/BD249,IF(BE249&gt;0,BA249/BE249,IF(AND(ISNUMBER(BH249),BH249=0),0,"")))))</f>
        <v>0.13139863892373274</v>
      </c>
      <c r="BG249" s="11" t="n">
        <f>IF(AND(COUNT(BN249:BU249)=8,MIN(BN249:BU249)&gt;=0),SUMPRODUCT(BN249:BQ249,BR249:BU249),"")</f>
        <v>63.935996265425516</v>
      </c>
      <c r="BH249" s="11" t="n">
        <f>IF(COUNT(BC249,BG249)=2,BC249*BG249,"")</f>
        <v>398.4145040219587</v>
      </c>
      <c r="BI249" s="11" t="n">
        <f>IF(ISNUMBER(CI249),CI249,"")</f>
        <v>52.35112355595942</v>
      </c>
      <c r="BJ249" s="8" t="str"/>
      <c r="BK249" s="8" t="str">
        <v>90天：2026-07-20 至 2026-10-17；180天：2026-04-21 至 2026-10-17</v>
      </c>
      <c r="BL249" s="8" t="str">
        <v>90天：2026-10-06、2026-10-07；180天：2026-10-06、2026-10-07</v>
      </c>
      <c r="BM249" s="8" t="str">
        <v>2026-10：12天 × 0.8729500662042875；2026-11：30天 × 0.8057375774163482；2026-12：31天 × 0.532550303142279；2027-01：17天 × 0.7517299265337036</v>
      </c>
      <c r="BN249" s="11" t="n">
        <v>0.8729500662042875</v>
      </c>
      <c r="BO249" s="11" t="n">
        <v>0.8057375774163482</v>
      </c>
      <c r="BP249" s="11" t="n">
        <v>0.532550303142279</v>
      </c>
      <c r="BQ249" s="11" t="n">
        <v>0.7517299265337036</v>
      </c>
      <c r="BR249" s="8" t="n">
        <v>12</v>
      </c>
      <c r="BS249" s="8" t="n">
        <v>30</v>
      </c>
      <c r="BT249" s="8" t="n">
        <v>31</v>
      </c>
      <c r="BU249" s="8" t="n">
        <v>17</v>
      </c>
      <c r="BV249" s="11" t="n">
        <f>IF(COUNT(BC249,BF249)=2,BC249*BF249,"")</f>
        <v>0.8188051584998791</v>
      </c>
      <c r="BW249" s="11" t="n">
        <f>IF(ISNUMBER(BN249),BN249,"")</f>
        <v>0.8729500662042875</v>
      </c>
      <c r="BX249" s="14" t="n">
        <f>IF(ISNUMBER(BR249),BR249,"")</f>
        <v>12</v>
      </c>
      <c r="BY249" s="13" t="n">
        <f>IF(AND(COUNT(BV249,BW249,BX249)=3,MIN(BV249,BW249,BX249)&gt;=0),BV249*BW249*BX249,"")</f>
        <v>8.577312207850579</v>
      </c>
      <c r="BZ249" s="11" t="n">
        <f>IF(ISNUMBER(BO249),BO249,"")</f>
        <v>0.8057375774163482</v>
      </c>
      <c r="CA249" s="14" t="n">
        <f>IF(ISNUMBER(BS249),BS249,"")</f>
        <v>30</v>
      </c>
      <c r="CB249" s="13" t="n">
        <f>IF(AND(COUNT(BV249,BZ249,CA249)=3,MIN(BV249,BZ249,CA249)&gt;=0),BV249*BZ249*CA249,"")</f>
        <v>19.79226254357105</v>
      </c>
      <c r="CC249" s="11" t="n">
        <f>IF(ISNUMBER(BP249),BP249,"")</f>
        <v>0.532550303142279</v>
      </c>
      <c r="CD249" s="14" t="n">
        <f>IF(ISNUMBER(BT249),BT249,"")</f>
        <v>31</v>
      </c>
      <c r="CE249" s="13" t="n">
        <f>IF(AND(COUNT(BV249,CC249,CD249)=3,MIN(BV249,CC249,CD249)&gt;=0),BV249*CC249*CD249,"")</f>
        <v>13.517702996580745</v>
      </c>
      <c r="CF249" s="11" t="n">
        <f>IF(ISNUMBER(BQ249),BQ249,"")</f>
        <v>0.7517299265337036</v>
      </c>
      <c r="CG249" s="14" t="n">
        <f>IF(ISNUMBER(BU249),BU249,"")</f>
        <v>17</v>
      </c>
      <c r="CH249" s="13" t="n">
        <f>IF(AND(COUNT(BV249,CF249,CG249)=3,MIN(BV249,CF249,CG249)&gt;=0),BV249*CF249*CG249,"")</f>
        <v>10.46384580795704</v>
      </c>
      <c r="CI249" s="13" t="n">
        <f>IF(COUNT(BY249,CB249,CE249,CH249)=4,SUM(BY249,CB249,CE249,CH249),"")</f>
        <v>52.35112355595942</v>
      </c>
    </row>
    <row r="250" ht="72" customHeight="1">
      <c r="A250" s="16" t="str">
        <v>230918-BK-S-Z-10</v>
      </c>
      <c r="B250" s="16" t="str">
        <v>1店-MUSSHOE-US</v>
      </c>
      <c r="C250" s="16" t="str">
        <v>艾年</v>
      </c>
      <c r="D250" s="26" t="n">
        <f>IF(NOT(ISNUMBER(E250)),"",IF(OR(E250&lt;=0,L250=0),0,IF(OR(NOT(ISNUMBER(F250)),F250&lt;0),"",MIN(E250,INT(F250)))))</f>
        <v>0</v>
      </c>
      <c r="E250" s="27" t="n">
        <f>IF(OR(NOT(ISNUMBER(L250)),COUNT(M250:O250)&lt;&gt;3,MIN(M250:O250)&lt;0),"",ROUNDUP(ROUND(BI250-SUM(M250:O250),10),0))</f>
        <v>28</v>
      </c>
      <c r="F250" s="28" t="n">
        <v>0</v>
      </c>
      <c r="G250" s="28" t="n">
        <f>IF(AND(ISNUMBER(D250),ISNUMBER(E250)),IF(OR(E250&lt;=0,L250=0),0,E250-D250),"")</f>
        <v>28</v>
      </c>
      <c r="H250" s="16" t="str">
        <f>IF(NOT(ISNUMBER(E250)),"销量或海外库存待补",IF(OR(E250&lt;=0,L250=0),IF(L250=0,"零日销，本批不发","本批无需补货"),IF(NOT(ISNUMBER(D250)),"国内库存待补",IF(D250=0,"国内无可用库存",IF(G250&gt;0,"先发国内现货","按建议量发货")))))</f>
        <v>国内无可用库存</v>
      </c>
      <c r="I250" s="28" t="n">
        <f>IF(AND(COUNT(Z250,AA250,AB250)=3,Z250&gt;=AA250,AA250&gt;=0,AB250=7),Z250-AA250,"")</f>
        <v>2</v>
      </c>
      <c r="J250" s="28" t="n">
        <f>IF(AND(COUNT(AF250,AG250,AH250)=3,AF250&gt;=AG250,AG250&gt;=0,AH250=14),AF250-AG250,"")</f>
        <v>5</v>
      </c>
      <c r="K250" s="28" t="n">
        <f>IF(AND(COUNT(AL250,AM250,AN250)=3,AL250&gt;=AM250,AM250&gt;=0,AN250=30),AL250-AM250,"")</f>
        <v>9</v>
      </c>
      <c r="L250" s="29" t="n">
        <f>IF(ISNUMBER(BI250),BI250/90,"")</f>
        <v>0.8327399221705634</v>
      </c>
      <c r="M250" s="28" t="n">
        <v>2</v>
      </c>
      <c r="N250" s="28" t="n">
        <v>0</v>
      </c>
      <c r="O250" s="28" t="n">
        <v>45</v>
      </c>
      <c r="P250" s="30" t="n">
        <f>IF(AND(ISNUMBER(L250),L250&gt;0,COUNT(M250:O250)=3,MIN(M250:O250)&gt;=0),SUM(M250:O250)/L250,"")</f>
        <v>56.440190687019054</v>
      </c>
      <c r="Q250" s="16" t="str">
        <v>沿用原计划SKU店铺</v>
      </c>
      <c r="R250" s="16" t="str">
        <v>已匹配</v>
      </c>
      <c r="S250" s="16" t="str">
        <v>在售</v>
      </c>
      <c r="T250" s="16" t="str">
        <v>230918</v>
      </c>
      <c r="U250" s="16" t="str">
        <v>黑色</v>
      </c>
      <c r="V250" s="16" t="n">
        <v>10</v>
      </c>
      <c r="W250" s="8" t="str">
        <v>2026-10-11 至 2026-10-17</v>
      </c>
      <c r="X250" s="8" t="str">
        <v>2026-10-11、2026-10-12、2026-10-13、2026-10-14、2026-10-15、2026-10-16、2026-10-17</v>
      </c>
      <c r="Y250" s="8" t="str">
        <v>无</v>
      </c>
      <c r="Z250" s="8" t="n">
        <v>2</v>
      </c>
      <c r="AA250" s="8" t="n">
        <v>0</v>
      </c>
      <c r="AB250" s="8" t="n">
        <v>7</v>
      </c>
      <c r="AC250" s="8" t="str">
        <v>2026-10-02 至 2026-10-17</v>
      </c>
      <c r="AD250" s="8" t="str">
        <v>2026-10-02、2026-10-03、2026-10-04、2026-10-05、2026-10-08、2026-10-09、2026-10-10、2026-10-11、2026-10-12、2026-10-13、2026-10-14、2026-10-15、2026-10-16、2026-10-17</v>
      </c>
      <c r="AE250" s="8" t="str">
        <v>2026-10-06 大促；2026-10-07 大促</v>
      </c>
      <c r="AF250" s="8" t="n">
        <v>14</v>
      </c>
      <c r="AG250" s="8" t="n">
        <v>9</v>
      </c>
      <c r="AH250" s="8" t="n">
        <v>14</v>
      </c>
      <c r="AI250" s="8" t="str">
        <v>2026-09-16 至 2026-10-17</v>
      </c>
      <c r="AJ2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0" s="8" t="str">
        <v>2026-10-06 大促；2026-10-07 大促</v>
      </c>
      <c r="AL250" s="8" t="n">
        <v>18</v>
      </c>
      <c r="AM250" s="8" t="n">
        <v>9</v>
      </c>
      <c r="AN250" s="8" t="n">
        <v>30</v>
      </c>
      <c r="AO250" s="8" t="str">
        <v>230918 / 黑色 / 13120</v>
      </c>
      <c r="AP250" s="11" t="n">
        <v>1.6747911769553039</v>
      </c>
      <c r="AQ250" s="11" t="n">
        <v>1.6747911769553039</v>
      </c>
      <c r="AR250" s="11" t="n">
        <v>1.7386907395039133</v>
      </c>
      <c r="AS250" s="11" t="n">
        <f>IF(AND(COUNT(I250:K250,AP250:AR250)=6,MIN(AP250:AR250)&gt;0),I250/7/AP250*0.5+J250/14/AQ250*0.3+K250/30/AR250*0.2,"")</f>
        <v>0.1837810658577838</v>
      </c>
      <c r="AT250" s="8" t="n">
        <v>75</v>
      </c>
      <c r="AU250" s="8" t="n">
        <v>9</v>
      </c>
      <c r="AV250" s="8" t="n">
        <v>88</v>
      </c>
      <c r="AW250" s="11" t="n">
        <f>IF(AND(COUNT(AT250:AV250)=3,AT250&gt;=AU250,AU250&gt;=0,AV250&gt;0),(AT250-AU250)/AV250,"")</f>
        <v>0.75</v>
      </c>
      <c r="AX250" s="8" t="n">
        <v>158</v>
      </c>
      <c r="AY250" s="8" t="n">
        <v>9</v>
      </c>
      <c r="AZ250" s="8" t="n">
        <v>178</v>
      </c>
      <c r="BA250" s="11" t="n">
        <f>IF(AND(COUNT(AX250:AZ250)=3,AX250&gt;=AY250,AY250&gt;=0,AZ250&gt;0),(AX250-AY250)/AZ250,"")</f>
        <v>0.8370786516853933</v>
      </c>
      <c r="BB250" s="8" t="n">
        <f>IF(COUNT(AS250,AW250,BA250)=3,1,0)</f>
        <v>1</v>
      </c>
      <c r="BC250" s="11" t="n">
        <f>IF(SUMIF($AO$11:$AO$1309,AO250,$BB$11:$BB$1309)=COUNTIF($AO$11:$AO$1309,AO250),SUMIF($AO$11:$AO$1309,AO250,$AS$11:$AS$1309),"")</f>
        <v>11.342019976477065</v>
      </c>
      <c r="BD250" s="11" t="n">
        <f>IF(SUMIF($AO$11:$AO$1309,AO250,$BB$11:$BB$1309)=COUNTIF($AO$11:$AO$1309,AO250),SUMIF($AO$11:$AO$1309,AO250,$AW$11:$AW$1309),"")</f>
        <v>13.352272727272727</v>
      </c>
      <c r="BE250" s="11" t="n">
        <f>IF(SUMIF($AO$11:$AO$1309,AO250,$BB$11:$BB$1309)=COUNTIF($AO$11:$AO$1309,AO250),SUMIF($AO$11:$AO$1309,AO250,$BA$11:$BA$1309),"")</f>
        <v>12.707865168539326</v>
      </c>
      <c r="BF250" s="12" t="n">
        <f>IF(COUNT(BD250:BE250)&lt;&gt;2,"",IF(AND(BD250&gt;0,BE250&gt;0),0.7*AW250/BD250+0.3*BA250/BE250,IF(BD250&gt;0,AW250/BD250,IF(BE250&gt;0,BA250/BE250,IF(AND(ISNUMBER(BH250),BH250=0),0,"")))))</f>
        <v>0.05908042214571928</v>
      </c>
      <c r="BG250" s="11" t="n">
        <f>IF(AND(COUNT(BN250:BU250)=8,MIN(BN250:BU250)&gt;=0),SUMPRODUCT(BN250:BQ250,BR250:BU250),"")</f>
        <v>111.84534083910866</v>
      </c>
      <c r="BH250" s="11" t="n">
        <f>IF(COUNT(BC250,BG250)=2,BC250*BG250,"")</f>
        <v>1268.5520900730564</v>
      </c>
      <c r="BI250" s="11" t="n">
        <f>IF(ISNUMBER(CI250),CI250,"")</f>
        <v>74.9465929953507</v>
      </c>
      <c r="BJ250" s="8" t="str"/>
      <c r="BK250" s="8" t="str">
        <v>90天：2026-07-20 至 2026-10-17；180天：2026-04-21 至 2026-10-17</v>
      </c>
      <c r="BL250" s="8" t="str">
        <v>90天：2026-10-06、2026-10-07；180天：2026-10-06、2026-10-07</v>
      </c>
      <c r="BM250" s="8" t="str">
        <v>2026-10：12天 × 1.6747911769553037；2026-11：30天 × 1.5065205700457112；2026-12：31天 × 1.1492423388181006；2027-01：17天 × 0.6426892418183868</v>
      </c>
      <c r="BN250" s="11" t="n">
        <v>1.6747911769553037</v>
      </c>
      <c r="BO250" s="11" t="n">
        <v>1.5065205700457112</v>
      </c>
      <c r="BP250" s="11" t="n">
        <v>1.1492423388181006</v>
      </c>
      <c r="BQ250" s="11" t="n">
        <v>0.6426892418183868</v>
      </c>
      <c r="BR250" s="8" t="n">
        <v>12</v>
      </c>
      <c r="BS250" s="8" t="n">
        <v>30</v>
      </c>
      <c r="BT250" s="8" t="n">
        <v>31</v>
      </c>
      <c r="BU250" s="8" t="n">
        <v>17</v>
      </c>
      <c r="BV250" s="11" t="n">
        <f>IF(COUNT(BC250,BF250)=2,BC250*BF250,"")</f>
        <v>0.670091328195446</v>
      </c>
      <c r="BW250" s="11" t="n">
        <f>IF(ISNUMBER(BN250),BN250,"")</f>
        <v>1.6747911769553037</v>
      </c>
      <c r="BX250" s="14" t="n">
        <f>IF(ISNUMBER(BR250),BR250,"")</f>
        <v>12</v>
      </c>
      <c r="BY250" s="13" t="n">
        <f>IF(AND(COUNT(BV250,BW250,BX250)=3,MIN(BV250,BW250,BX250)&gt;=0),BV250*BW250*BX250,"")</f>
        <v>13.467156530591925</v>
      </c>
      <c r="BZ250" s="11" t="n">
        <f>IF(ISNUMBER(BO250),BO250,"")</f>
        <v>1.5065205700457112</v>
      </c>
      <c r="CA250" s="14" t="n">
        <f>IF(ISNUMBER(BS250),BS250,"")</f>
        <v>30</v>
      </c>
      <c r="CB250" s="13" t="n">
        <f>IF(AND(COUNT(BV250,BZ250,CA250)=3,MIN(BV250,BZ250,CA250)&gt;=0),BV250*BZ250*CA250,"")</f>
        <v>30.285191092070736</v>
      </c>
      <c r="CC250" s="11" t="n">
        <f>IF(ISNUMBER(BP250),BP250,"")</f>
        <v>1.1492423388181006</v>
      </c>
      <c r="CD250" s="14" t="n">
        <f>IF(ISNUMBER(BT250),BT250,"")</f>
        <v>31</v>
      </c>
      <c r="CE250" s="13" t="n">
        <f>IF(AND(COUNT(BV250,CC250,CD250)=3,MIN(BV250,CC250,CD250)&gt;=0),BV250*CC250*CD250,"")</f>
        <v>23.873017082348916</v>
      </c>
      <c r="CF250" s="11" t="n">
        <f>IF(ISNUMBER(BQ250),BQ250,"")</f>
        <v>0.6426892418183868</v>
      </c>
      <c r="CG250" s="14" t="n">
        <f>IF(ISNUMBER(BU250),BU250,"")</f>
        <v>17</v>
      </c>
      <c r="CH250" s="13" t="n">
        <f>IF(AND(COUNT(BV250,CF250,CG250)=3,MIN(BV250,CF250,CG250)&gt;=0),BV250*CF250*CG250,"")</f>
        <v>7.3212282903391195</v>
      </c>
      <c r="CI250" s="13" t="n">
        <f>IF(COUNT(BY250,CB250,CE250,CH250)=4,SUM(BY250,CB250,CE250,CH250),"")</f>
        <v>74.9465929953507</v>
      </c>
    </row>
    <row r="251" ht="72" customHeight="1">
      <c r="A251" s="16" t="str">
        <v>S02b-BK1-40</v>
      </c>
      <c r="B251" s="16" t="str">
        <v>3店-SANDIEX-US</v>
      </c>
      <c r="C251" s="16" t="str">
        <v>陈晨</v>
      </c>
      <c r="D251" s="26" t="n">
        <f>IF(NOT(ISNUMBER(E251)),"",IF(OR(E251&lt;=0,L251=0),0,IF(OR(NOT(ISNUMBER(F251)),F251&lt;0),"",MIN(E251,INT(F251)))))</f>
        <v>0</v>
      </c>
      <c r="E251" s="27" t="n">
        <f>IF(OR(NOT(ISNUMBER(L251)),COUNT(M251:O251)&lt;&gt;3,MIN(M251:O251)&lt;0),"",ROUNDUP(ROUND(BI251-SUM(M251:O251),10),0))</f>
        <v>28</v>
      </c>
      <c r="F251" s="28" t="n">
        <v>0</v>
      </c>
      <c r="G251" s="28" t="n">
        <f>IF(AND(ISNUMBER(D251),ISNUMBER(E251)),IF(OR(E251&lt;=0,L251=0),0,E251-D251),"")</f>
        <v>28</v>
      </c>
      <c r="H251" s="16" t="str">
        <f>IF(NOT(ISNUMBER(E251)),"销量或海外库存待补",IF(OR(E251&lt;=0,L251=0),IF(L251=0,"零日销，本批不发","本批无需补货"),IF(NOT(ISNUMBER(D251)),"国内库存待补",IF(D251=0,"国内无可用库存",IF(G251&gt;0,"先发国内现货","按建议量发货")))))</f>
        <v>国内无可用库存</v>
      </c>
      <c r="I251" s="28" t="n">
        <f>IF(AND(COUNT(Z251,AA251,AB251)=3,Z251&gt;=AA251,AA251&gt;=0,AB251=7),Z251-AA251,"")</f>
        <v>2</v>
      </c>
      <c r="J251" s="28" t="n">
        <f>IF(AND(COUNT(AF251,AG251,AH251)=3,AF251&gt;=AG251,AG251&gt;=0,AH251=14),AF251-AG251,"")</f>
        <v>2</v>
      </c>
      <c r="K251" s="28" t="n">
        <f>IF(AND(COUNT(AL251,AM251,AN251)=3,AL251&gt;=AM251,AM251&gt;=0,AN251=30),AL251-AM251,"")</f>
        <v>2</v>
      </c>
      <c r="L251" s="29" t="n">
        <f>IF(ISNUMBER(BI251),BI251/90,"")</f>
        <v>0.3120293945693935</v>
      </c>
      <c r="M251" s="28" t="n">
        <v>1</v>
      </c>
      <c r="N251" s="28" t="n">
        <v>0</v>
      </c>
      <c r="O251" s="28" t="n">
        <v>0</v>
      </c>
      <c r="P251" s="30" t="n">
        <f>IF(AND(ISNUMBER(L251),L251&gt;0,COUNT(M251:O251)=3,MIN(M251:O251)&gt;=0),SUM(M251:O251)/L251,"")</f>
        <v>3.2048262676662853</v>
      </c>
      <c r="Q251" s="16" t="str">
        <v>沿用同SPU原计划店铺</v>
      </c>
      <c r="R251" s="16" t="str">
        <v>已匹配</v>
      </c>
      <c r="S251" s="16" t="str">
        <v>停售</v>
      </c>
      <c r="T251" s="16" t="str">
        <v>S02b</v>
      </c>
      <c r="U251" s="16" t="str">
        <v>黑色</v>
      </c>
      <c r="V251" s="16" t="n">
        <v>8.5</v>
      </c>
      <c r="W251" s="8" t="str">
        <v>2026-10-11 至 2026-10-17</v>
      </c>
      <c r="X251" s="8" t="str">
        <v>2026-10-11、2026-10-12、2026-10-13、2026-10-14、2026-10-15、2026-10-16、2026-10-17</v>
      </c>
      <c r="Y251" s="8" t="str">
        <v>无</v>
      </c>
      <c r="Z251" s="8" t="n">
        <v>2</v>
      </c>
      <c r="AA251" s="8" t="n">
        <v>0</v>
      </c>
      <c r="AB251" s="8" t="n">
        <v>7</v>
      </c>
      <c r="AC251" s="8" t="str">
        <v>2026-10-02 至 2026-10-17</v>
      </c>
      <c r="AD251" s="8" t="str">
        <v>2026-10-02、2026-10-03、2026-10-04、2026-10-05、2026-10-08、2026-10-09、2026-10-10、2026-10-11、2026-10-12、2026-10-13、2026-10-14、2026-10-15、2026-10-16、2026-10-17</v>
      </c>
      <c r="AE251" s="8" t="str">
        <v>2026-10-06 大促；2026-10-07 大促</v>
      </c>
      <c r="AF251" s="8" t="n">
        <v>3</v>
      </c>
      <c r="AG251" s="8" t="n">
        <v>1</v>
      </c>
      <c r="AH251" s="8" t="n">
        <v>14</v>
      </c>
      <c r="AI251" s="8" t="str">
        <v>2026-09-16 至 2026-10-17</v>
      </c>
      <c r="AJ2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1" s="8" t="str">
        <v>2026-10-06 大促；2026-10-07 大促</v>
      </c>
      <c r="AL251" s="8" t="n">
        <v>3</v>
      </c>
      <c r="AM251" s="8" t="n">
        <v>1</v>
      </c>
      <c r="AN251" s="8" t="n">
        <v>30</v>
      </c>
      <c r="AO251" s="8" t="str">
        <v>S02b / 黑色 / 6574</v>
      </c>
      <c r="AP251" s="11" t="n">
        <v>0.9658602967882928</v>
      </c>
      <c r="AQ251" s="11" t="n">
        <v>0.9658602967882928</v>
      </c>
      <c r="AR251" s="11" t="n">
        <v>0.9166270540270348</v>
      </c>
      <c r="AS251" s="11" t="n">
        <f>IF(AND(COUNT(I251:K251,AP251:AR251)=6,MIN(AP251:AR251)&gt;0),I251/7/AP251*0.5+J251/14/AQ251*0.3+K251/30/AR251*0.2,"")</f>
        <v>0.2068247038978409</v>
      </c>
      <c r="AT251" s="8" t="n">
        <v>22</v>
      </c>
      <c r="AU251" s="8" t="n">
        <v>1</v>
      </c>
      <c r="AV251" s="8" t="n">
        <v>88</v>
      </c>
      <c r="AW251" s="11" t="n">
        <f>IF(AND(COUNT(AT251:AV251)=3,AT251&gt;=AU251,AU251&gt;=0,AV251&gt;0),(AT251-AU251)/AV251,"")</f>
        <v>0.23863636363636365</v>
      </c>
      <c r="AX251" s="8" t="n">
        <v>80</v>
      </c>
      <c r="AY251" s="8" t="n">
        <v>1</v>
      </c>
      <c r="AZ251" s="8" t="n">
        <v>178</v>
      </c>
      <c r="BA251" s="11" t="n">
        <f>IF(AND(COUNT(AX251:AZ251)=3,AX251&gt;=AY251,AY251&gt;=0,AZ251&gt;0),(AX251-AY251)/AZ251,"")</f>
        <v>0.4438202247191011</v>
      </c>
      <c r="BB251" s="8" t="n">
        <f>IF(COUNT(AS251,AW251,BA251)=3,1,0)</f>
        <v>1</v>
      </c>
      <c r="BC251" s="11" t="n">
        <f>IF(SUMIF($AO$11:$AO$1309,AO251,$BB$11:$BB$1309)=COUNTIF($AO$11:$AO$1309,AO251),SUMIF($AO$11:$AO$1309,AO251,$AS$11:$AS$1309),"")</f>
        <v>2.558720364044191</v>
      </c>
      <c r="BD251" s="11" t="n">
        <f>IF(SUMIF($AO$11:$AO$1309,AO251,$BB$11:$BB$1309)=COUNTIF($AO$11:$AO$1309,AO251),SUMIF($AO$11:$AO$1309,AO251,$AW$11:$AW$1309),"")</f>
        <v>2.465909090909091</v>
      </c>
      <c r="BE251" s="11" t="n">
        <f>IF(SUMIF($AO$11:$AO$1309,AO251,$BB$11:$BB$1309)=COUNTIF($AO$11:$AO$1309,AO251),SUMIF($AO$11:$AO$1309,AO251,$BA$11:$BA$1309),"")</f>
        <v>2.764044943820225</v>
      </c>
      <c r="BF251" s="12" t="n">
        <f>IF(COUNT(BD251:BE251)&lt;&gt;2,"",IF(AND(BD251&gt;0,BE251&gt;0),0.7*AW251/BD251+0.3*BA251/BE251,IF(BD251&gt;0,AW251/BD251,IF(BE251&gt;0,BA251/BE251,IF(AND(ISNUMBER(BH251),BH251=0),0,"")))))</f>
        <v>0.11591266719118803</v>
      </c>
      <c r="BG251" s="11" t="n">
        <f>IF(AND(COUNT(BN251:BU251)=8,MIN(BN251:BU251)&gt;=0),SUMPRODUCT(BN251:BQ251,BR251:BU251),"")</f>
        <v>94.68567795727022</v>
      </c>
      <c r="BH251" s="11" t="n">
        <f>IF(COUNT(BC251,BG251)=2,BC251*BG251,"")</f>
        <v>242.27417237259746</v>
      </c>
      <c r="BI251" s="11" t="n">
        <f>IF(ISNUMBER(CI251),CI251,"")</f>
        <v>28.082645511245413</v>
      </c>
      <c r="BJ251" s="8" t="str"/>
      <c r="BK251" s="8" t="str">
        <v>90天：2026-07-20 至 2026-10-17；180天：2026-04-21 至 2026-10-17</v>
      </c>
      <c r="BL251" s="8" t="str">
        <v>90天：2026-10-06、2026-10-07；180天：2026-10-06、2026-10-07</v>
      </c>
      <c r="BM251" s="8" t="str">
        <v>2026-10：12天 × 0.9658602967882928；2026-11：30天 × 1.1727174450092641；2026-12：31天 × 0.8763339075184018；2027-01：17天 × 1.2204399948507247</v>
      </c>
      <c r="BN251" s="11" t="n">
        <v>0.9658602967882928</v>
      </c>
      <c r="BO251" s="11" t="n">
        <v>1.1727174450092641</v>
      </c>
      <c r="BP251" s="11" t="n">
        <v>0.8763339075184018</v>
      </c>
      <c r="BQ251" s="11" t="n">
        <v>1.2204399948507247</v>
      </c>
      <c r="BR251" s="8" t="n">
        <v>12</v>
      </c>
      <c r="BS251" s="8" t="n">
        <v>30</v>
      </c>
      <c r="BT251" s="8" t="n">
        <v>31</v>
      </c>
      <c r="BU251" s="8" t="n">
        <v>17</v>
      </c>
      <c r="BV251" s="11" t="n">
        <f>IF(COUNT(BC251,BF251)=2,BC251*BF251,"")</f>
        <v>0.2965881019927698</v>
      </c>
      <c r="BW251" s="11" t="n">
        <f>IF(ISNUMBER(BN251),BN251,"")</f>
        <v>0.9658602967882928</v>
      </c>
      <c r="BX251" s="14" t="n">
        <f>IF(ISNUMBER(BR251),BR251,"")</f>
        <v>12</v>
      </c>
      <c r="BY251" s="13" t="n">
        <f>IF(AND(COUNT(BV251,BW251,BX251)=3,MIN(BV251,BW251,BX251)&gt;=0),BV251*BW251*BX251,"")</f>
        <v>3.437552066575357</v>
      </c>
      <c r="BZ251" s="11" t="n">
        <f>IF(ISNUMBER(BO251),BO251,"")</f>
        <v>1.1727174450092641</v>
      </c>
      <c r="CA251" s="14" t="n">
        <f>IF(ISNUMBER(BS251),BS251,"")</f>
        <v>30</v>
      </c>
      <c r="CB251" s="13" t="n">
        <f>IF(AND(COUNT(BV251,BZ251,CA251)=3,MIN(BV251,BZ251,CA251)&gt;=0),BV251*BZ251*CA251,"")</f>
        <v>10.434421235673241</v>
      </c>
      <c r="CC251" s="11" t="n">
        <f>IF(ISNUMBER(BP251),BP251,"")</f>
        <v>0.8763339075184018</v>
      </c>
      <c r="CD251" s="14" t="n">
        <f>IF(ISNUMBER(BT251),BT251,"")</f>
        <v>31</v>
      </c>
      <c r="CE251" s="13" t="n">
        <f>IF(AND(COUNT(BV251,CC251,CD251)=3,MIN(BV251,CC251,CD251)&gt;=0),BV251*CC251*CD251,"")</f>
        <v>8.057216520626499</v>
      </c>
      <c r="CF251" s="11" t="n">
        <f>IF(ISNUMBER(BQ251),BQ251,"")</f>
        <v>1.2204399948507247</v>
      </c>
      <c r="CG251" s="14" t="n">
        <f>IF(ISNUMBER(BU251),BU251,"")</f>
        <v>17</v>
      </c>
      <c r="CH251" s="13" t="n">
        <f>IF(AND(COUNT(BV251,CF251,CG251)=3,MIN(BV251,CF251,CG251)&gt;=0),BV251*CF251*CG251,"")</f>
        <v>6.153455688370317</v>
      </c>
      <c r="CI251" s="13" t="n">
        <f>IF(COUNT(BY251,CB251,CE251,CH251)=4,SUM(BY251,CB251,CE251,CH251),"")</f>
        <v>28.082645511245413</v>
      </c>
    </row>
    <row r="252" ht="72" customHeight="1">
      <c r="A252" s="16" t="str">
        <v>B06b-LP-39.5</v>
      </c>
      <c r="B252" s="16" t="str">
        <v>1店-MUSSHOE-US</v>
      </c>
      <c r="C252" s="16" t="str">
        <v>艾年</v>
      </c>
      <c r="D252" s="26" t="n">
        <f>IF(NOT(ISNUMBER(E252)),"",IF(OR(E252&lt;=0,L252=0),0,IF(OR(NOT(ISNUMBER(F252)),F252&lt;0),"",MIN(E252,INT(F252)))))</f>
        <v>0</v>
      </c>
      <c r="E252" s="27" t="n">
        <f>IF(OR(NOT(ISNUMBER(L252)),COUNT(M252:O252)&lt;&gt;3,MIN(M252:O252)&lt;0),"",ROUNDUP(ROUND(BI252-SUM(M252:O252),10),0))</f>
        <v>27</v>
      </c>
      <c r="F252" s="28" t="n">
        <v>0</v>
      </c>
      <c r="G252" s="28" t="n">
        <f>IF(AND(ISNUMBER(D252),ISNUMBER(E252)),IF(OR(E252&lt;=0,L252=0),0,E252-D252),"")</f>
        <v>27</v>
      </c>
      <c r="H252" s="16" t="str">
        <f>IF(NOT(ISNUMBER(E252)),"销量或海外库存待补",IF(OR(E252&lt;=0,L252=0),IF(L252=0,"零日销，本批不发","本批无需补货"),IF(NOT(ISNUMBER(D252)),"国内库存待补",IF(D252=0,"国内无可用库存",IF(G252&gt;0,"先发国内现货","按建议量发货")))))</f>
        <v>国内无可用库存</v>
      </c>
      <c r="I252" s="28" t="n">
        <f>IF(AND(COUNT(Z252,AA252,AB252)=3,Z252&gt;=AA252,AA252&gt;=0,AB252=7),Z252-AA252,"")</f>
        <v>7</v>
      </c>
      <c r="J252" s="28" t="n">
        <f>IF(AND(COUNT(AF252,AG252,AH252)=3,AF252&gt;=AG252,AG252&gt;=0,AH252=14),AF252-AG252,"")</f>
        <v>12</v>
      </c>
      <c r="K252" s="28" t="n">
        <f>IF(AND(COUNT(AL252,AM252,AN252)=3,AL252&gt;=AM252,AM252&gt;=0,AN252=30),AL252-AM252,"")</f>
        <v>19</v>
      </c>
      <c r="L252" s="29" t="n">
        <f>IF(ISNUMBER(BI252),BI252/90,"")</f>
        <v>0.5954400902584185</v>
      </c>
      <c r="M252" s="28" t="n">
        <v>27</v>
      </c>
      <c r="N252" s="28" t="n">
        <v>0</v>
      </c>
      <c r="O252" s="28" t="n">
        <v>0</v>
      </c>
      <c r="P252" s="30" t="n">
        <f>IF(AND(ISNUMBER(L252),L252&gt;0,COUNT(M252:O252)=3,MIN(M252:O252)&gt;=0),SUM(M252:O252)/L252,"")</f>
        <v>45.344612231739575</v>
      </c>
      <c r="Q252" s="16" t="str">
        <v>沿用原计划SKU店铺</v>
      </c>
      <c r="R252" s="16" t="str">
        <v>已匹配</v>
      </c>
      <c r="S252" s="16" t="str">
        <v>在售</v>
      </c>
      <c r="T252" s="16" t="str">
        <v>B06b</v>
      </c>
      <c r="U252" s="16" t="str">
        <v>豹纹羊京绒</v>
      </c>
      <c r="V252" s="16" t="n">
        <v>8.5</v>
      </c>
      <c r="W252" s="8" t="str">
        <v>2026-10-11 至 2026-10-17</v>
      </c>
      <c r="X252" s="8" t="str">
        <v>2026-10-11、2026-10-12、2026-10-13、2026-10-14、2026-10-15、2026-10-16、2026-10-17</v>
      </c>
      <c r="Y252" s="8" t="str">
        <v>无</v>
      </c>
      <c r="Z252" s="8" t="n">
        <v>7</v>
      </c>
      <c r="AA252" s="8" t="n">
        <v>0</v>
      </c>
      <c r="AB252" s="8" t="n">
        <v>7</v>
      </c>
      <c r="AC252" s="8" t="str">
        <v>2026-10-02 至 2026-10-17</v>
      </c>
      <c r="AD252" s="8" t="str">
        <v>2026-10-02、2026-10-03、2026-10-04、2026-10-05、2026-10-08、2026-10-09、2026-10-10、2026-10-11、2026-10-12、2026-10-13、2026-10-14、2026-10-15、2026-10-16、2026-10-17</v>
      </c>
      <c r="AE252" s="8" t="str">
        <v>2026-10-06 大促；2026-10-07 大促</v>
      </c>
      <c r="AF252" s="8" t="n">
        <v>13</v>
      </c>
      <c r="AG252" s="8" t="n">
        <v>1</v>
      </c>
      <c r="AH252" s="8" t="n">
        <v>14</v>
      </c>
      <c r="AI252" s="8" t="str">
        <v>2026-09-16 至 2026-10-17</v>
      </c>
      <c r="AJ2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2" s="8" t="str">
        <v>2026-10-06 大促；2026-10-07 大促</v>
      </c>
      <c r="AL252" s="8" t="n">
        <v>20</v>
      </c>
      <c r="AM252" s="8" t="n">
        <v>1</v>
      </c>
      <c r="AN252" s="8" t="n">
        <v>30</v>
      </c>
      <c r="AO252" s="8" t="str">
        <v>B06b / 豹纹羊京绒 / 13120</v>
      </c>
      <c r="AP252" s="11" t="n">
        <v>1.1090677182221615</v>
      </c>
      <c r="AQ252" s="11" t="n">
        <v>1.1090677182221615</v>
      </c>
      <c r="AR252" s="11" t="n">
        <v>0.9505188216044452</v>
      </c>
      <c r="AS252" s="11" t="n">
        <f>IF(AND(COUNT(I252:K252,AP252:AR252)=6,MIN(AP252:AR252)&gt;0),I252/7/AP252*0.5+J252/14/AQ252*0.3+K252/30/AR252*0.2,"")</f>
        <v>0.8159446200259729</v>
      </c>
      <c r="AT252" s="8" t="n">
        <v>37</v>
      </c>
      <c r="AU252" s="8" t="n">
        <v>1</v>
      </c>
      <c r="AV252" s="8" t="n">
        <v>88</v>
      </c>
      <c r="AW252" s="11" t="n">
        <f>IF(AND(COUNT(AT252:AV252)=3,AT252&gt;=AU252,AU252&gt;=0,AV252&gt;0),(AT252-AU252)/AV252,"")</f>
        <v>0.4090909090909091</v>
      </c>
      <c r="AX252" s="8" t="n">
        <v>45</v>
      </c>
      <c r="AY252" s="8" t="n">
        <v>1</v>
      </c>
      <c r="AZ252" s="8" t="n">
        <v>178</v>
      </c>
      <c r="BA252" s="11" t="n">
        <f>IF(AND(COUNT(AX252:AZ252)=3,AX252&gt;=AY252,AY252&gt;=0,AZ252&gt;0),(AX252-AY252)/AZ252,"")</f>
        <v>0.24719101123595505</v>
      </c>
      <c r="BB252" s="8" t="n">
        <f>IF(COUNT(AS252,AW252,BA252)=3,1,0)</f>
        <v>1</v>
      </c>
      <c r="BC252" s="11" t="n">
        <f>IF(SUMIF($AO$11:$AO$1309,AO252,$BB$11:$BB$1309)=COUNTIF($AO$11:$AO$1309,AO252),SUMIF($AO$11:$AO$1309,AO252,$AS$11:$AS$1309),"")</f>
        <v>3.3094608435746915</v>
      </c>
      <c r="BD252" s="11" t="n">
        <f>IF(SUMIF($AO$11:$AO$1309,AO252,$BB$11:$BB$1309)=COUNTIF($AO$11:$AO$1309,AO252),SUMIF($AO$11:$AO$1309,AO252,$AW$11:$AW$1309),"")</f>
        <v>2.343716577540107</v>
      </c>
      <c r="BE252" s="11" t="n">
        <f>IF(SUMIF($AO$11:$AO$1309,AO252,$BB$11:$BB$1309)=COUNTIF($AO$11:$AO$1309,AO252),SUMIF($AO$11:$AO$1309,AO252,$BA$11:$BA$1309),"")</f>
        <v>1.5069662921348317</v>
      </c>
      <c r="BF252" s="12" t="n">
        <f>IF(COUNT(BD252:BE252)&lt;&gt;2,"",IF(AND(BD252&gt;0,BE252&gt;0),0.7*AW252/BD252+0.3*BA252/BE252,IF(BD252&gt;0,AW252/BD252,IF(BE252&gt;0,BA252/BE252,IF(AND(ISNUMBER(BH252),BH252=0),0,"")))))</f>
        <v>0.17139322353825168</v>
      </c>
      <c r="BG252" s="11" t="n">
        <f>IF(AND(COUNT(BN252:BU252)=8,MIN(BN252:BU252)&gt;=0),SUMPRODUCT(BN252:BQ252,BR252:BU252),"")</f>
        <v>94.47778160343367</v>
      </c>
      <c r="BH252" s="11" t="n">
        <f>IF(COUNT(BC252,BG252)=2,BC252*BG252,"")</f>
        <v>312.6705188043651</v>
      </c>
      <c r="BI252" s="11" t="n">
        <f>IF(ISNUMBER(CI252),CI252,"")</f>
        <v>53.58960812325766</v>
      </c>
      <c r="BJ252" s="8" t="str"/>
      <c r="BK252" s="8" t="str">
        <v>90天：2026-07-20 至 2026-10-17；180天：2026-04-21 至 2026-10-17</v>
      </c>
      <c r="BL252" s="8" t="str">
        <v>90天：2026-10-06、2026-10-07；180天：2026-10-06、2026-10-07</v>
      </c>
      <c r="BM252" s="8" t="str">
        <v>2026-10：12天 × 1.1090677182221615；2026-11：30天 × 1.0372741535934282；2026-12：31天 × 0.979949351738161；2027-01：17天 × 1.1571949690048173</v>
      </c>
      <c r="BN252" s="11" t="n">
        <v>1.1090677182221615</v>
      </c>
      <c r="BO252" s="11" t="n">
        <v>1.0372741535934282</v>
      </c>
      <c r="BP252" s="11" t="n">
        <v>0.979949351738161</v>
      </c>
      <c r="BQ252" s="11" t="n">
        <v>1.1571949690048173</v>
      </c>
      <c r="BR252" s="8" t="n">
        <v>12</v>
      </c>
      <c r="BS252" s="8" t="n">
        <v>30</v>
      </c>
      <c r="BT252" s="8" t="n">
        <v>31</v>
      </c>
      <c r="BU252" s="8" t="n">
        <v>17</v>
      </c>
      <c r="BV252" s="11" t="n">
        <f>IF(COUNT(BC252,BF252)=2,BC252*BF252,"")</f>
        <v>0.567219162153888</v>
      </c>
      <c r="BW252" s="11" t="n">
        <f>IF(ISNUMBER(BN252),BN252,"")</f>
        <v>1.1090677182221615</v>
      </c>
      <c r="BX252" s="14" t="n">
        <f>IF(ISNUMBER(BR252),BR252,"")</f>
        <v>12</v>
      </c>
      <c r="BY252" s="13" t="n">
        <f>IF(AND(COUNT(BV252,BW252,BX252)=3,MIN(BV252,BW252,BX252)&gt;=0),BV252*BW252*BX252,"")</f>
        <v>7.549013542822786</v>
      </c>
      <c r="BZ252" s="11" t="n">
        <f>IF(ISNUMBER(BO252),BO252,"")</f>
        <v>1.0372741535934282</v>
      </c>
      <c r="CA252" s="14" t="n">
        <f>IF(ISNUMBER(BS252),BS252,"")</f>
        <v>30</v>
      </c>
      <c r="CB252" s="13" t="n">
        <f>IF(AND(COUNT(BV252,BZ252,CA252)=3,MIN(BV252,BZ252,CA252)&gt;=0),BV252*BZ252*CA252,"")</f>
        <v>17.650853289754433</v>
      </c>
      <c r="CC252" s="11" t="n">
        <f>IF(ISNUMBER(BP252),BP252,"")</f>
        <v>0.979949351738161</v>
      </c>
      <c r="CD252" s="14" t="n">
        <f>IF(ISNUMBER(BT252),BT252,"")</f>
        <v>31</v>
      </c>
      <c r="CE252" s="13" t="n">
        <f>IF(AND(COUNT(BV252,CC252,CD252)=3,MIN(BV252,CC252,CD252)&gt;=0),BV252*CC252*CD252,"")</f>
        <v>17.231227557631126</v>
      </c>
      <c r="CF252" s="11" t="n">
        <f>IF(ISNUMBER(BQ252),BQ252,"")</f>
        <v>1.1571949690048173</v>
      </c>
      <c r="CG252" s="14" t="n">
        <f>IF(ISNUMBER(BU252),BU252,"")</f>
        <v>17</v>
      </c>
      <c r="CH252" s="13" t="n">
        <f>IF(AND(COUNT(BV252,CF252,CG252)=3,MIN(BV252,CF252,CG252)&gt;=0),BV252*CF252*CG252,"")</f>
        <v>11.158513733049318</v>
      </c>
      <c r="CI252" s="13" t="n">
        <f>IF(COUNT(BY252,CB252,CE252,CH252)=4,SUM(BY252,CB252,CE252,CH252),"")</f>
        <v>53.58960812325766</v>
      </c>
    </row>
    <row r="253" ht="72" customHeight="1">
      <c r="A253" s="16" t="str">
        <v>B07-BK-41.5</v>
      </c>
      <c r="B253" s="16" t="str">
        <v>4店-彬郁-US</v>
      </c>
      <c r="C253" s="16" t="str">
        <v>艾年</v>
      </c>
      <c r="D253" s="26" t="n">
        <f>IF(NOT(ISNUMBER(E253)),"",IF(OR(E253&lt;=0,L253=0),0,IF(OR(NOT(ISNUMBER(F253)),F253&lt;0),"",MIN(E253,INT(F253)))))</f>
        <v>0</v>
      </c>
      <c r="E253" s="27" t="n">
        <f>IF(OR(NOT(ISNUMBER(L253)),COUNT(M253:O253)&lt;&gt;3,MIN(M253:O253)&lt;0),"",ROUNDUP(ROUND(BI253-SUM(M253:O253),10),0))</f>
        <v>27</v>
      </c>
      <c r="F253" s="28" t="n">
        <v>0</v>
      </c>
      <c r="G253" s="28" t="n">
        <f>IF(AND(ISNUMBER(D253),ISNUMBER(E253)),IF(OR(E253&lt;=0,L253=0),0,E253-D253),"")</f>
        <v>27</v>
      </c>
      <c r="H253" s="16" t="str">
        <f>IF(NOT(ISNUMBER(E253)),"销量或海外库存待补",IF(OR(E253&lt;=0,L253=0),IF(L253=0,"零日销，本批不发","本批无需补货"),IF(NOT(ISNUMBER(D253)),"国内库存待补",IF(D253=0,"国内无可用库存",IF(G253&gt;0,"先发国内现货","按建议量发货")))))</f>
        <v>国内无可用库存</v>
      </c>
      <c r="I253" s="28" t="n">
        <f>IF(AND(COUNT(Z253,AA253,AB253)=3,Z253&gt;=AA253,AA253&gt;=0,AB253=7),Z253-AA253,"")</f>
        <v>3</v>
      </c>
      <c r="J253" s="28" t="n">
        <f>IF(AND(COUNT(AF253,AG253,AH253)=3,AF253&gt;=AG253,AG253&gt;=0,AH253=14),AF253-AG253,"")</f>
        <v>4</v>
      </c>
      <c r="K253" s="28" t="n">
        <f>IF(AND(COUNT(AL253,AM253,AN253)=3,AL253&gt;=AM253,AM253&gt;=0,AN253=30),AL253-AM253,"")</f>
        <v>8</v>
      </c>
      <c r="L253" s="29" t="n">
        <f>IF(ISNUMBER(BI253),BI253/90,"")</f>
        <v>0.31819588173357094</v>
      </c>
      <c r="M253" s="28" t="n">
        <v>2</v>
      </c>
      <c r="N253" s="28" t="n">
        <v>0</v>
      </c>
      <c r="O253" s="28" t="n">
        <v>0</v>
      </c>
      <c r="P253" s="30" t="n">
        <f>IF(AND(ISNUMBER(L253),L253&gt;0,COUNT(M253:O253)=3,MIN(M253:O253)&gt;=0),SUM(M253:O253)/L253,"")</f>
        <v>6.285436471093686</v>
      </c>
      <c r="Q253" s="16" t="str">
        <v>沿用原计划SKU店铺</v>
      </c>
      <c r="R253" s="16" t="str">
        <v>已匹配</v>
      </c>
      <c r="S253" s="16" t="str">
        <v>在售</v>
      </c>
      <c r="T253" s="16" t="str">
        <v>B07</v>
      </c>
      <c r="U253" s="16" t="str">
        <v>黑色羊京绒</v>
      </c>
      <c r="V253" s="16" t="n">
        <v>10.5</v>
      </c>
      <c r="W253" s="8" t="str">
        <v>2026-10-11 至 2026-10-17</v>
      </c>
      <c r="X253" s="8" t="str">
        <v>2026-10-11、2026-10-12、2026-10-13、2026-10-14、2026-10-15、2026-10-16、2026-10-17</v>
      </c>
      <c r="Y253" s="8" t="str">
        <v>无</v>
      </c>
      <c r="Z253" s="8" t="n">
        <v>3</v>
      </c>
      <c r="AA253" s="8" t="n">
        <v>0</v>
      </c>
      <c r="AB253" s="8" t="n">
        <v>7</v>
      </c>
      <c r="AC253" s="8" t="str">
        <v>2026-10-02 至 2026-10-17</v>
      </c>
      <c r="AD253" s="8" t="str">
        <v>2026-10-02、2026-10-03、2026-10-04、2026-10-05、2026-10-08、2026-10-09、2026-10-10、2026-10-11、2026-10-12、2026-10-13、2026-10-14、2026-10-15、2026-10-16、2026-10-17</v>
      </c>
      <c r="AE253" s="8" t="str">
        <v>2026-10-06 大促；2026-10-07 大促</v>
      </c>
      <c r="AF253" s="8" t="n">
        <v>5</v>
      </c>
      <c r="AG253" s="8" t="n">
        <v>1</v>
      </c>
      <c r="AH253" s="8" t="n">
        <v>14</v>
      </c>
      <c r="AI253" s="8" t="str">
        <v>2026-09-16 至 2026-10-17</v>
      </c>
      <c r="AJ2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3" s="8" t="str">
        <v>2026-10-06 大促；2026-10-07 大促</v>
      </c>
      <c r="AL253" s="8" t="n">
        <v>9</v>
      </c>
      <c r="AM253" s="8" t="n">
        <v>1</v>
      </c>
      <c r="AN253" s="8" t="n">
        <v>30</v>
      </c>
      <c r="AO253" s="8" t="str">
        <v>B07 / 黑色天鹅绒 / 13306</v>
      </c>
      <c r="AP253" s="11" t="n">
        <v>0.7307750238224848</v>
      </c>
      <c r="AQ253" s="11" t="n">
        <v>0.7307750238224848</v>
      </c>
      <c r="AR253" s="11" t="n">
        <v>0.7449809054134506</v>
      </c>
      <c r="AS253" s="11" t="n">
        <f>IF(AND(COUNT(I253:K253,AP253:AR253)=6,MIN(AP253:AR253)&gt;0),I253/7/AP253*0.5+J253/14/AQ253*0.3+K253/30/AR253*0.2,"")</f>
        <v>0.48211326320519954</v>
      </c>
      <c r="AT253" s="8" t="n">
        <v>18</v>
      </c>
      <c r="AU253" s="8" t="n">
        <v>1</v>
      </c>
      <c r="AV253" s="8" t="n">
        <v>88</v>
      </c>
      <c r="AW253" s="11" t="n">
        <f>IF(AND(COUNT(AT253:AV253)=3,AT253&gt;=AU253,AU253&gt;=0,AV253&gt;0),(AT253-AU253)/AV253,"")</f>
        <v>0.19318181818181818</v>
      </c>
      <c r="AX253" s="8" t="n">
        <v>24</v>
      </c>
      <c r="AY253" s="8" t="n">
        <v>1</v>
      </c>
      <c r="AZ253" s="8" t="n">
        <v>178</v>
      </c>
      <c r="BA253" s="11" t="n">
        <f>IF(AND(COUNT(AX253:AZ253)=3,AX253&gt;=AY253,AY253&gt;=0,AZ253&gt;0),(AX253-AY253)/AZ253,"")</f>
        <v>0.12921348314606743</v>
      </c>
      <c r="BB253" s="8" t="n">
        <f>IF(COUNT(AS253,AW253,BA253)=3,1,0)</f>
        <v>1</v>
      </c>
      <c r="BC253" s="11" t="n">
        <f>IF(SUMIF($AO$11:$AO$1309,AO253,$BB$11:$BB$1309)=COUNTIF($AO$11:$AO$1309,AO253),SUMIF($AO$11:$AO$1309,AO253,$AS$11:$AS$1309),"")</f>
        <v>11.92937132043239</v>
      </c>
      <c r="BD253" s="11" t="n">
        <f>IF(SUMIF($AO$11:$AO$1309,AO253,$BB$11:$BB$1309)=COUNTIF($AO$11:$AO$1309,AO253),SUMIF($AO$11:$AO$1309,AO253,$AW$11:$AW$1309),"")</f>
        <v>5.794919786096258</v>
      </c>
      <c r="BE253" s="11" t="n">
        <f>IF(SUMIF($AO$11:$AO$1309,AO253,$BB$11:$BB$1309)=COUNTIF($AO$11:$AO$1309,AO253),SUMIF($AO$11:$AO$1309,AO253,$BA$11:$BA$1309),"")</f>
        <v>5.3098234349919755</v>
      </c>
      <c r="BF253" s="12" t="n">
        <f>IF(COUNT(BD253:BE253)&lt;&gt;2,"",IF(AND(BD253&gt;0,BE253&gt;0),0.7*AW253/BD253+0.3*BA253/BE253,IF(BD253&gt;0,AW253/BD253,IF(BE253&gt;0,BA253/BE253,IF(AND(ISNUMBER(BH253),BH253=0),0,"")))))</f>
        <v>0.03063592608793579</v>
      </c>
      <c r="BG253" s="11" t="n">
        <f>IF(AND(COUNT(BN253:BU253)=8,MIN(BN253:BU253)&gt;=0),SUMPRODUCT(BN253:BQ253,BR253:BU253),"")</f>
        <v>78.35892944347341</v>
      </c>
      <c r="BH253" s="11" t="n">
        <f>IF(COUNT(BC253,BG253)=2,BC253*BG253,"")</f>
        <v>934.7727656027569</v>
      </c>
      <c r="BI253" s="11" t="n">
        <f>IF(ISNUMBER(CI253),CI253,"")</f>
        <v>28.637629356021385</v>
      </c>
      <c r="BJ253" s="8" t="str">
        <v>低销提醒依据不完整</v>
      </c>
      <c r="BK253" s="8" t="str">
        <v>90天：2026-07-20 至 2026-10-17；180天：2026-04-21 至 2026-10-17</v>
      </c>
      <c r="BL253" s="8" t="str">
        <v>90天：2026-10-06、2026-10-07；180天：2026-10-06、2026-10-07</v>
      </c>
      <c r="BM253" s="8" t="str">
        <v>2026-10：12天 × 0.7307750238224848；2026-11：30天 × 0.9523018155490097；2026-12：31天 × 0.5958545198749097；2027-01：17天 × 1.3264167397065354</v>
      </c>
      <c r="BN253" s="11" t="n">
        <v>0.7307750238224848</v>
      </c>
      <c r="BO253" s="11" t="n">
        <v>0.9523018155490097</v>
      </c>
      <c r="BP253" s="11" t="n">
        <v>0.5958545198749097</v>
      </c>
      <c r="BQ253" s="11" t="n">
        <v>1.3264167397065354</v>
      </c>
      <c r="BR253" s="8" t="n">
        <v>12</v>
      </c>
      <c r="BS253" s="8" t="n">
        <v>30</v>
      </c>
      <c r="BT253" s="8" t="n">
        <v>31</v>
      </c>
      <c r="BU253" s="8" t="n">
        <v>17</v>
      </c>
      <c r="BV253" s="11" t="n">
        <f>IF(COUNT(BC253,BF253)=2,BC253*BF253,"")</f>
        <v>0.36546733804830767</v>
      </c>
      <c r="BW253" s="11" t="n">
        <f>IF(ISNUMBER(BN253),BN253,"")</f>
        <v>0.7307750238224848</v>
      </c>
      <c r="BX253" s="14" t="n">
        <f>IF(ISNUMBER(BR253),BR253,"")</f>
        <v>12</v>
      </c>
      <c r="BY253" s="13" t="n">
        <f>IF(AND(COUNT(BV253,BW253,BX253)=3,MIN(BV253,BW253,BX253)&gt;=0),BV253*BW253*BX253,"")</f>
        <v>3.204892832023106</v>
      </c>
      <c r="BZ253" s="11" t="n">
        <f>IF(ISNUMBER(BO253),BO253,"")</f>
        <v>0.9523018155490097</v>
      </c>
      <c r="CA253" s="14" t="n">
        <f>IF(ISNUMBER(BS253),BS253,"")</f>
        <v>30</v>
      </c>
      <c r="CB253" s="13" t="n">
        <f>IF(AND(COUNT(BV253,BZ253,CA253)=3,MIN(BV253,BZ253,CA253)&gt;=0),BV253*BZ253*CA253,"")</f>
        <v>10.441056286418013</v>
      </c>
      <c r="CC253" s="11" t="n">
        <f>IF(ISNUMBER(BP253),BP253,"")</f>
        <v>0.5958545198749097</v>
      </c>
      <c r="CD253" s="14" t="n">
        <f>IF(ISNUMBER(BT253),BT253,"")</f>
        <v>31</v>
      </c>
      <c r="CE253" s="13" t="n">
        <f>IF(AND(COUNT(BV253,CC253,CD253)=3,MIN(BV253,CC253,CD253)&gt;=0),BV253*CC253*CD253,"")</f>
        <v>6.750726322524806</v>
      </c>
      <c r="CF253" s="11" t="n">
        <f>IF(ISNUMBER(BQ253),BQ253,"")</f>
        <v>1.3264167397065354</v>
      </c>
      <c r="CG253" s="14" t="n">
        <f>IF(ISNUMBER(BU253),BU253,"")</f>
        <v>17</v>
      </c>
      <c r="CH253" s="13" t="n">
        <f>IF(AND(COUNT(BV253,CF253,CG253)=3,MIN(BV253,CF253,CG253)&gt;=0),BV253*CF253*CG253,"")</f>
        <v>8.240953915055462</v>
      </c>
      <c r="CI253" s="13" t="n">
        <f>IF(COUNT(BY253,CB253,CE253,CH253)=4,SUM(BY253,CB253,CE253,CH253),"")</f>
        <v>28.637629356021385</v>
      </c>
    </row>
    <row r="254" ht="72" customHeight="1">
      <c r="A254" s="16" t="str">
        <v>B06b-LP-42</v>
      </c>
      <c r="B254" s="16" t="str">
        <v>1店-MUSSHOE-US</v>
      </c>
      <c r="C254" s="16" t="str">
        <v>艾年</v>
      </c>
      <c r="D254" s="26" t="n">
        <f>IF(NOT(ISNUMBER(E254)),"",IF(OR(E254&lt;=0,L254=0),0,IF(OR(NOT(ISNUMBER(F254)),F254&lt;0),"",MIN(E254,INT(F254)))))</f>
        <v>0</v>
      </c>
      <c r="E254" s="27" t="n">
        <f>IF(OR(NOT(ISNUMBER(L254)),COUNT(M254:O254)&lt;&gt;3,MIN(M254:O254)&lt;0),"",ROUNDUP(ROUND(BI254-SUM(M254:O254),10),0))</f>
        <v>26</v>
      </c>
      <c r="F254" s="28" t="n">
        <v>0</v>
      </c>
      <c r="G254" s="28" t="n">
        <f>IF(AND(ISNUMBER(D254),ISNUMBER(E254)),IF(OR(E254&lt;=0,L254=0),0,E254-D254),"")</f>
        <v>26</v>
      </c>
      <c r="H254" s="16" t="str">
        <f>IF(NOT(ISNUMBER(E254)),"销量或海外库存待补",IF(OR(E254&lt;=0,L254=0),IF(L254=0,"零日销，本批不发","本批无需补货"),IF(NOT(ISNUMBER(D254)),"国内库存待补",IF(D254=0,"国内无可用库存",IF(G254&gt;0,"先发国内现货","按建议量发货")))))</f>
        <v>国内无可用库存</v>
      </c>
      <c r="I254" s="28" t="n">
        <f>IF(AND(COUNT(Z254,AA254,AB254)=3,Z254&gt;=AA254,AA254&gt;=0,AB254=7),Z254-AA254,"")</f>
        <v>1</v>
      </c>
      <c r="J254" s="28" t="n">
        <f>IF(AND(COUNT(AF254,AG254,AH254)=3,AF254&gt;=AG254,AG254&gt;=0,AH254=14),AF254-AG254,"")</f>
        <v>1</v>
      </c>
      <c r="K254" s="28" t="n">
        <f>IF(AND(COUNT(AL254,AM254,AN254)=3,AL254&gt;=AM254,AM254&gt;=0,AN254=30),AL254-AM254,"")</f>
        <v>4</v>
      </c>
      <c r="L254" s="29" t="n">
        <f>IF(ISNUMBER(BI254),BI254/90,"")</f>
        <v>0.2936998494358939</v>
      </c>
      <c r="M254" s="28" t="n">
        <v>1</v>
      </c>
      <c r="N254" s="28" t="n">
        <v>0</v>
      </c>
      <c r="O254" s="28" t="n">
        <v>0</v>
      </c>
      <c r="P254" s="30" t="n">
        <f>IF(AND(ISNUMBER(L254),L254&gt;0,COUNT(M254:O254)=3,MIN(M254:O254)&gt;=0),SUM(M254:O254)/L254,"")</f>
        <v>3.4048366109846127</v>
      </c>
      <c r="Q254" s="16" t="str">
        <v>沿用原计划SKU店铺</v>
      </c>
      <c r="R254" s="16" t="str">
        <v>已匹配</v>
      </c>
      <c r="S254" s="16" t="str">
        <v>在售</v>
      </c>
      <c r="T254" s="16" t="str">
        <v>B06b</v>
      </c>
      <c r="U254" s="16" t="str">
        <v>豹纹羊京绒</v>
      </c>
      <c r="V254" s="16" t="n">
        <v>11</v>
      </c>
      <c r="W254" s="8" t="str">
        <v>2026-10-11 至 2026-10-17</v>
      </c>
      <c r="X254" s="8" t="str">
        <v>2026-10-11、2026-10-12、2026-10-13、2026-10-14、2026-10-15、2026-10-16、2026-10-17</v>
      </c>
      <c r="Y254" s="8" t="str">
        <v>无</v>
      </c>
      <c r="Z254" s="8" t="n">
        <v>1</v>
      </c>
      <c r="AA254" s="8" t="n">
        <v>0</v>
      </c>
      <c r="AB254" s="8" t="n">
        <v>7</v>
      </c>
      <c r="AC254" s="8" t="str">
        <v>2026-10-02 至 2026-10-17</v>
      </c>
      <c r="AD254" s="8" t="str">
        <v>2026-10-02、2026-10-03、2026-10-04、2026-10-05、2026-10-08、2026-10-09、2026-10-10、2026-10-11、2026-10-12、2026-10-13、2026-10-14、2026-10-15、2026-10-16、2026-10-17</v>
      </c>
      <c r="AE254" s="8" t="str">
        <v>2026-10-06 大促；2026-10-07 大促</v>
      </c>
      <c r="AF254" s="8" t="n">
        <v>1</v>
      </c>
      <c r="AG254" s="8" t="n">
        <v>0</v>
      </c>
      <c r="AH254" s="8" t="n">
        <v>14</v>
      </c>
      <c r="AI254" s="8" t="str">
        <v>2026-09-16 至 2026-10-17</v>
      </c>
      <c r="AJ2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4" s="8" t="str">
        <v>2026-10-06 大促；2026-10-07 大促</v>
      </c>
      <c r="AL254" s="8" t="n">
        <v>4</v>
      </c>
      <c r="AM254" s="8" t="n">
        <v>0</v>
      </c>
      <c r="AN254" s="8" t="n">
        <v>30</v>
      </c>
      <c r="AO254" s="8" t="str">
        <v>B06b / 豹纹羊京绒 / 13120</v>
      </c>
      <c r="AP254" s="11" t="n">
        <v>1.1090677182221615</v>
      </c>
      <c r="AQ254" s="11" t="n">
        <v>1.1090677182221615</v>
      </c>
      <c r="AR254" s="11" t="n">
        <v>0.9505188216044452</v>
      </c>
      <c r="AS254" s="11" t="n">
        <f>IF(AND(COUNT(I254:K254,AP254:AR254)=6,MIN(AP254:AR254)&gt;0),I254/7/AP254*0.5+J254/14/AQ254*0.3+K254/30/AR254*0.2,"")</f>
        <v>0.11178025797442882</v>
      </c>
      <c r="AT254" s="8" t="n">
        <v>17</v>
      </c>
      <c r="AU254" s="8" t="n">
        <v>0</v>
      </c>
      <c r="AV254" s="8" t="n">
        <v>88</v>
      </c>
      <c r="AW254" s="11" t="n">
        <f>IF(AND(COUNT(AT254:AV254)=3,AT254&gt;=AU254,AU254&gt;=0,AV254&gt;0),(AT254-AU254)/AV254,"")</f>
        <v>0.19318181818181818</v>
      </c>
      <c r="AX254" s="8" t="n">
        <v>24</v>
      </c>
      <c r="AY254" s="8" t="n">
        <v>0</v>
      </c>
      <c r="AZ254" s="8" t="n">
        <v>178</v>
      </c>
      <c r="BA254" s="11" t="n">
        <f>IF(AND(COUNT(AX254:AZ254)=3,AX254&gt;=AY254,AY254&gt;=0,AZ254&gt;0),(AX254-AY254)/AZ254,"")</f>
        <v>0.1348314606741573</v>
      </c>
      <c r="BB254" s="8" t="n">
        <f>IF(COUNT(AS254,AW254,BA254)=3,1,0)</f>
        <v>1</v>
      </c>
      <c r="BC254" s="11" t="n">
        <f>IF(SUMIF($AO$11:$AO$1309,AO254,$BB$11:$BB$1309)=COUNTIF($AO$11:$AO$1309,AO254),SUMIF($AO$11:$AO$1309,AO254,$AS$11:$AS$1309),"")</f>
        <v>3.3094608435746915</v>
      </c>
      <c r="BD254" s="11" t="n">
        <f>IF(SUMIF($AO$11:$AO$1309,AO254,$BB$11:$BB$1309)=COUNTIF($AO$11:$AO$1309,AO254),SUMIF($AO$11:$AO$1309,AO254,$AW$11:$AW$1309),"")</f>
        <v>2.343716577540107</v>
      </c>
      <c r="BE254" s="11" t="n">
        <f>IF(SUMIF($AO$11:$AO$1309,AO254,$BB$11:$BB$1309)=COUNTIF($AO$11:$AO$1309,AO254),SUMIF($AO$11:$AO$1309,AO254,$BA$11:$BA$1309),"")</f>
        <v>1.5069662921348317</v>
      </c>
      <c r="BF254" s="12" t="n">
        <f>IF(COUNT(BD254:BE254)&lt;&gt;2,"",IF(AND(BD254&gt;0,BE254&gt;0),0.7*AW254/BD254+0.3*BA254/BE254,IF(BD254&gt;0,AW254/BD254,IF(BE254&gt;0,BA254/BE254,IF(AND(ISNUMBER(BH254),BH254=0),0,"")))))</f>
        <v>0.0845394268391812</v>
      </c>
      <c r="BG254" s="11" t="n">
        <f>IF(AND(COUNT(BN254:BU254)=8,MIN(BN254:BU254)&gt;=0),SUMPRODUCT(BN254:BQ254,BR254:BU254),"")</f>
        <v>94.47778160343367</v>
      </c>
      <c r="BH254" s="11" t="n">
        <f>IF(COUNT(BC254,BG254)=2,BC254*BG254,"")</f>
        <v>312.6705188043651</v>
      </c>
      <c r="BI254" s="11" t="n">
        <f>IF(ISNUMBER(CI254),CI254,"")</f>
        <v>26.43298644923045</v>
      </c>
      <c r="BJ254" s="8" t="str"/>
      <c r="BK254" s="8" t="str">
        <v>90天：2026-07-20 至 2026-10-17；180天：2026-04-21 至 2026-10-17</v>
      </c>
      <c r="BL254" s="8" t="str">
        <v>90天：2026-10-06、2026-10-07；180天：2026-10-06、2026-10-07</v>
      </c>
      <c r="BM254" s="8" t="str">
        <v>2026-10：12天 × 1.1090677182221615；2026-11：30天 × 1.0372741535934282；2026-12：31天 × 0.979949351738161；2027-01：17天 × 1.1571949690048173</v>
      </c>
      <c r="BN254" s="11" t="n">
        <v>1.1090677182221615</v>
      </c>
      <c r="BO254" s="11" t="n">
        <v>1.0372741535934282</v>
      </c>
      <c r="BP254" s="11" t="n">
        <v>0.979949351738161</v>
      </c>
      <c r="BQ254" s="11" t="n">
        <v>1.1571949690048173</v>
      </c>
      <c r="BR254" s="8" t="n">
        <v>12</v>
      </c>
      <c r="BS254" s="8" t="n">
        <v>30</v>
      </c>
      <c r="BT254" s="8" t="n">
        <v>31</v>
      </c>
      <c r="BU254" s="8" t="n">
        <v>17</v>
      </c>
      <c r="BV254" s="11" t="n">
        <f>IF(COUNT(BC254,BF254)=2,BC254*BF254,"")</f>
        <v>0.2797799228625175</v>
      </c>
      <c r="BW254" s="11" t="n">
        <f>IF(ISNUMBER(BN254),BN254,"")</f>
        <v>1.1090677182221615</v>
      </c>
      <c r="BX254" s="14" t="n">
        <f>IF(ISNUMBER(BR254),BR254,"")</f>
        <v>12</v>
      </c>
      <c r="BY254" s="13" t="n">
        <f>IF(AND(COUNT(BV254,BW254,BX254)=3,MIN(BV254,BW254,BX254)&gt;=0),BV254*BW254*BX254,"")</f>
        <v>3.7235385678420565</v>
      </c>
      <c r="BZ254" s="11" t="n">
        <f>IF(ISNUMBER(BO254),BO254,"")</f>
        <v>1.0372741535934282</v>
      </c>
      <c r="CA254" s="14" t="n">
        <f>IF(ISNUMBER(BS254),BS254,"")</f>
        <v>30</v>
      </c>
      <c r="CB254" s="13" t="n">
        <f>IF(AND(COUNT(BV254,BZ254,CA254)=3,MIN(BV254,BZ254,CA254)&gt;=0),BV254*BZ254*CA254,"")</f>
        <v>8.706254480389575</v>
      </c>
      <c r="CC254" s="11" t="n">
        <f>IF(ISNUMBER(BP254),BP254,"")</f>
        <v>0.979949351738161</v>
      </c>
      <c r="CD254" s="14" t="n">
        <f>IF(ISNUMBER(BT254),BT254,"")</f>
        <v>31</v>
      </c>
      <c r="CE254" s="13" t="n">
        <f>IF(AND(COUNT(BV254,CC254,CD254)=3,MIN(BV254,CC254,CD254)&gt;=0),BV254*CC254*CD254,"")</f>
        <v>8.499274775192779</v>
      </c>
      <c r="CF254" s="11" t="n">
        <f>IF(ISNUMBER(BQ254),BQ254,"")</f>
        <v>1.1571949690048173</v>
      </c>
      <c r="CG254" s="14" t="n">
        <f>IF(ISNUMBER(BU254),BU254,"")</f>
        <v>17</v>
      </c>
      <c r="CH254" s="13" t="n">
        <f>IF(AND(COUNT(BV254,CF254,CG254)=3,MIN(BV254,CF254,CG254)&gt;=0),BV254*CF254*CG254,"")</f>
        <v>5.5039186258060395</v>
      </c>
      <c r="CI254" s="13" t="n">
        <f>IF(COUNT(BY254,CB254,CE254,CH254)=4,SUM(BY254,CB254,CE254,CH254),"")</f>
        <v>26.43298644923045</v>
      </c>
    </row>
    <row r="255" ht="72" customHeight="1">
      <c r="A255" s="16" t="str">
        <v>32582-BK-41.5</v>
      </c>
      <c r="B255" s="16" t="str">
        <v>3店-SANDIEX-US</v>
      </c>
      <c r="C255" s="16" t="str">
        <v>徐新怡</v>
      </c>
      <c r="D255" s="26" t="n">
        <f>IF(NOT(ISNUMBER(E255)),"",IF(OR(E255&lt;=0,L255=0),0,IF(OR(NOT(ISNUMBER(F255)),F255&lt;0),"",MIN(E255,INT(F255)))))</f>
        <v>0</v>
      </c>
      <c r="E255" s="27" t="n">
        <f>IF(OR(NOT(ISNUMBER(L255)),COUNT(M255:O255)&lt;&gt;3,MIN(M255:O255)&lt;0),"",ROUNDUP(ROUND(BI255-SUM(M255:O255),10),0))</f>
        <v>25</v>
      </c>
      <c r="F255" s="28" t="n">
        <v>0</v>
      </c>
      <c r="G255" s="28" t="n">
        <f>IF(AND(ISNUMBER(D255),ISNUMBER(E255)),IF(OR(E255&lt;=0,L255=0),0,E255-D255),"")</f>
        <v>25</v>
      </c>
      <c r="H255" s="16" t="str">
        <f>IF(NOT(ISNUMBER(E255)),"销量或海外库存待补",IF(OR(E255&lt;=0,L255=0),IF(L255=0,"零日销，本批不发","本批无需补货"),IF(NOT(ISNUMBER(D255)),"国内库存待补",IF(D255=0,"国内无可用库存",IF(G255&gt;0,"先发国内现货","按建议量发货")))))</f>
        <v>国内无可用库存</v>
      </c>
      <c r="I255" s="28" t="n">
        <f>IF(AND(COUNT(Z255,AA255,AB255)=3,Z255&gt;=AA255,AA255&gt;=0,AB255=7),Z255-AA255,"")</f>
        <v>3</v>
      </c>
      <c r="J255" s="28" t="n">
        <f>IF(AND(COUNT(AF255,AG255,AH255)=3,AF255&gt;=AG255,AG255&gt;=0,AH255=14),AF255-AG255,"")</f>
        <v>6</v>
      </c>
      <c r="K255" s="28" t="n">
        <f>IF(AND(COUNT(AL255,AM255,AN255)=3,AL255&gt;=AM255,AM255&gt;=0,AN255=30),AL255-AM255,"")</f>
        <v>12</v>
      </c>
      <c r="L255" s="29" t="n">
        <f>IF(ISNUMBER(BI255),BI255/90,"")</f>
        <v>0.4443441123060101</v>
      </c>
      <c r="M255" s="28" t="n">
        <v>15</v>
      </c>
      <c r="N255" s="28" t="n">
        <v>0</v>
      </c>
      <c r="O255" s="28" t="n">
        <v>0</v>
      </c>
      <c r="P255" s="30" t="n">
        <f>IF(AND(ISNUMBER(L255),L255&gt;0,COUNT(M255:O255)=3,MIN(M255:O255)&gt;=0),SUM(M255:O255)/L255,"")</f>
        <v>33.757620692113115</v>
      </c>
      <c r="Q255" s="16" t="str">
        <v>沿用原计划SKU店铺</v>
      </c>
      <c r="R255" s="16" t="str">
        <v>已匹配</v>
      </c>
      <c r="S255" s="16" t="str">
        <v>在售</v>
      </c>
      <c r="T255" s="16" t="str">
        <v>32582</v>
      </c>
      <c r="U255" s="16" t="str">
        <v>黑色</v>
      </c>
      <c r="V255" s="16" t="n">
        <v>10.5</v>
      </c>
      <c r="W255" s="8" t="str">
        <v>2026-10-11 至 2026-10-17</v>
      </c>
      <c r="X255" s="8" t="str">
        <v>2026-10-11、2026-10-12、2026-10-13、2026-10-14、2026-10-15、2026-10-16、2026-10-17</v>
      </c>
      <c r="Y255" s="8" t="str">
        <v>无</v>
      </c>
      <c r="Z255" s="8" t="n">
        <v>3</v>
      </c>
      <c r="AA255" s="8" t="n">
        <v>0</v>
      </c>
      <c r="AB255" s="8" t="n">
        <v>7</v>
      </c>
      <c r="AC255" s="8" t="str">
        <v>2026-10-02 至 2026-10-17</v>
      </c>
      <c r="AD255" s="8" t="str">
        <v>2026-10-02、2026-10-03、2026-10-04、2026-10-05、2026-10-08、2026-10-09、2026-10-10、2026-10-11、2026-10-12、2026-10-13、2026-10-14、2026-10-15、2026-10-16、2026-10-17</v>
      </c>
      <c r="AE255" s="8" t="str">
        <v>2026-10-06 大促；2026-10-07 大促</v>
      </c>
      <c r="AF255" s="8" t="n">
        <v>7</v>
      </c>
      <c r="AG255" s="8" t="n">
        <v>1</v>
      </c>
      <c r="AH255" s="8" t="n">
        <v>14</v>
      </c>
      <c r="AI255" s="8" t="str">
        <v>2026-09-16 至 2026-10-17</v>
      </c>
      <c r="AJ2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5" s="8" t="str">
        <v>2026-10-06 大促；2026-10-07 大促</v>
      </c>
      <c r="AL255" s="8" t="n">
        <v>13</v>
      </c>
      <c r="AM255" s="8" t="n">
        <v>1</v>
      </c>
      <c r="AN255" s="8" t="n">
        <v>30</v>
      </c>
      <c r="AO255" s="8" t="str">
        <v>32582 / 黑色羊京绒 / 6574</v>
      </c>
      <c r="AP255" s="11" t="n">
        <v>1.0395067087630607</v>
      </c>
      <c r="AQ255" s="11" t="n">
        <v>1.0395067087630607</v>
      </c>
      <c r="AR255" s="11" t="n">
        <v>1.0707336504782758</v>
      </c>
      <c r="AS255" s="11" t="n">
        <f>IF(AND(COUNT(I255:K255,AP255:AR255)=6,MIN(AP255:AR255)&gt;0),I255/7/AP255*0.5+J255/14/AQ255*0.3+K255/30/AR255*0.2,"")</f>
        <v>0.4045418989755777</v>
      </c>
      <c r="AT255" s="8" t="n">
        <v>29</v>
      </c>
      <c r="AU255" s="8" t="n">
        <v>1</v>
      </c>
      <c r="AV255" s="8" t="n">
        <v>88</v>
      </c>
      <c r="AW255" s="11" t="n">
        <f>IF(AND(COUNT(AT255:AV255)=3,AT255&gt;=AU255,AU255&gt;=0,AV255&gt;0),(AT255-AU255)/AV255,"")</f>
        <v>0.3181818181818182</v>
      </c>
      <c r="AX255" s="8" t="n">
        <v>50</v>
      </c>
      <c r="AY255" s="8" t="n">
        <v>1</v>
      </c>
      <c r="AZ255" s="8" t="n">
        <v>178</v>
      </c>
      <c r="BA255" s="11" t="n">
        <f>IF(AND(COUNT(AX255:AZ255)=3,AX255&gt;=AY255,AY255&gt;=0,AZ255&gt;0),(AX255-AY255)/AZ255,"")</f>
        <v>0.2752808988764045</v>
      </c>
      <c r="BB255" s="8" t="n">
        <f>IF(COUNT(AS255,AW255,BA255)=3,1,0)</f>
        <v>1</v>
      </c>
      <c r="BC255" s="11" t="n">
        <f>IF(SUMIF($AO$11:$AO$1309,AO255,$BB$11:$BB$1309)=COUNTIF($AO$11:$AO$1309,AO255),SUMIF($AO$11:$AO$1309,AO255,$AS$11:$AS$1309),"")</f>
        <v>8.693659224127387</v>
      </c>
      <c r="BD255" s="11" t="n">
        <f>IF(SUMIF($AO$11:$AO$1309,AO255,$BB$11:$BB$1309)=COUNTIF($AO$11:$AO$1309,AO255),SUMIF($AO$11:$AO$1309,AO255,$AW$11:$AW$1309),"")</f>
        <v>6.372516749646567</v>
      </c>
      <c r="BE255" s="11" t="n">
        <f>IF(SUMIF($AO$11:$AO$1309,AO255,$BB$11:$BB$1309)=COUNTIF($AO$11:$AO$1309,AO255),SUMIF($AO$11:$AO$1309,AO255,$BA$11:$BA$1309),"")</f>
        <v>4.812567583498835</v>
      </c>
      <c r="BF255" s="12" t="n">
        <f>IF(COUNT(BD255:BE255)&lt;&gt;2,"",IF(AND(BD255&gt;0,BE255&gt;0),0.7*AW255/BD255+0.3*BA255/BE255,IF(BD255&gt;0,AW255/BD255,IF(BE255&gt;0,BA255/BE255,IF(AND(ISNUMBER(BH255),BH255=0),0,"")))))</f>
        <v>0.05211135267755686</v>
      </c>
      <c r="BG255" s="11" t="n">
        <f>IF(AND(COUNT(BN255:BU255)=8,MIN(BN255:BU255)&gt;=0),SUMPRODUCT(BN255:BQ255,BR255:BU255),"")</f>
        <v>88.27281580841549</v>
      </c>
      <c r="BH255" s="11" t="n">
        <f>IF(COUNT(BC255,BG255)=2,BC255*BG255,"")</f>
        <v>767.4137793925291</v>
      </c>
      <c r="BI255" s="11" t="n">
        <f>IF(ISNUMBER(CI255),CI255,"")</f>
        <v>39.99097010754091</v>
      </c>
      <c r="BJ255" s="8" t="str">
        <v>低销提醒依据不完整</v>
      </c>
      <c r="BK255" s="8" t="str">
        <v>90天：2026-07-20 至 2026-10-17；180天：2026-04-21 至 2026-10-17</v>
      </c>
      <c r="BL255" s="8" t="str">
        <v>90天：2026-10-06、2026-10-07；180天：2026-10-06、2026-10-07</v>
      </c>
      <c r="BM255" s="8" t="str">
        <v>2026-10：12天 × 1.0395067087630607；2026-11：30天 × 0.9890368360033146；2026-12：31天 × 0.7800796503018808；2027-01：17天 × 1.2908918272824135</v>
      </c>
      <c r="BN255" s="11" t="n">
        <v>1.0395067087630607</v>
      </c>
      <c r="BO255" s="11" t="n">
        <v>0.9890368360033146</v>
      </c>
      <c r="BP255" s="11" t="n">
        <v>0.7800796503018808</v>
      </c>
      <c r="BQ255" s="11" t="n">
        <v>1.2908918272824135</v>
      </c>
      <c r="BR255" s="8" t="n">
        <v>12</v>
      </c>
      <c r="BS255" s="8" t="n">
        <v>30</v>
      </c>
      <c r="BT255" s="8" t="n">
        <v>31</v>
      </c>
      <c r="BU255" s="8" t="n">
        <v>17</v>
      </c>
      <c r="BV255" s="11" t="n">
        <f>IF(COUNT(BC255,BF255)=2,BC255*BF255,"")</f>
        <v>0.4530383418869976</v>
      </c>
      <c r="BW255" s="11" t="n">
        <f>IF(ISNUMBER(BN255),BN255,"")</f>
        <v>1.0395067087630607</v>
      </c>
      <c r="BX255" s="14" t="n">
        <f>IF(ISNUMBER(BR255),BR255,"")</f>
        <v>12</v>
      </c>
      <c r="BY255" s="13" t="n">
        <f>IF(AND(COUNT(BV255,BW255,BX255)=3,MIN(BV255,BW255,BX255)&gt;=0),BV255*BW255*BX255,"")</f>
        <v>5.651236748621126</v>
      </c>
      <c r="BZ255" s="11" t="n">
        <f>IF(ISNUMBER(BO255),BO255,"")</f>
        <v>0.9890368360033146</v>
      </c>
      <c r="CA255" s="14" t="n">
        <f>IF(ISNUMBER(BS255),BS255,"")</f>
        <v>30</v>
      </c>
      <c r="CB255" s="13" t="n">
        <f>IF(AND(COUNT(BV255,BZ255,CA255)=3,MIN(BV255,BZ255,CA255)&gt;=0),BV255*BZ255*CA255,"")</f>
        <v>13.44214824744312</v>
      </c>
      <c r="CC255" s="11" t="n">
        <f>IF(ISNUMBER(BP255),BP255,"")</f>
        <v>0.7800796503018808</v>
      </c>
      <c r="CD255" s="14" t="n">
        <f>IF(ISNUMBER(BT255),BT255,"")</f>
        <v>31</v>
      </c>
      <c r="CE255" s="13" t="n">
        <f>IF(AND(COUNT(BV255,CC255,CD255)=3,MIN(BV255,CC255,CD255)&gt;=0),BV255*CC255*CD255,"")</f>
        <v>10.955585730689142</v>
      </c>
      <c r="CF255" s="11" t="n">
        <f>IF(ISNUMBER(BQ255),BQ255,"")</f>
        <v>1.2908918272824135</v>
      </c>
      <c r="CG255" s="14" t="n">
        <f>IF(ISNUMBER(BU255),BU255,"")</f>
        <v>17</v>
      </c>
      <c r="CH255" s="13" t="n">
        <f>IF(AND(COUNT(BV255,CF255,CG255)=3,MIN(BV255,CF255,CG255)&gt;=0),BV255*CF255*CG255,"")</f>
        <v>9.94199938078752</v>
      </c>
      <c r="CI255" s="13" t="n">
        <f>IF(COUNT(BY255,CB255,CE255,CH255)=4,SUM(BY255,CB255,CE255,CH255),"")</f>
        <v>39.99097010754091</v>
      </c>
    </row>
    <row r="256" ht="72" customHeight="1">
      <c r="A256" s="16" t="str">
        <v>32582-NY-38.5</v>
      </c>
      <c r="B256" s="16" t="str">
        <v>3店-SANDIEX-US</v>
      </c>
      <c r="C256" s="16" t="str">
        <v>徐新怡</v>
      </c>
      <c r="D256" s="26" t="n">
        <f>IF(NOT(ISNUMBER(E256)),"",IF(OR(E256&lt;=0,L256=0),0,IF(OR(NOT(ISNUMBER(F256)),F256&lt;0),"",MIN(E256,INT(F256)))))</f>
        <v>0</v>
      </c>
      <c r="E256" s="27" t="n">
        <f>IF(OR(NOT(ISNUMBER(L256)),COUNT(M256:O256)&lt;&gt;3,MIN(M256:O256)&lt;0),"",ROUNDUP(ROUND(BI256-SUM(M256:O256),10),0))</f>
        <v>25</v>
      </c>
      <c r="F256" s="28" t="n">
        <v>0</v>
      </c>
      <c r="G256" s="28" t="n">
        <f>IF(AND(ISNUMBER(D256),ISNUMBER(E256)),IF(OR(E256&lt;=0,L256=0),0,E256-D256),"")</f>
        <v>25</v>
      </c>
      <c r="H256" s="16" t="str">
        <f>IF(NOT(ISNUMBER(E256)),"销量或海外库存待补",IF(OR(E256&lt;=0,L256=0),IF(L256=0,"零日销，本批不发","本批无需补货"),IF(NOT(ISNUMBER(D256)),"国内库存待补",IF(D256=0,"国内无可用库存",IF(G256&gt;0,"先发国内现货","按建议量发货")))))</f>
        <v>国内无可用库存</v>
      </c>
      <c r="I256" s="28" t="n">
        <f>IF(AND(COUNT(Z256,AA256,AB256)=3,Z256&gt;=AA256,AA256&gt;=0,AB256=7),Z256-AA256,"")</f>
        <v>2</v>
      </c>
      <c r="J256" s="28" t="n">
        <f>IF(AND(COUNT(AF256,AG256,AH256)=3,AF256&gt;=AG256,AG256&gt;=0,AH256=14),AF256-AG256,"")</f>
        <v>6</v>
      </c>
      <c r="K256" s="28" t="n">
        <f>IF(AND(COUNT(AL256,AM256,AN256)=3,AL256&gt;=AM256,AM256&gt;=0,AN256=30),AL256-AM256,"")</f>
        <v>12</v>
      </c>
      <c r="L256" s="29" t="n">
        <f>IF(ISNUMBER(BI256),BI256/90,"")</f>
        <v>0.29266213153076415</v>
      </c>
      <c r="M256" s="28" t="n">
        <v>2</v>
      </c>
      <c r="N256" s="28" t="n">
        <v>0</v>
      </c>
      <c r="O256" s="28" t="n">
        <v>0</v>
      </c>
      <c r="P256" s="30" t="n">
        <f>IF(AND(ISNUMBER(L256),L256&gt;0,COUNT(M256:O256)=3,MIN(M256:O256)&gt;=0),SUM(M256:O256)/L256,"")</f>
        <v>6.833818880287091</v>
      </c>
      <c r="Q256" s="16" t="str">
        <v>沿用原计划SKU店铺</v>
      </c>
      <c r="R256" s="16" t="str">
        <v>已匹配</v>
      </c>
      <c r="S256" s="16" t="str">
        <v>在售</v>
      </c>
      <c r="T256" s="16" t="str">
        <v>32582</v>
      </c>
      <c r="U256" s="16" t="str">
        <v>藏青色</v>
      </c>
      <c r="V256" s="16" t="n">
        <v>7.5</v>
      </c>
      <c r="W256" s="8" t="str">
        <v>2026-10-11 至 2026-10-17</v>
      </c>
      <c r="X256" s="8" t="str">
        <v>2026-10-11、2026-10-12、2026-10-13、2026-10-14、2026-10-15、2026-10-16、2026-10-17</v>
      </c>
      <c r="Y256" s="8" t="str">
        <v>无</v>
      </c>
      <c r="Z256" s="8" t="n">
        <v>2</v>
      </c>
      <c r="AA256" s="8" t="n">
        <v>0</v>
      </c>
      <c r="AB256" s="8" t="n">
        <v>7</v>
      </c>
      <c r="AC256" s="8" t="str">
        <v>2026-10-02 至 2026-10-17</v>
      </c>
      <c r="AD256" s="8" t="str">
        <v>2026-10-02、2026-10-03、2026-10-04、2026-10-05、2026-10-08、2026-10-09、2026-10-10、2026-10-11、2026-10-12、2026-10-13、2026-10-14、2026-10-15、2026-10-16、2026-10-17</v>
      </c>
      <c r="AE256" s="8" t="str">
        <v>2026-10-06 大促；2026-10-07 大促</v>
      </c>
      <c r="AF256" s="8" t="n">
        <v>9</v>
      </c>
      <c r="AG256" s="8" t="n">
        <v>3</v>
      </c>
      <c r="AH256" s="8" t="n">
        <v>14</v>
      </c>
      <c r="AI256" s="8" t="str">
        <v>2026-09-16 至 2026-10-17</v>
      </c>
      <c r="AJ2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6" s="8" t="str">
        <v>2026-10-06 大促；2026-10-07 大促</v>
      </c>
      <c r="AL256" s="8" t="n">
        <v>15</v>
      </c>
      <c r="AM256" s="8" t="n">
        <v>3</v>
      </c>
      <c r="AN256" s="8" t="n">
        <v>30</v>
      </c>
      <c r="AO256" s="8" t="str">
        <v>32582 / 藏青色羊京绒 / 6574</v>
      </c>
      <c r="AP256" s="11" t="n">
        <v>1.0395067087630607</v>
      </c>
      <c r="AQ256" s="11" t="n">
        <v>1.0395067087630607</v>
      </c>
      <c r="AR256" s="11" t="n">
        <v>1.0707336504782758</v>
      </c>
      <c r="AS256" s="11" t="n">
        <f>IF(AND(COUNT(I256:K256,AP256:AR256)=6,MIN(AP256:AR256)&gt;0),I256/7/AP256*0.5+J256/14/AQ256*0.3+K256/30/AR256*0.2,"")</f>
        <v>0.3358279880152854</v>
      </c>
      <c r="AT256" s="8" t="n">
        <v>27</v>
      </c>
      <c r="AU256" s="8" t="n">
        <v>3</v>
      </c>
      <c r="AV256" s="8" t="n">
        <v>88</v>
      </c>
      <c r="AW256" s="11" t="n">
        <f>IF(AND(COUNT(AT256:AV256)=3,AT256&gt;=AU256,AU256&gt;=0,AV256&gt;0),(AT256-AU256)/AV256,"")</f>
        <v>0.2727272727272727</v>
      </c>
      <c r="AX256" s="8" t="n">
        <v>70</v>
      </c>
      <c r="AY256" s="8" t="n">
        <v>3</v>
      </c>
      <c r="AZ256" s="8" t="n">
        <v>178</v>
      </c>
      <c r="BA256" s="11" t="n">
        <f>IF(AND(COUNT(AX256:AZ256)=3,AX256&gt;=AY256,AY256&gt;=0,AZ256&gt;0),(AX256-AY256)/AZ256,"")</f>
        <v>0.37640449438202245</v>
      </c>
      <c r="BB256" s="8" t="n">
        <f>IF(COUNT(AS256,AW256,BA256)=3,1,0)</f>
        <v>1</v>
      </c>
      <c r="BC256" s="11" t="n">
        <f>IF(SUMIF($AO$11:$AO$1309,AO256,$BB$11:$BB$1309)=COUNTIF($AO$11:$AO$1309,AO256),SUMIF($AO$11:$AO$1309,AO256,$AS$11:$AS$1309),"")</f>
        <v>1.3720516715672233</v>
      </c>
      <c r="BD256" s="11" t="n">
        <f>IF(SUMIF($AO$11:$AO$1309,AO256,$BB$11:$BB$1309)=COUNTIF($AO$11:$AO$1309,AO256),SUMIF($AO$11:$AO$1309,AO256,$AW$11:$AW$1309),"")</f>
        <v>1.1959893048128343</v>
      </c>
      <c r="BE256" s="11" t="n">
        <f>IF(SUMIF($AO$11:$AO$1309,AO256,$BB$11:$BB$1309)=COUNTIF($AO$11:$AO$1309,AO256),SUMIF($AO$11:$AO$1309,AO256,$BA$11:$BA$1309),"")</f>
        <v>1.9519101123595508</v>
      </c>
      <c r="BF256" s="12" t="n">
        <f>IF(COUNT(BD256:BE256)&lt;&gt;2,"",IF(AND(BD256&gt;0,BE256&gt;0),0.7*AW256/BD256+0.3*BA256/BE256,IF(BD256&gt;0,AW256/BD256,IF(BE256&gt;0,BA256/BE256,IF(AND(ISNUMBER(BH256),BH256=0),0,"")))))</f>
        <v>0.2174761285496384</v>
      </c>
      <c r="BG256" s="11" t="n">
        <f>IF(AND(COUNT(BN256:BU256)=8,MIN(BN256:BU256)&gt;=0),SUMPRODUCT(BN256:BQ256,BR256:BU256),"")</f>
        <v>88.27281580841549</v>
      </c>
      <c r="BH256" s="11" t="n">
        <f>IF(COUNT(BC256,BG256)=2,BC256*BG256,"")</f>
        <v>121.11486448388209</v>
      </c>
      <c r="BI256" s="11" t="n">
        <f>IF(ISNUMBER(CI256),CI256,"")</f>
        <v>26.339591837768776</v>
      </c>
      <c r="BJ256" s="8" t="str"/>
      <c r="BK256" s="8" t="str">
        <v>90天：2026-07-20 至 2026-10-17；180天：2026-04-21 至 2026-10-17</v>
      </c>
      <c r="BL256" s="8" t="str">
        <v>90天：2026-10-06、2026-10-07；180天：2026-10-06、2026-10-07</v>
      </c>
      <c r="BM256" s="8" t="str">
        <v>2026-10：12天 × 1.0395067087630607；2026-11：30天 × 0.9890368360033146；2026-12：31天 × 0.7800796503018808；2027-01：17天 × 1.2908918272824135</v>
      </c>
      <c r="BN256" s="11" t="n">
        <v>1.0395067087630607</v>
      </c>
      <c r="BO256" s="11" t="n">
        <v>0.9890368360033146</v>
      </c>
      <c r="BP256" s="11" t="n">
        <v>0.7800796503018808</v>
      </c>
      <c r="BQ256" s="11" t="n">
        <v>1.2908918272824135</v>
      </c>
      <c r="BR256" s="8" t="n">
        <v>12</v>
      </c>
      <c r="BS256" s="8" t="n">
        <v>30</v>
      </c>
      <c r="BT256" s="8" t="n">
        <v>31</v>
      </c>
      <c r="BU256" s="8" t="n">
        <v>17</v>
      </c>
      <c r="BV256" s="11" t="n">
        <f>IF(COUNT(BC256,BF256)=2,BC256*BF256,"")</f>
        <v>0.2983884857024997</v>
      </c>
      <c r="BW256" s="11" t="n">
        <f>IF(ISNUMBER(BN256),BN256,"")</f>
        <v>1.0395067087630607</v>
      </c>
      <c r="BX256" s="14" t="n">
        <f>IF(ISNUMBER(BR256),BR256,"")</f>
        <v>12</v>
      </c>
      <c r="BY256" s="13" t="n">
        <f>IF(AND(COUNT(BV256,BW256,BX256)=3,MIN(BV256,BW256,BX256)&gt;=0),BV256*BW256*BX256,"")</f>
        <v>3.722121992464789</v>
      </c>
      <c r="BZ256" s="11" t="n">
        <f>IF(ISNUMBER(BO256),BO256,"")</f>
        <v>0.9890368360033146</v>
      </c>
      <c r="CA256" s="14" t="n">
        <f>IF(ISNUMBER(BS256),BS256,"")</f>
        <v>30</v>
      </c>
      <c r="CB256" s="13" t="n">
        <f>IF(AND(COUNT(BV256,BZ256,CA256)=3,MIN(BV256,BZ256,CA256)&gt;=0),BV256*BZ256*CA256,"")</f>
        <v>8.853516113970617</v>
      </c>
      <c r="CC256" s="11" t="n">
        <f>IF(ISNUMBER(BP256),BP256,"")</f>
        <v>0.7800796503018808</v>
      </c>
      <c r="CD256" s="14" t="n">
        <f>IF(ISNUMBER(BT256),BT256,"")</f>
        <v>31</v>
      </c>
      <c r="CE256" s="13" t="n">
        <f>IF(AND(COUNT(BV256,CC256,CD256)=3,MIN(BV256,CC256,CD256)&gt;=0),BV256*CC256*CD256,"")</f>
        <v>7.215770353008325</v>
      </c>
      <c r="CF256" s="11" t="n">
        <f>IF(ISNUMBER(BQ256),BQ256,"")</f>
        <v>1.2908918272824135</v>
      </c>
      <c r="CG256" s="14" t="n">
        <f>IF(ISNUMBER(BU256),BU256,"")</f>
        <v>17</v>
      </c>
      <c r="CH256" s="13" t="n">
        <f>IF(AND(COUNT(BV256,CF256,CG256)=3,MIN(BV256,CF256,CG256)&gt;=0),BV256*CF256*CG256,"")</f>
        <v>6.548183378325047</v>
      </c>
      <c r="CI256" s="13" t="n">
        <f>IF(COUNT(BY256,CB256,CE256,CH256)=4,SUM(BY256,CB256,CE256,CH256),"")</f>
        <v>26.339591837768776</v>
      </c>
    </row>
    <row r="257" ht="72" customHeight="1">
      <c r="A257" s="16" t="str">
        <v>S02-BKP-42</v>
      </c>
      <c r="B257" s="16" t="str">
        <v>3店-SANDIEX-US</v>
      </c>
      <c r="C257" s="16" t="str">
        <v>陈晨</v>
      </c>
      <c r="D257" s="26" t="n">
        <f>IF(NOT(ISNUMBER(E257)),"",IF(OR(E257&lt;=0,L257=0),0,IF(OR(NOT(ISNUMBER(F257)),F257&lt;0),"",MIN(E257,INT(F257)))))</f>
        <v>0</v>
      </c>
      <c r="E257" s="27" t="n">
        <f>IF(OR(NOT(ISNUMBER(L257)),COUNT(M257:O257)&lt;&gt;3,MIN(M257:O257)&lt;0),"",ROUNDUP(ROUND(BI257-SUM(M257:O257),10),0))</f>
        <v>25</v>
      </c>
      <c r="F257" s="28" t="n">
        <v>0</v>
      </c>
      <c r="G257" s="28" t="n">
        <f>IF(AND(ISNUMBER(D257),ISNUMBER(E257)),IF(OR(E257&lt;=0,L257=0),0,E257-D257),"")</f>
        <v>25</v>
      </c>
      <c r="H257" s="16" t="str">
        <f>IF(NOT(ISNUMBER(E257)),"销量或海外库存待补",IF(OR(E257&lt;=0,L257=0),IF(L257=0,"零日销，本批不发","本批无需补货"),IF(NOT(ISNUMBER(D257)),"国内库存待补",IF(D257=0,"国内无可用库存",IF(G257&gt;0,"先发国内现货","按建议量发货")))))</f>
        <v>国内无可用库存</v>
      </c>
      <c r="I257" s="28" t="n">
        <f>IF(AND(COUNT(Z257,AA257,AB257)=3,Z257&gt;=AA257,AA257&gt;=0,AB257=7),Z257-AA257,"")</f>
        <v>5</v>
      </c>
      <c r="J257" s="28" t="n">
        <f>IF(AND(COUNT(AF257,AG257,AH257)=3,AF257&gt;=AG257,AG257&gt;=0,AH257=14),AF257-AG257,"")</f>
        <v>15</v>
      </c>
      <c r="K257" s="28" t="n">
        <f>IF(AND(COUNT(AL257,AM257,AN257)=3,AL257&gt;=AM257,AM257&gt;=0,AN257=30),AL257-AM257,"")</f>
        <v>20</v>
      </c>
      <c r="L257" s="29" t="n">
        <f>IF(ISNUMBER(BI257),BI257/90,"")</f>
        <v>0.6116676321998765</v>
      </c>
      <c r="M257" s="28" t="n">
        <v>31</v>
      </c>
      <c r="N257" s="28" t="n">
        <v>0</v>
      </c>
      <c r="O257" s="28" t="n">
        <v>0</v>
      </c>
      <c r="P257" s="30" t="n">
        <f>IF(AND(ISNUMBER(L257),L257&gt;0,COUNT(M257:O257)=3,MIN(M257:O257)&gt;=0),SUM(M257:O257)/L257,"")</f>
        <v>50.681118908495776</v>
      </c>
      <c r="Q257" s="16" t="str">
        <v>沿用原计划SKU店铺</v>
      </c>
      <c r="R257" s="16" t="str">
        <v>已匹配</v>
      </c>
      <c r="S257" s="16" t="str">
        <v>在售</v>
      </c>
      <c r="T257" s="16" t="str">
        <v>S02</v>
      </c>
      <c r="U257" s="16" t="str">
        <v>黑色PU</v>
      </c>
      <c r="V257" s="16" t="n">
        <v>11</v>
      </c>
      <c r="W257" s="8" t="str">
        <v>2026-10-11 至 2026-10-17</v>
      </c>
      <c r="X257" s="8" t="str">
        <v>2026-10-11、2026-10-12、2026-10-13、2026-10-14、2026-10-15、2026-10-16、2026-10-17</v>
      </c>
      <c r="Y257" s="8" t="str">
        <v>无</v>
      </c>
      <c r="Z257" s="8" t="n">
        <v>5</v>
      </c>
      <c r="AA257" s="8" t="n">
        <v>0</v>
      </c>
      <c r="AB257" s="8" t="n">
        <v>7</v>
      </c>
      <c r="AC257" s="8" t="str">
        <v>2026-10-02 至 2026-10-17</v>
      </c>
      <c r="AD257" s="8" t="str">
        <v>2026-10-02、2026-10-03、2026-10-04、2026-10-05、2026-10-08、2026-10-09、2026-10-10、2026-10-11、2026-10-12、2026-10-13、2026-10-14、2026-10-15、2026-10-16、2026-10-17</v>
      </c>
      <c r="AE257" s="8" t="str">
        <v>2026-10-06 大促；2026-10-07 大促</v>
      </c>
      <c r="AF257" s="8" t="n">
        <v>20</v>
      </c>
      <c r="AG257" s="8" t="n">
        <v>5</v>
      </c>
      <c r="AH257" s="8" t="n">
        <v>14</v>
      </c>
      <c r="AI257" s="8" t="str">
        <v>2026-09-16 至 2026-10-17</v>
      </c>
      <c r="AJ2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7" s="8" t="str">
        <v>2026-10-06 大促；2026-10-07 大促</v>
      </c>
      <c r="AL257" s="8" t="n">
        <v>25</v>
      </c>
      <c r="AM257" s="8" t="n">
        <v>5</v>
      </c>
      <c r="AN257" s="8" t="n">
        <v>30</v>
      </c>
      <c r="AO257" s="8" t="str">
        <v>S02 / 黑色PU / 6574</v>
      </c>
      <c r="AP257" s="11" t="n">
        <v>0.9634503791704667</v>
      </c>
      <c r="AQ257" s="11" t="n">
        <v>0.9634503791704667</v>
      </c>
      <c r="AR257" s="11" t="n">
        <v>0.902244307144596</v>
      </c>
      <c r="AS257" s="11" t="n">
        <f>IF(AND(COUNT(I257:K257,AP257:AR257)=6,MIN(AP257:AR257)&gt;0),I257/7/AP257*0.5+J257/14/AQ257*0.3+K257/30/AR257*0.2,"")</f>
        <v>0.8520934659070272</v>
      </c>
      <c r="AT257" s="8" t="n">
        <v>42</v>
      </c>
      <c r="AU257" s="8" t="n">
        <v>5</v>
      </c>
      <c r="AV257" s="8" t="n">
        <v>88</v>
      </c>
      <c r="AW257" s="11" t="n">
        <f>IF(AND(COUNT(AT257:AV257)=3,AT257&gt;=AU257,AU257&gt;=0,AV257&gt;0),(AT257-AU257)/AV257,"")</f>
        <v>0.42045454545454547</v>
      </c>
      <c r="AX257" s="8" t="n">
        <v>80</v>
      </c>
      <c r="AY257" s="8" t="n">
        <v>5</v>
      </c>
      <c r="AZ257" s="8" t="n">
        <v>178</v>
      </c>
      <c r="BA257" s="11" t="n">
        <f>IF(AND(COUNT(AX257:AZ257)=3,AX257&gt;=AY257,AY257&gt;=0,AZ257&gt;0),(AX257-AY257)/AZ257,"")</f>
        <v>0.42134831460674155</v>
      </c>
      <c r="BB257" s="8" t="n">
        <f>IF(COUNT(AS257,AW257,BA257)=3,1,0)</f>
        <v>1</v>
      </c>
      <c r="BC257" s="11" t="n">
        <f>IF(SUMIF($AO$11:$AO$1309,AO257,$BB$11:$BB$1309)=COUNTIF($AO$11:$AO$1309,AO257),SUMIF($AO$11:$AO$1309,AO257,$AS$11:$AS$1309),"")</f>
        <v>6.467825611843374</v>
      </c>
      <c r="BD257" s="11" t="n">
        <f>IF(SUMIF($AO$11:$AO$1309,AO257,$BB$11:$BB$1309)=COUNTIF($AO$11:$AO$1309,AO257),SUMIF($AO$11:$AO$1309,AO257,$AW$11:$AW$1309),"")</f>
        <v>4.170454545454546</v>
      </c>
      <c r="BE257" s="11" t="n">
        <f>IF(SUMIF($AO$11:$AO$1309,AO257,$BB$11:$BB$1309)=COUNTIF($AO$11:$AO$1309,AO257),SUMIF($AO$11:$AO$1309,AO257,$BA$11:$BA$1309),"")</f>
        <v>3.3820224719101124</v>
      </c>
      <c r="BF257" s="12" t="n">
        <f>IF(COUNT(BD257:BE257)&lt;&gt;2,"",IF(AND(BD257&gt;0,BE257&gt;0),0.7*AW257/BD257+0.3*BA257/BE257,IF(BD257&gt;0,AW257/BD257,IF(BE257&gt;0,BA257/BE257,IF(AND(ISNUMBER(BH257),BH257=0),0,"")))))</f>
        <v>0.10794762236686067</v>
      </c>
      <c r="BG257" s="11" t="n">
        <f>IF(AND(COUNT(BN257:BU257)=8,MIN(BN257:BU257)&gt;=0),SUMPRODUCT(BN257:BQ257,BR257:BU257),"")</f>
        <v>78.84726365280937</v>
      </c>
      <c r="BH257" s="11" t="n">
        <f>IF(COUNT(BC257,BG257)=2,BC257*BG257,"")</f>
        <v>509.9703512774076</v>
      </c>
      <c r="BI257" s="11" t="n">
        <f>IF(ISNUMBER(CI257),CI257,"")</f>
        <v>55.05008689798889</v>
      </c>
      <c r="BJ257" s="8" t="str"/>
      <c r="BK257" s="8" t="str">
        <v>90天：2026-07-20 至 2026-10-17；180天：2026-04-21 至 2026-10-17</v>
      </c>
      <c r="BL257" s="8" t="str">
        <v>90天：2026-10-06、2026-10-07；180天：2026-10-06、2026-10-07</v>
      </c>
      <c r="BM257" s="8" t="str">
        <v>2026-10：12天 × 0.9634503791704667；2026-11：30天 × 0.8585031562320637；2026-12：31天 × 0.7896606554092485；2027-01：17天 × 1.0030167116538329</v>
      </c>
      <c r="BN257" s="11" t="n">
        <v>0.9634503791704667</v>
      </c>
      <c r="BO257" s="11" t="n">
        <v>0.8585031562320637</v>
      </c>
      <c r="BP257" s="11" t="n">
        <v>0.7896606554092485</v>
      </c>
      <c r="BQ257" s="11" t="n">
        <v>1.0030167116538329</v>
      </c>
      <c r="BR257" s="8" t="n">
        <v>12</v>
      </c>
      <c r="BS257" s="8" t="n">
        <v>30</v>
      </c>
      <c r="BT257" s="8" t="n">
        <v>31</v>
      </c>
      <c r="BU257" s="8" t="n">
        <v>17</v>
      </c>
      <c r="BV257" s="11" t="n">
        <f>IF(COUNT(BC257,BF257)=2,BC257*BF257,"")</f>
        <v>0.6981863966819781</v>
      </c>
      <c r="BW257" s="11" t="n">
        <f>IF(ISNUMBER(BN257),BN257,"")</f>
        <v>0.9634503791704667</v>
      </c>
      <c r="BX257" s="14" t="n">
        <f>IF(ISNUMBER(BR257),BR257,"")</f>
        <v>12</v>
      </c>
      <c r="BY257" s="13" t="n">
        <f>IF(AND(COUNT(BV257,BW257,BX257)=3,MIN(BV257,BW257,BX257)&gt;=0),BV257*BW257*BX257,"")</f>
        <v>8.072015383378965</v>
      </c>
      <c r="BZ257" s="11" t="n">
        <f>IF(ISNUMBER(BO257),BO257,"")</f>
        <v>0.8585031562320637</v>
      </c>
      <c r="CA257" s="14" t="n">
        <f>IF(ISNUMBER(BS257),BS257,"")</f>
        <v>30</v>
      </c>
      <c r="CB257" s="13" t="n">
        <f>IF(AND(COUNT(BV257,BZ257,CA257)=3,MIN(BV257,BZ257,CA257)&gt;=0),BV257*BZ257*CA257,"")</f>
        <v>17.981856755693098</v>
      </c>
      <c r="CC257" s="11" t="n">
        <f>IF(ISNUMBER(BP257),BP257,"")</f>
        <v>0.7896606554092485</v>
      </c>
      <c r="CD257" s="14" t="n">
        <f>IF(ISNUMBER(BT257),BT257,"")</f>
        <v>31</v>
      </c>
      <c r="CE257" s="13" t="n">
        <f>IF(AND(COUNT(BV257,CC257,CD257)=3,MIN(BV257,CC257,CD257)&gt;=0),BV257*CC257*CD257,"")</f>
        <v>17.091240155653086</v>
      </c>
      <c r="CF257" s="11" t="n">
        <f>IF(ISNUMBER(BQ257),BQ257,"")</f>
        <v>1.0030167116538329</v>
      </c>
      <c r="CG257" s="14" t="n">
        <f>IF(ISNUMBER(BU257),BU257,"")</f>
        <v>17</v>
      </c>
      <c r="CH257" s="13" t="n">
        <f>IF(AND(COUNT(BV257,CF257,CG257)=3,MIN(BV257,CF257,CG257)&gt;=0),BV257*CF257*CG257,"")</f>
        <v>11.904974603263735</v>
      </c>
      <c r="CI257" s="13" t="n">
        <f>IF(COUNT(BY257,CB257,CE257,CH257)=4,SUM(BY257,CB257,CE257,CH257),"")</f>
        <v>55.05008689798889</v>
      </c>
    </row>
    <row r="258" ht="72" customHeight="1">
      <c r="A258" s="16" t="str">
        <v>S02-TNP1-41</v>
      </c>
      <c r="B258" s="16" t="str">
        <v>3店-SANDIEX-US</v>
      </c>
      <c r="C258" s="16" t="str">
        <v>陈晨</v>
      </c>
      <c r="D258" s="26" t="n">
        <f>IF(NOT(ISNUMBER(E258)),"",IF(OR(E258&lt;=0,L258=0),0,IF(OR(NOT(ISNUMBER(F258)),F258&lt;0),"",MIN(E258,INT(F258)))))</f>
        <v>0</v>
      </c>
      <c r="E258" s="27" t="n">
        <f>IF(OR(NOT(ISNUMBER(L258)),COUNT(M258:O258)&lt;&gt;3,MIN(M258:O258)&lt;0),"",ROUNDUP(ROUND(BI258-SUM(M258:O258),10),0))</f>
        <v>25</v>
      </c>
      <c r="F258" s="28" t="n">
        <v>0</v>
      </c>
      <c r="G258" s="28" t="n">
        <f>IF(AND(ISNUMBER(D258),ISNUMBER(E258)),IF(OR(E258&lt;=0,L258=0),0,E258-D258),"")</f>
        <v>25</v>
      </c>
      <c r="H258" s="16" t="str">
        <f>IF(NOT(ISNUMBER(E258)),"销量或海外库存待补",IF(OR(E258&lt;=0,L258=0),IF(L258=0,"零日销，本批不发","本批无需补货"),IF(NOT(ISNUMBER(D258)),"国内库存待补",IF(D258=0,"国内无可用库存",IF(G258&gt;0,"先发国内现货","按建议量发货")))))</f>
        <v>国内无可用库存</v>
      </c>
      <c r="I258" s="28" t="n">
        <f>IF(AND(COUNT(Z258,AA258,AB258)=3,Z258&gt;=AA258,AA258&gt;=0,AB258=7),Z258-AA258,"")</f>
        <v>3</v>
      </c>
      <c r="J258" s="28" t="n">
        <f>IF(AND(COUNT(AF258,AG258,AH258)=3,AF258&gt;=AG258,AG258&gt;=0,AH258=14),AF258-AG258,"")</f>
        <v>5</v>
      </c>
      <c r="K258" s="28" t="n">
        <f>IF(AND(COUNT(AL258,AM258,AN258)=3,AL258&gt;=AM258,AM258&gt;=0,AN258=30),AL258-AM258,"")</f>
        <v>12</v>
      </c>
      <c r="L258" s="29" t="n">
        <f>IF(ISNUMBER(BI258),BI258/90,"")</f>
        <v>0.2994155295479516</v>
      </c>
      <c r="M258" s="28" t="n">
        <v>2</v>
      </c>
      <c r="N258" s="28" t="n">
        <v>0</v>
      </c>
      <c r="O258" s="28" t="n">
        <v>0</v>
      </c>
      <c r="P258" s="30" t="n">
        <f>IF(AND(ISNUMBER(L258),L258&gt;0,COUNT(M258:O258)=3,MIN(M258:O258)&gt;=0),SUM(M258:O258)/L258,"")</f>
        <v>6.679680252455639</v>
      </c>
      <c r="Q258" s="16" t="str">
        <v>沿用原计划SKU店铺</v>
      </c>
      <c r="R258" s="16" t="str">
        <v>已匹配</v>
      </c>
      <c r="S258" s="16" t="str">
        <v>在售</v>
      </c>
      <c r="T258" s="16" t="str">
        <v>S02</v>
      </c>
      <c r="U258" s="16" t="str">
        <v>驼色PU</v>
      </c>
      <c r="V258" s="16" t="n">
        <v>9.5</v>
      </c>
      <c r="W258" s="8" t="str">
        <v>2026-10-11 至 2026-10-17</v>
      </c>
      <c r="X258" s="8" t="str">
        <v>2026-10-11、2026-10-12、2026-10-13、2026-10-14、2026-10-15、2026-10-16、2026-10-17</v>
      </c>
      <c r="Y258" s="8" t="str">
        <v>无</v>
      </c>
      <c r="Z258" s="8" t="n">
        <v>3</v>
      </c>
      <c r="AA258" s="8" t="n">
        <v>0</v>
      </c>
      <c r="AB258" s="8" t="n">
        <v>7</v>
      </c>
      <c r="AC258" s="8" t="str">
        <v>2026-10-02 至 2026-10-17</v>
      </c>
      <c r="AD258" s="8" t="str">
        <v>2026-10-02、2026-10-03、2026-10-04、2026-10-05、2026-10-08、2026-10-09、2026-10-10、2026-10-11、2026-10-12、2026-10-13、2026-10-14、2026-10-15、2026-10-16、2026-10-17</v>
      </c>
      <c r="AE258" s="8" t="str">
        <v>2026-10-06 大促；2026-10-07 大促</v>
      </c>
      <c r="AF258" s="8" t="n">
        <v>6</v>
      </c>
      <c r="AG258" s="8" t="n">
        <v>1</v>
      </c>
      <c r="AH258" s="8" t="n">
        <v>14</v>
      </c>
      <c r="AI258" s="8" t="str">
        <v>2026-09-16 至 2026-10-17</v>
      </c>
      <c r="AJ2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58" s="8" t="str">
        <v>2026-10-06 大促；2026-10-07 大促</v>
      </c>
      <c r="AL258" s="8" t="n">
        <v>13</v>
      </c>
      <c r="AM258" s="8" t="n">
        <v>1</v>
      </c>
      <c r="AN258" s="8" t="n">
        <v>30</v>
      </c>
      <c r="AO258" s="8" t="str">
        <v>S02 / 驼色PU / 6574</v>
      </c>
      <c r="AP258" s="11" t="n">
        <v>0.9634503791704667</v>
      </c>
      <c r="AQ258" s="11" t="n">
        <v>0.9634503791704667</v>
      </c>
      <c r="AR258" s="11" t="n">
        <v>0.902244307144596</v>
      </c>
      <c r="AS258" s="11" t="n">
        <f>IF(AND(COUNT(I258:K258,AP258:AR258)=6,MIN(AP258:AR258)&gt;0),I258/7/AP258*0.5+J258/14/AQ258*0.3+K258/30/AR258*0.2,"")</f>
        <v>0.4222901218079332</v>
      </c>
      <c r="AT258" s="8" t="n">
        <v>22</v>
      </c>
      <c r="AU258" s="8" t="n">
        <v>1</v>
      </c>
      <c r="AV258" s="8" t="n">
        <v>88</v>
      </c>
      <c r="AW258" s="11" t="n">
        <f>IF(AND(COUNT(AT258:AV258)=3,AT258&gt;=AU258,AU258&gt;=0,AV258&gt;0),(AT258-AU258)/AV258,"")</f>
        <v>0.23863636363636365</v>
      </c>
      <c r="AX258" s="8" t="n">
        <v>28</v>
      </c>
      <c r="AY258" s="8" t="n">
        <v>1</v>
      </c>
      <c r="AZ258" s="8" t="n">
        <v>178</v>
      </c>
      <c r="BA258" s="11" t="n">
        <f>IF(AND(COUNT(AX258:AZ258)=3,AX258&gt;=AY258,AY258&gt;=0,AZ258&gt;0),(AX258-AY258)/AZ258,"")</f>
        <v>0.15168539325842698</v>
      </c>
      <c r="BB258" s="8" t="n">
        <f>IF(COUNT(AS258,AW258,BA258)=3,1,0)</f>
        <v>1</v>
      </c>
      <c r="BC258" s="11" t="n">
        <f>IF(SUMIF($AO$11:$AO$1309,AO258,$BB$11:$BB$1309)=COUNTIF($AO$11:$AO$1309,AO258),SUMIF($AO$11:$AO$1309,AO258,$AS$11:$AS$1309),"")</f>
        <v>2.9113987850676852</v>
      </c>
      <c r="BD258" s="11" t="n">
        <f>IF(SUMIF($AO$11:$AO$1309,AO258,$BB$11:$BB$1309)=COUNTIF($AO$11:$AO$1309,AO258),SUMIF($AO$11:$AO$1309,AO258,$AW$11:$AW$1309),"")</f>
        <v>1.9090909090909094</v>
      </c>
      <c r="BE258" s="11" t="n">
        <f>IF(SUMIF($AO$11:$AO$1309,AO258,$BB$11:$BB$1309)=COUNTIF($AO$11:$AO$1309,AO258),SUMIF($AO$11:$AO$1309,AO258,$BA$11:$BA$1309),"")</f>
        <v>1.5224719101123596</v>
      </c>
      <c r="BF258" s="12" t="n">
        <f>IF(COUNT(BD258:BE258)&lt;&gt;2,"",IF(AND(BD258&gt;0,BE258&gt;0),0.7*AW258/BD258+0.3*BA258/BE258,IF(BD258&gt;0,AW258/BD258,IF(BE258&gt;0,BA258/BE258,IF(AND(ISNUMBER(BH258),BH258=0),0,"")))))</f>
        <v>0.11738929889298892</v>
      </c>
      <c r="BG258" s="11" t="n">
        <f>IF(AND(COUNT(BN258:BU258)=8,MIN(BN258:BU258)&gt;=0),SUMPRODUCT(BN258:BQ258,BR258:BU258),"")</f>
        <v>78.84726365280937</v>
      </c>
      <c r="BH258" s="11" t="n">
        <f>IF(COUNT(BC258,BG258)=2,BC258*BG258,"")</f>
        <v>229.55582760470068</v>
      </c>
      <c r="BI258" s="11" t="n">
        <f>IF(ISNUMBER(CI258),CI258,"")</f>
        <v>26.94739765931564</v>
      </c>
      <c r="BJ258" s="8" t="str"/>
      <c r="BK258" s="8" t="str">
        <v>90天：2026-07-20 至 2026-10-17；180天：2026-04-21 至 2026-10-17</v>
      </c>
      <c r="BL258" s="8" t="str">
        <v>90天：2026-10-06、2026-10-07；180天：2026-10-06、2026-10-07</v>
      </c>
      <c r="BM258" s="8" t="str">
        <v>2026-10：12天 × 0.9634503791704667；2026-11：30天 × 0.8585031562320637；2026-12：31天 × 0.7896606554092485；2027-01：17天 × 1.0030167116538329</v>
      </c>
      <c r="BN258" s="11" t="n">
        <v>0.9634503791704667</v>
      </c>
      <c r="BO258" s="11" t="n">
        <v>0.8585031562320637</v>
      </c>
      <c r="BP258" s="11" t="n">
        <v>0.7896606554092485</v>
      </c>
      <c r="BQ258" s="11" t="n">
        <v>1.0030167116538329</v>
      </c>
      <c r="BR258" s="8" t="n">
        <v>12</v>
      </c>
      <c r="BS258" s="8" t="n">
        <v>30</v>
      </c>
      <c r="BT258" s="8" t="n">
        <v>31</v>
      </c>
      <c r="BU258" s="8" t="n">
        <v>17</v>
      </c>
      <c r="BV258" s="11" t="n">
        <f>IF(COUNT(BC258,BF258)=2,BC258*BF258,"")</f>
        <v>0.3417670621769953</v>
      </c>
      <c r="BW258" s="11" t="n">
        <f>IF(ISNUMBER(BN258),BN258,"")</f>
        <v>0.9634503791704667</v>
      </c>
      <c r="BX258" s="14" t="n">
        <f>IF(ISNUMBER(BR258),BR258,"")</f>
        <v>12</v>
      </c>
      <c r="BY258" s="13" t="n">
        <f>IF(AND(COUNT(BV258,BW258,BX258)=3,MIN(BV258,BW258,BX258)&gt;=0),BV258*BW258*BX258,"")</f>
        <v>3.951307267708831</v>
      </c>
      <c r="BZ258" s="11" t="n">
        <f>IF(ISNUMBER(BO258),BO258,"")</f>
        <v>0.8585031562320637</v>
      </c>
      <c r="CA258" s="14" t="n">
        <f>IF(ISNUMBER(BS258),BS258,"")</f>
        <v>30</v>
      </c>
      <c r="CB258" s="13" t="n">
        <f>IF(AND(COUNT(BV258,BZ258,CA258)=3,MIN(BV258,BZ258,CA258)&gt;=0),BV258*BZ258*CA258,"")</f>
        <v>8.802243047253313</v>
      </c>
      <c r="CC258" s="11" t="n">
        <f>IF(ISNUMBER(BP258),BP258,"")</f>
        <v>0.7896606554092485</v>
      </c>
      <c r="CD258" s="14" t="n">
        <f>IF(ISNUMBER(BT258),BT258,"")</f>
        <v>31</v>
      </c>
      <c r="CE258" s="13" t="n">
        <f>IF(AND(COUNT(BV258,CC258,CD258)=3,MIN(BV258,CC258,CD258)&gt;=0),BV258*CC258*CD258,"")</f>
        <v>8.366280071795364</v>
      </c>
      <c r="CF258" s="11" t="n">
        <f>IF(ISNUMBER(BQ258),BQ258,"")</f>
        <v>1.0030167116538329</v>
      </c>
      <c r="CG258" s="14" t="n">
        <f>IF(ISNUMBER(BU258),BU258,"")</f>
        <v>17</v>
      </c>
      <c r="CH258" s="13" t="n">
        <f>IF(AND(COUNT(BV258,CF258,CG258)=3,MIN(BV258,CF258,CG258)&gt;=0),BV258*CF258*CG258,"")</f>
        <v>5.827567272558135</v>
      </c>
      <c r="CI258" s="13" t="n">
        <f>IF(COUNT(BY258,CB258,CE258,CH258)=4,SUM(BY258,CB258,CE258,CH258),"")</f>
        <v>26.94739765931564</v>
      </c>
    </row>
    <row r="259" ht="72" customHeight="1">
      <c r="A259" s="16" t="str">
        <v>8392-LP-42</v>
      </c>
      <c r="B259" s="16" t="str">
        <v>3店-SANDIEX-US</v>
      </c>
      <c r="C259" s="16" t="str">
        <v>徐新怡</v>
      </c>
      <c r="D259" s="26" t="n">
        <f>IF(NOT(ISNUMBER(E259)),"",IF(OR(E259&lt;=0,L259=0),0,IF(OR(NOT(ISNUMBER(F259)),F259&lt;0),"",MIN(E259,INT(F259)))))</f>
        <v>0</v>
      </c>
      <c r="E259" s="27" t="n">
        <f>IF(OR(NOT(ISNUMBER(L259)),COUNT(M259:O259)&lt;&gt;3,MIN(M259:O259)&lt;0),"",ROUNDUP(ROUND(BI259-SUM(M259:O259),10),0))</f>
        <v>24</v>
      </c>
      <c r="F259" s="28" t="n">
        <v>0</v>
      </c>
      <c r="G259" s="28" t="n">
        <f>IF(AND(ISNUMBER(D259),ISNUMBER(E259)),IF(OR(E259&lt;=0,L259=0),0,E259-D259),"")</f>
        <v>24</v>
      </c>
      <c r="H259" s="16" t="str">
        <f>IF(NOT(ISNUMBER(E259)),"销量或海外库存待补",IF(OR(E259&lt;=0,L259=0),IF(L259=0,"零日销，本批不发","本批无需补货"),IF(NOT(ISNUMBER(D259)),"国内库存待补",IF(D259=0,"国内无可用库存",IF(G259&gt;0,"先发国内现货","按建议量发货")))))</f>
        <v>国内无可用库存</v>
      </c>
      <c r="I259" s="28" t="n">
        <f>IF(AND(COUNT(Z259,AA259,AB259)=3,Z259&gt;=AA259,AA259&gt;=0,AB259=7),Z259-AA259,"")</f>
        <v>1</v>
      </c>
      <c r="J259" s="28" t="n">
        <f>IF(AND(COUNT(AF259,AG259,AH259)=3,AF259&gt;=AG259,AG259&gt;=0,AH259=14),AF259-AG259,"")</f>
        <v>1</v>
      </c>
      <c r="K259" s="28" t="n">
        <f>IF(AND(COUNT(AL259,AM259,AN259)=3,AL259&gt;=AM259,AM259&gt;=0,AN259=30),AL259-AM259,"")</f>
        <v>4</v>
      </c>
      <c r="L259" s="29" t="n">
        <f>IF(ISNUMBER(BI259),BI259/90,"")</f>
        <v>0.27444999370777057</v>
      </c>
      <c r="M259" s="28" t="n">
        <v>1</v>
      </c>
      <c r="N259" s="28" t="n">
        <v>0</v>
      </c>
      <c r="O259" s="28" t="n">
        <v>0</v>
      </c>
      <c r="P259" s="30" t="n">
        <f>IF(AND(ISNUMBER(L259),L259&gt;0,COUNT(M259:O259)=3,MIN(M259:O259)&gt;=0),SUM(M259:O259)/L259,"")</f>
        <v>3.6436510217769658</v>
      </c>
      <c r="Q259" s="16" t="str">
        <v>按本SKU唯一未删除Listing店铺核实</v>
      </c>
      <c r="R259" s="16" t="str">
        <v>已匹配</v>
      </c>
      <c r="S259" s="16" t="str">
        <v>在售</v>
      </c>
      <c r="T259" s="16" t="str">
        <v>8392</v>
      </c>
      <c r="U259" s="16" t="str">
        <v>豹纹</v>
      </c>
      <c r="V259" s="16" t="n">
        <v>11</v>
      </c>
      <c r="W259" s="8" t="str">
        <v>2026-10-10 至 2026-10-17</v>
      </c>
      <c r="X259" s="8" t="str">
        <v>2026-10-10、2026-10-11、2026-10-12、2026-10-13、2026-10-14、2026-10-15、2026-10-17</v>
      </c>
      <c r="Y259" s="8" t="str">
        <v>2026-10-16 有记录的停售日</v>
      </c>
      <c r="Z259" s="8" t="n">
        <v>1</v>
      </c>
      <c r="AA259" s="8" t="n">
        <v>0</v>
      </c>
      <c r="AB259" s="8" t="n">
        <v>7</v>
      </c>
      <c r="AC259" s="8" t="str">
        <v>2026-10-01 至 2026-10-17</v>
      </c>
      <c r="AD259" s="8" t="str">
        <v>2026-10-01、2026-10-02、2026-10-03、2026-10-04、2026-10-05、2026-10-08、2026-10-09、2026-10-10、2026-10-11、2026-10-12、2026-10-13、2026-10-14、2026-10-15、2026-10-17</v>
      </c>
      <c r="AE259" s="8" t="str">
        <v>2026-10-06 大促；2026-10-07 大促；2026-10-16 有记录的停售日</v>
      </c>
      <c r="AF259" s="8" t="n">
        <v>1</v>
      </c>
      <c r="AG259" s="8" t="n">
        <v>0</v>
      </c>
      <c r="AH259" s="8" t="n">
        <v>14</v>
      </c>
      <c r="AI259" s="8" t="str">
        <v>2026-09-15 至 2026-10-17</v>
      </c>
      <c r="AJ259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259" s="8" t="str">
        <v>2026-10-06 大促；2026-10-07 大促；2026-10-16 有记录的停售日</v>
      </c>
      <c r="AL259" s="8" t="n">
        <v>4</v>
      </c>
      <c r="AM259" s="8" t="n">
        <v>0</v>
      </c>
      <c r="AN259" s="8" t="n">
        <v>30</v>
      </c>
      <c r="AO259" s="8" t="str">
        <v>8392 / 豹纹羊京绒 / 6574</v>
      </c>
      <c r="AP259" s="11" t="n">
        <v>1.1743420411079069</v>
      </c>
      <c r="AQ259" s="11" t="n">
        <v>1.1743420411079069</v>
      </c>
      <c r="AR259" s="11" t="n">
        <v>1.1423307166929888</v>
      </c>
      <c r="AS259" s="11" t="n">
        <f>IF(AND(COUNT(I259:K259,AP259:AR259)=6,MIN(AP259:AR259)&gt;0),I259/7/AP259*0.5+J259/14/AQ259*0.3+K259/30/AR259*0.2,"")</f>
        <v>0.1024157191250541</v>
      </c>
      <c r="AT259" s="8" t="n">
        <v>10</v>
      </c>
      <c r="AU259" s="8" t="n">
        <v>0</v>
      </c>
      <c r="AV259" s="8" t="n">
        <v>87</v>
      </c>
      <c r="AW259" s="11" t="n">
        <f>IF(AND(COUNT(AT259:AV259)=3,AT259&gt;=AU259,AU259&gt;=0,AV259&gt;0),(AT259-AU259)/AV259,"")</f>
        <v>0.11494252873563218</v>
      </c>
      <c r="AX259" s="8" t="n">
        <v>15</v>
      </c>
      <c r="AY259" s="8" t="n">
        <v>0</v>
      </c>
      <c r="AZ259" s="8" t="n">
        <v>177</v>
      </c>
      <c r="BA259" s="11" t="n">
        <f>IF(AND(COUNT(AX259:AZ259)=3,AX259&gt;=AY259,AY259&gt;=0,AZ259&gt;0),(AX259-AY259)/AZ259,"")</f>
        <v>0.0847457627118644</v>
      </c>
      <c r="BB259" s="8" t="n">
        <f>IF(COUNT(AS259,AW259,BA259)=3,1,0)</f>
        <v>1</v>
      </c>
      <c r="BC259" s="11" t="n">
        <f>IF(SUMIF($AO$11:$AO$1309,AO259,$BB$11:$BB$1309)=COUNTIF($AO$11:$AO$1309,AO259),SUMIF($AO$11:$AO$1309,AO259,$AS$11:$AS$1309),"")</f>
        <v>1.7348603654072816</v>
      </c>
      <c r="BD259" s="11" t="n">
        <f>IF(SUMIF($AO$11:$AO$1309,AO259,$BB$11:$BB$1309)=COUNTIF($AO$11:$AO$1309,AO259),SUMIF($AO$11:$AO$1309,AO259,$AW$11:$AW$1309),"")</f>
        <v>0.7184184645645092</v>
      </c>
      <c r="BE259" s="11" t="n">
        <f>IF(SUMIF($AO$11:$AO$1309,AO259,$BB$11:$BB$1309)=COUNTIF($AO$11:$AO$1309,AO259),SUMIF($AO$11:$AO$1309,AO259,$BA$11:$BA$1309),"")</f>
        <v>0.7208292298065674</v>
      </c>
      <c r="BF259" s="12" t="n">
        <f>IF(COUNT(BD259:BE259)&lt;&gt;2,"",IF(AND(BD259&gt;0,BE259&gt;0),0.7*AW259/BD259+0.3*BA259/BE259,IF(BD259&gt;0,AW259/BD259,IF(BE259&gt;0,BA259/BE259,IF(AND(ISNUMBER(BH259),BH259=0),0,"")))))</f>
        <v>0.14726580145557772</v>
      </c>
      <c r="BG259" s="11" t="n">
        <f>IF(AND(COUNT(BN259:BU259)=8,MIN(BN259:BU259)&gt;=0),SUMPRODUCT(BN259:BQ259,BR259:BU259),"")</f>
        <v>96.68059267618935</v>
      </c>
      <c r="BH259" s="11" t="n">
        <f>IF(COUNT(BC259,BG259)=2,BC259*BG259,"")</f>
        <v>167.7273283380064</v>
      </c>
      <c r="BI259" s="11" t="n">
        <f>IF(ISNUMBER(CI259),CI259,"")</f>
        <v>24.70049943369935</v>
      </c>
      <c r="BJ259" s="8" t="str"/>
      <c r="BK259" s="8" t="str">
        <v>90天：2026-07-20 至 2026-10-17；180天：2026-04-21 至 2026-10-17</v>
      </c>
      <c r="BL259" s="8" t="str">
        <v>90天：2026-10-06、2026-10-07、2026-10-16；180天：2026-10-06、2026-10-07、2026-10-16</v>
      </c>
      <c r="BM259" s="8" t="str">
        <v>2026-10：12天 × 1.1743420411079069；2026-11：30天 × 1.281694931279211；2026-12：31天 × 0.9007634642750235；2027-01：17天 × 0.9537631089407297</v>
      </c>
      <c r="BN259" s="11" t="n">
        <v>1.1743420411079069</v>
      </c>
      <c r="BO259" s="11" t="n">
        <v>1.281694931279211</v>
      </c>
      <c r="BP259" s="11" t="n">
        <v>0.9007634642750235</v>
      </c>
      <c r="BQ259" s="11" t="n">
        <v>0.9537631089407297</v>
      </c>
      <c r="BR259" s="8" t="n">
        <v>12</v>
      </c>
      <c r="BS259" s="8" t="n">
        <v>30</v>
      </c>
      <c r="BT259" s="8" t="n">
        <v>31</v>
      </c>
      <c r="BU259" s="8" t="n">
        <v>17</v>
      </c>
      <c r="BV259" s="11" t="n">
        <f>IF(COUNT(BC259,BF259)=2,BC259*BF259,"")</f>
        <v>0.25548560212521976</v>
      </c>
      <c r="BW259" s="11" t="n">
        <f>IF(ISNUMBER(BN259),BN259,"")</f>
        <v>1.1743420411079069</v>
      </c>
      <c r="BX259" s="14" t="n">
        <f>IF(ISNUMBER(BR259),BR259,"")</f>
        <v>12</v>
      </c>
      <c r="BY259" s="13" t="n">
        <f>IF(AND(COUNT(BV259,BW259,BX259)=3,MIN(BV259,BW259,BX259)&gt;=0),BV259*BW259*BX259,"")</f>
        <v>3.6003298016809584</v>
      </c>
      <c r="BZ259" s="11" t="n">
        <f>IF(ISNUMBER(BO259),BO259,"")</f>
        <v>1.281694931279211</v>
      </c>
      <c r="CA259" s="14" t="n">
        <f>IF(ISNUMBER(BS259),BS259,"")</f>
        <v>30</v>
      </c>
      <c r="CB259" s="13" t="n">
        <f>IF(AND(COUNT(BV259,BZ259,CA259)=3,MIN(BV259,BZ259,CA259)&gt;=0),BV259*BZ259*CA259,"")</f>
        <v>9.823638037761341</v>
      </c>
      <c r="CC259" s="11" t="n">
        <f>IF(ISNUMBER(BP259),BP259,"")</f>
        <v>0.9007634642750235</v>
      </c>
      <c r="CD259" s="14" t="n">
        <f>IF(ISNUMBER(BT259),BT259,"")</f>
        <v>31</v>
      </c>
      <c r="CE259" s="13" t="n">
        <f>IF(AND(COUNT(BV259,CC259,CD259)=3,MIN(BV259,CC259,CD259)&gt;=0),BV259*CC259*CD259,"")</f>
        <v>7.134094977323802</v>
      </c>
      <c r="CF259" s="11" t="n">
        <f>IF(ISNUMBER(BQ259),BQ259,"")</f>
        <v>0.9537631089407297</v>
      </c>
      <c r="CG259" s="14" t="n">
        <f>IF(ISNUMBER(BU259),BU259,"")</f>
        <v>17</v>
      </c>
      <c r="CH259" s="13" t="n">
        <f>IF(AND(COUNT(BV259,CF259,CG259)=3,MIN(BV259,CF259,CG259)&gt;=0),BV259*CF259*CG259,"")</f>
        <v>4.142436616933246</v>
      </c>
      <c r="CI259" s="13" t="n">
        <f>IF(COUNT(BY259,CB259,CE259,CH259)=4,SUM(BY259,CB259,CE259,CH259),"")</f>
        <v>24.70049943369935</v>
      </c>
    </row>
    <row r="260" ht="72" customHeight="1">
      <c r="A260" s="16" t="str">
        <v>B06b-CCP0-10</v>
      </c>
      <c r="B260" s="16" t="str">
        <v>1店-MUSSHOE-US</v>
      </c>
      <c r="C260" s="16" t="str">
        <v>艾年</v>
      </c>
      <c r="D260" s="26" t="n">
        <f>IF(NOT(ISNUMBER(E260)),"",IF(OR(E260&lt;=0,L260=0),0,IF(OR(NOT(ISNUMBER(F260)),F260&lt;0),"",MIN(E260,INT(F260)))))</f>
        <v>0</v>
      </c>
      <c r="E260" s="27" t="n">
        <f>IF(OR(NOT(ISNUMBER(L260)),COUNT(M260:O260)&lt;&gt;3,MIN(M260:O260)&lt;0),"",ROUNDUP(ROUND(BI260-SUM(M260:O260),10),0))</f>
        <v>24</v>
      </c>
      <c r="F260" s="28" t="n">
        <v>0</v>
      </c>
      <c r="G260" s="28" t="n">
        <f>IF(AND(ISNUMBER(D260),ISNUMBER(E260)),IF(OR(E260&lt;=0,L260=0),0,E260-D260),"")</f>
        <v>24</v>
      </c>
      <c r="H260" s="16" t="str">
        <f>IF(NOT(ISNUMBER(E260)),"销量或海外库存待补",IF(OR(E260&lt;=0,L260=0),IF(L260=0,"零日销，本批不发","本批无需补货"),IF(NOT(ISNUMBER(D260)),"国内库存待补",IF(D260=0,"国内无可用库存",IF(G260&gt;0,"先发国内现货","按建议量发货")))))</f>
        <v>国内无可用库存</v>
      </c>
      <c r="I260" s="28" t="n">
        <f>IF(AND(COUNT(Z260,AA260,AB260)=3,Z260&gt;=AA260,AA260&gt;=0,AB260=7),Z260-AA260,"")</f>
        <v>2</v>
      </c>
      <c r="J260" s="28" t="n">
        <f>IF(AND(COUNT(AF260,AG260,AH260)=3,AF260&gt;=AG260,AG260&gt;=0,AH260=14),AF260-AG260,"")</f>
        <v>2</v>
      </c>
      <c r="K260" s="28" t="n">
        <f>IF(AND(COUNT(AL260,AM260,AN260)=3,AL260&gt;=AM260,AM260&gt;=0,AN260=30),AL260-AM260,"")</f>
        <v>7</v>
      </c>
      <c r="L260" s="29" t="n">
        <f>IF(ISNUMBER(BI260),BI260/90,"")</f>
        <v>0.2827547267377514</v>
      </c>
      <c r="M260" s="28" t="n">
        <v>2</v>
      </c>
      <c r="N260" s="28" t="n">
        <v>0</v>
      </c>
      <c r="O260" s="28" t="n">
        <v>0</v>
      </c>
      <c r="P260" s="30" t="n">
        <f>IF(AND(ISNUMBER(L260),L260&gt;0,COUNT(M260:O260)=3,MIN(M260:O260)&gt;=0),SUM(M260:O260)/L260,"")</f>
        <v>7.073268139757587</v>
      </c>
      <c r="Q260" s="16" t="str">
        <v>沿用原计划SKU店铺</v>
      </c>
      <c r="R260" s="16" t="str">
        <v>已匹配</v>
      </c>
      <c r="S260" s="16" t="str">
        <v>在售</v>
      </c>
      <c r="T260" s="16" t="str">
        <v>B06b</v>
      </c>
      <c r="U260" s="16" t="str">
        <v>咖色PU</v>
      </c>
      <c r="V260" s="16" t="n">
        <v>10</v>
      </c>
      <c r="W260" s="8" t="str">
        <v>2026-10-11 至 2026-10-17</v>
      </c>
      <c r="X260" s="8" t="str">
        <v>2026-10-11、2026-10-12、2026-10-13、2026-10-14、2026-10-15、2026-10-16、2026-10-17</v>
      </c>
      <c r="Y260" s="8" t="str">
        <v>无</v>
      </c>
      <c r="Z260" s="8" t="n">
        <v>2</v>
      </c>
      <c r="AA260" s="8" t="n">
        <v>0</v>
      </c>
      <c r="AB260" s="8" t="n">
        <v>7</v>
      </c>
      <c r="AC260" s="8" t="str">
        <v>2026-10-02 至 2026-10-17</v>
      </c>
      <c r="AD260" s="8" t="str">
        <v>2026-10-02、2026-10-03、2026-10-04、2026-10-05、2026-10-08、2026-10-09、2026-10-10、2026-10-11、2026-10-12、2026-10-13、2026-10-14、2026-10-15、2026-10-16、2026-10-17</v>
      </c>
      <c r="AE260" s="8" t="str">
        <v>2026-10-06 大促；2026-10-07 大促</v>
      </c>
      <c r="AF260" s="8" t="n">
        <v>2</v>
      </c>
      <c r="AG260" s="8" t="n">
        <v>0</v>
      </c>
      <c r="AH260" s="8" t="n">
        <v>14</v>
      </c>
      <c r="AI260" s="8" t="str">
        <v>2026-09-16 至 2026-10-17</v>
      </c>
      <c r="AJ2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0" s="8" t="str">
        <v>2026-10-06 大促；2026-10-07 大促</v>
      </c>
      <c r="AL260" s="8" t="n">
        <v>7</v>
      </c>
      <c r="AM260" s="8" t="n">
        <v>0</v>
      </c>
      <c r="AN260" s="8" t="n">
        <v>30</v>
      </c>
      <c r="AO260" s="8" t="str">
        <v>B06b / 咖色PU / 13120</v>
      </c>
      <c r="AP260" s="11" t="n">
        <v>1.1090677182221615</v>
      </c>
      <c r="AQ260" s="11" t="n">
        <v>1.1090677182221615</v>
      </c>
      <c r="AR260" s="11" t="n">
        <v>0.9505188216044452</v>
      </c>
      <c r="AS260" s="11" t="n">
        <f>IF(AND(COUNT(I260:K260,AP260:AR260)=6,MIN(AP260:AR260)&gt;0),I260/7/AP260*0.5+J260/14/AQ260*0.3+K260/30/AR260*0.2,"")</f>
        <v>0.21654680247455363</v>
      </c>
      <c r="AT260" s="8" t="n">
        <v>22</v>
      </c>
      <c r="AU260" s="8" t="n">
        <v>0</v>
      </c>
      <c r="AV260" s="8" t="n">
        <v>88</v>
      </c>
      <c r="AW260" s="11" t="n">
        <f>IF(AND(COUNT(AT260:AV260)=3,AT260&gt;=AU260,AU260&gt;=0,AV260&gt;0),(AT260-AU260)/AV260,"")</f>
        <v>0.25</v>
      </c>
      <c r="AX260" s="8" t="n">
        <v>41</v>
      </c>
      <c r="AY260" s="8" t="n">
        <v>0</v>
      </c>
      <c r="AZ260" s="8" t="n">
        <v>178</v>
      </c>
      <c r="BA260" s="11" t="n">
        <f>IF(AND(COUNT(AX260:AZ260)=3,AX260&gt;=AY260,AY260&gt;=0,AZ260&gt;0),(AX260-AY260)/AZ260,"")</f>
        <v>0.2303370786516854</v>
      </c>
      <c r="BB260" s="8" t="n">
        <f>IF(COUNT(AS260,AW260,BA260)=3,1,0)</f>
        <v>1</v>
      </c>
      <c r="BC260" s="11" t="n">
        <f>IF(SUMIF($AO$11:$AO$1309,AO260,$BB$11:$BB$1309)=COUNTIF($AO$11:$AO$1309,AO260),SUMIF($AO$11:$AO$1309,AO260,$AS$11:$AS$1309),"")</f>
        <v>2.1842159740642213</v>
      </c>
      <c r="BD260" s="11" t="n">
        <f>IF(SUMIF($AO$11:$AO$1309,AO260,$BB$11:$BB$1309)=COUNTIF($AO$11:$AO$1309,AO260),SUMIF($AO$11:$AO$1309,AO260,$AW$11:$AW$1309),"")</f>
        <v>2.1590909090909087</v>
      </c>
      <c r="BE260" s="11" t="n">
        <f>IF(SUMIF($AO$11:$AO$1309,AO260,$BB$11:$BB$1309)=COUNTIF($AO$11:$AO$1309,AO260),SUMIF($AO$11:$AO$1309,AO260,$BA$11:$BA$1309),"")</f>
        <v>1.6349277688603532</v>
      </c>
      <c r="BF260" s="12" t="n">
        <f>IF(COUNT(BD260:BE260)&lt;&gt;2,"",IF(AND(BD260&gt;0,BE260&gt;0),0.7*AW260/BD260+0.3*BA260/BE260,IF(BD260&gt;0,AW260/BD260,IF(BE260&gt;0,BA260/BE260,IF(AND(ISNUMBER(BH260),BH260=0),0,"")))))</f>
        <v>0.12331818294558262</v>
      </c>
      <c r="BG260" s="11" t="n">
        <f>IF(AND(COUNT(BN260:BU260)=8,MIN(BN260:BU260)&gt;=0),SUMPRODUCT(BN260:BQ260,BR260:BU260),"")</f>
        <v>94.47778160343367</v>
      </c>
      <c r="BH260" s="11" t="n">
        <f>IF(COUNT(BC260,BG260)=2,BC260*BG260,"")</f>
        <v>206.35987977237065</v>
      </c>
      <c r="BI260" s="11" t="n">
        <f>IF(ISNUMBER(CI260),CI260,"")</f>
        <v>25.44792540639763</v>
      </c>
      <c r="BJ260" s="8" t="str"/>
      <c r="BK260" s="8" t="str">
        <v>90天：2026-07-20 至 2026-10-17；180天：2026-04-21 至 2026-10-17</v>
      </c>
      <c r="BL260" s="8" t="str">
        <v>90天：2026-10-06、2026-10-07；180天：2026-10-06、2026-10-07</v>
      </c>
      <c r="BM260" s="8" t="str">
        <v>2026-10：12天 × 1.1090677182221615；2026-11：30天 × 1.0372741535934282；2026-12：31天 × 0.979949351738161；2027-01：17天 × 1.1571949690048173</v>
      </c>
      <c r="BN260" s="11" t="n">
        <v>1.1090677182221615</v>
      </c>
      <c r="BO260" s="11" t="n">
        <v>1.0372741535934282</v>
      </c>
      <c r="BP260" s="11" t="n">
        <v>0.979949351738161</v>
      </c>
      <c r="BQ260" s="11" t="n">
        <v>1.1571949690048173</v>
      </c>
      <c r="BR260" s="8" t="n">
        <v>12</v>
      </c>
      <c r="BS260" s="8" t="n">
        <v>30</v>
      </c>
      <c r="BT260" s="8" t="n">
        <v>31</v>
      </c>
      <c r="BU260" s="8" t="n">
        <v>17</v>
      </c>
      <c r="BV260" s="11" t="n">
        <f>IF(COUNT(BC260,BF260)=2,BC260*BF260,"")</f>
        <v>0.26935354508231557</v>
      </c>
      <c r="BW260" s="11" t="n">
        <f>IF(ISNUMBER(BN260),BN260,"")</f>
        <v>1.1090677182221615</v>
      </c>
      <c r="BX260" s="14" t="n">
        <f>IF(ISNUMBER(BR260),BR260,"")</f>
        <v>12</v>
      </c>
      <c r="BY260" s="13" t="n">
        <f>IF(AND(COUNT(BV260,BW260,BX260)=3,MIN(BV260,BW260,BX260)&gt;=0),BV260*BW260*BX260,"")</f>
        <v>3.5847758596739263</v>
      </c>
      <c r="BZ260" s="11" t="n">
        <f>IF(ISNUMBER(BO260),BO260,"")</f>
        <v>1.0372741535934282</v>
      </c>
      <c r="CA260" s="14" t="n">
        <f>IF(ISNUMBER(BS260),BS260,"")</f>
        <v>30</v>
      </c>
      <c r="CB260" s="13" t="n">
        <f>IF(AND(COUNT(BV260,BZ260,CA260)=3,MIN(BV260,BZ260,CA260)&gt;=0),BV260*BZ260*CA260,"")</f>
        <v>8.381804114779445</v>
      </c>
      <c r="CC260" s="11" t="n">
        <f>IF(ISNUMBER(BP260),BP260,"")</f>
        <v>0.979949351738161</v>
      </c>
      <c r="CD260" s="14" t="n">
        <f>IF(ISNUMBER(BT260),BT260,"")</f>
        <v>31</v>
      </c>
      <c r="CE260" s="13" t="n">
        <f>IF(AND(COUNT(BV260,CC260,CD260)=3,MIN(BV260,CC260,CD260)&gt;=0),BV260*CC260*CD260,"")</f>
        <v>8.18253778864551</v>
      </c>
      <c r="CF260" s="11" t="n">
        <f>IF(ISNUMBER(BQ260),BQ260,"")</f>
        <v>1.1571949690048173</v>
      </c>
      <c r="CG260" s="14" t="n">
        <f>IF(ISNUMBER(BU260),BU260,"")</f>
        <v>17</v>
      </c>
      <c r="CH260" s="13" t="n">
        <f>IF(AND(COUNT(BV260,CF260,CG260)=3,MIN(BV260,CF260,CG260)&gt;=0),BV260*CF260*CG260,"")</f>
        <v>5.298807643298753</v>
      </c>
      <c r="CI260" s="13" t="n">
        <f>IF(COUNT(BY260,CB260,CE260,CH260)=4,SUM(BY260,CB260,CE260,CH260),"")</f>
        <v>25.44792540639763</v>
      </c>
    </row>
    <row r="261" ht="72" customHeight="1">
      <c r="A261" s="16" t="str">
        <v>B07-BKP-39-New</v>
      </c>
      <c r="B261" s="16" t="str">
        <v>4店-彬郁-US</v>
      </c>
      <c r="C261" s="16" t="str">
        <v>艾年</v>
      </c>
      <c r="D261" s="26" t="n">
        <f>IF(NOT(ISNUMBER(E261)),"",IF(OR(E261&lt;=0,L261=0),0,IF(OR(NOT(ISNUMBER(F261)),F261&lt;0),"",MIN(E261,INT(F261)))))</f>
        <v>0</v>
      </c>
      <c r="E261" s="27" t="n">
        <f>IF(OR(NOT(ISNUMBER(L261)),COUNT(M261:O261)&lt;&gt;3,MIN(M261:O261)&lt;0),"",ROUNDUP(ROUND(BI261-SUM(M261:O261),10),0))</f>
        <v>24</v>
      </c>
      <c r="F261" s="28" t="n">
        <v>0</v>
      </c>
      <c r="G261" s="28" t="n">
        <f>IF(AND(ISNUMBER(D261),ISNUMBER(E261)),IF(OR(E261&lt;=0,L261=0),0,E261-D261),"")</f>
        <v>24</v>
      </c>
      <c r="H261" s="16" t="str">
        <f>IF(NOT(ISNUMBER(E261)),"销量或海外库存待补",IF(OR(E261&lt;=0,L261=0),IF(L261=0,"零日销，本批不发","本批无需补货"),IF(NOT(ISNUMBER(D261)),"国内库存待补",IF(D261=0,"国内无可用库存",IF(G261&gt;0,"先发国内现货","按建议量发货")))))</f>
        <v>国内无可用库存</v>
      </c>
      <c r="I261" s="28" t="n">
        <f>IF(AND(COUNT(Z261,AA261,AB261)=3,Z261&gt;=AA261,AA261&gt;=0,AB261=7),Z261-AA261,"")</f>
        <v>5</v>
      </c>
      <c r="J261" s="28" t="n">
        <f>IF(AND(COUNT(AF261,AG261,AH261)=3,AF261&gt;=AG261,AG261&gt;=0,AH261=14),AF261-AG261,"")</f>
        <v>7</v>
      </c>
      <c r="K261" s="28" t="n">
        <f>IF(AND(COUNT(AL261,AM261,AN261)=3,AL261&gt;=AM261,AM261&gt;=0,AN261=30),AL261-AM261,"")</f>
        <v>16</v>
      </c>
      <c r="L261" s="29" t="n">
        <f>IF(ISNUMBER(BI261),BI261/90,"")</f>
        <v>0.5604104280809113</v>
      </c>
      <c r="M261" s="28" t="n">
        <v>11</v>
      </c>
      <c r="N261" s="28" t="n">
        <v>16</v>
      </c>
      <c r="O261" s="28" t="n">
        <v>0</v>
      </c>
      <c r="P261" s="30" t="n">
        <f>IF(AND(ISNUMBER(L261),L261&gt;0,COUNT(M261:O261)=3,MIN(M261:O261)&gt;=0),SUM(M261:O261)/L261,"")</f>
        <v>48.17897499241712</v>
      </c>
      <c r="Q261" s="16" t="str">
        <v>沿用原计划SKU店铺</v>
      </c>
      <c r="R261" s="16" t="str">
        <v>已匹配</v>
      </c>
      <c r="S261" s="16" t="str">
        <v>在售</v>
      </c>
      <c r="T261" s="16" t="str">
        <v>B07</v>
      </c>
      <c r="U261" s="16" t="str">
        <v>黑色PU</v>
      </c>
      <c r="V261" s="16" t="n">
        <v>8</v>
      </c>
      <c r="W261" s="8" t="str">
        <v>2026-10-11 至 2026-10-17</v>
      </c>
      <c r="X261" s="8" t="str">
        <v>2026-10-11、2026-10-12、2026-10-13、2026-10-14、2026-10-15、2026-10-16、2026-10-17</v>
      </c>
      <c r="Y261" s="8" t="str">
        <v>无</v>
      </c>
      <c r="Z261" s="8" t="n">
        <v>5</v>
      </c>
      <c r="AA261" s="8" t="n">
        <v>0</v>
      </c>
      <c r="AB261" s="8" t="n">
        <v>7</v>
      </c>
      <c r="AC261" s="8" t="str">
        <v>2026-10-02 至 2026-10-17</v>
      </c>
      <c r="AD261" s="8" t="str">
        <v>2026-10-02、2026-10-03、2026-10-04、2026-10-05、2026-10-08、2026-10-09、2026-10-10、2026-10-11、2026-10-12、2026-10-13、2026-10-14、2026-10-15、2026-10-16、2026-10-17</v>
      </c>
      <c r="AE261" s="8" t="str">
        <v>2026-10-06 大促；2026-10-07 大促</v>
      </c>
      <c r="AF261" s="8" t="n">
        <v>8</v>
      </c>
      <c r="AG261" s="8" t="n">
        <v>1</v>
      </c>
      <c r="AH261" s="8" t="n">
        <v>14</v>
      </c>
      <c r="AI261" s="8" t="str">
        <v>2026-09-16 至 2026-10-17</v>
      </c>
      <c r="AJ2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1" s="8" t="str">
        <v>2026-10-06 大促；2026-10-07 大促</v>
      </c>
      <c r="AL261" s="8" t="n">
        <v>17</v>
      </c>
      <c r="AM261" s="8" t="n">
        <v>1</v>
      </c>
      <c r="AN261" s="8" t="n">
        <v>30</v>
      </c>
      <c r="AO261" s="8" t="str">
        <v>B07 / 黑色PU / 13306</v>
      </c>
      <c r="AP261" s="11" t="n">
        <v>0.7307750238224848</v>
      </c>
      <c r="AQ261" s="11" t="n">
        <v>0.7307750238224848</v>
      </c>
      <c r="AR261" s="11" t="n">
        <v>0.7449809054134506</v>
      </c>
      <c r="AS261" s="11" t="n">
        <f>IF(AND(COUNT(I261:K261,AP261:AR261)=6,MIN(AP261:AR261)&gt;0),I261/7/AP261*0.5+J261/14/AQ261*0.3+K261/30/AR261*0.2,"")</f>
        <v>0.837159864537594</v>
      </c>
      <c r="AT261" s="8" t="n">
        <v>29</v>
      </c>
      <c r="AU261" s="8" t="n">
        <v>1</v>
      </c>
      <c r="AV261" s="8" t="n">
        <v>88</v>
      </c>
      <c r="AW261" s="11" t="n">
        <f>IF(AND(COUNT(AT261:AV261)=3,AT261&gt;=AU261,AU261&gt;=0,AV261&gt;0),(AT261-AU261)/AV261,"")</f>
        <v>0.3181818181818182</v>
      </c>
      <c r="AX261" s="8" t="n">
        <v>47</v>
      </c>
      <c r="AY261" s="8" t="n">
        <v>1</v>
      </c>
      <c r="AZ261" s="8" t="n">
        <v>178</v>
      </c>
      <c r="BA261" s="11" t="n">
        <f>IF(AND(COUNT(AX261:AZ261)=3,AX261&gt;=AY261,AY261&gt;=0,AZ261&gt;0),(AX261-AY261)/AZ261,"")</f>
        <v>0.25842696629213485</v>
      </c>
      <c r="BB261" s="8" t="n">
        <f>IF(COUNT(AS261,AW261,BA261)=3,1,0)</f>
        <v>1</v>
      </c>
      <c r="BC261" s="11" t="n">
        <f>IF(SUMIF($AO$11:$AO$1309,AO261,$BB$11:$BB$1309)=COUNTIF($AO$11:$AO$1309,AO261),SUMIF($AO$11:$AO$1309,AO261,$AS$11:$AS$1309),"")</f>
        <v>1.9452610587450656</v>
      </c>
      <c r="BD261" s="11" t="n">
        <f>IF(SUMIF($AO$11:$AO$1309,AO261,$BB$11:$BB$1309)=COUNTIF($AO$11:$AO$1309,AO261),SUMIF($AO$11:$AO$1309,AO261,$AW$11:$AW$1309),"")</f>
        <v>0.8570855614973261</v>
      </c>
      <c r="BE261" s="11" t="n">
        <f>IF(SUMIF($AO$11:$AO$1309,AO261,$BB$11:$BB$1309)=COUNTIF($AO$11:$AO$1309,AO261),SUMIF($AO$11:$AO$1309,AO261,$BA$11:$BA$1309),"")</f>
        <v>1.091589085072231</v>
      </c>
      <c r="BF261" s="12" t="n">
        <f>IF(COUNT(BD261:BE261)&lt;&gt;2,"",IF(AND(BD261&gt;0,BE261&gt;0),0.7*AW261/BD261+0.3*BA261/BE261,IF(BD261&gt;0,AW261/BD261,IF(BE261&gt;0,BA261/BE261,IF(AND(ISNUMBER(BH261),BH261=0),0,"")))))</f>
        <v>0.3308890005773712</v>
      </c>
      <c r="BG261" s="11" t="n">
        <f>IF(AND(COUNT(BN261:BU261)=8,MIN(BN261:BU261)&gt;=0),SUMPRODUCT(BN261:BQ261,BR261:BU261),"")</f>
        <v>78.35892944347341</v>
      </c>
      <c r="BH261" s="11" t="n">
        <f>IF(COUNT(BC261,BG261)=2,BC261*BG261,"")</f>
        <v>152.428574051341</v>
      </c>
      <c r="BI261" s="11" t="n">
        <f>IF(ISNUMBER(CI261),CI261,"")</f>
        <v>50.436938527282024</v>
      </c>
      <c r="BJ261" s="8" t="str">
        <v>低销提醒依据不完整</v>
      </c>
      <c r="BK261" s="8" t="str">
        <v>90天：2026-07-20 至 2026-10-17；180天：2026-04-21 至 2026-10-17</v>
      </c>
      <c r="BL261" s="8" t="str">
        <v>90天：2026-10-06、2026-10-07；180天：2026-10-06、2026-10-07</v>
      </c>
      <c r="BM261" s="8" t="str">
        <v>2026-10：12天 × 0.7307750238224848；2026-11：30天 × 0.9523018155490097；2026-12：31天 × 0.5958545198749097；2027-01：17天 × 1.3264167397065354</v>
      </c>
      <c r="BN261" s="11" t="n">
        <v>0.7307750238224848</v>
      </c>
      <c r="BO261" s="11" t="n">
        <v>0.9523018155490097</v>
      </c>
      <c r="BP261" s="11" t="n">
        <v>0.5958545198749097</v>
      </c>
      <c r="BQ261" s="11" t="n">
        <v>1.3264167397065354</v>
      </c>
      <c r="BR261" s="8" t="n">
        <v>12</v>
      </c>
      <c r="BS261" s="8" t="n">
        <v>30</v>
      </c>
      <c r="BT261" s="8" t="n">
        <v>31</v>
      </c>
      <c r="BU261" s="8" t="n">
        <v>17</v>
      </c>
      <c r="BV261" s="11" t="n">
        <f>IF(COUNT(BC261,BF261)=2,BC261*BF261,"")</f>
        <v>0.6436654875902337</v>
      </c>
      <c r="BW261" s="11" t="n">
        <f>IF(ISNUMBER(BN261),BN261,"")</f>
        <v>0.7307750238224848</v>
      </c>
      <c r="BX261" s="14" t="n">
        <f>IF(ISNUMBER(BR261),BR261,"")</f>
        <v>12</v>
      </c>
      <c r="BY261" s="13" t="n">
        <f>IF(AND(COUNT(BV261,BW261,BX261)=3,MIN(BV261,BW261,BX261)&gt;=0),BV261*BW261*BX261,"")</f>
        <v>5.644495944329572</v>
      </c>
      <c r="BZ261" s="11" t="n">
        <f>IF(ISNUMBER(BO261),BO261,"")</f>
        <v>0.9523018155490097</v>
      </c>
      <c r="CA261" s="14" t="n">
        <f>IF(ISNUMBER(BS261),BS261,"")</f>
        <v>30</v>
      </c>
      <c r="CB261" s="13" t="n">
        <f>IF(AND(COUNT(BV261,BZ261,CA261)=3,MIN(BV261,BZ261,CA261)&gt;=0),BV261*BZ261*CA261,"")</f>
        <v>18.388914373152545</v>
      </c>
      <c r="CC261" s="11" t="n">
        <f>IF(ISNUMBER(BP261),BP261,"")</f>
        <v>0.5958545198749097</v>
      </c>
      <c r="CD261" s="14" t="n">
        <f>IF(ISNUMBER(BT261),BT261,"")</f>
        <v>31</v>
      </c>
      <c r="CE261" s="13" t="n">
        <f>IF(AND(COUNT(BV261,CC261,CD261)=3,MIN(BV261,CC261,CD261)&gt;=0),BV261*CC261*CD261,"")</f>
        <v>11.889460692111978</v>
      </c>
      <c r="CF261" s="11" t="n">
        <f>IF(ISNUMBER(BQ261),BQ261,"")</f>
        <v>1.3264167397065354</v>
      </c>
      <c r="CG261" s="14" t="n">
        <f>IF(ISNUMBER(BU261),BU261,"")</f>
        <v>17</v>
      </c>
      <c r="CH261" s="13" t="n">
        <f>IF(AND(COUNT(BV261,CF261,CG261)=3,MIN(BV261,CF261,CG261)&gt;=0),BV261*CF261*CG261,"")</f>
        <v>14.514067517687938</v>
      </c>
      <c r="CI261" s="13" t="n">
        <f>IF(COUNT(BY261,CB261,CE261,CH261)=4,SUM(BY261,CB261,CE261,CH261),"")</f>
        <v>50.436938527282024</v>
      </c>
    </row>
    <row r="262" ht="72" customHeight="1">
      <c r="A262" s="16" t="str">
        <v>B06-CFP-39.5</v>
      </c>
      <c r="B262" s="16" t="str">
        <v>1店-MUSSHOE-US</v>
      </c>
      <c r="C262" s="16" t="str">
        <v>艾年</v>
      </c>
      <c r="D262" s="26" t="n">
        <f>IF(NOT(ISNUMBER(E262)),"",IF(OR(E262&lt;=0,L262=0),0,IF(OR(NOT(ISNUMBER(F262)),F262&lt;0),"",MIN(E262,INT(F262)))))</f>
        <v>0</v>
      </c>
      <c r="E262" s="27" t="n">
        <f>IF(OR(NOT(ISNUMBER(L262)),COUNT(M262:O262)&lt;&gt;3,MIN(M262:O262)&lt;0),"",ROUNDUP(ROUND(BI262-SUM(M262:O262),10),0))</f>
        <v>23</v>
      </c>
      <c r="F262" s="28" t="n">
        <v>0</v>
      </c>
      <c r="G262" s="28" t="n">
        <f>IF(AND(ISNUMBER(D262),ISNUMBER(E262)),IF(OR(E262&lt;=0,L262=0),0,E262-D262),"")</f>
        <v>23</v>
      </c>
      <c r="H262" s="16" t="str">
        <f>IF(NOT(ISNUMBER(E262)),"销量或海外库存待补",IF(OR(E262&lt;=0,L262=0),IF(L262=0,"零日销，本批不发","本批无需补货"),IF(NOT(ISNUMBER(D262)),"国内库存待补",IF(D262=0,"国内无可用库存",IF(G262&gt;0,"先发国内现货","按建议量发货")))))</f>
        <v>国内无可用库存</v>
      </c>
      <c r="I262" s="28" t="n">
        <f>IF(AND(COUNT(Z262,AA262,AB262)=3,Z262&gt;=AA262,AA262&gt;=0,AB262=7),Z262-AA262,"")</f>
        <v>1</v>
      </c>
      <c r="J262" s="28" t="n">
        <f>IF(AND(COUNT(AF262,AG262,AH262)=3,AF262&gt;=AG262,AG262&gt;=0,AH262=14),AF262-AG262,"")</f>
        <v>3</v>
      </c>
      <c r="K262" s="28" t="n">
        <f>IF(AND(COUNT(AL262,AM262,AN262)=3,AL262&gt;=AM262,AM262&gt;=0,AN262=30),AL262-AM262,"")</f>
        <v>6</v>
      </c>
      <c r="L262" s="29" t="n">
        <f>IF(ISNUMBER(BI262),BI262/90,"")</f>
        <v>0.26364623947858823</v>
      </c>
      <c r="M262" s="28" t="n">
        <v>1</v>
      </c>
      <c r="N262" s="28" t="n">
        <v>0</v>
      </c>
      <c r="O262" s="28" t="n">
        <v>0</v>
      </c>
      <c r="P262" s="30" t="n">
        <f>IF(AND(ISNUMBER(L262),L262&gt;0,COUNT(M262:O262)=3,MIN(M262:O262)&gt;=0),SUM(M262:O262)/L262,"")</f>
        <v>3.792961363597276</v>
      </c>
      <c r="Q262" s="16" t="str">
        <v>沿用原计划SKU店铺</v>
      </c>
      <c r="R262" s="16" t="str">
        <v>已匹配</v>
      </c>
      <c r="S262" s="16" t="str">
        <v>在售</v>
      </c>
      <c r="T262" s="16" t="str">
        <v>B06</v>
      </c>
      <c r="U262" s="16" t="str">
        <v>咖色PU</v>
      </c>
      <c r="V262" s="16" t="n">
        <v>8.5</v>
      </c>
      <c r="W262" s="8" t="str">
        <v>2026-10-09 至 2026-10-17</v>
      </c>
      <c r="X262" s="8" t="str">
        <v>2026-10-09、2026-10-10、2026-10-11、2026-10-14、2026-10-15、2026-10-16、2026-10-17</v>
      </c>
      <c r="Y262" s="8" t="str">
        <v>2026-10-12 有记录的停售日；2026-10-13 有记录的停售日</v>
      </c>
      <c r="Z262" s="8" t="n">
        <v>1</v>
      </c>
      <c r="AA262" s="8" t="n">
        <v>0</v>
      </c>
      <c r="AB262" s="8" t="n">
        <v>7</v>
      </c>
      <c r="AC262" s="8" t="str">
        <v>2026-09-30 至 2026-10-17</v>
      </c>
      <c r="AD262" s="8" t="str">
        <v>2026-09-30、2026-10-01、2026-10-02、2026-10-03、2026-10-04、2026-10-05、2026-10-08、2026-10-09、2026-10-10、2026-10-11、2026-10-14、2026-10-15、2026-10-16、2026-10-17</v>
      </c>
      <c r="AE262" s="8" t="str">
        <v>2026-10-06 大促；2026-10-07 大促；2026-10-12 有记录的停售日；2026-10-13 有记录的停售日</v>
      </c>
      <c r="AF262" s="8" t="n">
        <v>3</v>
      </c>
      <c r="AG262" s="8" t="n">
        <v>0</v>
      </c>
      <c r="AH262" s="8" t="n">
        <v>14</v>
      </c>
      <c r="AI262" s="8" t="str">
        <v>2026-09-14 至 2026-10-17</v>
      </c>
      <c r="AJ262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262" s="8" t="str">
        <v>2026-10-06 大促；2026-10-07 大促；2026-10-12 有记录的停售日；2026-10-13 有记录的停售日</v>
      </c>
      <c r="AL262" s="8" t="n">
        <v>6</v>
      </c>
      <c r="AM262" s="8" t="n">
        <v>0</v>
      </c>
      <c r="AN262" s="8" t="n">
        <v>30</v>
      </c>
      <c r="AO262" s="8" t="str">
        <v>B06 / 咖色PU / 13120</v>
      </c>
      <c r="AP262" s="11" t="n">
        <v>1.2247029157699902</v>
      </c>
      <c r="AQ262" s="11" t="n">
        <v>1.2088445086220798</v>
      </c>
      <c r="AR262" s="11" t="n">
        <v>1.0988928857299007</v>
      </c>
      <c r="AS262" s="11" t="n">
        <f>IF(AND(COUNT(I262:K262,AP262:AR262)=6,MIN(AP262:AR262)&gt;0),I262/7/AP262*0.5+J262/14/AQ262*0.3+K262/30/AR262*0.2,"")</f>
        <v>0.1479029276751831</v>
      </c>
      <c r="AT262" s="8" t="n">
        <v>18</v>
      </c>
      <c r="AU262" s="8" t="n">
        <v>0</v>
      </c>
      <c r="AV262" s="8" t="n">
        <v>86</v>
      </c>
      <c r="AW262" s="11" t="n">
        <f>IF(AND(COUNT(AT262:AV262)=3,AT262&gt;=AU262,AU262&gt;=0,AV262&gt;0),(AT262-AU262)/AV262,"")</f>
        <v>0.20930232558139536</v>
      </c>
      <c r="AX262" s="8" t="n">
        <v>31</v>
      </c>
      <c r="AY262" s="8" t="n">
        <v>0</v>
      </c>
      <c r="AZ262" s="8" t="n">
        <v>176</v>
      </c>
      <c r="BA262" s="11" t="n">
        <f>IF(AND(COUNT(AX262:AZ262)=3,AX262&gt;=AY262,AY262&gt;=0,AZ262&gt;0),(AX262-AY262)/AZ262,"")</f>
        <v>0.17613636363636365</v>
      </c>
      <c r="BB262" s="8" t="n">
        <f>IF(COUNT(AS262,AW262,BA262)=3,1,0)</f>
        <v>1</v>
      </c>
      <c r="BC262" s="11" t="n">
        <f>IF(SUMIF($AO$11:$AO$1309,AO262,$BB$11:$BB$1309)=COUNTIF($AO$11:$AO$1309,AO262),SUMIF($AO$11:$AO$1309,AO262,$AS$11:$AS$1309),"")</f>
        <v>2.611458509464822</v>
      </c>
      <c r="BD262" s="11" t="n">
        <f>IF(SUMIF($AO$11:$AO$1309,AO262,$BB$11:$BB$1309)=COUNTIF($AO$11:$AO$1309,AO262),SUMIF($AO$11:$AO$1309,AO262,$AW$11:$AW$1309),"")</f>
        <v>1.6638477801268499</v>
      </c>
      <c r="BE262" s="11" t="n">
        <f>IF(SUMIF($AO$11:$AO$1309,AO262,$BB$11:$BB$1309)=COUNTIF($AO$11:$AO$1309,AO262),SUMIF($AO$11:$AO$1309,AO262,$BA$11:$BA$1309),"")</f>
        <v>1.5075970377936672</v>
      </c>
      <c r="BF262" s="12" t="n">
        <f>IF(COUNT(BD262:BE262)&lt;&gt;2,"",IF(AND(BD262&gt;0,BE262&gt;0),0.7*AW262/BD262+0.3*BA262/BE262,IF(BD262&gt;0,AW262/BD262,IF(BE262&gt;0,BA262/BE262,IF(AND(ISNUMBER(BH262),BH262=0),0,"")))))</f>
        <v>0.12310566502403417</v>
      </c>
      <c r="BG262" s="11" t="n">
        <f>IF(AND(COUNT(BN262:BU262)=8,MIN(BN262:BU262)&gt;=0),SUMPRODUCT(BN262:BQ262,BR262:BU262),"")</f>
        <v>73.80791239847399</v>
      </c>
      <c r="BH262" s="11" t="n">
        <f>IF(COUNT(BC262,BG262)=2,BC262*BG262,"")</f>
        <v>192.74630089882905</v>
      </c>
      <c r="BI262" s="11" t="n">
        <f>IF(ISNUMBER(CI262),CI262,"")</f>
        <v>23.72816155307294</v>
      </c>
      <c r="BJ262" s="8" t="str">
        <v>低销提醒依据不完整</v>
      </c>
      <c r="BK262" s="8" t="str">
        <v>90天：2026-07-20 至 2026-10-17；180天：2026-04-21 至 2026-10-17</v>
      </c>
      <c r="BL262" s="8" t="str">
        <v>90天：2026-10-06、2026-10-07、2026-10-12、2026-10-13；180天：2026-10-06、2026-10-07、2026-10-12、2026-10-13</v>
      </c>
      <c r="BM262" s="8" t="str">
        <v>2026-10：12天 × 1.2247029157699902；2026-11：30天 × 0.8332682139098497；2026-12：31天 × 0.5511018253564084；2027-01：17天 × 1.0017220238758797</v>
      </c>
      <c r="BN262" s="11" t="n">
        <v>1.2247029157699902</v>
      </c>
      <c r="BO262" s="11" t="n">
        <v>0.8332682139098497</v>
      </c>
      <c r="BP262" s="11" t="n">
        <v>0.5511018253564084</v>
      </c>
      <c r="BQ262" s="11" t="n">
        <v>1.0017220238758797</v>
      </c>
      <c r="BR262" s="8" t="n">
        <v>12</v>
      </c>
      <c r="BS262" s="8" t="n">
        <v>30</v>
      </c>
      <c r="BT262" s="8" t="n">
        <v>31</v>
      </c>
      <c r="BU262" s="8" t="n">
        <v>17</v>
      </c>
      <c r="BV262" s="11" t="n">
        <f>IF(COUNT(BC262,BF262)=2,BC262*BF262,"")</f>
        <v>0.32148533649033995</v>
      </c>
      <c r="BW262" s="11" t="n">
        <f>IF(ISNUMBER(BN262),BN262,"")</f>
        <v>1.2247029157699902</v>
      </c>
      <c r="BX262" s="14" t="n">
        <f>IF(ISNUMBER(BR262),BR262,"")</f>
        <v>12</v>
      </c>
      <c r="BY262" s="13" t="n">
        <f>IF(AND(COUNT(BV262,BW262,BX262)=3,MIN(BV262,BW262,BX262)&gt;=0),BV262*BW262*BX262,"")</f>
        <v>4.724688347724189</v>
      </c>
      <c r="BZ262" s="11" t="n">
        <f>IF(ISNUMBER(BO262),BO262,"")</f>
        <v>0.8332682139098497</v>
      </c>
      <c r="CA262" s="14" t="n">
        <f>IF(ISNUMBER(BS262),BS262,"")</f>
        <v>30</v>
      </c>
      <c r="CB262" s="13" t="n">
        <f>IF(AND(COUNT(BV262,BZ262,CA262)=3,MIN(BV262,BZ262,CA262)&gt;=0),BV262*BZ262*CA262,"")</f>
        <v>8.036505364065377</v>
      </c>
      <c r="CC262" s="11" t="n">
        <f>IF(ISNUMBER(BP262),BP262,"")</f>
        <v>0.5511018253564084</v>
      </c>
      <c r="CD262" s="14" t="n">
        <f>IF(ISNUMBER(BT262),BT262,"")</f>
        <v>31</v>
      </c>
      <c r="CE262" s="13" t="n">
        <f>IF(AND(COUNT(BV262,CC262,CD262)=3,MIN(BV262,CC262,CD262)&gt;=0),BV262*CC262*CD262,"")</f>
        <v>5.492305828719511</v>
      </c>
      <c r="CF262" s="11" t="n">
        <f>IF(ISNUMBER(BQ262),BQ262,"")</f>
        <v>1.0017220238758797</v>
      </c>
      <c r="CG262" s="14" t="n">
        <f>IF(ISNUMBER(BU262),BU262,"")</f>
        <v>17</v>
      </c>
      <c r="CH262" s="13" t="n">
        <f>IF(AND(COUNT(BV262,CF262,CG262)=3,MIN(BV262,CF262,CG262)&gt;=0),BV262*CF262*CG262,"")</f>
        <v>5.474662012563866</v>
      </c>
      <c r="CI262" s="13" t="n">
        <f>IF(COUNT(BY262,CB262,CE262,CH262)=4,SUM(BY262,CB262,CE262,CH262),"")</f>
        <v>23.72816155307294</v>
      </c>
    </row>
    <row r="263" ht="72" customHeight="1">
      <c r="A263" s="16" t="str">
        <v>B06b-NDP0-9</v>
      </c>
      <c r="B263" s="16" t="str">
        <v>1店-MUSSHOE-US</v>
      </c>
      <c r="C263" s="16" t="str">
        <v>艾年</v>
      </c>
      <c r="D263" s="26" t="n">
        <f>IF(NOT(ISNUMBER(E263)),"",IF(OR(E263&lt;=0,L263=0),0,IF(OR(NOT(ISNUMBER(F263)),F263&lt;0),"",MIN(E263,INT(F263)))))</f>
        <v>0</v>
      </c>
      <c r="E263" s="27" t="n">
        <f>IF(OR(NOT(ISNUMBER(L263)),COUNT(M263:O263)&lt;&gt;3,MIN(M263:O263)&lt;0),"",ROUNDUP(ROUND(BI263-SUM(M263:O263),10),0))</f>
        <v>23</v>
      </c>
      <c r="F263" s="28" t="n">
        <v>0</v>
      </c>
      <c r="G263" s="28" t="n">
        <f>IF(AND(ISNUMBER(D263),ISNUMBER(E263)),IF(OR(E263&lt;=0,L263=0),0,E263-D263),"")</f>
        <v>23</v>
      </c>
      <c r="H263" s="16" t="str">
        <f>IF(NOT(ISNUMBER(E263)),"销量或海外库存待补",IF(OR(E263&lt;=0,L263=0),IF(L263=0,"零日销，本批不发","本批无需补货"),IF(NOT(ISNUMBER(D263)),"国内库存待补",IF(D263=0,"国内无可用库存",IF(G263&gt;0,"先发国内现货","按建议量发货")))))</f>
        <v>国内无可用库存</v>
      </c>
      <c r="I263" s="28" t="n">
        <f>IF(AND(COUNT(Z263,AA263,AB263)=3,Z263&gt;=AA263,AA263&gt;=0,AB263=7),Z263-AA263,"")</f>
        <v>5</v>
      </c>
      <c r="J263" s="28" t="n">
        <f>IF(AND(COUNT(AF263,AG263,AH263)=3,AF263&gt;=AG263,AG263&gt;=0,AH263=14),AF263-AG263,"")</f>
        <v>11</v>
      </c>
      <c r="K263" s="28" t="n">
        <f>IF(AND(COUNT(AL263,AM263,AN263)=3,AL263&gt;=AM263,AM263&gt;=0,AN263=30),AL263-AM263,"")</f>
        <v>20</v>
      </c>
      <c r="L263" s="29" t="n">
        <f>IF(ISNUMBER(BI263),BI263/90,"")</f>
        <v>0.42654721867735046</v>
      </c>
      <c r="M263" s="28" t="n">
        <v>16</v>
      </c>
      <c r="N263" s="28" t="n">
        <v>0</v>
      </c>
      <c r="O263" s="28" t="n">
        <v>0</v>
      </c>
      <c r="P263" s="30" t="n">
        <f>IF(AND(ISNUMBER(L263),L263&gt;0,COUNT(M263:O263)=3,MIN(M263:O263)&gt;=0),SUM(M263:O263)/L263,"")</f>
        <v>37.51050129833983</v>
      </c>
      <c r="Q263" s="16" t="str">
        <v>沿用原计划SKU店铺</v>
      </c>
      <c r="R263" s="16" t="str">
        <v>已匹配</v>
      </c>
      <c r="S263" s="16" t="str">
        <v>在售</v>
      </c>
      <c r="T263" s="16" t="str">
        <v>B06b</v>
      </c>
      <c r="U263" s="16" t="str">
        <v>裸色PU</v>
      </c>
      <c r="V263" s="16" t="n">
        <v>9</v>
      </c>
      <c r="W263" s="8" t="str">
        <v>2026-10-11 至 2026-10-17</v>
      </c>
      <c r="X263" s="8" t="str">
        <v>2026-10-11、2026-10-12、2026-10-13、2026-10-14、2026-10-15、2026-10-16、2026-10-17</v>
      </c>
      <c r="Y263" s="8" t="str">
        <v>无</v>
      </c>
      <c r="Z263" s="8" t="n">
        <v>5</v>
      </c>
      <c r="AA263" s="8" t="n">
        <v>0</v>
      </c>
      <c r="AB263" s="8" t="n">
        <v>7</v>
      </c>
      <c r="AC263" s="8" t="str">
        <v>2026-10-02 至 2026-10-17</v>
      </c>
      <c r="AD263" s="8" t="str">
        <v>2026-10-02、2026-10-03、2026-10-04、2026-10-05、2026-10-08、2026-10-09、2026-10-10、2026-10-11、2026-10-12、2026-10-13、2026-10-14、2026-10-15、2026-10-16、2026-10-17</v>
      </c>
      <c r="AE263" s="8" t="str">
        <v>2026-10-06 大促；2026-10-07 大促</v>
      </c>
      <c r="AF263" s="8" t="n">
        <v>12</v>
      </c>
      <c r="AG263" s="8" t="n">
        <v>1</v>
      </c>
      <c r="AH263" s="8" t="n">
        <v>14</v>
      </c>
      <c r="AI263" s="8" t="str">
        <v>2026-09-16 至 2026-10-17</v>
      </c>
      <c r="AJ2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3" s="8" t="str">
        <v>2026-10-06 大促；2026-10-07 大促</v>
      </c>
      <c r="AL263" s="8" t="n">
        <v>21</v>
      </c>
      <c r="AM263" s="8" t="n">
        <v>1</v>
      </c>
      <c r="AN263" s="8" t="n">
        <v>30</v>
      </c>
      <c r="AO263" s="8" t="str">
        <v>B06b / 裸色PU / 13120</v>
      </c>
      <c r="AP263" s="11" t="n">
        <v>1.1090677182221615</v>
      </c>
      <c r="AQ263" s="11" t="n">
        <v>1.1090677182221615</v>
      </c>
      <c r="AR263" s="11" t="n">
        <v>0.9505188216044452</v>
      </c>
      <c r="AS263" s="11" t="n">
        <f>IF(AND(COUNT(I263:K263,AP263:AR263)=6,MIN(AP263:AR263)&gt;0),I263/7/AP263*0.5+J263/14/AQ263*0.3+K263/30/AR263*0.2,"")</f>
        <v>0.6748287724405927</v>
      </c>
      <c r="AT263" s="8" t="n">
        <v>41</v>
      </c>
      <c r="AU263" s="8" t="n">
        <v>1</v>
      </c>
      <c r="AV263" s="8" t="n">
        <v>88</v>
      </c>
      <c r="AW263" s="11" t="n">
        <f>IF(AND(COUNT(AT263:AV263)=3,AT263&gt;=AU263,AU263&gt;=0,AV263&gt;0),(AT263-AU263)/AV263,"")</f>
        <v>0.45454545454545453</v>
      </c>
      <c r="AX263" s="8" t="n">
        <v>42</v>
      </c>
      <c r="AY263" s="8" t="n">
        <v>1</v>
      </c>
      <c r="AZ263" s="8" t="n">
        <v>178</v>
      </c>
      <c r="BA263" s="11" t="n">
        <f>IF(AND(COUNT(AX263:AZ263)=3,AX263&gt;=AY263,AY263&gt;=0,AZ263&gt;0),(AX263-AY263)/AZ263,"")</f>
        <v>0.2303370786516854</v>
      </c>
      <c r="BB263" s="8" t="n">
        <f>IF(COUNT(AS263,AW263,BA263)=3,1,0)</f>
        <v>1</v>
      </c>
      <c r="BC263" s="11" t="n">
        <f>IF(SUMIF($AO$11:$AO$1309,AO263,$BB$11:$BB$1309)=COUNTIF($AO$11:$AO$1309,AO263),SUMIF($AO$11:$AO$1309,AO263,$AS$11:$AS$1309),"")</f>
        <v>0.949812540451568</v>
      </c>
      <c r="BD263" s="11" t="n">
        <f>IF(SUMIF($AO$11:$AO$1309,AO263,$BB$11:$BB$1309)=COUNTIF($AO$11:$AO$1309,AO263),SUMIF($AO$11:$AO$1309,AO263,$AW$11:$AW$1309),"")</f>
        <v>0.9247833302600036</v>
      </c>
      <c r="BE263" s="11" t="n">
        <f>IF(SUMIF($AO$11:$AO$1309,AO263,$BB$11:$BB$1309)=COUNTIF($AO$11:$AO$1309,AO263),SUMIF($AO$11:$AO$1309,AO263,$BA$11:$BA$1309),"")</f>
        <v>0.8251835931477904</v>
      </c>
      <c r="BF263" s="12" t="n">
        <f>IF(COUNT(BD263:BE263)&lt;&gt;2,"",IF(AND(BD263&gt;0,BE263&gt;0),0.7*AW263/BD263+0.3*BA263/BE263,IF(BD263&gt;0,AW263/BD263,IF(BE263&gt;0,BA263/BE263,IF(AND(ISNUMBER(BH263),BH263=0),0,"")))))</f>
        <v>0.42780123833675177</v>
      </c>
      <c r="BG263" s="11" t="n">
        <f>IF(AND(COUNT(BN263:BU263)=8,MIN(BN263:BU263)&gt;=0),SUMPRODUCT(BN263:BQ263,BR263:BU263),"")</f>
        <v>94.47778160343367</v>
      </c>
      <c r="BH263" s="11" t="n">
        <f>IF(COUNT(BC263,BG263)=2,BC263*BG263,"")</f>
        <v>89.73618176098576</v>
      </c>
      <c r="BI263" s="11" t="n">
        <f>IF(ISNUMBER(CI263),CI263,"")</f>
        <v>38.38924968096154</v>
      </c>
      <c r="BJ263" s="8" t="str"/>
      <c r="BK263" s="8" t="str">
        <v>90天：2026-07-20 至 2026-10-17；180天：2026-04-21 至 2026-10-17</v>
      </c>
      <c r="BL263" s="8" t="str">
        <v>90天：2026-10-06、2026-10-07；180天：2026-10-06、2026-10-07</v>
      </c>
      <c r="BM263" s="8" t="str">
        <v>2026-10：12天 × 1.1090677182221615；2026-11：30天 × 1.0372741535934282；2026-12：31天 × 0.979949351738161；2027-01：17天 × 1.1571949690048173</v>
      </c>
      <c r="BN263" s="11" t="n">
        <v>1.1090677182221615</v>
      </c>
      <c r="BO263" s="11" t="n">
        <v>1.0372741535934282</v>
      </c>
      <c r="BP263" s="11" t="n">
        <v>0.979949351738161</v>
      </c>
      <c r="BQ263" s="11" t="n">
        <v>1.1571949690048173</v>
      </c>
      <c r="BR263" s="8" t="n">
        <v>12</v>
      </c>
      <c r="BS263" s="8" t="n">
        <v>30</v>
      </c>
      <c r="BT263" s="8" t="n">
        <v>31</v>
      </c>
      <c r="BU263" s="8" t="n">
        <v>17</v>
      </c>
      <c r="BV263" s="11" t="n">
        <f>IF(COUNT(BC263,BF263)=2,BC263*BF263,"")</f>
        <v>0.40633098099295695</v>
      </c>
      <c r="BW263" s="11" t="n">
        <f>IF(ISNUMBER(BN263),BN263,"")</f>
        <v>1.1090677182221615</v>
      </c>
      <c r="BX263" s="14" t="n">
        <f>IF(ISNUMBER(BR263),BR263,"")</f>
        <v>12</v>
      </c>
      <c r="BY263" s="13" t="n">
        <f>IF(AND(COUNT(BV263,BW263,BX263)=3,MIN(BV263,BW263,BX263)&gt;=0),BV263*BW263*BX263,"")</f>
        <v>5.407782887193975</v>
      </c>
      <c r="BZ263" s="11" t="n">
        <f>IF(ISNUMBER(BO263),BO263,"")</f>
        <v>1.0372741535934282</v>
      </c>
      <c r="CA263" s="14" t="n">
        <f>IF(ISNUMBER(BS263),BS263,"")</f>
        <v>30</v>
      </c>
      <c r="CB263" s="13" t="n">
        <f>IF(AND(COUNT(BV263,BZ263,CA263)=3,MIN(BV263,BZ263,CA263)&gt;=0),BV263*BZ263*CA263,"")</f>
        <v>12.644298731647703</v>
      </c>
      <c r="CC263" s="11" t="n">
        <f>IF(ISNUMBER(BP263),BP263,"")</f>
        <v>0.979949351738161</v>
      </c>
      <c r="CD263" s="14" t="n">
        <f>IF(ISNUMBER(BT263),BT263,"")</f>
        <v>31</v>
      </c>
      <c r="CE263" s="13" t="n">
        <f>IF(AND(COUNT(BV263,CC263,CD263)=3,MIN(BV263,CC263,CD263)&gt;=0),BV263*CC263*CD263,"")</f>
        <v>12.343697223870555</v>
      </c>
      <c r="CF263" s="11" t="n">
        <f>IF(ISNUMBER(BQ263),BQ263,"")</f>
        <v>1.1571949690048173</v>
      </c>
      <c r="CG263" s="14" t="n">
        <f>IF(ISNUMBER(BU263),BU263,"")</f>
        <v>17</v>
      </c>
      <c r="CH263" s="13" t="n">
        <f>IF(AND(COUNT(BV263,CF263,CG263)=3,MIN(BV263,CF263,CG263)&gt;=0),BV263*CF263*CG263,"")</f>
        <v>7.993470838249311</v>
      </c>
      <c r="CI263" s="13" t="n">
        <f>IF(COUNT(BY263,CB263,CE263,CH263)=4,SUM(BY263,CB263,CE263,CH263),"")</f>
        <v>38.38924968096154</v>
      </c>
    </row>
    <row r="264" ht="72" customHeight="1">
      <c r="A264" s="16" t="str">
        <v>230918-BW-S-Z-10</v>
      </c>
      <c r="B264" s="16" t="str">
        <v>1店-MUSSHOE-US</v>
      </c>
      <c r="C264" s="16" t="str">
        <v>艾年</v>
      </c>
      <c r="D264" s="26" t="n">
        <f>IF(NOT(ISNUMBER(E264)),"",IF(OR(E264&lt;=0,L264=0),0,IF(OR(NOT(ISNUMBER(F264)),F264&lt;0),"",MIN(E264,INT(F264)))))</f>
        <v>0</v>
      </c>
      <c r="E264" s="27" t="n">
        <f>IF(OR(NOT(ISNUMBER(L264)),COUNT(M264:O264)&lt;&gt;3,MIN(M264:O264)&lt;0),"",ROUNDUP(ROUND(BI264-SUM(M264:O264),10),0))</f>
        <v>22</v>
      </c>
      <c r="F264" s="28" t="n">
        <v>0</v>
      </c>
      <c r="G264" s="28" t="n">
        <f>IF(AND(ISNUMBER(D264),ISNUMBER(E264)),IF(OR(E264&lt;=0,L264=0),0,E264-D264),"")</f>
        <v>22</v>
      </c>
      <c r="H264" s="16" t="str">
        <f>IF(NOT(ISNUMBER(E264)),"销量或海外库存待补",IF(OR(E264&lt;=0,L264=0),IF(L264=0,"零日销，本批不发","本批无需补货"),IF(NOT(ISNUMBER(D264)),"国内库存待补",IF(D264=0,"国内无可用库存",IF(G264&gt;0,"先发国内现货","按建议量发货")))))</f>
        <v>国内无可用库存</v>
      </c>
      <c r="I264" s="28" t="n">
        <f>IF(AND(COUNT(Z264,AA264,AB264)=3,Z264&gt;=AA264,AA264&gt;=0,AB264=7),Z264-AA264,"")</f>
        <v>2</v>
      </c>
      <c r="J264" s="28" t="n">
        <f>IF(AND(COUNT(AF264,AG264,AH264)=3,AF264&gt;=AG264,AG264&gt;=0,AH264=14),AF264-AG264,"")</f>
        <v>4</v>
      </c>
      <c r="K264" s="28" t="n">
        <f>IF(AND(COUNT(AL264,AM264,AN264)=3,AL264&gt;=AM264,AM264&gt;=0,AN264=30),AL264-AM264,"")</f>
        <v>8</v>
      </c>
      <c r="L264" s="29" t="n">
        <f>IF(ISNUMBER(BI264),BI264/90,"")</f>
        <v>0.26537820899484504</v>
      </c>
      <c r="M264" s="28" t="n">
        <v>2</v>
      </c>
      <c r="N264" s="28" t="n">
        <v>0</v>
      </c>
      <c r="O264" s="28" t="n">
        <v>0</v>
      </c>
      <c r="P264" s="30" t="n">
        <f>IF(AND(ISNUMBER(L264),L264&gt;0,COUNT(M264:O264)=3,MIN(M264:O264)&gt;=0),SUM(M264:O264)/L264,"")</f>
        <v>7.536413813233813</v>
      </c>
      <c r="Q264" s="16" t="str">
        <v>沿用原计划SKU店铺</v>
      </c>
      <c r="R264" s="16" t="str">
        <v>已匹配</v>
      </c>
      <c r="S264" s="16" t="str">
        <v>在售</v>
      </c>
      <c r="T264" s="16" t="str">
        <v>230918</v>
      </c>
      <c r="U264" s="16" t="str">
        <v>米白色PU</v>
      </c>
      <c r="V264" s="16" t="n">
        <v>10</v>
      </c>
      <c r="W264" s="8" t="str">
        <v>2026-10-11 至 2026-10-17</v>
      </c>
      <c r="X264" s="8" t="str">
        <v>2026-10-11、2026-10-12、2026-10-13、2026-10-14、2026-10-15、2026-10-16、2026-10-17</v>
      </c>
      <c r="Y264" s="8" t="str">
        <v>无</v>
      </c>
      <c r="Z264" s="8" t="n">
        <v>2</v>
      </c>
      <c r="AA264" s="8" t="n">
        <v>0</v>
      </c>
      <c r="AB264" s="8" t="n">
        <v>7</v>
      </c>
      <c r="AC264" s="8" t="str">
        <v>2026-10-02 至 2026-10-17</v>
      </c>
      <c r="AD264" s="8" t="str">
        <v>2026-10-02、2026-10-03、2026-10-04、2026-10-05、2026-10-08、2026-10-09、2026-10-10、2026-10-11、2026-10-12、2026-10-13、2026-10-14、2026-10-15、2026-10-16、2026-10-17</v>
      </c>
      <c r="AE264" s="8" t="str">
        <v>2026-10-06 大促；2026-10-07 大促</v>
      </c>
      <c r="AF264" s="8" t="n">
        <v>6</v>
      </c>
      <c r="AG264" s="8" t="n">
        <v>2</v>
      </c>
      <c r="AH264" s="8" t="n">
        <v>14</v>
      </c>
      <c r="AI264" s="8" t="str">
        <v>2026-09-16 至 2026-10-17</v>
      </c>
      <c r="AJ2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4" s="8" t="str">
        <v>2026-10-06 大促；2026-10-07 大促</v>
      </c>
      <c r="AL264" s="8" t="n">
        <v>10</v>
      </c>
      <c r="AM264" s="8" t="n">
        <v>2</v>
      </c>
      <c r="AN264" s="8" t="n">
        <v>30</v>
      </c>
      <c r="AO264" s="8" t="str">
        <v>230918 / 米白色PU / 13120</v>
      </c>
      <c r="AP264" s="11" t="n">
        <v>1.6747911769553039</v>
      </c>
      <c r="AQ264" s="11" t="n">
        <v>1.6747911769553039</v>
      </c>
      <c r="AR264" s="11" t="n">
        <v>1.7386907395039133</v>
      </c>
      <c r="AS264" s="11" t="n">
        <f>IF(AND(COUNT(I264:K264,AP264:AR264)=6,MIN(AP264:AR264)&gt;0),I264/7/AP264*0.5+J264/14/AQ264*0.3+K264/30/AR264*0.2,"")</f>
        <v>0.16715199101509373</v>
      </c>
      <c r="AT264" s="8" t="n">
        <v>32</v>
      </c>
      <c r="AU264" s="8" t="n">
        <v>2</v>
      </c>
      <c r="AV264" s="8" t="n">
        <v>88</v>
      </c>
      <c r="AW264" s="11" t="n">
        <f>IF(AND(COUNT(AT264:AV264)=3,AT264&gt;=AU264,AU264&gt;=0,AV264&gt;0),(AT264-AU264)/AV264,"")</f>
        <v>0.3409090909090909</v>
      </c>
      <c r="AX264" s="8" t="n">
        <v>54</v>
      </c>
      <c r="AY264" s="8" t="n">
        <v>2</v>
      </c>
      <c r="AZ264" s="8" t="n">
        <v>178</v>
      </c>
      <c r="BA264" s="11" t="n">
        <f>IF(AND(COUNT(AX264:AZ264)=3,AX264&gt;=AY264,AY264&gt;=0,AZ264&gt;0),(AX264-AY264)/AZ264,"")</f>
        <v>0.29213483146067415</v>
      </c>
      <c r="BB264" s="8" t="n">
        <f>IF(COUNT(AS264,AW264,BA264)=3,1,0)</f>
        <v>1</v>
      </c>
      <c r="BC264" s="11" t="n">
        <f>IF(SUMIF($AO$11:$AO$1309,AO264,$BB$11:$BB$1309)=COUNTIF($AO$11:$AO$1309,AO264),SUMIF($AO$11:$AO$1309,AO264,$AS$11:$AS$1309),"")</f>
        <v>2.0540299204395773</v>
      </c>
      <c r="BD264" s="11" t="n">
        <f>IF(SUMIF($AO$11:$AO$1309,AO264,$BB$11:$BB$1309)=COUNTIF($AO$11:$AO$1309,AO264),SUMIF($AO$11:$AO$1309,AO264,$AW$11:$AW$1309),"")</f>
        <v>3.090909090909091</v>
      </c>
      <c r="BE264" s="11" t="n">
        <f>IF(SUMIF($AO$11:$AO$1309,AO264,$BB$11:$BB$1309)=COUNTIF($AO$11:$AO$1309,AO264),SUMIF($AO$11:$AO$1309,AO264,$BA$11:$BA$1309),"")</f>
        <v>3.275280898876405</v>
      </c>
      <c r="BF264" s="12" t="n">
        <f>IF(COUNT(BD264:BE264)&lt;&gt;2,"",IF(AND(BD264&gt;0,BE264&gt;0),0.7*AW264/BD264+0.3*BA264/BE264,IF(BD264&gt;0,AW264/BD264,IF(BE264&gt;0,BA264/BE264,IF(AND(ISNUMBER(BH264),BH264=0),0,"")))))</f>
        <v>0.10396402986580566</v>
      </c>
      <c r="BG264" s="11" t="n">
        <f>IF(AND(COUNT(BN264:BU264)=8,MIN(BN264:BU264)&gt;=0),SUMPRODUCT(BN264:BQ264,BR264:BU264),"")</f>
        <v>111.84534083910866</v>
      </c>
      <c r="BH264" s="11" t="n">
        <f>IF(COUNT(BC264,BG264)=2,BC264*BG264,"")</f>
        <v>229.73367654529176</v>
      </c>
      <c r="BI264" s="11" t="n">
        <f>IF(ISNUMBER(CI264),CI264,"")</f>
        <v>23.884038809536055</v>
      </c>
      <c r="BJ264" s="8" t="str"/>
      <c r="BK264" s="8" t="str">
        <v>90天：2026-07-20 至 2026-10-17；180天：2026-04-21 至 2026-10-17</v>
      </c>
      <c r="BL264" s="8" t="str">
        <v>90天：2026-10-06、2026-10-07；180天：2026-10-06、2026-10-07</v>
      </c>
      <c r="BM264" s="8" t="str">
        <v>2026-10：12天 × 1.6747911769553037；2026-11：30天 × 1.5065205700457112；2026-12：31天 × 1.1492423388181006；2027-01：17天 × 0.6426892418183868</v>
      </c>
      <c r="BN264" s="11" t="n">
        <v>1.6747911769553037</v>
      </c>
      <c r="BO264" s="11" t="n">
        <v>1.5065205700457112</v>
      </c>
      <c r="BP264" s="11" t="n">
        <v>1.1492423388181006</v>
      </c>
      <c r="BQ264" s="11" t="n">
        <v>0.6426892418183868</v>
      </c>
      <c r="BR264" s="8" t="n">
        <v>12</v>
      </c>
      <c r="BS264" s="8" t="n">
        <v>30</v>
      </c>
      <c r="BT264" s="8" t="n">
        <v>31</v>
      </c>
      <c r="BU264" s="8" t="n">
        <v>17</v>
      </c>
      <c r="BV264" s="11" t="n">
        <f>IF(COUNT(BC264,BF264)=2,BC264*BF264,"")</f>
        <v>0.21354522799383865</v>
      </c>
      <c r="BW264" s="11" t="n">
        <f>IF(ISNUMBER(BN264),BN264,"")</f>
        <v>1.6747911769553037</v>
      </c>
      <c r="BX264" s="14" t="n">
        <f>IF(ISNUMBER(BR264),BR264,"")</f>
        <v>12</v>
      </c>
      <c r="BY264" s="13" t="n">
        <f>IF(AND(COUNT(BV264,BW264,BX264)=3,MIN(BV264,BW264,BX264)&gt;=0),BV264*BW264*BX264,"")</f>
        <v>4.291723964699877</v>
      </c>
      <c r="BZ264" s="11" t="n">
        <f>IF(ISNUMBER(BO264),BO264,"")</f>
        <v>1.5065205700457112</v>
      </c>
      <c r="CA264" s="14" t="n">
        <f>IF(ISNUMBER(BS264),BS264,"")</f>
        <v>30</v>
      </c>
      <c r="CB264" s="13" t="n">
        <f>IF(AND(COUNT(BV264,BZ264,CA264)=3,MIN(BV264,BZ264,CA264)&gt;=0),BV264*BZ264*CA264,"")</f>
        <v>9.651308358234575</v>
      </c>
      <c r="CC264" s="11" t="n">
        <f>IF(ISNUMBER(BP264),BP264,"")</f>
        <v>1.1492423388181006</v>
      </c>
      <c r="CD264" s="14" t="n">
        <f>IF(ISNUMBER(BT264),BT264,"")</f>
        <v>31</v>
      </c>
      <c r="CE264" s="13" t="n">
        <f>IF(AND(COUNT(BV264,CC264,CD264)=3,MIN(BV264,CC264,CD264)&gt;=0),BV264*CC264*CD264,"")</f>
        <v>7.607871735155594</v>
      </c>
      <c r="CF264" s="11" t="n">
        <f>IF(ISNUMBER(BQ264),BQ264,"")</f>
        <v>0.6426892418183868</v>
      </c>
      <c r="CG264" s="14" t="n">
        <f>IF(ISNUMBER(BU264),BU264,"")</f>
        <v>17</v>
      </c>
      <c r="CH264" s="13" t="n">
        <f>IF(AND(COUNT(BV264,CF264,CG264)=3,MIN(BV264,CF264,CG264)&gt;=0),BV264*CF264*CG264,"")</f>
        <v>2.33313475144601</v>
      </c>
      <c r="CI264" s="13" t="n">
        <f>IF(COUNT(BY264,CB264,CE264,CH264)=4,SUM(BY264,CB264,CE264,CH264),"")</f>
        <v>23.884038809536055</v>
      </c>
    </row>
    <row r="265" ht="72" customHeight="1">
      <c r="A265" s="16" t="str">
        <v>8392-ND-38</v>
      </c>
      <c r="B265" s="16" t="str">
        <v>3店-SANDIEX-US</v>
      </c>
      <c r="C265" s="16" t="str">
        <v>徐新怡</v>
      </c>
      <c r="D265" s="26" t="n">
        <f>IF(NOT(ISNUMBER(E265)),"",IF(OR(E265&lt;=0,L265=0),0,IF(OR(NOT(ISNUMBER(F265)),F265&lt;0),"",MIN(E265,INT(F265)))))</f>
        <v>0</v>
      </c>
      <c r="E265" s="27" t="n">
        <f>IF(OR(NOT(ISNUMBER(L265)),COUNT(M265:O265)&lt;&gt;3,MIN(M265:O265)&lt;0),"",ROUNDUP(ROUND(BI265-SUM(M265:O265),10),0))</f>
        <v>22</v>
      </c>
      <c r="F265" s="28" t="n">
        <v>0</v>
      </c>
      <c r="G265" s="28" t="n">
        <f>IF(AND(ISNUMBER(D265),ISNUMBER(E265)),IF(OR(E265&lt;=0,L265=0),0,E265-D265),"")</f>
        <v>22</v>
      </c>
      <c r="H265" s="16" t="str">
        <f>IF(NOT(ISNUMBER(E265)),"销量或海外库存待补",IF(OR(E265&lt;=0,L265=0),IF(L265=0,"零日销，本批不发","本批无需补货"),IF(NOT(ISNUMBER(D265)),"国内库存待补",IF(D265=0,"国内无可用库存",IF(G265&gt;0,"先发国内现货","按建议量发货")))))</f>
        <v>国内无可用库存</v>
      </c>
      <c r="I265" s="28" t="n">
        <f>IF(AND(COUNT(Z265,AA265,AB265)=3,Z265&gt;=AA265,AA265&gt;=0,AB265=7),Z265-AA265,"")</f>
        <v>4</v>
      </c>
      <c r="J265" s="28" t="n">
        <f>IF(AND(COUNT(AF265,AG265,AH265)=3,AF265&gt;=AG265,AG265&gt;=0,AH265=14),AF265-AG265,"")</f>
        <v>7</v>
      </c>
      <c r="K265" s="28" t="n">
        <f>IF(AND(COUNT(AL265,AM265,AN265)=3,AL265&gt;=AM265,AM265&gt;=0,AN265=30),AL265-AM265,"")</f>
        <v>13</v>
      </c>
      <c r="L265" s="29" t="n">
        <f>IF(ISNUMBER(BI265),BI265/90,"")</f>
        <v>0.4416675943667737</v>
      </c>
      <c r="M265" s="28" t="n">
        <v>18</v>
      </c>
      <c r="N265" s="28" t="n">
        <v>0</v>
      </c>
      <c r="O265" s="28" t="n">
        <v>0</v>
      </c>
      <c r="P265" s="30" t="n">
        <f>IF(AND(ISNUMBER(L265),L265&gt;0,COUNT(M265:O265)=3,MIN(M265:O265)&gt;=0),SUM(M265:O265)/L265,"")</f>
        <v>40.75463137794138</v>
      </c>
      <c r="Q265" s="16" t="str">
        <v>按本SKU唯一未删除Listing店铺核实</v>
      </c>
      <c r="R265" s="16" t="str">
        <v>已匹配</v>
      </c>
      <c r="S265" s="16" t="str">
        <v>在售</v>
      </c>
      <c r="T265" s="16" t="str">
        <v>8392</v>
      </c>
      <c r="U265" s="16" t="str">
        <v>裸色</v>
      </c>
      <c r="V265" s="16" t="n">
        <v>7</v>
      </c>
      <c r="W265" s="8" t="str">
        <v>2026-10-11 至 2026-10-17</v>
      </c>
      <c r="X265" s="8" t="str">
        <v>2026-10-11、2026-10-12、2026-10-13、2026-10-14、2026-10-15、2026-10-16、2026-10-17</v>
      </c>
      <c r="Y265" s="8" t="str">
        <v>无</v>
      </c>
      <c r="Z265" s="8" t="n">
        <v>4</v>
      </c>
      <c r="AA265" s="8" t="n">
        <v>0</v>
      </c>
      <c r="AB265" s="8" t="n">
        <v>7</v>
      </c>
      <c r="AC265" s="8" t="str">
        <v>2026-10-02 至 2026-10-17</v>
      </c>
      <c r="AD265" s="8" t="str">
        <v>2026-10-02、2026-10-03、2026-10-04、2026-10-05、2026-10-08、2026-10-09、2026-10-10、2026-10-11、2026-10-12、2026-10-13、2026-10-14、2026-10-15、2026-10-16、2026-10-17</v>
      </c>
      <c r="AE265" s="8" t="str">
        <v>2026-10-06 大促；2026-10-07 大促</v>
      </c>
      <c r="AF265" s="8" t="n">
        <v>8</v>
      </c>
      <c r="AG265" s="8" t="n">
        <v>1</v>
      </c>
      <c r="AH265" s="8" t="n">
        <v>14</v>
      </c>
      <c r="AI265" s="8" t="str">
        <v>2026-09-16 至 2026-10-17</v>
      </c>
      <c r="AJ2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5" s="8" t="str">
        <v>2026-10-06 大促；2026-10-07 大促</v>
      </c>
      <c r="AL265" s="8" t="n">
        <v>14</v>
      </c>
      <c r="AM265" s="8" t="n">
        <v>1</v>
      </c>
      <c r="AN265" s="8" t="n">
        <v>30</v>
      </c>
      <c r="AO265" s="8" t="str">
        <v>8392 / 裸色羊京绒 / 6574</v>
      </c>
      <c r="AP265" s="11" t="n">
        <v>1.1743420411079069</v>
      </c>
      <c r="AQ265" s="11" t="n">
        <v>1.1743420411079069</v>
      </c>
      <c r="AR265" s="11" t="n">
        <v>1.144331424468921</v>
      </c>
      <c r="AS265" s="11" t="n">
        <f>IF(AND(COUNT(I265:K265,AP265:AR265)=6,MIN(AP265:AR265)&gt;0),I265/7/AP265*0.5+J265/14/AQ265*0.3+K265/30/AR265*0.2,"")</f>
        <v>0.4467640662706466</v>
      </c>
      <c r="AT265" s="8" t="n">
        <v>20</v>
      </c>
      <c r="AU265" s="8" t="n">
        <v>1</v>
      </c>
      <c r="AV265" s="8" t="n">
        <v>88</v>
      </c>
      <c r="AW265" s="11" t="n">
        <f>IF(AND(COUNT(AT265:AV265)=3,AT265&gt;=AU265,AU265&gt;=0,AV265&gt;0),(AT265-AU265)/AV265,"")</f>
        <v>0.2159090909090909</v>
      </c>
      <c r="AX265" s="8" t="n">
        <v>39</v>
      </c>
      <c r="AY265" s="8" t="n">
        <v>1</v>
      </c>
      <c r="AZ265" s="8" t="n">
        <v>178</v>
      </c>
      <c r="BA265" s="11" t="n">
        <f>IF(AND(COUNT(AX265:AZ265)=3,AX265&gt;=AY265,AY265&gt;=0,AZ265&gt;0),(AX265-AY265)/AZ265,"")</f>
        <v>0.21348314606741572</v>
      </c>
      <c r="BB265" s="8" t="n">
        <f>IF(COUNT(AS265,AW265,BA265)=3,1,0)</f>
        <v>1</v>
      </c>
      <c r="BC265" s="11" t="n">
        <f>IF(SUMIF($AO$11:$AO$1309,AO265,$BB$11:$BB$1309)=COUNTIF($AO$11:$AO$1309,AO265),SUMIF($AO$11:$AO$1309,AO265,$AS$11:$AS$1309),"")</f>
        <v>2.532116178578144</v>
      </c>
      <c r="BD265" s="11" t="n">
        <f>IF(SUMIF($AO$11:$AO$1309,AO265,$BB$11:$BB$1309)=COUNTIF($AO$11:$AO$1309,AO265),SUMIF($AO$11:$AO$1309,AO265,$AW$11:$AW$1309),"")</f>
        <v>1.3068181818181819</v>
      </c>
      <c r="BE265" s="11" t="n">
        <f>IF(SUMIF($AO$11:$AO$1309,AO265,$BB$11:$BB$1309)=COUNTIF($AO$11:$AO$1309,AO265),SUMIF($AO$11:$AO$1309,AO265,$BA$11:$BA$1309),"")</f>
        <v>1.3707865168539328</v>
      </c>
      <c r="BF265" s="12" t="n">
        <f>IF(COUNT(BD265:BE265)&lt;&gt;2,"",IF(AND(BD265&gt;0,BE265&gt;0),0.7*AW265/BD265+0.3*BA265/BE265,IF(BD265&gt;0,AW265/BD265,IF(BE265&gt;0,BA265/BE265,IF(AND(ISNUMBER(BH265),BH265=0),0,"")))))</f>
        <v>0.16237348538845328</v>
      </c>
      <c r="BG265" s="11" t="n">
        <f>IF(AND(COUNT(BN265:BU265)=8,MIN(BN265:BU265)&gt;=0),SUMPRODUCT(BN265:BQ265,BR265:BU265),"")</f>
        <v>96.68059267618935</v>
      </c>
      <c r="BH265" s="11" t="n">
        <f>IF(COUNT(BC265,BG265)=2,BC265*BG265,"")</f>
        <v>244.80649286990268</v>
      </c>
      <c r="BI265" s="11" t="n">
        <f>IF(ISNUMBER(CI265),CI265,"")</f>
        <v>39.75008349300963</v>
      </c>
      <c r="BJ265" s="8" t="str"/>
      <c r="BK265" s="8" t="str">
        <v>90天：2026-07-20 至 2026-10-17；180天：2026-04-21 至 2026-10-17</v>
      </c>
      <c r="BL265" s="8" t="str">
        <v>90天：2026-10-06、2026-10-07；180天：2026-10-06、2026-10-07</v>
      </c>
      <c r="BM265" s="8" t="str">
        <v>2026-10：12天 × 1.1743420411079069；2026-11：30天 × 1.281694931279211；2026-12：31天 × 0.9007634642750235；2027-01：17天 × 0.9537631089407297</v>
      </c>
      <c r="BN265" s="11" t="n">
        <v>1.1743420411079069</v>
      </c>
      <c r="BO265" s="11" t="n">
        <v>1.281694931279211</v>
      </c>
      <c r="BP265" s="11" t="n">
        <v>0.9007634642750235</v>
      </c>
      <c r="BQ265" s="11" t="n">
        <v>0.9537631089407297</v>
      </c>
      <c r="BR265" s="8" t="n">
        <v>12</v>
      </c>
      <c r="BS265" s="8" t="n">
        <v>30</v>
      </c>
      <c r="BT265" s="8" t="n">
        <v>31</v>
      </c>
      <c r="BU265" s="8" t="n">
        <v>17</v>
      </c>
      <c r="BV265" s="11" t="n">
        <f>IF(COUNT(BC265,BF265)=2,BC265*BF265,"")</f>
        <v>0.41114852932422447</v>
      </c>
      <c r="BW265" s="11" t="n">
        <f>IF(ISNUMBER(BN265),BN265,"")</f>
        <v>1.1743420411079069</v>
      </c>
      <c r="BX265" s="14" t="n">
        <f>IF(ISNUMBER(BR265),BR265,"")</f>
        <v>12</v>
      </c>
      <c r="BY265" s="13" t="n">
        <f>IF(AND(COUNT(BV265,BW265,BX265)=3,MIN(BV265,BW265,BX265)&gt;=0),BV265*BW265*BX265,"")</f>
        <v>5.793948037501486</v>
      </c>
      <c r="BZ265" s="11" t="n">
        <f>IF(ISNUMBER(BO265),BO265,"")</f>
        <v>1.281694931279211</v>
      </c>
      <c r="CA265" s="14" t="n">
        <f>IF(ISNUMBER(BS265),BS265,"")</f>
        <v>30</v>
      </c>
      <c r="CB265" s="13" t="n">
        <f>IF(AND(COUNT(BV265,BZ265,CA265)=3,MIN(BV265,BZ265,CA265)&gt;=0),BV265*BZ265*CA265,"")</f>
        <v>15.809009581132814</v>
      </c>
      <c r="CC265" s="11" t="n">
        <f>IF(ISNUMBER(BP265),BP265,"")</f>
        <v>0.9007634642750235</v>
      </c>
      <c r="CD265" s="14" t="n">
        <f>IF(ISNUMBER(BT265),BT265,"")</f>
        <v>31</v>
      </c>
      <c r="CE265" s="13" t="n">
        <f>IF(AND(COUNT(BV265,CC265,CD265)=3,MIN(BV265,CC265,CD265)&gt;=0),BV265*CC265*CD265,"")</f>
        <v>11.480774781775754</v>
      </c>
      <c r="CF265" s="11" t="n">
        <f>IF(ISNUMBER(BQ265),BQ265,"")</f>
        <v>0.9537631089407297</v>
      </c>
      <c r="CG265" s="14" t="n">
        <f>IF(ISNUMBER(BU265),BU265,"")</f>
        <v>17</v>
      </c>
      <c r="CH265" s="13" t="n">
        <f>IF(AND(COUNT(BV265,CF265,CG265)=3,MIN(BV265,CF265,CG265)&gt;=0),BV265*CF265*CG265,"")</f>
        <v>6.666351092599578</v>
      </c>
      <c r="CI265" s="13" t="n">
        <f>IF(COUNT(BY265,CB265,CE265,CH265)=4,SUM(BY265,CB265,CE265,CH265),"")</f>
        <v>39.75008349300963</v>
      </c>
    </row>
    <row r="266" ht="72" customHeight="1">
      <c r="A266" s="16" t="str">
        <v>S02-TN1-41</v>
      </c>
      <c r="B266" s="16" t="str">
        <v>3店-SANDIEX-US</v>
      </c>
      <c r="C266" s="16" t="str">
        <v>陈晨</v>
      </c>
      <c r="D266" s="26" t="n">
        <f>IF(NOT(ISNUMBER(E266)),"",IF(OR(E266&lt;=0,L266=0),0,IF(OR(NOT(ISNUMBER(F266)),F266&lt;0),"",MIN(E266,INT(F266)))))</f>
        <v>0</v>
      </c>
      <c r="E266" s="27" t="n">
        <f>IF(OR(NOT(ISNUMBER(L266)),COUNT(M266:O266)&lt;&gt;3,MIN(M266:O266)&lt;0),"",ROUNDUP(ROUND(BI266-SUM(M266:O266),10),0))</f>
        <v>21</v>
      </c>
      <c r="F266" s="28" t="n">
        <v>0</v>
      </c>
      <c r="G266" s="28" t="n">
        <f>IF(AND(ISNUMBER(D266),ISNUMBER(E266)),IF(OR(E266&lt;=0,L266=0),0,E266-D266),"")</f>
        <v>21</v>
      </c>
      <c r="H266" s="16" t="str">
        <f>IF(NOT(ISNUMBER(E266)),"销量或海外库存待补",IF(OR(E266&lt;=0,L266=0),IF(L266=0,"零日销，本批不发","本批无需补货"),IF(NOT(ISNUMBER(D266)),"国内库存待补",IF(D266=0,"国内无可用库存",IF(G266&gt;0,"先发国内现货","按建议量发货")))))</f>
        <v>国内无可用库存</v>
      </c>
      <c r="I266" s="28" t="n">
        <f>IF(AND(COUNT(Z266,AA266,AB266)=3,Z266&gt;=AA266,AA266&gt;=0,AB266=7),Z266-AA266,"")</f>
        <v>4</v>
      </c>
      <c r="J266" s="28" t="n">
        <f>IF(AND(COUNT(AF266,AG266,AH266)=3,AF266&gt;=AG266,AG266&gt;=0,AH266=14),AF266-AG266,"")</f>
        <v>7</v>
      </c>
      <c r="K266" s="28" t="n">
        <f>IF(AND(COUNT(AL266,AM266,AN266)=3,AL266&gt;=AM266,AM266&gt;=0,AN266=30),AL266-AM266,"")</f>
        <v>8</v>
      </c>
      <c r="L266" s="29" t="n">
        <f>IF(ISNUMBER(BI266),BI266/90,"")</f>
        <v>0.276131381254495</v>
      </c>
      <c r="M266" s="28" t="n">
        <v>4</v>
      </c>
      <c r="N266" s="28" t="n">
        <v>0</v>
      </c>
      <c r="O266" s="28" t="n">
        <v>0</v>
      </c>
      <c r="P266" s="30" t="n">
        <f>IF(AND(ISNUMBER(L266),L266&gt;0,COUNT(M266:O266)=3,MIN(M266:O266)&gt;=0),SUM(M266:O266)/L266,"")</f>
        <v>14.485858078960687</v>
      </c>
      <c r="Q266" s="16" t="str">
        <v>沿用原计划SKU店铺</v>
      </c>
      <c r="R266" s="16" t="str">
        <v>已匹配</v>
      </c>
      <c r="S266" s="16" t="str">
        <v>在售</v>
      </c>
      <c r="T266" s="16" t="str">
        <v>S02</v>
      </c>
      <c r="U266" s="16" t="str">
        <v>驼色</v>
      </c>
      <c r="V266" s="16" t="n">
        <v>9.5</v>
      </c>
      <c r="W266" s="8" t="str">
        <v>2026-10-11 至 2026-10-17</v>
      </c>
      <c r="X266" s="8" t="str">
        <v>2026-10-11、2026-10-12、2026-10-13、2026-10-14、2026-10-15、2026-10-16、2026-10-17</v>
      </c>
      <c r="Y266" s="8" t="str">
        <v>无</v>
      </c>
      <c r="Z266" s="8" t="n">
        <v>4</v>
      </c>
      <c r="AA266" s="8" t="n">
        <v>0</v>
      </c>
      <c r="AB266" s="8" t="n">
        <v>7</v>
      </c>
      <c r="AC266" s="8" t="str">
        <v>2026-10-02 至 2026-10-17</v>
      </c>
      <c r="AD266" s="8" t="str">
        <v>2026-10-02、2026-10-03、2026-10-04、2026-10-05、2026-10-08、2026-10-09、2026-10-10、2026-10-11、2026-10-12、2026-10-13、2026-10-14、2026-10-15、2026-10-16、2026-10-17</v>
      </c>
      <c r="AE266" s="8" t="str">
        <v>2026-10-06 大促；2026-10-07 大促</v>
      </c>
      <c r="AF266" s="8" t="n">
        <v>8</v>
      </c>
      <c r="AG266" s="8" t="n">
        <v>1</v>
      </c>
      <c r="AH266" s="8" t="n">
        <v>14</v>
      </c>
      <c r="AI266" s="8" t="str">
        <v>2026-09-16 至 2026-10-17</v>
      </c>
      <c r="AJ2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6" s="8" t="str">
        <v>2026-10-06 大促；2026-10-07 大促</v>
      </c>
      <c r="AL266" s="8" t="n">
        <v>9</v>
      </c>
      <c r="AM266" s="8" t="n">
        <v>1</v>
      </c>
      <c r="AN266" s="8" t="n">
        <v>30</v>
      </c>
      <c r="AO266" s="8" t="str">
        <v>S02 / 驼色 / 6574</v>
      </c>
      <c r="AP266" s="11" t="n">
        <v>0.9634503791704667</v>
      </c>
      <c r="AQ266" s="11" t="n">
        <v>0.9634503791704667</v>
      </c>
      <c r="AR266" s="11" t="n">
        <v>0.902244307144596</v>
      </c>
      <c r="AS266" s="11" t="n">
        <f>IF(AND(COUNT(I266:K266,AP266:AR266)=6,MIN(AP266:AR266)&gt;0),I266/7/AP266*0.5+J266/14/AQ266*0.3+K266/30/AR266*0.2,"")</f>
        <v>0.5113554720240202</v>
      </c>
      <c r="AT266" s="8" t="n">
        <v>16</v>
      </c>
      <c r="AU266" s="8" t="n">
        <v>1</v>
      </c>
      <c r="AV266" s="8" t="n">
        <v>88</v>
      </c>
      <c r="AW266" s="11" t="n">
        <f>IF(AND(COUNT(AT266:AV266)=3,AT266&gt;=AU266,AU266&gt;=0,AV266&gt;0),(AT266-AU266)/AV266,"")</f>
        <v>0.17045454545454544</v>
      </c>
      <c r="AX266" s="8" t="n">
        <v>34</v>
      </c>
      <c r="AY266" s="8" t="n">
        <v>1</v>
      </c>
      <c r="AZ266" s="8" t="n">
        <v>178</v>
      </c>
      <c r="BA266" s="11" t="n">
        <f>IF(AND(COUNT(AX266:AZ266)=3,AX266&gt;=AY266,AY266&gt;=0,AZ266&gt;0),(AX266-AY266)/AZ266,"")</f>
        <v>0.1853932584269663</v>
      </c>
      <c r="BB266" s="8" t="n">
        <f>IF(COUNT(AS266,AW266,BA266)=3,1,0)</f>
        <v>1</v>
      </c>
      <c r="BC266" s="11" t="n">
        <f>IF(SUMIF($AO$11:$AO$1309,AO266,$BB$11:$BB$1309)=COUNTIF($AO$11:$AO$1309,AO266),SUMIF($AO$11:$AO$1309,AO266,$AS$11:$AS$1309),"")</f>
        <v>2.6523136246811423</v>
      </c>
      <c r="BD266" s="11" t="n">
        <f>IF(SUMIF($AO$11:$AO$1309,AO266,$BB$11:$BB$1309)=COUNTIF($AO$11:$AO$1309,AO266),SUMIF($AO$11:$AO$1309,AO266,$AW$11:$AW$1309),"")</f>
        <v>1.5697492163009403</v>
      </c>
      <c r="BE266" s="11" t="n">
        <f>IF(SUMIF($AO$11:$AO$1309,AO266,$BB$11:$BB$1309)=COUNTIF($AO$11:$AO$1309,AO266),SUMIF($AO$11:$AO$1309,AO266,$BA$11:$BA$1309),"")</f>
        <v>1.2987367485558305</v>
      </c>
      <c r="BF266" s="12" t="n">
        <f>IF(COUNT(BD266:BE266)&lt;&gt;2,"",IF(AND(BD266&gt;0,BE266&gt;0),0.7*AW266/BD266+0.3*BA266/BE266,IF(BD266&gt;0,AW266/BD266,IF(BE266&gt;0,BA266/BE266,IF(AND(ISNUMBER(BH266),BH266=0),0,"")))))</f>
        <v>0.11883565726243225</v>
      </c>
      <c r="BG266" s="11" t="n">
        <f>IF(AND(COUNT(BN266:BU266)=8,MIN(BN266:BU266)&gt;=0),SUMPRODUCT(BN266:BQ266,BR266:BU266),"")</f>
        <v>78.84726365280937</v>
      </c>
      <c r="BH266" s="11" t="n">
        <f>IF(COUNT(BC266,BG266)=2,BC266*BG266,"")</f>
        <v>209.12767165517252</v>
      </c>
      <c r="BI266" s="11" t="n">
        <f>IF(ISNUMBER(CI266),CI266,"")</f>
        <v>24.851824312904547</v>
      </c>
      <c r="BJ266" s="8" t="str"/>
      <c r="BK266" s="8" t="str">
        <v>90天：2026-07-20 至 2026-10-17；180天：2026-04-21 至 2026-10-17</v>
      </c>
      <c r="BL266" s="8" t="str">
        <v>90天：2026-10-06、2026-10-07；180天：2026-10-06、2026-10-07</v>
      </c>
      <c r="BM266" s="8" t="str">
        <v>2026-10：12天 × 0.9634503791704667；2026-11：30天 × 0.8585031562320637；2026-12：31天 × 0.7896606554092485；2027-01：17天 × 1.0030167116538329</v>
      </c>
      <c r="BN266" s="11" t="n">
        <v>0.9634503791704667</v>
      </c>
      <c r="BO266" s="11" t="n">
        <v>0.8585031562320637</v>
      </c>
      <c r="BP266" s="11" t="n">
        <v>0.7896606554092485</v>
      </c>
      <c r="BQ266" s="11" t="n">
        <v>1.0030167116538329</v>
      </c>
      <c r="BR266" s="8" t="n">
        <v>12</v>
      </c>
      <c r="BS266" s="8" t="n">
        <v>30</v>
      </c>
      <c r="BT266" s="8" t="n">
        <v>31</v>
      </c>
      <c r="BU266" s="8" t="n">
        <v>17</v>
      </c>
      <c r="BV266" s="11" t="n">
        <f>IF(COUNT(BC266,BF266)=2,BC266*BF266,"")</f>
        <v>0.3151894328550876</v>
      </c>
      <c r="BW266" s="11" t="n">
        <f>IF(ISNUMBER(BN266),BN266,"")</f>
        <v>0.9634503791704667</v>
      </c>
      <c r="BX266" s="14" t="n">
        <f>IF(ISNUMBER(BR266),BR266,"")</f>
        <v>12</v>
      </c>
      <c r="BY266" s="13" t="n">
        <f>IF(AND(COUNT(BV266,BW266,BX266)=3,MIN(BV266,BW266,BX266)&gt;=0),BV266*BW266*BX266,"")</f>
        <v>3.644032543137102</v>
      </c>
      <c r="BZ266" s="11" t="n">
        <f>IF(ISNUMBER(BO266),BO266,"")</f>
        <v>0.8585031562320637</v>
      </c>
      <c r="CA266" s="14" t="n">
        <f>IF(ISNUMBER(BS266),BS266,"")</f>
        <v>30</v>
      </c>
      <c r="CB266" s="13" t="n">
        <f>IF(AND(COUNT(BV266,BZ266,CA266)=3,MIN(BV266,BZ266,CA266)&gt;=0),BV266*BZ266*CA266,"")</f>
        <v>8.117733687512604</v>
      </c>
      <c r="CC266" s="11" t="n">
        <f>IF(ISNUMBER(BP266),BP266,"")</f>
        <v>0.7896606554092485</v>
      </c>
      <c r="CD266" s="14" t="n">
        <f>IF(ISNUMBER(BT266),BT266,"")</f>
        <v>31</v>
      </c>
      <c r="CE266" s="13" t="n">
        <f>IF(AND(COUNT(BV266,CC266,CD266)=3,MIN(BV266,CC266,CD266)&gt;=0),BV266*CC266*CD266,"")</f>
        <v>7.715673517918951</v>
      </c>
      <c r="CF266" s="11" t="n">
        <f>IF(ISNUMBER(BQ266),BQ266,"")</f>
        <v>1.0030167116538329</v>
      </c>
      <c r="CG266" s="14" t="n">
        <f>IF(ISNUMBER(BU266),BU266,"")</f>
        <v>17</v>
      </c>
      <c r="CH266" s="13" t="n">
        <f>IF(AND(COUNT(BV266,CF266,CG266)=3,MIN(BV266,CF266,CG266)&gt;=0),BV266*CF266*CG266,"")</f>
        <v>5.374384564335891</v>
      </c>
      <c r="CI266" s="13" t="n">
        <f>IF(COUNT(BY266,CB266,CE266,CH266)=4,SUM(BY266,CB266,CE266,CH266),"")</f>
        <v>24.851824312904547</v>
      </c>
    </row>
    <row r="267" ht="72" customHeight="1">
      <c r="A267" s="16" t="str">
        <v>32582-BK-37.5</v>
      </c>
      <c r="B267" s="16" t="str">
        <v>3店-SANDIEX-US</v>
      </c>
      <c r="C267" s="16" t="str">
        <v>徐新怡</v>
      </c>
      <c r="D267" s="26" t="n">
        <f>IF(NOT(ISNUMBER(E267)),"",IF(OR(E267&lt;=0,L267=0),0,IF(OR(NOT(ISNUMBER(F267)),F267&lt;0),"",MIN(E267,INT(F267)))))</f>
        <v>0</v>
      </c>
      <c r="E267" s="27" t="n">
        <f>IF(OR(NOT(ISNUMBER(L267)),COUNT(M267:O267)&lt;&gt;3,MIN(M267:O267)&lt;0),"",ROUNDUP(ROUND(BI267-SUM(M267:O267),10),0))</f>
        <v>20</v>
      </c>
      <c r="F267" s="28" t="n">
        <v>0</v>
      </c>
      <c r="G267" s="28" t="n">
        <f>IF(AND(ISNUMBER(D267),ISNUMBER(E267)),IF(OR(E267&lt;=0,L267=0),0,E267-D267),"")</f>
        <v>20</v>
      </c>
      <c r="H267" s="16" t="str">
        <f>IF(NOT(ISNUMBER(E267)),"销量或海外库存待补",IF(OR(E267&lt;=0,L267=0),IF(L267=0,"零日销，本批不发","本批无需补货"),IF(NOT(ISNUMBER(D267)),"国内库存待补",IF(D267=0,"国内无可用库存",IF(G267&gt;0,"先发国内现货","按建议量发货")))))</f>
        <v>国内无可用库存</v>
      </c>
      <c r="I267" s="28" t="n">
        <f>IF(AND(COUNT(Z267,AA267,AB267)=3,Z267&gt;=AA267,AA267&gt;=0,AB267=7),Z267-AA267,"")</f>
        <v>0</v>
      </c>
      <c r="J267" s="28" t="n">
        <f>IF(AND(COUNT(AF267,AG267,AH267)=3,AF267&gt;=AG267,AG267&gt;=0,AH267=14),AF267-AG267,"")</f>
        <v>0</v>
      </c>
      <c r="K267" s="28" t="n">
        <f>IF(AND(COUNT(AL267,AM267,AN267)=3,AL267&gt;=AM267,AM267&gt;=0,AN267=30),AL267-AM267,"")</f>
        <v>0</v>
      </c>
      <c r="L267" s="29" t="n">
        <f>IF(ISNUMBER(BI267),BI267/90,"")</f>
        <v>0.22109211407782706</v>
      </c>
      <c r="M267" s="28" t="n">
        <v>0</v>
      </c>
      <c r="N267" s="28" t="n">
        <v>0</v>
      </c>
      <c r="O267" s="28" t="n">
        <v>0</v>
      </c>
      <c r="P267" s="30" t="n">
        <f>IF(AND(ISNUMBER(L267),L267&gt;0,COUNT(M267:O267)=3,MIN(M267:O267)&gt;=0),SUM(M267:O267)/L267,"")</f>
        <v>0</v>
      </c>
      <c r="Q267" s="16" t="str">
        <v>沿用原计划SKU店铺</v>
      </c>
      <c r="R267" s="16" t="str">
        <v>已匹配</v>
      </c>
      <c r="S267" s="16" t="str">
        <v>停售</v>
      </c>
      <c r="T267" s="16" t="str">
        <v>32582</v>
      </c>
      <c r="U267" s="16" t="str">
        <v>黑色</v>
      </c>
      <c r="V267" s="16" t="n">
        <v>6.5</v>
      </c>
      <c r="W267" s="8" t="str">
        <v>2026-10-08 至 2026-10-17</v>
      </c>
      <c r="X267" s="8" t="str">
        <v>2026-10-08、2026-10-09、2026-10-10、2026-10-11、2026-10-14、2026-10-15、2026-10-17</v>
      </c>
      <c r="Y267" s="8" t="str">
        <v>2026-10-12 有记录的停售日；2026-10-13 有记录的停售日；2026-10-16 有记录的停售日</v>
      </c>
      <c r="Z267" s="8" t="n">
        <v>0</v>
      </c>
      <c r="AA267" s="8" t="n">
        <v>0</v>
      </c>
      <c r="AB267" s="8" t="n">
        <v>7</v>
      </c>
      <c r="AC267" s="8" t="str">
        <v>2026-09-29 至 2026-10-17</v>
      </c>
      <c r="AD267" s="8" t="str">
        <v>2026-09-29、2026-09-30、2026-10-01、2026-10-02、2026-10-03、2026-10-04、2026-10-05、2026-10-08、2026-10-09、2026-10-10、2026-10-11、2026-10-14、2026-10-15、2026-10-17</v>
      </c>
      <c r="AE267" s="8" t="str">
        <v>2026-10-06 大促；2026-10-07 大促；2026-10-12 有记录的停售日；2026-10-13 有记录的停售日；2026-10-16 有记录的停售日</v>
      </c>
      <c r="AF267" s="8" t="n">
        <v>0</v>
      </c>
      <c r="AG267" s="8" t="n">
        <v>0</v>
      </c>
      <c r="AH267" s="8" t="n">
        <v>14</v>
      </c>
      <c r="AI267" s="8" t="str">
        <v>2026-09-13 至 2026-10-17</v>
      </c>
      <c r="AJ26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67" s="8" t="str">
        <v>2026-10-06 大促；2026-10-07 大促；2026-10-12 有记录的停售日；2026-10-13 有记录的停售日；2026-10-16 有记录的停售日</v>
      </c>
      <c r="AL267" s="8" t="n">
        <v>0</v>
      </c>
      <c r="AM267" s="8" t="n">
        <v>0</v>
      </c>
      <c r="AN267" s="8" t="n">
        <v>30</v>
      </c>
      <c r="AO267" s="8" t="str">
        <v>32582 / 黑色羊京绒 / 6574</v>
      </c>
      <c r="AP267" s="11" t="n">
        <v>1.0395067087630607</v>
      </c>
      <c r="AQ267" s="11" t="n">
        <v>1.048428692110265</v>
      </c>
      <c r="AR267" s="11" t="n">
        <v>1.076979038821319</v>
      </c>
      <c r="AS267" s="11" t="n">
        <f>IF(AND(COUNT(I267:K267,AP267:AR267)=6,MIN(AP267:AR267)&gt;0),I267/7/AP267*0.5+J267/14/AQ267*0.3+K267/30/AR267*0.2,"")</f>
        <v>0</v>
      </c>
      <c r="AT267" s="8" t="n">
        <v>14</v>
      </c>
      <c r="AU267" s="8" t="n">
        <v>0</v>
      </c>
      <c r="AV267" s="8" t="n">
        <v>85</v>
      </c>
      <c r="AW267" s="11" t="n">
        <f>IF(AND(COUNT(AT267:AV267)=3,AT267&gt;=AU267,AU267&gt;=0,AV267&gt;0),(AT267-AU267)/AV267,"")</f>
        <v>0.16470588235294117</v>
      </c>
      <c r="AX267" s="8" t="n">
        <v>22</v>
      </c>
      <c r="AY267" s="8" t="n">
        <v>0</v>
      </c>
      <c r="AZ267" s="8" t="n">
        <v>175</v>
      </c>
      <c r="BA267" s="11" t="n">
        <f>IF(AND(COUNT(AX267:AZ267)=3,AX267&gt;=AY267,AY267&gt;=0,AZ267&gt;0),(AX267-AY267)/AZ267,"")</f>
        <v>0.12571428571428572</v>
      </c>
      <c r="BB267" s="8" t="n">
        <f>IF(COUNT(AS267,AW267,BA267)=3,1,0)</f>
        <v>1</v>
      </c>
      <c r="BC267" s="11" t="n">
        <f>IF(SUMIF($AO$11:$AO$1309,AO267,$BB$11:$BB$1309)=COUNTIF($AO$11:$AO$1309,AO267),SUMIF($AO$11:$AO$1309,AO267,$AS$11:$AS$1309),"")</f>
        <v>8.693659224127387</v>
      </c>
      <c r="BD267" s="11" t="n">
        <f>IF(SUMIF($AO$11:$AO$1309,AO267,$BB$11:$BB$1309)=COUNTIF($AO$11:$AO$1309,AO267),SUMIF($AO$11:$AO$1309,AO267,$AW$11:$AW$1309),"")</f>
        <v>6.372516749646567</v>
      </c>
      <c r="BE267" s="11" t="n">
        <f>IF(SUMIF($AO$11:$AO$1309,AO267,$BB$11:$BB$1309)=COUNTIF($AO$11:$AO$1309,AO267),SUMIF($AO$11:$AO$1309,AO267,$BA$11:$BA$1309),"")</f>
        <v>4.812567583498835</v>
      </c>
      <c r="BF267" s="12" t="n">
        <f>IF(COUNT(BD267:BE267)&lt;&gt;2,"",IF(AND(BD267&gt;0,BE267&gt;0),0.7*AW267/BD267+0.3*BA267/BE267,IF(BD267&gt;0,AW267/BD267,IF(BE267&gt;0,BA267/BE267,IF(AND(ISNUMBER(BH267),BH267=0),0,"")))))</f>
        <v>0.025929023952053036</v>
      </c>
      <c r="BG267" s="11" t="n">
        <f>IF(AND(COUNT(BN267:BU267)=8,MIN(BN267:BU267)&gt;=0),SUMPRODUCT(BN267:BQ267,BR267:BU267),"")</f>
        <v>88.27281580841549</v>
      </c>
      <c r="BH267" s="11" t="n">
        <f>IF(COUNT(BC267,BG267)=2,BC267*BG267,"")</f>
        <v>767.4137793925291</v>
      </c>
      <c r="BI267" s="11" t="n">
        <f>IF(ISNUMBER(CI267),CI267,"")</f>
        <v>19.898290267004434</v>
      </c>
      <c r="BJ267" s="8" t="str">
        <v>低销提醒依据不完整</v>
      </c>
      <c r="BK267" s="8" t="str">
        <v>90天：2026-07-20 至 2026-10-17；180天：2026-04-21 至 2026-10-17</v>
      </c>
      <c r="BL267" s="8" t="str">
        <v>90天：2026-10-06、2026-10-07、2026-10-12、2026-10-13、2026-10-16；180天：2026-10-06、2026-10-07、2026-10-12、2026-10-13、2026-10-16</v>
      </c>
      <c r="BM267" s="8" t="str">
        <v>2026-10：12天 × 1.0395067087630607；2026-11：30天 × 0.9890368360033146；2026-12：31天 × 0.7800796503018808；2027-01：17天 × 1.2908918272824135</v>
      </c>
      <c r="BN267" s="11" t="n">
        <v>1.0395067087630607</v>
      </c>
      <c r="BO267" s="11" t="n">
        <v>0.9890368360033146</v>
      </c>
      <c r="BP267" s="11" t="n">
        <v>0.7800796503018808</v>
      </c>
      <c r="BQ267" s="11" t="n">
        <v>1.2908918272824135</v>
      </c>
      <c r="BR267" s="8" t="n">
        <v>12</v>
      </c>
      <c r="BS267" s="8" t="n">
        <v>30</v>
      </c>
      <c r="BT267" s="8" t="n">
        <v>31</v>
      </c>
      <c r="BU267" s="8" t="n">
        <v>17</v>
      </c>
      <c r="BV267" s="11" t="n">
        <f>IF(COUNT(BC267,BF267)=2,BC267*BF267,"")</f>
        <v>0.22541809825338582</v>
      </c>
      <c r="BW267" s="11" t="n">
        <f>IF(ISNUMBER(BN267),BN267,"")</f>
        <v>1.0395067087630607</v>
      </c>
      <c r="BX267" s="14" t="n">
        <f>IF(ISNUMBER(BR267),BR267,"")</f>
        <v>12</v>
      </c>
      <c r="BY267" s="13" t="n">
        <f>IF(AND(COUNT(BV267,BW267,BX267)=3,MIN(BV267,BW267,BX267)&gt;=0),BV267*BW267*BX267,"")</f>
        <v>2.811883504932064</v>
      </c>
      <c r="BZ267" s="11" t="n">
        <f>IF(ISNUMBER(BO267),BO267,"")</f>
        <v>0.9890368360033146</v>
      </c>
      <c r="CA267" s="14" t="n">
        <f>IF(ISNUMBER(BS267),BS267,"")</f>
        <v>30</v>
      </c>
      <c r="CB267" s="13" t="n">
        <f>IF(AND(COUNT(BV267,BZ267,CA267)=3,MIN(BV267,BZ267,CA267)&gt;=0),BV267*BZ267*CA267,"")</f>
        <v>6.688404080232391</v>
      </c>
      <c r="CC267" s="11" t="n">
        <f>IF(ISNUMBER(BP267),BP267,"")</f>
        <v>0.7800796503018808</v>
      </c>
      <c r="CD267" s="14" t="n">
        <f>IF(ISNUMBER(BT267),BT267,"")</f>
        <v>31</v>
      </c>
      <c r="CE267" s="13" t="n">
        <f>IF(AND(COUNT(BV267,CC267,CD267)=3,MIN(BV267,CC267,CD267)&gt;=0),BV267*CC267*CD267,"")</f>
        <v>5.451166208973703</v>
      </c>
      <c r="CF267" s="11" t="n">
        <f>IF(ISNUMBER(BQ267),BQ267,"")</f>
        <v>1.2908918272824135</v>
      </c>
      <c r="CG267" s="14" t="n">
        <f>IF(ISNUMBER(BU267),BU267,"")</f>
        <v>17</v>
      </c>
      <c r="CH267" s="13" t="n">
        <f>IF(AND(COUNT(BV267,CF267,CG267)=3,MIN(BV267,CF267,CG267)&gt;=0),BV267*CF267*CG267,"")</f>
        <v>4.946836472866278</v>
      </c>
      <c r="CI267" s="13" t="n">
        <f>IF(COUNT(BY267,CB267,CE267,CH267)=4,SUM(BY267,CB267,CE267,CH267),"")</f>
        <v>19.898290267004434</v>
      </c>
    </row>
    <row r="268" ht="72" customHeight="1">
      <c r="A268" s="16" t="str">
        <v>S02a-ND-42</v>
      </c>
      <c r="B268" s="16" t="str">
        <v>3店-SANDIEX-US</v>
      </c>
      <c r="C268" s="16" t="str">
        <v>陈晨</v>
      </c>
      <c r="D268" s="26" t="n">
        <f>IF(NOT(ISNUMBER(E268)),"",IF(OR(E268&lt;=0,L268=0),0,IF(OR(NOT(ISNUMBER(F268)),F268&lt;0),"",MIN(E268,INT(F268)))))</f>
        <v>0</v>
      </c>
      <c r="E268" s="27" t="n">
        <f>IF(OR(NOT(ISNUMBER(L268)),COUNT(M268:O268)&lt;&gt;3,MIN(M268:O268)&lt;0),"",ROUNDUP(ROUND(BI268-SUM(M268:O268),10),0))</f>
        <v>20</v>
      </c>
      <c r="F268" s="28" t="n">
        <v>0</v>
      </c>
      <c r="G268" s="28" t="n">
        <f>IF(AND(ISNUMBER(D268),ISNUMBER(E268)),IF(OR(E268&lt;=0,L268=0),0,E268-D268),"")</f>
        <v>20</v>
      </c>
      <c r="H268" s="16" t="str">
        <f>IF(NOT(ISNUMBER(E268)),"销量或海外库存待补",IF(OR(E268&lt;=0,L268=0),IF(L268=0,"零日销，本批不发","本批无需补货"),IF(NOT(ISNUMBER(D268)),"国内库存待补",IF(D268=0,"国内无可用库存",IF(G268&gt;0,"先发国内现货","按建议量发货")))))</f>
        <v>国内无可用库存</v>
      </c>
      <c r="I268" s="28" t="n">
        <f>IF(AND(COUNT(Z268,AA268,AB268)=3,Z268&gt;=AA268,AA268&gt;=0,AB268=7),Z268-AA268,"")</f>
        <v>0</v>
      </c>
      <c r="J268" s="28" t="n">
        <f>IF(AND(COUNT(AF268,AG268,AH268)=3,AF268&gt;=AG268,AG268&gt;=0,AH268=14),AF268-AG268,"")</f>
        <v>1</v>
      </c>
      <c r="K268" s="28" t="n">
        <f>IF(AND(COUNT(AL268,AM268,AN268)=3,AL268&gt;=AM268,AM268&gt;=0,AN268=30),AL268-AM268,"")</f>
        <v>5</v>
      </c>
      <c r="L268" s="29" t="n">
        <f>IF(ISNUMBER(BI268),BI268/90,"")</f>
        <v>0.2925013360832583</v>
      </c>
      <c r="M268" s="28" t="n">
        <v>7</v>
      </c>
      <c r="N268" s="28" t="n">
        <v>0</v>
      </c>
      <c r="O268" s="28" t="n">
        <v>0</v>
      </c>
      <c r="P268" s="30" t="n">
        <f>IF(AND(ISNUMBER(L268),L268&gt;0,COUNT(M268:O268)=3,MIN(M268:O268)&gt;=0),SUM(M268:O268)/L268,"")</f>
        <v>23.931514617107606</v>
      </c>
      <c r="Q268" s="16" t="str">
        <v>沿用原计划SKU店铺</v>
      </c>
      <c r="R268" s="16" t="str">
        <v>已匹配</v>
      </c>
      <c r="S268" s="16" t="str">
        <v>在售</v>
      </c>
      <c r="T268" s="16" t="str">
        <v>S02a</v>
      </c>
      <c r="U268" s="16" t="str">
        <v>裸色</v>
      </c>
      <c r="V268" s="16" t="n">
        <v>11</v>
      </c>
      <c r="W268" s="8" t="str">
        <v>2026-10-11 至 2026-10-17</v>
      </c>
      <c r="X268" s="8" t="str">
        <v>2026-10-11、2026-10-12、2026-10-13、2026-10-14、2026-10-15、2026-10-16、2026-10-17</v>
      </c>
      <c r="Y268" s="8" t="str">
        <v>无</v>
      </c>
      <c r="Z268" s="8" t="n">
        <v>0</v>
      </c>
      <c r="AA268" s="8" t="n">
        <v>0</v>
      </c>
      <c r="AB268" s="8" t="n">
        <v>7</v>
      </c>
      <c r="AC268" s="8" t="str">
        <v>2026-10-02 至 2026-10-17</v>
      </c>
      <c r="AD268" s="8" t="str">
        <v>2026-10-02、2026-10-03、2026-10-04、2026-10-05、2026-10-08、2026-10-09、2026-10-10、2026-10-11、2026-10-12、2026-10-13、2026-10-14、2026-10-15、2026-10-16、2026-10-17</v>
      </c>
      <c r="AE268" s="8" t="str">
        <v>2026-10-06 大促；2026-10-07 大促</v>
      </c>
      <c r="AF268" s="8" t="n">
        <v>1</v>
      </c>
      <c r="AG268" s="8" t="n">
        <v>0</v>
      </c>
      <c r="AH268" s="8" t="n">
        <v>14</v>
      </c>
      <c r="AI268" s="8" t="str">
        <v>2026-09-16 至 2026-10-17</v>
      </c>
      <c r="AJ2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8" s="8" t="str">
        <v>2026-10-06 大促；2026-10-07 大促</v>
      </c>
      <c r="AL268" s="8" t="n">
        <v>5</v>
      </c>
      <c r="AM268" s="8" t="n">
        <v>0</v>
      </c>
      <c r="AN268" s="8" t="n">
        <v>30</v>
      </c>
      <c r="AO268" s="8" t="str">
        <v>S02a / 裸色 / 6574</v>
      </c>
      <c r="AP268" s="11" t="n">
        <v>0.7647664488148722</v>
      </c>
      <c r="AQ268" s="11" t="n">
        <v>0.7647664488148722</v>
      </c>
      <c r="AR268" s="11" t="n">
        <v>0.8066052567225582</v>
      </c>
      <c r="AS268" s="11" t="n">
        <f>IF(AND(COUNT(I268:K268,AP268:AR268)=6,MIN(AP268:AR268)&gt;0),I268/7/AP268*0.5+J268/14/AQ268*0.3+K268/30/AR268*0.2,"")</f>
        <v>0.06934521886818434</v>
      </c>
      <c r="AT268" s="8" t="n">
        <v>8</v>
      </c>
      <c r="AU268" s="8" t="n">
        <v>0</v>
      </c>
      <c r="AV268" s="8" t="n">
        <v>88</v>
      </c>
      <c r="AW268" s="11" t="n">
        <f>IF(AND(COUNT(AT268:AV268)=3,AT268&gt;=AU268,AU268&gt;=0,AV268&gt;0),(AT268-AU268)/AV268,"")</f>
        <v>0.09090909090909091</v>
      </c>
      <c r="AX268" s="8" t="n">
        <v>16</v>
      </c>
      <c r="AY268" s="8" t="n">
        <v>0</v>
      </c>
      <c r="AZ268" s="8" t="n">
        <v>178</v>
      </c>
      <c r="BA268" s="11" t="n">
        <f>IF(AND(COUNT(AX268:AZ268)=3,AX268&gt;=AY268,AY268&gt;=0,AZ268&gt;0),(AX268-AY268)/AZ268,"")</f>
        <v>0.0898876404494382</v>
      </c>
      <c r="BB268" s="8" t="n">
        <f>IF(COUNT(AS268,AW268,BA268)=3,1,0)</f>
        <v>1</v>
      </c>
      <c r="BC268" s="11" t="n">
        <f>IF(SUMIF($AO$11:$AO$1309,AO268,$BB$11:$BB$1309)=COUNTIF($AO$11:$AO$1309,AO268),SUMIF($AO$11:$AO$1309,AO268,$AS$11:$AS$1309),"")</f>
        <v>1.7214890010212096</v>
      </c>
      <c r="BD268" s="11" t="n">
        <f>IF(SUMIF($AO$11:$AO$1309,AO268,$BB$11:$BB$1309)=COUNTIF($AO$11:$AO$1309,AO268),SUMIF($AO$11:$AO$1309,AO268,$AW$11:$AW$1309),"")</f>
        <v>0.7169661733615222</v>
      </c>
      <c r="BE268" s="11" t="n">
        <f>IF(SUMIF($AO$11:$AO$1309,AO268,$BB$11:$BB$1309)=COUNTIF($AO$11:$AO$1309,AO268),SUMIF($AO$11:$AO$1309,AO268,$BA$11:$BA$1309),"")</f>
        <v>0.6069969356486209</v>
      </c>
      <c r="BF268" s="12" t="n">
        <f>IF(COUNT(BD268:BE268)&lt;&gt;2,"",IF(AND(BD268&gt;0,BE268&gt;0),0.7*AW268/BD268+0.3*BA268/BE268,IF(BD268&gt;0,AW268/BD268,IF(BE268&gt;0,BA268/BE268,IF(AND(ISNUMBER(BH268),BH268=0),0,"")))))</f>
        <v>0.13318357939716235</v>
      </c>
      <c r="BG268" s="11" t="n">
        <f>IF(AND(COUNT(BN268:BU268)=8,MIN(BN268:BU268)&gt;=0),SUMPRODUCT(BN268:BQ268,BR268:BU268),"")</f>
        <v>114.81944114457707</v>
      </c>
      <c r="BH268" s="11" t="n">
        <f>IF(COUNT(BC268,BG268)=2,BC268*BG268,"")</f>
        <v>197.66040503379156</v>
      </c>
      <c r="BI268" s="11" t="n">
        <f>IF(ISNUMBER(CI268),CI268,"")</f>
        <v>26.325120247493246</v>
      </c>
      <c r="BJ268" s="8" t="str"/>
      <c r="BK268" s="8" t="str">
        <v>90天：2026-07-20 至 2026-10-17；180天：2026-04-21 至 2026-10-17</v>
      </c>
      <c r="BL268" s="8" t="str">
        <v>90天：2026-10-06、2026-10-07；180天：2026-10-06、2026-10-07</v>
      </c>
      <c r="BM268" s="8" t="str">
        <v>2026-10：12天 × 0.7647664488148722；2026-11：30天 × 1.5248287781391903；2026-12：31天 × 1.2288250057360348；2027-01：17天 × 1.2825767786356366</v>
      </c>
      <c r="BN268" s="11" t="n">
        <v>0.7647664488148722</v>
      </c>
      <c r="BO268" s="11" t="n">
        <v>1.5248287781391903</v>
      </c>
      <c r="BP268" s="11" t="n">
        <v>1.2288250057360348</v>
      </c>
      <c r="BQ268" s="11" t="n">
        <v>1.2825767786356366</v>
      </c>
      <c r="BR268" s="8" t="n">
        <v>12</v>
      </c>
      <c r="BS268" s="8" t="n">
        <v>30</v>
      </c>
      <c r="BT268" s="8" t="n">
        <v>31</v>
      </c>
      <c r="BU268" s="8" t="n">
        <v>17</v>
      </c>
      <c r="BV268" s="11" t="n">
        <f>IF(COUNT(BC268,BF268)=2,BC268*BF268,"")</f>
        <v>0.22927406704884998</v>
      </c>
      <c r="BW268" s="11" t="n">
        <f>IF(ISNUMBER(BN268),BN268,"")</f>
        <v>0.7647664488148722</v>
      </c>
      <c r="BX268" s="14" t="n">
        <f>IF(ISNUMBER(BR268),BR268,"")</f>
        <v>12</v>
      </c>
      <c r="BY268" s="13" t="n">
        <f>IF(AND(COUNT(BV268,BW268,BX268)=3,MIN(BV268,BW268,BX268)&gt;=0),BV268*BW268*BX268,"")</f>
        <v>2.104093368747503</v>
      </c>
      <c r="BZ268" s="11" t="n">
        <f>IF(ISNUMBER(BO268),BO268,"")</f>
        <v>1.5248287781391903</v>
      </c>
      <c r="CA268" s="14" t="n">
        <f>IF(ISNUMBER(BS268),BS268,"")</f>
        <v>30</v>
      </c>
      <c r="CB268" s="13" t="n">
        <f>IF(AND(COUNT(BV268,BZ268,CA268)=3,MIN(BV268,BZ268,CA268)&gt;=0),BV268*BZ268*CA268,"")</f>
        <v>10.48811086551302</v>
      </c>
      <c r="CC268" s="11" t="n">
        <f>IF(ISNUMBER(BP268),BP268,"")</f>
        <v>1.2288250057360348</v>
      </c>
      <c r="CD268" s="14" t="n">
        <f>IF(ISNUMBER(BT268),BT268,"")</f>
        <v>31</v>
      </c>
      <c r="CE268" s="13" t="n">
        <f>IF(AND(COUNT(BV268,CC268,CD268)=3,MIN(BV268,CC268,CD268)&gt;=0),BV268*CC268*CD268,"")</f>
        <v>8.73386890944924</v>
      </c>
      <c r="CF268" s="11" t="n">
        <f>IF(ISNUMBER(BQ268),BQ268,"")</f>
        <v>1.2825767786356366</v>
      </c>
      <c r="CG268" s="14" t="n">
        <f>IF(ISNUMBER(BU268),BU268,"")</f>
        <v>17</v>
      </c>
      <c r="CH268" s="13" t="n">
        <f>IF(AND(COUNT(BV268,CF268,CG268)=3,MIN(BV268,CF268,CG268)&gt;=0),BV268*CF268*CG268,"")</f>
        <v>4.999047103783484</v>
      </c>
      <c r="CI268" s="13" t="n">
        <f>IF(COUNT(BY268,CB268,CE268,CH268)=4,SUM(BY268,CB268,CE268,CH268),"")</f>
        <v>26.325120247493246</v>
      </c>
    </row>
    <row r="269" ht="72" customHeight="1">
      <c r="A269" s="16" t="str">
        <v>B06-BK1-42</v>
      </c>
      <c r="B269" s="16" t="str">
        <v>1店-MUSSHOE-US</v>
      </c>
      <c r="C269" s="16" t="str">
        <v>艾年</v>
      </c>
      <c r="D269" s="26" t="n">
        <f>IF(NOT(ISNUMBER(E269)),"",IF(OR(E269&lt;=0,L269=0),0,IF(OR(NOT(ISNUMBER(F269)),F269&lt;0),"",MIN(E269,INT(F269)))))</f>
        <v>0</v>
      </c>
      <c r="E269" s="27" t="n">
        <f>IF(OR(NOT(ISNUMBER(L269)),COUNT(M269:O269)&lt;&gt;3,MIN(M269:O269)&lt;0),"",ROUNDUP(ROUND(BI269-SUM(M269:O269),10),0))</f>
        <v>19</v>
      </c>
      <c r="F269" s="28" t="n">
        <v>0</v>
      </c>
      <c r="G269" s="28" t="n">
        <f>IF(AND(ISNUMBER(D269),ISNUMBER(E269)),IF(OR(E269&lt;=0,L269=0),0,E269-D269),"")</f>
        <v>19</v>
      </c>
      <c r="H269" s="16" t="str">
        <f>IF(NOT(ISNUMBER(E269)),"销量或海外库存待补",IF(OR(E269&lt;=0,L269=0),IF(L269=0,"零日销，本批不发","本批无需补货"),IF(NOT(ISNUMBER(D269)),"国内库存待补",IF(D269=0,"国内无可用库存",IF(G269&gt;0,"先发国内现货","按建议量发货")))))</f>
        <v>国内无可用库存</v>
      </c>
      <c r="I269" s="28" t="n">
        <f>IF(AND(COUNT(Z269,AA269,AB269)=3,Z269&gt;=AA269,AA269&gt;=0,AB269=7),Z269-AA269,"")</f>
        <v>7</v>
      </c>
      <c r="J269" s="28" t="n">
        <f>IF(AND(COUNT(AF269,AG269,AH269)=3,AF269&gt;=AG269,AG269&gt;=0,AH269=14),AF269-AG269,"")</f>
        <v>11</v>
      </c>
      <c r="K269" s="28" t="n">
        <f>IF(AND(COUNT(AL269,AM269,AN269)=3,AL269&gt;=AM269,AM269&gt;=0,AN269=30),AL269-AM269,"")</f>
        <v>19</v>
      </c>
      <c r="L269" s="29" t="n">
        <f>IF(ISNUMBER(BI269),BI269/90,"")</f>
        <v>0.4744905919931427</v>
      </c>
      <c r="M269" s="28" t="n">
        <v>24</v>
      </c>
      <c r="N269" s="28" t="n">
        <v>0</v>
      </c>
      <c r="O269" s="28" t="n">
        <v>0</v>
      </c>
      <c r="P269" s="30" t="n">
        <f>IF(AND(ISNUMBER(L269),L269&gt;0,COUNT(M269:O269)=3,MIN(M269:O269)&gt;=0),SUM(M269:O269)/L269,"")</f>
        <v>50.58056029980642</v>
      </c>
      <c r="Q269" s="16" t="str">
        <v>沿用原计划SKU店铺</v>
      </c>
      <c r="R269" s="16" t="str">
        <v>已匹配</v>
      </c>
      <c r="S269" s="16" t="str">
        <v>在售</v>
      </c>
      <c r="T269" s="16" t="str">
        <v>B06</v>
      </c>
      <c r="U269" s="16" t="str">
        <v>黑色羊京绒</v>
      </c>
      <c r="V269" s="16" t="n">
        <v>11</v>
      </c>
      <c r="W269" s="8" t="str">
        <v>2026-10-11 至 2026-10-17</v>
      </c>
      <c r="X269" s="8" t="str">
        <v>2026-10-11、2026-10-12、2026-10-13、2026-10-14、2026-10-15、2026-10-16、2026-10-17</v>
      </c>
      <c r="Y269" s="8" t="str">
        <v>无</v>
      </c>
      <c r="Z269" s="8" t="n">
        <v>7</v>
      </c>
      <c r="AA269" s="8" t="n">
        <v>0</v>
      </c>
      <c r="AB269" s="8" t="n">
        <v>7</v>
      </c>
      <c r="AC269" s="8" t="str">
        <v>2026-10-02 至 2026-10-17</v>
      </c>
      <c r="AD269" s="8" t="str">
        <v>2026-10-02、2026-10-03、2026-10-04、2026-10-05、2026-10-08、2026-10-09、2026-10-10、2026-10-11、2026-10-12、2026-10-13、2026-10-14、2026-10-15、2026-10-16、2026-10-17</v>
      </c>
      <c r="AE269" s="8" t="str">
        <v>2026-10-06 大促；2026-10-07 大促</v>
      </c>
      <c r="AF269" s="8" t="n">
        <v>12</v>
      </c>
      <c r="AG269" s="8" t="n">
        <v>1</v>
      </c>
      <c r="AH269" s="8" t="n">
        <v>14</v>
      </c>
      <c r="AI269" s="8" t="str">
        <v>2026-09-16 至 2026-10-17</v>
      </c>
      <c r="AJ2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69" s="8" t="str">
        <v>2026-10-06 大促；2026-10-07 大促</v>
      </c>
      <c r="AL269" s="8" t="n">
        <v>20</v>
      </c>
      <c r="AM269" s="8" t="n">
        <v>1</v>
      </c>
      <c r="AN269" s="8" t="n">
        <v>30</v>
      </c>
      <c r="AO269" s="8" t="str">
        <v>B06 / 黑色羊京绒 / 13120</v>
      </c>
      <c r="AP269" s="11" t="n">
        <v>1.2247029157699902</v>
      </c>
      <c r="AQ269" s="11" t="n">
        <v>1.2247029157699902</v>
      </c>
      <c r="AR269" s="11" t="n">
        <v>1.1136940657346173</v>
      </c>
      <c r="AS269" s="11" t="n">
        <f>IF(AND(COUNT(I269:K269,AP269:AR269)=6,MIN(AP269:AR269)&gt;0),I269/7/AP269*0.5+J269/14/AQ269*0.3+K269/30/AR269*0.2,"")</f>
        <v>0.7144643812512177</v>
      </c>
      <c r="AT269" s="8" t="n">
        <v>53</v>
      </c>
      <c r="AU269" s="8" t="n">
        <v>1</v>
      </c>
      <c r="AV269" s="8" t="n">
        <v>88</v>
      </c>
      <c r="AW269" s="11" t="n">
        <f>IF(AND(COUNT(AT269:AV269)=3,AT269&gt;=AU269,AU269&gt;=0,AV269&gt;0),(AT269-AU269)/AV269,"")</f>
        <v>0.5909090909090909</v>
      </c>
      <c r="AX269" s="8" t="n">
        <v>100</v>
      </c>
      <c r="AY269" s="8" t="n">
        <v>1</v>
      </c>
      <c r="AZ269" s="8" t="n">
        <v>178</v>
      </c>
      <c r="BA269" s="11" t="n">
        <f>IF(AND(COUNT(AX269:AZ269)=3,AX269&gt;=AY269,AY269&gt;=0,AZ269&gt;0),(AX269-AY269)/AZ269,"")</f>
        <v>0.5561797752808989</v>
      </c>
      <c r="BB269" s="8" t="n">
        <f>IF(COUNT(AS269,AW269,BA269)=3,1,0)</f>
        <v>1</v>
      </c>
      <c r="BC269" s="11" t="n">
        <f>IF(SUMIF($AO$11:$AO$1309,AO269,$BB$11:$BB$1309)=COUNTIF($AO$11:$AO$1309,AO269),SUMIF($AO$11:$AO$1309,AO269,$AS$11:$AS$1309),"")</f>
        <v>11.479673646705146</v>
      </c>
      <c r="BD269" s="11" t="n">
        <f>IF(SUMIF($AO$11:$AO$1309,AO269,$BB$11:$BB$1309)=COUNTIF($AO$11:$AO$1309,AO269),SUMIF($AO$11:$AO$1309,AO269,$AW$11:$AW$1309),"")</f>
        <v>12.119251336898396</v>
      </c>
      <c r="BE269" s="11" t="n">
        <f>IF(SUMIF($AO$11:$AO$1309,AO269,$BB$11:$BB$1309)=COUNTIF($AO$11:$AO$1309,AO269),SUMIF($AO$11:$AO$1309,AO269,$BA$11:$BA$1309),"")</f>
        <v>10.255120385232745</v>
      </c>
      <c r="BF269" s="12" t="n">
        <f>IF(COUNT(BD269:BE269)&lt;&gt;2,"",IF(AND(BD269&gt;0,BE269&gt;0),0.7*AW269/BD269+0.3*BA269/BE269,IF(BD269&gt;0,AW269/BD269,IF(BE269&gt;0,BA269/BE269,IF(AND(ISNUMBER(BH269),BH269=0),0,"")))))</f>
        <v>0.05040082573388131</v>
      </c>
      <c r="BG269" s="11" t="n">
        <f>IF(AND(COUNT(BN269:BU269)=8,MIN(BN269:BU269)&gt;=0),SUMPRODUCT(BN269:BQ269,BR269:BU269),"")</f>
        <v>73.80791239847399</v>
      </c>
      <c r="BH269" s="11" t="n">
        <f>IF(COUNT(BC269,BG269)=2,BC269*BG269,"")</f>
        <v>847.2907468790838</v>
      </c>
      <c r="BI269" s="11" t="n">
        <f>IF(ISNUMBER(CI269),CI269,"")</f>
        <v>42.704153279382844</v>
      </c>
      <c r="BJ269" s="8" t="str">
        <v>低销提醒依据不完整</v>
      </c>
      <c r="BK269" s="8" t="str">
        <v>90天：2026-07-20 至 2026-10-17；180天：2026-04-21 至 2026-10-17</v>
      </c>
      <c r="BL269" s="8" t="str">
        <v>90天：2026-10-06、2026-10-07；180天：2026-10-06、2026-10-07</v>
      </c>
      <c r="BM269" s="8" t="str">
        <v>2026-10：12天 × 1.2247029157699902；2026-11：30天 × 0.8332682139098497；2026-12：31天 × 0.5511018253564084；2027-01：17天 × 1.0017220238758797</v>
      </c>
      <c r="BN269" s="11" t="n">
        <v>1.2247029157699902</v>
      </c>
      <c r="BO269" s="11" t="n">
        <v>0.8332682139098497</v>
      </c>
      <c r="BP269" s="11" t="n">
        <v>0.5511018253564084</v>
      </c>
      <c r="BQ269" s="11" t="n">
        <v>1.0017220238758797</v>
      </c>
      <c r="BR269" s="8" t="n">
        <v>12</v>
      </c>
      <c r="BS269" s="8" t="n">
        <v>30</v>
      </c>
      <c r="BT269" s="8" t="n">
        <v>31</v>
      </c>
      <c r="BU269" s="8" t="n">
        <v>17</v>
      </c>
      <c r="BV269" s="11" t="n">
        <f>IF(COUNT(BC269,BF269)=2,BC269*BF269,"")</f>
        <v>0.5785850309494158</v>
      </c>
      <c r="BW269" s="11" t="n">
        <f>IF(ISNUMBER(BN269),BN269,"")</f>
        <v>1.2247029157699902</v>
      </c>
      <c r="BX269" s="14" t="n">
        <f>IF(ISNUMBER(BR269),BR269,"")</f>
        <v>12</v>
      </c>
      <c r="BY269" s="13" t="n">
        <f>IF(AND(COUNT(BV269,BW269,BX269)=3,MIN(BV269,BW269,BX269)&gt;=0),BV269*BW269*BX269,"")</f>
        <v>8.503137293095435</v>
      </c>
      <c r="BZ269" s="11" t="n">
        <f>IF(ISNUMBER(BO269),BO269,"")</f>
        <v>0.8332682139098497</v>
      </c>
      <c r="CA269" s="14" t="n">
        <f>IF(ISNUMBER(BS269),BS269,"")</f>
        <v>30</v>
      </c>
      <c r="CB269" s="13" t="n">
        <f>IF(AND(COUNT(BV269,BZ269,CA269)=3,MIN(BV269,BZ269,CA269)&gt;=0),BV269*BZ269*CA269,"")</f>
        <v>14.463495460025847</v>
      </c>
      <c r="CC269" s="11" t="n">
        <f>IF(ISNUMBER(BP269),BP269,"")</f>
        <v>0.5511018253564084</v>
      </c>
      <c r="CD269" s="14" t="n">
        <f>IF(ISNUMBER(BT269),BT269,"")</f>
        <v>31</v>
      </c>
      <c r="CE269" s="13" t="n">
        <f>IF(AND(COUNT(BV269,CC269,CD269)=3,MIN(BV269,CC269,CD269)&gt;=0),BV269*CC269*CD269,"")</f>
        <v>9.88463726708363</v>
      </c>
      <c r="CF269" s="11" t="n">
        <f>IF(ISNUMBER(BQ269),BQ269,"")</f>
        <v>1.0017220238758797</v>
      </c>
      <c r="CG269" s="14" t="n">
        <f>IF(ISNUMBER(BU269),BU269,"")</f>
        <v>17</v>
      </c>
      <c r="CH269" s="13" t="n">
        <f>IF(AND(COUNT(BV269,CF269,CG269)=3,MIN(BV269,CF269,CG269)&gt;=0),BV269*CF269*CG269,"")</f>
        <v>9.852883259177935</v>
      </c>
      <c r="CI269" s="13" t="n">
        <f>IF(COUNT(BY269,CB269,CE269,CH269)=4,SUM(BY269,CB269,CE269,CH269),"")</f>
        <v>42.704153279382844</v>
      </c>
    </row>
    <row r="270" ht="72" customHeight="1">
      <c r="A270" s="16" t="str">
        <v>1S01-SB-42-NEW</v>
      </c>
      <c r="B270" s="16" t="str">
        <v>3店-SANDIEX-US</v>
      </c>
      <c r="C270" s="16" t="str">
        <v>徐新怡</v>
      </c>
      <c r="D270" s="26" t="n">
        <f>IF(NOT(ISNUMBER(E270)),"",IF(OR(E270&lt;=0,L270=0),0,IF(OR(NOT(ISNUMBER(F270)),F270&lt;0),"",MIN(E270,INT(F270)))))</f>
        <v>0</v>
      </c>
      <c r="E270" s="27" t="n">
        <f>IF(OR(NOT(ISNUMBER(L270)),COUNT(M270:O270)&lt;&gt;3,MIN(M270:O270)&lt;0),"",ROUNDUP(ROUND(BI270-SUM(M270:O270),10),0))</f>
        <v>18</v>
      </c>
      <c r="F270" s="28" t="n">
        <v>0</v>
      </c>
      <c r="G270" s="28" t="n">
        <f>IF(AND(ISNUMBER(D270),ISNUMBER(E270)),IF(OR(E270&lt;=0,L270=0),0,E270-D270),"")</f>
        <v>18</v>
      </c>
      <c r="H270" s="16" t="str">
        <f>IF(NOT(ISNUMBER(E270)),"销量或海外库存待补",IF(OR(E270&lt;=0,L270=0),IF(L270=0,"零日销，本批不发","本批无需补货"),IF(NOT(ISNUMBER(D270)),"国内库存待补",IF(D270=0,"国内无可用库存",IF(G270&gt;0,"先发国内现货","按建议量发货")))))</f>
        <v>国内无可用库存</v>
      </c>
      <c r="I270" s="28" t="n">
        <f>IF(AND(COUNT(Z270,AA270,AB270)=3,Z270&gt;=AA270,AA270&gt;=0,AB270=7),Z270-AA270,"")</f>
        <v>4</v>
      </c>
      <c r="J270" s="28" t="n">
        <f>IF(AND(COUNT(AF270,AG270,AH270)=3,AF270&gt;=AG270,AG270&gt;=0,AH270=14),AF270-AG270,"")</f>
        <v>6</v>
      </c>
      <c r="K270" s="28" t="n">
        <f>IF(AND(COUNT(AL270,AM270,AN270)=3,AL270&gt;=AM270,AM270&gt;=0,AN270=30),AL270-AM270,"")</f>
        <v>10</v>
      </c>
      <c r="L270" s="29" t="n">
        <f>IF(ISNUMBER(BI270),BI270/90,"")</f>
        <v>0.2479219680102047</v>
      </c>
      <c r="M270" s="28" t="n">
        <v>5</v>
      </c>
      <c r="N270" s="28" t="n">
        <v>0</v>
      </c>
      <c r="O270" s="28" t="n">
        <v>0</v>
      </c>
      <c r="P270" s="30" t="n">
        <f>IF(AND(ISNUMBER(L270),L270&gt;0,COUNT(M270:O270)=3,MIN(M270:O270)&gt;=0),SUM(M270:O270)/L270,"")</f>
        <v>20.16763597082367</v>
      </c>
      <c r="Q270" s="16" t="str">
        <v>沿用原计划SKU店铺</v>
      </c>
      <c r="R270" s="16" t="str">
        <v>已匹配</v>
      </c>
      <c r="S270" s="16" t="str">
        <v>在售</v>
      </c>
      <c r="T270" s="16" t="str">
        <v>1S01</v>
      </c>
      <c r="U270" s="16" t="str">
        <v>黑色蛇纹</v>
      </c>
      <c r="V270" s="16" t="n">
        <v>11</v>
      </c>
      <c r="W270" s="8" t="str">
        <v>2026-10-11 至 2026-10-17</v>
      </c>
      <c r="X270" s="8" t="str">
        <v>2026-10-11、2026-10-12、2026-10-13、2026-10-14、2026-10-15、2026-10-16、2026-10-17</v>
      </c>
      <c r="Y270" s="8" t="str">
        <v>无</v>
      </c>
      <c r="Z270" s="8" t="n">
        <v>4</v>
      </c>
      <c r="AA270" s="8" t="n">
        <v>0</v>
      </c>
      <c r="AB270" s="8" t="n">
        <v>7</v>
      </c>
      <c r="AC270" s="8" t="str">
        <v>2026-10-02 至 2026-10-17</v>
      </c>
      <c r="AD270" s="8" t="str">
        <v>2026-10-02、2026-10-03、2026-10-04、2026-10-05、2026-10-08、2026-10-09、2026-10-10、2026-10-11、2026-10-12、2026-10-13、2026-10-14、2026-10-15、2026-10-16、2026-10-17</v>
      </c>
      <c r="AE270" s="8" t="str">
        <v>2026-10-06 大促；2026-10-07 大促</v>
      </c>
      <c r="AF270" s="8" t="n">
        <v>8</v>
      </c>
      <c r="AG270" s="8" t="n">
        <v>2</v>
      </c>
      <c r="AH270" s="8" t="n">
        <v>14</v>
      </c>
      <c r="AI270" s="8" t="str">
        <v>2026-09-16 至 2026-10-17</v>
      </c>
      <c r="AJ2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0" s="8" t="str">
        <v>2026-10-06 大促；2026-10-07 大促</v>
      </c>
      <c r="AL270" s="8" t="n">
        <v>12</v>
      </c>
      <c r="AM270" s="8" t="n">
        <v>2</v>
      </c>
      <c r="AN270" s="8" t="n">
        <v>30</v>
      </c>
      <c r="AO270" s="8" t="str">
        <v>1S01 / 黑色蛇纹PU / 6574</v>
      </c>
      <c r="AP270" s="11" t="n">
        <v>0.8729500662042875</v>
      </c>
      <c r="AQ270" s="11" t="n">
        <v>0.8729500662042875</v>
      </c>
      <c r="AR270" s="11" t="n">
        <v>1.0921363354767095</v>
      </c>
      <c r="AS270" s="11" t="n">
        <f>IF(AND(COUNT(I270:K270,AP270:AR270)=6,MIN(AP270:AR270)&gt;0),I270/7/AP270*0.5+J270/14/AQ270*0.3+K270/30/AR270*0.2,"")</f>
        <v>0.5356236678087567</v>
      </c>
      <c r="AT270" s="8" t="n">
        <v>22</v>
      </c>
      <c r="AU270" s="8" t="n">
        <v>2</v>
      </c>
      <c r="AV270" s="8" t="n">
        <v>88</v>
      </c>
      <c r="AW270" s="11" t="n">
        <f>IF(AND(COUNT(AT270:AV270)=3,AT270&gt;=AU270,AU270&gt;=0,AV270&gt;0),(AT270-AU270)/AV270,"")</f>
        <v>0.22727272727272727</v>
      </c>
      <c r="AX270" s="8" t="n">
        <v>34</v>
      </c>
      <c r="AY270" s="8" t="n">
        <v>2</v>
      </c>
      <c r="AZ270" s="8" t="n">
        <v>178</v>
      </c>
      <c r="BA270" s="11" t="n">
        <f>IF(AND(COUNT(AX270:AZ270)=3,AX270&gt;=AY270,AY270&gt;=0,AZ270&gt;0),(AX270-AY270)/AZ270,"")</f>
        <v>0.1797752808988764</v>
      </c>
      <c r="BB270" s="8" t="n">
        <f>IF(COUNT(AS270,AW270,BA270)=3,1,0)</f>
        <v>1</v>
      </c>
      <c r="BC270" s="11" t="n">
        <f>IF(SUMIF($AO$11:$AO$1309,AO270,$BB$11:$BB$1309)=COUNTIF($AO$11:$AO$1309,AO270),SUMIF($AO$11:$AO$1309,AO270,$AS$11:$AS$1309),"")</f>
        <v>1.001631473973664</v>
      </c>
      <c r="BD270" s="11" t="n">
        <f>IF(SUMIF($AO$11:$AO$1309,AO270,$BB$11:$BB$1309)=COUNTIF($AO$11:$AO$1309,AO270),SUMIF($AO$11:$AO$1309,AO270,$AW$11:$AW$1309),"")</f>
        <v>0.6254010695187165</v>
      </c>
      <c r="BE270" s="11" t="n">
        <f>IF(SUMIF($AO$11:$AO$1309,AO270,$BB$11:$BB$1309)=COUNTIF($AO$11:$AO$1309,AO270),SUMIF($AO$11:$AO$1309,AO270,$BA$11:$BA$1309),"")</f>
        <v>0.5735152487961477</v>
      </c>
      <c r="BF270" s="12" t="n">
        <f>IF(COUNT(BD270:BE270)&lt;&gt;2,"",IF(AND(BD270&gt;0,BE270&gt;0),0.7*AW270/BD270+0.3*BA270/BE270,IF(BD270&gt;0,AW270/BD270,IF(BE270&gt;0,BA270/BE270,IF(AND(ISNUMBER(BH270),BH270=0),0,"")))))</f>
        <v>0.3484208376275106</v>
      </c>
      <c r="BG270" s="11" t="n">
        <f>IF(AND(COUNT(BN270:BU270)=8,MIN(BN270:BU270)&gt;=0),SUMPRODUCT(BN270:BQ270,BR270:BU270),"")</f>
        <v>63.935996265425516</v>
      </c>
      <c r="BH270" s="11" t="n">
        <f>IF(COUNT(BC270,BG270)=2,BC270*BG270,"")</f>
        <v>64.04030617931284</v>
      </c>
      <c r="BI270" s="11" t="n">
        <f>IF(ISNUMBER(CI270),CI270,"")</f>
        <v>22.312977120918422</v>
      </c>
      <c r="BJ270" s="8" t="str"/>
      <c r="BK270" s="8" t="str">
        <v>90天：2026-07-20 至 2026-10-17；180天：2026-04-21 至 2026-10-17</v>
      </c>
      <c r="BL270" s="8" t="str">
        <v>90天：2026-10-06、2026-10-07；180天：2026-10-06、2026-10-07</v>
      </c>
      <c r="BM270" s="8" t="str">
        <v>2026-10：12天 × 0.8729500662042875；2026-11：30天 × 0.8057375774163482；2026-12：31天 × 0.532550303142279；2027-01：17天 × 0.7517299265337036</v>
      </c>
      <c r="BN270" s="11" t="n">
        <v>0.8729500662042875</v>
      </c>
      <c r="BO270" s="11" t="n">
        <v>0.8057375774163482</v>
      </c>
      <c r="BP270" s="11" t="n">
        <v>0.532550303142279</v>
      </c>
      <c r="BQ270" s="11" t="n">
        <v>0.7517299265337036</v>
      </c>
      <c r="BR270" s="8" t="n">
        <v>12</v>
      </c>
      <c r="BS270" s="8" t="n">
        <v>30</v>
      </c>
      <c r="BT270" s="8" t="n">
        <v>31</v>
      </c>
      <c r="BU270" s="8" t="n">
        <v>17</v>
      </c>
      <c r="BV270" s="11" t="n">
        <f>IF(COUNT(BC270,BF270)=2,BC270*BF270,"")</f>
        <v>0.3489892771559821</v>
      </c>
      <c r="BW270" s="11" t="n">
        <f>IF(ISNUMBER(BN270),BN270,"")</f>
        <v>0.8729500662042875</v>
      </c>
      <c r="BX270" s="14" t="n">
        <f>IF(ISNUMBER(BR270),BR270,"")</f>
        <v>12</v>
      </c>
      <c r="BY270" s="13" t="n">
        <f>IF(AND(COUNT(BV270,BW270,BX270)=3,MIN(BV270,BW270,BX270)&gt;=0),BV270*BW270*BX270,"")</f>
        <v>3.6558025511748125</v>
      </c>
      <c r="BZ270" s="11" t="n">
        <f>IF(ISNUMBER(BO270),BO270,"")</f>
        <v>0.8057375774163482</v>
      </c>
      <c r="CA270" s="14" t="n">
        <f>IF(ISNUMBER(BS270),BS270,"")</f>
        <v>30</v>
      </c>
      <c r="CB270" s="13" t="n">
        <f>IF(AND(COUNT(BV270,BZ270,CA270)=3,MIN(BV270,BZ270,CA270)&gt;=0),BV270*BZ270*CA270,"")</f>
        <v>8.435813241598307</v>
      </c>
      <c r="CC270" s="11" t="n">
        <f>IF(ISNUMBER(BP270),BP270,"")</f>
        <v>0.532550303142279</v>
      </c>
      <c r="CD270" s="14" t="n">
        <f>IF(ISNUMBER(BT270),BT270,"")</f>
        <v>31</v>
      </c>
      <c r="CE270" s="13" t="n">
        <f>IF(AND(COUNT(BV270,CC270,CD270)=3,MIN(BV270,CC270,CD270)&gt;=0),BV270*CC270*CD270,"")</f>
        <v>5.761484705627517</v>
      </c>
      <c r="CF270" s="11" t="n">
        <f>IF(ISNUMBER(BQ270),BQ270,"")</f>
        <v>0.7517299265337036</v>
      </c>
      <c r="CG270" s="14" t="n">
        <f>IF(ISNUMBER(BU270),BU270,"")</f>
        <v>17</v>
      </c>
      <c r="CH270" s="13" t="n">
        <f>IF(AND(COUNT(BV270,CF270,CG270)=3,MIN(BV270,CF270,CG270)&gt;=0),BV270*CF270*CG270,"")</f>
        <v>4.459876622517785</v>
      </c>
      <c r="CI270" s="13" t="n">
        <f>IF(COUNT(BY270,CB270,CE270,CH270)=4,SUM(BY270,CB270,CE270,CH270),"")</f>
        <v>22.312977120918422</v>
      </c>
    </row>
    <row r="271" ht="72" customHeight="1">
      <c r="A271" s="16" t="str">
        <v>32582-BK-38</v>
      </c>
      <c r="B271" s="16" t="str">
        <v>3店-SANDIEX-US</v>
      </c>
      <c r="C271" s="16" t="str">
        <v>徐新怡</v>
      </c>
      <c r="D271" s="26" t="n">
        <f>IF(NOT(ISNUMBER(E271)),"",IF(OR(E271&lt;=0,L271=0),0,IF(OR(NOT(ISNUMBER(F271)),F271&lt;0),"",MIN(E271,INT(F271)))))</f>
        <v>0</v>
      </c>
      <c r="E271" s="27" t="n">
        <f>IF(OR(NOT(ISNUMBER(L271)),COUNT(M271:O271)&lt;&gt;3,MIN(M271:O271)&lt;0),"",ROUNDUP(ROUND(BI271-SUM(M271:O271),10),0))</f>
        <v>17</v>
      </c>
      <c r="F271" s="28" t="n">
        <v>0</v>
      </c>
      <c r="G271" s="28" t="n">
        <f>IF(AND(ISNUMBER(D271),ISNUMBER(E271)),IF(OR(E271&lt;=0,L271=0),0,E271-D271),"")</f>
        <v>17</v>
      </c>
      <c r="H271" s="16" t="str">
        <f>IF(NOT(ISNUMBER(E271)),"销量或海外库存待补",IF(OR(E271&lt;=0,L271=0),IF(L271=0,"零日销，本批不发","本批无需补货"),IF(NOT(ISNUMBER(D271)),"国内库存待补",IF(D271=0,"国内无可用库存",IF(G271&gt;0,"先发国内现货","按建议量发货")))))</f>
        <v>国内无可用库存</v>
      </c>
      <c r="I271" s="28" t="n">
        <f>IF(AND(COUNT(Z271,AA271,AB271)=3,Z271&gt;=AA271,AA271&gt;=0,AB271=7),Z271-AA271,"")</f>
        <v>3</v>
      </c>
      <c r="J271" s="28" t="n">
        <f>IF(AND(COUNT(AF271,AG271,AH271)=3,AF271&gt;=AG271,AG271&gt;=0,AH271=14),AF271-AG271,"")</f>
        <v>10</v>
      </c>
      <c r="K271" s="28" t="n">
        <f>IF(AND(COUNT(AL271,AM271,AN271)=3,AL271&gt;=AM271,AM271&gt;=0,AN271=30),AL271-AM271,"")</f>
        <v>21</v>
      </c>
      <c r="L271" s="29" t="n">
        <f>IF(ISNUMBER(BI271),BI271/90,"")</f>
        <v>0.7152553026703491</v>
      </c>
      <c r="M271" s="28" t="n">
        <v>48</v>
      </c>
      <c r="N271" s="28" t="n">
        <v>0</v>
      </c>
      <c r="O271" s="28" t="n">
        <v>0</v>
      </c>
      <c r="P271" s="30" t="n">
        <f>IF(AND(ISNUMBER(L271),L271&gt;0,COUNT(M271:O271)=3,MIN(M271:O271)&gt;=0),SUM(M271:O271)/L271,"")</f>
        <v>67.1089047795882</v>
      </c>
      <c r="Q271" s="16" t="str">
        <v>沿用原计划SKU店铺</v>
      </c>
      <c r="R271" s="16" t="str">
        <v>已匹配</v>
      </c>
      <c r="S271" s="16" t="str">
        <v>在售</v>
      </c>
      <c r="T271" s="16" t="str">
        <v>32582</v>
      </c>
      <c r="U271" s="16" t="str">
        <v>黑色</v>
      </c>
      <c r="V271" s="16" t="n">
        <v>7</v>
      </c>
      <c r="W271" s="8" t="str">
        <v>2026-10-11 至 2026-10-17</v>
      </c>
      <c r="X271" s="8" t="str">
        <v>2026-10-11、2026-10-12、2026-10-13、2026-10-14、2026-10-15、2026-10-16、2026-10-17</v>
      </c>
      <c r="Y271" s="8" t="str">
        <v>无</v>
      </c>
      <c r="Z271" s="8" t="n">
        <v>3</v>
      </c>
      <c r="AA271" s="8" t="n">
        <v>0</v>
      </c>
      <c r="AB271" s="8" t="n">
        <v>7</v>
      </c>
      <c r="AC271" s="8" t="str">
        <v>2026-10-02 至 2026-10-17</v>
      </c>
      <c r="AD271" s="8" t="str">
        <v>2026-10-02、2026-10-03、2026-10-04、2026-10-05、2026-10-08、2026-10-09、2026-10-10、2026-10-11、2026-10-12、2026-10-13、2026-10-14、2026-10-15、2026-10-16、2026-10-17</v>
      </c>
      <c r="AE271" s="8" t="str">
        <v>2026-10-06 大促；2026-10-07 大促</v>
      </c>
      <c r="AF271" s="8" t="n">
        <v>14</v>
      </c>
      <c r="AG271" s="8" t="n">
        <v>4</v>
      </c>
      <c r="AH271" s="8" t="n">
        <v>14</v>
      </c>
      <c r="AI271" s="8" t="str">
        <v>2026-09-16 至 2026-10-17</v>
      </c>
      <c r="AJ2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1" s="8" t="str">
        <v>2026-10-06 大促；2026-10-07 大促</v>
      </c>
      <c r="AL271" s="8" t="n">
        <v>25</v>
      </c>
      <c r="AM271" s="8" t="n">
        <v>4</v>
      </c>
      <c r="AN271" s="8" t="n">
        <v>30</v>
      </c>
      <c r="AO271" s="8" t="str">
        <v>32582 / 黑色羊京绒 / 6574</v>
      </c>
      <c r="AP271" s="11" t="n">
        <v>1.0395067087630607</v>
      </c>
      <c r="AQ271" s="11" t="n">
        <v>1.0395067087630607</v>
      </c>
      <c r="AR271" s="11" t="n">
        <v>1.0707336504782758</v>
      </c>
      <c r="AS271" s="11" t="n">
        <f>IF(AND(COUNT(I271:K271,AP271:AR271)=6,MIN(AP271:AR271)&gt;0),I271/7/AP271*0.5+J271/14/AQ271*0.3+K271/30/AR271*0.2,"")</f>
        <v>0.5430349369025596</v>
      </c>
      <c r="AT271" s="8" t="n">
        <v>51</v>
      </c>
      <c r="AU271" s="8" t="n">
        <v>4</v>
      </c>
      <c r="AV271" s="8" t="n">
        <v>88</v>
      </c>
      <c r="AW271" s="11" t="n">
        <f>IF(AND(COUNT(AT271:AV271)=3,AT271&gt;=AU271,AU271&gt;=0,AV271&gt;0),(AT271-AU271)/AV271,"")</f>
        <v>0.5340909090909091</v>
      </c>
      <c r="AX271" s="8" t="n">
        <v>76</v>
      </c>
      <c r="AY271" s="8" t="n">
        <v>4</v>
      </c>
      <c r="AZ271" s="8" t="n">
        <v>178</v>
      </c>
      <c r="BA271" s="11" t="n">
        <f>IF(AND(COUNT(AX271:AZ271)=3,AX271&gt;=AY271,AY271&gt;=0,AZ271&gt;0),(AX271-AY271)/AZ271,"")</f>
        <v>0.4044943820224719</v>
      </c>
      <c r="BB271" s="8" t="n">
        <f>IF(COUNT(AS271,AW271,BA271)=3,1,0)</f>
        <v>1</v>
      </c>
      <c r="BC271" s="11" t="n">
        <f>IF(SUMIF($AO$11:$AO$1309,AO271,$BB$11:$BB$1309)=COUNTIF($AO$11:$AO$1309,AO271),SUMIF($AO$11:$AO$1309,AO271,$AS$11:$AS$1309),"")</f>
        <v>8.693659224127387</v>
      </c>
      <c r="BD271" s="11" t="n">
        <f>IF(SUMIF($AO$11:$AO$1309,AO271,$BB$11:$BB$1309)=COUNTIF($AO$11:$AO$1309,AO271),SUMIF($AO$11:$AO$1309,AO271,$AW$11:$AW$1309),"")</f>
        <v>6.372516749646567</v>
      </c>
      <c r="BE271" s="11" t="n">
        <f>IF(SUMIF($AO$11:$AO$1309,AO271,$BB$11:$BB$1309)=COUNTIF($AO$11:$AO$1309,AO271),SUMIF($AO$11:$AO$1309,AO271,$BA$11:$BA$1309),"")</f>
        <v>4.812567583498835</v>
      </c>
      <c r="BF271" s="12" t="n">
        <f>IF(COUNT(BD271:BE271)&lt;&gt;2,"",IF(AND(BD271&gt;0,BE271&gt;0),0.7*AW271/BD271+0.3*BA271/BE271,IF(BD271&gt;0,AW271/BD271,IF(BE271&gt;0,BA271/BE271,IF(AND(ISNUMBER(BH271),BH271=0),0,"")))))</f>
        <v>0.08388300936072311</v>
      </c>
      <c r="BG271" s="11" t="n">
        <f>IF(AND(COUNT(BN271:BU271)=8,MIN(BN271:BU271)&gt;=0),SUMPRODUCT(BN271:BQ271,BR271:BU271),"")</f>
        <v>88.27281580841549</v>
      </c>
      <c r="BH271" s="11" t="n">
        <f>IF(COUNT(BC271,BG271)=2,BC271*BG271,"")</f>
        <v>767.4137793925291</v>
      </c>
      <c r="BI271" s="11" t="n">
        <f>IF(ISNUMBER(CI271),CI271,"")</f>
        <v>64.37297724033142</v>
      </c>
      <c r="BJ271" s="8" t="str">
        <v>低销提醒依据不完整</v>
      </c>
      <c r="BK271" s="8" t="str">
        <v>90天：2026-07-20 至 2026-10-17；180天：2026-04-21 至 2026-10-17</v>
      </c>
      <c r="BL271" s="8" t="str">
        <v>90天：2026-10-06、2026-10-07；180天：2026-10-06、2026-10-07</v>
      </c>
      <c r="BM271" s="8" t="str">
        <v>2026-10：12天 × 1.0395067087630607；2026-11：30天 × 0.9890368360033146；2026-12：31天 × 0.7800796503018808；2027-01：17天 × 1.2908918272824135</v>
      </c>
      <c r="BN271" s="11" t="n">
        <v>1.0395067087630607</v>
      </c>
      <c r="BO271" s="11" t="n">
        <v>0.9890368360033146</v>
      </c>
      <c r="BP271" s="11" t="n">
        <v>0.7800796503018808</v>
      </c>
      <c r="BQ271" s="11" t="n">
        <v>1.2908918272824135</v>
      </c>
      <c r="BR271" s="8" t="n">
        <v>12</v>
      </c>
      <c r="BS271" s="8" t="n">
        <v>30</v>
      </c>
      <c r="BT271" s="8" t="n">
        <v>31</v>
      </c>
      <c r="BU271" s="8" t="n">
        <v>17</v>
      </c>
      <c r="BV271" s="11" t="n">
        <f>IF(COUNT(BC271,BF271)=2,BC271*BF271,"")</f>
        <v>0.7292502980764144</v>
      </c>
      <c r="BW271" s="11" t="n">
        <f>IF(ISNUMBER(BN271),BN271,"")</f>
        <v>1.0395067087630607</v>
      </c>
      <c r="BX271" s="14" t="n">
        <f>IF(ISNUMBER(BR271),BR271,"")</f>
        <v>12</v>
      </c>
      <c r="BY271" s="13" t="n">
        <f>IF(AND(COUNT(BV271,BW271,BX271)=3,MIN(BV271,BW271,BX271)&gt;=0),BV271*BW271*BX271,"")</f>
        <v>9.096726926614735</v>
      </c>
      <c r="BZ271" s="11" t="n">
        <f>IF(ISNUMBER(BO271),BO271,"")</f>
        <v>0.9890368360033146</v>
      </c>
      <c r="CA271" s="14" t="n">
        <f>IF(ISNUMBER(BS271),BS271,"")</f>
        <v>30</v>
      </c>
      <c r="CB271" s="13" t="n">
        <f>IF(AND(COUNT(BV271,BZ271,CA271)=3,MIN(BV271,BZ271,CA271)&gt;=0),BV271*BZ271*CA271,"")</f>
        <v>21.63766222391913</v>
      </c>
      <c r="CC271" s="11" t="n">
        <f>IF(ISNUMBER(BP271),BP271,"")</f>
        <v>0.7800796503018808</v>
      </c>
      <c r="CD271" s="14" t="n">
        <f>IF(ISNUMBER(BT271),BT271,"")</f>
        <v>31</v>
      </c>
      <c r="CE271" s="13" t="n">
        <f>IF(AND(COUNT(BV271,CC271,CD271)=3,MIN(BV271,CC271,CD271)&gt;=0),BV271*CC271*CD271,"")</f>
        <v>17.63507284268574</v>
      </c>
      <c r="CF271" s="11" t="n">
        <f>IF(ISNUMBER(BQ271),BQ271,"")</f>
        <v>1.2908918272824135</v>
      </c>
      <c r="CG271" s="14" t="n">
        <f>IF(ISNUMBER(BU271),BU271,"")</f>
        <v>17</v>
      </c>
      <c r="CH271" s="13" t="n">
        <f>IF(AND(COUNT(BV271,CF271,CG271)=3,MIN(BV271,CF271,CG271)&gt;=0),BV271*CF271*CG271,"")</f>
        <v>16.003515247111824</v>
      </c>
      <c r="CI271" s="13" t="n">
        <f>IF(COUNT(BY271,CB271,CE271,CH271)=4,SUM(BY271,CB271,CE271,CH271),"")</f>
        <v>64.37297724033142</v>
      </c>
    </row>
    <row r="272" ht="72" customHeight="1">
      <c r="A272" s="16" t="str">
        <v>B07-BG-37-by</v>
      </c>
      <c r="B272" s="16" t="str">
        <v>4店-彬郁-US</v>
      </c>
      <c r="C272" s="16" t="str">
        <v>艾年</v>
      </c>
      <c r="D272" s="26" t="n">
        <f>IF(NOT(ISNUMBER(E272)),"",IF(OR(E272&lt;=0,L272=0),0,IF(OR(NOT(ISNUMBER(F272)),F272&lt;0),"",MIN(E272,INT(F272)))))</f>
        <v>0</v>
      </c>
      <c r="E272" s="27" t="n">
        <f>IF(OR(NOT(ISNUMBER(L272)),COUNT(M272:O272)&lt;&gt;3,MIN(M272:O272)&lt;0),"",ROUNDUP(ROUND(BI272-SUM(M272:O272),10),0))</f>
        <v>17</v>
      </c>
      <c r="F272" s="28" t="n">
        <v>0</v>
      </c>
      <c r="G272" s="28" t="n">
        <f>IF(AND(ISNUMBER(D272),ISNUMBER(E272)),IF(OR(E272&lt;=0,L272=0),0,E272-D272),"")</f>
        <v>17</v>
      </c>
      <c r="H272" s="16" t="str">
        <f>IF(NOT(ISNUMBER(E272)),"销量或海外库存待补",IF(OR(E272&lt;=0,L272=0),IF(L272=0,"零日销，本批不发","本批无需补货"),IF(NOT(ISNUMBER(D272)),"国内库存待补",IF(D272=0,"国内无可用库存",IF(G272&gt;0,"先发国内现货","按建议量发货")))))</f>
        <v>国内无可用库存</v>
      </c>
      <c r="I272" s="28" t="n">
        <f>IF(AND(COUNT(Z272,AA272,AB272)=3,Z272&gt;=AA272,AA272&gt;=0,AB272=7),Z272-AA272,"")</f>
        <v>1</v>
      </c>
      <c r="J272" s="28" t="n">
        <f>IF(AND(COUNT(AF272,AG272,AH272)=3,AF272&gt;=AG272,AG272&gt;=0,AH272=14),AF272-AG272,"")</f>
        <v>2</v>
      </c>
      <c r="K272" s="28" t="n">
        <f>IF(AND(COUNT(AL272,AM272,AN272)=3,AL272&gt;=AM272,AM272&gt;=0,AN272=30),AL272-AM272,"")</f>
        <v>4</v>
      </c>
      <c r="L272" s="29" t="n">
        <f>IF(ISNUMBER(BI272),BI272/90,"")</f>
        <v>0.2150163759265855</v>
      </c>
      <c r="M272" s="28" t="n">
        <v>3</v>
      </c>
      <c r="N272" s="28" t="n">
        <v>0</v>
      </c>
      <c r="O272" s="28" t="n">
        <v>0</v>
      </c>
      <c r="P272" s="30" t="n">
        <f>IF(AND(ISNUMBER(L272),L272&gt;0,COUNT(M272:O272)=3,MIN(M272:O272)&gt;=0),SUM(M272:O272)/L272,"")</f>
        <v>13.95242565628727</v>
      </c>
      <c r="Q272" s="16" t="str">
        <v>沿用原计划SKU店铺</v>
      </c>
      <c r="R272" s="16" t="str">
        <v>已匹配</v>
      </c>
      <c r="S272" s="16" t="str">
        <v>在售</v>
      </c>
      <c r="T272" s="16" t="str">
        <v>B07</v>
      </c>
      <c r="U272" s="16" t="str">
        <v>米色羊京绒</v>
      </c>
      <c r="V272" s="16" t="n">
        <v>6</v>
      </c>
      <c r="W272" s="8" t="str">
        <v>2026-10-11 至 2026-10-17</v>
      </c>
      <c r="X272" s="8" t="str">
        <v>2026-10-11、2026-10-12、2026-10-13、2026-10-14、2026-10-15、2026-10-16、2026-10-17</v>
      </c>
      <c r="Y272" s="8" t="str">
        <v>无</v>
      </c>
      <c r="Z272" s="8" t="n">
        <v>1</v>
      </c>
      <c r="AA272" s="8" t="n">
        <v>0</v>
      </c>
      <c r="AB272" s="8" t="n">
        <v>7</v>
      </c>
      <c r="AC272" s="8" t="str">
        <v>2026-10-02 至 2026-10-17</v>
      </c>
      <c r="AD272" s="8" t="str">
        <v>2026-10-02、2026-10-03、2026-10-04、2026-10-05、2026-10-08、2026-10-09、2026-10-10、2026-10-11、2026-10-12、2026-10-13、2026-10-14、2026-10-15、2026-10-16、2026-10-17</v>
      </c>
      <c r="AE272" s="8" t="str">
        <v>2026-10-06 大促；2026-10-07 大促</v>
      </c>
      <c r="AF272" s="8" t="n">
        <v>2</v>
      </c>
      <c r="AG272" s="8" t="n">
        <v>0</v>
      </c>
      <c r="AH272" s="8" t="n">
        <v>14</v>
      </c>
      <c r="AI272" s="8" t="str">
        <v>2026-09-16 至 2026-10-17</v>
      </c>
      <c r="AJ2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2" s="8" t="str">
        <v>2026-10-06 大促；2026-10-07 大促</v>
      </c>
      <c r="AL272" s="8" t="n">
        <v>4</v>
      </c>
      <c r="AM272" s="8" t="n">
        <v>0</v>
      </c>
      <c r="AN272" s="8" t="n">
        <v>30</v>
      </c>
      <c r="AO272" s="8" t="str">
        <v>B07 / 米色羊京绒 / 13306</v>
      </c>
      <c r="AP272" s="11" t="n">
        <v>0.7307750238224848</v>
      </c>
      <c r="AQ272" s="11" t="n">
        <v>0.7307750238224848</v>
      </c>
      <c r="AR272" s="11" t="n">
        <v>0.7449809054134506</v>
      </c>
      <c r="AS272" s="11" t="n">
        <f>IF(AND(COUNT(I272:K272,AP272:AR272)=6,MIN(AP272:AR272)&gt;0),I272/7/AP272*0.5+J272/14/AQ272*0.3+K272/30/AR272*0.2,"")</f>
        <v>0.19218483857459778</v>
      </c>
      <c r="AT272" s="8" t="n">
        <v>11</v>
      </c>
      <c r="AU272" s="8" t="n">
        <v>0</v>
      </c>
      <c r="AV272" s="8" t="n">
        <v>88</v>
      </c>
      <c r="AW272" s="11" t="n">
        <f>IF(AND(COUNT(AT272:AV272)=3,AT272&gt;=AU272,AU272&gt;=0,AV272&gt;0),(AT272-AU272)/AV272,"")</f>
        <v>0.125</v>
      </c>
      <c r="AX272" s="8" t="n">
        <v>13</v>
      </c>
      <c r="AY272" s="8" t="n">
        <v>0</v>
      </c>
      <c r="AZ272" s="8" t="n">
        <v>178</v>
      </c>
      <c r="BA272" s="11" t="n">
        <f>IF(AND(COUNT(AX272:AZ272)=3,AX272&gt;=AY272,AY272&gt;=0,AZ272&gt;0),(AX272-AY272)/AZ272,"")</f>
        <v>0.07303370786516854</v>
      </c>
      <c r="BB272" s="8" t="n">
        <f>IF(COUNT(AS272,AW272,BA272)=3,1,0)</f>
        <v>1</v>
      </c>
      <c r="BC272" s="11" t="n">
        <f>IF(SUMIF($AO$11:$AO$1309,AO272,$BB$11:$BB$1309)=COUNTIF($AO$11:$AO$1309,AO272),SUMIF($AO$11:$AO$1309,AO272,$AS$11:$AS$1309),"")</f>
        <v>3.1019363848639383</v>
      </c>
      <c r="BD272" s="11" t="n">
        <f>IF(SUMIF($AO$11:$AO$1309,AO272,$BB$11:$BB$1309)=COUNTIF($AO$11:$AO$1309,AO272),SUMIF($AO$11:$AO$1309,AO272,$AW$11:$AW$1309),"")</f>
        <v>1.4098837209302328</v>
      </c>
      <c r="BE272" s="11" t="n">
        <f>IF(SUMIF($AO$11:$AO$1309,AO272,$BB$11:$BB$1309)=COUNTIF($AO$11:$AO$1309,AO272),SUMIF($AO$11:$AO$1309,AO272,$BA$11:$BA$1309),"")</f>
        <v>1.2482449292280753</v>
      </c>
      <c r="BF272" s="12" t="n">
        <f>IF(COUNT(BD272:BE272)&lt;&gt;2,"",IF(AND(BD272&gt;0,BE272&gt;0),0.7*AW272/BD272+0.3*BA272/BE272,IF(BD272&gt;0,AW272/BD272,IF(BE272&gt;0,BA272/BE272,IF(AND(ISNUMBER(BH272),BH272=0),0,"")))))</f>
        <v>0.07961459059136565</v>
      </c>
      <c r="BG272" s="11" t="n">
        <f>IF(AND(COUNT(BN272:BU272)=8,MIN(BN272:BU272)&gt;=0),SUMPRODUCT(BN272:BQ272,BR272:BU272),"")</f>
        <v>78.35892944347341</v>
      </c>
      <c r="BH272" s="11" t="n">
        <f>IF(COUNT(BC272,BG272)=2,BC272*BG272,"")</f>
        <v>243.06441431969634</v>
      </c>
      <c r="BI272" s="11" t="n">
        <f>IF(ISNUMBER(CI272),CI272,"")</f>
        <v>19.351473833392696</v>
      </c>
      <c r="BJ272" s="8" t="str"/>
      <c r="BK272" s="8" t="str">
        <v>90天：2026-07-20 至 2026-10-17；180天：2026-04-21 至 2026-10-17</v>
      </c>
      <c r="BL272" s="8" t="str">
        <v>90天：2026-10-06、2026-10-07；180天：2026-10-06、2026-10-07</v>
      </c>
      <c r="BM272" s="8" t="str">
        <v>2026-10：12天 × 0.7307750238224848；2026-11：30天 × 0.9523018155490097；2026-12：31天 × 0.5958545198749097；2027-01：17天 × 1.3264167397065354</v>
      </c>
      <c r="BN272" s="11" t="n">
        <v>0.7307750238224848</v>
      </c>
      <c r="BO272" s="11" t="n">
        <v>0.9523018155490097</v>
      </c>
      <c r="BP272" s="11" t="n">
        <v>0.5958545198749097</v>
      </c>
      <c r="BQ272" s="11" t="n">
        <v>1.3264167397065354</v>
      </c>
      <c r="BR272" s="8" t="n">
        <v>12</v>
      </c>
      <c r="BS272" s="8" t="n">
        <v>30</v>
      </c>
      <c r="BT272" s="8" t="n">
        <v>31</v>
      </c>
      <c r="BU272" s="8" t="n">
        <v>17</v>
      </c>
      <c r="BV272" s="11" t="n">
        <f>IF(COUNT(BC272,BF272)=2,BC272*BF272,"")</f>
        <v>0.2469593953214033</v>
      </c>
      <c r="BW272" s="11" t="n">
        <f>IF(ISNUMBER(BN272),BN272,"")</f>
        <v>0.7307750238224848</v>
      </c>
      <c r="BX272" s="14" t="n">
        <f>IF(ISNUMBER(BR272),BR272,"")</f>
        <v>12</v>
      </c>
      <c r="BY272" s="13" t="n">
        <f>IF(AND(COUNT(BV272,BW272,BX272)=3,MIN(BV272,BW272,BX272)&gt;=0),BV272*BW272*BX272,"")</f>
        <v>2.1656610959902194</v>
      </c>
      <c r="BZ272" s="11" t="n">
        <f>IF(ISNUMBER(BO272),BO272,"")</f>
        <v>0.9523018155490097</v>
      </c>
      <c r="CA272" s="14" t="n">
        <f>IF(ISNUMBER(BS272),BS272,"")</f>
        <v>30</v>
      </c>
      <c r="CB272" s="13" t="n">
        <f>IF(AND(COUNT(BV272,BZ272,CA272)=3,MIN(BV272,BZ272,CA272)&gt;=0),BV272*BZ272*CA272,"")</f>
        <v>7.055396415943739</v>
      </c>
      <c r="CC272" s="11" t="n">
        <f>IF(ISNUMBER(BP272),BP272,"")</f>
        <v>0.5958545198749097</v>
      </c>
      <c r="CD272" s="14" t="n">
        <f>IF(ISNUMBER(BT272),BT272,"")</f>
        <v>31</v>
      </c>
      <c r="CE272" s="13" t="n">
        <f>IF(AND(COUNT(BV272,CC272,CD272)=3,MIN(BV272,CC272,CD272)&gt;=0),BV272*CC272*CD272,"")</f>
        <v>4.561708029762816</v>
      </c>
      <c r="CF272" s="11" t="n">
        <f>IF(ISNUMBER(BQ272),BQ272,"")</f>
        <v>1.3264167397065354</v>
      </c>
      <c r="CG272" s="14" t="n">
        <f>IF(ISNUMBER(BU272),BU272,"")</f>
        <v>17</v>
      </c>
      <c r="CH272" s="13" t="n">
        <f>IF(AND(COUNT(BV272,CF272,CG272)=3,MIN(BV272,CF272,CG272)&gt;=0),BV272*CF272*CG272,"")</f>
        <v>5.568708291695923</v>
      </c>
      <c r="CI272" s="13" t="n">
        <f>IF(COUNT(BY272,CB272,CE272,CH272)=4,SUM(BY272,CB272,CE272,CH272),"")</f>
        <v>19.351473833392696</v>
      </c>
    </row>
    <row r="273" ht="72" customHeight="1">
      <c r="A273" s="16" t="str">
        <v>B06b-BKP-37</v>
      </c>
      <c r="B273" s="16" t="str">
        <v>1店-MUSSHOE-US</v>
      </c>
      <c r="C273" s="16" t="str">
        <v>艾年</v>
      </c>
      <c r="D273" s="26" t="n">
        <f>IF(NOT(ISNUMBER(E273)),"",IF(OR(E273&lt;=0,L273=0),0,IF(OR(NOT(ISNUMBER(F273)),F273&lt;0),"",MIN(E273,INT(F273)))))</f>
        <v>0</v>
      </c>
      <c r="E273" s="27" t="n">
        <f>IF(OR(NOT(ISNUMBER(L273)),COUNT(M273:O273)&lt;&gt;3,MIN(M273:O273)&lt;0),"",ROUNDUP(ROUND(BI273-SUM(M273:O273),10),0))</f>
        <v>16</v>
      </c>
      <c r="F273" s="28" t="n">
        <v>0</v>
      </c>
      <c r="G273" s="28" t="n">
        <f>IF(AND(ISNUMBER(D273),ISNUMBER(E273)),IF(OR(E273&lt;=0,L273=0),0,E273-D273),"")</f>
        <v>16</v>
      </c>
      <c r="H273" s="16" t="str">
        <f>IF(NOT(ISNUMBER(E273)),"销量或海外库存待补",IF(OR(E273&lt;=0,L273=0),IF(L273=0,"零日销，本批不发","本批无需补货"),IF(NOT(ISNUMBER(D273)),"国内库存待补",IF(D273=0,"国内无可用库存",IF(G273&gt;0,"先发国内现货","按建议量发货")))))</f>
        <v>国内无可用库存</v>
      </c>
      <c r="I273" s="28" t="n">
        <f>IF(AND(COUNT(Z273,AA273,AB273)=3,Z273&gt;=AA273,AA273&gt;=0,AB273=7),Z273-AA273,"")</f>
        <v>1</v>
      </c>
      <c r="J273" s="28" t="n">
        <f>IF(AND(COUNT(AF273,AG273,AH273)=3,AF273&gt;=AG273,AG273&gt;=0,AH273=14),AF273-AG273,"")</f>
        <v>2</v>
      </c>
      <c r="K273" s="28" t="n">
        <f>IF(AND(COUNT(AL273,AM273,AN273)=3,AL273&gt;=AM273,AM273&gt;=0,AN273=30),AL273-AM273,"")</f>
        <v>9</v>
      </c>
      <c r="L273" s="29" t="n">
        <f>IF(ISNUMBER(BI273),BI273/90,"")</f>
        <v>0.17026980086035048</v>
      </c>
      <c r="M273" s="28" t="n">
        <v>0</v>
      </c>
      <c r="N273" s="28" t="n">
        <v>0</v>
      </c>
      <c r="O273" s="28" t="n">
        <v>0</v>
      </c>
      <c r="P273" s="30" t="n">
        <f>IF(AND(ISNUMBER(L273),L273&gt;0,COUNT(M273:O273)=3,MIN(M273:O273)&gt;=0),SUM(M273:O273)/L273,"")</f>
        <v>0</v>
      </c>
      <c r="Q273" s="16" t="str">
        <v>沿用原计划SKU店铺</v>
      </c>
      <c r="R273" s="16" t="str">
        <v>已匹配</v>
      </c>
      <c r="S273" s="16" t="str">
        <v>停售</v>
      </c>
      <c r="T273" s="16" t="str">
        <v>B06b</v>
      </c>
      <c r="U273" s="16" t="str">
        <v>黑色PU</v>
      </c>
      <c r="V273" s="16" t="n">
        <v>6</v>
      </c>
      <c r="W273" s="8" t="str">
        <v>2026-10-10 至 2026-10-17</v>
      </c>
      <c r="X273" s="8" t="str">
        <v>2026-10-10、2026-10-11、2026-10-12、2026-10-13、2026-10-14、2026-10-15、2026-10-17</v>
      </c>
      <c r="Y273" s="8" t="str">
        <v>2026-10-16 有记录的停售日</v>
      </c>
      <c r="Z273" s="8" t="n">
        <v>1</v>
      </c>
      <c r="AA273" s="8" t="n">
        <v>0</v>
      </c>
      <c r="AB273" s="8" t="n">
        <v>7</v>
      </c>
      <c r="AC273" s="8" t="str">
        <v>2026-10-01 至 2026-10-17</v>
      </c>
      <c r="AD273" s="8" t="str">
        <v>2026-10-01、2026-10-02、2026-10-03、2026-10-04、2026-10-05、2026-10-08、2026-10-09、2026-10-10、2026-10-11、2026-10-12、2026-10-13、2026-10-14、2026-10-15、2026-10-17</v>
      </c>
      <c r="AE273" s="8" t="str">
        <v>2026-10-06 大促；2026-10-07 大促；2026-10-16 有记录的停售日</v>
      </c>
      <c r="AF273" s="8" t="n">
        <v>2</v>
      </c>
      <c r="AG273" s="8" t="n">
        <v>0</v>
      </c>
      <c r="AH273" s="8" t="n">
        <v>14</v>
      </c>
      <c r="AI273" s="8" t="str">
        <v>2026-09-15 至 2026-10-17</v>
      </c>
      <c r="AJ273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273" s="8" t="str">
        <v>2026-10-06 大促；2026-10-07 大促；2026-10-16 有记录的停售日</v>
      </c>
      <c r="AL273" s="8" t="n">
        <v>9</v>
      </c>
      <c r="AM273" s="8" t="n">
        <v>0</v>
      </c>
      <c r="AN273" s="8" t="n">
        <v>30</v>
      </c>
      <c r="AO273" s="8" t="str">
        <v>B06b / 黑色PU / 13120</v>
      </c>
      <c r="AP273" s="11" t="n">
        <v>1.1090677182221615</v>
      </c>
      <c r="AQ273" s="11" t="n">
        <v>1.1090677182221615</v>
      </c>
      <c r="AR273" s="11" t="n">
        <v>0.9399488951632641</v>
      </c>
      <c r="AS273" s="11" t="n">
        <f>IF(AND(COUNT(I273:K273,AP273:AR273)=6,MIN(AP273:AR273)&gt;0),I273/7/AP273*0.5+J273/14/AQ273*0.3+K273/30/AR273*0.2,"")</f>
        <v>0.1668799088189865</v>
      </c>
      <c r="AT273" s="8" t="n">
        <v>17</v>
      </c>
      <c r="AU273" s="8" t="n">
        <v>0</v>
      </c>
      <c r="AV273" s="8" t="n">
        <v>87</v>
      </c>
      <c r="AW273" s="11" t="n">
        <f>IF(AND(COUNT(AT273:AV273)=3,AT273&gt;=AU273,AU273&gt;=0,AV273&gt;0),(AT273-AU273)/AV273,"")</f>
        <v>0.19540229885057472</v>
      </c>
      <c r="AX273" s="8" t="n">
        <v>21</v>
      </c>
      <c r="AY273" s="8" t="n">
        <v>0</v>
      </c>
      <c r="AZ273" s="8" t="n">
        <v>177</v>
      </c>
      <c r="BA273" s="11" t="n">
        <f>IF(AND(COUNT(AX273:AZ273)=3,AX273&gt;=AY273,AY273&gt;=0,AZ273&gt;0),(AX273-AY273)/AZ273,"")</f>
        <v>0.11864406779661017</v>
      </c>
      <c r="BB273" s="8" t="n">
        <f>IF(COUNT(AS273,AW273,BA273)=3,1,0)</f>
        <v>1</v>
      </c>
      <c r="BC273" s="11" t="n">
        <f>IF(SUMIF($AO$11:$AO$1309,AO273,$BB$11:$BB$1309)=COUNTIF($AO$11:$AO$1309,AO273),SUMIF($AO$11:$AO$1309,AO273,$AS$11:$AS$1309),"")</f>
        <v>2.196839072529989</v>
      </c>
      <c r="BD273" s="11" t="n">
        <f>IF(SUMIF($AO$11:$AO$1309,AO273,$BB$11:$BB$1309)=COUNTIF($AO$11:$AO$1309,AO273),SUMIF($AO$11:$AO$1309,AO273,$AW$11:$AW$1309),"")</f>
        <v>2.461979838957527</v>
      </c>
      <c r="BE273" s="11" t="n">
        <f>IF(SUMIF($AO$11:$AO$1309,AO273,$BB$11:$BB$1309)=COUNTIF($AO$11:$AO$1309,AO273),SUMIF($AO$11:$AO$1309,AO273,$BA$11:$BA$1309),"")</f>
        <v>1.9475686263840901</v>
      </c>
      <c r="BF273" s="12" t="n">
        <f>IF(COUNT(BD273:BE273)&lt;&gt;2,"",IF(AND(BD273&gt;0,BE273&gt;0),0.7*AW273/BD273+0.3*BA273/BE273,IF(BD273&gt;0,AW273/BD273,IF(BE273&gt;0,BA273/BE273,IF(AND(ISNUMBER(BH273),BH273=0),0,"")))))</f>
        <v>0.07383328747248757</v>
      </c>
      <c r="BG273" s="11" t="n">
        <f>IF(AND(COUNT(BN273:BU273)=8,MIN(BN273:BU273)&gt;=0),SUMPRODUCT(BN273:BQ273,BR273:BU273),"")</f>
        <v>94.47778160343367</v>
      </c>
      <c r="BH273" s="11" t="n">
        <f>IF(COUNT(BC273,BG273)=2,BC273*BG273,"")</f>
        <v>207.55248211237807</v>
      </c>
      <c r="BI273" s="11" t="n">
        <f>IF(ISNUMBER(CI273),CI273,"")</f>
        <v>15.324282077431544</v>
      </c>
      <c r="BJ273" s="8" t="str"/>
      <c r="BK273" s="8" t="str">
        <v>90天：2026-07-20 至 2026-10-17；180天：2026-04-21 至 2026-10-17</v>
      </c>
      <c r="BL273" s="8" t="str">
        <v>90天：2026-10-06、2026-10-07、2026-10-16；180天：2026-10-06、2026-10-07、2026-10-16</v>
      </c>
      <c r="BM273" s="8" t="str">
        <v>2026-10：12天 × 1.1090677182221615；2026-11：30天 × 1.0372741535934282；2026-12：31天 × 0.979949351738161；2027-01：17天 × 1.1571949690048173</v>
      </c>
      <c r="BN273" s="11" t="n">
        <v>1.1090677182221615</v>
      </c>
      <c r="BO273" s="11" t="n">
        <v>1.0372741535934282</v>
      </c>
      <c r="BP273" s="11" t="n">
        <v>0.979949351738161</v>
      </c>
      <c r="BQ273" s="11" t="n">
        <v>1.1571949690048173</v>
      </c>
      <c r="BR273" s="8" t="n">
        <v>12</v>
      </c>
      <c r="BS273" s="8" t="n">
        <v>30</v>
      </c>
      <c r="BT273" s="8" t="n">
        <v>31</v>
      </c>
      <c r="BU273" s="8" t="n">
        <v>17</v>
      </c>
      <c r="BV273" s="11" t="n">
        <f>IF(COUNT(BC273,BF273)=2,BC273*BF273,"")</f>
        <v>0.16219985077289964</v>
      </c>
      <c r="BW273" s="11" t="n">
        <f>IF(ISNUMBER(BN273),BN273,"")</f>
        <v>1.1090677182221615</v>
      </c>
      <c r="BX273" s="14" t="n">
        <f>IF(ISNUMBER(BR273),BR273,"")</f>
        <v>12</v>
      </c>
      <c r="BY273" s="13" t="n">
        <f>IF(AND(COUNT(BV273,BW273,BX273)=3,MIN(BV273,BW273,BX273)&gt;=0),BV273*BW273*BX273,"")</f>
        <v>2.158687420712099</v>
      </c>
      <c r="BZ273" s="11" t="n">
        <f>IF(ISNUMBER(BO273),BO273,"")</f>
        <v>1.0372741535934282</v>
      </c>
      <c r="CA273" s="14" t="n">
        <f>IF(ISNUMBER(BS273),BS273,"")</f>
        <v>30</v>
      </c>
      <c r="CB273" s="13" t="n">
        <f>IF(AND(COUNT(BV273,BZ273,CA273)=3,MIN(BV273,BZ273,CA273)&gt;=0),BV273*BZ273*CA273,"")</f>
        <v>5.047371387703195</v>
      </c>
      <c r="CC273" s="11" t="n">
        <f>IF(ISNUMBER(BP273),BP273,"")</f>
        <v>0.979949351738161</v>
      </c>
      <c r="CD273" s="14" t="n">
        <f>IF(ISNUMBER(BT273),BT273,"")</f>
        <v>31</v>
      </c>
      <c r="CE273" s="13" t="n">
        <f>IF(AND(COUNT(BV273,CC273,CD273)=3,MIN(BV273,CC273,CD273)&gt;=0),BV273*CC273*CD273,"")</f>
        <v>4.927376797124813</v>
      </c>
      <c r="CF273" s="11" t="n">
        <f>IF(ISNUMBER(BQ273),BQ273,"")</f>
        <v>1.1571949690048173</v>
      </c>
      <c r="CG273" s="14" t="n">
        <f>IF(ISNUMBER(BU273),BU273,"")</f>
        <v>17</v>
      </c>
      <c r="CH273" s="13" t="n">
        <f>IF(AND(COUNT(BV273,CF273,CG273)=3,MIN(BV273,CF273,CG273)&gt;=0),BV273*CF273*CG273,"")</f>
        <v>3.190846471891437</v>
      </c>
      <c r="CI273" s="13" t="n">
        <f>IF(COUNT(BY273,CB273,CE273,CH273)=4,SUM(BY273,CB273,CE273,CH273),"")</f>
        <v>15.324282077431544</v>
      </c>
    </row>
    <row r="274" ht="72" customHeight="1">
      <c r="A274" s="16" t="str">
        <v>B07-BK-Z-0-40</v>
      </c>
      <c r="B274" s="16" t="str">
        <v>4店-彬郁-US</v>
      </c>
      <c r="C274" s="16" t="str">
        <v>艾年</v>
      </c>
      <c r="D274" s="26" t="n">
        <f>IF(NOT(ISNUMBER(E274)),"",IF(OR(E274&lt;=0,L274=0),0,IF(OR(NOT(ISNUMBER(F274)),F274&lt;0),"",MIN(E274,INT(F274)))))</f>
        <v>0</v>
      </c>
      <c r="E274" s="27" t="n">
        <f>IF(OR(NOT(ISNUMBER(L274)),COUNT(M274:O274)&lt;&gt;3,MIN(M274:O274)&lt;0),"",ROUNDUP(ROUND(BI274-SUM(M274:O274),10),0))</f>
        <v>16</v>
      </c>
      <c r="F274" s="28" t="n">
        <v>0</v>
      </c>
      <c r="G274" s="28" t="n">
        <f>IF(AND(ISNUMBER(D274),ISNUMBER(E274)),IF(OR(E274&lt;=0,L274=0),0,E274-D274),"")</f>
        <v>16</v>
      </c>
      <c r="H274" s="16" t="str">
        <f>IF(NOT(ISNUMBER(E274)),"销量或海外库存待补",IF(OR(E274&lt;=0,L274=0),IF(L274=0,"零日销，本批不发","本批无需补货"),IF(NOT(ISNUMBER(D274)),"国内库存待补",IF(D274=0,"国内无可用库存",IF(G274&gt;0,"先发国内现货","按建议量发货")))))</f>
        <v>国内无可用库存</v>
      </c>
      <c r="I274" s="28" t="n">
        <f>IF(AND(COUNT(Z274,AA274,AB274)=3,Z274&gt;=AA274,AA274&gt;=0,AB274=7),Z274-AA274,"")</f>
        <v>0</v>
      </c>
      <c r="J274" s="28" t="n">
        <f>IF(AND(COUNT(AF274,AG274,AH274)=3,AF274&gt;=AG274,AG274&gt;=0,AH274=14),AF274-AG274,"")</f>
        <v>2</v>
      </c>
      <c r="K274" s="28" t="n">
        <f>IF(AND(COUNT(AL274,AM274,AN274)=3,AL274&gt;=AM274,AM274&gt;=0,AN274=30),AL274-AM274,"")</f>
        <v>5</v>
      </c>
      <c r="L274" s="29" t="n">
        <f>IF(ISNUMBER(BI274),BI274/90,"")</f>
        <v>0.16838124655950584</v>
      </c>
      <c r="M274" s="28" t="n">
        <v>0</v>
      </c>
      <c r="N274" s="28" t="n">
        <v>0</v>
      </c>
      <c r="O274" s="28" t="n">
        <v>0</v>
      </c>
      <c r="P274" s="30" t="n">
        <f>IF(AND(ISNUMBER(L274),L274&gt;0,COUNT(M274:O274)=3,MIN(M274:O274)&gt;=0),SUM(M274:O274)/L274,"")</f>
        <v>0</v>
      </c>
      <c r="Q274" s="16" t="str">
        <v>沿用原计划SKU店铺</v>
      </c>
      <c r="R274" s="16" t="str">
        <v>已匹配</v>
      </c>
      <c r="S274" s="16" t="str">
        <v>停售</v>
      </c>
      <c r="T274" s="16" t="str">
        <v>B07</v>
      </c>
      <c r="U274" s="16" t="str">
        <v>黑色镜面PU</v>
      </c>
      <c r="V274" s="16" t="n">
        <v>9</v>
      </c>
      <c r="W274" s="8" t="str">
        <v>2026-10-08 至 2026-10-17</v>
      </c>
      <c r="X274" s="8" t="str">
        <v>2026-10-08、2026-10-09、2026-10-10、2026-10-11、2026-10-14、2026-10-15、2026-10-17</v>
      </c>
      <c r="Y274" s="8" t="str">
        <v>2026-10-12 有记录的停售日；2026-10-13 有记录的停售日；2026-10-16 有记录的停售日</v>
      </c>
      <c r="Z274" s="8" t="n">
        <v>0</v>
      </c>
      <c r="AA274" s="8" t="n">
        <v>0</v>
      </c>
      <c r="AB274" s="8" t="n">
        <v>7</v>
      </c>
      <c r="AC274" s="8" t="str">
        <v>2026-09-29 至 2026-10-17</v>
      </c>
      <c r="AD274" s="8" t="str">
        <v>2026-09-29、2026-09-30、2026-10-01、2026-10-02、2026-10-03、2026-10-04、2026-10-05、2026-10-08、2026-10-09、2026-10-10、2026-10-11、2026-10-14、2026-10-15、2026-10-17</v>
      </c>
      <c r="AE274" s="8" t="str">
        <v>2026-10-06 大促；2026-10-07 大促；2026-10-12 有记录的停售日；2026-10-13 有记录的停售日；2026-10-16 有记录的停售日</v>
      </c>
      <c r="AF274" s="8" t="n">
        <v>2</v>
      </c>
      <c r="AG274" s="8" t="n">
        <v>0</v>
      </c>
      <c r="AH274" s="8" t="n">
        <v>14</v>
      </c>
      <c r="AI274" s="8" t="str">
        <v>2026-09-13 至 2026-10-17</v>
      </c>
      <c r="AJ27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74" s="8" t="str">
        <v>2026-10-06 大促；2026-10-07 大促；2026-10-12 有记录的停售日；2026-10-13 有记录的停售日；2026-10-16 有记录的停售日</v>
      </c>
      <c r="AL274" s="8" t="n">
        <v>5</v>
      </c>
      <c r="AM274" s="8" t="n">
        <v>0</v>
      </c>
      <c r="AN274" s="8" t="n">
        <v>30</v>
      </c>
      <c r="AO274" s="8" t="str">
        <v>B07 / 黑色天鹅绒 / 13306</v>
      </c>
      <c r="AP274" s="11" t="n">
        <v>0.7307750238224848</v>
      </c>
      <c r="AQ274" s="11" t="n">
        <v>0.7348338471341894</v>
      </c>
      <c r="AR274" s="11" t="n">
        <v>0.7478220817316438</v>
      </c>
      <c r="AS274" s="11" t="n">
        <f>IF(AND(COUNT(I274:K274,AP274:AR274)=6,MIN(AP274:AR274)&gt;0),I274/7/AP274*0.5+J274/14/AQ274*0.3+K274/30/AR274*0.2,"")</f>
        <v>0.10289610426519408</v>
      </c>
      <c r="AT274" s="8" t="n">
        <v>8</v>
      </c>
      <c r="AU274" s="8" t="n">
        <v>0</v>
      </c>
      <c r="AV274" s="8" t="n">
        <v>85</v>
      </c>
      <c r="AW274" s="11" t="n">
        <f>IF(AND(COUNT(AT274:AV274)=3,AT274&gt;=AU274,AU274&gt;=0,AV274&gt;0),(AT274-AU274)/AV274,"")</f>
        <v>0.09411764705882353</v>
      </c>
      <c r="AX274" s="8" t="n">
        <v>15</v>
      </c>
      <c r="AY274" s="8" t="n">
        <v>0</v>
      </c>
      <c r="AZ274" s="8" t="n">
        <v>175</v>
      </c>
      <c r="BA274" s="11" t="n">
        <f>IF(AND(COUNT(AX274:AZ274)=3,AX274&gt;=AY274,AY274&gt;=0,AZ274&gt;0),(AX274-AY274)/AZ274,"")</f>
        <v>0.08571428571428572</v>
      </c>
      <c r="BB274" s="8" t="n">
        <f>IF(COUNT(AS274,AW274,BA274)=3,1,0)</f>
        <v>1</v>
      </c>
      <c r="BC274" s="11" t="n">
        <f>IF(SUMIF($AO$11:$AO$1309,AO274,$BB$11:$BB$1309)=COUNTIF($AO$11:$AO$1309,AO274),SUMIF($AO$11:$AO$1309,AO274,$AS$11:$AS$1309),"")</f>
        <v>11.92937132043239</v>
      </c>
      <c r="BD274" s="11" t="n">
        <f>IF(SUMIF($AO$11:$AO$1309,AO274,$BB$11:$BB$1309)=COUNTIF($AO$11:$AO$1309,AO274),SUMIF($AO$11:$AO$1309,AO274,$AW$11:$AW$1309),"")</f>
        <v>5.794919786096258</v>
      </c>
      <c r="BE274" s="11" t="n">
        <f>IF(SUMIF($AO$11:$AO$1309,AO274,$BB$11:$BB$1309)=COUNTIF($AO$11:$AO$1309,AO274),SUMIF($AO$11:$AO$1309,AO274,$BA$11:$BA$1309),"")</f>
        <v>5.3098234349919755</v>
      </c>
      <c r="BF274" s="12" t="n">
        <f>IF(COUNT(BD274:BE274)&lt;&gt;2,"",IF(AND(BD274&gt;0,BE274&gt;0),0.7*AW274/BD274+0.3*BA274/BE274,IF(BD274&gt;0,AW274/BD274,IF(BE274&gt;0,BA274/BE274,IF(AND(ISNUMBER(BH274),BH274=0),0,"")))))</f>
        <v>0.01621176049195633</v>
      </c>
      <c r="BG274" s="11" t="n">
        <f>IF(AND(COUNT(BN274:BU274)=8,MIN(BN274:BU274)&gt;=0),SUMPRODUCT(BN274:BQ274,BR274:BU274),"")</f>
        <v>78.35892944347341</v>
      </c>
      <c r="BH274" s="11" t="n">
        <f>IF(COUNT(BC274,BG274)=2,BC274*BG274,"")</f>
        <v>934.7727656027569</v>
      </c>
      <c r="BI274" s="11" t="n">
        <f>IF(ISNUMBER(CI274),CI274,"")</f>
        <v>15.154312190355526</v>
      </c>
      <c r="BJ274" s="8" t="str">
        <v>低销提醒依据不完整</v>
      </c>
      <c r="BK274" s="8" t="str">
        <v>90天：2026-07-20 至 2026-10-17；180天：2026-04-21 至 2026-10-17</v>
      </c>
      <c r="BL274" s="8" t="str">
        <v>90天：2026-10-06、2026-10-07、2026-10-12、2026-10-13、2026-10-16；180天：2026-10-06、2026-10-07、2026-10-12、2026-10-13、2026-10-16</v>
      </c>
      <c r="BM274" s="8" t="str">
        <v>2026-10：12天 × 0.7307750238224848；2026-11：30天 × 0.9523018155490097；2026-12：31天 × 0.5958545198749097；2027-01：17天 × 1.3264167397065354</v>
      </c>
      <c r="BN274" s="11" t="n">
        <v>0.7307750238224848</v>
      </c>
      <c r="BO274" s="11" t="n">
        <v>0.9523018155490097</v>
      </c>
      <c r="BP274" s="11" t="n">
        <v>0.5958545198749097</v>
      </c>
      <c r="BQ274" s="11" t="n">
        <v>1.3264167397065354</v>
      </c>
      <c r="BR274" s="8" t="n">
        <v>12</v>
      </c>
      <c r="BS274" s="8" t="n">
        <v>30</v>
      </c>
      <c r="BT274" s="8" t="n">
        <v>31</v>
      </c>
      <c r="BU274" s="8" t="n">
        <v>17</v>
      </c>
      <c r="BV274" s="11" t="n">
        <f>IF(COUNT(BC274,BF274)=2,BC274*BF274,"")</f>
        <v>0.1933961106664627</v>
      </c>
      <c r="BW274" s="11" t="n">
        <f>IF(ISNUMBER(BN274),BN274,"")</f>
        <v>0.7307750238224848</v>
      </c>
      <c r="BX274" s="14" t="n">
        <f>IF(ISNUMBER(BR274),BR274,"")</f>
        <v>12</v>
      </c>
      <c r="BY274" s="13" t="n">
        <f>IF(AND(COUNT(BV274,BW274,BX274)=3,MIN(BV274,BW274,BX274)&gt;=0),BV274*BW274*BX274,"")</f>
        <v>1.6959485685535225</v>
      </c>
      <c r="BZ274" s="11" t="n">
        <f>IF(ISNUMBER(BO274),BO274,"")</f>
        <v>0.9523018155490097</v>
      </c>
      <c r="CA274" s="14" t="n">
        <f>IF(ISNUMBER(BS274),BS274,"")</f>
        <v>30</v>
      </c>
      <c r="CB274" s="13" t="n">
        <f>IF(AND(COUNT(BV274,BZ274,CA274)=3,MIN(BV274,BZ274,CA274)&gt;=0),BV274*BZ274*CA274,"")</f>
        <v>5.525144019233689</v>
      </c>
      <c r="CC274" s="11" t="n">
        <f>IF(ISNUMBER(BP274),BP274,"")</f>
        <v>0.5958545198749097</v>
      </c>
      <c r="CD274" s="14" t="n">
        <f>IF(ISNUMBER(BT274),BT274,"")</f>
        <v>31</v>
      </c>
      <c r="CE274" s="13" t="n">
        <f>IF(AND(COUNT(BV274,CC274,CD274)=3,MIN(BV274,CC274,CD274)&gt;=0),BV274*CC274*CD274,"")</f>
        <v>3.572314346672041</v>
      </c>
      <c r="CF274" s="11" t="n">
        <f>IF(ISNUMBER(BQ274),BQ274,"")</f>
        <v>1.3264167397065354</v>
      </c>
      <c r="CG274" s="14" t="n">
        <f>IF(ISNUMBER(BU274),BU274,"")</f>
        <v>17</v>
      </c>
      <c r="CH274" s="13" t="n">
        <f>IF(AND(COUNT(BV274,CF274,CG274)=3,MIN(BV274,CF274,CG274)&gt;=0),BV274*CF274*CG274,"")</f>
        <v>4.360905255896275</v>
      </c>
      <c r="CI274" s="13" t="n">
        <f>IF(COUNT(BY274,CB274,CE274,CH274)=4,SUM(BY274,CB274,CE274,CH274),"")</f>
        <v>15.154312190355526</v>
      </c>
    </row>
    <row r="275" ht="72" customHeight="1">
      <c r="A275" s="16" t="str">
        <v>1S01-BLK-37.5</v>
      </c>
      <c r="B275" s="16" t="str">
        <v>3店-SANDIEX-US</v>
      </c>
      <c r="C275" s="16" t="str">
        <v>徐新怡</v>
      </c>
      <c r="D275" s="26" t="n">
        <f>IF(NOT(ISNUMBER(E275)),"",IF(OR(E275&lt;=0,L275=0),0,IF(OR(NOT(ISNUMBER(F275)),F275&lt;0),"",MIN(E275,INT(F275)))))</f>
        <v>0</v>
      </c>
      <c r="E275" s="27" t="n">
        <f>IF(OR(NOT(ISNUMBER(L275)),COUNT(M275:O275)&lt;&gt;3,MIN(M275:O275)&lt;0),"",ROUNDUP(ROUND(BI275-SUM(M275:O275),10),0))</f>
        <v>15</v>
      </c>
      <c r="F275" s="28" t="n">
        <v>0</v>
      </c>
      <c r="G275" s="28" t="n">
        <f>IF(AND(ISNUMBER(D275),ISNUMBER(E275)),IF(OR(E275&lt;=0,L275=0),0,E275-D275),"")</f>
        <v>15</v>
      </c>
      <c r="H275" s="16" t="str">
        <f>IF(NOT(ISNUMBER(E275)),"销量或海外库存待补",IF(OR(E275&lt;=0,L275=0),IF(L275=0,"零日销，本批不发","本批无需补货"),IF(NOT(ISNUMBER(D275)),"国内库存待补",IF(D275=0,"国内无可用库存",IF(G275&gt;0,"先发国内现货","按建议量发货")))))</f>
        <v>国内无可用库存</v>
      </c>
      <c r="I275" s="28" t="n">
        <f>IF(AND(COUNT(Z275,AA275,AB275)=3,Z275&gt;=AA275,AA275&gt;=0,AB275=7),Z275-AA275,"")</f>
        <v>0</v>
      </c>
      <c r="J275" s="28" t="n">
        <f>IF(AND(COUNT(AF275,AG275,AH275)=3,AF275&gt;=AG275,AG275&gt;=0,AH275=14),AF275-AG275,"")</f>
        <v>3</v>
      </c>
      <c r="K275" s="28" t="n">
        <f>IF(AND(COUNT(AL275,AM275,AN275)=3,AL275&gt;=AM275,AM275&gt;=0,AN275=30),AL275-AM275,"")</f>
        <v>10</v>
      </c>
      <c r="L275" s="29" t="n">
        <f>IF(ISNUMBER(BI275),BI275/90,"")</f>
        <v>0.17933484016556847</v>
      </c>
      <c r="M275" s="28" t="n">
        <v>2</v>
      </c>
      <c r="N275" s="28" t="n">
        <v>0</v>
      </c>
      <c r="O275" s="28" t="n">
        <v>0</v>
      </c>
      <c r="P275" s="30" t="n">
        <f>IF(AND(ISNUMBER(L275),L275&gt;0,COUNT(M275:O275)=3,MIN(M275:O275)&gt;=0),SUM(M275:O275)/L275,"")</f>
        <v>11.152322650487362</v>
      </c>
      <c r="Q275" s="16" t="str">
        <v>沿用原计划SKU店铺</v>
      </c>
      <c r="R275" s="16" t="str">
        <v>已匹配</v>
      </c>
      <c r="S275" s="16" t="str">
        <v>在售</v>
      </c>
      <c r="T275" s="16" t="str">
        <v>1S01</v>
      </c>
      <c r="U275" s="16" t="str">
        <v>黑色</v>
      </c>
      <c r="V275" s="16" t="n">
        <v>6.5</v>
      </c>
      <c r="W275" s="8" t="str">
        <v>2026-10-10 至 2026-10-17</v>
      </c>
      <c r="X275" s="8" t="str">
        <v>2026-10-10、2026-10-11、2026-10-12、2026-10-14、2026-10-15、2026-10-16、2026-10-17</v>
      </c>
      <c r="Y275" s="8" t="str">
        <v>2026-10-13 有记录的停售日</v>
      </c>
      <c r="Z275" s="8" t="n">
        <v>0</v>
      </c>
      <c r="AA275" s="8" t="n">
        <v>0</v>
      </c>
      <c r="AB275" s="8" t="n">
        <v>7</v>
      </c>
      <c r="AC275" s="8" t="str">
        <v>2026-10-01 至 2026-10-17</v>
      </c>
      <c r="AD275" s="8" t="str">
        <v>2026-10-01、2026-10-02、2026-10-03、2026-10-04、2026-10-05、2026-10-08、2026-10-09、2026-10-10、2026-10-11、2026-10-12、2026-10-14、2026-10-15、2026-10-16、2026-10-17</v>
      </c>
      <c r="AE275" s="8" t="str">
        <v>2026-10-06 大促；2026-10-07 大促；2026-10-13 有记录的停售日</v>
      </c>
      <c r="AF275" s="8" t="n">
        <v>7</v>
      </c>
      <c r="AG275" s="8" t="n">
        <v>4</v>
      </c>
      <c r="AH275" s="8" t="n">
        <v>14</v>
      </c>
      <c r="AI275" s="8" t="str">
        <v>2026-09-15 至 2026-10-17</v>
      </c>
      <c r="AJ275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-14、2026-10-15、2026-10-16、2026-10-17</v>
      </c>
      <c r="AK275" s="8" t="str">
        <v>2026-10-06 大促；2026-10-07 大促；2026-10-13 有记录的停售日</v>
      </c>
      <c r="AL275" s="8" t="n">
        <v>14</v>
      </c>
      <c r="AM275" s="8" t="n">
        <v>4</v>
      </c>
      <c r="AN275" s="8" t="n">
        <v>30</v>
      </c>
      <c r="AO275" s="8" t="str">
        <v>1S01 / 黑色羊京绒 / 6574</v>
      </c>
      <c r="AP275" s="11" t="n">
        <v>0.8729500662042875</v>
      </c>
      <c r="AQ275" s="11" t="n">
        <v>0.8729500662042875</v>
      </c>
      <c r="AR275" s="11" t="n">
        <v>1.1067487534282043</v>
      </c>
      <c r="AS275" s="11" t="n">
        <f>IF(AND(COUNT(I275:K275,AP275:AR275)=6,MIN(AP275:AR275)&gt;0),I275/7/AP275*0.5+J275/14/AQ275*0.3+K275/30/AR275*0.2,"")</f>
        <v>0.13387841049532367</v>
      </c>
      <c r="AT275" s="8" t="n">
        <v>24</v>
      </c>
      <c r="AU275" s="8" t="n">
        <v>4</v>
      </c>
      <c r="AV275" s="8" t="n">
        <v>87</v>
      </c>
      <c r="AW275" s="11" t="n">
        <f>IF(AND(COUNT(AT275:AV275)=3,AT275&gt;=AU275,AU275&gt;=0,AV275&gt;0),(AT275-AU275)/AV275,"")</f>
        <v>0.22988505747126436</v>
      </c>
      <c r="AX275" s="8" t="n">
        <v>37</v>
      </c>
      <c r="AY275" s="8" t="n">
        <v>4</v>
      </c>
      <c r="AZ275" s="8" t="n">
        <v>177</v>
      </c>
      <c r="BA275" s="11" t="n">
        <f>IF(AND(COUNT(AX275:AZ275)=3,AX275&gt;=AY275,AY275&gt;=0,AZ275&gt;0),(AX275-AY275)/AZ275,"")</f>
        <v>0.1864406779661017</v>
      </c>
      <c r="BB275" s="8" t="n">
        <f>IF(COUNT(AS275,AW275,BA275)=3,1,0)</f>
        <v>1</v>
      </c>
      <c r="BC275" s="11" t="n">
        <f>IF(SUMIF($AO$11:$AO$1309,AO275,$BB$11:$BB$1309)=COUNTIF($AO$11:$AO$1309,AO275),SUMIF($AO$11:$AO$1309,AO275,$AS$11:$AS$1309),"")</f>
        <v>6.231458447413107</v>
      </c>
      <c r="BD275" s="11" t="n">
        <f>IF(SUMIF($AO$11:$AO$1309,AO275,$BB$11:$BB$1309)=COUNTIF($AO$11:$AO$1309,AO275),SUMIF($AO$11:$AO$1309,AO275,$AW$11:$AW$1309),"")</f>
        <v>5.866248693834901</v>
      </c>
      <c r="BE275" s="11" t="n">
        <f>IF(SUMIF($AO$11:$AO$1309,AO275,$BB$11:$BB$1309)=COUNTIF($AO$11:$AO$1309,AO275),SUMIF($AO$11:$AO$1309,AO275,$BA$11:$BA$1309),"")</f>
        <v>4.27632831841554</v>
      </c>
      <c r="BF275" s="12" t="n">
        <f>IF(COUNT(BD275:BE275)&lt;&gt;2,"",IF(AND(BD275&gt;0,BE275&gt;0),0.7*AW275/BD275+0.3*BA275/BE275,IF(BD275&gt;0,AW275/BD275,IF(BE275&gt;0,BA275/BE275,IF(AND(ISNUMBER(BH275),BH275=0),0,"")))))</f>
        <v>0.04051091376435331</v>
      </c>
      <c r="BG275" s="11" t="n">
        <f>IF(AND(COUNT(BN275:BU275)=8,MIN(BN275:BU275)&gt;=0),SUMPRODUCT(BN275:BQ275,BR275:BU275),"")</f>
        <v>63.935996265425516</v>
      </c>
      <c r="BH275" s="11" t="n">
        <f>IF(COUNT(BC275,BG275)=2,BC275*BG275,"")</f>
        <v>398.4145040219587</v>
      </c>
      <c r="BI275" s="11" t="n">
        <f>IF(ISNUMBER(CI275),CI275,"")</f>
        <v>16.140135614901162</v>
      </c>
      <c r="BJ275" s="8" t="str"/>
      <c r="BK275" s="8" t="str">
        <v>90天：2026-07-20 至 2026-10-17；180天：2026-04-21 至 2026-10-17</v>
      </c>
      <c r="BL275" s="8" t="str">
        <v>90天：2026-10-06、2026-10-07、2026-10-13；180天：2026-10-06、2026-10-07、2026-10-13</v>
      </c>
      <c r="BM275" s="8" t="str">
        <v>2026-10：12天 × 0.8729500662042875；2026-11：30天 × 0.8057375774163482；2026-12：31天 × 0.532550303142279；2027-01：17天 × 0.7517299265337036</v>
      </c>
      <c r="BN275" s="11" t="n">
        <v>0.8729500662042875</v>
      </c>
      <c r="BO275" s="11" t="n">
        <v>0.8057375774163482</v>
      </c>
      <c r="BP275" s="11" t="n">
        <v>0.532550303142279</v>
      </c>
      <c r="BQ275" s="11" t="n">
        <v>0.7517299265337036</v>
      </c>
      <c r="BR275" s="8" t="n">
        <v>12</v>
      </c>
      <c r="BS275" s="8" t="n">
        <v>30</v>
      </c>
      <c r="BT275" s="8" t="n">
        <v>31</v>
      </c>
      <c r="BU275" s="8" t="n">
        <v>17</v>
      </c>
      <c r="BV275" s="11" t="n">
        <f>IF(COUNT(BC275,BF275)=2,BC275*BF275,"")</f>
        <v>0.2524420757893034</v>
      </c>
      <c r="BW275" s="11" t="n">
        <f>IF(ISNUMBER(BN275),BN275,"")</f>
        <v>0.8729500662042875</v>
      </c>
      <c r="BX275" s="14" t="n">
        <f>IF(ISNUMBER(BR275),BR275,"")</f>
        <v>12</v>
      </c>
      <c r="BY275" s="13" t="n">
        <f>IF(AND(COUNT(BV275,BW275,BX275)=3,MIN(BV275,BW275,BX275)&gt;=0),BV275*BW275*BX275,"")</f>
        <v>2.644431921276242</v>
      </c>
      <c r="BZ275" s="11" t="n">
        <f>IF(ISNUMBER(BO275),BO275,"")</f>
        <v>0.8057375774163482</v>
      </c>
      <c r="CA275" s="14" t="n">
        <f>IF(ISNUMBER(BS275),BS275,"")</f>
        <v>30</v>
      </c>
      <c r="CB275" s="13" t="n">
        <f>IF(AND(COUNT(BV275,BZ275,CA275)=3,MIN(BV275,BZ275,CA275)&gt;=0),BV275*BZ275*CA275,"")</f>
        <v>6.102061997532824</v>
      </c>
      <c r="CC275" s="11" t="n">
        <f>IF(ISNUMBER(BP275),BP275,"")</f>
        <v>0.532550303142279</v>
      </c>
      <c r="CD275" s="14" t="n">
        <f>IF(ISNUMBER(BT275),BT275,"")</f>
        <v>31</v>
      </c>
      <c r="CE275" s="13" t="n">
        <f>IF(AND(COUNT(BV275,CC275,CD275)=3,MIN(BV275,CC275,CD275)&gt;=0),BV275*CC275*CD275,"")</f>
        <v>4.167581223611251</v>
      </c>
      <c r="CF275" s="11" t="n">
        <f>IF(ISNUMBER(BQ275),BQ275,"")</f>
        <v>0.7517299265337036</v>
      </c>
      <c r="CG275" s="14" t="n">
        <f>IF(ISNUMBER(BU275),BU275,"")</f>
        <v>17</v>
      </c>
      <c r="CH275" s="13" t="n">
        <f>IF(AND(COUNT(BV275,CF275,CG275)=3,MIN(BV275,CF275,CG275)&gt;=0),BV275*CF275*CG275,"")</f>
        <v>3.2260604724808473</v>
      </c>
      <c r="CI275" s="13" t="n">
        <f>IF(COUNT(BY275,CB275,CE275,CH275)=4,SUM(BY275,CB275,CE275,CH275),"")</f>
        <v>16.140135614901162</v>
      </c>
    </row>
    <row r="276" ht="72" customHeight="1">
      <c r="A276" s="16" t="str">
        <v>S02-TN-38</v>
      </c>
      <c r="B276" s="16" t="str">
        <v>3店-SANDIEX-US</v>
      </c>
      <c r="C276" s="16" t="str">
        <v>陈晨</v>
      </c>
      <c r="D276" s="26" t="n">
        <f>IF(NOT(ISNUMBER(E276)),"",IF(OR(E276&lt;=0,L276=0),0,IF(OR(NOT(ISNUMBER(F276)),F276&lt;0),"",MIN(E276,INT(F276)))))</f>
        <v>0</v>
      </c>
      <c r="E276" s="27" t="n">
        <f>IF(OR(NOT(ISNUMBER(L276)),COUNT(M276:O276)&lt;&gt;3,MIN(M276:O276)&lt;0),"",ROUNDUP(ROUND(BI276-SUM(M276:O276),10),0))</f>
        <v>15</v>
      </c>
      <c r="F276" s="28" t="n">
        <v>0</v>
      </c>
      <c r="G276" s="28" t="n">
        <f>IF(AND(ISNUMBER(D276),ISNUMBER(E276)),IF(OR(E276&lt;=0,L276=0),0,E276-D276),"")</f>
        <v>15</v>
      </c>
      <c r="H276" s="16" t="str">
        <f>IF(NOT(ISNUMBER(E276)),"销量或海外库存待补",IF(OR(E276&lt;=0,L276=0),IF(L276=0,"零日销，本批不发","本批无需补货"),IF(NOT(ISNUMBER(D276)),"国内库存待补",IF(D276=0,"国内无可用库存",IF(G276&gt;0,"先发国内现货","按建议量发货")))))</f>
        <v>国内无可用库存</v>
      </c>
      <c r="I276" s="28" t="n">
        <f>IF(AND(COUNT(Z276,AA276,AB276)=3,Z276&gt;=AA276,AA276&gt;=0,AB276=7),Z276-AA276,"")</f>
        <v>1</v>
      </c>
      <c r="J276" s="28" t="n">
        <f>IF(AND(COUNT(AF276,AG276,AH276)=3,AF276&gt;=AG276,AG276&gt;=0,AH276=14),AF276-AG276,"")</f>
        <v>2</v>
      </c>
      <c r="K276" s="28" t="n">
        <f>IF(AND(COUNT(AL276,AM276,AN276)=3,AL276&gt;=AM276,AM276&gt;=0,AN276=30),AL276-AM276,"")</f>
        <v>8</v>
      </c>
      <c r="L276" s="29" t="n">
        <f>IF(ISNUMBER(BI276),BI276/90,"")</f>
        <v>0.2637827635929264</v>
      </c>
      <c r="M276" s="28" t="n">
        <v>9</v>
      </c>
      <c r="N276" s="28" t="n">
        <v>0</v>
      </c>
      <c r="O276" s="28" t="n">
        <v>0</v>
      </c>
      <c r="P276" s="30" t="n">
        <f>IF(AND(ISNUMBER(L276),L276&gt;0,COUNT(M276:O276)=3,MIN(M276:O276)&gt;=0),SUM(M276:O276)/L276,"")</f>
        <v>34.11898441510355</v>
      </c>
      <c r="Q276" s="16" t="str">
        <v>沿用原计划SKU店铺</v>
      </c>
      <c r="R276" s="16" t="str">
        <v>已匹配</v>
      </c>
      <c r="S276" s="16" t="str">
        <v>在售</v>
      </c>
      <c r="T276" s="16" t="str">
        <v>S02</v>
      </c>
      <c r="U276" s="16" t="str">
        <v>驼色</v>
      </c>
      <c r="V276" s="16" t="n">
        <v>7</v>
      </c>
      <c r="W276" s="8" t="str">
        <v>2026-10-11 至 2026-10-17</v>
      </c>
      <c r="X276" s="8" t="str">
        <v>2026-10-11、2026-10-12、2026-10-13、2026-10-14、2026-10-15、2026-10-16、2026-10-17</v>
      </c>
      <c r="Y276" s="8" t="str">
        <v>无</v>
      </c>
      <c r="Z276" s="8" t="n">
        <v>1</v>
      </c>
      <c r="AA276" s="8" t="n">
        <v>0</v>
      </c>
      <c r="AB276" s="8" t="n">
        <v>7</v>
      </c>
      <c r="AC276" s="8" t="str">
        <v>2026-10-02 至 2026-10-17</v>
      </c>
      <c r="AD276" s="8" t="str">
        <v>2026-10-02、2026-10-03、2026-10-04、2026-10-05、2026-10-08、2026-10-09、2026-10-10、2026-10-11、2026-10-12、2026-10-13、2026-10-14、2026-10-15、2026-10-16、2026-10-17</v>
      </c>
      <c r="AE276" s="8" t="str">
        <v>2026-10-06 大促；2026-10-07 大促</v>
      </c>
      <c r="AF276" s="8" t="n">
        <v>2</v>
      </c>
      <c r="AG276" s="8" t="n">
        <v>0</v>
      </c>
      <c r="AH276" s="8" t="n">
        <v>14</v>
      </c>
      <c r="AI276" s="8" t="str">
        <v>2026-09-16 至 2026-10-17</v>
      </c>
      <c r="AJ2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6" s="8" t="str">
        <v>2026-10-06 大促；2026-10-07 大促</v>
      </c>
      <c r="AL276" s="8" t="n">
        <v>8</v>
      </c>
      <c r="AM276" s="8" t="n">
        <v>0</v>
      </c>
      <c r="AN276" s="8" t="n">
        <v>30</v>
      </c>
      <c r="AO276" s="8" t="str">
        <v>S02 / 驼色 / 6574</v>
      </c>
      <c r="AP276" s="11" t="n">
        <v>0.9634503791704667</v>
      </c>
      <c r="AQ276" s="11" t="n">
        <v>0.9634503791704667</v>
      </c>
      <c r="AR276" s="11" t="n">
        <v>0.902244307144596</v>
      </c>
      <c r="AS276" s="11" t="n">
        <f>IF(AND(COUNT(I276:K276,AP276:AR276)=6,MIN(AP276:AR276)&gt;0),I276/7/AP276*0.5+J276/14/AQ276*0.3+K276/30/AR276*0.2,"")</f>
        <v>0.17773313051295847</v>
      </c>
      <c r="AT276" s="8" t="n">
        <v>16</v>
      </c>
      <c r="AU276" s="8" t="n">
        <v>0</v>
      </c>
      <c r="AV276" s="8" t="n">
        <v>88</v>
      </c>
      <c r="AW276" s="11" t="n">
        <f>IF(AND(COUNT(AT276:AV276)=3,AT276&gt;=AU276,AU276&gt;=0,AV276&gt;0),(AT276-AU276)/AV276,"")</f>
        <v>0.18181818181818182</v>
      </c>
      <c r="AX276" s="8" t="n">
        <v>25</v>
      </c>
      <c r="AY276" s="8" t="n">
        <v>0</v>
      </c>
      <c r="AZ276" s="8" t="n">
        <v>178</v>
      </c>
      <c r="BA276" s="11" t="n">
        <f>IF(AND(COUNT(AX276:AZ276)=3,AX276&gt;=AY276,AY276&gt;=0,AZ276&gt;0),(AX276-AY276)/AZ276,"")</f>
        <v>0.1404494382022472</v>
      </c>
      <c r="BB276" s="8" t="n">
        <f>IF(COUNT(AS276,AW276,BA276)=3,1,0)</f>
        <v>1</v>
      </c>
      <c r="BC276" s="11" t="n">
        <f>IF(SUMIF($AO$11:$AO$1309,AO276,$BB$11:$BB$1309)=COUNTIF($AO$11:$AO$1309,AO276),SUMIF($AO$11:$AO$1309,AO276,$AS$11:$AS$1309),"")</f>
        <v>2.6523136246811423</v>
      </c>
      <c r="BD276" s="11" t="n">
        <f>IF(SUMIF($AO$11:$AO$1309,AO276,$BB$11:$BB$1309)=COUNTIF($AO$11:$AO$1309,AO276),SUMIF($AO$11:$AO$1309,AO276,$AW$11:$AW$1309),"")</f>
        <v>1.5697492163009403</v>
      </c>
      <c r="BE276" s="11" t="n">
        <f>IF(SUMIF($AO$11:$AO$1309,AO276,$BB$11:$BB$1309)=COUNTIF($AO$11:$AO$1309,AO276),SUMIF($AO$11:$AO$1309,AO276,$BA$11:$BA$1309),"")</f>
        <v>1.2987367485558305</v>
      </c>
      <c r="BF276" s="12" t="n">
        <f>IF(COUNT(BD276:BE276)&lt;&gt;2,"",IF(AND(BD276&gt;0,BE276&gt;0),0.7*AW276/BD276+0.3*BA276/BE276,IF(BD276&gt;0,AW276/BD276,IF(BE276&gt;0,BA276/BE276,IF(AND(ISNUMBER(BH276),BH276=0),0,"")))))</f>
        <v>0.11352131707614783</v>
      </c>
      <c r="BG276" s="11" t="n">
        <f>IF(AND(COUNT(BN276:BU276)=8,MIN(BN276:BU276)&gt;=0),SUMPRODUCT(BN276:BQ276,BR276:BU276),"")</f>
        <v>78.84726365280937</v>
      </c>
      <c r="BH276" s="11" t="n">
        <f>IF(COUNT(BC276,BG276)=2,BC276*BG276,"")</f>
        <v>209.12767165517252</v>
      </c>
      <c r="BI276" s="11" t="n">
        <f>IF(ISNUMBER(CI276),CI276,"")</f>
        <v>23.740448723363375</v>
      </c>
      <c r="BJ276" s="8" t="str"/>
      <c r="BK276" s="8" t="str">
        <v>90天：2026-07-20 至 2026-10-17；180天：2026-04-21 至 2026-10-17</v>
      </c>
      <c r="BL276" s="8" t="str">
        <v>90天：2026-10-06、2026-10-07；180天：2026-10-06、2026-10-07</v>
      </c>
      <c r="BM276" s="8" t="str">
        <v>2026-10：12天 × 0.9634503791704667；2026-11：30天 × 0.8585031562320637；2026-12：31天 × 0.7896606554092485；2027-01：17天 × 1.0030167116538329</v>
      </c>
      <c r="BN276" s="11" t="n">
        <v>0.9634503791704667</v>
      </c>
      <c r="BO276" s="11" t="n">
        <v>0.8585031562320637</v>
      </c>
      <c r="BP276" s="11" t="n">
        <v>0.7896606554092485</v>
      </c>
      <c r="BQ276" s="11" t="n">
        <v>1.0030167116538329</v>
      </c>
      <c r="BR276" s="8" t="n">
        <v>12</v>
      </c>
      <c r="BS276" s="8" t="n">
        <v>30</v>
      </c>
      <c r="BT276" s="8" t="n">
        <v>31</v>
      </c>
      <c r="BU276" s="8" t="n">
        <v>17</v>
      </c>
      <c r="BV276" s="11" t="n">
        <f>IF(COUNT(BC276,BF276)=2,BC276*BF276,"")</f>
        <v>0.3010941359728149</v>
      </c>
      <c r="BW276" s="11" t="n">
        <f>IF(ISNUMBER(BN276),BN276,"")</f>
        <v>0.9634503791704667</v>
      </c>
      <c r="BX276" s="14" t="n">
        <f>IF(ISNUMBER(BR276),BR276,"")</f>
        <v>12</v>
      </c>
      <c r="BY276" s="13" t="n">
        <f>IF(AND(COUNT(BV276,BW276,BX276)=3,MIN(BV276,BW276,BX276)&gt;=0),BV276*BW276*BX276,"")</f>
        <v>3.4810711136281514</v>
      </c>
      <c r="BZ276" s="11" t="n">
        <f>IF(ISNUMBER(BO276),BO276,"")</f>
        <v>0.8585031562320637</v>
      </c>
      <c r="CA276" s="14" t="n">
        <f>IF(ISNUMBER(BS276),BS276,"")</f>
        <v>30</v>
      </c>
      <c r="CB276" s="13" t="n">
        <f>IF(AND(COUNT(BV276,BZ276,CA276)=3,MIN(BV276,BZ276,CA276)&gt;=0),BV276*BZ276*CA276,"")</f>
        <v>7.754707981668832</v>
      </c>
      <c r="CC276" s="11" t="n">
        <f>IF(ISNUMBER(BP276),BP276,"")</f>
        <v>0.7896606554092485</v>
      </c>
      <c r="CD276" s="14" t="n">
        <f>IF(ISNUMBER(BT276),BT276,"")</f>
        <v>31</v>
      </c>
      <c r="CE276" s="13" t="n">
        <f>IF(AND(COUNT(BV276,CC276,CD276)=3,MIN(BV276,CC276,CD276)&gt;=0),BV276*CC276*CD276,"")</f>
        <v>7.370627975317407</v>
      </c>
      <c r="CF276" s="11" t="n">
        <f>IF(ISNUMBER(BQ276),BQ276,"")</f>
        <v>1.0030167116538329</v>
      </c>
      <c r="CG276" s="14" t="n">
        <f>IF(ISNUMBER(BU276),BU276,"")</f>
        <v>17</v>
      </c>
      <c r="CH276" s="13" t="n">
        <f>IF(AND(COUNT(BV276,CF276,CG276)=3,MIN(BV276,CF276,CG276)&gt;=0),BV276*CF276*CG276,"")</f>
        <v>5.134041652748983</v>
      </c>
      <c r="CI276" s="13" t="n">
        <f>IF(COUNT(BY276,CB276,CE276,CH276)=4,SUM(BY276,CB276,CE276,CH276),"")</f>
        <v>23.740448723363375</v>
      </c>
    </row>
    <row r="277" ht="72" customHeight="1">
      <c r="A277" s="16" t="str">
        <v>2302153-RD-S-Z-10.5</v>
      </c>
      <c r="B277" s="16" t="str">
        <v>3店-SANDIEX-US</v>
      </c>
      <c r="C277" s="16" t="str">
        <v>徐新怡</v>
      </c>
      <c r="D277" s="26" t="n">
        <f>IF(NOT(ISNUMBER(E277)),"",IF(OR(E277&lt;=0,L277=0),0,IF(OR(NOT(ISNUMBER(F277)),F277&lt;0),"",MIN(E277,INT(F277)))))</f>
        <v>0</v>
      </c>
      <c r="E277" s="27" t="n">
        <f>IF(OR(NOT(ISNUMBER(L277)),COUNT(M277:O277)&lt;&gt;3,MIN(M277:O277)&lt;0),"",ROUNDUP(ROUND(BI277-SUM(M277:O277),10),0))</f>
        <v>14</v>
      </c>
      <c r="F277" s="28" t="n">
        <v>0</v>
      </c>
      <c r="G277" s="28" t="n">
        <f>IF(AND(ISNUMBER(D277),ISNUMBER(E277)),IF(OR(E277&lt;=0,L277=0),0,E277-D277),"")</f>
        <v>14</v>
      </c>
      <c r="H277" s="16" t="str">
        <f>IF(NOT(ISNUMBER(E277)),"销量或海外库存待补",IF(OR(E277&lt;=0,L277=0),IF(L277=0,"零日销，本批不发","本批无需补货"),IF(NOT(ISNUMBER(D277)),"国内库存待补",IF(D277=0,"国内无可用库存",IF(G277&gt;0,"先发国内现货","按建议量发货")))))</f>
        <v>国内无可用库存</v>
      </c>
      <c r="I277" s="28" t="n">
        <f>IF(AND(COUNT(Z277,AA277,AB277)=3,Z277&gt;=AA277,AA277&gt;=0,AB277=7),Z277-AA277,"")</f>
        <v>2</v>
      </c>
      <c r="J277" s="28" t="n">
        <f>IF(AND(COUNT(AF277,AG277,AH277)=3,AF277&gt;=AG277,AG277&gt;=0,AH277=14),AF277-AG277,"")</f>
        <v>2</v>
      </c>
      <c r="K277" s="28" t="n">
        <f>IF(AND(COUNT(AL277,AM277,AN277)=3,AL277&gt;=AM277,AM277&gt;=0,AN277=30),AL277-AM277,"")</f>
        <v>5</v>
      </c>
      <c r="L277" s="29" t="n">
        <f>IF(ISNUMBER(BI277),BI277/90,"")</f>
        <v>0.16586953553491016</v>
      </c>
      <c r="M277" s="28" t="n">
        <v>1</v>
      </c>
      <c r="N277" s="28" t="n">
        <v>0</v>
      </c>
      <c r="O277" s="28" t="n">
        <v>0</v>
      </c>
      <c r="P277" s="30" t="n">
        <f>IF(AND(ISNUMBER(L277),L277&gt;0,COUNT(M277:O277)=3,MIN(M277:O277)&gt;=0),SUM(M277:O277)/L277,"")</f>
        <v>6.02883463063374</v>
      </c>
      <c r="Q277" s="16" t="str">
        <v>沿用原计划SKU店铺</v>
      </c>
      <c r="R277" s="16" t="str">
        <v>已匹配</v>
      </c>
      <c r="S277" s="16" t="str">
        <v>在售</v>
      </c>
      <c r="T277" s="16" t="str">
        <v>2302153</v>
      </c>
      <c r="U277" s="16" t="str">
        <v>红色</v>
      </c>
      <c r="V277" s="16" t="n">
        <v>10.5</v>
      </c>
      <c r="W277" s="8" t="str">
        <v>2026-10-11 至 2026-10-17</v>
      </c>
      <c r="X277" s="8" t="str">
        <v>2026-10-11、2026-10-12、2026-10-13、2026-10-14、2026-10-15、2026-10-16、2026-10-17</v>
      </c>
      <c r="Y277" s="8" t="str">
        <v>无</v>
      </c>
      <c r="Z277" s="8" t="n">
        <v>2</v>
      </c>
      <c r="AA277" s="8" t="n">
        <v>0</v>
      </c>
      <c r="AB277" s="8" t="n">
        <v>7</v>
      </c>
      <c r="AC277" s="8" t="str">
        <v>2026-10-02 至 2026-10-17</v>
      </c>
      <c r="AD277" s="8" t="str">
        <v>2026-10-02、2026-10-03、2026-10-04、2026-10-05、2026-10-08、2026-10-09、2026-10-10、2026-10-11、2026-10-12、2026-10-13、2026-10-14、2026-10-15、2026-10-16、2026-10-17</v>
      </c>
      <c r="AE277" s="8" t="str">
        <v>2026-10-06 大促；2026-10-07 大促</v>
      </c>
      <c r="AF277" s="8" t="n">
        <v>3</v>
      </c>
      <c r="AG277" s="8" t="n">
        <v>1</v>
      </c>
      <c r="AH277" s="8" t="n">
        <v>14</v>
      </c>
      <c r="AI277" s="8" t="str">
        <v>2026-09-16 至 2026-10-17</v>
      </c>
      <c r="AJ2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7" s="8" t="str">
        <v>2026-10-06 大促；2026-10-07 大促</v>
      </c>
      <c r="AL277" s="8" t="n">
        <v>6</v>
      </c>
      <c r="AM277" s="8" t="n">
        <v>1</v>
      </c>
      <c r="AN277" s="8" t="n">
        <v>30</v>
      </c>
      <c r="AO277" s="8" t="str">
        <v>2302153 / 红色羊京绒 / 6574</v>
      </c>
      <c r="AP277" s="11" t="n">
        <v>1.7391279184229513</v>
      </c>
      <c r="AQ277" s="11" t="n">
        <v>1.7391279184229513</v>
      </c>
      <c r="AR277" s="11" t="n">
        <v>1.5731892896917212</v>
      </c>
      <c r="AS277" s="11" t="n">
        <f>IF(AND(COUNT(I277:K277,AP277:AR277)=6,MIN(AP277:AR277)&gt;0),I277/7/AP277*0.5+J277/14/AQ277*0.3+K277/30/AR277*0.2,"")</f>
        <v>0.1279742493361175</v>
      </c>
      <c r="AT277" s="8" t="n">
        <v>10</v>
      </c>
      <c r="AU277" s="8" t="n">
        <v>1</v>
      </c>
      <c r="AV277" s="8" t="n">
        <v>88</v>
      </c>
      <c r="AW277" s="11" t="n">
        <f>IF(AND(COUNT(AT277:AV277)=3,AT277&gt;=AU277,AU277&gt;=0,AV277&gt;0),(AT277-AU277)/AV277,"")</f>
        <v>0.10227272727272728</v>
      </c>
      <c r="AX277" s="8" t="n">
        <v>10</v>
      </c>
      <c r="AY277" s="8" t="n">
        <v>1</v>
      </c>
      <c r="AZ277" s="8" t="n">
        <v>178</v>
      </c>
      <c r="BA277" s="11" t="n">
        <f>IF(AND(COUNT(AX277:AZ277)=3,AX277&gt;=AY277,AY277&gt;=0,AZ277&gt;0),(AX277-AY277)/AZ277,"")</f>
        <v>0.05056179775280899</v>
      </c>
      <c r="BB277" s="8" t="n">
        <f>IF(COUNT(AS277,AW277,BA277)=3,1,0)</f>
        <v>1</v>
      </c>
      <c r="BC277" s="11" t="n">
        <f>IF(SUMIF($AO$11:$AO$1309,AO277,$BB$11:$BB$1309)=COUNTIF($AO$11:$AO$1309,AO277),SUMIF($AO$11:$AO$1309,AO277,$AS$11:$AS$1309),"")</f>
        <v>0.5532040882147117</v>
      </c>
      <c r="BD277" s="11" t="n">
        <f>IF(SUMIF($AO$11:$AO$1309,AO277,$BB$11:$BB$1309)=COUNTIF($AO$11:$AO$1309,AO277),SUMIF($AO$11:$AO$1309,AO277,$AW$11:$AW$1309),"")</f>
        <v>0.3535973323498679</v>
      </c>
      <c r="BE277" s="11" t="n">
        <f>IF(SUMIF($AO$11:$AO$1309,AO277,$BB$11:$BB$1309)=COUNTIF($AO$11:$AO$1309,AO277),SUMIF($AO$11:$AO$1309,AO277,$BA$11:$BA$1309),"")</f>
        <v>0.34420255552230417</v>
      </c>
      <c r="BF277" s="12" t="n">
        <f>IF(COUNT(BD277:BE277)&lt;&gt;2,"",IF(AND(BD277&gt;0,BE277&gt;0),0.7*AW277/BD277+0.3*BA277/BE277,IF(BD277&gt;0,AW277/BD277,IF(BE277&gt;0,BA277/BE277,IF(AND(ISNUMBER(BH277),BH277=0),0,"")))))</f>
        <v>0.24653314802374796</v>
      </c>
      <c r="BG277" s="11" t="n">
        <f>IF(AND(COUNT(BN277:BU277)=8,MIN(BN277:BU277)&gt;=0),SUMPRODUCT(BN277:BQ277,BR277:BU277),"")</f>
        <v>109.4582336985339</v>
      </c>
      <c r="BH277" s="11" t="n">
        <f>IF(COUNT(BC277,BG277)=2,BC277*BG277,"")</f>
        <v>60.55274237079028</v>
      </c>
      <c r="BI277" s="11" t="n">
        <f>IF(ISNUMBER(CI277),CI277,"")</f>
        <v>14.928258198141915</v>
      </c>
      <c r="BJ277" s="8" t="str">
        <v>近180天本色销量75双（＜90），无有效新采购，请运营判断</v>
      </c>
      <c r="BK277" s="8" t="str">
        <v>90天：2026-07-20 至 2026-10-17；180天：2026-04-21 至 2026-10-17</v>
      </c>
      <c r="BL277" s="8" t="str">
        <v>90天：2026-10-06、2026-10-07；180天：2026-10-06、2026-10-07</v>
      </c>
      <c r="BM277" s="8" t="str">
        <v>2026-10：12天 × 1.7391279184229513；2026-11：30天 × 1.4002077845513243；2026-12：31天 × 1.079339935625147；2027-01：17天 × 0.7719368903846591</v>
      </c>
      <c r="BN277" s="11" t="n">
        <v>1.7391279184229513</v>
      </c>
      <c r="BO277" s="11" t="n">
        <v>1.4002077845513243</v>
      </c>
      <c r="BP277" s="11" t="n">
        <v>1.079339935625147</v>
      </c>
      <c r="BQ277" s="11" t="n">
        <v>0.7719368903846591</v>
      </c>
      <c r="BR277" s="8" t="n">
        <v>12</v>
      </c>
      <c r="BS277" s="8" t="n">
        <v>30</v>
      </c>
      <c r="BT277" s="8" t="n">
        <v>31</v>
      </c>
      <c r="BU277" s="8" t="n">
        <v>17</v>
      </c>
      <c r="BV277" s="11" t="n">
        <f>IF(COUNT(BC277,BF277)=2,BC277*BF277,"")</f>
        <v>0.13638314536718005</v>
      </c>
      <c r="BW277" s="11" t="n">
        <f>IF(ISNUMBER(BN277),BN277,"")</f>
        <v>1.7391279184229513</v>
      </c>
      <c r="BX277" s="14" t="n">
        <f>IF(ISNUMBER(BR277),BR277,"")</f>
        <v>12</v>
      </c>
      <c r="BY277" s="13" t="n">
        <f>IF(AND(COUNT(BV277,BW277,BX277)=3,MIN(BV277,BW277,BX277)&gt;=0),BV277*BW277*BX277,"")</f>
        <v>2.8462528285247832</v>
      </c>
      <c r="BZ277" s="11" t="n">
        <f>IF(ISNUMBER(BO277),BO277,"")</f>
        <v>1.4002077845513243</v>
      </c>
      <c r="CA277" s="14" t="n">
        <f>IF(ISNUMBER(BS277),BS277,"")</f>
        <v>30</v>
      </c>
      <c r="CB277" s="13" t="n">
        <f>IF(AND(COUNT(BV277,BZ277,CA277)=3,MIN(BV277,BZ277,CA277)&gt;=0),BV277*BZ277*CA277,"")</f>
        <v>5.728942254741612</v>
      </c>
      <c r="CC277" s="11" t="n">
        <f>IF(ISNUMBER(BP277),BP277,"")</f>
        <v>1.079339935625147</v>
      </c>
      <c r="CD277" s="14" t="n">
        <f>IF(ISNUMBER(BT277),BT277,"")</f>
        <v>31</v>
      </c>
      <c r="CE277" s="13" t="n">
        <f>IF(AND(COUNT(BV277,CC277,CD277)=3,MIN(BV277,CC277,CD277)&gt;=0),BV277*CC277*CD277,"")</f>
        <v>4.563317035569982</v>
      </c>
      <c r="CF277" s="11" t="n">
        <f>IF(ISNUMBER(BQ277),BQ277,"")</f>
        <v>0.7719368903846591</v>
      </c>
      <c r="CG277" s="14" t="n">
        <f>IF(ISNUMBER(BU277),BU277,"")</f>
        <v>17</v>
      </c>
      <c r="CH277" s="13" t="n">
        <f>IF(AND(COUNT(BV277,CF277,CG277)=3,MIN(BV277,CF277,CG277)&gt;=0),BV277*CF277*CG277,"")</f>
        <v>1.7897460793055382</v>
      </c>
      <c r="CI277" s="13" t="n">
        <f>IF(COUNT(BY277,CB277,CE277,CH277)=4,SUM(BY277,CB277,CE277,CH277),"")</f>
        <v>14.928258198141915</v>
      </c>
    </row>
    <row r="278" ht="72" customHeight="1">
      <c r="A278" s="16" t="str">
        <v>B06b-CCP0-11</v>
      </c>
      <c r="B278" s="16" t="str">
        <v>1店-MUSSHOE-US</v>
      </c>
      <c r="C278" s="16" t="str">
        <v>艾年</v>
      </c>
      <c r="D278" s="26" t="n">
        <f>IF(NOT(ISNUMBER(E278)),"",IF(OR(E278&lt;=0,L278=0),0,IF(OR(NOT(ISNUMBER(F278)),F278&lt;0),"",MIN(E278,INT(F278)))))</f>
        <v>0</v>
      </c>
      <c r="E278" s="27" t="n">
        <f>IF(OR(NOT(ISNUMBER(L278)),COUNT(M278:O278)&lt;&gt;3,MIN(M278:O278)&lt;0),"",ROUNDUP(ROUND(BI278-SUM(M278:O278),10),0))</f>
        <v>14</v>
      </c>
      <c r="F278" s="28" t="n">
        <v>0</v>
      </c>
      <c r="G278" s="28" t="n">
        <f>IF(AND(ISNUMBER(D278),ISNUMBER(E278)),IF(OR(E278&lt;=0,L278=0),0,E278-D278),"")</f>
        <v>14</v>
      </c>
      <c r="H278" s="16" t="str">
        <f>IF(NOT(ISNUMBER(E278)),"销量或海外库存待补",IF(OR(E278&lt;=0,L278=0),IF(L278=0,"零日销，本批不发","本批无需补货"),IF(NOT(ISNUMBER(D278)),"国内库存待补",IF(D278=0,"国内无可用库存",IF(G278&gt;0,"先发国内现货","按建议量发货")))))</f>
        <v>国内无可用库存</v>
      </c>
      <c r="I278" s="28" t="n">
        <f>IF(AND(COUNT(Z278,AA278,AB278)=3,Z278&gt;=AA278,AA278&gt;=0,AB278=7),Z278-AA278,"")</f>
        <v>1</v>
      </c>
      <c r="J278" s="28" t="n">
        <f>IF(AND(COUNT(AF278,AG278,AH278)=3,AF278&gt;=AG278,AG278&gt;=0,AH278=14),AF278-AG278,"")</f>
        <v>2</v>
      </c>
      <c r="K278" s="28" t="n">
        <f>IF(AND(COUNT(AL278,AM278,AN278)=3,AL278&gt;=AM278,AM278&gt;=0,AN278=30),AL278-AM278,"")</f>
        <v>4</v>
      </c>
      <c r="L278" s="29" t="n">
        <f>IF(ISNUMBER(BI278),BI278/90,"")</f>
        <v>0.16418148017922618</v>
      </c>
      <c r="M278" s="28" t="n">
        <v>1</v>
      </c>
      <c r="N278" s="28" t="n">
        <v>0</v>
      </c>
      <c r="O278" s="28" t="n">
        <v>0</v>
      </c>
      <c r="P278" s="30" t="n">
        <f>IF(AND(ISNUMBER(L278),L278&gt;0,COUNT(M278:O278)=3,MIN(M278:O278)&gt;=0),SUM(M278:O278)/L278,"")</f>
        <v>6.090820955617926</v>
      </c>
      <c r="Q278" s="16" t="str">
        <v>沿用原计划SKU店铺</v>
      </c>
      <c r="R278" s="16" t="str">
        <v>已匹配</v>
      </c>
      <c r="S278" s="16" t="str">
        <v>在售</v>
      </c>
      <c r="T278" s="16" t="str">
        <v>B06b</v>
      </c>
      <c r="U278" s="16" t="str">
        <v>咖色PU</v>
      </c>
      <c r="V278" s="16" t="n">
        <v>11</v>
      </c>
      <c r="W278" s="8" t="str">
        <v>2026-10-11 至 2026-10-17</v>
      </c>
      <c r="X278" s="8" t="str">
        <v>2026-10-11、2026-10-12、2026-10-13、2026-10-14、2026-10-15、2026-10-16、2026-10-17</v>
      </c>
      <c r="Y278" s="8" t="str">
        <v>无</v>
      </c>
      <c r="Z278" s="8" t="n">
        <v>1</v>
      </c>
      <c r="AA278" s="8" t="n">
        <v>0</v>
      </c>
      <c r="AB278" s="8" t="n">
        <v>7</v>
      </c>
      <c r="AC278" s="8" t="str">
        <v>2026-10-02 至 2026-10-17</v>
      </c>
      <c r="AD278" s="8" t="str">
        <v>2026-10-02、2026-10-03、2026-10-04、2026-10-05、2026-10-08、2026-10-09、2026-10-10、2026-10-11、2026-10-12、2026-10-13、2026-10-14、2026-10-15、2026-10-16、2026-10-17</v>
      </c>
      <c r="AE278" s="8" t="str">
        <v>2026-10-06 大促；2026-10-07 大促</v>
      </c>
      <c r="AF278" s="8" t="n">
        <v>2</v>
      </c>
      <c r="AG278" s="8" t="n">
        <v>0</v>
      </c>
      <c r="AH278" s="8" t="n">
        <v>14</v>
      </c>
      <c r="AI278" s="8" t="str">
        <v>2026-09-16 至 2026-10-17</v>
      </c>
      <c r="AJ2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8" s="8" t="str">
        <v>2026-10-06 大促；2026-10-07 大促</v>
      </c>
      <c r="AL278" s="8" t="n">
        <v>4</v>
      </c>
      <c r="AM278" s="8" t="n">
        <v>0</v>
      </c>
      <c r="AN278" s="8" t="n">
        <v>30</v>
      </c>
      <c r="AO278" s="8" t="str">
        <v>B06b / 咖色PU / 13120</v>
      </c>
      <c r="AP278" s="11" t="n">
        <v>1.1090677182221615</v>
      </c>
      <c r="AQ278" s="11" t="n">
        <v>1.1090677182221615</v>
      </c>
      <c r="AR278" s="11" t="n">
        <v>0.9505188216044452</v>
      </c>
      <c r="AS278" s="11" t="n">
        <f>IF(AND(COUNT(I278:K278,AP278:AR278)=6,MIN(AP278:AR278)&gt;0),I278/7/AP278*0.5+J278/14/AQ278*0.3+K278/30/AR278*0.2,"")</f>
        <v>0.13110150506917023</v>
      </c>
      <c r="AT278" s="8" t="n">
        <v>13</v>
      </c>
      <c r="AU278" s="8" t="n">
        <v>0</v>
      </c>
      <c r="AV278" s="8" t="n">
        <v>88</v>
      </c>
      <c r="AW278" s="11" t="n">
        <f>IF(AND(COUNT(AT278:AV278)=3,AT278&gt;=AU278,AU278&gt;=0,AV278&gt;0),(AT278-AU278)/AV278,"")</f>
        <v>0.14772727272727273</v>
      </c>
      <c r="AX278" s="8" t="n">
        <v>23</v>
      </c>
      <c r="AY278" s="8" t="n">
        <v>0</v>
      </c>
      <c r="AZ278" s="8" t="n">
        <v>178</v>
      </c>
      <c r="BA278" s="11" t="n">
        <f>IF(AND(COUNT(AX278:AZ278)=3,AX278&gt;=AY278,AY278&gt;=0,AZ278&gt;0),(AX278-AY278)/AZ278,"")</f>
        <v>0.12921348314606743</v>
      </c>
      <c r="BB278" s="8" t="n">
        <f>IF(COUNT(AS278,AW278,BA278)=3,1,0)</f>
        <v>1</v>
      </c>
      <c r="BC278" s="11" t="n">
        <f>IF(SUMIF($AO$11:$AO$1309,AO278,$BB$11:$BB$1309)=COUNTIF($AO$11:$AO$1309,AO278),SUMIF($AO$11:$AO$1309,AO278,$AS$11:$AS$1309),"")</f>
        <v>2.1842159740642213</v>
      </c>
      <c r="BD278" s="11" t="n">
        <f>IF(SUMIF($AO$11:$AO$1309,AO278,$BB$11:$BB$1309)=COUNTIF($AO$11:$AO$1309,AO278),SUMIF($AO$11:$AO$1309,AO278,$AW$11:$AW$1309),"")</f>
        <v>2.1590909090909087</v>
      </c>
      <c r="BE278" s="11" t="n">
        <f>IF(SUMIF($AO$11:$AO$1309,AO278,$BB$11:$BB$1309)=COUNTIF($AO$11:$AO$1309,AO278),SUMIF($AO$11:$AO$1309,AO278,$BA$11:$BA$1309),"")</f>
        <v>1.6349277688603532</v>
      </c>
      <c r="BF278" s="12" t="n">
        <f>IF(COUNT(BD278:BE278)&lt;&gt;2,"",IF(AND(BD278&gt;0,BE278&gt;0),0.7*AW278/BD278+0.3*BA278/BE278,IF(BD278&gt;0,AW278/BD278,IF(BE278&gt;0,BA278/BE278,IF(AND(ISNUMBER(BH278),BH278=0),0,"")))))</f>
        <v>0.07160468029168114</v>
      </c>
      <c r="BG278" s="11" t="n">
        <f>IF(AND(COUNT(BN278:BU278)=8,MIN(BN278:BU278)&gt;=0),SUMPRODUCT(BN278:BQ278,BR278:BU278),"")</f>
        <v>94.47778160343367</v>
      </c>
      <c r="BH278" s="11" t="n">
        <f>IF(COUNT(BC278,BG278)=2,BC278*BG278,"")</f>
        <v>206.35987977237065</v>
      </c>
      <c r="BI278" s="11" t="n">
        <f>IF(ISNUMBER(CI278),CI278,"")</f>
        <v>14.776333216130356</v>
      </c>
      <c r="BJ278" s="8" t="str"/>
      <c r="BK278" s="8" t="str">
        <v>90天：2026-07-20 至 2026-10-17；180天：2026-04-21 至 2026-10-17</v>
      </c>
      <c r="BL278" s="8" t="str">
        <v>90天：2026-10-06、2026-10-07；180天：2026-10-06、2026-10-07</v>
      </c>
      <c r="BM278" s="8" t="str">
        <v>2026-10：12天 × 1.1090677182221615；2026-11：30天 × 1.0372741535934282；2026-12：31天 × 0.979949351738161；2027-01：17天 × 1.1571949690048173</v>
      </c>
      <c r="BN278" s="11" t="n">
        <v>1.1090677182221615</v>
      </c>
      <c r="BO278" s="11" t="n">
        <v>1.0372741535934282</v>
      </c>
      <c r="BP278" s="11" t="n">
        <v>0.979949351738161</v>
      </c>
      <c r="BQ278" s="11" t="n">
        <v>1.1571949690048173</v>
      </c>
      <c r="BR278" s="8" t="n">
        <v>12</v>
      </c>
      <c r="BS278" s="8" t="n">
        <v>30</v>
      </c>
      <c r="BT278" s="8" t="n">
        <v>31</v>
      </c>
      <c r="BU278" s="8" t="n">
        <v>17</v>
      </c>
      <c r="BV278" s="11" t="n">
        <f>IF(COUNT(BC278,BF278)=2,BC278*BF278,"")</f>
        <v>0.15640008651085147</v>
      </c>
      <c r="BW278" s="11" t="n">
        <f>IF(ISNUMBER(BN278),BN278,"")</f>
        <v>1.1090677182221615</v>
      </c>
      <c r="BX278" s="14" t="n">
        <f>IF(ISNUMBER(BR278),BR278,"")</f>
        <v>12</v>
      </c>
      <c r="BY278" s="13" t="n">
        <f>IF(AND(COUNT(BV278,BW278,BX278)=3,MIN(BV278,BW278,BX278)&gt;=0),BV278*BW278*BX278,"")</f>
        <v>2.0814994449160644</v>
      </c>
      <c r="BZ278" s="11" t="n">
        <f>IF(ISNUMBER(BO278),BO278,"")</f>
        <v>1.0372741535934282</v>
      </c>
      <c r="CA278" s="14" t="n">
        <f>IF(ISNUMBER(BS278),BS278,"")</f>
        <v>30</v>
      </c>
      <c r="CB278" s="13" t="n">
        <f>IF(AND(COUNT(BV278,BZ278,CA278)=3,MIN(BV278,BZ278,CA278)&gt;=0),BV278*BZ278*CA278,"")</f>
        <v>4.866893020724472</v>
      </c>
      <c r="CC278" s="11" t="n">
        <f>IF(ISNUMBER(BP278),BP278,"")</f>
        <v>0.979949351738161</v>
      </c>
      <c r="CD278" s="14" t="n">
        <f>IF(ISNUMBER(BT278),BT278,"")</f>
        <v>31</v>
      </c>
      <c r="CE278" s="13" t="n">
        <f>IF(AND(COUNT(BV278,CC278,CD278)=3,MIN(BV278,CC278,CD278)&gt;=0),BV278*CC278*CD278,"")</f>
        <v>4.751189065031137</v>
      </c>
      <c r="CF278" s="11" t="n">
        <f>IF(ISNUMBER(BQ278),BQ278,"")</f>
        <v>1.1571949690048173</v>
      </c>
      <c r="CG278" s="14" t="n">
        <f>IF(ISNUMBER(BU278),BU278,"")</f>
        <v>17</v>
      </c>
      <c r="CH278" s="13" t="n">
        <f>IF(AND(COUNT(BV278,CF278,CG278)=3,MIN(BV278,CF278,CG278)&gt;=0),BV278*CF278*CG278,"")</f>
        <v>3.0767516854586834</v>
      </c>
      <c r="CI278" s="13" t="n">
        <f>IF(COUNT(BY278,CB278,CE278,CH278)=4,SUM(BY278,CB278,CE278,CH278),"")</f>
        <v>14.776333216130356</v>
      </c>
    </row>
    <row r="279" ht="72" customHeight="1">
      <c r="A279" s="16" t="str">
        <v>B06b-NY-40</v>
      </c>
      <c r="B279" s="16" t="str">
        <v>1店-MUSSHOE-US</v>
      </c>
      <c r="C279" s="16" t="str">
        <v>艾年</v>
      </c>
      <c r="D279" s="26" t="n">
        <f>IF(NOT(ISNUMBER(E279)),"",IF(OR(E279&lt;=0,L279=0),0,IF(OR(NOT(ISNUMBER(F279)),F279&lt;0),"",MIN(E279,INT(F279)))))</f>
        <v>0</v>
      </c>
      <c r="E279" s="27" t="n">
        <f>IF(OR(NOT(ISNUMBER(L279)),COUNT(M279:O279)&lt;&gt;3,MIN(M279:O279)&lt;0),"",ROUNDUP(ROUND(BI279-SUM(M279:O279),10),0))</f>
        <v>14</v>
      </c>
      <c r="F279" s="28" t="n">
        <v>0</v>
      </c>
      <c r="G279" s="28" t="n">
        <f>IF(AND(ISNUMBER(D279),ISNUMBER(E279)),IF(OR(E279&lt;=0,L279=0),0,E279-D279),"")</f>
        <v>14</v>
      </c>
      <c r="H279" s="16" t="str">
        <f>IF(NOT(ISNUMBER(E279)),"销量或海外库存待补",IF(OR(E279&lt;=0,L279=0),IF(L279=0,"零日销，本批不发","本批无需补货"),IF(NOT(ISNUMBER(D279)),"国内库存待补",IF(D279=0,"国内无可用库存",IF(G279&gt;0,"先发国内现货","按建议量发货")))))</f>
        <v>国内无可用库存</v>
      </c>
      <c r="I279" s="28" t="n">
        <f>IF(AND(COUNT(Z279,AA279,AB279)=3,Z279&gt;=AA279,AA279&gt;=0,AB279=7),Z279-AA279,"")</f>
        <v>2</v>
      </c>
      <c r="J279" s="28" t="n">
        <f>IF(AND(COUNT(AF279,AG279,AH279)=3,AF279&gt;=AG279,AG279&gt;=0,AH279=14),AF279-AG279,"")</f>
        <v>5</v>
      </c>
      <c r="K279" s="28" t="n">
        <f>IF(AND(COUNT(AL279,AM279,AN279)=3,AL279&gt;=AM279,AM279&gt;=0,AN279=30),AL279-AM279,"")</f>
        <v>6</v>
      </c>
      <c r="L279" s="29" t="n">
        <f>IF(ISNUMBER(BI279),BI279/90,"")</f>
        <v>0.17997096541111984</v>
      </c>
      <c r="M279" s="28" t="n">
        <v>3</v>
      </c>
      <c r="N279" s="28" t="n">
        <v>0</v>
      </c>
      <c r="O279" s="28" t="n">
        <v>0</v>
      </c>
      <c r="P279" s="30" t="n">
        <f>IF(AND(ISNUMBER(L279),L279&gt;0,COUNT(M279:O279)=3,MIN(M279:O279)&gt;=0),SUM(M279:O279)/L279,"")</f>
        <v>16.669355488241656</v>
      </c>
      <c r="Q279" s="16" t="str">
        <v>沿用原计划SKU店铺</v>
      </c>
      <c r="R279" s="16" t="str">
        <v>已匹配</v>
      </c>
      <c r="S279" s="16" t="str">
        <v>在售</v>
      </c>
      <c r="T279" s="16" t="str">
        <v>B06b</v>
      </c>
      <c r="U279" s="16" t="str">
        <v>藏青色羊京绒</v>
      </c>
      <c r="V279" s="16" t="n">
        <v>9</v>
      </c>
      <c r="W279" s="8" t="str">
        <v>2026-10-11 至 2026-10-17</v>
      </c>
      <c r="X279" s="8" t="str">
        <v>2026-10-11、2026-10-12、2026-10-13、2026-10-14、2026-10-15、2026-10-16、2026-10-17</v>
      </c>
      <c r="Y279" s="8" t="str">
        <v>无</v>
      </c>
      <c r="Z279" s="8" t="n">
        <v>2</v>
      </c>
      <c r="AA279" s="8" t="n">
        <v>0</v>
      </c>
      <c r="AB279" s="8" t="n">
        <v>7</v>
      </c>
      <c r="AC279" s="8" t="str">
        <v>2026-10-02 至 2026-10-17</v>
      </c>
      <c r="AD279" s="8" t="str">
        <v>2026-10-02、2026-10-03、2026-10-04、2026-10-05、2026-10-08、2026-10-09、2026-10-10、2026-10-11、2026-10-12、2026-10-13、2026-10-14、2026-10-15、2026-10-16、2026-10-17</v>
      </c>
      <c r="AE279" s="8" t="str">
        <v>2026-10-06 大促；2026-10-07 大促</v>
      </c>
      <c r="AF279" s="8" t="n">
        <v>5</v>
      </c>
      <c r="AG279" s="8" t="n">
        <v>0</v>
      </c>
      <c r="AH279" s="8" t="n">
        <v>14</v>
      </c>
      <c r="AI279" s="8" t="str">
        <v>2026-09-16 至 2026-10-17</v>
      </c>
      <c r="AJ2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79" s="8" t="str">
        <v>2026-10-06 大促；2026-10-07 大促</v>
      </c>
      <c r="AL279" s="8" t="n">
        <v>6</v>
      </c>
      <c r="AM279" s="8" t="n">
        <v>0</v>
      </c>
      <c r="AN279" s="8" t="n">
        <v>30</v>
      </c>
      <c r="AO279" s="8" t="str">
        <v>B06b / 藏青色羊京绒 / 13120</v>
      </c>
      <c r="AP279" s="11" t="n">
        <v>1.1090677182221615</v>
      </c>
      <c r="AQ279" s="11" t="n">
        <v>1.1090677182221615</v>
      </c>
      <c r="AR279" s="11" t="n">
        <v>0.9505188216044452</v>
      </c>
      <c r="AS279" s="11" t="n">
        <f>IF(AND(COUNT(I279:K279,AP279:AR279)=6,MIN(AP279:AR279)&gt;0),I279/7/AP279*0.5+J279/14/AQ279*0.3+K279/30/AR279*0.2,"")</f>
        <v>0.26749683028447385</v>
      </c>
      <c r="AT279" s="8" t="n">
        <v>19</v>
      </c>
      <c r="AU279" s="8" t="n">
        <v>0</v>
      </c>
      <c r="AV279" s="8" t="n">
        <v>88</v>
      </c>
      <c r="AW279" s="11" t="n">
        <f>IF(AND(COUNT(AT279:AV279)=3,AT279&gt;=AU279,AU279&gt;=0,AV279&gt;0),(AT279-AU279)/AV279,"")</f>
        <v>0.2159090909090909</v>
      </c>
      <c r="AX279" s="8" t="n">
        <v>31</v>
      </c>
      <c r="AY279" s="8" t="n">
        <v>0</v>
      </c>
      <c r="AZ279" s="8" t="n">
        <v>178</v>
      </c>
      <c r="BA279" s="11" t="n">
        <f>IF(AND(COUNT(AX279:AZ279)=3,AX279&gt;=AY279,AY279&gt;=0,AZ279&gt;0),(AX279-AY279)/AZ279,"")</f>
        <v>0.17415730337078653</v>
      </c>
      <c r="BB279" s="8" t="n">
        <f>IF(COUNT(AS279,AW279,BA279)=3,1,0)</f>
        <v>1</v>
      </c>
      <c r="BC279" s="11" t="n">
        <f>IF(SUMIF($AO$11:$AO$1309,AO279,$BB$11:$BB$1309)=COUNTIF($AO$11:$AO$1309,AO279),SUMIF($AO$11:$AO$1309,AO279,$AS$11:$AS$1309),"")</f>
        <v>1.0519173612688397</v>
      </c>
      <c r="BD279" s="11" t="n">
        <f>IF(SUMIF($AO$11:$AO$1309,AO279,$BB$11:$BB$1309)=COUNTIF($AO$11:$AO$1309,AO279),SUMIF($AO$11:$AO$1309,AO279,$AW$11:$AW$1309),"")</f>
        <v>1.2745989304812833</v>
      </c>
      <c r="BE279" s="11" t="n">
        <f>IF(SUMIF($AO$11:$AO$1309,AO279,$BB$11:$BB$1309)=COUNTIF($AO$11:$AO$1309,AO279),SUMIF($AO$11:$AO$1309,AO279,$BA$11:$BA$1309),"")</f>
        <v>1.1766292134831462</v>
      </c>
      <c r="BF279" s="12" t="n">
        <f>IF(COUNT(BD279:BE279)&lt;&gt;2,"",IF(AND(BD279&gt;0,BE279&gt;0),0.7*AW279/BD279+0.3*BA279/BE279,IF(BD279&gt;0,AW279/BD279,IF(BE279&gt;0,BA279/BE279,IF(AND(ISNUMBER(BH279),BH279=0),0,"")))))</f>
        <v>0.16297974936871024</v>
      </c>
      <c r="BG279" s="11" t="n">
        <f>IF(AND(COUNT(BN279:BU279)=8,MIN(BN279:BU279)&gt;=0),SUMPRODUCT(BN279:BQ279,BR279:BU279),"")</f>
        <v>94.47778160343367</v>
      </c>
      <c r="BH279" s="11" t="n">
        <f>IF(COUNT(BC279,BG279)=2,BC279*BG279,"")</f>
        <v>99.38281872281767</v>
      </c>
      <c r="BI279" s="11" t="n">
        <f>IF(ISNUMBER(CI279),CI279,"")</f>
        <v>16.197386887000786</v>
      </c>
      <c r="BJ279" s="8" t="str"/>
      <c r="BK279" s="8" t="str">
        <v>90天：2026-07-20 至 2026-10-17；180天：2026-04-21 至 2026-10-17</v>
      </c>
      <c r="BL279" s="8" t="str">
        <v>90天：2026-10-06、2026-10-07；180天：2026-10-06、2026-10-07</v>
      </c>
      <c r="BM279" s="8" t="str">
        <v>2026-10：12天 × 1.1090677182221615；2026-11：30天 × 1.0372741535934282；2026-12：31天 × 0.979949351738161；2027-01：17天 × 1.1571949690048173</v>
      </c>
      <c r="BN279" s="11" t="n">
        <v>1.1090677182221615</v>
      </c>
      <c r="BO279" s="11" t="n">
        <v>1.0372741535934282</v>
      </c>
      <c r="BP279" s="11" t="n">
        <v>0.979949351738161</v>
      </c>
      <c r="BQ279" s="11" t="n">
        <v>1.1571949690048173</v>
      </c>
      <c r="BR279" s="8" t="n">
        <v>12</v>
      </c>
      <c r="BS279" s="8" t="n">
        <v>30</v>
      </c>
      <c r="BT279" s="8" t="n">
        <v>31</v>
      </c>
      <c r="BU279" s="8" t="n">
        <v>17</v>
      </c>
      <c r="BV279" s="11" t="n">
        <f>IF(COUNT(BC279,BF279)=2,BC279*BF279,"")</f>
        <v>0.1714412278961905</v>
      </c>
      <c r="BW279" s="11" t="n">
        <f>IF(ISNUMBER(BN279),BN279,"")</f>
        <v>1.1090677182221615</v>
      </c>
      <c r="BX279" s="14" t="n">
        <f>IF(ISNUMBER(BR279),BR279,"")</f>
        <v>12</v>
      </c>
      <c r="BY279" s="13" t="n">
        <f>IF(AND(COUNT(BV279,BW279,BX279)=3,MIN(BV279,BW279,BX279)&gt;=0),BV279*BW279*BX279,"")</f>
        <v>2.281679177184403</v>
      </c>
      <c r="BZ279" s="11" t="n">
        <f>IF(ISNUMBER(BO279),BO279,"")</f>
        <v>1.0372741535934282</v>
      </c>
      <c r="CA279" s="14" t="n">
        <f>IF(ISNUMBER(BS279),BS279,"")</f>
        <v>30</v>
      </c>
      <c r="CB279" s="13" t="n">
        <f>IF(AND(COUNT(BV279,BZ279,CA279)=3,MIN(BV279,BZ279,CA279)&gt;=0),BV279*BZ279*CA279,"")</f>
        <v>5.334946636711171</v>
      </c>
      <c r="CC279" s="11" t="n">
        <f>IF(ISNUMBER(BP279),BP279,"")</f>
        <v>0.979949351738161</v>
      </c>
      <c r="CD279" s="14" t="n">
        <f>IF(ISNUMBER(BT279),BT279,"")</f>
        <v>31</v>
      </c>
      <c r="CE279" s="13" t="n">
        <f>IF(AND(COUNT(BV279,CC279,CD279)=3,MIN(BV279,CC279,CD279)&gt;=0),BV279*CC279*CD279,"")</f>
        <v>5.208115324280053</v>
      </c>
      <c r="CF279" s="11" t="n">
        <f>IF(ISNUMBER(BQ279),BQ279,"")</f>
        <v>1.1571949690048173</v>
      </c>
      <c r="CG279" s="14" t="n">
        <f>IF(ISNUMBER(BU279),BU279,"")</f>
        <v>17</v>
      </c>
      <c r="CH279" s="13" t="n">
        <f>IF(AND(COUNT(BV279,CF279,CG279)=3,MIN(BV279,CF279,CG279)&gt;=0),BV279*CF279*CG279,"")</f>
        <v>3.37264574882516</v>
      </c>
      <c r="CI279" s="13" t="n">
        <f>IF(COUNT(BY279,CB279,CE279,CH279)=4,SUM(BY279,CB279,CE279,CH279),"")</f>
        <v>16.197386887000786</v>
      </c>
    </row>
    <row r="280" ht="72" customHeight="1">
      <c r="A280" s="16" t="str">
        <v>B06b-NY-42</v>
      </c>
      <c r="B280" s="16" t="str">
        <v>1店-MUSSHOE-US</v>
      </c>
      <c r="C280" s="16" t="str">
        <v>艾年</v>
      </c>
      <c r="D280" s="26" t="n">
        <f>IF(NOT(ISNUMBER(E280)),"",IF(OR(E280&lt;=0,L280=0),0,IF(OR(NOT(ISNUMBER(F280)),F280&lt;0),"",MIN(E280,INT(F280)))))</f>
        <v>0</v>
      </c>
      <c r="E280" s="27" t="n">
        <f>IF(OR(NOT(ISNUMBER(L280)),COUNT(M280:O280)&lt;&gt;3,MIN(M280:O280)&lt;0),"",ROUNDUP(ROUND(BI280-SUM(M280:O280),10),0))</f>
        <v>14</v>
      </c>
      <c r="F280" s="28" t="n">
        <v>0</v>
      </c>
      <c r="G280" s="28" t="n">
        <f>IF(AND(ISNUMBER(D280),ISNUMBER(E280)),IF(OR(E280&lt;=0,L280=0),0,E280-D280),"")</f>
        <v>14</v>
      </c>
      <c r="H280" s="16" t="str">
        <f>IF(NOT(ISNUMBER(E280)),"销量或海外库存待补",IF(OR(E280&lt;=0,L280=0),IF(L280=0,"零日销，本批不发","本批无需补货"),IF(NOT(ISNUMBER(D280)),"国内库存待补",IF(D280=0,"国内无可用库存",IF(G280&gt;0,"先发国内现货","按建议量发货")))))</f>
        <v>国内无可用库存</v>
      </c>
      <c r="I280" s="28" t="n">
        <f>IF(AND(COUNT(Z280,AA280,AB280)=3,Z280&gt;=AA280,AA280&gt;=0,AB280=7),Z280-AA280,"")</f>
        <v>0</v>
      </c>
      <c r="J280" s="28" t="n">
        <f>IF(AND(COUNT(AF280,AG280,AH280)=3,AF280&gt;=AG280,AG280&gt;=0,AH280=14),AF280-AG280,"")</f>
        <v>0</v>
      </c>
      <c r="K280" s="28" t="n">
        <f>IF(AND(COUNT(AL280,AM280,AN280)=3,AL280&gt;=AM280,AM280&gt;=0,AN280=30),AL280-AM280,"")</f>
        <v>1</v>
      </c>
      <c r="L280" s="29" t="n">
        <f>IF(ISNUMBER(BI280),BI280/90,"")</f>
        <v>0.14884996119938063</v>
      </c>
      <c r="M280" s="28" t="n">
        <v>0</v>
      </c>
      <c r="N280" s="28" t="n">
        <v>0</v>
      </c>
      <c r="O280" s="28" t="n">
        <v>0</v>
      </c>
      <c r="P280" s="30" t="n">
        <f>IF(AND(ISNUMBER(L280),L280&gt;0,COUNT(M280:O280)=3,MIN(M280:O280)&gt;=0),SUM(M280:O280)/L280,"")</f>
        <v>0</v>
      </c>
      <c r="Q280" s="16" t="str">
        <v>沿用原计划SKU店铺</v>
      </c>
      <c r="R280" s="16" t="str">
        <v>已匹配</v>
      </c>
      <c r="S280" s="16" t="str">
        <v>停售</v>
      </c>
      <c r="T280" s="16" t="str">
        <v>B06b</v>
      </c>
      <c r="U280" s="16" t="str">
        <v>藏青色羊京绒</v>
      </c>
      <c r="V280" s="16" t="n">
        <v>11</v>
      </c>
      <c r="W280" s="8" t="str">
        <v>2026-10-08 至 2026-10-17</v>
      </c>
      <c r="X280" s="8" t="str">
        <v>2026-10-08、2026-10-09、2026-10-10、2026-10-11、2026-10-14、2026-10-15、2026-10-17</v>
      </c>
      <c r="Y280" s="8" t="str">
        <v>2026-10-12 有记录的停售日；2026-10-13 有记录的停售日；2026-10-16 有记录的停售日</v>
      </c>
      <c r="Z280" s="8" t="n">
        <v>0</v>
      </c>
      <c r="AA280" s="8" t="n">
        <v>0</v>
      </c>
      <c r="AB280" s="8" t="n">
        <v>7</v>
      </c>
      <c r="AC280" s="8" t="str">
        <v>2026-09-29 至 2026-10-17</v>
      </c>
      <c r="AD280" s="8" t="str">
        <v>2026-09-29、2026-09-30、2026-10-01、2026-10-02、2026-10-03、2026-10-04、2026-10-05、2026-10-08、2026-10-09、2026-10-10、2026-10-11、2026-10-14、2026-10-15、2026-10-17</v>
      </c>
      <c r="AE280" s="8" t="str">
        <v>2026-10-06 大促；2026-10-07 大促；2026-10-12 有记录的停售日；2026-10-13 有记录的停售日；2026-10-16 有记录的停售日</v>
      </c>
      <c r="AF280" s="8" t="n">
        <v>0</v>
      </c>
      <c r="AG280" s="8" t="n">
        <v>0</v>
      </c>
      <c r="AH280" s="8" t="n">
        <v>14</v>
      </c>
      <c r="AI280" s="8" t="str">
        <v>2026-09-13 至 2026-10-17</v>
      </c>
      <c r="AJ28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80" s="8" t="str">
        <v>2026-10-06 大促；2026-10-07 大促；2026-10-12 有记录的停售日；2026-10-13 有记录的停售日；2026-10-16 有记录的停售日</v>
      </c>
      <c r="AL280" s="8" t="n">
        <v>1</v>
      </c>
      <c r="AM280" s="8" t="n">
        <v>0</v>
      </c>
      <c r="AN280" s="8" t="n">
        <v>30</v>
      </c>
      <c r="AO280" s="8" t="str">
        <v>B06b / 藏青色羊京绒 / 13120</v>
      </c>
      <c r="AP280" s="11" t="n">
        <v>1.1090677182221615</v>
      </c>
      <c r="AQ280" s="11" t="n">
        <v>1.0637680334742425</v>
      </c>
      <c r="AR280" s="11" t="n">
        <v>0.9188090422809019</v>
      </c>
      <c r="AS280" s="11" t="n">
        <f>IF(AND(COUNT(I280:K280,AP280:AR280)=6,MIN(AP280:AR280)&gt;0),I280/7/AP280*0.5+J280/14/AQ280*0.3+K280/30/AR280*0.2,"")</f>
        <v>0.007255769545015544</v>
      </c>
      <c r="AT280" s="8" t="n">
        <v>15</v>
      </c>
      <c r="AU280" s="8" t="n">
        <v>0</v>
      </c>
      <c r="AV280" s="8" t="n">
        <v>85</v>
      </c>
      <c r="AW280" s="11" t="n">
        <f>IF(AND(COUNT(AT280:AV280)=3,AT280&gt;=AU280,AU280&gt;=0,AV280&gt;0),(AT280-AU280)/AV280,"")</f>
        <v>0.17647058823529413</v>
      </c>
      <c r="AX280" s="8" t="n">
        <v>26</v>
      </c>
      <c r="AY280" s="8" t="n">
        <v>0</v>
      </c>
      <c r="AZ280" s="8" t="n">
        <v>175</v>
      </c>
      <c r="BA280" s="11" t="n">
        <f>IF(AND(COUNT(AX280:AZ280)=3,AX280&gt;=AY280,AY280&gt;=0,AZ280&gt;0),(AX280-AY280)/AZ280,"")</f>
        <v>0.14857142857142858</v>
      </c>
      <c r="BB280" s="8" t="n">
        <f>IF(COUNT(AS280,AW280,BA280)=3,1,0)</f>
        <v>1</v>
      </c>
      <c r="BC280" s="11" t="n">
        <f>IF(SUMIF($AO$11:$AO$1309,AO280,$BB$11:$BB$1309)=COUNTIF($AO$11:$AO$1309,AO280),SUMIF($AO$11:$AO$1309,AO280,$AS$11:$AS$1309),"")</f>
        <v>1.0519173612688397</v>
      </c>
      <c r="BD280" s="11" t="n">
        <f>IF(SUMIF($AO$11:$AO$1309,AO280,$BB$11:$BB$1309)=COUNTIF($AO$11:$AO$1309,AO280),SUMIF($AO$11:$AO$1309,AO280,$AW$11:$AW$1309),"")</f>
        <v>1.2745989304812833</v>
      </c>
      <c r="BE280" s="11" t="n">
        <f>IF(SUMIF($AO$11:$AO$1309,AO280,$BB$11:$BB$1309)=COUNTIF($AO$11:$AO$1309,AO280),SUMIF($AO$11:$AO$1309,AO280,$BA$11:$BA$1309),"")</f>
        <v>1.1766292134831462</v>
      </c>
      <c r="BF280" s="12" t="n">
        <f>IF(COUNT(BD280:BE280)&lt;&gt;2,"",IF(AND(BD280&gt;0,BE280&gt;0),0.7*AW280/BD280+0.3*BA280/BE280,IF(BD280&gt;0,AW280/BD280,IF(BE280&gt;0,BA280/BE280,IF(AND(ISNUMBER(BH280),BH280=0),0,"")))))</f>
        <v>0.1347969063476412</v>
      </c>
      <c r="BG280" s="11" t="n">
        <f>IF(AND(COUNT(BN280:BU280)=8,MIN(BN280:BU280)&gt;=0),SUMPRODUCT(BN280:BQ280,BR280:BU280),"")</f>
        <v>94.47778160343367</v>
      </c>
      <c r="BH280" s="11" t="n">
        <f>IF(COUNT(BC280,BG280)=2,BC280*BG280,"")</f>
        <v>99.38281872281767</v>
      </c>
      <c r="BI280" s="11" t="n">
        <f>IF(ISNUMBER(CI280),CI280,"")</f>
        <v>13.396496507944256</v>
      </c>
      <c r="BJ280" s="8" t="str"/>
      <c r="BK280" s="8" t="str">
        <v>90天：2026-07-20 至 2026-10-17；180天：2026-04-21 至 2026-10-17</v>
      </c>
      <c r="BL280" s="8" t="str">
        <v>90天：2026-10-06、2026-10-07、2026-10-12、2026-10-13、2026-10-16；180天：2026-10-06、2026-10-07、2026-10-12、2026-10-13、2026-10-16</v>
      </c>
      <c r="BM280" s="8" t="str">
        <v>2026-10：12天 × 1.1090677182221615；2026-11：30天 × 1.0372741535934282；2026-12：31天 × 0.979949351738161；2027-01：17天 × 1.1571949690048173</v>
      </c>
      <c r="BN280" s="11" t="n">
        <v>1.1090677182221615</v>
      </c>
      <c r="BO280" s="11" t="n">
        <v>1.0372741535934282</v>
      </c>
      <c r="BP280" s="11" t="n">
        <v>0.979949351738161</v>
      </c>
      <c r="BQ280" s="11" t="n">
        <v>1.1571949690048173</v>
      </c>
      <c r="BR280" s="8" t="n">
        <v>12</v>
      </c>
      <c r="BS280" s="8" t="n">
        <v>30</v>
      </c>
      <c r="BT280" s="8" t="n">
        <v>31</v>
      </c>
      <c r="BU280" s="8" t="n">
        <v>17</v>
      </c>
      <c r="BV280" s="11" t="n">
        <f>IF(COUNT(BC280,BF280)=2,BC280*BF280,"")</f>
        <v>0.14179520603241363</v>
      </c>
      <c r="BW280" s="11" t="n">
        <f>IF(ISNUMBER(BN280),BN280,"")</f>
        <v>1.1090677182221615</v>
      </c>
      <c r="BX280" s="14" t="n">
        <f>IF(ISNUMBER(BR280),BR280,"")</f>
        <v>12</v>
      </c>
      <c r="BY280" s="13" t="n">
        <f>IF(AND(COUNT(BV280,BW280,BX280)=3,MIN(BV280,BW280,BX280)&gt;=0),BV280*BW280*BX280,"")</f>
        <v>1.8871258273105234</v>
      </c>
      <c r="BZ280" s="11" t="n">
        <f>IF(ISNUMBER(BO280),BO280,"")</f>
        <v>1.0372741535934282</v>
      </c>
      <c r="CA280" s="14" t="n">
        <f>IF(ISNUMBER(BS280),BS280,"")</f>
        <v>30</v>
      </c>
      <c r="CB280" s="13" t="n">
        <f>IF(AND(COUNT(BV280,BZ280,CA280)=3,MIN(BV280,BZ280,CA280)&gt;=0),BV280*BZ280*CA280,"")</f>
        <v>4.412415069626329</v>
      </c>
      <c r="CC280" s="11" t="n">
        <f>IF(ISNUMBER(BP280),BP280,"")</f>
        <v>0.979949351738161</v>
      </c>
      <c r="CD280" s="14" t="n">
        <f>IF(ISNUMBER(BT280),BT280,"")</f>
        <v>31</v>
      </c>
      <c r="CE280" s="13" t="n">
        <f>IF(AND(COUNT(BV280,CC280,CD280)=3,MIN(BV280,CC280,CD280)&gt;=0),BV280*CC280*CD280,"")</f>
        <v>4.307515727162325</v>
      </c>
      <c r="CF280" s="11" t="n">
        <f>IF(ISNUMBER(BQ280),BQ280,"")</f>
        <v>1.1571949690048173</v>
      </c>
      <c r="CG280" s="14" t="n">
        <f>IF(ISNUMBER(BU280),BU280,"")</f>
        <v>17</v>
      </c>
      <c r="CH280" s="13" t="n">
        <f>IF(AND(COUNT(BV280,CF280,CG280)=3,MIN(BV280,CF280,CG280)&gt;=0),BV280*CF280*CG280,"")</f>
        <v>2.7894398838450796</v>
      </c>
      <c r="CI280" s="13" t="n">
        <f>IF(COUNT(BY280,CB280,CE280,CH280)=4,SUM(BY280,CB280,CE280,CH280),"")</f>
        <v>13.396496507944256</v>
      </c>
    </row>
    <row r="281" ht="72" customHeight="1">
      <c r="A281" s="16" t="str">
        <v>B07-BK-V-0-39.5</v>
      </c>
      <c r="B281" s="16" t="str">
        <v>4店-彬郁-US</v>
      </c>
      <c r="C281" s="16" t="str">
        <v>艾年</v>
      </c>
      <c r="D281" s="26" t="n">
        <f>IF(NOT(ISNUMBER(E281)),"",IF(OR(E281&lt;=0,L281=0),0,IF(OR(NOT(ISNUMBER(F281)),F281&lt;0),"",MIN(E281,INT(F281)))))</f>
        <v>0</v>
      </c>
      <c r="E281" s="27" t="n">
        <f>IF(OR(NOT(ISNUMBER(L281)),COUNT(M281:O281)&lt;&gt;3,MIN(M281:O281)&lt;0),"",ROUNDUP(ROUND(BI281-SUM(M281:O281),10),0))</f>
        <v>14</v>
      </c>
      <c r="F281" s="28" t="n">
        <v>0</v>
      </c>
      <c r="G281" s="28" t="n">
        <f>IF(AND(ISNUMBER(D281),ISNUMBER(E281)),IF(OR(E281&lt;=0,L281=0),0,E281-D281),"")</f>
        <v>14</v>
      </c>
      <c r="H281" s="16" t="str">
        <f>IF(NOT(ISNUMBER(E281)),"销量或海外库存待补",IF(OR(E281&lt;=0,L281=0),IF(L281=0,"零日销，本批不发","本批无需补货"),IF(NOT(ISNUMBER(D281)),"国内库存待补",IF(D281=0,"国内无可用库存",IF(G281&gt;0,"先发国内现货","按建议量发货")))))</f>
        <v>国内无可用库存</v>
      </c>
      <c r="I281" s="28" t="n">
        <f>IF(AND(COUNT(Z281,AA281,AB281)=3,Z281&gt;=AA281,AA281&gt;=0,AB281=7),Z281-AA281,"")</f>
        <v>0</v>
      </c>
      <c r="J281" s="28" t="n">
        <f>IF(AND(COUNT(AF281,AG281,AH281)=3,AF281&gt;=AG281,AG281&gt;=0,AH281=14),AF281-AG281,"")</f>
        <v>1</v>
      </c>
      <c r="K281" s="28" t="n">
        <f>IF(AND(COUNT(AL281,AM281,AN281)=3,AL281&gt;=AM281,AM281&gt;=0,AN281=30),AL281-AM281,"")</f>
        <v>4</v>
      </c>
      <c r="L281" s="29" t="n">
        <f>IF(ISNUMBER(BI281),BI281/90,"")</f>
        <v>0.1635079766282665</v>
      </c>
      <c r="M281" s="28" t="n">
        <v>1</v>
      </c>
      <c r="N281" s="28" t="n">
        <v>0</v>
      </c>
      <c r="O281" s="28" t="n">
        <v>0</v>
      </c>
      <c r="P281" s="30" t="n">
        <f>IF(AND(ISNUMBER(L281),L281&gt;0,COUNT(M281:O281)=3,MIN(M281:O281)&gt;=0),SUM(M281:O281)/L281,"")</f>
        <v>6.115909575919274</v>
      </c>
      <c r="Q281" s="16" t="str">
        <v>沿用原计划SKU店铺</v>
      </c>
      <c r="R281" s="16" t="str">
        <v>已匹配</v>
      </c>
      <c r="S281" s="16" t="str">
        <v>在售</v>
      </c>
      <c r="T281" s="16" t="str">
        <v>B07</v>
      </c>
      <c r="U281" s="16" t="str">
        <v>黑色天鹅绒</v>
      </c>
      <c r="V281" s="16" t="n">
        <v>8.5</v>
      </c>
      <c r="W281" s="8" t="str">
        <v>2026-10-11 至 2026-10-17</v>
      </c>
      <c r="X281" s="8" t="str">
        <v>2026-10-11、2026-10-12、2026-10-13、2026-10-14、2026-10-15、2026-10-16、2026-10-17</v>
      </c>
      <c r="Y281" s="8" t="str">
        <v>无</v>
      </c>
      <c r="Z281" s="8" t="n">
        <v>0</v>
      </c>
      <c r="AA281" s="8" t="n">
        <v>0</v>
      </c>
      <c r="AB281" s="8" t="n">
        <v>7</v>
      </c>
      <c r="AC281" s="8" t="str">
        <v>2026-10-02 至 2026-10-17</v>
      </c>
      <c r="AD281" s="8" t="str">
        <v>2026-10-02、2026-10-03、2026-10-04、2026-10-05、2026-10-08、2026-10-09、2026-10-10、2026-10-11、2026-10-12、2026-10-13、2026-10-14、2026-10-15、2026-10-16、2026-10-17</v>
      </c>
      <c r="AE281" s="8" t="str">
        <v>2026-10-06 大促；2026-10-07 大促</v>
      </c>
      <c r="AF281" s="8" t="n">
        <v>2</v>
      </c>
      <c r="AG281" s="8" t="n">
        <v>1</v>
      </c>
      <c r="AH281" s="8" t="n">
        <v>14</v>
      </c>
      <c r="AI281" s="8" t="str">
        <v>2026-09-16 至 2026-10-17</v>
      </c>
      <c r="AJ2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1" s="8" t="str">
        <v>2026-10-06 大促；2026-10-07 大促</v>
      </c>
      <c r="AL281" s="8" t="n">
        <v>5</v>
      </c>
      <c r="AM281" s="8" t="n">
        <v>1</v>
      </c>
      <c r="AN281" s="8" t="n">
        <v>30</v>
      </c>
      <c r="AO281" s="8" t="str">
        <v>B07 / 黑色天鹅绒 / 13306</v>
      </c>
      <c r="AP281" s="11" t="n">
        <v>0.7307750238224848</v>
      </c>
      <c r="AQ281" s="11" t="n">
        <v>0.7307750238224848</v>
      </c>
      <c r="AR281" s="11" t="n">
        <v>0.7449809054134506</v>
      </c>
      <c r="AS281" s="11" t="n">
        <f>IF(AND(COUNT(I281:K281,AP281:AR281)=6,MIN(AP281:AR281)&gt;0),I281/7/AP281*0.5+J281/14/AQ281*0.3+K281/30/AR281*0.2,"")</f>
        <v>0.06511817670179255</v>
      </c>
      <c r="AT281" s="8" t="n">
        <v>9</v>
      </c>
      <c r="AU281" s="8" t="n">
        <v>1</v>
      </c>
      <c r="AV281" s="8" t="n">
        <v>88</v>
      </c>
      <c r="AW281" s="11" t="n">
        <f>IF(AND(COUNT(AT281:AV281)=3,AT281&gt;=AU281,AU281&gt;=0,AV281&gt;0),(AT281-AU281)/AV281,"")</f>
        <v>0.09090909090909091</v>
      </c>
      <c r="AX281" s="8" t="n">
        <v>16</v>
      </c>
      <c r="AY281" s="8" t="n">
        <v>1</v>
      </c>
      <c r="AZ281" s="8" t="n">
        <v>178</v>
      </c>
      <c r="BA281" s="11" t="n">
        <f>IF(AND(COUNT(AX281:AZ281)=3,AX281&gt;=AY281,AY281&gt;=0,AZ281&gt;0),(AX281-AY281)/AZ281,"")</f>
        <v>0.08426966292134831</v>
      </c>
      <c r="BB281" s="8" t="n">
        <f>IF(COUNT(AS281,AW281,BA281)=3,1,0)</f>
        <v>1</v>
      </c>
      <c r="BC281" s="11" t="n">
        <f>IF(SUMIF($AO$11:$AO$1309,AO281,$BB$11:$BB$1309)=COUNTIF($AO$11:$AO$1309,AO281),SUMIF($AO$11:$AO$1309,AO281,$AS$11:$AS$1309),"")</f>
        <v>11.92937132043239</v>
      </c>
      <c r="BD281" s="11" t="n">
        <f>IF(SUMIF($AO$11:$AO$1309,AO281,$BB$11:$BB$1309)=COUNTIF($AO$11:$AO$1309,AO281),SUMIF($AO$11:$AO$1309,AO281,$AW$11:$AW$1309),"")</f>
        <v>5.794919786096258</v>
      </c>
      <c r="BE281" s="11" t="n">
        <f>IF(SUMIF($AO$11:$AO$1309,AO281,$BB$11:$BB$1309)=COUNTIF($AO$11:$AO$1309,AO281),SUMIF($AO$11:$AO$1309,AO281,$BA$11:$BA$1309),"")</f>
        <v>5.3098234349919755</v>
      </c>
      <c r="BF281" s="12" t="n">
        <f>IF(COUNT(BD281:BE281)&lt;&gt;2,"",IF(AND(BD281&gt;0,BE281&gt;0),0.7*AW281/BD281+0.3*BA281/BE281,IF(BD281&gt;0,AW281/BD281,IF(BE281&gt;0,BA281/BE281,IF(AND(ISNUMBER(BH281),BH281=0),0,"")))))</f>
        <v>0.015742561655671523</v>
      </c>
      <c r="BG281" s="11" t="n">
        <f>IF(AND(COUNT(BN281:BU281)=8,MIN(BN281:BU281)&gt;=0),SUMPRODUCT(BN281:BQ281,BR281:BU281),"")</f>
        <v>78.35892944347341</v>
      </c>
      <c r="BH281" s="11" t="n">
        <f>IF(COUNT(BC281,BG281)=2,BC281*BG281,"")</f>
        <v>934.7727656027569</v>
      </c>
      <c r="BI281" s="11" t="n">
        <f>IF(ISNUMBER(CI281),CI281,"")</f>
        <v>14.715717896543985</v>
      </c>
      <c r="BJ281" s="8" t="str">
        <v>低销提醒依据不完整</v>
      </c>
      <c r="BK281" s="8" t="str">
        <v>90天：2026-07-20 至 2026-10-17；180天：2026-04-21 至 2026-10-17</v>
      </c>
      <c r="BL281" s="8" t="str">
        <v>90天：2026-10-06、2026-10-07；180天：2026-10-06、2026-10-07</v>
      </c>
      <c r="BM281" s="8" t="str">
        <v>2026-10：12天 × 0.7307750238224848；2026-11：30天 × 0.9523018155490097；2026-12：31天 × 0.5958545198749097；2027-01：17天 × 1.3264167397065354</v>
      </c>
      <c r="BN281" s="11" t="n">
        <v>0.7307750238224848</v>
      </c>
      <c r="BO281" s="11" t="n">
        <v>0.9523018155490097</v>
      </c>
      <c r="BP281" s="11" t="n">
        <v>0.5958545198749097</v>
      </c>
      <c r="BQ281" s="11" t="n">
        <v>1.3264167397065354</v>
      </c>
      <c r="BR281" s="8" t="n">
        <v>12</v>
      </c>
      <c r="BS281" s="8" t="n">
        <v>30</v>
      </c>
      <c r="BT281" s="8" t="n">
        <v>31</v>
      </c>
      <c r="BU281" s="8" t="n">
        <v>17</v>
      </c>
      <c r="BV281" s="11" t="n">
        <f>IF(COUNT(BC281,BF281)=2,BC281*BF281,"")</f>
        <v>0.1877988635253065</v>
      </c>
      <c r="BW281" s="11" t="n">
        <f>IF(ISNUMBER(BN281),BN281,"")</f>
        <v>0.7307750238224848</v>
      </c>
      <c r="BX281" s="14" t="n">
        <f>IF(ISNUMBER(BR281),BR281,"")</f>
        <v>12</v>
      </c>
      <c r="BY281" s="13" t="n">
        <f>IF(AND(COUNT(BV281,BW281,BX281)=3,MIN(BV281,BW281,BX281)&gt;=0),BV281*BW281*BX281,"")</f>
        <v>1.6468646275984973</v>
      </c>
      <c r="BZ281" s="11" t="n">
        <f>IF(ISNUMBER(BO281),BO281,"")</f>
        <v>0.9523018155490097</v>
      </c>
      <c r="CA281" s="14" t="n">
        <f>IF(ISNUMBER(BS281),BS281,"")</f>
        <v>30</v>
      </c>
      <c r="CB281" s="13" t="n">
        <f>IF(AND(COUNT(BV281,BZ281,CA281)=3,MIN(BV281,BZ281,CA281)&gt;=0),BV281*BZ281*CA281,"")</f>
        <v>5.365235960795703</v>
      </c>
      <c r="CC281" s="11" t="n">
        <f>IF(ISNUMBER(BP281),BP281,"")</f>
        <v>0.5958545198749097</v>
      </c>
      <c r="CD281" s="14" t="n">
        <f>IF(ISNUMBER(BT281),BT281,"")</f>
        <v>31</v>
      </c>
      <c r="CE281" s="13" t="n">
        <f>IF(AND(COUNT(BV281,CC281,CD281)=3,MIN(BV281,CC281,CD281)&gt;=0),BV281*CC281*CD281,"")</f>
        <v>3.4689248514266806</v>
      </c>
      <c r="CF281" s="11" t="n">
        <f>IF(ISNUMBER(BQ281),BQ281,"")</f>
        <v>1.3264167397065354</v>
      </c>
      <c r="CG281" s="14" t="n">
        <f>IF(ISNUMBER(BU281),BU281,"")</f>
        <v>17</v>
      </c>
      <c r="CH281" s="13" t="n">
        <f>IF(AND(COUNT(BV281,CF281,CG281)=3,MIN(BV281,CF281,CG281)&gt;=0),BV281*CF281*CG281,"")</f>
        <v>4.234692456723104</v>
      </c>
      <c r="CI281" s="13" t="n">
        <f>IF(COUNT(BY281,CB281,CE281,CH281)=4,SUM(BY281,CB281,CE281,CH281),"")</f>
        <v>14.715717896543985</v>
      </c>
    </row>
    <row r="282" ht="72" customHeight="1">
      <c r="A282" s="16" t="str">
        <v>60516-LP-S-K-8.5</v>
      </c>
      <c r="B282" s="16" t="str">
        <v>3店-SANDIEX-US</v>
      </c>
      <c r="C282" s="16" t="str">
        <v>徐新怡</v>
      </c>
      <c r="D282" s="26" t="n">
        <f>IF(NOT(ISNUMBER(E282)),"",IF(OR(E282&lt;=0,L282=0),0,IF(OR(NOT(ISNUMBER(F282)),F282&lt;0),"",MIN(E282,INT(F282)))))</f>
        <v>0</v>
      </c>
      <c r="E282" s="27" t="n">
        <f>IF(OR(NOT(ISNUMBER(L282)),COUNT(M282:O282)&lt;&gt;3,MIN(M282:O282)&lt;0),"",ROUNDUP(ROUND(BI282-SUM(M282:O282),10),0))</f>
        <v>13</v>
      </c>
      <c r="F282" s="28" t="n">
        <v>0</v>
      </c>
      <c r="G282" s="28" t="n">
        <f>IF(AND(ISNUMBER(D282),ISNUMBER(E282)),IF(OR(E282&lt;=0,L282=0),0,E282-D282),"")</f>
        <v>13</v>
      </c>
      <c r="H282" s="16" t="str">
        <f>IF(NOT(ISNUMBER(E282)),"销量或海外库存待补",IF(OR(E282&lt;=0,L282=0),IF(L282=0,"零日销，本批不发","本批无需补货"),IF(NOT(ISNUMBER(D282)),"国内库存待补",IF(D282=0,"国内无可用库存",IF(G282&gt;0,"先发国内现货","按建议量发货")))))</f>
        <v>国内无可用库存</v>
      </c>
      <c r="I282" s="28" t="n">
        <f>IF(AND(COUNT(Z282,AA282,AB282)=3,Z282&gt;=AA282,AA282&gt;=0,AB282=7),Z282-AA282,"")</f>
        <v>0</v>
      </c>
      <c r="J282" s="28" t="n">
        <f>IF(AND(COUNT(AF282,AG282,AH282)=3,AF282&gt;=AG282,AG282&gt;=0,AH282=14),AF282-AG282,"")</f>
        <v>0</v>
      </c>
      <c r="K282" s="28" t="n">
        <f>IF(AND(COUNT(AL282,AM282,AN282)=3,AL282&gt;=AM282,AM282&gt;=0,AN282=30),AL282-AM282,"")</f>
        <v>1</v>
      </c>
      <c r="L282" s="29" t="n">
        <f>IF(ISNUMBER(BI282),BI282/90,"")</f>
        <v>0.13836492694543928</v>
      </c>
      <c r="M282" s="28" t="n">
        <v>0</v>
      </c>
      <c r="N282" s="28" t="n">
        <v>0</v>
      </c>
      <c r="O282" s="28" t="n">
        <v>0</v>
      </c>
      <c r="P282" s="30" t="n">
        <f>IF(AND(ISNUMBER(L282),L282&gt;0,COUNT(M282:O282)=3,MIN(M282:O282)&gt;=0),SUM(M282:O282)/L282,"")</f>
        <v>0</v>
      </c>
      <c r="Q282" s="16" t="str">
        <v>沿用原计划SKU店铺</v>
      </c>
      <c r="R282" s="16" t="str">
        <v>已匹配</v>
      </c>
      <c r="S282" s="16" t="str">
        <v>停售</v>
      </c>
      <c r="T282" s="16" t="str">
        <v>60516</v>
      </c>
      <c r="U282" s="16" t="str">
        <v>豹纹</v>
      </c>
      <c r="V282" s="16" t="n">
        <v>8.5</v>
      </c>
      <c r="W282" s="8" t="str">
        <v>2026-10-11 至 2026-10-17</v>
      </c>
      <c r="X282" s="8" t="str">
        <v>2026-10-11、2026-10-12、2026-10-13、2026-10-14、2026-10-15、2026-10-16、2026-10-17</v>
      </c>
      <c r="Y282" s="8" t="str">
        <v>无</v>
      </c>
      <c r="Z282" s="8" t="n">
        <v>0</v>
      </c>
      <c r="AA282" s="8" t="n">
        <v>0</v>
      </c>
      <c r="AB282" s="8" t="n">
        <v>7</v>
      </c>
      <c r="AC282" s="8" t="str">
        <v>2026-10-02 至 2026-10-17</v>
      </c>
      <c r="AD282" s="8" t="str">
        <v>2026-10-02、2026-10-03、2026-10-04、2026-10-05、2026-10-08、2026-10-09、2026-10-10、2026-10-11、2026-10-12、2026-10-13、2026-10-14、2026-10-15、2026-10-16、2026-10-17</v>
      </c>
      <c r="AE282" s="8" t="str">
        <v>2026-10-06 大促；2026-10-07 大促</v>
      </c>
      <c r="AF282" s="8" t="n">
        <v>1</v>
      </c>
      <c r="AG282" s="8" t="n">
        <v>1</v>
      </c>
      <c r="AH282" s="8" t="n">
        <v>14</v>
      </c>
      <c r="AI282" s="8" t="str">
        <v>2026-09-16 至 2026-10-17</v>
      </c>
      <c r="AJ2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2" s="8" t="str">
        <v>2026-10-06 大促；2026-10-07 大促</v>
      </c>
      <c r="AL282" s="8" t="n">
        <v>2</v>
      </c>
      <c r="AM282" s="8" t="n">
        <v>1</v>
      </c>
      <c r="AN282" s="8" t="n">
        <v>30</v>
      </c>
      <c r="AO282" s="8" t="str">
        <v>60516 / 豹纹羊京绒 / 6574</v>
      </c>
      <c r="AP282" s="11" t="n">
        <v>1.8609238953732312</v>
      </c>
      <c r="AQ282" s="11" t="n">
        <v>1.8609238953732312</v>
      </c>
      <c r="AR282" s="11" t="n">
        <v>1.7598476169692943</v>
      </c>
      <c r="AS282" s="11" t="n">
        <f>IF(AND(COUNT(I282:K282,AP282:AR282)=6,MIN(AP282:AR282)&gt;0),I282/7/AP282*0.5+J282/14/AQ282*0.3+K282/30/AR282*0.2,"")</f>
        <v>0.0037882067756227706</v>
      </c>
      <c r="AT282" s="8" t="n">
        <v>8</v>
      </c>
      <c r="AU282" s="8" t="n">
        <v>1</v>
      </c>
      <c r="AV282" s="8" t="n">
        <v>88</v>
      </c>
      <c r="AW282" s="11" t="n">
        <f>IF(AND(COUNT(AT282:AV282)=3,AT282&gt;=AU282,AU282&gt;=0,AV282&gt;0),(AT282-AU282)/AV282,"")</f>
        <v>0.07954545454545454</v>
      </c>
      <c r="AX282" s="8" t="n">
        <v>17</v>
      </c>
      <c r="AY282" s="8" t="n">
        <v>1</v>
      </c>
      <c r="AZ282" s="8" t="n">
        <v>178</v>
      </c>
      <c r="BA282" s="11" t="n">
        <f>IF(AND(COUNT(AX282:AZ282)=3,AX282&gt;=AY282,AY282&gt;=0,AZ282&gt;0),(AX282-AY282)/AZ282,"")</f>
        <v>0.0898876404494382</v>
      </c>
      <c r="BB282" s="8" t="n">
        <f>IF(COUNT(AS282,AW282,BA282)=3,1,0)</f>
        <v>1</v>
      </c>
      <c r="BC282" s="11" t="n">
        <f>IF(SUMIF($AO$11:$AO$1309,AO282,$BB$11:$BB$1309)=COUNTIF($AO$11:$AO$1309,AO282),SUMIF($AO$11:$AO$1309,AO282,$AS$11:$AS$1309),"")</f>
        <v>4.8489600193541325</v>
      </c>
      <c r="BD282" s="11" t="n">
        <f>IF(SUMIF($AO$11:$AO$1309,AO282,$BB$11:$BB$1309)=COUNTIF($AO$11:$AO$1309,AO282),SUMIF($AO$11:$AO$1309,AO282,$AW$11:$AW$1309),"")</f>
        <v>4.045454545454545</v>
      </c>
      <c r="BE282" s="11" t="n">
        <f>IF(SUMIF($AO$11:$AO$1309,AO282,$BB$11:$BB$1309)=COUNTIF($AO$11:$AO$1309,AO282),SUMIF($AO$11:$AO$1309,AO282,$BA$11:$BA$1309),"")</f>
        <v>2.7977528089887636</v>
      </c>
      <c r="BF282" s="12" t="n">
        <f>IF(COUNT(BD282:BE282)&lt;&gt;2,"",IF(AND(BD282&gt;0,BE282&gt;0),0.7*AW282/BD282+0.3*BA282/BE282,IF(BD282&gt;0,AW282/BD282,IF(BE282&gt;0,BA282/BE282,IF(AND(ISNUMBER(BH282),BH282=0),0,"")))))</f>
        <v>0.023402599160687695</v>
      </c>
      <c r="BG282" s="11" t="n">
        <f>IF(AND(COUNT(BN282:BU282)=8,MIN(BN282:BU282)&gt;=0),SUMPRODUCT(BN282:BQ282,BR282:BU282),"")</f>
        <v>109.73769409574882</v>
      </c>
      <c r="BH282" s="11" t="n">
        <f>IF(COUNT(BC282,BG282)=2,BC282*BG282,"")</f>
        <v>532.1136912864001</v>
      </c>
      <c r="BI282" s="11" t="n">
        <f>IF(ISNUMBER(CI282),CI282,"")</f>
        <v>12.452843425089537</v>
      </c>
      <c r="BJ282" s="8" t="str"/>
      <c r="BK282" s="8" t="str">
        <v>90天：2026-07-20 至 2026-10-17；180天：2026-04-21 至 2026-10-17</v>
      </c>
      <c r="BL282" s="8" t="str">
        <v>90天：2026-10-06、2026-10-07；180天：2026-10-06、2026-10-07</v>
      </c>
      <c r="BM282" s="8" t="str">
        <v>2026-10：12天 × 1.8609238953732312；2026-11：30天 × 1.438375649833085；2026-12：31天 × 0.9519742599124907；2027-01：17天 × 0.8673021058229575</v>
      </c>
      <c r="BN282" s="11" t="n">
        <v>1.8609238953732312</v>
      </c>
      <c r="BO282" s="11" t="n">
        <v>1.438375649833085</v>
      </c>
      <c r="BP282" s="11" t="n">
        <v>0.9519742599124907</v>
      </c>
      <c r="BQ282" s="11" t="n">
        <v>0.8673021058229575</v>
      </c>
      <c r="BR282" s="8" t="n">
        <v>12</v>
      </c>
      <c r="BS282" s="8" t="n">
        <v>30</v>
      </c>
      <c r="BT282" s="8" t="n">
        <v>31</v>
      </c>
      <c r="BU282" s="8" t="n">
        <v>17</v>
      </c>
      <c r="BV282" s="11" t="n">
        <f>IF(COUNT(BC282,BF282)=2,BC282*BF282,"")</f>
        <v>0.1134782676791452</v>
      </c>
      <c r="BW282" s="11" t="n">
        <f>IF(ISNUMBER(BN282),BN282,"")</f>
        <v>1.8609238953732312</v>
      </c>
      <c r="BX282" s="14" t="n">
        <f>IF(ISNUMBER(BR282),BR282,"")</f>
        <v>12</v>
      </c>
      <c r="BY282" s="13" t="n">
        <f>IF(AND(COUNT(BV282,BW282,BX282)=3,MIN(BV282,BW282,BX282)&gt;=0),BV282*BW282*BX282,"")</f>
        <v>2.534093039156174</v>
      </c>
      <c r="BZ282" s="11" t="n">
        <f>IF(ISNUMBER(BO282),BO282,"")</f>
        <v>1.438375649833085</v>
      </c>
      <c r="CA282" s="14" t="n">
        <f>IF(ISNUMBER(BS282),BS282,"")</f>
        <v>30</v>
      </c>
      <c r="CB282" s="13" t="n">
        <f>IF(AND(COUNT(BV282,BZ282,CA282)=3,MIN(BV282,BZ282,CA282)&gt;=0),BV282*BZ282*CA282,"")</f>
        <v>4.896731310447698</v>
      </c>
      <c r="CC282" s="11" t="n">
        <f>IF(ISNUMBER(BP282),BP282,"")</f>
        <v>0.9519742599124907</v>
      </c>
      <c r="CD282" s="14" t="n">
        <f>IF(ISNUMBER(BT282),BT282,"")</f>
        <v>31</v>
      </c>
      <c r="CE282" s="13" t="n">
        <f>IF(AND(COUNT(BV282,CC282,CD282)=3,MIN(BV282,CC282,CD282)&gt;=0),BV282*CC282*CD282,"")</f>
        <v>3.3488800865901793</v>
      </c>
      <c r="CF282" s="11" t="n">
        <f>IF(ISNUMBER(BQ282),BQ282,"")</f>
        <v>0.8673021058229575</v>
      </c>
      <c r="CG282" s="14" t="n">
        <f>IF(ISNUMBER(BU282),BU282,"")</f>
        <v>17</v>
      </c>
      <c r="CH282" s="13" t="n">
        <f>IF(AND(COUNT(BV282,CF282,CG282)=3,MIN(BV282,CF282,CG282)&gt;=0),BV282*CF282*CG282,"")</f>
        <v>1.6731389888954864</v>
      </c>
      <c r="CI282" s="13" t="n">
        <f>IF(COUNT(BY282,CB282,CE282,CH282)=4,SUM(BY282,CB282,CE282,CH282),"")</f>
        <v>12.452843425089537</v>
      </c>
    </row>
    <row r="283" ht="72" customHeight="1">
      <c r="A283" s="16" t="str">
        <v>B06b-LP-39</v>
      </c>
      <c r="B283" s="16" t="str">
        <v>1店-MUSSHOE-US</v>
      </c>
      <c r="C283" s="16" t="str">
        <v>艾年</v>
      </c>
      <c r="D283" s="26" t="n">
        <f>IF(NOT(ISNUMBER(E283)),"",IF(OR(E283&lt;=0,L283=0),0,IF(OR(NOT(ISNUMBER(F283)),F283&lt;0),"",MIN(E283,INT(F283)))))</f>
        <v>0</v>
      </c>
      <c r="E283" s="27" t="n">
        <f>IF(OR(NOT(ISNUMBER(L283)),COUNT(M283:O283)&lt;&gt;3,MIN(M283:O283)&lt;0),"",ROUNDUP(ROUND(BI283-SUM(M283:O283),10),0))</f>
        <v>13</v>
      </c>
      <c r="F283" s="28" t="n">
        <v>0</v>
      </c>
      <c r="G283" s="28" t="n">
        <f>IF(AND(ISNUMBER(D283),ISNUMBER(E283)),IF(OR(E283&lt;=0,L283=0),0,E283-D283),"")</f>
        <v>13</v>
      </c>
      <c r="H283" s="16" t="str">
        <f>IF(NOT(ISNUMBER(E283)),"销量或海外库存待补",IF(OR(E283&lt;=0,L283=0),IF(L283=0,"零日销，本批不发","本批无需补货"),IF(NOT(ISNUMBER(D283)),"国内库存待补",IF(D283=0,"国内无可用库存",IF(G283&gt;0,"先发国内现货","按建议量发货")))))</f>
        <v>国内无可用库存</v>
      </c>
      <c r="I283" s="28" t="n">
        <f>IF(AND(COUNT(Z283,AA283,AB283)=3,Z283&gt;=AA283,AA283&gt;=0,AB283=7),Z283-AA283,"")</f>
        <v>4</v>
      </c>
      <c r="J283" s="28" t="n">
        <f>IF(AND(COUNT(AF283,AG283,AH283)=3,AF283&gt;=AG283,AG283&gt;=0,AH283=14),AF283-AG283,"")</f>
        <v>6</v>
      </c>
      <c r="K283" s="28" t="n">
        <f>IF(AND(COUNT(AL283,AM283,AN283)=3,AL283&gt;=AM283,AM283&gt;=0,AN283=30),AL283-AM283,"")</f>
        <v>15</v>
      </c>
      <c r="L283" s="29" t="n">
        <f>IF(ISNUMBER(BI283),BI283/90,"")</f>
        <v>0.6032110048325404</v>
      </c>
      <c r="M283" s="28" t="n">
        <v>31</v>
      </c>
      <c r="N283" s="28" t="n">
        <v>0</v>
      </c>
      <c r="O283" s="28" t="n">
        <v>11</v>
      </c>
      <c r="P283" s="30" t="n">
        <f>IF(AND(ISNUMBER(L283),L283&gt;0,COUNT(M283:O283)=3,MIN(M283:O283)&gt;=0),SUM(M283:O283)/L283,"")</f>
        <v>69.62737692701705</v>
      </c>
      <c r="Q283" s="16" t="str">
        <v>沿用原计划SKU店铺</v>
      </c>
      <c r="R283" s="16" t="str">
        <v>已匹配</v>
      </c>
      <c r="S283" s="16" t="str">
        <v>在售</v>
      </c>
      <c r="T283" s="16" t="str">
        <v>B06b</v>
      </c>
      <c r="U283" s="16" t="str">
        <v>豹纹羊京绒</v>
      </c>
      <c r="V283" s="16" t="n">
        <v>8</v>
      </c>
      <c r="W283" s="8" t="str">
        <v>2026-10-11 至 2026-10-17</v>
      </c>
      <c r="X283" s="8" t="str">
        <v>2026-10-11、2026-10-12、2026-10-13、2026-10-14、2026-10-15、2026-10-16、2026-10-17</v>
      </c>
      <c r="Y283" s="8" t="str">
        <v>无</v>
      </c>
      <c r="Z283" s="8" t="n">
        <v>4</v>
      </c>
      <c r="AA283" s="8" t="n">
        <v>0</v>
      </c>
      <c r="AB283" s="8" t="n">
        <v>7</v>
      </c>
      <c r="AC283" s="8" t="str">
        <v>2026-10-02 至 2026-10-17</v>
      </c>
      <c r="AD283" s="8" t="str">
        <v>2026-10-02、2026-10-03、2026-10-04、2026-10-05、2026-10-08、2026-10-09、2026-10-10、2026-10-11、2026-10-12、2026-10-13、2026-10-14、2026-10-15、2026-10-16、2026-10-17</v>
      </c>
      <c r="AE283" s="8" t="str">
        <v>2026-10-06 大促；2026-10-07 大促</v>
      </c>
      <c r="AF283" s="8" t="n">
        <v>7</v>
      </c>
      <c r="AG283" s="8" t="n">
        <v>1</v>
      </c>
      <c r="AH283" s="8" t="n">
        <v>14</v>
      </c>
      <c r="AI283" s="8" t="str">
        <v>2026-09-16 至 2026-10-17</v>
      </c>
      <c r="AJ2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3" s="8" t="str">
        <v>2026-10-06 大促；2026-10-07 大促</v>
      </c>
      <c r="AL283" s="8" t="n">
        <v>16</v>
      </c>
      <c r="AM283" s="8" t="n">
        <v>1</v>
      </c>
      <c r="AN283" s="8" t="n">
        <v>30</v>
      </c>
      <c r="AO283" s="8" t="str">
        <v>B06b / 豹纹羊京绒 / 13120</v>
      </c>
      <c r="AP283" s="11" t="n">
        <v>1.1090677182221615</v>
      </c>
      <c r="AQ283" s="11" t="n">
        <v>1.1090677182221615</v>
      </c>
      <c r="AR283" s="11" t="n">
        <v>0.9505188216044452</v>
      </c>
      <c r="AS283" s="11" t="n">
        <f>IF(AND(COUNT(I283:K283,AP283:AR283)=6,MIN(AP283:AR283)&gt;0),I283/7/AP283*0.5+J283/14/AQ283*0.3+K283/30/AR283*0.2,"")</f>
        <v>0.4787498126128941</v>
      </c>
      <c r="AT283" s="8" t="n">
        <v>37</v>
      </c>
      <c r="AU283" s="8" t="n">
        <v>1</v>
      </c>
      <c r="AV283" s="8" t="n">
        <v>88</v>
      </c>
      <c r="AW283" s="11" t="n">
        <f>IF(AND(COUNT(AT283:AV283)=3,AT283&gt;=AU283,AU283&gt;=0,AV283&gt;0),(AT283-AU283)/AV283,"")</f>
        <v>0.4090909090909091</v>
      </c>
      <c r="AX283" s="8" t="n">
        <v>47</v>
      </c>
      <c r="AY283" s="8" t="n">
        <v>1</v>
      </c>
      <c r="AZ283" s="8" t="n">
        <v>178</v>
      </c>
      <c r="BA283" s="11" t="n">
        <f>IF(AND(COUNT(AX283:AZ283)=3,AX283&gt;=AY283,AY283&gt;=0,AZ283&gt;0),(AX283-AY283)/AZ283,"")</f>
        <v>0.25842696629213485</v>
      </c>
      <c r="BB283" s="8" t="n">
        <f>IF(COUNT(AS283,AW283,BA283)=3,1,0)</f>
        <v>1</v>
      </c>
      <c r="BC283" s="11" t="n">
        <f>IF(SUMIF($AO$11:$AO$1309,AO283,$BB$11:$BB$1309)=COUNTIF($AO$11:$AO$1309,AO283),SUMIF($AO$11:$AO$1309,AO283,$AS$11:$AS$1309),"")</f>
        <v>3.3094608435746915</v>
      </c>
      <c r="BD283" s="11" t="n">
        <f>IF(SUMIF($AO$11:$AO$1309,AO283,$BB$11:$BB$1309)=COUNTIF($AO$11:$AO$1309,AO283),SUMIF($AO$11:$AO$1309,AO283,$AW$11:$AW$1309),"")</f>
        <v>2.343716577540107</v>
      </c>
      <c r="BE283" s="11" t="n">
        <f>IF(SUMIF($AO$11:$AO$1309,AO283,$BB$11:$BB$1309)=COUNTIF($AO$11:$AO$1309,AO283),SUMIF($AO$11:$AO$1309,AO283,$BA$11:$BA$1309),"")</f>
        <v>1.5069662921348317</v>
      </c>
      <c r="BF283" s="12" t="n">
        <f>IF(COUNT(BD283:BE283)&lt;&gt;2,"",IF(AND(BD283&gt;0,BE283&gt;0),0.7*AW283/BD283+0.3*BA283/BE283,IF(BD283&gt;0,AW283/BD283,IF(BE283&gt;0,BA283/BE283,IF(AND(ISNUMBER(BH283),BH283=0),0,"")))))</f>
        <v>0.17363002640135936</v>
      </c>
      <c r="BG283" s="11" t="n">
        <f>IF(AND(COUNT(BN283:BU283)=8,MIN(BN283:BU283)&gt;=0),SUMPRODUCT(BN283:BQ283,BR283:BU283),"")</f>
        <v>94.47778160343367</v>
      </c>
      <c r="BH283" s="11" t="n">
        <f>IF(COUNT(BC283,BG283)=2,BC283*BG283,"")</f>
        <v>312.6705188043651</v>
      </c>
      <c r="BI283" s="11" t="n">
        <f>IF(ISNUMBER(CI283),CI283,"")</f>
        <v>54.288990434928635</v>
      </c>
      <c r="BJ283" s="8" t="str"/>
      <c r="BK283" s="8" t="str">
        <v>90天：2026-07-20 至 2026-10-17；180天：2026-04-21 至 2026-10-17</v>
      </c>
      <c r="BL283" s="8" t="str">
        <v>90天：2026-10-06、2026-10-07；180天：2026-10-06、2026-10-07</v>
      </c>
      <c r="BM283" s="8" t="str">
        <v>2026-10：12天 × 1.1090677182221615；2026-11：30天 × 1.0372741535934282；2026-12：31天 × 0.979949351738161；2027-01：17天 × 1.1571949690048173</v>
      </c>
      <c r="BN283" s="11" t="n">
        <v>1.1090677182221615</v>
      </c>
      <c r="BO283" s="11" t="n">
        <v>1.0372741535934282</v>
      </c>
      <c r="BP283" s="11" t="n">
        <v>0.979949351738161</v>
      </c>
      <c r="BQ283" s="11" t="n">
        <v>1.1571949690048173</v>
      </c>
      <c r="BR283" s="8" t="n">
        <v>12</v>
      </c>
      <c r="BS283" s="8" t="n">
        <v>30</v>
      </c>
      <c r="BT283" s="8" t="n">
        <v>31</v>
      </c>
      <c r="BU283" s="8" t="n">
        <v>17</v>
      </c>
      <c r="BV283" s="11" t="n">
        <f>IF(COUNT(BC283,BF283)=2,BC283*BF283,"")</f>
        <v>0.5746217736441387</v>
      </c>
      <c r="BW283" s="11" t="n">
        <f>IF(ISNUMBER(BN283),BN283,"")</f>
        <v>1.1090677182221615</v>
      </c>
      <c r="BX283" s="14" t="n">
        <f>IF(ISNUMBER(BR283),BR283,"")</f>
        <v>12</v>
      </c>
      <c r="BY283" s="13" t="n">
        <f>IF(AND(COUNT(BV283,BW283,BX283)=3,MIN(BV283,BW283,BX283)&gt;=0),BV283*BW283*BX283,"")</f>
        <v>7.647533512035315</v>
      </c>
      <c r="BZ283" s="11" t="n">
        <f>IF(ISNUMBER(BO283),BO283,"")</f>
        <v>1.0372741535934282</v>
      </c>
      <c r="CA283" s="14" t="n">
        <f>IF(ISNUMBER(BS283),BS283,"")</f>
        <v>30</v>
      </c>
      <c r="CB283" s="13" t="n">
        <f>IF(AND(COUNT(BV283,BZ283,CA283)=3,MIN(BV283,BZ283,CA283)&gt;=0),BV283*BZ283*CA283,"")</f>
        <v>17.881209416792352</v>
      </c>
      <c r="CC283" s="11" t="n">
        <f>IF(ISNUMBER(BP283),BP283,"")</f>
        <v>0.979949351738161</v>
      </c>
      <c r="CD283" s="14" t="n">
        <f>IF(ISNUMBER(BT283),BT283,"")</f>
        <v>31</v>
      </c>
      <c r="CE283" s="13" t="n">
        <f>IF(AND(COUNT(BV283,CC283,CD283)=3,MIN(BV283,CC283,CD283)&gt;=0),BV283*CC283*CD283,"")</f>
        <v>17.456107271893387</v>
      </c>
      <c r="CF283" s="11" t="n">
        <f>IF(ISNUMBER(BQ283),BQ283,"")</f>
        <v>1.1571949690048173</v>
      </c>
      <c r="CG283" s="14" t="n">
        <f>IF(ISNUMBER(BU283),BU283,"")</f>
        <v>17</v>
      </c>
      <c r="CH283" s="13" t="n">
        <f>IF(AND(COUNT(BV283,CF283,CG283)=3,MIN(BV283,CF283,CG283)&gt;=0),BV283*CF283*CG283,"")</f>
        <v>11.304140234207578</v>
      </c>
      <c r="CI283" s="13" t="n">
        <f>IF(COUNT(BY283,CB283,CE283,CH283)=4,SUM(BY283,CB283,CE283,CH283),"")</f>
        <v>54.288990434928635</v>
      </c>
    </row>
    <row r="284" ht="72" customHeight="1">
      <c r="A284" s="16" t="str">
        <v>B06b-NDP0-6</v>
      </c>
      <c r="B284" s="16" t="str">
        <v>1店-MUSSHOE-US</v>
      </c>
      <c r="C284" s="16" t="str">
        <v>艾年</v>
      </c>
      <c r="D284" s="26" t="n">
        <f>IF(NOT(ISNUMBER(E284)),"",IF(OR(E284&lt;=0,L284=0),0,IF(OR(NOT(ISNUMBER(F284)),F284&lt;0),"",MIN(E284,INT(F284)))))</f>
        <v>0</v>
      </c>
      <c r="E284" s="27" t="n">
        <f>IF(OR(NOT(ISNUMBER(L284)),COUNT(M284:O284)&lt;&gt;3,MIN(M284:O284)&lt;0),"",ROUNDUP(ROUND(BI284-SUM(M284:O284),10),0))</f>
        <v>13</v>
      </c>
      <c r="F284" s="28" t="n">
        <v>0</v>
      </c>
      <c r="G284" s="28" t="n">
        <f>IF(AND(ISNUMBER(D284),ISNUMBER(E284)),IF(OR(E284&lt;=0,L284=0),0,E284-D284),"")</f>
        <v>13</v>
      </c>
      <c r="H284" s="16" t="str">
        <f>IF(NOT(ISNUMBER(E284)),"销量或海外库存待补",IF(OR(E284&lt;=0,L284=0),IF(L284=0,"零日销，本批不发","本批无需补货"),IF(NOT(ISNUMBER(D284)),"国内库存待补",IF(D284=0,"国内无可用库存",IF(G284&gt;0,"先发国内现货","按建议量发货")))))</f>
        <v>国内无可用库存</v>
      </c>
      <c r="I284" s="28" t="n">
        <f>IF(AND(COUNT(Z284,AA284,AB284)=3,Z284&gt;=AA284,AA284&gt;=0,AB284=7),Z284-AA284,"")</f>
        <v>0</v>
      </c>
      <c r="J284" s="28" t="n">
        <f>IF(AND(COUNT(AF284,AG284,AH284)=3,AF284&gt;=AG284,AG284&gt;=0,AH284=14),AF284-AG284,"")</f>
        <v>1</v>
      </c>
      <c r="K284" s="28" t="n">
        <f>IF(AND(COUNT(AL284,AM284,AN284)=3,AL284&gt;=AM284,AM284&gt;=0,AN284=30),AL284-AM284,"")</f>
        <v>1</v>
      </c>
      <c r="L284" s="29" t="n">
        <f>IF(ISNUMBER(BI284),BI284/90,"")</f>
        <v>0.14771782127744132</v>
      </c>
      <c r="M284" s="28" t="n">
        <v>1</v>
      </c>
      <c r="N284" s="28" t="n">
        <v>0</v>
      </c>
      <c r="O284" s="28" t="n">
        <v>0</v>
      </c>
      <c r="P284" s="30" t="n">
        <f>IF(AND(ISNUMBER(L284),L284&gt;0,COUNT(M284:O284)=3,MIN(M284:O284)&gt;=0),SUM(M284:O284)/L284,"")</f>
        <v>6.769663885861243</v>
      </c>
      <c r="Q284" s="16" t="str">
        <v>沿用原计划SKU店铺</v>
      </c>
      <c r="R284" s="16" t="str">
        <v>已匹配</v>
      </c>
      <c r="S284" s="16" t="str">
        <v>在售</v>
      </c>
      <c r="T284" s="16" t="str">
        <v>B06b</v>
      </c>
      <c r="U284" s="16" t="str">
        <v>裸色PU</v>
      </c>
      <c r="V284" s="16" t="n">
        <v>6</v>
      </c>
      <c r="W284" s="8" t="str">
        <v>2026-10-11 至 2026-10-17</v>
      </c>
      <c r="X284" s="8" t="str">
        <v>2026-10-11、2026-10-12、2026-10-13、2026-10-14、2026-10-15、2026-10-16、2026-10-17</v>
      </c>
      <c r="Y284" s="8" t="str">
        <v>无</v>
      </c>
      <c r="Z284" s="8" t="n">
        <v>0</v>
      </c>
      <c r="AA284" s="8" t="n">
        <v>0</v>
      </c>
      <c r="AB284" s="8" t="n">
        <v>7</v>
      </c>
      <c r="AC284" s="8" t="str">
        <v>2026-10-02 至 2026-10-17</v>
      </c>
      <c r="AD284" s="8" t="str">
        <v>2026-10-02、2026-10-03、2026-10-04、2026-10-05、2026-10-08、2026-10-09、2026-10-10、2026-10-11、2026-10-12、2026-10-13、2026-10-14、2026-10-15、2026-10-16、2026-10-17</v>
      </c>
      <c r="AE284" s="8" t="str">
        <v>2026-10-06 大促；2026-10-07 大促</v>
      </c>
      <c r="AF284" s="8" t="n">
        <v>1</v>
      </c>
      <c r="AG284" s="8" t="n">
        <v>0</v>
      </c>
      <c r="AH284" s="8" t="n">
        <v>14</v>
      </c>
      <c r="AI284" s="8" t="str">
        <v>2026-09-16 至 2026-10-17</v>
      </c>
      <c r="AJ2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4" s="8" t="str">
        <v>2026-10-06 大促；2026-10-07 大促</v>
      </c>
      <c r="AL284" s="8" t="n">
        <v>1</v>
      </c>
      <c r="AM284" s="8" t="n">
        <v>0</v>
      </c>
      <c r="AN284" s="8" t="n">
        <v>30</v>
      </c>
      <c r="AO284" s="8" t="str">
        <v>B06b / 裸色PU / 13120</v>
      </c>
      <c r="AP284" s="11" t="n">
        <v>1.1090677182221615</v>
      </c>
      <c r="AQ284" s="11" t="n">
        <v>1.1090677182221615</v>
      </c>
      <c r="AR284" s="11" t="n">
        <v>0.9505188216044452</v>
      </c>
      <c r="AS284" s="11" t="n">
        <f>IF(AND(COUNT(I284:K284,AP284:AR284)=6,MIN(AP284:AR284)&gt;0),I284/7/AP284*0.5+J284/14/AQ284*0.3+K284/30/AR284*0.2,"")</f>
        <v>0.026334960569045423</v>
      </c>
      <c r="AT284" s="8" t="n">
        <v>12</v>
      </c>
      <c r="AU284" s="8" t="n">
        <v>0</v>
      </c>
      <c r="AV284" s="8" t="n">
        <v>88</v>
      </c>
      <c r="AW284" s="11" t="n">
        <f>IF(AND(COUNT(AT284:AV284)=3,AT284&gt;=AU284,AU284&gt;=0,AV284&gt;0),(AT284-AU284)/AV284,"")</f>
        <v>0.13636363636363635</v>
      </c>
      <c r="AX284" s="8" t="n">
        <v>22</v>
      </c>
      <c r="AY284" s="8" t="n">
        <v>0</v>
      </c>
      <c r="AZ284" s="8" t="n">
        <v>178</v>
      </c>
      <c r="BA284" s="11" t="n">
        <f>IF(AND(COUNT(AX284:AZ284)=3,AX284&gt;=AY284,AY284&gt;=0,AZ284&gt;0),(AX284-AY284)/AZ284,"")</f>
        <v>0.12359550561797752</v>
      </c>
      <c r="BB284" s="8" t="n">
        <f>IF(COUNT(AS284,AW284,BA284)=3,1,0)</f>
        <v>1</v>
      </c>
      <c r="BC284" s="11" t="n">
        <f>IF(SUMIF($AO$11:$AO$1309,AO284,$BB$11:$BB$1309)=COUNTIF($AO$11:$AO$1309,AO284),SUMIF($AO$11:$AO$1309,AO284,$AS$11:$AS$1309),"")</f>
        <v>0.949812540451568</v>
      </c>
      <c r="BD284" s="11" t="n">
        <f>IF(SUMIF($AO$11:$AO$1309,AO284,$BB$11:$BB$1309)=COUNTIF($AO$11:$AO$1309,AO284),SUMIF($AO$11:$AO$1309,AO284,$AW$11:$AW$1309),"")</f>
        <v>0.9247833302600036</v>
      </c>
      <c r="BE284" s="11" t="n">
        <f>IF(SUMIF($AO$11:$AO$1309,AO284,$BB$11:$BB$1309)=COUNTIF($AO$11:$AO$1309,AO284),SUMIF($AO$11:$AO$1309,AO284,$BA$11:$BA$1309),"")</f>
        <v>0.8251835931477904</v>
      </c>
      <c r="BF284" s="12" t="n">
        <f>IF(COUNT(BD284:BE284)&lt;&gt;2,"",IF(AND(BD284&gt;0,BE284&gt;0),0.7*AW284/BD284+0.3*BA284/BE284,IF(BD284&gt;0,AW284/BD284,IF(BE284&gt;0,BA284/BE284,IF(AND(ISNUMBER(BH284),BH284=0),0,"")))))</f>
        <v>0.14815210157236441</v>
      </c>
      <c r="BG284" s="11" t="n">
        <f>IF(AND(COUNT(BN284:BU284)=8,MIN(BN284:BU284)&gt;=0),SUMPRODUCT(BN284:BQ284,BR284:BU284),"")</f>
        <v>94.47778160343367</v>
      </c>
      <c r="BH284" s="11" t="n">
        <f>IF(COUNT(BC284,BG284)=2,BC284*BG284,"")</f>
        <v>89.73618176098576</v>
      </c>
      <c r="BI284" s="11" t="n">
        <f>IF(ISNUMBER(CI284),CI284,"")</f>
        <v>13.294603914969718</v>
      </c>
      <c r="BJ284" s="8" t="str"/>
      <c r="BK284" s="8" t="str">
        <v>90天：2026-07-20 至 2026-10-17；180天：2026-04-21 至 2026-10-17</v>
      </c>
      <c r="BL284" s="8" t="str">
        <v>90天：2026-10-06、2026-10-07；180天：2026-10-06、2026-10-07</v>
      </c>
      <c r="BM284" s="8" t="str">
        <v>2026-10：12天 × 1.1090677182221615；2026-11：30天 × 1.0372741535934282；2026-12：31天 × 0.979949351738161；2027-01：17天 × 1.1571949690048173</v>
      </c>
      <c r="BN284" s="11" t="n">
        <v>1.1090677182221615</v>
      </c>
      <c r="BO284" s="11" t="n">
        <v>1.0372741535934282</v>
      </c>
      <c r="BP284" s="11" t="n">
        <v>0.979949351738161</v>
      </c>
      <c r="BQ284" s="11" t="n">
        <v>1.1571949690048173</v>
      </c>
      <c r="BR284" s="8" t="n">
        <v>12</v>
      </c>
      <c r="BS284" s="8" t="n">
        <v>30</v>
      </c>
      <c r="BT284" s="8" t="n">
        <v>31</v>
      </c>
      <c r="BU284" s="8" t="n">
        <v>17</v>
      </c>
      <c r="BV284" s="11" t="n">
        <f>IF(COUNT(BC284,BF284)=2,BC284*BF284,"")</f>
        <v>0.1407167239676862</v>
      </c>
      <c r="BW284" s="11" t="n">
        <f>IF(ISNUMBER(BN284),BN284,"")</f>
        <v>1.1090677182221615</v>
      </c>
      <c r="BX284" s="14" t="n">
        <f>IF(ISNUMBER(BR284),BR284,"")</f>
        <v>12</v>
      </c>
      <c r="BY284" s="13" t="n">
        <f>IF(AND(COUNT(BV284,BW284,BX284)=3,MIN(BV284,BW284,BX284)&gt;=0),BV284*BW284*BX284,"")</f>
        <v>1.872772511598474</v>
      </c>
      <c r="BZ284" s="11" t="n">
        <f>IF(ISNUMBER(BO284),BO284,"")</f>
        <v>1.0372741535934282</v>
      </c>
      <c r="CA284" s="14" t="n">
        <f>IF(ISNUMBER(BS284),BS284,"")</f>
        <v>30</v>
      </c>
      <c r="CB284" s="13" t="n">
        <f>IF(AND(COUNT(BV284,BZ284,CA284)=3,MIN(BV284,BZ284,CA284)&gt;=0),BV284*BZ284*CA284,"")</f>
        <v>4.378854622500653</v>
      </c>
      <c r="CC284" s="11" t="n">
        <f>IF(ISNUMBER(BP284),BP284,"")</f>
        <v>0.979949351738161</v>
      </c>
      <c r="CD284" s="14" t="n">
        <f>IF(ISNUMBER(BT284),BT284,"")</f>
        <v>31</v>
      </c>
      <c r="CE284" s="13" t="n">
        <f>IF(AND(COUNT(BV284,CC284,CD284)=3,MIN(BV284,CC284,CD284)&gt;=0),BV284*CC284*CD284,"")</f>
        <v>4.274753135356407</v>
      </c>
      <c r="CF284" s="11" t="n">
        <f>IF(ISNUMBER(BQ284),BQ284,"")</f>
        <v>1.1571949690048173</v>
      </c>
      <c r="CG284" s="14" t="n">
        <f>IF(ISNUMBER(BU284),BU284,"")</f>
        <v>17</v>
      </c>
      <c r="CH284" s="13" t="n">
        <f>IF(AND(COUNT(BV284,CF284,CG284)=3,MIN(BV284,CF284,CG284)&gt;=0),BV284*CF284*CG284,"")</f>
        <v>2.7682236455141833</v>
      </c>
      <c r="CI284" s="13" t="n">
        <f>IF(COUNT(BY284,CB284,CE284,CH284)=4,SUM(BY284,CB284,CE284,CH284),"")</f>
        <v>13.294603914969718</v>
      </c>
    </row>
    <row r="285" ht="72" customHeight="1">
      <c r="A285" s="16" t="str">
        <v>B07-BG-38.5</v>
      </c>
      <c r="B285" s="16" t="str">
        <v>4店-彬郁-US</v>
      </c>
      <c r="C285" s="16" t="str">
        <v>艾年</v>
      </c>
      <c r="D285" s="26" t="n">
        <f>IF(NOT(ISNUMBER(E285)),"",IF(OR(E285&lt;=0,L285=0),0,IF(OR(NOT(ISNUMBER(F285)),F285&lt;0),"",MIN(E285,INT(F285)))))</f>
        <v>0</v>
      </c>
      <c r="E285" s="27" t="n">
        <f>IF(OR(NOT(ISNUMBER(L285)),COUNT(M285:O285)&lt;&gt;3,MIN(M285:O285)&lt;0),"",ROUNDUP(ROUND(BI285-SUM(M285:O285),10),0))</f>
        <v>13</v>
      </c>
      <c r="F285" s="28" t="n">
        <v>0</v>
      </c>
      <c r="G285" s="28" t="n">
        <f>IF(AND(ISNUMBER(D285),ISNUMBER(E285)),IF(OR(E285&lt;=0,L285=0),0,E285-D285),"")</f>
        <v>13</v>
      </c>
      <c r="H285" s="16" t="str">
        <f>IF(NOT(ISNUMBER(E285)),"销量或海外库存待补",IF(OR(E285&lt;=0,L285=0),IF(L285=0,"零日销，本批不发","本批无需补货"),IF(NOT(ISNUMBER(D285)),"国内库存待补",IF(D285=0,"国内无可用库存",IF(G285&gt;0,"先发国内现货","按建议量发货")))))</f>
        <v>国内无可用库存</v>
      </c>
      <c r="I285" s="28" t="n">
        <f>IF(AND(COUNT(Z285,AA285,AB285)=3,Z285&gt;=AA285,AA285&gt;=0,AB285=7),Z285-AA285,"")</f>
        <v>3</v>
      </c>
      <c r="J285" s="28" t="n">
        <f>IF(AND(COUNT(AF285,AG285,AH285)=3,AF285&gt;=AG285,AG285&gt;=0,AH285=14),AF285-AG285,"")</f>
        <v>6</v>
      </c>
      <c r="K285" s="28" t="n">
        <f>IF(AND(COUNT(AL285,AM285,AN285)=3,AL285&gt;=AM285,AM285&gt;=0,AN285=30),AL285-AM285,"")</f>
        <v>9</v>
      </c>
      <c r="L285" s="29" t="n">
        <f>IF(ISNUMBER(BI285),BI285/90,"")</f>
        <v>0.41779061853792476</v>
      </c>
      <c r="M285" s="28" t="n">
        <v>7</v>
      </c>
      <c r="N285" s="28" t="n">
        <v>0</v>
      </c>
      <c r="O285" s="28" t="n">
        <v>18</v>
      </c>
      <c r="P285" s="30" t="n">
        <f>IF(AND(ISNUMBER(L285),L285&gt;0,COUNT(M285:O285)=3,MIN(M285:O285)&gt;=0),SUM(M285:O285)/L285,"")</f>
        <v>59.8385863413796</v>
      </c>
      <c r="Q285" s="16" t="str">
        <v>沿用原计划SKU店铺</v>
      </c>
      <c r="R285" s="16" t="str">
        <v>已匹配</v>
      </c>
      <c r="S285" s="16" t="str">
        <v>在售</v>
      </c>
      <c r="T285" s="16" t="str">
        <v>B07</v>
      </c>
      <c r="U285" s="16" t="str">
        <v>米色羊京绒</v>
      </c>
      <c r="V285" s="16" t="n">
        <v>7.5</v>
      </c>
      <c r="W285" s="8" t="str">
        <v>2026-10-11 至 2026-10-17</v>
      </c>
      <c r="X285" s="8" t="str">
        <v>2026-10-11、2026-10-12、2026-10-13、2026-10-14、2026-10-15、2026-10-16、2026-10-17</v>
      </c>
      <c r="Y285" s="8" t="str">
        <v>无</v>
      </c>
      <c r="Z285" s="8" t="n">
        <v>3</v>
      </c>
      <c r="AA285" s="8" t="n">
        <v>0</v>
      </c>
      <c r="AB285" s="8" t="n">
        <v>7</v>
      </c>
      <c r="AC285" s="8" t="str">
        <v>2026-10-02 至 2026-10-17</v>
      </c>
      <c r="AD285" s="8" t="str">
        <v>2026-10-02、2026-10-03、2026-10-04、2026-10-05、2026-10-08、2026-10-09、2026-10-10、2026-10-11、2026-10-12、2026-10-13、2026-10-14、2026-10-15、2026-10-16、2026-10-17</v>
      </c>
      <c r="AE285" s="8" t="str">
        <v>2026-10-06 大促；2026-10-07 大促</v>
      </c>
      <c r="AF285" s="8" t="n">
        <v>8</v>
      </c>
      <c r="AG285" s="8" t="n">
        <v>2</v>
      </c>
      <c r="AH285" s="8" t="n">
        <v>14</v>
      </c>
      <c r="AI285" s="8" t="str">
        <v>2026-09-16 至 2026-10-17</v>
      </c>
      <c r="AJ2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5" s="8" t="str">
        <v>2026-10-06 大促；2026-10-07 大促</v>
      </c>
      <c r="AL285" s="8" t="n">
        <v>11</v>
      </c>
      <c r="AM285" s="8" t="n">
        <v>2</v>
      </c>
      <c r="AN285" s="8" t="n">
        <v>30</v>
      </c>
      <c r="AO285" s="8" t="str">
        <v>B07 / 米色羊京绒 / 13306</v>
      </c>
      <c r="AP285" s="11" t="n">
        <v>0.7307750238224848</v>
      </c>
      <c r="AQ285" s="11" t="n">
        <v>0.7307750238224848</v>
      </c>
      <c r="AR285" s="11" t="n">
        <v>0.7449809054134506</v>
      </c>
      <c r="AS285" s="11" t="n">
        <f>IF(AND(COUNT(I285:K285,AP285:AR285)=6,MIN(AP285:AR285)&gt;0),I285/7/AP285*0.5+J285/14/AQ285*0.3+K285/30/AR285*0.2,"")</f>
        <v>0.5497081900600498</v>
      </c>
      <c r="AT285" s="8" t="n">
        <v>22</v>
      </c>
      <c r="AU285" s="8" t="n">
        <v>2</v>
      </c>
      <c r="AV285" s="8" t="n">
        <v>88</v>
      </c>
      <c r="AW285" s="11" t="n">
        <f>IF(AND(COUNT(AT285:AV285)=3,AT285&gt;=AU285,AU285&gt;=0,AV285&gt;0),(AT285-AU285)/AV285,"")</f>
        <v>0.22727272727272727</v>
      </c>
      <c r="AX285" s="8" t="n">
        <v>33</v>
      </c>
      <c r="AY285" s="8" t="n">
        <v>2</v>
      </c>
      <c r="AZ285" s="8" t="n">
        <v>178</v>
      </c>
      <c r="BA285" s="11" t="n">
        <f>IF(AND(COUNT(AX285:AZ285)=3,AX285&gt;=AY285,AY285&gt;=0,AZ285&gt;0),(AX285-AY285)/AZ285,"")</f>
        <v>0.17415730337078653</v>
      </c>
      <c r="BB285" s="8" t="n">
        <f>IF(COUNT(AS285,AW285,BA285)=3,1,0)</f>
        <v>1</v>
      </c>
      <c r="BC285" s="11" t="n">
        <f>IF(SUMIF($AO$11:$AO$1309,AO285,$BB$11:$BB$1309)=COUNTIF($AO$11:$AO$1309,AO285),SUMIF($AO$11:$AO$1309,AO285,$AS$11:$AS$1309),"")</f>
        <v>3.1019363848639383</v>
      </c>
      <c r="BD285" s="11" t="n">
        <f>IF(SUMIF($AO$11:$AO$1309,AO285,$BB$11:$BB$1309)=COUNTIF($AO$11:$AO$1309,AO285),SUMIF($AO$11:$AO$1309,AO285,$AW$11:$AW$1309),"")</f>
        <v>1.4098837209302328</v>
      </c>
      <c r="BE285" s="11" t="n">
        <f>IF(SUMIF($AO$11:$AO$1309,AO285,$BB$11:$BB$1309)=COUNTIF($AO$11:$AO$1309,AO285),SUMIF($AO$11:$AO$1309,AO285,$BA$11:$BA$1309),"")</f>
        <v>1.2482449292280753</v>
      </c>
      <c r="BF285" s="12" t="n">
        <f>IF(COUNT(BD285:BE285)&lt;&gt;2,"",IF(AND(BD285&gt;0,BE285&gt;0),0.7*AW285/BD285+0.3*BA285/BE285,IF(BD285&gt;0,AW285/BD285,IF(BE285&gt;0,BA285/BE285,IF(AND(ISNUMBER(BH285),BH285=0),0,"")))))</f>
        <v>0.15469625931732403</v>
      </c>
      <c r="BG285" s="11" t="n">
        <f>IF(AND(COUNT(BN285:BU285)=8,MIN(BN285:BU285)&gt;=0),SUMPRODUCT(BN285:BQ285,BR285:BU285),"")</f>
        <v>78.35892944347341</v>
      </c>
      <c r="BH285" s="11" t="n">
        <f>IF(COUNT(BC285,BG285)=2,BC285*BG285,"")</f>
        <v>243.06441431969634</v>
      </c>
      <c r="BI285" s="11" t="n">
        <f>IF(ISNUMBER(CI285),CI285,"")</f>
        <v>37.60115566841323</v>
      </c>
      <c r="BJ285" s="8" t="str"/>
      <c r="BK285" s="8" t="str">
        <v>90天：2026-07-20 至 2026-10-17；180天：2026-04-21 至 2026-10-17</v>
      </c>
      <c r="BL285" s="8" t="str">
        <v>90天：2026-10-06、2026-10-07；180天：2026-10-06、2026-10-07</v>
      </c>
      <c r="BM285" s="8" t="str">
        <v>2026-10：12天 × 0.7307750238224848；2026-11：30天 × 0.9523018155490097；2026-12：31天 × 0.5958545198749097；2027-01：17天 × 1.3264167397065354</v>
      </c>
      <c r="BN285" s="11" t="n">
        <v>0.7307750238224848</v>
      </c>
      <c r="BO285" s="11" t="n">
        <v>0.9523018155490097</v>
      </c>
      <c r="BP285" s="11" t="n">
        <v>0.5958545198749097</v>
      </c>
      <c r="BQ285" s="11" t="n">
        <v>1.3264167397065354</v>
      </c>
      <c r="BR285" s="8" t="n">
        <v>12</v>
      </c>
      <c r="BS285" s="8" t="n">
        <v>30</v>
      </c>
      <c r="BT285" s="8" t="n">
        <v>31</v>
      </c>
      <c r="BU285" s="8" t="n">
        <v>17</v>
      </c>
      <c r="BV285" s="11" t="n">
        <f>IF(COUNT(BC285,BF285)=2,BC285*BF285,"")</f>
        <v>0.4798579553787544</v>
      </c>
      <c r="BW285" s="11" t="n">
        <f>IF(ISNUMBER(BN285),BN285,"")</f>
        <v>0.7307750238224848</v>
      </c>
      <c r="BX285" s="14" t="n">
        <f>IF(ISNUMBER(BR285),BR285,"")</f>
        <v>12</v>
      </c>
      <c r="BY285" s="13" t="n">
        <f>IF(AND(COUNT(BV285,BW285,BX285)=3,MIN(BV285,BW285,BX285)&gt;=0),BV285*BW285*BX285,"")</f>
        <v>4.208018505279817</v>
      </c>
      <c r="BZ285" s="11" t="n">
        <f>IF(ISNUMBER(BO285),BO285,"")</f>
        <v>0.9523018155490097</v>
      </c>
      <c r="CA285" s="14" t="n">
        <f>IF(ISNUMBER(BS285),BS285,"")</f>
        <v>30</v>
      </c>
      <c r="CB285" s="13" t="n">
        <f>IF(AND(COUNT(BV285,BZ285,CA285)=3,MIN(BV285,BZ285,CA285)&gt;=0),BV285*BZ285*CA285,"")</f>
        <v>13.709088063384705</v>
      </c>
      <c r="CC285" s="11" t="n">
        <f>IF(ISNUMBER(BP285),BP285,"")</f>
        <v>0.5958545198749097</v>
      </c>
      <c r="CD285" s="14" t="n">
        <f>IF(ISNUMBER(BT285),BT285,"")</f>
        <v>31</v>
      </c>
      <c r="CE285" s="13" t="n">
        <f>IF(AND(COUNT(BV285,CC285,CD285)=3,MIN(BV285,CC285,CD285)&gt;=0),BV285*CC285*CD285,"")</f>
        <v>8.86369147992127</v>
      </c>
      <c r="CF285" s="11" t="n">
        <f>IF(ISNUMBER(BQ285),BQ285,"")</f>
        <v>1.3264167397065354</v>
      </c>
      <c r="CG285" s="14" t="n">
        <f>IF(ISNUMBER(BU285),BU285,"")</f>
        <v>17</v>
      </c>
      <c r="CH285" s="13" t="n">
        <f>IF(AND(COUNT(BV285,CF285,CG285)=3,MIN(BV285,CF285,CG285)&gt;=0),BV285*CF285*CG285,"")</f>
        <v>10.820357619827437</v>
      </c>
      <c r="CI285" s="13" t="n">
        <f>IF(COUNT(BY285,CB285,CE285,CH285)=4,SUM(BY285,CB285,CE285,CH285),"")</f>
        <v>37.60115566841323</v>
      </c>
    </row>
    <row r="286" ht="72" customHeight="1">
      <c r="A286" s="16" t="str">
        <v>1S01-BLK-41.5</v>
      </c>
      <c r="B286" s="16" t="str">
        <v>3店-SANDIEX-US</v>
      </c>
      <c r="C286" s="16" t="str">
        <v>徐新怡</v>
      </c>
      <c r="D286" s="26" t="n">
        <f>IF(NOT(ISNUMBER(E286)),"",IF(OR(E286&lt;=0,L286=0),0,IF(OR(NOT(ISNUMBER(F286)),F286&lt;0),"",MIN(E286,INT(F286)))))</f>
        <v>0</v>
      </c>
      <c r="E286" s="27" t="n">
        <f>IF(OR(NOT(ISNUMBER(L286)),COUNT(M286:O286)&lt;&gt;3,MIN(M286:O286)&lt;0),"",ROUNDUP(ROUND(BI286-SUM(M286:O286),10),0))</f>
        <v>12</v>
      </c>
      <c r="F286" s="28" t="n">
        <v>0</v>
      </c>
      <c r="G286" s="28" t="n">
        <f>IF(AND(ISNUMBER(D286),ISNUMBER(E286)),IF(OR(E286&lt;=0,L286=0),0,E286-D286),"")</f>
        <v>12</v>
      </c>
      <c r="H286" s="16" t="str">
        <f>IF(NOT(ISNUMBER(E286)),"销量或海外库存待补",IF(OR(E286&lt;=0,L286=0),IF(L286=0,"零日销，本批不发","本批无需补货"),IF(NOT(ISNUMBER(D286)),"国内库存待补",IF(D286=0,"国内无可用库存",IF(G286&gt;0,"先发国内现货","按建议量发货")))))</f>
        <v>国内无可用库存</v>
      </c>
      <c r="I286" s="28" t="n">
        <f>IF(AND(COUNT(Z286,AA286,AB286)=3,Z286&gt;=AA286,AA286&gt;=0,AB286=7),Z286-AA286,"")</f>
        <v>0</v>
      </c>
      <c r="J286" s="28" t="n">
        <f>IF(AND(COUNT(AF286,AG286,AH286)=3,AF286&gt;=AG286,AG286&gt;=0,AH286=14),AF286-AG286,"")</f>
        <v>0</v>
      </c>
      <c r="K286" s="28" t="n">
        <f>IF(AND(COUNT(AL286,AM286,AN286)=3,AL286&gt;=AM286,AM286&gt;=0,AN286=30),AL286-AM286,"")</f>
        <v>1</v>
      </c>
      <c r="L286" s="29" t="n">
        <f>IF(ISNUMBER(BI286),BI286/90,"")</f>
        <v>0.13617168893217038</v>
      </c>
      <c r="M286" s="28" t="n">
        <v>1</v>
      </c>
      <c r="N286" s="28" t="n">
        <v>0</v>
      </c>
      <c r="O286" s="28" t="n">
        <v>0</v>
      </c>
      <c r="P286" s="30" t="n">
        <f>IF(AND(ISNUMBER(L286),L286&gt;0,COUNT(M286:O286)=3,MIN(M286:O286)&gt;=0),SUM(M286:O286)/L286,"")</f>
        <v>7.343670390238887</v>
      </c>
      <c r="Q286" s="16" t="str">
        <v>沿用原计划SKU店铺</v>
      </c>
      <c r="R286" s="16" t="str">
        <v>已匹配</v>
      </c>
      <c r="S286" s="16" t="str">
        <v>在售</v>
      </c>
      <c r="T286" s="16" t="str">
        <v>1S01</v>
      </c>
      <c r="U286" s="16" t="str">
        <v>黑色</v>
      </c>
      <c r="V286" s="16" t="n">
        <v>10.5</v>
      </c>
      <c r="W286" s="8" t="str">
        <v>2026-10-11 至 2026-10-17</v>
      </c>
      <c r="X286" s="8" t="str">
        <v>2026-10-11、2026-10-12、2026-10-13、2026-10-14、2026-10-15、2026-10-16、2026-10-17</v>
      </c>
      <c r="Y286" s="8" t="str">
        <v>无</v>
      </c>
      <c r="Z286" s="8" t="n">
        <v>0</v>
      </c>
      <c r="AA286" s="8" t="n">
        <v>0</v>
      </c>
      <c r="AB286" s="8" t="n">
        <v>7</v>
      </c>
      <c r="AC286" s="8" t="str">
        <v>2026-10-02 至 2026-10-17</v>
      </c>
      <c r="AD286" s="8" t="str">
        <v>2026-10-02、2026-10-03、2026-10-04、2026-10-05、2026-10-08、2026-10-09、2026-10-10、2026-10-11、2026-10-12、2026-10-13、2026-10-14、2026-10-15、2026-10-16、2026-10-17</v>
      </c>
      <c r="AE286" s="8" t="str">
        <v>2026-10-06 大促；2026-10-07 大促</v>
      </c>
      <c r="AF286" s="8" t="n">
        <v>0</v>
      </c>
      <c r="AG286" s="8" t="n">
        <v>0</v>
      </c>
      <c r="AH286" s="8" t="n">
        <v>14</v>
      </c>
      <c r="AI286" s="8" t="str">
        <v>2026-09-16 至 2026-10-17</v>
      </c>
      <c r="AJ2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6" s="8" t="str">
        <v>2026-10-06 大促；2026-10-07 大促</v>
      </c>
      <c r="AL286" s="8" t="n">
        <v>1</v>
      </c>
      <c r="AM286" s="8" t="n">
        <v>0</v>
      </c>
      <c r="AN286" s="8" t="n">
        <v>30</v>
      </c>
      <c r="AO286" s="8" t="str">
        <v>1S01 / 黑色羊京绒 / 6574</v>
      </c>
      <c r="AP286" s="11" t="n">
        <v>0.8729500662042875</v>
      </c>
      <c r="AQ286" s="11" t="n">
        <v>0.8729500662042875</v>
      </c>
      <c r="AR286" s="11" t="n">
        <v>1.0921363354767095</v>
      </c>
      <c r="AS286" s="11" t="n">
        <f>IF(AND(COUNT(I286:K286,AP286:AR286)=6,MIN(AP286:AR286)&gt;0),I286/7/AP286*0.5+J286/14/AQ286*0.3+K286/30/AR286*0.2,"")</f>
        <v>0.006104243994186601</v>
      </c>
      <c r="AT286" s="8" t="n">
        <v>16</v>
      </c>
      <c r="AU286" s="8" t="n">
        <v>0</v>
      </c>
      <c r="AV286" s="8" t="n">
        <v>88</v>
      </c>
      <c r="AW286" s="11" t="n">
        <f>IF(AND(COUNT(AT286:AV286)=3,AT286&gt;=AU286,AU286&gt;=0,AV286&gt;0),(AT286-AU286)/AV286,"")</f>
        <v>0.18181818181818182</v>
      </c>
      <c r="AX286" s="8" t="n">
        <v>23</v>
      </c>
      <c r="AY286" s="8" t="n">
        <v>0</v>
      </c>
      <c r="AZ286" s="8" t="n">
        <v>178</v>
      </c>
      <c r="BA286" s="11" t="n">
        <f>IF(AND(COUNT(AX286:AZ286)=3,AX286&gt;=AY286,AY286&gt;=0,AZ286&gt;0),(AX286-AY286)/AZ286,"")</f>
        <v>0.12921348314606743</v>
      </c>
      <c r="BB286" s="8" t="n">
        <f>IF(COUNT(AS286,AW286,BA286)=3,1,0)</f>
        <v>1</v>
      </c>
      <c r="BC286" s="11" t="n">
        <f>IF(SUMIF($AO$11:$AO$1309,AO286,$BB$11:$BB$1309)=COUNTIF($AO$11:$AO$1309,AO286),SUMIF($AO$11:$AO$1309,AO286,$AS$11:$AS$1309),"")</f>
        <v>6.231458447413107</v>
      </c>
      <c r="BD286" s="11" t="n">
        <f>IF(SUMIF($AO$11:$AO$1309,AO286,$BB$11:$BB$1309)=COUNTIF($AO$11:$AO$1309,AO286),SUMIF($AO$11:$AO$1309,AO286,$AW$11:$AW$1309),"")</f>
        <v>5.866248693834901</v>
      </c>
      <c r="BE286" s="11" t="n">
        <f>IF(SUMIF($AO$11:$AO$1309,AO286,$BB$11:$BB$1309)=COUNTIF($AO$11:$AO$1309,AO286),SUMIF($AO$11:$AO$1309,AO286,$BA$11:$BA$1309),"")</f>
        <v>4.27632831841554</v>
      </c>
      <c r="BF286" s="12" t="n">
        <f>IF(COUNT(BD286:BE286)&lt;&gt;2,"",IF(AND(BD286&gt;0,BE286&gt;0),0.7*AW286/BD286+0.3*BA286/BE286,IF(BD286&gt;0,AW286/BD286,IF(BE286&gt;0,BA286/BE286,IF(AND(ISNUMBER(BH286),BH286=0),0,"")))))</f>
        <v>0.030760556857688776</v>
      </c>
      <c r="BG286" s="11" t="n">
        <f>IF(AND(COUNT(BN286:BU286)=8,MIN(BN286:BU286)&gt;=0),SUMPRODUCT(BN286:BQ286,BR286:BU286),"")</f>
        <v>63.935996265425516</v>
      </c>
      <c r="BH286" s="11" t="n">
        <f>IF(COUNT(BC286,BG286)=2,BC286*BG286,"")</f>
        <v>398.4145040219587</v>
      </c>
      <c r="BI286" s="11" t="n">
        <f>IF(ISNUMBER(CI286),CI286,"")</f>
        <v>12.255452003895334</v>
      </c>
      <c r="BJ286" s="8" t="str"/>
      <c r="BK286" s="8" t="str">
        <v>90天：2026-07-20 至 2026-10-17；180天：2026-04-21 至 2026-10-17</v>
      </c>
      <c r="BL286" s="8" t="str">
        <v>90天：2026-10-06、2026-10-07；180天：2026-10-06、2026-10-07</v>
      </c>
      <c r="BM286" s="8" t="str">
        <v>2026-10：12天 × 0.8729500662042875；2026-11：30天 × 0.8057375774163482；2026-12：31天 × 0.532550303142279；2027-01：17天 × 0.7517299265337036</v>
      </c>
      <c r="BN286" s="11" t="n">
        <v>0.8729500662042875</v>
      </c>
      <c r="BO286" s="11" t="n">
        <v>0.8057375774163482</v>
      </c>
      <c r="BP286" s="11" t="n">
        <v>0.532550303142279</v>
      </c>
      <c r="BQ286" s="11" t="n">
        <v>0.7517299265337036</v>
      </c>
      <c r="BR286" s="8" t="n">
        <v>12</v>
      </c>
      <c r="BS286" s="8" t="n">
        <v>30</v>
      </c>
      <c r="BT286" s="8" t="n">
        <v>31</v>
      </c>
      <c r="BU286" s="8" t="n">
        <v>17</v>
      </c>
      <c r="BV286" s="11" t="n">
        <f>IF(COUNT(BC286,BF286)=2,BC286*BF286,"")</f>
        <v>0.19168313187797592</v>
      </c>
      <c r="BW286" s="11" t="n">
        <f>IF(ISNUMBER(BN286),BN286,"")</f>
        <v>0.8729500662042875</v>
      </c>
      <c r="BX286" s="14" t="n">
        <f>IF(ISNUMBER(BR286),BR286,"")</f>
        <v>12</v>
      </c>
      <c r="BY286" s="13" t="n">
        <f>IF(AND(COUNT(BV286,BW286,BX286)=3,MIN(BV286,BW286,BX286)&gt;=0),BV286*BW286*BX286,"")</f>
        <v>2.007957631957491</v>
      </c>
      <c r="BZ286" s="11" t="n">
        <f>IF(ISNUMBER(BO286),BO286,"")</f>
        <v>0.8057375774163482</v>
      </c>
      <c r="CA286" s="14" t="n">
        <f>IF(ISNUMBER(BS286),BS286,"")</f>
        <v>30</v>
      </c>
      <c r="CB286" s="13" t="n">
        <f>IF(AND(COUNT(BV286,BZ286,CA286)=3,MIN(BV286,BZ286,CA286)&gt;=0),BV286*BZ286*CA286,"")</f>
        <v>4.633389069328161</v>
      </c>
      <c r="CC286" s="11" t="n">
        <f>IF(ISNUMBER(BP286),BP286,"")</f>
        <v>0.532550303142279</v>
      </c>
      <c r="CD286" s="14" t="n">
        <f>IF(ISNUMBER(BT286),BT286,"")</f>
        <v>31</v>
      </c>
      <c r="CE286" s="13" t="n">
        <f>IF(AND(COUNT(BV286,CC286,CD286)=3,MIN(BV286,CC286,CD286)&gt;=0),BV286*CC286*CD286,"")</f>
        <v>3.164508209655203</v>
      </c>
      <c r="CF286" s="11" t="n">
        <f>IF(ISNUMBER(BQ286),BQ286,"")</f>
        <v>0.7517299265337036</v>
      </c>
      <c r="CG286" s="14" t="n">
        <f>IF(ISNUMBER(BU286),BU286,"")</f>
        <v>17</v>
      </c>
      <c r="CH286" s="13" t="n">
        <f>IF(AND(COUNT(BV286,CF286,CG286)=3,MIN(BV286,CF286,CG286)&gt;=0),BV286*CF286*CG286,"")</f>
        <v>2.449597092954478</v>
      </c>
      <c r="CI286" s="13" t="n">
        <f>IF(COUNT(BY286,CB286,CE286,CH286)=4,SUM(BY286,CB286,CE286,CH286),"")</f>
        <v>12.255452003895334</v>
      </c>
    </row>
    <row r="287" ht="72" customHeight="1">
      <c r="A287" s="16" t="str">
        <v>32582-ND-42</v>
      </c>
      <c r="B287" s="16" t="str">
        <v>3店-SANDIEX-US</v>
      </c>
      <c r="C287" s="16" t="str">
        <v>徐新怡</v>
      </c>
      <c r="D287" s="26" t="n">
        <f>IF(NOT(ISNUMBER(E287)),"",IF(OR(E287&lt;=0,L287=0),0,IF(OR(NOT(ISNUMBER(F287)),F287&lt;0),"",MIN(E287,INT(F287)))))</f>
        <v>0</v>
      </c>
      <c r="E287" s="27" t="n">
        <f>IF(OR(NOT(ISNUMBER(L287)),COUNT(M287:O287)&lt;&gt;3,MIN(M287:O287)&lt;0),"",ROUNDUP(ROUND(BI287-SUM(M287:O287),10),0))</f>
        <v>12</v>
      </c>
      <c r="F287" s="28" t="n">
        <v>0</v>
      </c>
      <c r="G287" s="28" t="n">
        <f>IF(AND(ISNUMBER(D287),ISNUMBER(E287)),IF(OR(E287&lt;=0,L287=0),0,E287-D287),"")</f>
        <v>12</v>
      </c>
      <c r="H287" s="16" t="str">
        <f>IF(NOT(ISNUMBER(E287)),"销量或海外库存待补",IF(OR(E287&lt;=0,L287=0),IF(L287=0,"零日销，本批不发","本批无需补货"),IF(NOT(ISNUMBER(D287)),"国内库存待补",IF(D287=0,"国内无可用库存",IF(G287&gt;0,"先发国内现货","按建议量发货")))))</f>
        <v>国内无可用库存</v>
      </c>
      <c r="I287" s="28" t="n">
        <f>IF(AND(COUNT(Z287,AA287,AB287)=3,Z287&gt;=AA287,AA287&gt;=0,AB287=7),Z287-AA287,"")</f>
        <v>0</v>
      </c>
      <c r="J287" s="28" t="n">
        <f>IF(AND(COUNT(AF287,AG287,AH287)=3,AF287&gt;=AG287,AG287&gt;=0,AH287=14),AF287-AG287,"")</f>
        <v>0</v>
      </c>
      <c r="K287" s="28" t="n">
        <f>IF(AND(COUNT(AL287,AM287,AN287)=3,AL287&gt;=AM287,AM287&gt;=0,AN287=30),AL287-AM287,"")</f>
        <v>2</v>
      </c>
      <c r="L287" s="29" t="n">
        <f>IF(ISNUMBER(BI287),BI287/90,"")</f>
        <v>0.13096391802094132</v>
      </c>
      <c r="M287" s="28" t="n">
        <v>0</v>
      </c>
      <c r="N287" s="28" t="n">
        <v>0</v>
      </c>
      <c r="O287" s="28" t="n">
        <v>0</v>
      </c>
      <c r="P287" s="30" t="n">
        <f>IF(AND(ISNUMBER(L287),L287&gt;0,COUNT(M287:O287)=3,MIN(M287:O287)&gt;=0),SUM(M287:O287)/L287,"")</f>
        <v>0</v>
      </c>
      <c r="Q287" s="16" t="str">
        <v>沿用原计划SKU店铺</v>
      </c>
      <c r="R287" s="16" t="str">
        <v>已匹配</v>
      </c>
      <c r="S287" s="16" t="str">
        <v>停售</v>
      </c>
      <c r="T287" s="16" t="str">
        <v>32582</v>
      </c>
      <c r="U287" s="16" t="str">
        <v>裸色</v>
      </c>
      <c r="V287" s="16" t="n">
        <v>11</v>
      </c>
      <c r="W287" s="8" t="str">
        <v>2026-10-08 至 2026-10-17</v>
      </c>
      <c r="X287" s="8" t="str">
        <v>2026-10-08、2026-10-09、2026-10-10、2026-10-11、2026-10-14、2026-10-15、2026-10-17</v>
      </c>
      <c r="Y287" s="8" t="str">
        <v>2026-10-12 有记录的停售日；2026-10-13 有记录的停售日；2026-10-16 有记录的停售日</v>
      </c>
      <c r="Z287" s="8" t="n">
        <v>0</v>
      </c>
      <c r="AA287" s="8" t="n">
        <v>0</v>
      </c>
      <c r="AB287" s="8" t="n">
        <v>7</v>
      </c>
      <c r="AC287" s="8" t="str">
        <v>2026-09-29 至 2026-10-17</v>
      </c>
      <c r="AD287" s="8" t="str">
        <v>2026-09-29、2026-09-30、2026-10-01、2026-10-02、2026-10-03、2026-10-04、2026-10-05、2026-10-08、2026-10-09、2026-10-10、2026-10-11、2026-10-14、2026-10-15、2026-10-17</v>
      </c>
      <c r="AE287" s="8" t="str">
        <v>2026-10-06 大促；2026-10-07 大促；2026-10-12 有记录的停售日；2026-10-13 有记录的停售日；2026-10-16 有记录的停售日</v>
      </c>
      <c r="AF287" s="8" t="n">
        <v>0</v>
      </c>
      <c r="AG287" s="8" t="n">
        <v>0</v>
      </c>
      <c r="AH287" s="8" t="n">
        <v>14</v>
      </c>
      <c r="AI287" s="8" t="str">
        <v>2026-09-13 至 2026-10-17</v>
      </c>
      <c r="AJ2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87" s="8" t="str">
        <v>2026-10-06 大促；2026-10-07 大促；2026-10-12 有记录的停售日；2026-10-13 有记录的停售日；2026-10-16 有记录的停售日</v>
      </c>
      <c r="AL287" s="8" t="n">
        <v>2</v>
      </c>
      <c r="AM287" s="8" t="n">
        <v>0</v>
      </c>
      <c r="AN287" s="8" t="n">
        <v>30</v>
      </c>
      <c r="AO287" s="8" t="str">
        <v>32582 / 裸色羊京绒 / 6574</v>
      </c>
      <c r="AP287" s="11" t="n">
        <v>1.0395067087630607</v>
      </c>
      <c r="AQ287" s="11" t="n">
        <v>1.048428692110265</v>
      </c>
      <c r="AR287" s="11" t="n">
        <v>1.076979038821319</v>
      </c>
      <c r="AS287" s="11" t="n">
        <f>IF(AND(COUNT(I287:K287,AP287:AR287)=6,MIN(AP287:AR287)&gt;0),I287/7/AP287*0.5+J287/14/AQ287*0.3+K287/30/AR287*0.2,"")</f>
        <v>0.012380309042900009</v>
      </c>
      <c r="AT287" s="8" t="n">
        <v>15</v>
      </c>
      <c r="AU287" s="8" t="n">
        <v>0</v>
      </c>
      <c r="AV287" s="8" t="n">
        <v>85</v>
      </c>
      <c r="AW287" s="11" t="n">
        <f>IF(AND(COUNT(AT287:AV287)=3,AT287&gt;=AU287,AU287&gt;=0,AV287&gt;0),(AT287-AU287)/AV287,"")</f>
        <v>0.17647058823529413</v>
      </c>
      <c r="AX287" s="8" t="n">
        <v>24</v>
      </c>
      <c r="AY287" s="8" t="n">
        <v>0</v>
      </c>
      <c r="AZ287" s="8" t="n">
        <v>175</v>
      </c>
      <c r="BA287" s="11" t="n">
        <f>IF(AND(COUNT(AX287:AZ287)=3,AX287&gt;=AY287,AY287&gt;=0,AZ287&gt;0),(AX287-AY287)/AZ287,"")</f>
        <v>0.13714285714285715</v>
      </c>
      <c r="BB287" s="8" t="n">
        <f>IF(COUNT(AS287,AW287,BA287)=3,1,0)</f>
        <v>1</v>
      </c>
      <c r="BC287" s="11" t="n">
        <f>IF(SUMIF($AO$11:$AO$1309,AO287,$BB$11:$BB$1309)=COUNTIF($AO$11:$AO$1309,AO287),SUMIF($AO$11:$AO$1309,AO287,$AS$11:$AS$1309),"")</f>
        <v>1.469700342349848</v>
      </c>
      <c r="BD287" s="11" t="n">
        <f>IF(SUMIF($AO$11:$AO$1309,AO287,$BB$11:$BB$1309)=COUNTIF($AO$11:$AO$1309,AO287),SUMIF($AO$11:$AO$1309,AO287,$AW$11:$AW$1309),"")</f>
        <v>1.858288770053476</v>
      </c>
      <c r="BE287" s="11" t="n">
        <f>IF(SUMIF($AO$11:$AO$1309,AO287,$BB$11:$BB$1309)=COUNTIF($AO$11:$AO$1309,AO287),SUMIF($AO$11:$AO$1309,AO287,$BA$11:$BA$1309),"")</f>
        <v>1.6877046548956662</v>
      </c>
      <c r="BF287" s="12" t="n">
        <f>IF(COUNT(BD287:BE287)&lt;&gt;2,"",IF(AND(BD287&gt;0,BE287&gt;0),0.7*AW287/BD287+0.3*BA287/BE287,IF(BD287&gt;0,AW287/BD287,IF(BE287&gt;0,BA287/BE287,IF(AND(ISNUMBER(BH287),BH287=0),0,"")))))</f>
        <v>0.0908528160352339</v>
      </c>
      <c r="BG287" s="11" t="n">
        <f>IF(AND(COUNT(BN287:BU287)=8,MIN(BN287:BU287)&gt;=0),SUMPRODUCT(BN287:BQ287,BR287:BU287),"")</f>
        <v>88.27281580841549</v>
      </c>
      <c r="BH287" s="11" t="n">
        <f>IF(COUNT(BC287,BG287)=2,BC287*BG287,"")</f>
        <v>129.73458761381332</v>
      </c>
      <c r="BI287" s="11" t="n">
        <f>IF(ISNUMBER(CI287),CI287,"")</f>
        <v>11.786752621884718</v>
      </c>
      <c r="BJ287" s="8" t="str"/>
      <c r="BK287" s="8" t="str">
        <v>90天：2026-07-20 至 2026-10-17；180天：2026-04-21 至 2026-10-17</v>
      </c>
      <c r="BL287" s="8" t="str">
        <v>90天：2026-10-06、2026-10-07、2026-10-12、2026-10-13、2026-10-16；180天：2026-10-06、2026-10-07、2026-10-12、2026-10-13、2026-10-16</v>
      </c>
      <c r="BM287" s="8" t="str">
        <v>2026-10：12天 × 1.0395067087630607；2026-11：30天 × 0.9890368360033146；2026-12：31天 × 0.7800796503018808；2027-01：17天 × 1.2908918272824135</v>
      </c>
      <c r="BN287" s="11" t="n">
        <v>1.0395067087630607</v>
      </c>
      <c r="BO287" s="11" t="n">
        <v>0.9890368360033146</v>
      </c>
      <c r="BP287" s="11" t="n">
        <v>0.7800796503018808</v>
      </c>
      <c r="BQ287" s="11" t="n">
        <v>1.2908918272824135</v>
      </c>
      <c r="BR287" s="8" t="n">
        <v>12</v>
      </c>
      <c r="BS287" s="8" t="n">
        <v>30</v>
      </c>
      <c r="BT287" s="8" t="n">
        <v>31</v>
      </c>
      <c r="BU287" s="8" t="n">
        <v>17</v>
      </c>
      <c r="BV287" s="11" t="n">
        <f>IF(COUNT(BC287,BF287)=2,BC287*BF287,"")</f>
        <v>0.13352641483043104</v>
      </c>
      <c r="BW287" s="11" t="n">
        <f>IF(ISNUMBER(BN287),BN287,"")</f>
        <v>1.0395067087630607</v>
      </c>
      <c r="BX287" s="14" t="n">
        <f>IF(ISNUMBER(BR287),BR287,"")</f>
        <v>12</v>
      </c>
      <c r="BY287" s="13" t="n">
        <f>IF(AND(COUNT(BV287,BW287,BX287)=3,MIN(BV287,BW287,BX287)&gt;=0),BV287*BW287*BX287,"")</f>
        <v>1.66561924815975</v>
      </c>
      <c r="BZ287" s="11" t="n">
        <f>IF(ISNUMBER(BO287),BO287,"")</f>
        <v>0.9890368360033146</v>
      </c>
      <c r="CA287" s="14" t="n">
        <f>IF(ISNUMBER(BS287),BS287,"")</f>
        <v>30</v>
      </c>
      <c r="CB287" s="13" t="n">
        <f>IF(AND(COUNT(BV287,BZ287,CA287)=3,MIN(BV287,BZ287,CA287)&gt;=0),BV287*BZ287*CA287,"")</f>
        <v>3.9618762854026675</v>
      </c>
      <c r="CC287" s="11" t="n">
        <f>IF(ISNUMBER(BP287),BP287,"")</f>
        <v>0.7800796503018808</v>
      </c>
      <c r="CD287" s="14" t="n">
        <f>IF(ISNUMBER(BT287),BT287,"")</f>
        <v>31</v>
      </c>
      <c r="CE287" s="13" t="n">
        <f>IF(AND(COUNT(BV287,CC287,CD287)=3,MIN(BV287,CC287,CD287)&gt;=0),BV287*CC287*CD287,"")</f>
        <v>3.2289984085965817</v>
      </c>
      <c r="CF287" s="11" t="n">
        <f>IF(ISNUMBER(BQ287),BQ287,"")</f>
        <v>1.2908918272824135</v>
      </c>
      <c r="CG287" s="14" t="n">
        <f>IF(ISNUMBER(BU287),BU287,"")</f>
        <v>17</v>
      </c>
      <c r="CH287" s="13" t="n">
        <f>IF(AND(COUNT(BV287,CF287,CG287)=3,MIN(BV287,CF287,CG287)&gt;=0),BV287*CF287*CG287,"")</f>
        <v>2.9302586797257195</v>
      </c>
      <c r="CI287" s="13" t="n">
        <f>IF(COUNT(BY287,CB287,CE287,CH287)=4,SUM(BY287,CB287,CE287,CH287),"")</f>
        <v>11.786752621884718</v>
      </c>
    </row>
    <row r="288" ht="72" customHeight="1">
      <c r="A288" s="16" t="str">
        <v>B06b-LP-41.5</v>
      </c>
      <c r="B288" s="16" t="str">
        <v>1店-MUSSHOE-US</v>
      </c>
      <c r="C288" s="16" t="str">
        <v>艾年</v>
      </c>
      <c r="D288" s="26" t="n">
        <f>IF(NOT(ISNUMBER(E288)),"",IF(OR(E288&lt;=0,L288=0),0,IF(OR(NOT(ISNUMBER(F288)),F288&lt;0),"",MIN(E288,INT(F288)))))</f>
        <v>0</v>
      </c>
      <c r="E288" s="27" t="n">
        <f>IF(OR(NOT(ISNUMBER(L288)),COUNT(M288:O288)&lt;&gt;3,MIN(M288:O288)&lt;0),"",ROUNDUP(ROUND(BI288-SUM(M288:O288),10),0))</f>
        <v>12</v>
      </c>
      <c r="F288" s="28" t="n">
        <v>0</v>
      </c>
      <c r="G288" s="28" t="n">
        <f>IF(AND(ISNUMBER(D288),ISNUMBER(E288)),IF(OR(E288&lt;=0,L288=0),0,E288-D288),"")</f>
        <v>12</v>
      </c>
      <c r="H288" s="16" t="str">
        <f>IF(NOT(ISNUMBER(E288)),"销量或海外库存待补",IF(OR(E288&lt;=0,L288=0),IF(L288=0,"零日销，本批不发","本批无需补货"),IF(NOT(ISNUMBER(D288)),"国内库存待补",IF(D288=0,"国内无可用库存",IF(G288&gt;0,"先发国内现货","按建议量发货")))))</f>
        <v>国内无可用库存</v>
      </c>
      <c r="I288" s="28" t="n">
        <f>IF(AND(COUNT(Z288,AA288,AB288)=3,Z288&gt;=AA288,AA288&gt;=0,AB288=7),Z288-AA288,"")</f>
        <v>4</v>
      </c>
      <c r="J288" s="28" t="n">
        <f>IF(AND(COUNT(AF288,AG288,AH288)=3,AF288&gt;=AG288,AG288&gt;=0,AH288=14),AF288-AG288,"")</f>
        <v>4</v>
      </c>
      <c r="K288" s="28" t="n">
        <f>IF(AND(COUNT(AL288,AM288,AN288)=3,AL288&gt;=AM288,AM288&gt;=0,AN288=30),AL288-AM288,"")</f>
        <v>7</v>
      </c>
      <c r="L288" s="29" t="n">
        <f>IF(ISNUMBER(BI288),BI288/90,"")</f>
        <v>0.17217276628697006</v>
      </c>
      <c r="M288" s="28" t="n">
        <v>4</v>
      </c>
      <c r="N288" s="28" t="n">
        <v>0</v>
      </c>
      <c r="O288" s="28" t="n">
        <v>0</v>
      </c>
      <c r="P288" s="30" t="n">
        <f>IF(AND(ISNUMBER(L288),L288&gt;0,COUNT(M288:O288)=3,MIN(M288:O288)&gt;=0),SUM(M288:O288)/L288,"")</f>
        <v>23.23247797118491</v>
      </c>
      <c r="Q288" s="16" t="str">
        <v>沿用原计划SKU店铺</v>
      </c>
      <c r="R288" s="16" t="str">
        <v>已匹配</v>
      </c>
      <c r="S288" s="16" t="str">
        <v>在售</v>
      </c>
      <c r="T288" s="16" t="str">
        <v>B06b</v>
      </c>
      <c r="U288" s="16" t="str">
        <v>豹纹羊京绒</v>
      </c>
      <c r="V288" s="16" t="n">
        <v>10.5</v>
      </c>
      <c r="W288" s="8" t="str">
        <v>2026-10-11 至 2026-10-17</v>
      </c>
      <c r="X288" s="8" t="str">
        <v>2026-10-11、2026-10-12、2026-10-13、2026-10-14、2026-10-15、2026-10-16、2026-10-17</v>
      </c>
      <c r="Y288" s="8" t="str">
        <v>无</v>
      </c>
      <c r="Z288" s="8" t="n">
        <v>4</v>
      </c>
      <c r="AA288" s="8" t="n">
        <v>0</v>
      </c>
      <c r="AB288" s="8" t="n">
        <v>7</v>
      </c>
      <c r="AC288" s="8" t="str">
        <v>2026-10-02 至 2026-10-17</v>
      </c>
      <c r="AD288" s="8" t="str">
        <v>2026-10-02、2026-10-03、2026-10-04、2026-10-05、2026-10-08、2026-10-09、2026-10-10、2026-10-11、2026-10-12、2026-10-13、2026-10-14、2026-10-15、2026-10-16、2026-10-17</v>
      </c>
      <c r="AE288" s="8" t="str">
        <v>2026-10-06 大促；2026-10-07 大促</v>
      </c>
      <c r="AF288" s="8" t="n">
        <v>6</v>
      </c>
      <c r="AG288" s="8" t="n">
        <v>2</v>
      </c>
      <c r="AH288" s="8" t="n">
        <v>14</v>
      </c>
      <c r="AI288" s="8" t="str">
        <v>2026-09-16 至 2026-10-17</v>
      </c>
      <c r="AJ2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8" s="8" t="str">
        <v>2026-10-06 大促；2026-10-07 大促</v>
      </c>
      <c r="AL288" s="8" t="n">
        <v>9</v>
      </c>
      <c r="AM288" s="8" t="n">
        <v>2</v>
      </c>
      <c r="AN288" s="8" t="n">
        <v>30</v>
      </c>
      <c r="AO288" s="8" t="str">
        <v>B06b / 豹纹羊京绒 / 13120</v>
      </c>
      <c r="AP288" s="11" t="n">
        <v>1.1090677182221615</v>
      </c>
      <c r="AQ288" s="11" t="n">
        <v>1.1090677182221615</v>
      </c>
      <c r="AR288" s="11" t="n">
        <v>0.9505188216044452</v>
      </c>
      <c r="AS288" s="11" t="n">
        <f>IF(AND(COUNT(I288:K288,AP288:AR288)=6,MIN(AP288:AR288)&gt;0),I288/7/AP288*0.5+J288/14/AQ288*0.3+K288/30/AR288*0.2,"")</f>
        <v>0.3839976106289792</v>
      </c>
      <c r="AT288" s="8" t="n">
        <v>11</v>
      </c>
      <c r="AU288" s="8" t="n">
        <v>2</v>
      </c>
      <c r="AV288" s="8" t="n">
        <v>88</v>
      </c>
      <c r="AW288" s="11" t="n">
        <f>IF(AND(COUNT(AT288:AV288)=3,AT288&gt;=AU288,AU288&gt;=0,AV288&gt;0),(AT288-AU288)/AV288,"")</f>
        <v>0.10227272727272728</v>
      </c>
      <c r="AX288" s="8" t="n">
        <v>19</v>
      </c>
      <c r="AY288" s="8" t="n">
        <v>2</v>
      </c>
      <c r="AZ288" s="8" t="n">
        <v>178</v>
      </c>
      <c r="BA288" s="11" t="n">
        <f>IF(AND(COUNT(AX288:AZ288)=3,AX288&gt;=AY288,AY288&gt;=0,AZ288&gt;0),(AX288-AY288)/AZ288,"")</f>
        <v>0.09550561797752809</v>
      </c>
      <c r="BB288" s="8" t="n">
        <f>IF(COUNT(AS288,AW288,BA288)=3,1,0)</f>
        <v>1</v>
      </c>
      <c r="BC288" s="11" t="n">
        <f>IF(SUMIF($AO$11:$AO$1309,AO288,$BB$11:$BB$1309)=COUNTIF($AO$11:$AO$1309,AO288),SUMIF($AO$11:$AO$1309,AO288,$AS$11:$AS$1309),"")</f>
        <v>3.3094608435746915</v>
      </c>
      <c r="BD288" s="11" t="n">
        <f>IF(SUMIF($AO$11:$AO$1309,AO288,$BB$11:$BB$1309)=COUNTIF($AO$11:$AO$1309,AO288),SUMIF($AO$11:$AO$1309,AO288,$AW$11:$AW$1309),"")</f>
        <v>2.343716577540107</v>
      </c>
      <c r="BE288" s="11" t="n">
        <f>IF(SUMIF($AO$11:$AO$1309,AO288,$BB$11:$BB$1309)=COUNTIF($AO$11:$AO$1309,AO288),SUMIF($AO$11:$AO$1309,AO288,$BA$11:$BA$1309),"")</f>
        <v>1.5069662921348317</v>
      </c>
      <c r="BF288" s="12" t="n">
        <f>IF(COUNT(BD288:BE288)&lt;&gt;2,"",IF(AND(BD288&gt;0,BE288&gt;0),0.7*AW288/BD288+0.3*BA288/BE288,IF(BD288&gt;0,AW288/BD288,IF(BE288&gt;0,BA288/BE288,IF(AND(ISNUMBER(BH288),BH288=0),0,"")))))</f>
        <v>0.04955871447388591</v>
      </c>
      <c r="BG288" s="11" t="n">
        <f>IF(AND(COUNT(BN288:BU288)=8,MIN(BN288:BU288)&gt;=0),SUMPRODUCT(BN288:BQ288,BR288:BU288),"")</f>
        <v>94.47778160343367</v>
      </c>
      <c r="BH288" s="11" t="n">
        <f>IF(COUNT(BC288,BG288)=2,BC288*BG288,"")</f>
        <v>312.6705188043651</v>
      </c>
      <c r="BI288" s="11" t="n">
        <f>IF(ISNUMBER(CI288),CI288,"")</f>
        <v>15.495548965827306</v>
      </c>
      <c r="BJ288" s="8" t="str"/>
      <c r="BK288" s="8" t="str">
        <v>90天：2026-07-20 至 2026-10-17；180天：2026-04-21 至 2026-10-17</v>
      </c>
      <c r="BL288" s="8" t="str">
        <v>90天：2026-10-06、2026-10-07；180天：2026-10-06、2026-10-07</v>
      </c>
      <c r="BM288" s="8" t="str">
        <v>2026-10：12天 × 1.1090677182221615；2026-11：30天 × 1.0372741535934282；2026-12：31天 × 0.979949351738161；2027-01：17天 × 1.1571949690048173</v>
      </c>
      <c r="BN288" s="11" t="n">
        <v>1.1090677182221615</v>
      </c>
      <c r="BO288" s="11" t="n">
        <v>1.0372741535934282</v>
      </c>
      <c r="BP288" s="11" t="n">
        <v>0.979949351738161</v>
      </c>
      <c r="BQ288" s="11" t="n">
        <v>1.1571949690048173</v>
      </c>
      <c r="BR288" s="8" t="n">
        <v>12</v>
      </c>
      <c r="BS288" s="8" t="n">
        <v>30</v>
      </c>
      <c r="BT288" s="8" t="n">
        <v>31</v>
      </c>
      <c r="BU288" s="8" t="n">
        <v>17</v>
      </c>
      <c r="BV288" s="11" t="n">
        <f>IF(COUNT(BC288,BF288)=2,BC288*BF288,"")</f>
        <v>0.16401262500922376</v>
      </c>
      <c r="BW288" s="11" t="n">
        <f>IF(ISNUMBER(BN288),BN288,"")</f>
        <v>1.1090677182221615</v>
      </c>
      <c r="BX288" s="14" t="n">
        <f>IF(ISNUMBER(BR288),BR288,"")</f>
        <v>12</v>
      </c>
      <c r="BY288" s="13" t="n">
        <f>IF(AND(COUNT(BV288,BW288,BX288)=3,MIN(BV288,BW288,BX288)&gt;=0),BV288*BW288*BX288,"")</f>
        <v>2.182813293343282</v>
      </c>
      <c r="BZ288" s="11" t="n">
        <f>IF(ISNUMBER(BO288),BO288,"")</f>
        <v>1.0372741535934282</v>
      </c>
      <c r="CA288" s="14" t="n">
        <f>IF(ISNUMBER(BS288),BS288,"")</f>
        <v>30</v>
      </c>
      <c r="CB288" s="13" t="n">
        <f>IF(AND(COUNT(BV288,BZ288,CA288)=3,MIN(BV288,BZ288,CA288)&gt;=0),BV288*BZ288*CA288,"")</f>
        <v>5.103781703552367</v>
      </c>
      <c r="CC288" s="11" t="n">
        <f>IF(ISNUMBER(BP288),BP288,"")</f>
        <v>0.979949351738161</v>
      </c>
      <c r="CD288" s="14" t="n">
        <f>IF(ISNUMBER(BT288),BT288,"")</f>
        <v>31</v>
      </c>
      <c r="CE288" s="13" t="n">
        <f>IF(AND(COUNT(BV288,CC288,CD288)=3,MIN(BV288,CC288,CD288)&gt;=0),BV288*CC288*CD288,"")</f>
        <v>4.98244603219455</v>
      </c>
      <c r="CF288" s="11" t="n">
        <f>IF(ISNUMBER(BQ288),BQ288,"")</f>
        <v>1.1571949690048173</v>
      </c>
      <c r="CG288" s="14" t="n">
        <f>IF(ISNUMBER(BU288),BU288,"")</f>
        <v>17</v>
      </c>
      <c r="CH288" s="13" t="n">
        <f>IF(AND(COUNT(BV288,CF288,CG288)=3,MIN(BV288,CF288,CG288)&gt;=0),BV288*CF288*CG288,"")</f>
        <v>3.226507936737106</v>
      </c>
      <c r="CI288" s="13" t="n">
        <f>IF(COUNT(BY288,CB288,CE288,CH288)=4,SUM(BY288,CB288,CE288,CH288),"")</f>
        <v>15.495548965827306</v>
      </c>
    </row>
    <row r="289" ht="72" customHeight="1">
      <c r="A289" s="16" t="str">
        <v>B06b-NU-40</v>
      </c>
      <c r="B289" s="16" t="str">
        <v>1店-MUSSHOE-US</v>
      </c>
      <c r="C289" s="16" t="str">
        <v>艾年</v>
      </c>
      <c r="D289" s="26" t="n">
        <f>IF(NOT(ISNUMBER(E289)),"",IF(OR(E289&lt;=0,L289=0),0,IF(OR(NOT(ISNUMBER(F289)),F289&lt;0),"",MIN(E289,INT(F289)))))</f>
        <v>0</v>
      </c>
      <c r="E289" s="27" t="n">
        <f>IF(OR(NOT(ISNUMBER(L289)),COUNT(M289:O289)&lt;&gt;3,MIN(M289:O289)&lt;0),"",ROUNDUP(ROUND(BI289-SUM(M289:O289),10),0))</f>
        <v>12</v>
      </c>
      <c r="F289" s="28" t="n">
        <v>0</v>
      </c>
      <c r="G289" s="28" t="n">
        <f>IF(AND(ISNUMBER(D289),ISNUMBER(E289)),IF(OR(E289&lt;=0,L289=0),0,E289-D289),"")</f>
        <v>12</v>
      </c>
      <c r="H289" s="16" t="str">
        <f>IF(NOT(ISNUMBER(E289)),"销量或海外库存待补",IF(OR(E289&lt;=0,L289=0),IF(L289=0,"零日销，本批不发","本批无需补货"),IF(NOT(ISNUMBER(D289)),"国内库存待补",IF(D289=0,"国内无可用库存",IF(G289&gt;0,"先发国内现货","按建议量发货")))))</f>
        <v>国内无可用库存</v>
      </c>
      <c r="I289" s="28" t="n">
        <f>IF(AND(COUNT(Z289,AA289,AB289)=3,Z289&gt;=AA289,AA289&gt;=0,AB289=7),Z289-AA289,"")</f>
        <v>5</v>
      </c>
      <c r="J289" s="28" t="n">
        <f>IF(AND(COUNT(AF289,AG289,AH289)=3,AF289&gt;=AG289,AG289&gt;=0,AH289=14),AF289-AG289,"")</f>
        <v>8</v>
      </c>
      <c r="K289" s="28" t="n">
        <f>IF(AND(COUNT(AL289,AM289,AN289)=3,AL289&gt;=AM289,AM289&gt;=0,AN289=30),AL289-AM289,"")</f>
        <v>19</v>
      </c>
      <c r="L289" s="29" t="n">
        <f>IF(ISNUMBER(BI289),BI289/90,"")</f>
        <v>0.46945970435144757</v>
      </c>
      <c r="M289" s="28" t="n">
        <v>14</v>
      </c>
      <c r="N289" s="28" t="n">
        <v>0</v>
      </c>
      <c r="O289" s="28" t="n">
        <v>17</v>
      </c>
      <c r="P289" s="30" t="n">
        <f>IF(AND(ISNUMBER(L289),L289&gt;0,COUNT(M289:O289)=3,MIN(M289:O289)&gt;=0),SUM(M289:O289)/L289,"")</f>
        <v>66.0333564577733</v>
      </c>
      <c r="Q289" s="16" t="str">
        <v>沿用原计划SKU店铺</v>
      </c>
      <c r="R289" s="16" t="str">
        <v>已匹配</v>
      </c>
      <c r="S289" s="16" t="str">
        <v>在售</v>
      </c>
      <c r="T289" s="16" t="str">
        <v>B06b</v>
      </c>
      <c r="U289" s="16" t="str">
        <v>裸色羊京绒</v>
      </c>
      <c r="V289" s="16" t="n">
        <v>9</v>
      </c>
      <c r="W289" s="8" t="str">
        <v>2026-10-11 至 2026-10-17</v>
      </c>
      <c r="X289" s="8" t="str">
        <v>2026-10-11、2026-10-12、2026-10-13、2026-10-14、2026-10-15、2026-10-16、2026-10-17</v>
      </c>
      <c r="Y289" s="8" t="str">
        <v>无</v>
      </c>
      <c r="Z289" s="8" t="n">
        <v>5</v>
      </c>
      <c r="AA289" s="8" t="n">
        <v>0</v>
      </c>
      <c r="AB289" s="8" t="n">
        <v>7</v>
      </c>
      <c r="AC289" s="8" t="str">
        <v>2026-10-02 至 2026-10-17</v>
      </c>
      <c r="AD289" s="8" t="str">
        <v>2026-10-02、2026-10-03、2026-10-04、2026-10-05、2026-10-08、2026-10-09、2026-10-10、2026-10-11、2026-10-12、2026-10-13、2026-10-14、2026-10-15、2026-10-16、2026-10-17</v>
      </c>
      <c r="AE289" s="8" t="str">
        <v>2026-10-06 大促；2026-10-07 大促</v>
      </c>
      <c r="AF289" s="8" t="n">
        <v>14</v>
      </c>
      <c r="AG289" s="8" t="n">
        <v>6</v>
      </c>
      <c r="AH289" s="8" t="n">
        <v>14</v>
      </c>
      <c r="AI289" s="8" t="str">
        <v>2026-09-16 至 2026-10-17</v>
      </c>
      <c r="AJ2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89" s="8" t="str">
        <v>2026-10-06 大促；2026-10-07 大促</v>
      </c>
      <c r="AL289" s="8" t="n">
        <v>25</v>
      </c>
      <c r="AM289" s="8" t="n">
        <v>6</v>
      </c>
      <c r="AN289" s="8" t="n">
        <v>30</v>
      </c>
      <c r="AO289" s="8" t="str">
        <v>B06b / 裸色羊京绒 / 13120</v>
      </c>
      <c r="AP289" s="11" t="n">
        <v>1.1090677182221615</v>
      </c>
      <c r="AQ289" s="11" t="n">
        <v>1.1090677182221615</v>
      </c>
      <c r="AR289" s="11" t="n">
        <v>0.9505188216044452</v>
      </c>
      <c r="AS289" s="11" t="n">
        <f>IF(AND(COUNT(I289:K289,AP289:AR289)=6,MIN(AP289:AR289)&gt;0),I289/7/AP289*0.5+J289/14/AQ289*0.3+K289/30/AR289*0.2,"")</f>
        <v>0.6098513176820645</v>
      </c>
      <c r="AT289" s="8" t="n">
        <v>62</v>
      </c>
      <c r="AU289" s="8" t="n">
        <v>6</v>
      </c>
      <c r="AV289" s="8" t="n">
        <v>88</v>
      </c>
      <c r="AW289" s="11" t="n">
        <f>IF(AND(COUNT(AT289:AV289)=3,AT289&gt;=AU289,AU289&gt;=0,AV289&gt;0),(AT289-AU289)/AV289,"")</f>
        <v>0.6363636363636364</v>
      </c>
      <c r="AX289" s="8" t="n">
        <v>97</v>
      </c>
      <c r="AY289" s="8" t="n">
        <v>6</v>
      </c>
      <c r="AZ289" s="8" t="n">
        <v>178</v>
      </c>
      <c r="BA289" s="11" t="n">
        <f>IF(AND(COUNT(AX289:AZ289)=3,AX289&gt;=AY289,AY289&gt;=0,AZ289&gt;0),(AX289-AY289)/AZ289,"")</f>
        <v>0.5112359550561798</v>
      </c>
      <c r="BB289" s="8" t="n">
        <f>IF(COUNT(AS289,AW289,BA289)=3,1,0)</f>
        <v>1</v>
      </c>
      <c r="BC289" s="11" t="n">
        <f>IF(SUMIF($AO$11:$AO$1309,AO289,$BB$11:$BB$1309)=COUNTIF($AO$11:$AO$1309,AO289),SUMIF($AO$11:$AO$1309,AO289,$AS$11:$AS$1309),"")</f>
        <v>2.689755745741675</v>
      </c>
      <c r="BD289" s="11" t="n">
        <f>IF(SUMIF($AO$11:$AO$1309,AO289,$BB$11:$BB$1309)=COUNTIF($AO$11:$AO$1309,AO289),SUMIF($AO$11:$AO$1309,AO289,$AW$11:$AW$1309),"")</f>
        <v>3.684342922121827</v>
      </c>
      <c r="BE289" s="11" t="n">
        <f>IF(SUMIF($AO$11:$AO$1309,AO289,$BB$11:$BB$1309)=COUNTIF($AO$11:$AO$1309,AO289),SUMIF($AO$11:$AO$1309,AO289,$BA$11:$BA$1309),"")</f>
        <v>3.3812436633385023</v>
      </c>
      <c r="BF289" s="12" t="n">
        <f>IF(COUNT(BD289:BE289)&lt;&gt;2,"",IF(AND(BD289&gt;0,BE289&gt;0),0.7*AW289/BD289+0.3*BA289/BE289,IF(BD289&gt;0,AW289/BD289,IF(BE289&gt;0,BA289/BE289,IF(AND(ISNUMBER(BH289),BH289=0),0,"")))))</f>
        <v>0.1662640285726786</v>
      </c>
      <c r="BG289" s="11" t="n">
        <f>IF(AND(COUNT(BN289:BU289)=8,MIN(BN289:BU289)&gt;=0),SUMPRODUCT(BN289:BQ289,BR289:BU289),"")</f>
        <v>94.47778160343367</v>
      </c>
      <c r="BH289" s="11" t="n">
        <f>IF(COUNT(BC289,BG289)=2,BC289*BG289,"")</f>
        <v>254.12215591276282</v>
      </c>
      <c r="BI289" s="11" t="n">
        <f>IF(ISNUMBER(CI289),CI289,"")</f>
        <v>42.25137339163028</v>
      </c>
      <c r="BJ289" s="8" t="str"/>
      <c r="BK289" s="8" t="str">
        <v>90天：2026-07-20 至 2026-10-17；180天：2026-04-21 至 2026-10-17</v>
      </c>
      <c r="BL289" s="8" t="str">
        <v>90天：2026-10-06、2026-10-07；180天：2026-10-06、2026-10-07</v>
      </c>
      <c r="BM289" s="8" t="str">
        <v>2026-10：12天 × 1.1090677182221615；2026-11：30天 × 1.0372741535934282；2026-12：31天 × 0.979949351738161；2027-01：17天 × 1.1571949690048173</v>
      </c>
      <c r="BN289" s="11" t="n">
        <v>1.1090677182221615</v>
      </c>
      <c r="BO289" s="11" t="n">
        <v>1.0372741535934282</v>
      </c>
      <c r="BP289" s="11" t="n">
        <v>0.979949351738161</v>
      </c>
      <c r="BQ289" s="11" t="n">
        <v>1.1571949690048173</v>
      </c>
      <c r="BR289" s="8" t="n">
        <v>12</v>
      </c>
      <c r="BS289" s="8" t="n">
        <v>30</v>
      </c>
      <c r="BT289" s="8" t="n">
        <v>31</v>
      </c>
      <c r="BU289" s="8" t="n">
        <v>17</v>
      </c>
      <c r="BV289" s="11" t="n">
        <f>IF(COUNT(BC289,BF289)=2,BC289*BF289,"")</f>
        <v>0.4472096261635203</v>
      </c>
      <c r="BW289" s="11" t="n">
        <f>IF(ISNUMBER(BN289),BN289,"")</f>
        <v>1.1090677182221615</v>
      </c>
      <c r="BX289" s="14" t="n">
        <f>IF(ISNUMBER(BR289),BR289,"")</f>
        <v>12</v>
      </c>
      <c r="BY289" s="13" t="n">
        <f>IF(AND(COUNT(BV289,BW289,BX289)=3,MIN(BV289,BW289,BX289)&gt;=0),BV289*BW289*BX289,"")</f>
        <v>5.951829115873936</v>
      </c>
      <c r="BZ289" s="11" t="n">
        <f>IF(ISNUMBER(BO289),BO289,"")</f>
        <v>1.0372741535934282</v>
      </c>
      <c r="CA289" s="14" t="n">
        <f>IF(ISNUMBER(BS289),BS289,"")</f>
        <v>30</v>
      </c>
      <c r="CB289" s="13" t="n">
        <f>IF(AND(COUNT(BV289,BZ289,CA289)=3,MIN(BV289,BZ289,CA289)&gt;=0),BV289*BZ289*CA289,"")</f>
        <v>13.916369593727968</v>
      </c>
      <c r="CC289" s="11" t="n">
        <f>IF(ISNUMBER(BP289),BP289,"")</f>
        <v>0.979949351738161</v>
      </c>
      <c r="CD289" s="14" t="n">
        <f>IF(ISNUMBER(BT289),BT289,"")</f>
        <v>31</v>
      </c>
      <c r="CE289" s="13" t="n">
        <f>IF(AND(COUNT(BV289,CC289,CD289)=3,MIN(BV289,CC289,CD289)&gt;=0),BV289*CC289*CD289,"")</f>
        <v>13.585526280750218</v>
      </c>
      <c r="CF289" s="11" t="n">
        <f>IF(ISNUMBER(BQ289),BQ289,"")</f>
        <v>1.1571949690048173</v>
      </c>
      <c r="CG289" s="14" t="n">
        <f>IF(ISNUMBER(BU289),BU289,"")</f>
        <v>17</v>
      </c>
      <c r="CH289" s="13" t="n">
        <f>IF(AND(COUNT(BV289,CF289,CG289)=3,MIN(BV289,CF289,CG289)&gt;=0),BV289*CF289*CG289,"")</f>
        <v>8.797648401278163</v>
      </c>
      <c r="CI289" s="13" t="n">
        <f>IF(COUNT(BY289,CB289,CE289,CH289)=4,SUM(BY289,CB289,CE289,CH289),"")</f>
        <v>42.25137339163028</v>
      </c>
    </row>
    <row r="290" ht="72" customHeight="1">
      <c r="A290" s="16" t="str">
        <v>B07-BK-Z-0-39.5</v>
      </c>
      <c r="B290" s="16" t="str">
        <v>4店-彬郁-US</v>
      </c>
      <c r="C290" s="16" t="str">
        <v>艾年</v>
      </c>
      <c r="D290" s="26" t="n">
        <f>IF(NOT(ISNUMBER(E290)),"",IF(OR(E290&lt;=0,L290=0),0,IF(OR(NOT(ISNUMBER(F290)),F290&lt;0),"",MIN(E290,INT(F290)))))</f>
        <v>0</v>
      </c>
      <c r="E290" s="27" t="n">
        <f>IF(OR(NOT(ISNUMBER(L290)),COUNT(M290:O290)&lt;&gt;3,MIN(M290:O290)&lt;0),"",ROUNDUP(ROUND(BI290-SUM(M290:O290),10),0))</f>
        <v>12</v>
      </c>
      <c r="F290" s="28" t="n">
        <v>0</v>
      </c>
      <c r="G290" s="28" t="n">
        <f>IF(AND(ISNUMBER(D290),ISNUMBER(E290)),IF(OR(E290&lt;=0,L290=0),0,E290-D290),"")</f>
        <v>12</v>
      </c>
      <c r="H290" s="16" t="str">
        <f>IF(NOT(ISNUMBER(E290)),"销量或海外库存待补",IF(OR(E290&lt;=0,L290=0),IF(L290=0,"零日销，本批不发","本批无需补货"),IF(NOT(ISNUMBER(D290)),"国内库存待补",IF(D290=0,"国内无可用库存",IF(G290&gt;0,"先发国内现货","按建议量发货")))))</f>
        <v>国内无可用库存</v>
      </c>
      <c r="I290" s="28" t="n">
        <f>IF(AND(COUNT(Z290,AA290,AB290)=3,Z290&gt;=AA290,AA290&gt;=0,AB290=7),Z290-AA290,"")</f>
        <v>0</v>
      </c>
      <c r="J290" s="28" t="n">
        <f>IF(AND(COUNT(AF290,AG290,AH290)=3,AF290&gt;=AG290,AG290&gt;=0,AH290=14),AF290-AG290,"")</f>
        <v>0</v>
      </c>
      <c r="K290" s="28" t="n">
        <f>IF(AND(COUNT(AL290,AM290,AN290)=3,AL290&gt;=AM290,AM290&gt;=0,AN290=30),AL290-AM290,"")</f>
        <v>0</v>
      </c>
      <c r="L290" s="29" t="n">
        <f>IF(ISNUMBER(BI290),BI290/90,"")</f>
        <v>0.12745359790745836</v>
      </c>
      <c r="M290" s="28" t="n">
        <v>0</v>
      </c>
      <c r="N290" s="28" t="n">
        <v>0</v>
      </c>
      <c r="O290" s="28" t="n">
        <v>0</v>
      </c>
      <c r="P290" s="30" t="n">
        <f>IF(AND(ISNUMBER(L290),L290&gt;0,COUNT(M290:O290)=3,MIN(M290:O290)&gt;=0),SUM(M290:O290)/L290,"")</f>
        <v>0</v>
      </c>
      <c r="Q290" s="16" t="str">
        <v>沿用原计划SKU店铺</v>
      </c>
      <c r="R290" s="16" t="str">
        <v>已匹配</v>
      </c>
      <c r="S290" s="16" t="str">
        <v>停售</v>
      </c>
      <c r="T290" s="16" t="str">
        <v>B07</v>
      </c>
      <c r="U290" s="16" t="str">
        <v>黑色镜面PU</v>
      </c>
      <c r="V290" s="16" t="n">
        <v>8.5</v>
      </c>
      <c r="W290" s="8" t="str">
        <v>2026-10-08 至 2026-10-17</v>
      </c>
      <c r="X290" s="8" t="str">
        <v>2026-10-08、2026-10-09、2026-10-10、2026-10-11、2026-10-14、2026-10-15、2026-10-17</v>
      </c>
      <c r="Y290" s="8" t="str">
        <v>2026-10-12 有记录的停售日；2026-10-13 有记录的停售日；2026-10-16 有记录的停售日</v>
      </c>
      <c r="Z290" s="8" t="n">
        <v>0</v>
      </c>
      <c r="AA290" s="8" t="n">
        <v>0</v>
      </c>
      <c r="AB290" s="8" t="n">
        <v>7</v>
      </c>
      <c r="AC290" s="8" t="str">
        <v>2026-09-29 至 2026-10-17</v>
      </c>
      <c r="AD290" s="8" t="str">
        <v>2026-09-29、2026-09-30、2026-10-01、2026-10-02、2026-10-03、2026-10-04、2026-10-05、2026-10-08、2026-10-09、2026-10-10、2026-10-11、2026-10-14、2026-10-15、2026-10-17</v>
      </c>
      <c r="AE290" s="8" t="str">
        <v>2026-10-06 大促；2026-10-07 大促；2026-10-12 有记录的停售日；2026-10-13 有记录的停售日；2026-10-16 有记录的停售日</v>
      </c>
      <c r="AF290" s="8" t="n">
        <v>0</v>
      </c>
      <c r="AG290" s="8" t="n">
        <v>0</v>
      </c>
      <c r="AH290" s="8" t="n">
        <v>14</v>
      </c>
      <c r="AI290" s="8" t="str">
        <v>2026-09-13 至 2026-10-17</v>
      </c>
      <c r="AJ29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90" s="8" t="str">
        <v>2026-10-06 大促；2026-10-07 大促；2026-10-12 有记录的停售日；2026-10-13 有记录的停售日；2026-10-16 有记录的停售日</v>
      </c>
      <c r="AL290" s="8" t="n">
        <v>0</v>
      </c>
      <c r="AM290" s="8" t="n">
        <v>0</v>
      </c>
      <c r="AN290" s="8" t="n">
        <v>30</v>
      </c>
      <c r="AO290" s="8" t="str">
        <v>B07 / 黑色天鹅绒 / 13306</v>
      </c>
      <c r="AP290" s="11" t="n">
        <v>0.7307750238224848</v>
      </c>
      <c r="AQ290" s="11" t="n">
        <v>0.7348338471341894</v>
      </c>
      <c r="AR290" s="11" t="n">
        <v>0.7478220817316438</v>
      </c>
      <c r="AS290" s="11" t="n">
        <f>IF(AND(COUNT(I290:K290,AP290:AR290)=6,MIN(AP290:AR290)&gt;0),I290/7/AP290*0.5+J290/14/AQ290*0.3+K290/30/AR290*0.2,"")</f>
        <v>0</v>
      </c>
      <c r="AT290" s="8" t="n">
        <v>5</v>
      </c>
      <c r="AU290" s="8" t="n">
        <v>0</v>
      </c>
      <c r="AV290" s="8" t="n">
        <v>85</v>
      </c>
      <c r="AW290" s="11" t="n">
        <f>IF(AND(COUNT(AT290:AV290)=3,AT290&gt;=AU290,AU290&gt;=0,AV290&gt;0),(AT290-AU290)/AV290,"")</f>
        <v>0.058823529411764705</v>
      </c>
      <c r="AX290" s="8" t="n">
        <v>16</v>
      </c>
      <c r="AY290" s="8" t="n">
        <v>0</v>
      </c>
      <c r="AZ290" s="8" t="n">
        <v>175</v>
      </c>
      <c r="BA290" s="11" t="n">
        <f>IF(AND(COUNT(AX290:AZ290)=3,AX290&gt;=AY290,AY290&gt;=0,AZ290&gt;0),(AX290-AY290)/AZ290,"")</f>
        <v>0.09142857142857143</v>
      </c>
      <c r="BB290" s="8" t="n">
        <f>IF(COUNT(AS290,AW290,BA290)=3,1,0)</f>
        <v>1</v>
      </c>
      <c r="BC290" s="11" t="n">
        <f>IF(SUMIF($AO$11:$AO$1309,AO290,$BB$11:$BB$1309)=COUNTIF($AO$11:$AO$1309,AO290),SUMIF($AO$11:$AO$1309,AO290,$AS$11:$AS$1309),"")</f>
        <v>11.92937132043239</v>
      </c>
      <c r="BD290" s="11" t="n">
        <f>IF(SUMIF($AO$11:$AO$1309,AO290,$BB$11:$BB$1309)=COUNTIF($AO$11:$AO$1309,AO290),SUMIF($AO$11:$AO$1309,AO290,$AW$11:$AW$1309),"")</f>
        <v>5.794919786096258</v>
      </c>
      <c r="BE290" s="11" t="n">
        <f>IF(SUMIF($AO$11:$AO$1309,AO290,$BB$11:$BB$1309)=COUNTIF($AO$11:$AO$1309,AO290),SUMIF($AO$11:$AO$1309,AO290,$BA$11:$BA$1309),"")</f>
        <v>5.3098234349919755</v>
      </c>
      <c r="BF290" s="12" t="n">
        <f>IF(COUNT(BD290:BE290)&lt;&gt;2,"",IF(AND(BD290&gt;0,BE290&gt;0),0.7*AW290/BD290+0.3*BA290/BE290,IF(BD290&gt;0,AW290/BD290,IF(BE290&gt;0,BA290/BE290,IF(AND(ISNUMBER(BH290),BH290=0),0,"")))))</f>
        <v>0.012271243059028016</v>
      </c>
      <c r="BG290" s="11" t="n">
        <f>IF(AND(COUNT(BN290:BU290)=8,MIN(BN290:BU290)&gt;=0),SUMPRODUCT(BN290:BQ290,BR290:BU290),"")</f>
        <v>78.35892944347341</v>
      </c>
      <c r="BH290" s="11" t="n">
        <f>IF(COUNT(BC290,BG290)=2,BC290*BG290,"")</f>
        <v>934.7727656027569</v>
      </c>
      <c r="BI290" s="11" t="n">
        <f>IF(ISNUMBER(CI290),CI290,"")</f>
        <v>11.470823811671252</v>
      </c>
      <c r="BJ290" s="8" t="str">
        <v>低销提醒依据不完整</v>
      </c>
      <c r="BK290" s="8" t="str">
        <v>90天：2026-07-20 至 2026-10-17；180天：2026-04-21 至 2026-10-17</v>
      </c>
      <c r="BL290" s="8" t="str">
        <v>90天：2026-10-06、2026-10-07、2026-10-12、2026-10-13、2026-10-16；180天：2026-10-06、2026-10-07、2026-10-12、2026-10-13、2026-10-16</v>
      </c>
      <c r="BM290" s="8" t="str">
        <v>2026-10：12天 × 0.7307750238224848；2026-11：30天 × 0.9523018155490097；2026-12：31天 × 0.5958545198749097；2027-01：17天 × 1.3264167397065354</v>
      </c>
      <c r="BN290" s="11" t="n">
        <v>0.7307750238224848</v>
      </c>
      <c r="BO290" s="11" t="n">
        <v>0.9523018155490097</v>
      </c>
      <c r="BP290" s="11" t="n">
        <v>0.5958545198749097</v>
      </c>
      <c r="BQ290" s="11" t="n">
        <v>1.3264167397065354</v>
      </c>
      <c r="BR290" s="8" t="n">
        <v>12</v>
      </c>
      <c r="BS290" s="8" t="n">
        <v>30</v>
      </c>
      <c r="BT290" s="8" t="n">
        <v>31</v>
      </c>
      <c r="BU290" s="8" t="n">
        <v>17</v>
      </c>
      <c r="BV290" s="11" t="n">
        <f>IF(COUNT(BC290,BF290)=2,BC290*BF290,"")</f>
        <v>0.14638821501442384</v>
      </c>
      <c r="BW290" s="11" t="n">
        <f>IF(ISNUMBER(BN290),BN290,"")</f>
        <v>0.7307750238224848</v>
      </c>
      <c r="BX290" s="14" t="n">
        <f>IF(ISNUMBER(BR290),BR290,"")</f>
        <v>12</v>
      </c>
      <c r="BY290" s="13" t="n">
        <f>IF(AND(COUNT(BV290,BW290,BX290)=3,MIN(BV290,BW290,BX290)&gt;=0),BV290*BW290*BX290,"")</f>
        <v>1.2837222157739592</v>
      </c>
      <c r="BZ290" s="11" t="n">
        <f>IF(ISNUMBER(BO290),BO290,"")</f>
        <v>0.9523018155490097</v>
      </c>
      <c r="CA290" s="14" t="n">
        <f>IF(ISNUMBER(BS290),BS290,"")</f>
        <v>30</v>
      </c>
      <c r="CB290" s="13" t="n">
        <f>IF(AND(COUNT(BV290,BZ290,CA290)=3,MIN(BV290,BZ290,CA290)&gt;=0),BV290*BZ290*CA290,"")</f>
        <v>4.182172887996439</v>
      </c>
      <c r="CC290" s="11" t="n">
        <f>IF(ISNUMBER(BP290),BP290,"")</f>
        <v>0.5958545198749097</v>
      </c>
      <c r="CD290" s="14" t="n">
        <f>IF(ISNUMBER(BT290),BT290,"")</f>
        <v>31</v>
      </c>
      <c r="CE290" s="13" t="n">
        <f>IF(AND(COUNT(BV290,CC290,CD290)=3,MIN(BV290,CC290,CD290)&gt;=0),BV290*CC290*CD290,"")</f>
        <v>2.704008466755701</v>
      </c>
      <c r="CF290" s="11" t="n">
        <f>IF(ISNUMBER(BQ290),BQ290,"")</f>
        <v>1.3264167397065354</v>
      </c>
      <c r="CG290" s="14" t="n">
        <f>IF(ISNUMBER(BU290),BU290,"")</f>
        <v>17</v>
      </c>
      <c r="CH290" s="13" t="n">
        <f>IF(AND(COUNT(BV290,CF290,CG290)=3,MIN(BV290,CF290,CG290)&gt;=0),BV290*CF290*CG290,"")</f>
        <v>3.300920241145153</v>
      </c>
      <c r="CI290" s="13" t="n">
        <f>IF(COUNT(BY290,CB290,CE290,CH290)=4,SUM(BY290,CB290,CE290,CH290),"")</f>
        <v>11.470823811671252</v>
      </c>
    </row>
    <row r="291" ht="72" customHeight="1">
      <c r="A291" s="16" t="str">
        <v>S02a-ND1-41</v>
      </c>
      <c r="B291" s="16" t="str">
        <v>3店-SANDIEX-US</v>
      </c>
      <c r="C291" s="16" t="str">
        <v>陈晨</v>
      </c>
      <c r="D291" s="26" t="n">
        <f>IF(NOT(ISNUMBER(E291)),"",IF(OR(E291&lt;=0,L291=0),0,IF(OR(NOT(ISNUMBER(F291)),F291&lt;0),"",MIN(E291,INT(F291)))))</f>
        <v>0</v>
      </c>
      <c r="E291" s="27" t="n">
        <f>IF(OR(NOT(ISNUMBER(L291)),COUNT(M291:O291)&lt;&gt;3,MIN(M291:O291)&lt;0),"",ROUNDUP(ROUND(BI291-SUM(M291:O291),10),0))</f>
        <v>12</v>
      </c>
      <c r="F291" s="28" t="n">
        <v>0</v>
      </c>
      <c r="G291" s="28" t="n">
        <f>IF(AND(ISNUMBER(D291),ISNUMBER(E291)),IF(OR(E291&lt;=0,L291=0),0,E291-D291),"")</f>
        <v>12</v>
      </c>
      <c r="H291" s="16" t="str">
        <f>IF(NOT(ISNUMBER(E291)),"销量或海外库存待补",IF(OR(E291&lt;=0,L291=0),IF(L291=0,"零日销，本批不发","本批无需补货"),IF(NOT(ISNUMBER(D291)),"国内库存待补",IF(D291=0,"国内无可用库存",IF(G291&gt;0,"先发国内现货","按建议量发货")))))</f>
        <v>国内无可用库存</v>
      </c>
      <c r="I291" s="28" t="n">
        <f>IF(AND(COUNT(Z291,AA291,AB291)=3,Z291&gt;=AA291,AA291&gt;=0,AB291=7),Z291-AA291,"")</f>
        <v>1</v>
      </c>
      <c r="J291" s="28" t="n">
        <f>IF(AND(COUNT(AF291,AG291,AH291)=3,AF291&gt;=AG291,AG291&gt;=0,AH291=14),AF291-AG291,"")</f>
        <v>4</v>
      </c>
      <c r="K291" s="28" t="n">
        <f>IF(AND(COUNT(AL291,AM291,AN291)=3,AL291&gt;=AM291,AM291&gt;=0,AN291=30),AL291-AM291,"")</f>
        <v>4</v>
      </c>
      <c r="L291" s="29" t="n">
        <f>IF(ISNUMBER(BI291),BI291/90,"")</f>
        <v>0.12440225462438848</v>
      </c>
      <c r="M291" s="28" t="n">
        <v>0</v>
      </c>
      <c r="N291" s="28" t="n">
        <v>0</v>
      </c>
      <c r="O291" s="28" t="n">
        <v>0</v>
      </c>
      <c r="P291" s="30" t="n">
        <f>IF(AND(ISNUMBER(L291),L291&gt;0,COUNT(M291:O291)=3,MIN(M291:O291)&gt;=0),SUM(M291:O291)/L291,"")</f>
        <v>0</v>
      </c>
      <c r="Q291" s="16" t="str">
        <v>沿用同SPU原计划店铺</v>
      </c>
      <c r="R291" s="16" t="str">
        <v>已匹配</v>
      </c>
      <c r="S291" s="16" t="str">
        <v>停售</v>
      </c>
      <c r="T291" s="16" t="str">
        <v>S02a</v>
      </c>
      <c r="U291" s="16" t="str">
        <v>裸色</v>
      </c>
      <c r="V291" s="16" t="n">
        <v>9.5</v>
      </c>
      <c r="W291" s="8" t="str">
        <v>2026-10-09 至 2026-10-17</v>
      </c>
      <c r="X291" s="8" t="str">
        <v>2026-10-09、2026-10-10、2026-10-11、2026-10-12、2026-10-14、2026-10-15、2026-10-17</v>
      </c>
      <c r="Y291" s="8" t="str">
        <v>2026-10-13 有记录的停售日；2026-10-16 有记录的停售日</v>
      </c>
      <c r="Z291" s="8" t="n">
        <v>1</v>
      </c>
      <c r="AA291" s="8" t="n">
        <v>0</v>
      </c>
      <c r="AB291" s="8" t="n">
        <v>7</v>
      </c>
      <c r="AC291" s="8" t="str">
        <v>2026-09-30 至 2026-10-17</v>
      </c>
      <c r="AD291" s="8" t="str">
        <v>2026-09-30、2026-10-01、2026-10-02、2026-10-03、2026-10-04、2026-10-05、2026-10-08、2026-10-09、2026-10-10、2026-10-11、2026-10-12、2026-10-14、2026-10-15、2026-10-17</v>
      </c>
      <c r="AE291" s="8" t="str">
        <v>2026-10-06 大促；2026-10-07 大促；2026-10-13 有记录的停售日；2026-10-16 有记录的停售日</v>
      </c>
      <c r="AF291" s="8" t="n">
        <v>4</v>
      </c>
      <c r="AG291" s="8" t="n">
        <v>0</v>
      </c>
      <c r="AH291" s="8" t="n">
        <v>14</v>
      </c>
      <c r="AI291" s="8" t="str">
        <v>2026-09-14 至 2026-10-17</v>
      </c>
      <c r="AJ291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-14、2026-10-15、2026-10-17</v>
      </c>
      <c r="AK291" s="8" t="str">
        <v>2026-10-06 大促；2026-10-07 大促；2026-10-13 有记录的停售日；2026-10-16 有记录的停售日</v>
      </c>
      <c r="AL291" s="8" t="n">
        <v>4</v>
      </c>
      <c r="AM291" s="8" t="n">
        <v>0</v>
      </c>
      <c r="AN291" s="8" t="n">
        <v>30</v>
      </c>
      <c r="AO291" s="8" t="str">
        <v>S02a / 裸色 / 6574</v>
      </c>
      <c r="AP291" s="11" t="n">
        <v>0.7647664488148722</v>
      </c>
      <c r="AQ291" s="11" t="n">
        <v>0.770743421373113</v>
      </c>
      <c r="AR291" s="11" t="n">
        <v>0.8121837644435831</v>
      </c>
      <c r="AS291" s="11" t="n">
        <f>IF(AND(COUNT(I291:K291,AP291:AR291)=6,MIN(AP291:AR291)&gt;0),I291/7/AP291*0.5+J291/14/AQ291*0.3+K291/30/AR291*0.2,"")</f>
        <v>0.23744237094059503</v>
      </c>
      <c r="AT291" s="8" t="n">
        <v>4</v>
      </c>
      <c r="AU291" s="8" t="n">
        <v>0</v>
      </c>
      <c r="AV291" s="8" t="n">
        <v>86</v>
      </c>
      <c r="AW291" s="11" t="n">
        <f>IF(AND(COUNT(AT291:AV291)=3,AT291&gt;=AU291,AU291&gt;=0,AV291&gt;0),(AT291-AU291)/AV291,"")</f>
        <v>0.046511627906976744</v>
      </c>
      <c r="AX291" s="8" t="n">
        <v>4</v>
      </c>
      <c r="AY291" s="8" t="n">
        <v>0</v>
      </c>
      <c r="AZ291" s="8" t="n">
        <v>176</v>
      </c>
      <c r="BA291" s="11" t="n">
        <f>IF(AND(COUNT(AX291:AZ291)=3,AX291&gt;=AY291,AY291&gt;=0,AZ291&gt;0),(AX291-AY291)/AZ291,"")</f>
        <v>0.022727272727272728</v>
      </c>
      <c r="BB291" s="8" t="n">
        <f>IF(COUNT(AS291,AW291,BA291)=3,1,0)</f>
        <v>1</v>
      </c>
      <c r="BC291" s="11" t="n">
        <f>IF(SUMIF($AO$11:$AO$1309,AO291,$BB$11:$BB$1309)=COUNTIF($AO$11:$AO$1309,AO291),SUMIF($AO$11:$AO$1309,AO291,$AS$11:$AS$1309),"")</f>
        <v>1.7214890010212096</v>
      </c>
      <c r="BD291" s="11" t="n">
        <f>IF(SUMIF($AO$11:$AO$1309,AO291,$BB$11:$BB$1309)=COUNTIF($AO$11:$AO$1309,AO291),SUMIF($AO$11:$AO$1309,AO291,$AW$11:$AW$1309),"")</f>
        <v>0.7169661733615222</v>
      </c>
      <c r="BE291" s="11" t="n">
        <f>IF(SUMIF($AO$11:$AO$1309,AO291,$BB$11:$BB$1309)=COUNTIF($AO$11:$AO$1309,AO291),SUMIF($AO$11:$AO$1309,AO291,$BA$11:$BA$1309),"")</f>
        <v>0.6069969356486209</v>
      </c>
      <c r="BF291" s="12" t="n">
        <f>IF(COUNT(BD291:BE291)&lt;&gt;2,"",IF(AND(BD291&gt;0,BE291&gt;0),0.7*AW291/BD291+0.3*BA291/BE291,IF(BD291&gt;0,AW291/BD291,IF(BE291&gt;0,BA291/BE291,IF(AND(ISNUMBER(BH291),BH291=0),0,"")))))</f>
        <v>0.056643630343066874</v>
      </c>
      <c r="BG291" s="11" t="n">
        <f>IF(AND(COUNT(BN291:BU291)=8,MIN(BN291:BU291)&gt;=0),SUMPRODUCT(BN291:BQ291,BR291:BU291),"")</f>
        <v>114.81944114457707</v>
      </c>
      <c r="BH291" s="11" t="n">
        <f>IF(COUNT(BC291,BG291)=2,BC291*BG291,"")</f>
        <v>197.66040503379156</v>
      </c>
      <c r="BI291" s="11" t="n">
        <f>IF(ISNUMBER(CI291),CI291,"")</f>
        <v>11.196202916194963</v>
      </c>
      <c r="BJ291" s="8" t="str"/>
      <c r="BK291" s="8" t="str">
        <v>90天：2026-07-20 至 2026-10-17；180天：2026-04-21 至 2026-10-17</v>
      </c>
      <c r="BL291" s="8" t="str">
        <v>90天：2026-10-06、2026-10-07、2026-10-13、2026-10-16；180天：2026-10-06、2026-10-07、2026-10-13、2026-10-16</v>
      </c>
      <c r="BM291" s="8" t="str">
        <v>2026-10：12天 × 0.7647664488148722；2026-11：30天 × 1.5248287781391903；2026-12：31天 × 1.2288250057360348；2027-01：17天 × 1.2825767786356366</v>
      </c>
      <c r="BN291" s="11" t="n">
        <v>0.7647664488148722</v>
      </c>
      <c r="BO291" s="11" t="n">
        <v>1.5248287781391903</v>
      </c>
      <c r="BP291" s="11" t="n">
        <v>1.2288250057360348</v>
      </c>
      <c r="BQ291" s="11" t="n">
        <v>1.2825767786356366</v>
      </c>
      <c r="BR291" s="8" t="n">
        <v>12</v>
      </c>
      <c r="BS291" s="8" t="n">
        <v>30</v>
      </c>
      <c r="BT291" s="8" t="n">
        <v>31</v>
      </c>
      <c r="BU291" s="8" t="n">
        <v>17</v>
      </c>
      <c r="BV291" s="11" t="n">
        <f>IF(COUNT(BC291,BF291)=2,BC291*BF291,"")</f>
        <v>0.09751138661350087</v>
      </c>
      <c r="BW291" s="11" t="n">
        <f>IF(ISNUMBER(BN291),BN291,"")</f>
        <v>0.7647664488148722</v>
      </c>
      <c r="BX291" s="14" t="n">
        <f>IF(ISNUMBER(BR291),BR291,"")</f>
        <v>12</v>
      </c>
      <c r="BY291" s="13" t="n">
        <f>IF(AND(COUNT(BV291,BW291,BX291)=3,MIN(BV291,BW291,BX291)&gt;=0),BV291*BW291*BX291,"")</f>
        <v>0.8948812423130534</v>
      </c>
      <c r="BZ291" s="11" t="n">
        <f>IF(ISNUMBER(BO291),BO291,"")</f>
        <v>1.5248287781391903</v>
      </c>
      <c r="CA291" s="14" t="n">
        <f>IF(ISNUMBER(BS291),BS291,"")</f>
        <v>30</v>
      </c>
      <c r="CB291" s="13" t="n">
        <f>IF(AND(COUNT(BV291,BZ291,CA291)=3,MIN(BV291,BZ291,CA291)&gt;=0),BV291*BZ291*CA291,"")</f>
        <v>4.460645055135681</v>
      </c>
      <c r="CC291" s="11" t="n">
        <f>IF(ISNUMBER(BP291),BP291,"")</f>
        <v>1.2288250057360348</v>
      </c>
      <c r="CD291" s="14" t="n">
        <f>IF(ISNUMBER(BT291),BT291,"")</f>
        <v>31</v>
      </c>
      <c r="CE291" s="13" t="n">
        <f>IF(AND(COUNT(BV291,CC291,CD291)=3,MIN(BV291,CC291,CD291)&gt;=0),BV291*CC291*CD291,"")</f>
        <v>3.714557336654581</v>
      </c>
      <c r="CF291" s="11" t="n">
        <f>IF(ISNUMBER(BQ291),BQ291,"")</f>
        <v>1.2825767786356366</v>
      </c>
      <c r="CG291" s="14" t="n">
        <f>IF(ISNUMBER(BU291),BU291,"")</f>
        <v>17</v>
      </c>
      <c r="CH291" s="13" t="n">
        <f>IF(AND(COUNT(BV291,CF291,CG291)=3,MIN(BV291,CF291,CG291)&gt;=0),BV291*CF291*CG291,"")</f>
        <v>2.126119282091647</v>
      </c>
      <c r="CI291" s="13" t="n">
        <f>IF(COUNT(BY291,CB291,CE291,CH291)=4,SUM(BY291,CB291,CE291,CH291),"")</f>
        <v>11.196202916194963</v>
      </c>
    </row>
    <row r="292" ht="72" customHeight="1">
      <c r="A292" s="16" t="str">
        <v>8392-NY-S-K-39</v>
      </c>
      <c r="B292" s="16" t="str">
        <v>3店-SANDIEX-US</v>
      </c>
      <c r="C292" s="16" t="str">
        <v>徐新怡</v>
      </c>
      <c r="D292" s="26" t="n">
        <f>IF(NOT(ISNUMBER(E292)),"",IF(OR(E292&lt;=0,L292=0),0,IF(OR(NOT(ISNUMBER(F292)),F292&lt;0),"",MIN(E292,INT(F292)))))</f>
        <v>0</v>
      </c>
      <c r="E292" s="27" t="n">
        <f>IF(OR(NOT(ISNUMBER(L292)),COUNT(M292:O292)&lt;&gt;3,MIN(M292:O292)&lt;0),"",ROUNDUP(ROUND(BI292-SUM(M292:O292),10),0))</f>
        <v>11</v>
      </c>
      <c r="F292" s="28" t="n">
        <v>0</v>
      </c>
      <c r="G292" s="28" t="n">
        <f>IF(AND(ISNUMBER(D292),ISNUMBER(E292)),IF(OR(E292&lt;=0,L292=0),0,E292-D292),"")</f>
        <v>11</v>
      </c>
      <c r="H292" s="16" t="str">
        <f>IF(NOT(ISNUMBER(E292)),"销量或海外库存待补",IF(OR(E292&lt;=0,L292=0),IF(L292=0,"零日销，本批不发","本批无需补货"),IF(NOT(ISNUMBER(D292)),"国内库存待补",IF(D292=0,"国内无可用库存",IF(G292&gt;0,"先发国内现货","按建议量发货")))))</f>
        <v>国内无可用库存</v>
      </c>
      <c r="I292" s="28" t="n">
        <f>IF(AND(COUNT(Z292,AA292,AB292)=3,Z292&gt;=AA292,AA292&gt;=0,AB292=7),Z292-AA292,"")</f>
        <v>1</v>
      </c>
      <c r="J292" s="28" t="n">
        <f>IF(AND(COUNT(AF292,AG292,AH292)=3,AF292&gt;=AG292,AG292&gt;=0,AH292=14),AF292-AG292,"")</f>
        <v>1</v>
      </c>
      <c r="K292" s="28" t="n">
        <f>IF(AND(COUNT(AL292,AM292,AN292)=3,AL292&gt;=AM292,AM292&gt;=0,AN292=30),AL292-AM292,"")</f>
        <v>1</v>
      </c>
      <c r="L292" s="29" t="n">
        <f>IF(ISNUMBER(BI292),BI292/90,"")</f>
        <v>0.11441929820259457</v>
      </c>
      <c r="M292" s="28" t="n">
        <v>0</v>
      </c>
      <c r="N292" s="28" t="n">
        <v>0</v>
      </c>
      <c r="O292" s="28" t="n">
        <v>0</v>
      </c>
      <c r="P292" s="30" t="n">
        <f>IF(AND(ISNUMBER(L292),L292&gt;0,COUNT(M292:O292)=3,MIN(M292:O292)&gt;=0),SUM(M292:O292)/L292,"")</f>
        <v>0</v>
      </c>
      <c r="Q292" s="16" t="str">
        <v>新增SPU唯一在售店铺</v>
      </c>
      <c r="R292" s="16" t="str">
        <v>已匹配</v>
      </c>
      <c r="S292" s="16" t="str">
        <v>停售</v>
      </c>
      <c r="T292" s="16" t="str">
        <v>8392</v>
      </c>
      <c r="U292" s="16" t="str">
        <v>藏青色</v>
      </c>
      <c r="V292" s="16" t="n">
        <v>8</v>
      </c>
      <c r="W292" s="8" t="str">
        <v>2026-10-08 至 2026-10-17</v>
      </c>
      <c r="X292" s="8" t="str">
        <v>2026-10-08、2026-10-09、2026-10-10、2026-10-11、2026-10-14、2026-10-15、2026-10-17</v>
      </c>
      <c r="Y292" s="8" t="str">
        <v>2026-10-12 有记录的停售日；2026-10-13 有记录的停售日；2026-10-16 有记录的停售日</v>
      </c>
      <c r="Z292" s="8" t="n">
        <v>1</v>
      </c>
      <c r="AA292" s="8" t="n">
        <v>0</v>
      </c>
      <c r="AB292" s="8" t="n">
        <v>7</v>
      </c>
      <c r="AC292" s="8" t="str">
        <v>2026-09-29 至 2026-10-17</v>
      </c>
      <c r="AD292" s="8" t="str">
        <v>2026-09-29、2026-09-30、2026-10-01、2026-10-02、2026-10-03、2026-10-04、2026-10-05、2026-10-08、2026-10-09、2026-10-10、2026-10-11、2026-10-14、2026-10-15、2026-10-17</v>
      </c>
      <c r="AE292" s="8" t="str">
        <v>2026-10-06 大促；2026-10-07 大促；2026-10-12 有记录的停售日；2026-10-13 有记录的停售日；2026-10-16 有记录的停售日</v>
      </c>
      <c r="AF292" s="8" t="n">
        <v>1</v>
      </c>
      <c r="AG292" s="8" t="n">
        <v>0</v>
      </c>
      <c r="AH292" s="8" t="n">
        <v>14</v>
      </c>
      <c r="AI292" s="8" t="str">
        <v>2026-09-13 至 2026-10-17</v>
      </c>
      <c r="AJ2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92" s="8" t="str">
        <v>2026-10-06 大促；2026-10-07 大促；2026-10-12 有记录的停售日；2026-10-13 有记录的停售日；2026-10-16 有记录的停售日</v>
      </c>
      <c r="AL292" s="8" t="n">
        <v>1</v>
      </c>
      <c r="AM292" s="8" t="n">
        <v>0</v>
      </c>
      <c r="AN292" s="8" t="n">
        <v>30</v>
      </c>
      <c r="AO292" s="8" t="str">
        <v>8392 / 藏青色羊京绒 / 6574</v>
      </c>
      <c r="AP292" s="11" t="n">
        <v>1.1743420411079069</v>
      </c>
      <c r="AQ292" s="11" t="n">
        <v>1.1657675792110538</v>
      </c>
      <c r="AR292" s="11" t="n">
        <v>1.138329301141124</v>
      </c>
      <c r="AS292" s="11" t="n">
        <f>IF(AND(COUNT(I292:K292,AP292:AR292)=6,MIN(AP292:AR292)&gt;0),I292/7/AP292*0.5+J292/14/AQ292*0.3+K292/30/AR292*0.2,"")</f>
        <v>0.08506238175818918</v>
      </c>
      <c r="AT292" s="8" t="n">
        <v>3</v>
      </c>
      <c r="AU292" s="8" t="n">
        <v>0</v>
      </c>
      <c r="AV292" s="8" t="n">
        <v>85</v>
      </c>
      <c r="AW292" s="11" t="n">
        <f>IF(AND(COUNT(AT292:AV292)=3,AT292&gt;=AU292,AU292&gt;=0,AV292&gt;0),(AT292-AU292)/AV292,"")</f>
        <v>0.03529411764705882</v>
      </c>
      <c r="AX292" s="8" t="n">
        <v>19</v>
      </c>
      <c r="AY292" s="8" t="n">
        <v>0</v>
      </c>
      <c r="AZ292" s="8" t="n">
        <v>175</v>
      </c>
      <c r="BA292" s="11" t="n">
        <f>IF(AND(COUNT(AX292:AZ292)=3,AX292&gt;=AY292,AY292&gt;=0,AZ292&gt;0),(AX292-AY292)/AZ292,"")</f>
        <v>0.10857142857142857</v>
      </c>
      <c r="BB292" s="8" t="n">
        <f>IF(COUNT(AS292,AW292,BA292)=3,1,0)</f>
        <v>1</v>
      </c>
      <c r="BC292" s="11" t="n">
        <f>IF(SUMIF($AO$11:$AO$1309,AO292,$BB$11:$BB$1309)=COUNTIF($AO$11:$AO$1309,AO292),SUMIF($AO$11:$AO$1309,AO292,$AS$11:$AS$1309),"")</f>
        <v>0.6185202058446071</v>
      </c>
      <c r="BD292" s="11" t="n">
        <f>IF(SUMIF($AO$11:$AO$1309,AO292,$BB$11:$BB$1309)=COUNTIF($AO$11:$AO$1309,AO292),SUMIF($AO$11:$AO$1309,AO292,$AW$11:$AW$1309),"")</f>
        <v>0.20655080213903745</v>
      </c>
      <c r="BE292" s="11" t="n">
        <f>IF(SUMIF($AO$11:$AO$1309,AO292,$BB$11:$BB$1309)=COUNTIF($AO$11:$AO$1309,AO292),SUMIF($AO$11:$AO$1309,AO292,$BA$11:$BA$1309),"")</f>
        <v>0.6192937399678973</v>
      </c>
      <c r="BF292" s="12" t="n">
        <f>IF(COUNT(BD292:BE292)&lt;&gt;2,"",IF(AND(BD292&gt;0,BE292&gt;0),0.7*AW292/BD292+0.3*BA292/BE292,IF(BD292&gt;0,AW292/BD292,IF(BE292&gt;0,BA292/BE292,IF(AND(ISNUMBER(BH292),BH292=0),0,"")))))</f>
        <v>0.17220612459253343</v>
      </c>
      <c r="BG292" s="11" t="n">
        <f>IF(AND(COUNT(BN292:BU292)=8,MIN(BN292:BU292)&gt;=0),SUMPRODUCT(BN292:BQ292,BR292:BU292),"")</f>
        <v>96.68059267618935</v>
      </c>
      <c r="BH292" s="11" t="n">
        <f>IF(COUNT(BC292,BG292)=2,BC292*BG292,"")</f>
        <v>59.79890008325525</v>
      </c>
      <c r="BI292" s="11" t="n">
        <f>IF(ISNUMBER(CI292),CI292,"")</f>
        <v>10.297736838233511</v>
      </c>
      <c r="BJ292" s="8" t="str"/>
      <c r="BK292" s="8" t="str">
        <v>90天：2026-07-20 至 2026-10-17；180天：2026-04-21 至 2026-10-17</v>
      </c>
      <c r="BL292" s="8" t="str">
        <v>90天：2026-10-06、2026-10-07、2026-10-12、2026-10-13、2026-10-16；180天：2026-10-06、2026-10-07、2026-10-12、2026-10-13、2026-10-16</v>
      </c>
      <c r="BM292" s="8" t="str">
        <v>2026-10：12天 × 1.1743420411079069；2026-11：30天 × 1.281694931279211；2026-12：31天 × 0.9007634642750235；2027-01：17天 × 0.9537631089407297</v>
      </c>
      <c r="BN292" s="11" t="n">
        <v>1.1743420411079069</v>
      </c>
      <c r="BO292" s="11" t="n">
        <v>1.281694931279211</v>
      </c>
      <c r="BP292" s="11" t="n">
        <v>0.9007634642750235</v>
      </c>
      <c r="BQ292" s="11" t="n">
        <v>0.9537631089407297</v>
      </c>
      <c r="BR292" s="8" t="n">
        <v>12</v>
      </c>
      <c r="BS292" s="8" t="n">
        <v>30</v>
      </c>
      <c r="BT292" s="8" t="n">
        <v>31</v>
      </c>
      <c r="BU292" s="8" t="n">
        <v>17</v>
      </c>
      <c r="BV292" s="11" t="n">
        <f>IF(COUNT(BC292,BF292)=2,BC292*BF292,"")</f>
        <v>0.10651296763067583</v>
      </c>
      <c r="BW292" s="11" t="n">
        <f>IF(ISNUMBER(BN292),BN292,"")</f>
        <v>1.1743420411079069</v>
      </c>
      <c r="BX292" s="14" t="n">
        <f>IF(ISNUMBER(BR292),BR292,"")</f>
        <v>12</v>
      </c>
      <c r="BY292" s="13" t="n">
        <f>IF(AND(COUNT(BV292,BW292,BX292)=3,MIN(BV292,BW292,BX292)&gt;=0),BV292*BW292*BX292,"")</f>
        <v>1.5009918697424194</v>
      </c>
      <c r="BZ292" s="11" t="n">
        <f>IF(ISNUMBER(BO292),BO292,"")</f>
        <v>1.281694931279211</v>
      </c>
      <c r="CA292" s="14" t="n">
        <f>IF(ISNUMBER(BS292),BS292,"")</f>
        <v>30</v>
      </c>
      <c r="CB292" s="13" t="n">
        <f>IF(AND(COUNT(BV292,BZ292,CA292)=3,MIN(BV292,BZ292,CA292)&gt;=0),BV292*BZ292*CA292,"")</f>
        <v>4.095513921832317</v>
      </c>
      <c r="CC292" s="11" t="n">
        <f>IF(ISNUMBER(BP292),BP292,"")</f>
        <v>0.9007634642750235</v>
      </c>
      <c r="CD292" s="14" t="n">
        <f>IF(ISNUMBER(BT292),BT292,"")</f>
        <v>31</v>
      </c>
      <c r="CE292" s="13" t="n">
        <f>IF(AND(COUNT(BV292,CC292,CD292)=3,MIN(BV292,CC292,CD292)&gt;=0),BV292*CC292*CD292,"")</f>
        <v>2.974232681109851</v>
      </c>
      <c r="CF292" s="11" t="n">
        <f>IF(ISNUMBER(BQ292),BQ292,"")</f>
        <v>0.9537631089407297</v>
      </c>
      <c r="CG292" s="14" t="n">
        <f>IF(ISNUMBER(BU292),BU292,"")</f>
        <v>17</v>
      </c>
      <c r="CH292" s="13" t="n">
        <f>IF(AND(COUNT(BV292,CF292,CG292)=3,MIN(BV292,CF292,CG292)&gt;=0),BV292*CF292*CG292,"")</f>
        <v>1.7269983655489236</v>
      </c>
      <c r="CI292" s="13" t="n">
        <f>IF(COUNT(BY292,CB292,CE292,CH292)=4,SUM(BY292,CB292,CE292,CH292),"")</f>
        <v>10.297736838233511</v>
      </c>
    </row>
    <row r="293" ht="72" customHeight="1">
      <c r="A293" s="16" t="str">
        <v>B06-BK-V-0-38</v>
      </c>
      <c r="B293" s="16" t="str">
        <v>1店-MUSSHOE-US</v>
      </c>
      <c r="C293" s="16" t="str">
        <v>艾年</v>
      </c>
      <c r="D293" s="26" t="n">
        <f>IF(NOT(ISNUMBER(E293)),"",IF(OR(E293&lt;=0,L293=0),0,IF(OR(NOT(ISNUMBER(F293)),F293&lt;0),"",MIN(E293,INT(F293)))))</f>
        <v>0</v>
      </c>
      <c r="E293" s="27" t="n">
        <f>IF(OR(NOT(ISNUMBER(L293)),COUNT(M293:O293)&lt;&gt;3,MIN(M293:O293)&lt;0),"",ROUNDUP(ROUND(BI293-SUM(M293:O293),10),0))</f>
        <v>11</v>
      </c>
      <c r="F293" s="28" t="n">
        <v>0</v>
      </c>
      <c r="G293" s="28" t="n">
        <f>IF(AND(ISNUMBER(D293),ISNUMBER(E293)),IF(OR(E293&lt;=0,L293=0),0,E293-D293),"")</f>
        <v>11</v>
      </c>
      <c r="H293" s="16" t="str">
        <f>IF(NOT(ISNUMBER(E293)),"销量或海外库存待补",IF(OR(E293&lt;=0,L293=0),IF(L293=0,"零日销，本批不发","本批无需补货"),IF(NOT(ISNUMBER(D293)),"国内库存待补",IF(D293=0,"国内无可用库存",IF(G293&gt;0,"先发国内现货","按建议量发货")))))</f>
        <v>国内无可用库存</v>
      </c>
      <c r="I293" s="28" t="n">
        <f>IF(AND(COUNT(Z293,AA293,AB293)=3,Z293&gt;=AA293,AA293&gt;=0,AB293=7),Z293-AA293,"")</f>
        <v>0</v>
      </c>
      <c r="J293" s="28" t="n">
        <f>IF(AND(COUNT(AF293,AG293,AH293)=3,AF293&gt;=AG293,AG293&gt;=0,AH293=14),AF293-AG293,"")</f>
        <v>0</v>
      </c>
      <c r="K293" s="28" t="n">
        <f>IF(AND(COUNT(AL293,AM293,AN293)=3,AL293&gt;=AM293,AM293&gt;=0,AN293=30),AL293-AM293,"")</f>
        <v>4</v>
      </c>
      <c r="L293" s="29" t="n">
        <f>IF(ISNUMBER(BI293),BI293/90,"")</f>
        <v>0.11778647430483817</v>
      </c>
      <c r="M293" s="28" t="n">
        <v>0</v>
      </c>
      <c r="N293" s="28" t="n">
        <v>0</v>
      </c>
      <c r="O293" s="28" t="n">
        <v>0</v>
      </c>
      <c r="P293" s="30" t="n">
        <f>IF(AND(ISNUMBER(L293),L293&gt;0,COUNT(M293:O293)=3,MIN(M293:O293)&gt;=0),SUM(M293:O293)/L293,"")</f>
        <v>0</v>
      </c>
      <c r="Q293" s="16" t="str">
        <v>沿用原计划SKU店铺</v>
      </c>
      <c r="R293" s="16" t="str">
        <v>已匹配</v>
      </c>
      <c r="S293" s="16" t="str">
        <v>停售</v>
      </c>
      <c r="T293" s="16" t="str">
        <v>B06</v>
      </c>
      <c r="U293" s="16" t="str">
        <v>黑色天鹅绒</v>
      </c>
      <c r="V293" s="16" t="n">
        <v>7</v>
      </c>
      <c r="W293" s="8" t="str">
        <v>2026-10-08 至 2026-10-17</v>
      </c>
      <c r="X293" s="8" t="str">
        <v>2026-10-08、2026-10-09、2026-10-10、2026-10-11、2026-10-14、2026-10-15、2026-10-17</v>
      </c>
      <c r="Y293" s="8" t="str">
        <v>2026-10-12 有记录的停售日；2026-10-13 有记录的停售日；2026-10-16 有记录的停售日</v>
      </c>
      <c r="Z293" s="8" t="n">
        <v>0</v>
      </c>
      <c r="AA293" s="8" t="n">
        <v>0</v>
      </c>
      <c r="AB293" s="8" t="n">
        <v>7</v>
      </c>
      <c r="AC293" s="8" t="str">
        <v>2026-09-29 至 2026-10-17</v>
      </c>
      <c r="AD293" s="8" t="str">
        <v>2026-09-29、2026-09-30、2026-10-01、2026-10-02、2026-10-03、2026-10-04、2026-10-05、2026-10-08、2026-10-09、2026-10-10、2026-10-11、2026-10-14、2026-10-15、2026-10-17</v>
      </c>
      <c r="AE293" s="8" t="str">
        <v>2026-10-06 大促；2026-10-07 大促；2026-10-12 有记录的停售日；2026-10-13 有记录的停售日；2026-10-16 有记录的停售日</v>
      </c>
      <c r="AF293" s="8" t="n">
        <v>1</v>
      </c>
      <c r="AG293" s="8" t="n">
        <v>1</v>
      </c>
      <c r="AH293" s="8" t="n">
        <v>14</v>
      </c>
      <c r="AI293" s="8" t="str">
        <v>2026-09-13 至 2026-10-17</v>
      </c>
      <c r="AJ29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93" s="8" t="str">
        <v>2026-10-06 大促；2026-10-07 大促；2026-10-12 有记录的停售日；2026-10-13 有记录的停售日；2026-10-16 有记录的停售日</v>
      </c>
      <c r="AL293" s="8" t="n">
        <v>5</v>
      </c>
      <c r="AM293" s="8" t="n">
        <v>1</v>
      </c>
      <c r="AN293" s="8" t="n">
        <v>30</v>
      </c>
      <c r="AO293" s="8" t="str">
        <v>B06 / 黑色羊京绒 / 13120</v>
      </c>
      <c r="AP293" s="11" t="n">
        <v>1.2247029157699902</v>
      </c>
      <c r="AQ293" s="11" t="n">
        <v>1.1929861014741694</v>
      </c>
      <c r="AR293" s="11" t="n">
        <v>1.0914922957275428</v>
      </c>
      <c r="AS293" s="11" t="n">
        <f>IF(AND(COUNT(I293:K293,AP293:AR293)=6,MIN(AP293:AR293)&gt;0),I293/7/AP293*0.5+J293/14/AQ293*0.3+K293/30/AR293*0.2,"")</f>
        <v>0.024431383319010777</v>
      </c>
      <c r="AT293" s="8" t="n">
        <v>14</v>
      </c>
      <c r="AU293" s="8" t="n">
        <v>1</v>
      </c>
      <c r="AV293" s="8" t="n">
        <v>85</v>
      </c>
      <c r="AW293" s="11" t="n">
        <f>IF(AND(COUNT(AT293:AV293)=3,AT293&gt;=AU293,AU293&gt;=0,AV293&gt;0),(AT293-AU293)/AV293,"")</f>
        <v>0.15294117647058825</v>
      </c>
      <c r="AX293" s="8" t="n">
        <v>23</v>
      </c>
      <c r="AY293" s="8" t="n">
        <v>1</v>
      </c>
      <c r="AZ293" s="8" t="n">
        <v>175</v>
      </c>
      <c r="BA293" s="11" t="n">
        <f>IF(AND(COUNT(AX293:AZ293)=3,AX293&gt;=AY293,AY293&gt;=0,AZ293&gt;0),(AX293-AY293)/AZ293,"")</f>
        <v>0.12571428571428572</v>
      </c>
      <c r="BB293" s="8" t="n">
        <f>IF(COUNT(AS293,AW293,BA293)=3,1,0)</f>
        <v>1</v>
      </c>
      <c r="BC293" s="11" t="n">
        <f>IF(SUMIF($AO$11:$AO$1309,AO293,$BB$11:$BB$1309)=COUNTIF($AO$11:$AO$1309,AO293),SUMIF($AO$11:$AO$1309,AO293,$AS$11:$AS$1309),"")</f>
        <v>11.479673646705146</v>
      </c>
      <c r="BD293" s="11" t="n">
        <f>IF(SUMIF($AO$11:$AO$1309,AO293,$BB$11:$BB$1309)=COUNTIF($AO$11:$AO$1309,AO293),SUMIF($AO$11:$AO$1309,AO293,$AW$11:$AW$1309),"")</f>
        <v>12.119251336898396</v>
      </c>
      <c r="BE293" s="11" t="n">
        <f>IF(SUMIF($AO$11:$AO$1309,AO293,$BB$11:$BB$1309)=COUNTIF($AO$11:$AO$1309,AO293),SUMIF($AO$11:$AO$1309,AO293,$BA$11:$BA$1309),"")</f>
        <v>10.255120385232745</v>
      </c>
      <c r="BF293" s="12" t="n">
        <f>IF(COUNT(BD293:BE293)&lt;&gt;2,"",IF(AND(BD293&gt;0,BE293&gt;0),0.7*AW293/BD293+0.3*BA293/BE293,IF(BD293&gt;0,AW293/BD293,IF(BE293&gt;0,BA293/BE293,IF(AND(ISNUMBER(BH293),BH293=0),0,"")))))</f>
        <v>0.012511387297078867</v>
      </c>
      <c r="BG293" s="11" t="n">
        <f>IF(AND(COUNT(BN293:BU293)=8,MIN(BN293:BU293)&gt;=0),SUMPRODUCT(BN293:BQ293,BR293:BU293),"")</f>
        <v>73.80791239847399</v>
      </c>
      <c r="BH293" s="11" t="n">
        <f>IF(COUNT(BC293,BG293)=2,BC293*BG293,"")</f>
        <v>847.2907468790838</v>
      </c>
      <c r="BI293" s="11" t="n">
        <f>IF(ISNUMBER(CI293),CI293,"")</f>
        <v>10.600782687435435</v>
      </c>
      <c r="BJ293" s="8" t="str">
        <v>低销提醒依据不完整</v>
      </c>
      <c r="BK293" s="8" t="str">
        <v>90天：2026-07-20 至 2026-10-17；180天：2026-04-21 至 2026-10-17</v>
      </c>
      <c r="BL293" s="8" t="str">
        <v>90天：2026-10-06、2026-10-07、2026-10-12、2026-10-13、2026-10-16；180天：2026-10-06、2026-10-07、2026-10-12、2026-10-13、2026-10-16</v>
      </c>
      <c r="BM293" s="8" t="str">
        <v>2026-10：12天 × 1.2247029157699902；2026-11：30天 × 0.8332682139098497；2026-12：31天 × 0.5511018253564084；2027-01：17天 × 1.0017220238758797</v>
      </c>
      <c r="BN293" s="11" t="n">
        <v>1.2247029157699902</v>
      </c>
      <c r="BO293" s="11" t="n">
        <v>0.8332682139098497</v>
      </c>
      <c r="BP293" s="11" t="n">
        <v>0.5511018253564084</v>
      </c>
      <c r="BQ293" s="11" t="n">
        <v>1.0017220238758797</v>
      </c>
      <c r="BR293" s="8" t="n">
        <v>12</v>
      </c>
      <c r="BS293" s="8" t="n">
        <v>30</v>
      </c>
      <c r="BT293" s="8" t="n">
        <v>31</v>
      </c>
      <c r="BU293" s="8" t="n">
        <v>17</v>
      </c>
      <c r="BV293" s="11" t="n">
        <f>IF(COUNT(BC293,BF293)=2,BC293*BF293,"")</f>
        <v>0.1436266430379978</v>
      </c>
      <c r="BW293" s="11" t="n">
        <f>IF(ISNUMBER(BN293),BN293,"")</f>
        <v>1.2247029157699902</v>
      </c>
      <c r="BX293" s="14" t="n">
        <f>IF(ISNUMBER(BR293),BR293,"")</f>
        <v>12</v>
      </c>
      <c r="BY293" s="13" t="n">
        <f>IF(AND(COUNT(BV293,BW293,BX293)=3,MIN(BV293,BW293,BX293)&gt;=0),BV293*BW293*BX293,"")</f>
        <v>2.1107996221306977</v>
      </c>
      <c r="BZ293" s="11" t="n">
        <f>IF(ISNUMBER(BO293),BO293,"")</f>
        <v>0.8332682139098497</v>
      </c>
      <c r="CA293" s="14" t="n">
        <f>IF(ISNUMBER(BS293),BS293,"")</f>
        <v>30</v>
      </c>
      <c r="CB293" s="13" t="n">
        <f>IF(AND(COUNT(BV293,BZ293,CA293)=3,MIN(BV293,BZ293,CA293)&gt;=0),BV293*BZ293*CA293,"")</f>
        <v>3.5903854894241993</v>
      </c>
      <c r="CC293" s="11" t="n">
        <f>IF(ISNUMBER(BP293),BP293,"")</f>
        <v>0.5511018253564084</v>
      </c>
      <c r="CD293" s="14" t="n">
        <f>IF(ISNUMBER(BT293),BT293,"")</f>
        <v>31</v>
      </c>
      <c r="CE293" s="13" t="n">
        <f>IF(AND(COUNT(BV293,CC293,CD293)=3,MIN(BV293,CC293,CD293)&gt;=0),BV293*CC293*CD293,"")</f>
        <v>2.45374005958967</v>
      </c>
      <c r="CF293" s="11" t="n">
        <f>IF(ISNUMBER(BQ293),BQ293,"")</f>
        <v>1.0017220238758797</v>
      </c>
      <c r="CG293" s="14" t="n">
        <f>IF(ISNUMBER(BU293),BU293,"")</f>
        <v>17</v>
      </c>
      <c r="CH293" s="13" t="n">
        <f>IF(AND(COUNT(BV293,CF293,CG293)=3,MIN(BV293,CF293,CG293)&gt;=0),BV293*CF293*CG293,"")</f>
        <v>2.4458575162908684</v>
      </c>
      <c r="CI293" s="13" t="n">
        <f>IF(COUNT(BY293,CB293,CE293,CH293)=4,SUM(BY293,CB293,CE293,CH293),"")</f>
        <v>10.600782687435435</v>
      </c>
    </row>
    <row r="294" ht="72" customHeight="1">
      <c r="A294" s="16" t="str">
        <v>32582-NY-40.5</v>
      </c>
      <c r="B294" s="16" t="str">
        <v>3店-SANDIEX-US</v>
      </c>
      <c r="C294" s="16" t="str">
        <v>徐新怡</v>
      </c>
      <c r="D294" s="26" t="n">
        <f>IF(NOT(ISNUMBER(E294)),"",IF(OR(E294&lt;=0,L294=0),0,IF(OR(NOT(ISNUMBER(F294)),F294&lt;0),"",MIN(E294,INT(F294)))))</f>
        <v>0</v>
      </c>
      <c r="E294" s="27" t="n">
        <f>IF(OR(NOT(ISNUMBER(L294)),COUNT(M294:O294)&lt;&gt;3,MIN(M294:O294)&lt;0),"",ROUNDUP(ROUND(BI294-SUM(M294:O294),10),0))</f>
        <v>10</v>
      </c>
      <c r="F294" s="28" t="n">
        <v>0</v>
      </c>
      <c r="G294" s="28" t="n">
        <f>IF(AND(ISNUMBER(D294),ISNUMBER(E294)),IF(OR(E294&lt;=0,L294=0),0,E294-D294),"")</f>
        <v>10</v>
      </c>
      <c r="H294" s="16" t="str">
        <f>IF(NOT(ISNUMBER(E294)),"销量或海外库存待补",IF(OR(E294&lt;=0,L294=0),IF(L294=0,"零日销，本批不发","本批无需补货"),IF(NOT(ISNUMBER(D294)),"国内库存待补",IF(D294=0,"国内无可用库存",IF(G294&gt;0,"先发国内现货","按建议量发货")))))</f>
        <v>国内无可用库存</v>
      </c>
      <c r="I294" s="28" t="n">
        <f>IF(AND(COUNT(Z294,AA294,AB294)=3,Z294&gt;=AA294,AA294&gt;=0,AB294=7),Z294-AA294,"")</f>
        <v>0</v>
      </c>
      <c r="J294" s="28" t="n">
        <f>IF(AND(COUNT(AF294,AG294,AH294)=3,AF294&gt;=AG294,AG294&gt;=0,AH294=14),AF294-AG294,"")</f>
        <v>0</v>
      </c>
      <c r="K294" s="28" t="n">
        <f>IF(AND(COUNT(AL294,AM294,AN294)=3,AL294&gt;=AM294,AM294&gt;=0,AN294=30),AL294-AM294,"")</f>
        <v>0</v>
      </c>
      <c r="L294" s="29" t="n">
        <f>IF(ISNUMBER(BI294),BI294/90,"")</f>
        <v>0.10760116351396715</v>
      </c>
      <c r="M294" s="28" t="n">
        <v>0</v>
      </c>
      <c r="N294" s="28" t="n">
        <v>0</v>
      </c>
      <c r="O294" s="28" t="n">
        <v>0</v>
      </c>
      <c r="P294" s="30" t="n">
        <f>IF(AND(ISNUMBER(L294),L294&gt;0,COUNT(M294:O294)=3,MIN(M294:O294)&gt;=0),SUM(M294:O294)/L294,"")</f>
        <v>0</v>
      </c>
      <c r="Q294" s="16" t="str">
        <v>沿用原计划SKU店铺</v>
      </c>
      <c r="R294" s="16" t="str">
        <v>已匹配</v>
      </c>
      <c r="S294" s="16" t="str">
        <v>停售</v>
      </c>
      <c r="T294" s="16" t="str">
        <v>32582</v>
      </c>
      <c r="U294" s="16" t="str">
        <v>藏青色</v>
      </c>
      <c r="V294" s="16" t="n">
        <v>9.5</v>
      </c>
      <c r="W294" s="8" t="str">
        <v>2026-10-08 至 2026-10-17</v>
      </c>
      <c r="X294" s="8" t="str">
        <v>2026-10-08、2026-10-09、2026-10-10、2026-10-11、2026-10-14、2026-10-15、2026-10-17</v>
      </c>
      <c r="Y294" s="8" t="str">
        <v>2026-10-12 有记录的停售日；2026-10-13 有记录的停售日；2026-10-16 有记录的停售日</v>
      </c>
      <c r="Z294" s="8" t="n">
        <v>0</v>
      </c>
      <c r="AA294" s="8" t="n">
        <v>0</v>
      </c>
      <c r="AB294" s="8" t="n">
        <v>7</v>
      </c>
      <c r="AC294" s="8" t="str">
        <v>2026-09-29 至 2026-10-17</v>
      </c>
      <c r="AD294" s="8" t="str">
        <v>2026-09-29、2026-09-30、2026-10-01、2026-10-02、2026-10-03、2026-10-04、2026-10-05、2026-10-08、2026-10-09、2026-10-10、2026-10-11、2026-10-14、2026-10-15、2026-10-17</v>
      </c>
      <c r="AE294" s="8" t="str">
        <v>2026-10-06 大促；2026-10-07 大促；2026-10-12 有记录的停售日；2026-10-13 有记录的停售日；2026-10-16 有记录的停售日</v>
      </c>
      <c r="AF294" s="8" t="n">
        <v>0</v>
      </c>
      <c r="AG294" s="8" t="n">
        <v>0</v>
      </c>
      <c r="AH294" s="8" t="n">
        <v>14</v>
      </c>
      <c r="AI294" s="8" t="str">
        <v>2026-09-13 至 2026-10-17</v>
      </c>
      <c r="AJ29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94" s="8" t="str">
        <v>2026-10-06 大促；2026-10-07 大促；2026-10-12 有记录的停售日；2026-10-13 有记录的停售日；2026-10-16 有记录的停售日</v>
      </c>
      <c r="AL294" s="8" t="n">
        <v>0</v>
      </c>
      <c r="AM294" s="8" t="n">
        <v>0</v>
      </c>
      <c r="AN294" s="8" t="n">
        <v>30</v>
      </c>
      <c r="AO294" s="8" t="str">
        <v>32582 / 藏青色羊京绒 / 6574</v>
      </c>
      <c r="AP294" s="11" t="n">
        <v>1.0395067087630607</v>
      </c>
      <c r="AQ294" s="11" t="n">
        <v>1.048428692110265</v>
      </c>
      <c r="AR294" s="11" t="n">
        <v>1.076979038821319</v>
      </c>
      <c r="AS294" s="11" t="n">
        <f>IF(AND(COUNT(I294:K294,AP294:AR294)=6,MIN(AP294:AR294)&gt;0),I294/7/AP294*0.5+J294/14/AQ294*0.3+K294/30/AR294*0.2,"")</f>
        <v>0</v>
      </c>
      <c r="AT294" s="8" t="n">
        <v>6</v>
      </c>
      <c r="AU294" s="8" t="n">
        <v>0</v>
      </c>
      <c r="AV294" s="8" t="n">
        <v>85</v>
      </c>
      <c r="AW294" s="11" t="n">
        <f>IF(AND(COUNT(AT294:AV294)=3,AT294&gt;=AU294,AU294&gt;=0,AV294&gt;0),(AT294-AU294)/AV294,"")</f>
        <v>0.07058823529411765</v>
      </c>
      <c r="AX294" s="8" t="n">
        <v>44</v>
      </c>
      <c r="AY294" s="8" t="n">
        <v>0</v>
      </c>
      <c r="AZ294" s="8" t="n">
        <v>175</v>
      </c>
      <c r="BA294" s="11" t="n">
        <f>IF(AND(COUNT(AX294:AZ294)=3,AX294&gt;=AY294,AY294&gt;=0,AZ294&gt;0),(AX294-AY294)/AZ294,"")</f>
        <v>0.25142857142857145</v>
      </c>
      <c r="BB294" s="8" t="n">
        <f>IF(COUNT(AS294,AW294,BA294)=3,1,0)</f>
        <v>1</v>
      </c>
      <c r="BC294" s="11" t="n">
        <f>IF(SUMIF($AO$11:$AO$1309,AO294,$BB$11:$BB$1309)=COUNTIF($AO$11:$AO$1309,AO294),SUMIF($AO$11:$AO$1309,AO294,$AS$11:$AS$1309),"")</f>
        <v>1.3720516715672233</v>
      </c>
      <c r="BD294" s="11" t="n">
        <f>IF(SUMIF($AO$11:$AO$1309,AO294,$BB$11:$BB$1309)=COUNTIF($AO$11:$AO$1309,AO294),SUMIF($AO$11:$AO$1309,AO294,$AW$11:$AW$1309),"")</f>
        <v>1.1959893048128343</v>
      </c>
      <c r="BE294" s="11" t="n">
        <f>IF(SUMIF($AO$11:$AO$1309,AO294,$BB$11:$BB$1309)=COUNTIF($AO$11:$AO$1309,AO294),SUMIF($AO$11:$AO$1309,AO294,$BA$11:$BA$1309),"")</f>
        <v>1.9519101123595508</v>
      </c>
      <c r="BF294" s="12" t="n">
        <f>IF(COUNT(BD294:BE294)&lt;&gt;2,"",IF(AND(BD294&gt;0,BE294&gt;0),0.7*AW294/BD294+0.3*BA294/BE294,IF(BD294&gt;0,AW294/BD294,IF(BE294&gt;0,BA294/BE294,IF(AND(ISNUMBER(BH294),BH294=0),0,"")))))</f>
        <v>0.07995801966608151</v>
      </c>
      <c r="BG294" s="11" t="n">
        <f>IF(AND(COUNT(BN294:BU294)=8,MIN(BN294:BU294)&gt;=0),SUMPRODUCT(BN294:BQ294,BR294:BU294),"")</f>
        <v>88.27281580841549</v>
      </c>
      <c r="BH294" s="11" t="n">
        <f>IF(COUNT(BC294,BG294)=2,BC294*BG294,"")</f>
        <v>121.11486448388209</v>
      </c>
      <c r="BI294" s="11" t="n">
        <f>IF(ISNUMBER(CI294),CI294,"")</f>
        <v>9.684104716257043</v>
      </c>
      <c r="BJ294" s="8" t="str"/>
      <c r="BK294" s="8" t="str">
        <v>90天：2026-07-20 至 2026-10-17；180天：2026-04-21 至 2026-10-17</v>
      </c>
      <c r="BL294" s="8" t="str">
        <v>90天：2026-10-06、2026-10-07、2026-10-12、2026-10-13、2026-10-16；180天：2026-10-06、2026-10-07、2026-10-12、2026-10-13、2026-10-16</v>
      </c>
      <c r="BM294" s="8" t="str">
        <v>2026-10：12天 × 1.0395067087630607；2026-11：30天 × 0.9890368360033146；2026-12：31天 × 0.7800796503018808；2027-01：17天 × 1.2908918272824135</v>
      </c>
      <c r="BN294" s="11" t="n">
        <v>1.0395067087630607</v>
      </c>
      <c r="BO294" s="11" t="n">
        <v>0.9890368360033146</v>
      </c>
      <c r="BP294" s="11" t="n">
        <v>0.7800796503018808</v>
      </c>
      <c r="BQ294" s="11" t="n">
        <v>1.2908918272824135</v>
      </c>
      <c r="BR294" s="8" t="n">
        <v>12</v>
      </c>
      <c r="BS294" s="8" t="n">
        <v>30</v>
      </c>
      <c r="BT294" s="8" t="n">
        <v>31</v>
      </c>
      <c r="BU294" s="8" t="n">
        <v>17</v>
      </c>
      <c r="BV294" s="11" t="n">
        <f>IF(COUNT(BC294,BF294)=2,BC294*BF294,"")</f>
        <v>0.10970653453805206</v>
      </c>
      <c r="BW294" s="11" t="n">
        <f>IF(ISNUMBER(BN294),BN294,"")</f>
        <v>1.0395067087630607</v>
      </c>
      <c r="BX294" s="14" t="n">
        <f>IF(ISNUMBER(BR294),BR294,"")</f>
        <v>12</v>
      </c>
      <c r="BY294" s="13" t="n">
        <f>IF(AND(COUNT(BV294,BW294,BX294)=3,MIN(BV294,BW294,BX294)&gt;=0),BV294*BW294*BX294,"")</f>
        <v>1.3684881437694185</v>
      </c>
      <c r="BZ294" s="11" t="n">
        <f>IF(ISNUMBER(BO294),BO294,"")</f>
        <v>0.9890368360033146</v>
      </c>
      <c r="CA294" s="14" t="n">
        <f>IF(ISNUMBER(BS294),BS294,"")</f>
        <v>30</v>
      </c>
      <c r="CB294" s="13" t="n">
        <f>IF(AND(COUNT(BV294,BZ294,CA294)=3,MIN(BV294,BZ294,CA294)&gt;=0),BV294*BZ294*CA294,"")</f>
        <v>3.2551141142521005</v>
      </c>
      <c r="CC294" s="11" t="n">
        <f>IF(ISNUMBER(BP294),BP294,"")</f>
        <v>0.7800796503018808</v>
      </c>
      <c r="CD294" s="14" t="n">
        <f>IF(ISNUMBER(BT294),BT294,"")</f>
        <v>31</v>
      </c>
      <c r="CE294" s="13" t="n">
        <f>IF(AND(COUNT(BV294,CC294,CD294)=3,MIN(BV294,CC294,CD294)&gt;=0),BV294*CC294*CD294,"")</f>
        <v>2.6529748880465203</v>
      </c>
      <c r="CF294" s="11" t="n">
        <f>IF(ISNUMBER(BQ294),BQ294,"")</f>
        <v>1.2908918272824135</v>
      </c>
      <c r="CG294" s="14" t="n">
        <f>IF(ISNUMBER(BU294),BU294,"")</f>
        <v>17</v>
      </c>
      <c r="CH294" s="13" t="n">
        <f>IF(AND(COUNT(BV294,CF294,CG294)=3,MIN(BV294,CF294,CG294)&gt;=0),BV294*CF294*CG294,"")</f>
        <v>2.407527570189003</v>
      </c>
      <c r="CI294" s="13" t="n">
        <f>IF(COUNT(BY294,CB294,CE294,CH294)=4,SUM(BY294,CB294,CE294,CH294),"")</f>
        <v>9.684104716257043</v>
      </c>
    </row>
    <row r="295" ht="72" customHeight="1">
      <c r="A295" s="16" t="str">
        <v>B06-TN-38.5</v>
      </c>
      <c r="B295" s="16" t="str">
        <v>1店-MUSSHOE-US</v>
      </c>
      <c r="C295" s="16" t="str">
        <v>艾年</v>
      </c>
      <c r="D295" s="26" t="n">
        <f>IF(NOT(ISNUMBER(E295)),"",IF(OR(E295&lt;=0,L295=0),0,IF(OR(NOT(ISNUMBER(F295)),F295&lt;0),"",MIN(E295,INT(F295)))))</f>
        <v>0</v>
      </c>
      <c r="E295" s="27" t="n">
        <f>IF(OR(NOT(ISNUMBER(L295)),COUNT(M295:O295)&lt;&gt;3,MIN(M295:O295)&lt;0),"",ROUNDUP(ROUND(BI295-SUM(M295:O295),10),0))</f>
        <v>10</v>
      </c>
      <c r="F295" s="28" t="n">
        <v>0</v>
      </c>
      <c r="G295" s="28" t="n">
        <f>IF(AND(ISNUMBER(D295),ISNUMBER(E295)),IF(OR(E295&lt;=0,L295=0),0,E295-D295),"")</f>
        <v>10</v>
      </c>
      <c r="H295" s="16" t="str">
        <f>IF(NOT(ISNUMBER(E295)),"销量或海外库存待补",IF(OR(E295&lt;=0,L295=0),IF(L295=0,"零日销，本批不发","本批无需补货"),IF(NOT(ISNUMBER(D295)),"国内库存待补",IF(D295=0,"国内无可用库存",IF(G295&gt;0,"先发国内现货","按建议量发货")))))</f>
        <v>国内无可用库存</v>
      </c>
      <c r="I295" s="28" t="n">
        <f>IF(AND(COUNT(Z295,AA295,AB295)=3,Z295&gt;=AA295,AA295&gt;=0,AB295=7),Z295-AA295,"")</f>
        <v>1</v>
      </c>
      <c r="J295" s="28" t="n">
        <f>IF(AND(COUNT(AF295,AG295,AH295)=3,AF295&gt;=AG295,AG295&gt;=0,AH295=14),AF295-AG295,"")</f>
        <v>1</v>
      </c>
      <c r="K295" s="28" t="n">
        <f>IF(AND(COUNT(AL295,AM295,AN295)=3,AL295&gt;=AM295,AM295&gt;=0,AN295=30),AL295-AM295,"")</f>
        <v>5</v>
      </c>
      <c r="L295" s="29" t="n">
        <f>IF(ISNUMBER(BI295),BI295/90,"")</f>
        <v>0.13026585019101866</v>
      </c>
      <c r="M295" s="28" t="n">
        <v>2</v>
      </c>
      <c r="N295" s="28" t="n">
        <v>0</v>
      </c>
      <c r="O295" s="28" t="n">
        <v>0</v>
      </c>
      <c r="P295" s="30" t="n">
        <f>IF(AND(ISNUMBER(L295),L295&gt;0,COUNT(M295:O295)=3,MIN(M295:O295)&gt;=0),SUM(M295:O295)/L295,"")</f>
        <v>15.353218031181994</v>
      </c>
      <c r="Q295" s="16" t="str">
        <v>沿用原计划SKU店铺</v>
      </c>
      <c r="R295" s="16" t="str">
        <v>已匹配</v>
      </c>
      <c r="S295" s="16" t="str">
        <v>在售</v>
      </c>
      <c r="T295" s="16" t="str">
        <v>B06</v>
      </c>
      <c r="U295" s="16" t="str">
        <v>驼色羊京绒</v>
      </c>
      <c r="V295" s="16" t="n">
        <v>7.5</v>
      </c>
      <c r="W295" s="8" t="str">
        <v>2026-10-09 至 2026-10-17</v>
      </c>
      <c r="X295" s="8" t="str">
        <v>2026-10-09、2026-10-10、2026-10-11、2026-10-14、2026-10-15、2026-10-16、2026-10-17</v>
      </c>
      <c r="Y295" s="8" t="str">
        <v>2026-10-12 有记录的停售日；2026-10-13 有记录的停售日</v>
      </c>
      <c r="Z295" s="8" t="n">
        <v>1</v>
      </c>
      <c r="AA295" s="8" t="n">
        <v>0</v>
      </c>
      <c r="AB295" s="8" t="n">
        <v>7</v>
      </c>
      <c r="AC295" s="8" t="str">
        <v>2026-09-30 至 2026-10-17</v>
      </c>
      <c r="AD295" s="8" t="str">
        <v>2026-09-30、2026-10-01、2026-10-02、2026-10-03、2026-10-04、2026-10-05、2026-10-08、2026-10-09、2026-10-10、2026-10-11、2026-10-14、2026-10-15、2026-10-16、2026-10-17</v>
      </c>
      <c r="AE295" s="8" t="str">
        <v>2026-10-06 大促；2026-10-07 大促；2026-10-12 有记录的停售日；2026-10-13 有记录的停售日</v>
      </c>
      <c r="AF295" s="8" t="n">
        <v>1</v>
      </c>
      <c r="AG295" s="8" t="n">
        <v>0</v>
      </c>
      <c r="AH295" s="8" t="n">
        <v>14</v>
      </c>
      <c r="AI295" s="8" t="str">
        <v>2026-09-14 至 2026-10-17</v>
      </c>
      <c r="AJ295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295" s="8" t="str">
        <v>2026-10-06 大促；2026-10-07 大促；2026-10-12 有记录的停售日；2026-10-13 有记录的停售日</v>
      </c>
      <c r="AL295" s="8" t="n">
        <v>5</v>
      </c>
      <c r="AM295" s="8" t="n">
        <v>0</v>
      </c>
      <c r="AN295" s="8" t="n">
        <v>30</v>
      </c>
      <c r="AO295" s="8" t="str">
        <v>B06 / 驼色羊京绒 / 13120</v>
      </c>
      <c r="AP295" s="11" t="n">
        <v>1.2247029157699902</v>
      </c>
      <c r="AQ295" s="11" t="n">
        <v>1.2088445086220798</v>
      </c>
      <c r="AR295" s="11" t="n">
        <v>1.0988928857299007</v>
      </c>
      <c r="AS295" s="11" t="n">
        <f>IF(AND(COUNT(I295:K295,AP295:AR295)=6,MIN(AP295:AR295)&gt;0),I295/7/AP295*0.5+J295/14/AQ295*0.3+K295/30/AR295*0.2,"")</f>
        <v>0.1063832334573967</v>
      </c>
      <c r="AT295" s="8" t="n">
        <v>12</v>
      </c>
      <c r="AU295" s="8" t="n">
        <v>0</v>
      </c>
      <c r="AV295" s="8" t="n">
        <v>86</v>
      </c>
      <c r="AW295" s="11" t="n">
        <f>IF(AND(COUNT(AT295:AV295)=3,AT295&gt;=AU295,AU295&gt;=0,AV295&gt;0),(AT295-AU295)/AV295,"")</f>
        <v>0.13953488372093023</v>
      </c>
      <c r="AX295" s="8" t="n">
        <v>24</v>
      </c>
      <c r="AY295" s="8" t="n">
        <v>0</v>
      </c>
      <c r="AZ295" s="8" t="n">
        <v>176</v>
      </c>
      <c r="BA295" s="11" t="n">
        <f>IF(AND(COUNT(AX295:AZ295)=3,AX295&gt;=AY295,AY295&gt;=0,AZ295&gt;0),(AX295-AY295)/AZ295,"")</f>
        <v>0.13636363636363635</v>
      </c>
      <c r="BB295" s="8" t="n">
        <f>IF(COUNT(AS295,AW295,BA295)=3,1,0)</f>
        <v>1</v>
      </c>
      <c r="BC295" s="11" t="n">
        <f>IF(SUMIF($AO$11:$AO$1309,AO295,$BB$11:$BB$1309)=COUNTIF($AO$11:$AO$1309,AO295),SUMIF($AO$11:$AO$1309,AO295,$AS$11:$AS$1309),"")</f>
        <v>1.8230945493885915</v>
      </c>
      <c r="BD295" s="11" t="n">
        <f>IF(SUMIF($AO$11:$AO$1309,AO295,$BB$11:$BB$1309)=COUNTIF($AO$11:$AO$1309,AO295),SUMIF($AO$11:$AO$1309,AO295,$AW$11:$AW$1309),"")</f>
        <v>1.6395348837209305</v>
      </c>
      <c r="BE295" s="11" t="n">
        <f>IF(SUMIF($AO$11:$AO$1309,AO295,$BB$11:$BB$1309)=COUNTIF($AO$11:$AO$1309,AO295),SUMIF($AO$11:$AO$1309,AO295,$BA$11:$BA$1309),"")</f>
        <v>1.4846782431052095</v>
      </c>
      <c r="BF295" s="12" t="n">
        <f>IF(COUNT(BD295:BE295)&lt;&gt;2,"",IF(AND(BD295&gt;0,BE295&gt;0),0.7*AW295/BD295+0.3*BA295/BE295,IF(BD295&gt;0,AW295/BD295,IF(BE295&gt;0,BA295/BE295,IF(AND(ISNUMBER(BH295),BH295=0),0,"")))))</f>
        <v>0.08712864765166983</v>
      </c>
      <c r="BG295" s="11" t="n">
        <f>IF(AND(COUNT(BN295:BU295)=8,MIN(BN295:BU295)&gt;=0),SUMPRODUCT(BN295:BQ295,BR295:BU295),"")</f>
        <v>73.80791239847399</v>
      </c>
      <c r="BH295" s="11" t="n">
        <f>IF(COUNT(BC295,BG295)=2,BC295*BG295,"")</f>
        <v>134.55880279540858</v>
      </c>
      <c r="BI295" s="11" t="n">
        <f>IF(ISNUMBER(CI295),CI295,"")</f>
        <v>11.723926517191678</v>
      </c>
      <c r="BJ295" s="8" t="str">
        <v>低销提醒依据不完整</v>
      </c>
      <c r="BK295" s="8" t="str">
        <v>90天：2026-07-20 至 2026-10-17；180天：2026-04-21 至 2026-10-17</v>
      </c>
      <c r="BL295" s="8" t="str">
        <v>90天：2026-10-06、2026-10-07、2026-10-12、2026-10-13；180天：2026-10-06、2026-10-07、2026-10-12、2026-10-13</v>
      </c>
      <c r="BM295" s="8" t="str">
        <v>2026-10：12天 × 1.2247029157699902；2026-11：30天 × 0.8332682139098497；2026-12：31天 × 0.5511018253564084；2027-01：17天 × 1.0017220238758797</v>
      </c>
      <c r="BN295" s="11" t="n">
        <v>1.2247029157699902</v>
      </c>
      <c r="BO295" s="11" t="n">
        <v>0.8332682139098497</v>
      </c>
      <c r="BP295" s="11" t="n">
        <v>0.5511018253564084</v>
      </c>
      <c r="BQ295" s="11" t="n">
        <v>1.0017220238758797</v>
      </c>
      <c r="BR295" s="8" t="n">
        <v>12</v>
      </c>
      <c r="BS295" s="8" t="n">
        <v>30</v>
      </c>
      <c r="BT295" s="8" t="n">
        <v>31</v>
      </c>
      <c r="BU295" s="8" t="n">
        <v>17</v>
      </c>
      <c r="BV295" s="11" t="n">
        <f>IF(COUNT(BC295,BF295)=2,BC295*BF295,"")</f>
        <v>0.15884376262935837</v>
      </c>
      <c r="BW295" s="11" t="n">
        <f>IF(ISNUMBER(BN295),BN295,"")</f>
        <v>1.2247029157699902</v>
      </c>
      <c r="BX295" s="14" t="n">
        <f>IF(ISNUMBER(BR295),BR295,"")</f>
        <v>12</v>
      </c>
      <c r="BY295" s="13" t="n">
        <f>IF(AND(COUNT(BV295,BW295,BX295)=3,MIN(BV295,BW295,BX295)&gt;=0),BV295*BW295*BX295,"")</f>
        <v>2.334437030928617</v>
      </c>
      <c r="BZ295" s="11" t="n">
        <f>IF(ISNUMBER(BO295),BO295,"")</f>
        <v>0.8332682139098497</v>
      </c>
      <c r="CA295" s="14" t="n">
        <f>IF(ISNUMBER(BS295),BS295,"")</f>
        <v>30</v>
      </c>
      <c r="CB295" s="13" t="n">
        <f>IF(AND(COUNT(BV295,BZ295,CA295)=3,MIN(BV295,BZ295,CA295)&gt;=0),BV295*BZ295*CA295,"")</f>
        <v>3.9707837513065676</v>
      </c>
      <c r="CC295" s="11" t="n">
        <f>IF(ISNUMBER(BP295),BP295,"")</f>
        <v>0.5511018253564084</v>
      </c>
      <c r="CD295" s="14" t="n">
        <f>IF(ISNUMBER(BT295),BT295,"")</f>
        <v>31</v>
      </c>
      <c r="CE295" s="13" t="n">
        <f>IF(AND(COUNT(BV295,CC295,CD295)=3,MIN(BV295,CC295,CD295)&gt;=0),BV295*CC295*CD295,"")</f>
        <v>2.7137117134771027</v>
      </c>
      <c r="CF295" s="11" t="n">
        <f>IF(ISNUMBER(BQ295),BQ295,"")</f>
        <v>1.0017220238758797</v>
      </c>
      <c r="CG295" s="14" t="n">
        <f>IF(ISNUMBER(BU295),BU295,"")</f>
        <v>17</v>
      </c>
      <c r="CH295" s="13" t="n">
        <f>IF(AND(COUNT(BV295,CF295,CG295)=3,MIN(BV295,CF295,CG295)&gt;=0),BV295*CF295*CG295,"")</f>
        <v>2.7049940214793917</v>
      </c>
      <c r="CI295" s="13" t="n">
        <f>IF(COUNT(BY295,CB295,CE295,CH295)=4,SUM(BY295,CB295,CE295,CH295),"")</f>
        <v>11.723926517191678</v>
      </c>
    </row>
    <row r="296" ht="72" customHeight="1">
      <c r="A296" s="16" t="str">
        <v>B06b-LP-37.5</v>
      </c>
      <c r="B296" s="16" t="str">
        <v>1店-MUSSHOE-US</v>
      </c>
      <c r="C296" s="16" t="str">
        <v>艾年</v>
      </c>
      <c r="D296" s="26" t="n">
        <f>IF(NOT(ISNUMBER(E296)),"",IF(OR(E296&lt;=0,L296=0),0,IF(OR(NOT(ISNUMBER(F296)),F296&lt;0),"",MIN(E296,INT(F296)))))</f>
        <v>0</v>
      </c>
      <c r="E296" s="27" t="n">
        <f>IF(OR(NOT(ISNUMBER(L296)),COUNT(M296:O296)&lt;&gt;3,MIN(M296:O296)&lt;0),"",ROUNDUP(ROUND(BI296-SUM(M296:O296),10),0))</f>
        <v>10</v>
      </c>
      <c r="F296" s="28" t="n">
        <v>0</v>
      </c>
      <c r="G296" s="28" t="n">
        <f>IF(AND(ISNUMBER(D296),ISNUMBER(E296)),IF(OR(E296&lt;=0,L296=0),0,E296-D296),"")</f>
        <v>10</v>
      </c>
      <c r="H296" s="16" t="str">
        <f>IF(NOT(ISNUMBER(E296)),"销量或海外库存待补",IF(OR(E296&lt;=0,L296=0),IF(L296=0,"零日销，本批不发","本批无需补货"),IF(NOT(ISNUMBER(D296)),"国内库存待补",IF(D296=0,"国内无可用库存",IF(G296&gt;0,"先发国内现货","按建议量发货")))))</f>
        <v>国内无可用库存</v>
      </c>
      <c r="I296" s="28" t="n">
        <f>IF(AND(COUNT(Z296,AA296,AB296)=3,Z296&gt;=AA296,AA296&gt;=0,AB296=7),Z296-AA296,"")</f>
        <v>0</v>
      </c>
      <c r="J296" s="28" t="n">
        <f>IF(AND(COUNT(AF296,AG296,AH296)=3,AF296&gt;=AG296,AG296&gt;=0,AH296=14),AF296-AG296,"")</f>
        <v>0</v>
      </c>
      <c r="K296" s="28" t="n">
        <f>IF(AND(COUNT(AL296,AM296,AN296)=3,AL296&gt;=AM296,AM296&gt;=0,AN296=30),AL296-AM296,"")</f>
        <v>1</v>
      </c>
      <c r="L296" s="29" t="n">
        <f>IF(ISNUMBER(BI296),BI296/90,"")</f>
        <v>0.10055698676470441</v>
      </c>
      <c r="M296" s="28" t="n">
        <v>0</v>
      </c>
      <c r="N296" s="28" t="n">
        <v>0</v>
      </c>
      <c r="O296" s="28" t="n">
        <v>0</v>
      </c>
      <c r="P296" s="30" t="n">
        <f>IF(AND(ISNUMBER(L296),L296&gt;0,COUNT(M296:O296)=3,MIN(M296:O296)&gt;=0),SUM(M296:O296)/L296,"")</f>
        <v>0</v>
      </c>
      <c r="Q296" s="16" t="str">
        <v>沿用原计划SKU店铺</v>
      </c>
      <c r="R296" s="16" t="str">
        <v>已匹配</v>
      </c>
      <c r="S296" s="16" t="str">
        <v>停售</v>
      </c>
      <c r="T296" s="16" t="str">
        <v>B06b</v>
      </c>
      <c r="U296" s="16" t="str">
        <v>豹纹羊京绒</v>
      </c>
      <c r="V296" s="16" t="n">
        <v>6.5</v>
      </c>
      <c r="W296" s="8" t="str">
        <v>2026-10-08 至 2026-10-17</v>
      </c>
      <c r="X296" s="8" t="str">
        <v>2026-10-08、2026-10-09、2026-10-10、2026-10-11、2026-10-14、2026-10-15、2026-10-17</v>
      </c>
      <c r="Y296" s="8" t="str">
        <v>2026-10-12 有记录的停售日；2026-10-13 有记录的停售日；2026-10-16 有记录的停售日</v>
      </c>
      <c r="Z296" s="8" t="n">
        <v>0</v>
      </c>
      <c r="AA296" s="8" t="n">
        <v>0</v>
      </c>
      <c r="AB296" s="8" t="n">
        <v>7</v>
      </c>
      <c r="AC296" s="8" t="str">
        <v>2026-09-29 至 2026-10-17</v>
      </c>
      <c r="AD296" s="8" t="str">
        <v>2026-09-29、2026-09-30、2026-10-01、2026-10-02、2026-10-03、2026-10-04、2026-10-05、2026-10-08、2026-10-09、2026-10-10、2026-10-11、2026-10-14、2026-10-15、2026-10-17</v>
      </c>
      <c r="AE296" s="8" t="str">
        <v>2026-10-06 大促；2026-10-07 大促；2026-10-12 有记录的停售日；2026-10-13 有记录的停售日；2026-10-16 有记录的停售日</v>
      </c>
      <c r="AF296" s="8" t="n">
        <v>0</v>
      </c>
      <c r="AG296" s="8" t="n">
        <v>0</v>
      </c>
      <c r="AH296" s="8" t="n">
        <v>14</v>
      </c>
      <c r="AI296" s="8" t="str">
        <v>2026-09-13 至 2026-10-17</v>
      </c>
      <c r="AJ29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296" s="8" t="str">
        <v>2026-10-06 大促；2026-10-07 大促；2026-10-12 有记录的停售日；2026-10-13 有记录的停售日；2026-10-16 有记录的停售日</v>
      </c>
      <c r="AL296" s="8" t="n">
        <v>1</v>
      </c>
      <c r="AM296" s="8" t="n">
        <v>0</v>
      </c>
      <c r="AN296" s="8" t="n">
        <v>30</v>
      </c>
      <c r="AO296" s="8" t="str">
        <v>B06b / 豹纹羊京绒 / 13120</v>
      </c>
      <c r="AP296" s="11" t="n">
        <v>1.1090677182221615</v>
      </c>
      <c r="AQ296" s="11" t="n">
        <v>1.0637680334742425</v>
      </c>
      <c r="AR296" s="11" t="n">
        <v>0.9188090422809019</v>
      </c>
      <c r="AS296" s="11" t="n">
        <f>IF(AND(COUNT(I296:K296,AP296:AR296)=6,MIN(AP296:AR296)&gt;0),I296/7/AP296*0.5+J296/14/AQ296*0.3+K296/30/AR296*0.2,"")</f>
        <v>0.007255769545015544</v>
      </c>
      <c r="AT296" s="8" t="n">
        <v>5</v>
      </c>
      <c r="AU296" s="8" t="n">
        <v>0</v>
      </c>
      <c r="AV296" s="8" t="n">
        <v>85</v>
      </c>
      <c r="AW296" s="11" t="n">
        <f>IF(AND(COUNT(AT296:AV296)=3,AT296&gt;=AU296,AU296&gt;=0,AV296&gt;0),(AT296-AU296)/AV296,"")</f>
        <v>0.058823529411764705</v>
      </c>
      <c r="AX296" s="8" t="n">
        <v>10</v>
      </c>
      <c r="AY296" s="8" t="n">
        <v>0</v>
      </c>
      <c r="AZ296" s="8" t="n">
        <v>175</v>
      </c>
      <c r="BA296" s="11" t="n">
        <f>IF(AND(COUNT(AX296:AZ296)=3,AX296&gt;=AY296,AY296&gt;=0,AZ296&gt;0),(AX296-AY296)/AZ296,"")</f>
        <v>0.05714285714285714</v>
      </c>
      <c r="BB296" s="8" t="n">
        <f>IF(COUNT(AS296,AW296,BA296)=3,1,0)</f>
        <v>1</v>
      </c>
      <c r="BC296" s="11" t="n">
        <f>IF(SUMIF($AO$11:$AO$1309,AO296,$BB$11:$BB$1309)=COUNTIF($AO$11:$AO$1309,AO296),SUMIF($AO$11:$AO$1309,AO296,$AS$11:$AS$1309),"")</f>
        <v>3.3094608435746915</v>
      </c>
      <c r="BD296" s="11" t="n">
        <f>IF(SUMIF($AO$11:$AO$1309,AO296,$BB$11:$BB$1309)=COUNTIF($AO$11:$AO$1309,AO296),SUMIF($AO$11:$AO$1309,AO296,$AW$11:$AW$1309),"")</f>
        <v>2.343716577540107</v>
      </c>
      <c r="BE296" s="11" t="n">
        <f>IF(SUMIF($AO$11:$AO$1309,AO296,$BB$11:$BB$1309)=COUNTIF($AO$11:$AO$1309,AO296),SUMIF($AO$11:$AO$1309,AO296,$BA$11:$BA$1309),"")</f>
        <v>1.5069662921348317</v>
      </c>
      <c r="BF296" s="12" t="n">
        <f>IF(COUNT(BD296:BE296)&lt;&gt;2,"",IF(AND(BD296&gt;0,BE296&gt;0),0.7*AW296/BD296+0.3*BA296/BE296,IF(BD296&gt;0,AW296/BD296,IF(BE296&gt;0,BA296/BE296,IF(AND(ISNUMBER(BH296),BH296=0),0,"")))))</f>
        <v>0.02894461826279815</v>
      </c>
      <c r="BG296" s="11" t="n">
        <f>IF(AND(COUNT(BN296:BU296)=8,MIN(BN296:BU296)&gt;=0),SUMPRODUCT(BN296:BQ296,BR296:BU296),"")</f>
        <v>94.47778160343367</v>
      </c>
      <c r="BH296" s="11" t="n">
        <f>IF(COUNT(BC296,BG296)=2,BC296*BG296,"")</f>
        <v>312.6705188043651</v>
      </c>
      <c r="BI296" s="11" t="n">
        <f>IF(ISNUMBER(CI296),CI296,"")</f>
        <v>9.050128808823397</v>
      </c>
      <c r="BJ296" s="8" t="str"/>
      <c r="BK296" s="8" t="str">
        <v>90天：2026-07-20 至 2026-10-17；180天：2026-04-21 至 2026-10-17</v>
      </c>
      <c r="BL296" s="8" t="str">
        <v>90天：2026-10-06、2026-10-07、2026-10-12、2026-10-13、2026-10-16；180天：2026-10-06、2026-10-07、2026-10-12、2026-10-13、2026-10-16</v>
      </c>
      <c r="BM296" s="8" t="str">
        <v>2026-10：12天 × 1.1090677182221615；2026-11：30天 × 1.0372741535934282；2026-12：31天 × 0.979949351738161；2027-01：17天 × 1.1571949690048173</v>
      </c>
      <c r="BN296" s="11" t="n">
        <v>1.1090677182221615</v>
      </c>
      <c r="BO296" s="11" t="n">
        <v>1.0372741535934282</v>
      </c>
      <c r="BP296" s="11" t="n">
        <v>0.979949351738161</v>
      </c>
      <c r="BQ296" s="11" t="n">
        <v>1.1571949690048173</v>
      </c>
      <c r="BR296" s="8" t="n">
        <v>12</v>
      </c>
      <c r="BS296" s="8" t="n">
        <v>30</v>
      </c>
      <c r="BT296" s="8" t="n">
        <v>31</v>
      </c>
      <c r="BU296" s="8" t="n">
        <v>17</v>
      </c>
      <c r="BV296" s="11" t="n">
        <f>IF(COUNT(BC296,BF296)=2,BC296*BF296,"")</f>
        <v>0.09579108077294739</v>
      </c>
      <c r="BW296" s="11" t="n">
        <f>IF(ISNUMBER(BN296),BN296,"")</f>
        <v>1.1090677182221615</v>
      </c>
      <c r="BX296" s="14" t="n">
        <f>IF(ISNUMBER(BR296),BR296,"")</f>
        <v>12</v>
      </c>
      <c r="BY296" s="13" t="n">
        <f>IF(AND(COUNT(BV296,BW296,BX296)=3,MIN(BV296,BW296,BX296)&gt;=0),BV296*BW296*BX296,"")</f>
        <v>1.2748655445466504</v>
      </c>
      <c r="BZ296" s="11" t="n">
        <f>IF(ISNUMBER(BO296),BO296,"")</f>
        <v>1.0372741535934282</v>
      </c>
      <c r="CA296" s="14" t="n">
        <f>IF(ISNUMBER(BS296),BS296,"")</f>
        <v>30</v>
      </c>
      <c r="CB296" s="13" t="n">
        <f>IF(AND(COUNT(BV296,BZ296,CA296)=3,MIN(BV296,BZ296,CA296)&gt;=0),BV296*BZ296*CA296,"")</f>
        <v>2.9808483669167614</v>
      </c>
      <c r="CC296" s="11" t="n">
        <f>IF(ISNUMBER(BP296),BP296,"")</f>
        <v>0.979949351738161</v>
      </c>
      <c r="CD296" s="14" t="n">
        <f>IF(ISNUMBER(BT296),BT296,"")</f>
        <v>31</v>
      </c>
      <c r="CE296" s="13" t="n">
        <f>IF(AND(COUNT(BV296,CC296,CD296)=3,MIN(BV296,CC296,CD296)&gt;=0),BV296*CC296*CD296,"")</f>
        <v>2.909982632678176</v>
      </c>
      <c r="CF296" s="11" t="n">
        <f>IF(ISNUMBER(BQ296),BQ296,"")</f>
        <v>1.1571949690048173</v>
      </c>
      <c r="CG296" s="14" t="n">
        <f>IF(ISNUMBER(BU296),BU296,"")</f>
        <v>17</v>
      </c>
      <c r="CH296" s="13" t="n">
        <f>IF(AND(COUNT(BV296,CF296,CG296)=3,MIN(BV296,CF296,CG296)&gt;=0),BV296*CF296*CG296,"")</f>
        <v>1.8844322646818097</v>
      </c>
      <c r="CI296" s="13" t="n">
        <f>IF(COUNT(BY296,CB296,CE296,CH296)=4,SUM(BY296,CB296,CE296,CH296),"")</f>
        <v>9.050128808823397</v>
      </c>
    </row>
    <row r="297" ht="72" customHeight="1">
      <c r="A297" s="16" t="str">
        <v>B06b-LP-40.5</v>
      </c>
      <c r="B297" s="16" t="str">
        <v>1店-MUSSHOE-US</v>
      </c>
      <c r="C297" s="16" t="str">
        <v>艾年</v>
      </c>
      <c r="D297" s="26" t="n">
        <f>IF(NOT(ISNUMBER(E297)),"",IF(OR(E297&lt;=0,L297=0),0,IF(OR(NOT(ISNUMBER(F297)),F297&lt;0),"",MIN(E297,INT(F297)))))</f>
        <v>0</v>
      </c>
      <c r="E297" s="27" t="n">
        <f>IF(OR(NOT(ISNUMBER(L297)),COUNT(M297:O297)&lt;&gt;3,MIN(M297:O297)&lt;0),"",ROUNDUP(ROUND(BI297-SUM(M297:O297),10),0))</f>
        <v>10</v>
      </c>
      <c r="F297" s="28" t="n">
        <v>0</v>
      </c>
      <c r="G297" s="28" t="n">
        <f>IF(AND(ISNUMBER(D297),ISNUMBER(E297)),IF(OR(E297&lt;=0,L297=0),0,E297-D297),"")</f>
        <v>10</v>
      </c>
      <c r="H297" s="16" t="str">
        <f>IF(NOT(ISNUMBER(E297)),"销量或海外库存待补",IF(OR(E297&lt;=0,L297=0),IF(L297=0,"零日销，本批不发","本批无需补货"),IF(NOT(ISNUMBER(D297)),"国内库存待补",IF(D297=0,"国内无可用库存",IF(G297&gt;0,"先发国内现货","按建议量发货")))))</f>
        <v>国内无可用库存</v>
      </c>
      <c r="I297" s="28" t="n">
        <f>IF(AND(COUNT(Z297,AA297,AB297)=3,Z297&gt;=AA297,AA297&gt;=0,AB297=7),Z297-AA297,"")</f>
        <v>1</v>
      </c>
      <c r="J297" s="28" t="n">
        <f>IF(AND(COUNT(AF297,AG297,AH297)=3,AF297&gt;=AG297,AG297&gt;=0,AH297=14),AF297-AG297,"")</f>
        <v>1</v>
      </c>
      <c r="K297" s="28" t="n">
        <f>IF(AND(COUNT(AL297,AM297,AN297)=3,AL297&gt;=AM297,AM297&gt;=0,AN297=30),AL297-AM297,"")</f>
        <v>1</v>
      </c>
      <c r="L297" s="29" t="n">
        <f>IF(ISNUMBER(BI297),BI297/90,"")</f>
        <v>0.10183031990111034</v>
      </c>
      <c r="M297" s="28" t="n">
        <v>0</v>
      </c>
      <c r="N297" s="28" t="n">
        <v>0</v>
      </c>
      <c r="O297" s="28" t="n">
        <v>0</v>
      </c>
      <c r="P297" s="30" t="n">
        <f>IF(AND(ISNUMBER(L297),L297&gt;0,COUNT(M297:O297)=3,MIN(M297:O297)&gt;=0),SUM(M297:O297)/L297,"")</f>
        <v>0</v>
      </c>
      <c r="Q297" s="16" t="str">
        <v>沿用原计划SKU店铺</v>
      </c>
      <c r="R297" s="16" t="str">
        <v>已匹配</v>
      </c>
      <c r="S297" s="16" t="str">
        <v>停售</v>
      </c>
      <c r="T297" s="16" t="str">
        <v>B06b</v>
      </c>
      <c r="U297" s="16" t="str">
        <v>豹纹羊京绒</v>
      </c>
      <c r="V297" s="16" t="n">
        <v>9.5</v>
      </c>
      <c r="W297" s="8" t="str">
        <v>2026-10-11 至 2026-10-17</v>
      </c>
      <c r="X297" s="8" t="str">
        <v>2026-10-11、2026-10-12、2026-10-13、2026-10-14、2026-10-15、2026-10-16、2026-10-17</v>
      </c>
      <c r="Y297" s="8" t="str">
        <v>无</v>
      </c>
      <c r="Z297" s="8" t="n">
        <v>1</v>
      </c>
      <c r="AA297" s="8" t="n">
        <v>0</v>
      </c>
      <c r="AB297" s="8" t="n">
        <v>7</v>
      </c>
      <c r="AC297" s="8" t="str">
        <v>2026-10-02 至 2026-10-17</v>
      </c>
      <c r="AD297" s="8" t="str">
        <v>2026-10-02、2026-10-03、2026-10-04、2026-10-05、2026-10-08、2026-10-09、2026-10-10、2026-10-11、2026-10-12、2026-10-13、2026-10-14、2026-10-15、2026-10-16、2026-10-17</v>
      </c>
      <c r="AE297" s="8" t="str">
        <v>2026-10-06 大促；2026-10-07 大促</v>
      </c>
      <c r="AF297" s="8" t="n">
        <v>1</v>
      </c>
      <c r="AG297" s="8" t="n">
        <v>0</v>
      </c>
      <c r="AH297" s="8" t="n">
        <v>14</v>
      </c>
      <c r="AI297" s="8" t="str">
        <v>2026-09-16 至 2026-10-17</v>
      </c>
      <c r="AJ2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97" s="8" t="str">
        <v>2026-10-06 大促；2026-10-07 大促</v>
      </c>
      <c r="AL297" s="8" t="n">
        <v>1</v>
      </c>
      <c r="AM297" s="8" t="n">
        <v>0</v>
      </c>
      <c r="AN297" s="8" t="n">
        <v>30</v>
      </c>
      <c r="AO297" s="8" t="str">
        <v>B06b / 豹纹羊京绒 / 13120</v>
      </c>
      <c r="AP297" s="11" t="n">
        <v>1.1090677182221615</v>
      </c>
      <c r="AQ297" s="11" t="n">
        <v>1.1090677182221615</v>
      </c>
      <c r="AR297" s="11" t="n">
        <v>0.9505188216044452</v>
      </c>
      <c r="AS297" s="11" t="n">
        <f>IF(AND(COUNT(I297:K297,AP297:AR297)=6,MIN(AP297:AR297)&gt;0),I297/7/AP297*0.5+J297/14/AQ297*0.3+K297/30/AR297*0.2,"")</f>
        <v>0.09073911755151678</v>
      </c>
      <c r="AT297" s="8" t="n">
        <v>6</v>
      </c>
      <c r="AU297" s="8" t="n">
        <v>0</v>
      </c>
      <c r="AV297" s="8" t="n">
        <v>88</v>
      </c>
      <c r="AW297" s="11" t="n">
        <f>IF(AND(COUNT(AT297:AV297)=3,AT297&gt;=AU297,AU297&gt;=0,AV297&gt;0),(AT297-AU297)/AV297,"")</f>
        <v>0.06818181818181818</v>
      </c>
      <c r="AX297" s="8" t="n">
        <v>8</v>
      </c>
      <c r="AY297" s="8" t="n">
        <v>0</v>
      </c>
      <c r="AZ297" s="8" t="n">
        <v>178</v>
      </c>
      <c r="BA297" s="11" t="n">
        <f>IF(AND(COUNT(AX297:AZ297)=3,AX297&gt;=AY297,AY297&gt;=0,AZ297&gt;0),(AX297-AY297)/AZ297,"")</f>
        <v>0.0449438202247191</v>
      </c>
      <c r="BB297" s="8" t="n">
        <f>IF(COUNT(AS297,AW297,BA297)=3,1,0)</f>
        <v>1</v>
      </c>
      <c r="BC297" s="11" t="n">
        <f>IF(SUMIF($AO$11:$AO$1309,AO297,$BB$11:$BB$1309)=COUNTIF($AO$11:$AO$1309,AO297),SUMIF($AO$11:$AO$1309,AO297,$AS$11:$AS$1309),"")</f>
        <v>3.3094608435746915</v>
      </c>
      <c r="BD297" s="11" t="n">
        <f>IF(SUMIF($AO$11:$AO$1309,AO297,$BB$11:$BB$1309)=COUNTIF($AO$11:$AO$1309,AO297),SUMIF($AO$11:$AO$1309,AO297,$AW$11:$AW$1309),"")</f>
        <v>2.343716577540107</v>
      </c>
      <c r="BE297" s="11" t="n">
        <f>IF(SUMIF($AO$11:$AO$1309,AO297,$BB$11:$BB$1309)=COUNTIF($AO$11:$AO$1309,AO297),SUMIF($AO$11:$AO$1309,AO297,$BA$11:$BA$1309),"")</f>
        <v>1.5069662921348317</v>
      </c>
      <c r="BF297" s="12" t="n">
        <f>IF(COUNT(BD297:BE297)&lt;&gt;2,"",IF(AND(BD297&gt;0,BE297&gt;0),0.7*AW297/BD297+0.3*BA297/BE297,IF(BD297&gt;0,AW297/BD297,IF(BE297&gt;0,BA297/BE297,IF(AND(ISNUMBER(BH297),BH297=0),0,"")))))</f>
        <v>0.0293111382107445</v>
      </c>
      <c r="BG297" s="11" t="n">
        <f>IF(AND(COUNT(BN297:BU297)=8,MIN(BN297:BU297)&gt;=0),SUMPRODUCT(BN297:BQ297,BR297:BU297),"")</f>
        <v>94.47778160343367</v>
      </c>
      <c r="BH297" s="11" t="n">
        <f>IF(COUNT(BC297,BG297)=2,BC297*BG297,"")</f>
        <v>312.6705188043651</v>
      </c>
      <c r="BI297" s="11" t="n">
        <f>IF(ISNUMBER(CI297),CI297,"")</f>
        <v>9.16472879109993</v>
      </c>
      <c r="BJ297" s="8" t="str"/>
      <c r="BK297" s="8" t="str">
        <v>90天：2026-07-20 至 2026-10-17；180天：2026-04-21 至 2026-10-17</v>
      </c>
      <c r="BL297" s="8" t="str">
        <v>90天：2026-10-06、2026-10-07；180天：2026-10-06、2026-10-07</v>
      </c>
      <c r="BM297" s="8" t="str">
        <v>2026-10：12天 × 1.1090677182221615；2026-11：30天 × 1.0372741535934282；2026-12：31天 × 0.979949351738161；2027-01：17天 × 1.1571949690048173</v>
      </c>
      <c r="BN297" s="11" t="n">
        <v>1.1090677182221615</v>
      </c>
      <c r="BO297" s="11" t="n">
        <v>1.0372741535934282</v>
      </c>
      <c r="BP297" s="11" t="n">
        <v>0.979949351738161</v>
      </c>
      <c r="BQ297" s="11" t="n">
        <v>1.1571949690048173</v>
      </c>
      <c r="BR297" s="8" t="n">
        <v>12</v>
      </c>
      <c r="BS297" s="8" t="n">
        <v>30</v>
      </c>
      <c r="BT297" s="8" t="n">
        <v>31</v>
      </c>
      <c r="BU297" s="8" t="n">
        <v>17</v>
      </c>
      <c r="BV297" s="11" t="n">
        <f>IF(COUNT(BC297,BF297)=2,BC297*BF297,"")</f>
        <v>0.09700406418906486</v>
      </c>
      <c r="BW297" s="11" t="n">
        <f>IF(ISNUMBER(BN297),BN297,"")</f>
        <v>1.1090677182221615</v>
      </c>
      <c r="BX297" s="14" t="n">
        <f>IF(ISNUMBER(BR297),BR297,"")</f>
        <v>12</v>
      </c>
      <c r="BY297" s="13" t="n">
        <f>IF(AND(COUNT(BV297,BW297,BX297)=3,MIN(BV297,BW297,BX297)&gt;=0),BV297*BW297*BX297,"")</f>
        <v>1.2910089135413072</v>
      </c>
      <c r="BZ297" s="11" t="n">
        <f>IF(ISNUMBER(BO297),BO297,"")</f>
        <v>1.0372741535934282</v>
      </c>
      <c r="CA297" s="14" t="n">
        <f>IF(ISNUMBER(BS297),BS297,"")</f>
        <v>30</v>
      </c>
      <c r="CB297" s="13" t="n">
        <f>IF(AND(COUNT(BV297,BZ297,CA297)=3,MIN(BV297,BZ297,CA297)&gt;=0),BV297*BZ297*CA297,"")</f>
        <v>3.018594257305045</v>
      </c>
      <c r="CC297" s="11" t="n">
        <f>IF(ISNUMBER(BP297),BP297,"")</f>
        <v>0.979949351738161</v>
      </c>
      <c r="CD297" s="14" t="n">
        <f>IF(ISNUMBER(BT297),BT297,"")</f>
        <v>31</v>
      </c>
      <c r="CE297" s="13" t="n">
        <f>IF(AND(COUNT(BV297,CC297,CD297)=3,MIN(BV297,CC297,CD297)&gt;=0),BV297*CC297*CD297,"")</f>
        <v>2.9468311643592733</v>
      </c>
      <c r="CF297" s="11" t="n">
        <f>IF(ISNUMBER(BQ297),BQ297,"")</f>
        <v>1.1571949690048173</v>
      </c>
      <c r="CG297" s="14" t="n">
        <f>IF(ISNUMBER(BU297),BU297,"")</f>
        <v>17</v>
      </c>
      <c r="CH297" s="13" t="n">
        <f>IF(AND(COUNT(BV297,CF297,CG297)=3,MIN(BV297,CF297,CG297)&gt;=0),BV297*CF297*CG297,"")</f>
        <v>1.9082944558943058</v>
      </c>
      <c r="CI297" s="13" t="n">
        <f>IF(COUNT(BY297,CB297,CE297,CH297)=4,SUM(BY297,CB297,CE297,CH297),"")</f>
        <v>9.16472879109993</v>
      </c>
    </row>
    <row r="298" ht="72" customHeight="1">
      <c r="A298" s="16" t="str">
        <v>B07-BGP-38.5</v>
      </c>
      <c r="B298" s="16" t="str">
        <v>4店-彬郁-US</v>
      </c>
      <c r="C298" s="16" t="str">
        <v>艾年</v>
      </c>
      <c r="D298" s="26" t="n">
        <f>IF(NOT(ISNUMBER(E298)),"",IF(OR(E298&lt;=0,L298=0),0,IF(OR(NOT(ISNUMBER(F298)),F298&lt;0),"",MIN(E298,INT(F298)))))</f>
        <v>0</v>
      </c>
      <c r="E298" s="27" t="n">
        <f>IF(OR(NOT(ISNUMBER(L298)),COUNT(M298:O298)&lt;&gt;3,MIN(M298:O298)&lt;0),"",ROUNDUP(ROUND(BI298-SUM(M298:O298),10),0))</f>
        <v>10</v>
      </c>
      <c r="F298" s="28" t="n">
        <v>0</v>
      </c>
      <c r="G298" s="28" t="n">
        <f>IF(AND(ISNUMBER(D298),ISNUMBER(E298)),IF(OR(E298&lt;=0,L298=0),0,E298-D298),"")</f>
        <v>10</v>
      </c>
      <c r="H298" s="16" t="str">
        <f>IF(NOT(ISNUMBER(E298)),"销量或海外库存待补",IF(OR(E298&lt;=0,L298=0),IF(L298=0,"零日销，本批不发","本批无需补货"),IF(NOT(ISNUMBER(D298)),"国内库存待补",IF(D298=0,"国内无可用库存",IF(G298&gt;0,"先发国内现货","按建议量发货")))))</f>
        <v>国内无可用库存</v>
      </c>
      <c r="I298" s="28" t="n">
        <f>IF(AND(COUNT(Z298,AA298,AB298)=3,Z298&gt;=AA298,AA298&gt;=0,AB298=7),Z298-AA298,"")</f>
        <v>0</v>
      </c>
      <c r="J298" s="28" t="n">
        <f>IF(AND(COUNT(AF298,AG298,AH298)=3,AF298&gt;=AG298,AG298&gt;=0,AH298=14),AF298-AG298,"")</f>
        <v>0</v>
      </c>
      <c r="K298" s="28" t="n">
        <f>IF(AND(COUNT(AL298,AM298,AN298)=3,AL298&gt;=AM298,AM298&gt;=0,AN298=30),AL298-AM298,"")</f>
        <v>5</v>
      </c>
      <c r="L298" s="29" t="n">
        <f>IF(ISNUMBER(BI298),BI298/90,"")</f>
        <v>0.12081832667763807</v>
      </c>
      <c r="M298" s="28" t="n">
        <v>1</v>
      </c>
      <c r="N298" s="28" t="n">
        <v>0</v>
      </c>
      <c r="O298" s="28" t="n">
        <v>0</v>
      </c>
      <c r="P298" s="30" t="n">
        <f>IF(AND(ISNUMBER(L298),L298&gt;0,COUNT(M298:O298)=3,MIN(M298:O298)&gt;=0),SUM(M298:O298)/L298,"")</f>
        <v>8.276890000870102</v>
      </c>
      <c r="Q298" s="16" t="str">
        <v>沿用原计划SKU店铺</v>
      </c>
      <c r="R298" s="16" t="str">
        <v>已匹配</v>
      </c>
      <c r="S298" s="16" t="str">
        <v>在售</v>
      </c>
      <c r="T298" s="16" t="str">
        <v>B07</v>
      </c>
      <c r="U298" s="16" t="str">
        <v>米色PU</v>
      </c>
      <c r="V298" s="16" t="n">
        <v>7.5</v>
      </c>
      <c r="W298" s="8" t="str">
        <v>2026-10-11 至 2026-10-17</v>
      </c>
      <c r="X298" s="8" t="str">
        <v>2026-10-11、2026-10-12、2026-10-13、2026-10-14、2026-10-15、2026-10-16、2026-10-17</v>
      </c>
      <c r="Y298" s="8" t="str">
        <v>无</v>
      </c>
      <c r="Z298" s="8" t="n">
        <v>0</v>
      </c>
      <c r="AA298" s="8" t="n">
        <v>0</v>
      </c>
      <c r="AB298" s="8" t="n">
        <v>7</v>
      </c>
      <c r="AC298" s="8" t="str">
        <v>2026-10-02 至 2026-10-17</v>
      </c>
      <c r="AD298" s="8" t="str">
        <v>2026-10-02、2026-10-03、2026-10-04、2026-10-05、2026-10-08、2026-10-09、2026-10-10、2026-10-11、2026-10-12、2026-10-13、2026-10-14、2026-10-15、2026-10-16、2026-10-17</v>
      </c>
      <c r="AE298" s="8" t="str">
        <v>2026-10-06 大促；2026-10-07 大促</v>
      </c>
      <c r="AF298" s="8" t="n">
        <v>0</v>
      </c>
      <c r="AG298" s="8" t="n">
        <v>0</v>
      </c>
      <c r="AH298" s="8" t="n">
        <v>14</v>
      </c>
      <c r="AI298" s="8" t="str">
        <v>2026-09-16 至 2026-10-17</v>
      </c>
      <c r="AJ2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98" s="8" t="str">
        <v>2026-10-06 大促；2026-10-07 大促</v>
      </c>
      <c r="AL298" s="8" t="n">
        <v>5</v>
      </c>
      <c r="AM298" s="8" t="n">
        <v>0</v>
      </c>
      <c r="AN298" s="8" t="n">
        <v>30</v>
      </c>
      <c r="AO298" s="8" t="str">
        <v>B07 / 米色PU / 13306</v>
      </c>
      <c r="AP298" s="11" t="n">
        <v>0.7307750238224848</v>
      </c>
      <c r="AQ298" s="11" t="n">
        <v>0.7307750238224848</v>
      </c>
      <c r="AR298" s="11" t="n">
        <v>0.7449809054134506</v>
      </c>
      <c r="AS298" s="11" t="n">
        <f>IF(AND(COUNT(I298:K298,AP298:AR298)=6,MIN(AP298:AR298)&gt;0),I298/7/AP298*0.5+J298/14/AQ298*0.3+K298/30/AR298*0.2,"")</f>
        <v>0.04474387610623919</v>
      </c>
      <c r="AT298" s="8" t="n">
        <v>8</v>
      </c>
      <c r="AU298" s="8" t="n">
        <v>0</v>
      </c>
      <c r="AV298" s="8" t="n">
        <v>88</v>
      </c>
      <c r="AW298" s="11" t="n">
        <f>IF(AND(COUNT(AT298:AV298)=3,AT298&gt;=AU298,AU298&gt;=0,AV298&gt;0),(AT298-AU298)/AV298,"")</f>
        <v>0.09090909090909091</v>
      </c>
      <c r="AX298" s="8" t="n">
        <v>12</v>
      </c>
      <c r="AY298" s="8" t="n">
        <v>0</v>
      </c>
      <c r="AZ298" s="8" t="n">
        <v>178</v>
      </c>
      <c r="BA298" s="11" t="n">
        <f>IF(AND(COUNT(AX298:AZ298)=3,AX298&gt;=AY298,AY298&gt;=0,AZ298&gt;0),(AX298-AY298)/AZ298,"")</f>
        <v>0.06741573033707865</v>
      </c>
      <c r="BB298" s="8" t="n">
        <f>IF(COUNT(AS298,AW298,BA298)=3,1,0)</f>
        <v>1</v>
      </c>
      <c r="BC298" s="11" t="n">
        <f>IF(SUMIF($AO$11:$AO$1309,AO298,$BB$11:$BB$1309)=COUNTIF($AO$11:$AO$1309,AO298),SUMIF($AO$11:$AO$1309,AO298,$AS$11:$AS$1309),"")</f>
        <v>0.9852937683836747</v>
      </c>
      <c r="BD298" s="11" t="n">
        <f>IF(SUMIF($AO$11:$AO$1309,AO298,$BB$11:$BB$1309)=COUNTIF($AO$11:$AO$1309,AO298),SUMIF($AO$11:$AO$1309,AO298,$AW$11:$AW$1309),"")</f>
        <v>0.5795454545454545</v>
      </c>
      <c r="BE298" s="11" t="n">
        <f>IF(SUMIF($AO$11:$AO$1309,AO298,$BB$11:$BB$1309)=COUNTIF($AO$11:$AO$1309,AO298),SUMIF($AO$11:$AO$1309,AO298,$BA$11:$BA$1309),"")</f>
        <v>0.651685393258427</v>
      </c>
      <c r="BF298" s="12" t="n">
        <f>IF(COUNT(BD298:BE298)&lt;&gt;2,"",IF(AND(BD298&gt;0,BE298&gt;0),0.7*AW298/BD298+0.3*BA298/BE298,IF(BD298&gt;0,AW298/BD298,IF(BE298&gt;0,BA298/BE298,IF(AND(ISNUMBER(BH298),BH298=0),0,"")))))</f>
        <v>0.14083840432724815</v>
      </c>
      <c r="BG298" s="11" t="n">
        <f>IF(AND(COUNT(BN298:BU298)=8,MIN(BN298:BU298)&gt;=0),SUMPRODUCT(BN298:BQ298,BR298:BU298),"")</f>
        <v>78.35892944347341</v>
      </c>
      <c r="BH298" s="11" t="n">
        <f>IF(COUNT(BC298,BG298)=2,BC298*BG298,"")</f>
        <v>77.2065648778704</v>
      </c>
      <c r="BI298" s="11" t="n">
        <f>IF(ISNUMBER(CI298),CI298,"")</f>
        <v>10.873649400987427</v>
      </c>
      <c r="BJ298" s="8" t="str"/>
      <c r="BK298" s="8" t="str">
        <v>90天：2026-07-20 至 2026-10-17；180天：2026-04-21 至 2026-10-17</v>
      </c>
      <c r="BL298" s="8" t="str">
        <v>90天：2026-10-06、2026-10-07；180天：2026-10-06、2026-10-07</v>
      </c>
      <c r="BM298" s="8" t="str">
        <v>2026-10：12天 × 0.7307750238224848；2026-11：30天 × 0.9523018155490097；2026-12：31天 × 0.5958545198749097；2027-01：17天 × 1.3264167397065354</v>
      </c>
      <c r="BN298" s="11" t="n">
        <v>0.7307750238224848</v>
      </c>
      <c r="BO298" s="11" t="n">
        <v>0.9523018155490097</v>
      </c>
      <c r="BP298" s="11" t="n">
        <v>0.5958545198749097</v>
      </c>
      <c r="BQ298" s="11" t="n">
        <v>1.3264167397065354</v>
      </c>
      <c r="BR298" s="8" t="n">
        <v>12</v>
      </c>
      <c r="BS298" s="8" t="n">
        <v>30</v>
      </c>
      <c r="BT298" s="8" t="n">
        <v>31</v>
      </c>
      <c r="BU298" s="8" t="n">
        <v>17</v>
      </c>
      <c r="BV298" s="11" t="n">
        <f>IF(COUNT(BC298,BF298)=2,BC298*BF298,"")</f>
        <v>0.13876720213273797</v>
      </c>
      <c r="BW298" s="11" t="n">
        <f>IF(ISNUMBER(BN298),BN298,"")</f>
        <v>0.7307750238224848</v>
      </c>
      <c r="BX298" s="14" t="n">
        <f>IF(ISNUMBER(BR298),BR298,"")</f>
        <v>12</v>
      </c>
      <c r="BY298" s="13" t="n">
        <f>IF(AND(COUNT(BV298,BW298,BX298)=3,MIN(BV298,BW298,BX298)&gt;=0),BV298*BW298*BX298,"")</f>
        <v>1.216891265331974</v>
      </c>
      <c r="BZ298" s="11" t="n">
        <f>IF(ISNUMBER(BO298),BO298,"")</f>
        <v>0.9523018155490097</v>
      </c>
      <c r="CA298" s="14" t="n">
        <f>IF(ISNUMBER(BS298),BS298,"")</f>
        <v>30</v>
      </c>
      <c r="CB298" s="13" t="n">
        <f>IF(AND(COUNT(BV298,BZ298,CA298)=3,MIN(BV298,BZ298,CA298)&gt;=0),BV298*BZ298*CA298,"")</f>
        <v>3.9644477558898834</v>
      </c>
      <c r="CC298" s="11" t="n">
        <f>IF(ISNUMBER(BP298),BP298,"")</f>
        <v>0.5958545198749097</v>
      </c>
      <c r="CD298" s="14" t="n">
        <f>IF(ISNUMBER(BT298),BT298,"")</f>
        <v>31</v>
      </c>
      <c r="CE298" s="13" t="n">
        <f>IF(AND(COUNT(BV298,CC298,CD298)=3,MIN(BV298,CC298,CD298)&gt;=0),BV298*CC298*CD298,"")</f>
        <v>2.5632370026368005</v>
      </c>
      <c r="CF298" s="11" t="n">
        <f>IF(ISNUMBER(BQ298),BQ298,"")</f>
        <v>1.3264167397065354</v>
      </c>
      <c r="CG298" s="14" t="n">
        <f>IF(ISNUMBER(BU298),BU298,"")</f>
        <v>17</v>
      </c>
      <c r="CH298" s="13" t="n">
        <f>IF(AND(COUNT(BV298,CF298,CG298)=3,MIN(BV298,CF298,CG298)&gt;=0),BV298*CF298*CG298,"")</f>
        <v>3.1290733771287695</v>
      </c>
      <c r="CI298" s="13" t="n">
        <f>IF(COUNT(BY298,CB298,CE298,CH298)=4,SUM(BY298,CB298,CE298,CH298),"")</f>
        <v>10.873649400987427</v>
      </c>
    </row>
    <row r="299" ht="72" customHeight="1">
      <c r="A299" s="16" t="str">
        <v>S02a-TN-38</v>
      </c>
      <c r="B299" s="16" t="str">
        <v>3店-SANDIEX-US</v>
      </c>
      <c r="C299" s="16" t="str">
        <v>陈晨</v>
      </c>
      <c r="D299" s="26" t="n">
        <f>IF(NOT(ISNUMBER(E299)),"",IF(OR(E299&lt;=0,L299=0),0,IF(OR(NOT(ISNUMBER(F299)),F299&lt;0),"",MIN(E299,INT(F299)))))</f>
        <v>0</v>
      </c>
      <c r="E299" s="27" t="n">
        <f>IF(OR(NOT(ISNUMBER(L299)),COUNT(M299:O299)&lt;&gt;3,MIN(M299:O299)&lt;0),"",ROUNDUP(ROUND(BI299-SUM(M299:O299),10),0))</f>
        <v>10</v>
      </c>
      <c r="F299" s="28" t="n">
        <v>0</v>
      </c>
      <c r="G299" s="28" t="n">
        <f>IF(AND(ISNUMBER(D299),ISNUMBER(E299)),IF(OR(E299&lt;=0,L299=0),0,E299-D299),"")</f>
        <v>10</v>
      </c>
      <c r="H299" s="16" t="str">
        <f>IF(NOT(ISNUMBER(E299)),"销量或海外库存待补",IF(OR(E299&lt;=0,L299=0),IF(L299=0,"零日销，本批不发","本批无需补货"),IF(NOT(ISNUMBER(D299)),"国内库存待补",IF(D299=0,"国内无可用库存",IF(G299&gt;0,"先发国内现货","按建议量发货")))))</f>
        <v>国内无可用库存</v>
      </c>
      <c r="I299" s="28" t="n">
        <f>IF(AND(COUNT(Z299,AA299,AB299)=3,Z299&gt;=AA299,AA299&gt;=0,AB299=7),Z299-AA299,"")</f>
        <v>2</v>
      </c>
      <c r="J299" s="28" t="n">
        <f>IF(AND(COUNT(AF299,AG299,AH299)=3,AF299&gt;=AG299,AG299&gt;=0,AH299=14),AF299-AG299,"")</f>
        <v>4</v>
      </c>
      <c r="K299" s="28" t="n">
        <f>IF(AND(COUNT(AL299,AM299,AN299)=3,AL299&gt;=AM299,AM299&gt;=0,AN299=30),AL299-AM299,"")</f>
        <v>5</v>
      </c>
      <c r="L299" s="29" t="n">
        <f>IF(ISNUMBER(BI299),BI299/90,"")</f>
        <v>0.40611611798642744</v>
      </c>
      <c r="M299" s="28" t="n">
        <v>11</v>
      </c>
      <c r="N299" s="28" t="n">
        <v>0</v>
      </c>
      <c r="O299" s="28" t="n">
        <v>16</v>
      </c>
      <c r="P299" s="30" t="n">
        <f>IF(AND(ISNUMBER(L299),L299&gt;0,COUNT(M299:O299)=3,MIN(M299:O299)&gt;=0),SUM(M299:O299)/L299,"")</f>
        <v>66.48344846264474</v>
      </c>
      <c r="Q299" s="16" t="str">
        <v>沿用原计划SKU店铺</v>
      </c>
      <c r="R299" s="16" t="str">
        <v>已匹配</v>
      </c>
      <c r="S299" s="16" t="str">
        <v>在售</v>
      </c>
      <c r="T299" s="16" t="str">
        <v>S02a</v>
      </c>
      <c r="U299" s="16" t="str">
        <v>驼色</v>
      </c>
      <c r="V299" s="16" t="n">
        <v>7</v>
      </c>
      <c r="W299" s="8" t="str">
        <v>2026-10-11 至 2026-10-17</v>
      </c>
      <c r="X299" s="8" t="str">
        <v>2026-10-11、2026-10-12、2026-10-13、2026-10-14、2026-10-15、2026-10-16、2026-10-17</v>
      </c>
      <c r="Y299" s="8" t="str">
        <v>无</v>
      </c>
      <c r="Z299" s="8" t="n">
        <v>2</v>
      </c>
      <c r="AA299" s="8" t="n">
        <v>0</v>
      </c>
      <c r="AB299" s="8" t="n">
        <v>7</v>
      </c>
      <c r="AC299" s="8" t="str">
        <v>2026-10-02 至 2026-10-17</v>
      </c>
      <c r="AD299" s="8" t="str">
        <v>2026-10-02、2026-10-03、2026-10-04、2026-10-05、2026-10-08、2026-10-09、2026-10-10、2026-10-11、2026-10-12、2026-10-13、2026-10-14、2026-10-15、2026-10-16、2026-10-17</v>
      </c>
      <c r="AE299" s="8" t="str">
        <v>2026-10-06 大促；2026-10-07 大促</v>
      </c>
      <c r="AF299" s="8" t="n">
        <v>7</v>
      </c>
      <c r="AG299" s="8" t="n">
        <v>3</v>
      </c>
      <c r="AH299" s="8" t="n">
        <v>14</v>
      </c>
      <c r="AI299" s="8" t="str">
        <v>2026-09-16 至 2026-10-17</v>
      </c>
      <c r="AJ2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299" s="8" t="str">
        <v>2026-10-06 大促；2026-10-07 大促</v>
      </c>
      <c r="AL299" s="8" t="n">
        <v>8</v>
      </c>
      <c r="AM299" s="8" t="n">
        <v>3</v>
      </c>
      <c r="AN299" s="8" t="n">
        <v>30</v>
      </c>
      <c r="AO299" s="8" t="str">
        <v>S02a / 驼色 / 6574</v>
      </c>
      <c r="AP299" s="11" t="n">
        <v>0.7647664488148722</v>
      </c>
      <c r="AQ299" s="11" t="n">
        <v>0.7647664488148722</v>
      </c>
      <c r="AR299" s="11" t="n">
        <v>0.8066052567225582</v>
      </c>
      <c r="AS299" s="11" t="n">
        <f>IF(AND(COUNT(I299:K299,AP299:AR299)=6,MIN(AP299:AR299)&gt;0),I299/7/AP299*0.5+J299/14/AQ299*0.3+K299/30/AR299*0.2,"")</f>
        <v>0.3402028871979837</v>
      </c>
      <c r="AT299" s="8" t="n">
        <v>16</v>
      </c>
      <c r="AU299" s="8" t="n">
        <v>3</v>
      </c>
      <c r="AV299" s="8" t="n">
        <v>88</v>
      </c>
      <c r="AW299" s="11" t="n">
        <f>IF(AND(COUNT(AT299:AV299)=3,AT299&gt;=AU299,AU299&gt;=0,AV299&gt;0),(AT299-AU299)/AV299,"")</f>
        <v>0.14772727272727273</v>
      </c>
      <c r="AX299" s="8" t="n">
        <v>19</v>
      </c>
      <c r="AY299" s="8" t="n">
        <v>3</v>
      </c>
      <c r="AZ299" s="8" t="n">
        <v>178</v>
      </c>
      <c r="BA299" s="11" t="n">
        <f>IF(AND(COUNT(AX299:AZ299)=3,AX299&gt;=AY299,AY299&gt;=0,AZ299&gt;0),(AX299-AY299)/AZ299,"")</f>
        <v>0.0898876404494382</v>
      </c>
      <c r="BB299" s="8" t="n">
        <f>IF(COUNT(AS299,AW299,BA299)=3,1,0)</f>
        <v>1</v>
      </c>
      <c r="BC299" s="11" t="n">
        <f>IF(SUMIF($AO$11:$AO$1309,AO299,$BB$11:$BB$1309)=COUNTIF($AO$11:$AO$1309,AO299),SUMIF($AO$11:$AO$1309,AO299,$AS$11:$AS$1309),"")</f>
        <v>4.646128546626029</v>
      </c>
      <c r="BD299" s="11" t="n">
        <f>IF(SUMIF($AO$11:$AO$1309,AO299,$BB$11:$BB$1309)=COUNTIF($AO$11:$AO$1309,AO299),SUMIF($AO$11:$AO$1309,AO299,$AW$11:$AW$1309),"")</f>
        <v>1.9772727272727275</v>
      </c>
      <c r="BE299" s="11" t="n">
        <f>IF(SUMIF($AO$11:$AO$1309,AO299,$BB$11:$BB$1309)=COUNTIF($AO$11:$AO$1309,AO299),SUMIF($AO$11:$AO$1309,AO299,$BA$11:$BA$1309),"")</f>
        <v>1.6629213483146066</v>
      </c>
      <c r="BF299" s="12" t="n">
        <f>IF(COUNT(BD299:BE299)&lt;&gt;2,"",IF(AND(BD299&gt;0,BE299&gt;0),0.7*AW299/BD299+0.3*BA299/BE299,IF(BD299&gt;0,AW299/BD299,IF(BE299&gt;0,BA299/BE299,IF(AND(ISNUMBER(BH299),BH299=0),0,"")))))</f>
        <v>0.06851506679092886</v>
      </c>
      <c r="BG299" s="11" t="n">
        <f>IF(AND(COUNT(BN299:BU299)=8,MIN(BN299:BU299)&gt;=0),SUMPRODUCT(BN299:BQ299,BR299:BU299),"")</f>
        <v>114.81944114457707</v>
      </c>
      <c r="BH299" s="11" t="n">
        <f>IF(COUNT(BC299,BG299)=2,BC299*BG299,"")</f>
        <v>533.4658832094667</v>
      </c>
      <c r="BI299" s="11" t="n">
        <f>IF(ISNUMBER(CI299),CI299,"")</f>
        <v>36.55045061877847</v>
      </c>
      <c r="BJ299" s="8" t="str"/>
      <c r="BK299" s="8" t="str">
        <v>90天：2026-07-20 至 2026-10-17；180天：2026-04-21 至 2026-10-17</v>
      </c>
      <c r="BL299" s="8" t="str">
        <v>90天：2026-10-06、2026-10-07；180天：2026-10-06、2026-10-07</v>
      </c>
      <c r="BM299" s="8" t="str">
        <v>2026-10：12天 × 0.7647664488148722；2026-11：30天 × 1.5248287781391903；2026-12：31天 × 1.2288250057360348；2027-01：17天 × 1.2825767786356366</v>
      </c>
      <c r="BN299" s="11" t="n">
        <v>0.7647664488148722</v>
      </c>
      <c r="BO299" s="11" t="n">
        <v>1.5248287781391903</v>
      </c>
      <c r="BP299" s="11" t="n">
        <v>1.2288250057360348</v>
      </c>
      <c r="BQ299" s="11" t="n">
        <v>1.2825767786356366</v>
      </c>
      <c r="BR299" s="8" t="n">
        <v>12</v>
      </c>
      <c r="BS299" s="8" t="n">
        <v>30</v>
      </c>
      <c r="BT299" s="8" t="n">
        <v>31</v>
      </c>
      <c r="BU299" s="8" t="n">
        <v>17</v>
      </c>
      <c r="BV299" s="11" t="n">
        <f>IF(COUNT(BC299,BF299)=2,BC299*BF299,"")</f>
        <v>0.31832980769132363</v>
      </c>
      <c r="BW299" s="11" t="n">
        <f>IF(ISNUMBER(BN299),BN299,"")</f>
        <v>0.7647664488148722</v>
      </c>
      <c r="BX299" s="14" t="n">
        <f>IF(ISNUMBER(BR299),BR299,"")</f>
        <v>12</v>
      </c>
      <c r="BY299" s="13" t="n">
        <f>IF(AND(COUNT(BV299,BW299,BX299)=3,MIN(BV299,BW299,BX299)&gt;=0),BV299*BW299*BX299,"")</f>
        <v>2.9213754789601776</v>
      </c>
      <c r="BZ299" s="11" t="n">
        <f>IF(ISNUMBER(BO299),BO299,"")</f>
        <v>1.5248287781391903</v>
      </c>
      <c r="CA299" s="14" t="n">
        <f>IF(ISNUMBER(BS299),BS299,"")</f>
        <v>30</v>
      </c>
      <c r="CB299" s="13" t="n">
        <f>IF(AND(COUNT(BV299,BZ299,CA299)=3,MIN(BV299,BZ299,CA299)&gt;=0),BV299*BZ299*CA299,"")</f>
        <v>14.561953551217334</v>
      </c>
      <c r="CC299" s="11" t="n">
        <f>IF(ISNUMBER(BP299),BP299,"")</f>
        <v>1.2288250057360348</v>
      </c>
      <c r="CD299" s="14" t="n">
        <f>IF(ISNUMBER(BT299),BT299,"")</f>
        <v>31</v>
      </c>
      <c r="CE299" s="13" t="n">
        <f>IF(AND(COUNT(BV299,CC299,CD299)=3,MIN(BV299,CC299,CD299)&gt;=0),BV299*CC299*CD299,"")</f>
        <v>12.12632046062949</v>
      </c>
      <c r="CF299" s="11" t="n">
        <f>IF(ISNUMBER(BQ299),BQ299,"")</f>
        <v>1.2825767786356366</v>
      </c>
      <c r="CG299" s="14" t="n">
        <f>IF(ISNUMBER(BU299),BU299,"")</f>
        <v>17</v>
      </c>
      <c r="CH299" s="13" t="n">
        <f>IF(AND(COUNT(BV299,CF299,CG299)=3,MIN(BV299,CF299,CG299)&gt;=0),BV299*CF299*CG299,"")</f>
        <v>6.940801127971472</v>
      </c>
      <c r="CI299" s="13" t="n">
        <f>IF(COUNT(BY299,CB299,CE299,CH299)=4,SUM(BY299,CB299,CE299,CH299),"")</f>
        <v>36.55045061877847</v>
      </c>
    </row>
    <row r="300" ht="72" customHeight="1">
      <c r="A300" s="16" t="str">
        <v>1S01-LMN-37.5</v>
      </c>
      <c r="B300" s="16" t="str">
        <v>3店-SANDIEX-US</v>
      </c>
      <c r="C300" s="16" t="str">
        <v>徐新怡</v>
      </c>
      <c r="D300" s="26" t="n">
        <f>IF(NOT(ISNUMBER(E300)),"",IF(OR(E300&lt;=0,L300=0),0,IF(OR(NOT(ISNUMBER(F300)),F300&lt;0),"",MIN(E300,INT(F300)))))</f>
        <v>0</v>
      </c>
      <c r="E300" s="27" t="n">
        <f>IF(OR(NOT(ISNUMBER(L300)),COUNT(M300:O300)&lt;&gt;3,MIN(M300:O300)&lt;0),"",ROUNDUP(ROUND(BI300-SUM(M300:O300),10),0))</f>
        <v>9</v>
      </c>
      <c r="F300" s="28" t="n">
        <v>0</v>
      </c>
      <c r="G300" s="28" t="n">
        <f>IF(AND(ISNUMBER(D300),ISNUMBER(E300)),IF(OR(E300&lt;=0,L300=0),0,E300-D300),"")</f>
        <v>9</v>
      </c>
      <c r="H300" s="16" t="str">
        <f>IF(NOT(ISNUMBER(E300)),"销量或海外库存待补",IF(OR(E300&lt;=0,L300=0),IF(L300=0,"零日销，本批不发","本批无需补货"),IF(NOT(ISNUMBER(D300)),"国内库存待补",IF(D300=0,"国内无可用库存",IF(G300&gt;0,"先发国内现货","按建议量发货")))))</f>
        <v>国内无可用库存</v>
      </c>
      <c r="I300" s="28" t="n">
        <f>IF(AND(COUNT(Z300,AA300,AB300)=3,Z300&gt;=AA300,AA300&gt;=0,AB300=7),Z300-AA300,"")</f>
        <v>1</v>
      </c>
      <c r="J300" s="28" t="n">
        <f>IF(AND(COUNT(AF300,AG300,AH300)=3,AF300&gt;=AG300,AG300&gt;=0,AH300=14),AF300-AG300,"")</f>
        <v>3</v>
      </c>
      <c r="K300" s="28" t="n">
        <f>IF(AND(COUNT(AL300,AM300,AN300)=3,AL300&gt;=AM300,AM300&gt;=0,AN300=30),AL300-AM300,"")</f>
        <v>5</v>
      </c>
      <c r="L300" s="29" t="n">
        <f>IF(ISNUMBER(BI300),BI300/90,"")</f>
        <v>0.11740881310448166</v>
      </c>
      <c r="M300" s="28" t="n">
        <v>2</v>
      </c>
      <c r="N300" s="28" t="n">
        <v>0</v>
      </c>
      <c r="O300" s="28" t="n">
        <v>0</v>
      </c>
      <c r="P300" s="30" t="n">
        <f>IF(AND(ISNUMBER(L300),L300&gt;0,COUNT(M300:O300)=3,MIN(M300:O300)&gt;=0),SUM(M300:O300)/L300,"")</f>
        <v>17.034496364597498</v>
      </c>
      <c r="Q300" s="16" t="str">
        <v>沿用同SPU原计划店铺</v>
      </c>
      <c r="R300" s="16" t="str">
        <v>已匹配</v>
      </c>
      <c r="S300" s="16" t="str">
        <v>在售</v>
      </c>
      <c r="T300" s="16" t="str">
        <v>1S01</v>
      </c>
      <c r="U300" s="16" t="str">
        <v>豹纹</v>
      </c>
      <c r="V300" s="16" t="n">
        <v>6.5</v>
      </c>
      <c r="W300" s="8" t="str">
        <v>2026-10-11 至 2026-10-17</v>
      </c>
      <c r="X300" s="8" t="str">
        <v>2026-10-11、2026-10-12、2026-10-13、2026-10-14、2026-10-15、2026-10-16、2026-10-17</v>
      </c>
      <c r="Y300" s="8" t="str">
        <v>无</v>
      </c>
      <c r="Z300" s="8" t="n">
        <v>1</v>
      </c>
      <c r="AA300" s="8" t="n">
        <v>0</v>
      </c>
      <c r="AB300" s="8" t="n">
        <v>7</v>
      </c>
      <c r="AC300" s="8" t="str">
        <v>2026-10-02 至 2026-10-17</v>
      </c>
      <c r="AD300" s="8" t="str">
        <v>2026-10-02、2026-10-03、2026-10-04、2026-10-05、2026-10-08、2026-10-09、2026-10-10、2026-10-11、2026-10-12、2026-10-13、2026-10-14、2026-10-15、2026-10-16、2026-10-17</v>
      </c>
      <c r="AE300" s="8" t="str">
        <v>2026-10-06 大促；2026-10-07 大促</v>
      </c>
      <c r="AF300" s="8" t="n">
        <v>6</v>
      </c>
      <c r="AG300" s="8" t="n">
        <v>3</v>
      </c>
      <c r="AH300" s="8" t="n">
        <v>14</v>
      </c>
      <c r="AI300" s="8" t="str">
        <v>2026-09-16 至 2026-10-17</v>
      </c>
      <c r="AJ3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0" s="8" t="str">
        <v>2026-10-06 大促；2026-10-07 大促</v>
      </c>
      <c r="AL300" s="8" t="n">
        <v>8</v>
      </c>
      <c r="AM300" s="8" t="n">
        <v>3</v>
      </c>
      <c r="AN300" s="8" t="n">
        <v>30</v>
      </c>
      <c r="AO300" s="8" t="str">
        <v>1S01 / 豹纹羊京绒 / 6574</v>
      </c>
      <c r="AP300" s="11" t="n">
        <v>0.8729500662042875</v>
      </c>
      <c r="AQ300" s="11" t="n">
        <v>0.8729500662042875</v>
      </c>
      <c r="AR300" s="11" t="n">
        <v>1.0921363354767095</v>
      </c>
      <c r="AS300" s="11" t="n">
        <f>IF(AND(COUNT(I300:K300,AP300:AR300)=6,MIN(AP300:AR300)&gt;0),I300/7/AP300*0.5+J300/14/AQ300*0.3+K300/30/AR300*0.2,"")</f>
        <v>0.18598748427215578</v>
      </c>
      <c r="AT300" s="8" t="n">
        <v>12</v>
      </c>
      <c r="AU300" s="8" t="n">
        <v>3</v>
      </c>
      <c r="AV300" s="8" t="n">
        <v>88</v>
      </c>
      <c r="AW300" s="11" t="n">
        <f>IF(AND(COUNT(AT300:AV300)=3,AT300&gt;=AU300,AU300&gt;=0,AV300&gt;0),(AT300-AU300)/AV300,"")</f>
        <v>0.10227272727272728</v>
      </c>
      <c r="AX300" s="8" t="n">
        <v>13</v>
      </c>
      <c r="AY300" s="8" t="n">
        <v>3</v>
      </c>
      <c r="AZ300" s="8" t="n">
        <v>178</v>
      </c>
      <c r="BA300" s="11" t="n">
        <f>IF(AND(COUNT(AX300:AZ300)=3,AX300&gt;=AY300,AY300&gt;=0,AZ300&gt;0),(AX300-AY300)/AZ300,"")</f>
        <v>0.056179775280898875</v>
      </c>
      <c r="BB300" s="8" t="n">
        <f>IF(COUNT(AS300,AW300,BA300)=3,1,0)</f>
        <v>1</v>
      </c>
      <c r="BC300" s="11" t="n">
        <f>IF(SUMIF($AO$11:$AO$1309,AO300,$BB$11:$BB$1309)=COUNTIF($AO$11:$AO$1309,AO300),SUMIF($AO$11:$AO$1309,AO300,$AS$11:$AS$1309),"")</f>
        <v>2.9367051066815764</v>
      </c>
      <c r="BD300" s="11" t="n">
        <f>IF(SUMIF($AO$11:$AO$1309,AO300,$BB$11:$BB$1309)=COUNTIF($AO$11:$AO$1309,AO300),SUMIF($AO$11:$AO$1309,AO300,$AW$11:$AW$1309),"")</f>
        <v>1.6598930481283423</v>
      </c>
      <c r="BE300" s="11" t="n">
        <f>IF(SUMIF($AO$11:$AO$1309,AO300,$BB$11:$BB$1309)=COUNTIF($AO$11:$AO$1309,AO300),SUMIF($AO$11:$AO$1309,AO300,$BA$11:$BA$1309),"")</f>
        <v>1.2818619582664526</v>
      </c>
      <c r="BF300" s="12" t="n">
        <f>IF(COUNT(BD300:BE300)&lt;&gt;2,"",IF(AND(BD300&gt;0,BE300&gt;0),0.7*AW300/BD300+0.3*BA300/BE300,IF(BD300&gt;0,AW300/BD300,IF(BE300&gt;0,BA300/BE300,IF(AND(ISNUMBER(BH300),BH300=0),0,"")))))</f>
        <v>0.056277841490004414</v>
      </c>
      <c r="BG300" s="11" t="n">
        <f>IF(AND(COUNT(BN300:BU300)=8,MIN(BN300:BU300)&gt;=0),SUMPRODUCT(BN300:BQ300,BR300:BU300),"")</f>
        <v>63.935996265425516</v>
      </c>
      <c r="BH300" s="11" t="n">
        <f>IF(COUNT(BC300,BG300)=2,BC300*BG300,"")</f>
        <v>187.7611667334493</v>
      </c>
      <c r="BI300" s="11" t="n">
        <f>IF(ISNUMBER(CI300),CI300,"")</f>
        <v>10.56679317940335</v>
      </c>
      <c r="BJ300" s="8" t="str"/>
      <c r="BK300" s="8" t="str">
        <v>90天：2026-07-20 至 2026-10-17；180天：2026-04-21 至 2026-10-17</v>
      </c>
      <c r="BL300" s="8" t="str">
        <v>90天：2026-10-06、2026-10-07；180天：2026-10-06、2026-10-07</v>
      </c>
      <c r="BM300" s="8" t="str">
        <v>2026-10：12天 × 0.8729500662042875；2026-11：30天 × 0.8057375774163482；2026-12：31天 × 0.532550303142279；2027-01：17天 × 0.7517299265337036</v>
      </c>
      <c r="BN300" s="11" t="n">
        <v>0.8729500662042875</v>
      </c>
      <c r="BO300" s="11" t="n">
        <v>0.8057375774163482</v>
      </c>
      <c r="BP300" s="11" t="n">
        <v>0.532550303142279</v>
      </c>
      <c r="BQ300" s="11" t="n">
        <v>0.7517299265337036</v>
      </c>
      <c r="BR300" s="8" t="n">
        <v>12</v>
      </c>
      <c r="BS300" s="8" t="n">
        <v>30</v>
      </c>
      <c r="BT300" s="8" t="n">
        <v>31</v>
      </c>
      <c r="BU300" s="8" t="n">
        <v>17</v>
      </c>
      <c r="BV300" s="11" t="n">
        <f>IF(COUNT(BC300,BF300)=2,BC300*BF300,"")</f>
        <v>0.16527142449671225</v>
      </c>
      <c r="BW300" s="11" t="n">
        <f>IF(ISNUMBER(BN300),BN300,"")</f>
        <v>0.8729500662042875</v>
      </c>
      <c r="BX300" s="14" t="n">
        <f>IF(ISNUMBER(BR300),BR300,"")</f>
        <v>12</v>
      </c>
      <c r="BY300" s="13" t="n">
        <f>IF(AND(COUNT(BV300,BW300,BX300)=3,MIN(BV300,BW300,BX300)&gt;=0),BV300*BW300*BX300,"")</f>
        <v>1.7312844114729824</v>
      </c>
      <c r="BZ300" s="11" t="n">
        <f>IF(ISNUMBER(BO300),BO300,"")</f>
        <v>0.8057375774163482</v>
      </c>
      <c r="CA300" s="14" t="n">
        <f>IF(ISNUMBER(BS300),BS300,"")</f>
        <v>30</v>
      </c>
      <c r="CB300" s="13" t="n">
        <f>IF(AND(COUNT(BV300,BZ300,CA300)=3,MIN(BV300,BZ300,CA300)&gt;=0),BV300*BZ300*CA300,"")</f>
        <v>3.9949619157038954</v>
      </c>
      <c r="CC300" s="11" t="n">
        <f>IF(ISNUMBER(BP300),BP300,"")</f>
        <v>0.532550303142279</v>
      </c>
      <c r="CD300" s="14" t="n">
        <f>IF(ISNUMBER(BT300),BT300,"")</f>
        <v>31</v>
      </c>
      <c r="CE300" s="13" t="n">
        <f>IF(AND(COUNT(BV300,CC300,CD300)=3,MIN(BV300,CC300,CD300)&gt;=0),BV300*CC300*CD300,"")</f>
        <v>2.7284757637108923</v>
      </c>
      <c r="CF300" s="11" t="n">
        <f>IF(ISNUMBER(BQ300),BQ300,"")</f>
        <v>0.7517299265337036</v>
      </c>
      <c r="CG300" s="14" t="n">
        <f>IF(ISNUMBER(BU300),BU300,"")</f>
        <v>17</v>
      </c>
      <c r="CH300" s="13" t="n">
        <f>IF(AND(COUNT(BV300,CF300,CG300)=3,MIN(BV300,CF300,CG300)&gt;=0),BV300*CF300*CG300,"")</f>
        <v>2.112071088515579</v>
      </c>
      <c r="CI300" s="13" t="n">
        <f>IF(COUNT(BY300,CB300,CE300,CH300)=4,SUM(BY300,CB300,CE300,CH300),"")</f>
        <v>10.56679317940335</v>
      </c>
    </row>
    <row r="301" ht="72" customHeight="1">
      <c r="A301" s="16" t="str">
        <v>2302153-LP-S-Z-8.5</v>
      </c>
      <c r="B301" s="16" t="str">
        <v>3店-SANDIEX-US</v>
      </c>
      <c r="C301" s="16" t="str">
        <v>徐新怡</v>
      </c>
      <c r="D301" s="26" t="n">
        <f>IF(NOT(ISNUMBER(E301)),"",IF(OR(E301&lt;=0,L301=0),0,IF(OR(NOT(ISNUMBER(F301)),F301&lt;0),"",MIN(E301,INT(F301)))))</f>
        <v>0</v>
      </c>
      <c r="E301" s="27" t="n">
        <f>IF(OR(NOT(ISNUMBER(L301)),COUNT(M301:O301)&lt;&gt;3,MIN(M301:O301)&lt;0),"",ROUNDUP(ROUND(BI301-SUM(M301:O301),10),0))</f>
        <v>9</v>
      </c>
      <c r="F301" s="28" t="n">
        <v>0</v>
      </c>
      <c r="G301" s="28" t="n">
        <f>IF(AND(ISNUMBER(D301),ISNUMBER(E301)),IF(OR(E301&lt;=0,L301=0),0,E301-D301),"")</f>
        <v>9</v>
      </c>
      <c r="H301" s="16" t="str">
        <f>IF(NOT(ISNUMBER(E301)),"销量或海外库存待补",IF(OR(E301&lt;=0,L301=0),IF(L301=0,"零日销，本批不发","本批无需补货"),IF(NOT(ISNUMBER(D301)),"国内库存待补",IF(D301=0,"国内无可用库存",IF(G301&gt;0,"先发国内现货","按建议量发货")))))</f>
        <v>国内无可用库存</v>
      </c>
      <c r="I301" s="28" t="n">
        <f>IF(AND(COUNT(Z301,AA301,AB301)=3,Z301&gt;=AA301,AA301&gt;=0,AB301=7),Z301-AA301,"")</f>
        <v>6</v>
      </c>
      <c r="J301" s="28" t="n">
        <f>IF(AND(COUNT(AF301,AG301,AH301)=3,AF301&gt;=AG301,AG301&gt;=0,AH301=14),AF301-AG301,"")</f>
        <v>14</v>
      </c>
      <c r="K301" s="28" t="n">
        <f>IF(AND(COUNT(AL301,AM301,AN301)=3,AL301&gt;=AM301,AM301&gt;=0,AN301=30),AL301-AM301,"")</f>
        <v>30</v>
      </c>
      <c r="L301" s="29" t="n">
        <f>IF(ISNUMBER(BI301),BI301/90,"")</f>
        <v>0.6730638423114391</v>
      </c>
      <c r="M301" s="28" t="n">
        <v>6</v>
      </c>
      <c r="N301" s="28" t="n">
        <v>1</v>
      </c>
      <c r="O301" s="28" t="n">
        <v>45</v>
      </c>
      <c r="P301" s="30" t="n">
        <f>IF(AND(ISNUMBER(L301),L301&gt;0,COUNT(M301:O301)=3,MIN(M301:O301)&gt;=0),SUM(M301:O301)/L301,"")</f>
        <v>77.25864432328046</v>
      </c>
      <c r="Q301" s="16" t="str">
        <v>沿用原计划SKU店铺</v>
      </c>
      <c r="R301" s="16" t="str">
        <v>已匹配</v>
      </c>
      <c r="S301" s="16" t="str">
        <v>在售</v>
      </c>
      <c r="T301" s="16" t="str">
        <v>2302153</v>
      </c>
      <c r="U301" s="16" t="str">
        <v>豹纹</v>
      </c>
      <c r="V301" s="16" t="n">
        <v>8.5</v>
      </c>
      <c r="W301" s="8" t="str">
        <v>2026-10-11 至 2026-10-17</v>
      </c>
      <c r="X301" s="8" t="str">
        <v>2026-10-11、2026-10-12、2026-10-13、2026-10-14、2026-10-15、2026-10-16、2026-10-17</v>
      </c>
      <c r="Y301" s="8" t="str">
        <v>无</v>
      </c>
      <c r="Z301" s="8" t="n">
        <v>6</v>
      </c>
      <c r="AA301" s="8" t="n">
        <v>0</v>
      </c>
      <c r="AB301" s="8" t="n">
        <v>7</v>
      </c>
      <c r="AC301" s="8" t="str">
        <v>2026-10-02 至 2026-10-17</v>
      </c>
      <c r="AD301" s="8" t="str">
        <v>2026-10-02、2026-10-03、2026-10-04、2026-10-05、2026-10-08、2026-10-09、2026-10-10、2026-10-11、2026-10-12、2026-10-13、2026-10-14、2026-10-15、2026-10-16、2026-10-17</v>
      </c>
      <c r="AE301" s="8" t="str">
        <v>2026-10-06 大促；2026-10-07 大促</v>
      </c>
      <c r="AF301" s="8" t="n">
        <v>18</v>
      </c>
      <c r="AG301" s="8" t="n">
        <v>4</v>
      </c>
      <c r="AH301" s="8" t="n">
        <v>14</v>
      </c>
      <c r="AI301" s="8" t="str">
        <v>2026-09-16 至 2026-10-17</v>
      </c>
      <c r="AJ3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1" s="8" t="str">
        <v>2026-10-06 大促；2026-10-07 大促</v>
      </c>
      <c r="AL301" s="8" t="n">
        <v>34</v>
      </c>
      <c r="AM301" s="8" t="n">
        <v>4</v>
      </c>
      <c r="AN301" s="8" t="n">
        <v>30</v>
      </c>
      <c r="AO301" s="8" t="str">
        <v>2302153 / 豹纹羊京绒 / 6574</v>
      </c>
      <c r="AP301" s="11" t="n">
        <v>1.7391279184229513</v>
      </c>
      <c r="AQ301" s="11" t="n">
        <v>1.7391279184229513</v>
      </c>
      <c r="AR301" s="11" t="n">
        <v>1.5731892896917212</v>
      </c>
      <c r="AS301" s="11" t="n">
        <f>IF(AND(COUNT(I301:K301,AP301:AR301)=6,MIN(AP301:AR301)&gt;0),I301/7/AP301*0.5+J301/14/AQ301*0.3+K301/30/AR301*0.2,"")</f>
        <v>0.5460594608272675</v>
      </c>
      <c r="AT301" s="8" t="n">
        <v>70</v>
      </c>
      <c r="AU301" s="8" t="n">
        <v>4</v>
      </c>
      <c r="AV301" s="8" t="n">
        <v>88</v>
      </c>
      <c r="AW301" s="11" t="n">
        <f>IF(AND(COUNT(AT301:AV301)=3,AT301&gt;=AU301,AU301&gt;=0,AV301&gt;0),(AT301-AU301)/AV301,"")</f>
        <v>0.75</v>
      </c>
      <c r="AX301" s="8" t="n">
        <v>115</v>
      </c>
      <c r="AY301" s="8" t="n">
        <v>4</v>
      </c>
      <c r="AZ301" s="8" t="n">
        <v>178</v>
      </c>
      <c r="BA301" s="11" t="n">
        <f>IF(AND(COUNT(AX301:AZ301)=3,AX301&gt;=AY301,AY301&gt;=0,AZ301&gt;0),(AX301-AY301)/AZ301,"")</f>
        <v>0.6235955056179775</v>
      </c>
      <c r="BB301" s="8" t="n">
        <f>IF(COUNT(AS301,AW301,BA301)=3,1,0)</f>
        <v>1</v>
      </c>
      <c r="BC301" s="11" t="n">
        <f>IF(SUMIF($AO$11:$AO$1309,AO301,$BB$11:$BB$1309)=COUNTIF($AO$11:$AO$1309,AO301),SUMIF($AO$11:$AO$1309,AO301,$AS$11:$AS$1309),"")</f>
        <v>4.164684574329155</v>
      </c>
      <c r="BD301" s="11" t="n">
        <f>IF(SUMIF($AO$11:$AO$1309,AO301,$BB$11:$BB$1309)=COUNTIF($AO$11:$AO$1309,AO301),SUMIF($AO$11:$AO$1309,AO301,$AW$11:$AW$1309),"")</f>
        <v>5.636363636363635</v>
      </c>
      <c r="BE301" s="11" t="n">
        <f>IF(SUMIF($AO$11:$AO$1309,AO301,$BB$11:$BB$1309)=COUNTIF($AO$11:$AO$1309,AO301),SUMIF($AO$11:$AO$1309,AO301,$BA$11:$BA$1309),"")</f>
        <v>4.707865168539326</v>
      </c>
      <c r="BF301" s="12" t="n">
        <f>IF(COUNT(BD301:BE301)&lt;&gt;2,"",IF(AND(BD301&gt;0,BE301&gt;0),0.7*AW301/BD301+0.3*BA301/BE301,IF(BD301&gt;0,AW301/BD301,IF(BE301&gt;0,BA301/BE301,IF(AND(ISNUMBER(BH301),BH301=0),0,"")))))</f>
        <v>0.13288263145738705</v>
      </c>
      <c r="BG301" s="11" t="n">
        <f>IF(AND(COUNT(BN301:BU301)=8,MIN(BN301:BU301)&gt;=0),SUMPRODUCT(BN301:BQ301,BR301:BU301),"")</f>
        <v>109.4582336985339</v>
      </c>
      <c r="BH301" s="11" t="n">
        <f>IF(COUNT(BC301,BG301)=2,BC301*BG301,"")</f>
        <v>455.85901741759983</v>
      </c>
      <c r="BI301" s="11" t="n">
        <f>IF(ISNUMBER(CI301),CI301,"")</f>
        <v>60.57574580802952</v>
      </c>
      <c r="BJ301" s="8" t="str"/>
      <c r="BK301" s="8" t="str">
        <v>90天：2026-07-20 至 2026-10-17；180天：2026-04-21 至 2026-10-17</v>
      </c>
      <c r="BL301" s="8" t="str">
        <v>90天：2026-10-06、2026-10-07；180天：2026-10-06、2026-10-07</v>
      </c>
      <c r="BM301" s="8" t="str">
        <v>2026-10：12天 × 1.7391279184229513；2026-11：30天 × 1.4002077845513243；2026-12：31天 × 1.079339935625147；2027-01：17天 × 0.7719368903846591</v>
      </c>
      <c r="BN301" s="11" t="n">
        <v>1.7391279184229513</v>
      </c>
      <c r="BO301" s="11" t="n">
        <v>1.4002077845513243</v>
      </c>
      <c r="BP301" s="11" t="n">
        <v>1.079339935625147</v>
      </c>
      <c r="BQ301" s="11" t="n">
        <v>0.7719368903846591</v>
      </c>
      <c r="BR301" s="8" t="n">
        <v>12</v>
      </c>
      <c r="BS301" s="8" t="n">
        <v>30</v>
      </c>
      <c r="BT301" s="8" t="n">
        <v>31</v>
      </c>
      <c r="BU301" s="8" t="n">
        <v>17</v>
      </c>
      <c r="BV301" s="11" t="n">
        <f>IF(COUNT(BC301,BF301)=2,BC301*BF301,"")</f>
        <v>0.553414245426846</v>
      </c>
      <c r="BW301" s="11" t="n">
        <f>IF(ISNUMBER(BN301),BN301,"")</f>
        <v>1.7391279184229513</v>
      </c>
      <c r="BX301" s="14" t="n">
        <f>IF(ISNUMBER(BR301),BR301,"")</f>
        <v>12</v>
      </c>
      <c r="BY301" s="13" t="n">
        <f>IF(AND(COUNT(BV301,BW301,BX301)=3,MIN(BV301,BW301,BX301)&gt;=0),BV301*BW301*BX301,"")</f>
        <v>11.549497976097589</v>
      </c>
      <c r="BZ301" s="11" t="n">
        <f>IF(ISNUMBER(BO301),BO301,"")</f>
        <v>1.4002077845513243</v>
      </c>
      <c r="CA301" s="14" t="n">
        <f>IF(ISNUMBER(BS301),BS301,"")</f>
        <v>30</v>
      </c>
      <c r="CB301" s="13" t="n">
        <f>IF(AND(COUNT(BV301,BZ301,CA301)=3,MIN(BV301,BZ301,CA301)&gt;=0),BV301*BZ301*CA301,"")</f>
        <v>23.24684803584801</v>
      </c>
      <c r="CC301" s="11" t="n">
        <f>IF(ISNUMBER(BP301),BP301,"")</f>
        <v>1.079339935625147</v>
      </c>
      <c r="CD301" s="14" t="n">
        <f>IF(ISNUMBER(BT301),BT301,"")</f>
        <v>31</v>
      </c>
      <c r="CE301" s="13" t="n">
        <f>IF(AND(COUNT(BV301,CC301,CD301)=3,MIN(BV301,CC301,CD301)&gt;=0),BV301*CC301*CD301,"")</f>
        <v>18.516984977024592</v>
      </c>
      <c r="CF301" s="11" t="n">
        <f>IF(ISNUMBER(BQ301),BQ301,"")</f>
        <v>0.7719368903846591</v>
      </c>
      <c r="CG301" s="14" t="n">
        <f>IF(ISNUMBER(BU301),BU301,"")</f>
        <v>17</v>
      </c>
      <c r="CH301" s="13" t="n">
        <f>IF(AND(COUNT(BV301,CF301,CG301)=3,MIN(BV301,CF301,CG301)&gt;=0),BV301*CF301*CG301,"")</f>
        <v>7.262414819059325</v>
      </c>
      <c r="CI301" s="13" t="n">
        <f>IF(COUNT(BY301,CB301,CE301,CH301)=4,SUM(BY301,CB301,CE301,CH301),"")</f>
        <v>60.57574580802952</v>
      </c>
    </row>
    <row r="302" ht="72" customHeight="1">
      <c r="A302" s="16" t="str">
        <v>32582-LD-42</v>
      </c>
      <c r="B302" s="16" t="str">
        <v>3店-SANDIEX-US</v>
      </c>
      <c r="C302" s="16" t="str">
        <v>徐新怡</v>
      </c>
      <c r="D302" s="26" t="n">
        <f>IF(NOT(ISNUMBER(E302)),"",IF(OR(E302&lt;=0,L302=0),0,IF(OR(NOT(ISNUMBER(F302)),F302&lt;0),"",MIN(E302,INT(F302)))))</f>
        <v>0</v>
      </c>
      <c r="E302" s="27" t="n">
        <f>IF(OR(NOT(ISNUMBER(L302)),COUNT(M302:O302)&lt;&gt;3,MIN(M302:O302)&lt;0),"",ROUNDUP(ROUND(BI302-SUM(M302:O302),10),0))</f>
        <v>9</v>
      </c>
      <c r="F302" s="28" t="n">
        <v>0</v>
      </c>
      <c r="G302" s="28" t="n">
        <f>IF(AND(ISNUMBER(D302),ISNUMBER(E302)),IF(OR(E302&lt;=0,L302=0),0,E302-D302),"")</f>
        <v>9</v>
      </c>
      <c r="H302" s="16" t="str">
        <f>IF(NOT(ISNUMBER(E302)),"销量或海外库存待补",IF(OR(E302&lt;=0,L302=0),IF(L302=0,"零日销，本批不发","本批无需补货"),IF(NOT(ISNUMBER(D302)),"国内库存待补",IF(D302=0,"国内无可用库存",IF(G302&gt;0,"先发国内现货","按建议量发货")))))</f>
        <v>国内无可用库存</v>
      </c>
      <c r="I302" s="28" t="n">
        <f>IF(AND(COUNT(Z302,AA302,AB302)=3,Z302&gt;=AA302,AA302&gt;=0,AB302=7),Z302-AA302,"")</f>
        <v>0</v>
      </c>
      <c r="J302" s="28" t="n">
        <f>IF(AND(COUNT(AF302,AG302,AH302)=3,AF302&gt;=AG302,AG302&gt;=0,AH302=14),AF302-AG302,"")</f>
        <v>0</v>
      </c>
      <c r="K302" s="28" t="n">
        <f>IF(AND(COUNT(AL302,AM302,AN302)=3,AL302&gt;=AM302,AM302&gt;=0,AN302=30),AL302-AM302,"")</f>
        <v>0</v>
      </c>
      <c r="L302" s="29" t="n">
        <f>IF(ISNUMBER(BI302),BI302/90,"")</f>
        <v>0.09199599923188036</v>
      </c>
      <c r="M302" s="28" t="n">
        <v>0</v>
      </c>
      <c r="N302" s="28" t="n">
        <v>0</v>
      </c>
      <c r="O302" s="28" t="n">
        <v>0</v>
      </c>
      <c r="P302" s="30" t="n">
        <f>IF(AND(ISNUMBER(L302),L302&gt;0,COUNT(M302:O302)=3,MIN(M302:O302)&gt;=0),SUM(M302:O302)/L302,"")</f>
        <v>0</v>
      </c>
      <c r="Q302" s="16" t="str">
        <v>沿用原计划SKU店铺</v>
      </c>
      <c r="R302" s="16" t="str">
        <v>已匹配</v>
      </c>
      <c r="S302" s="16" t="str">
        <v>停售</v>
      </c>
      <c r="T302" s="16" t="str">
        <v>32582</v>
      </c>
      <c r="U302" s="16" t="str">
        <v>豹纹</v>
      </c>
      <c r="V302" s="16" t="n">
        <v>11</v>
      </c>
      <c r="W302" s="8" t="str">
        <v>2026-10-08 至 2026-10-17</v>
      </c>
      <c r="X302" s="8" t="str">
        <v>2026-10-08、2026-10-09、2026-10-10、2026-10-11、2026-10-14、2026-10-15、2026-10-17</v>
      </c>
      <c r="Y302" s="8" t="str">
        <v>2026-10-12 有记录的停售日；2026-10-13 有记录的停售日；2026-10-16 有记录的停售日</v>
      </c>
      <c r="Z302" s="8" t="n">
        <v>0</v>
      </c>
      <c r="AA302" s="8" t="n">
        <v>0</v>
      </c>
      <c r="AB302" s="8" t="n">
        <v>7</v>
      </c>
      <c r="AC302" s="8" t="str">
        <v>2026-09-29 至 2026-10-17</v>
      </c>
      <c r="AD302" s="8" t="str">
        <v>2026-09-29、2026-09-30、2026-10-01、2026-10-02、2026-10-03、2026-10-04、2026-10-05、2026-10-08、2026-10-09、2026-10-10、2026-10-11、2026-10-14、2026-10-15、2026-10-17</v>
      </c>
      <c r="AE302" s="8" t="str">
        <v>2026-10-06 大促；2026-10-07 大促；2026-10-12 有记录的停售日；2026-10-13 有记录的停售日；2026-10-16 有记录的停售日</v>
      </c>
      <c r="AF302" s="8" t="n">
        <v>0</v>
      </c>
      <c r="AG302" s="8" t="n">
        <v>0</v>
      </c>
      <c r="AH302" s="8" t="n">
        <v>14</v>
      </c>
      <c r="AI302" s="8" t="str">
        <v>2026-09-13 至 2026-10-17</v>
      </c>
      <c r="AJ3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02" s="8" t="str">
        <v>2026-10-06 大促；2026-10-07 大促；2026-10-12 有记录的停售日；2026-10-13 有记录的停售日；2026-10-16 有记录的停售日</v>
      </c>
      <c r="AL302" s="8" t="n">
        <v>0</v>
      </c>
      <c r="AM302" s="8" t="n">
        <v>0</v>
      </c>
      <c r="AN302" s="8" t="n">
        <v>30</v>
      </c>
      <c r="AO302" s="8" t="str">
        <v>32582 / 豹纹羊京绒 / 6574</v>
      </c>
      <c r="AP302" s="11" t="n">
        <v>1.0395067087630607</v>
      </c>
      <c r="AQ302" s="11" t="n">
        <v>1.048428692110265</v>
      </c>
      <c r="AR302" s="11" t="n">
        <v>1.076979038821319</v>
      </c>
      <c r="AS302" s="11" t="n">
        <f>IF(AND(COUNT(I302:K302,AP302:AR302)=6,MIN(AP302:AR302)&gt;0),I302/7/AP302*0.5+J302/14/AQ302*0.3+K302/30/AR302*0.2,"")</f>
        <v>0</v>
      </c>
      <c r="AT302" s="8" t="n">
        <v>5</v>
      </c>
      <c r="AU302" s="8" t="n">
        <v>0</v>
      </c>
      <c r="AV302" s="8" t="n">
        <v>85</v>
      </c>
      <c r="AW302" s="11" t="n">
        <f>IF(AND(COUNT(AT302:AV302)=3,AT302&gt;=AU302,AU302&gt;=0,AV302&gt;0),(AT302-AU302)/AV302,"")</f>
        <v>0.058823529411764705</v>
      </c>
      <c r="AX302" s="8" t="n">
        <v>17</v>
      </c>
      <c r="AY302" s="8" t="n">
        <v>0</v>
      </c>
      <c r="AZ302" s="8" t="n">
        <v>175</v>
      </c>
      <c r="BA302" s="11" t="n">
        <f>IF(AND(COUNT(AX302:AZ302)=3,AX302&gt;=AY302,AY302&gt;=0,AZ302&gt;0),(AX302-AY302)/AZ302,"")</f>
        <v>0.09714285714285714</v>
      </c>
      <c r="BB302" s="8" t="n">
        <f>IF(COUNT(AS302,AW302,BA302)=3,1,0)</f>
        <v>1</v>
      </c>
      <c r="BC302" s="11" t="n">
        <f>IF(SUMIF($AO$11:$AO$1309,AO302,$BB$11:$BB$1309)=COUNTIF($AO$11:$AO$1309,AO302),SUMIF($AO$11:$AO$1309,AO302,$AS$11:$AS$1309),"")</f>
        <v>2.517644694108243</v>
      </c>
      <c r="BD302" s="11" t="n">
        <f>IF(SUMIF($AO$11:$AO$1309,AO302,$BB$11:$BB$1309)=COUNTIF($AO$11:$AO$1309,AO302),SUMIF($AO$11:$AO$1309,AO302,$AW$11:$AW$1309),"")</f>
        <v>2.0255347593582886</v>
      </c>
      <c r="BE302" s="11" t="n">
        <f>IF(SUMIF($AO$11:$AO$1309,AO302,$BB$11:$BB$1309)=COUNTIF($AO$11:$AO$1309,AO302),SUMIF($AO$11:$AO$1309,AO302,$BA$11:$BA$1309),"")</f>
        <v>1.721701444622793</v>
      </c>
      <c r="BF302" s="12" t="n">
        <f>IF(COUNT(BD302:BE302)&lt;&gt;2,"",IF(AND(BD302&gt;0,BE302&gt;0),0.7*AW302/BD302+0.3*BA302/BE302,IF(BD302&gt;0,AW302/BD302,IF(BE302&gt;0,BA302/BE302,IF(AND(ISNUMBER(BH302),BH302=0),0,"")))))</f>
        <v>0.037255468599005026</v>
      </c>
      <c r="BG302" s="11" t="n">
        <f>IF(AND(COUNT(BN302:BU302)=8,MIN(BN302:BU302)&gt;=0),SUMPRODUCT(BN302:BQ302,BR302:BU302),"")</f>
        <v>88.27281580841549</v>
      </c>
      <c r="BH302" s="11" t="n">
        <f>IF(COUNT(BC302,BG302)=2,BC302*BG302,"")</f>
        <v>222.23958635405148</v>
      </c>
      <c r="BI302" s="11" t="n">
        <f>IF(ISNUMBER(CI302),CI302,"")</f>
        <v>8.279639930869232</v>
      </c>
      <c r="BJ302" s="8" t="str"/>
      <c r="BK302" s="8" t="str">
        <v>90天：2026-07-20 至 2026-10-17；180天：2026-04-21 至 2026-10-17</v>
      </c>
      <c r="BL302" s="8" t="str">
        <v>90天：2026-10-06、2026-10-07、2026-10-12、2026-10-13、2026-10-16；180天：2026-10-06、2026-10-07、2026-10-12、2026-10-13、2026-10-16</v>
      </c>
      <c r="BM302" s="8" t="str">
        <v>2026-10：12天 × 1.0395067087630607；2026-11：30天 × 0.9890368360033146；2026-12：31天 × 0.7800796503018808；2027-01：17天 × 1.2908918272824135</v>
      </c>
      <c r="BN302" s="11" t="n">
        <v>1.0395067087630607</v>
      </c>
      <c r="BO302" s="11" t="n">
        <v>0.9890368360033146</v>
      </c>
      <c r="BP302" s="11" t="n">
        <v>0.7800796503018808</v>
      </c>
      <c r="BQ302" s="11" t="n">
        <v>1.2908918272824135</v>
      </c>
      <c r="BR302" s="8" t="n">
        <v>12</v>
      </c>
      <c r="BS302" s="8" t="n">
        <v>30</v>
      </c>
      <c r="BT302" s="8" t="n">
        <v>31</v>
      </c>
      <c r="BU302" s="8" t="n">
        <v>17</v>
      </c>
      <c r="BV302" s="11" t="n">
        <f>IF(COUNT(BC302,BF302)=2,BC302*BF302,"")</f>
        <v>0.09379603284480126</v>
      </c>
      <c r="BW302" s="11" t="n">
        <f>IF(ISNUMBER(BN302),BN302,"")</f>
        <v>1.0395067087630607</v>
      </c>
      <c r="BX302" s="14" t="n">
        <f>IF(ISNUMBER(BR302),BR302,"")</f>
        <v>12</v>
      </c>
      <c r="BY302" s="13" t="n">
        <f>IF(AND(COUNT(BV302,BW302,BX302)=3,MIN(BV302,BW302,BX302)&gt;=0),BV302*BW302*BX302,"")</f>
        <v>1.1700192647703758</v>
      </c>
      <c r="BZ302" s="11" t="n">
        <f>IF(ISNUMBER(BO302),BO302,"")</f>
        <v>0.9890368360033146</v>
      </c>
      <c r="CA302" s="14" t="n">
        <f>IF(ISNUMBER(BS302),BS302,"")</f>
        <v>30</v>
      </c>
      <c r="CB302" s="13" t="n">
        <f>IF(AND(COUNT(BV302,BZ302,CA302)=3,MIN(BV302,BZ302,CA302)&gt;=0),BV302*BZ302*CA302,"")</f>
        <v>2.7830319466345563</v>
      </c>
      <c r="CC302" s="11" t="n">
        <f>IF(ISNUMBER(BP302),BP302,"")</f>
        <v>0.7800796503018808</v>
      </c>
      <c r="CD302" s="14" t="n">
        <f>IF(ISNUMBER(BT302),BT302,"")</f>
        <v>31</v>
      </c>
      <c r="CE302" s="13" t="n">
        <f>IF(AND(COUNT(BV302,CC302,CD302)=3,MIN(BV302,CC302,CD302)&gt;=0),BV302*CC302*CD302,"")</f>
        <v>2.268219671539565</v>
      </c>
      <c r="CF302" s="11" t="n">
        <f>IF(ISNUMBER(BQ302),BQ302,"")</f>
        <v>1.2908918272824135</v>
      </c>
      <c r="CG302" s="14" t="n">
        <f>IF(ISNUMBER(BU302),BU302,"")</f>
        <v>17</v>
      </c>
      <c r="CH302" s="13" t="n">
        <f>IF(AND(COUNT(BV302,CF302,CG302)=3,MIN(BV302,CF302,CG302)&gt;=0),BV302*CF302*CG302,"")</f>
        <v>2.0583690479247347</v>
      </c>
      <c r="CI302" s="13" t="n">
        <f>IF(COUNT(BY302,CB302,CE302,CH302)=4,SUM(BY302,CB302,CE302,CH302),"")</f>
        <v>8.279639930869232</v>
      </c>
    </row>
    <row r="303" ht="72" customHeight="1">
      <c r="A303" s="16" t="str">
        <v>8392-ND-42</v>
      </c>
      <c r="B303" s="16" t="str">
        <v>3店-SANDIEX-US</v>
      </c>
      <c r="C303" s="16" t="str">
        <v>徐新怡</v>
      </c>
      <c r="D303" s="26" t="n">
        <f>IF(NOT(ISNUMBER(E303)),"",IF(OR(E303&lt;=0,L303=0),0,IF(OR(NOT(ISNUMBER(F303)),F303&lt;0),"",MIN(E303,INT(F303)))))</f>
        <v>0</v>
      </c>
      <c r="E303" s="27" t="n">
        <f>IF(OR(NOT(ISNUMBER(L303)),COUNT(M303:O303)&lt;&gt;3,MIN(M303:O303)&lt;0),"",ROUNDUP(ROUND(BI303-SUM(M303:O303),10),0))</f>
        <v>9</v>
      </c>
      <c r="F303" s="28" t="n">
        <v>0</v>
      </c>
      <c r="G303" s="28" t="n">
        <f>IF(AND(ISNUMBER(D303),ISNUMBER(E303)),IF(OR(E303&lt;=0,L303=0),0,E303-D303),"")</f>
        <v>9</v>
      </c>
      <c r="H303" s="16" t="str">
        <f>IF(NOT(ISNUMBER(E303)),"销量或海外库存待补",IF(OR(E303&lt;=0,L303=0),IF(L303=0,"零日销，本批不发","本批无需补货"),IF(NOT(ISNUMBER(D303)),"国内库存待补",IF(D303=0,"国内无可用库存",IF(G303&gt;0,"先发国内现货","按建议量发货")))))</f>
        <v>国内无可用库存</v>
      </c>
      <c r="I303" s="28" t="n">
        <f>IF(AND(COUNT(Z303,AA303,AB303)=3,Z303&gt;=AA303,AA303&gt;=0,AB303=7),Z303-AA303,"")</f>
        <v>1</v>
      </c>
      <c r="J303" s="28" t="n">
        <f>IF(AND(COUNT(AF303,AG303,AH303)=3,AF303&gt;=AG303,AG303&gt;=0,AH303=14),AF303-AG303,"")</f>
        <v>2</v>
      </c>
      <c r="K303" s="28" t="n">
        <f>IF(AND(COUNT(AL303,AM303,AN303)=3,AL303&gt;=AM303,AM303&gt;=0,AN303=30),AL303-AM303,"")</f>
        <v>4</v>
      </c>
      <c r="L303" s="29" t="n">
        <f>IF(ISNUMBER(BI303),BI303/90,"")</f>
        <v>0.10285091032508385</v>
      </c>
      <c r="M303" s="28" t="n">
        <v>1</v>
      </c>
      <c r="N303" s="28" t="n">
        <v>0</v>
      </c>
      <c r="O303" s="28" t="n">
        <v>0</v>
      </c>
      <c r="P303" s="30" t="n">
        <f>IF(AND(ISNUMBER(L303),L303&gt;0,COUNT(M303:O303)=3,MIN(M303:O303)&gt;=0),SUM(M303:O303)/L303,"")</f>
        <v>9.722811366853934</v>
      </c>
      <c r="Q303" s="16" t="str">
        <v>按本SKU唯一未删除Listing店铺核实</v>
      </c>
      <c r="R303" s="16" t="str">
        <v>已匹配</v>
      </c>
      <c r="S303" s="16" t="str">
        <v>在售</v>
      </c>
      <c r="T303" s="16" t="str">
        <v>8392</v>
      </c>
      <c r="U303" s="16" t="str">
        <v>裸色</v>
      </c>
      <c r="V303" s="16" t="n">
        <v>11</v>
      </c>
      <c r="W303" s="8" t="str">
        <v>2026-10-11 至 2026-10-17</v>
      </c>
      <c r="X303" s="8" t="str">
        <v>2026-10-11、2026-10-12、2026-10-13、2026-10-14、2026-10-15、2026-10-16、2026-10-17</v>
      </c>
      <c r="Y303" s="8" t="str">
        <v>无</v>
      </c>
      <c r="Z303" s="8" t="n">
        <v>1</v>
      </c>
      <c r="AA303" s="8" t="n">
        <v>0</v>
      </c>
      <c r="AB303" s="8" t="n">
        <v>7</v>
      </c>
      <c r="AC303" s="8" t="str">
        <v>2026-10-02 至 2026-10-17</v>
      </c>
      <c r="AD303" s="8" t="str">
        <v>2026-10-02、2026-10-03、2026-10-04、2026-10-05、2026-10-08、2026-10-09、2026-10-10、2026-10-11、2026-10-12、2026-10-13、2026-10-14、2026-10-15、2026-10-16、2026-10-17</v>
      </c>
      <c r="AE303" s="8" t="str">
        <v>2026-10-06 大促；2026-10-07 大促</v>
      </c>
      <c r="AF303" s="8" t="n">
        <v>3</v>
      </c>
      <c r="AG303" s="8" t="n">
        <v>1</v>
      </c>
      <c r="AH303" s="8" t="n">
        <v>14</v>
      </c>
      <c r="AI303" s="8" t="str">
        <v>2026-09-16 至 2026-10-17</v>
      </c>
      <c r="AJ3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3" s="8" t="str">
        <v>2026-10-06 大促；2026-10-07 大促</v>
      </c>
      <c r="AL303" s="8" t="n">
        <v>5</v>
      </c>
      <c r="AM303" s="8" t="n">
        <v>1</v>
      </c>
      <c r="AN303" s="8" t="n">
        <v>30</v>
      </c>
      <c r="AO303" s="8" t="str">
        <v>8392 / 裸色羊京绒 / 6574</v>
      </c>
      <c r="AP303" s="11" t="n">
        <v>1.1743420411079069</v>
      </c>
      <c r="AQ303" s="11" t="n">
        <v>1.1743420411079069</v>
      </c>
      <c r="AR303" s="11" t="n">
        <v>1.144331424468921</v>
      </c>
      <c r="AS303" s="11" t="n">
        <f>IF(AND(COUNT(I303:K303,AP303:AR303)=6,MIN(AP303:AR303)&gt;0),I303/7/AP303*0.5+J303/14/AQ303*0.3+K303/30/AR303*0.2,"")</f>
        <v>0.12062220508349207</v>
      </c>
      <c r="AT303" s="8" t="n">
        <v>6</v>
      </c>
      <c r="AU303" s="8" t="n">
        <v>1</v>
      </c>
      <c r="AV303" s="8" t="n">
        <v>88</v>
      </c>
      <c r="AW303" s="11" t="n">
        <f>IF(AND(COUNT(AT303:AV303)=3,AT303&gt;=AU303,AU303&gt;=0,AV303&gt;0),(AT303-AU303)/AV303,"")</f>
        <v>0.056818181818181816</v>
      </c>
      <c r="AX303" s="8" t="n">
        <v>7</v>
      </c>
      <c r="AY303" s="8" t="n">
        <v>1</v>
      </c>
      <c r="AZ303" s="8" t="n">
        <v>178</v>
      </c>
      <c r="BA303" s="11" t="n">
        <f>IF(AND(COUNT(AX303:AZ303)=3,AX303&gt;=AY303,AY303&gt;=0,AZ303&gt;0),(AX303-AY303)/AZ303,"")</f>
        <v>0.033707865168539325</v>
      </c>
      <c r="BB303" s="8" t="n">
        <f>IF(COUNT(AS303,AW303,BA303)=3,1,0)</f>
        <v>1</v>
      </c>
      <c r="BC303" s="11" t="n">
        <f>IF(SUMIF($AO$11:$AO$1309,AO303,$BB$11:$BB$1309)=COUNTIF($AO$11:$AO$1309,AO303),SUMIF($AO$11:$AO$1309,AO303,$AS$11:$AS$1309),"")</f>
        <v>2.532116178578144</v>
      </c>
      <c r="BD303" s="11" t="n">
        <f>IF(SUMIF($AO$11:$AO$1309,AO303,$BB$11:$BB$1309)=COUNTIF($AO$11:$AO$1309,AO303),SUMIF($AO$11:$AO$1309,AO303,$AW$11:$AW$1309),"")</f>
        <v>1.3068181818181819</v>
      </c>
      <c r="BE303" s="11" t="n">
        <f>IF(SUMIF($AO$11:$AO$1309,AO303,$BB$11:$BB$1309)=COUNTIF($AO$11:$AO$1309,AO303),SUMIF($AO$11:$AO$1309,AO303,$BA$11:$BA$1309),"")</f>
        <v>1.3707865168539328</v>
      </c>
      <c r="BF303" s="12" t="n">
        <f>IF(COUNT(BD303:BE303)&lt;&gt;2,"",IF(AND(BD303&gt;0,BE303&gt;0),0.7*AW303/BD303+0.3*BA303/BE303,IF(BD303&gt;0,AW303/BD303,IF(BE303&gt;0,BA303/BE303,IF(AND(ISNUMBER(BH303),BH303=0),0,"")))))</f>
        <v>0.03781183178902352</v>
      </c>
      <c r="BG303" s="11" t="n">
        <f>IF(AND(COUNT(BN303:BU303)=8,MIN(BN303:BU303)&gt;=0),SUMPRODUCT(BN303:BQ303,BR303:BU303),"")</f>
        <v>96.68059267618935</v>
      </c>
      <c r="BH303" s="11" t="n">
        <f>IF(COUNT(BC303,BG303)=2,BC303*BG303,"")</f>
        <v>244.80649286990268</v>
      </c>
      <c r="BI303" s="11" t="n">
        <f>IF(ISNUMBER(CI303),CI303,"")</f>
        <v>9.256581929257546</v>
      </c>
      <c r="BJ303" s="8" t="str"/>
      <c r="BK303" s="8" t="str">
        <v>90天：2026-07-20 至 2026-10-17；180天：2026-04-21 至 2026-10-17</v>
      </c>
      <c r="BL303" s="8" t="str">
        <v>90天：2026-10-06、2026-10-07；180天：2026-10-06、2026-10-07</v>
      </c>
      <c r="BM303" s="8" t="str">
        <v>2026-10：12天 × 1.1743420411079069；2026-11：30天 × 1.281694931279211；2026-12：31天 × 0.9007634642750235；2027-01：17天 × 0.9537631089407297</v>
      </c>
      <c r="BN303" s="11" t="n">
        <v>1.1743420411079069</v>
      </c>
      <c r="BO303" s="11" t="n">
        <v>1.281694931279211</v>
      </c>
      <c r="BP303" s="11" t="n">
        <v>0.9007634642750235</v>
      </c>
      <c r="BQ303" s="11" t="n">
        <v>0.9537631089407297</v>
      </c>
      <c r="BR303" s="8" t="n">
        <v>12</v>
      </c>
      <c r="BS303" s="8" t="n">
        <v>30</v>
      </c>
      <c r="BT303" s="8" t="n">
        <v>31</v>
      </c>
      <c r="BU303" s="8" t="n">
        <v>17</v>
      </c>
      <c r="BV303" s="11" t="n">
        <f>IF(COUNT(BC303,BF303)=2,BC303*BF303,"")</f>
        <v>0.09574395101466182</v>
      </c>
      <c r="BW303" s="11" t="n">
        <f>IF(ISNUMBER(BN303),BN303,"")</f>
        <v>1.1743420411079069</v>
      </c>
      <c r="BX303" s="14" t="n">
        <f>IF(ISNUMBER(BR303),BR303,"")</f>
        <v>12</v>
      </c>
      <c r="BY303" s="13" t="n">
        <f>IF(AND(COUNT(BV303,BW303,BX303)=3,MIN(BV303,BW303,BX303)&gt;=0),BV303*BW303*BX303,"")</f>
        <v>1.349233762299521</v>
      </c>
      <c r="BZ303" s="11" t="n">
        <f>IF(ISNUMBER(BO303),BO303,"")</f>
        <v>1.281694931279211</v>
      </c>
      <c r="CA303" s="14" t="n">
        <f>IF(ISNUMBER(BS303),BS303,"")</f>
        <v>30</v>
      </c>
      <c r="CB303" s="13" t="n">
        <f>IF(AND(COUNT(BV303,BZ303,CA303)=3,MIN(BV303,BZ303,CA303)&gt;=0),BV303*BZ303*CA303,"")</f>
        <v>3.6814361014841137</v>
      </c>
      <c r="CC303" s="11" t="n">
        <f>IF(ISNUMBER(BP303),BP303,"")</f>
        <v>0.9007634642750235</v>
      </c>
      <c r="CD303" s="14" t="n">
        <f>IF(ISNUMBER(BT303),BT303,"")</f>
        <v>31</v>
      </c>
      <c r="CE303" s="13" t="n">
        <f>IF(AND(COUNT(BV303,CC303,CD303)=3,MIN(BV303,CC303,CD303)&gt;=0),BV303*CC303*CD303,"")</f>
        <v>2.673522242979693</v>
      </c>
      <c r="CF303" s="11" t="n">
        <f>IF(ISNUMBER(BQ303),BQ303,"")</f>
        <v>0.9537631089407297</v>
      </c>
      <c r="CG303" s="14" t="n">
        <f>IF(ISNUMBER(BU303),BU303,"")</f>
        <v>17</v>
      </c>
      <c r="CH303" s="13" t="n">
        <f>IF(AND(COUNT(BV303,CF303,CG303)=3,MIN(BV303,CF303,CG303)&gt;=0),BV303*CF303*CG303,"")</f>
        <v>1.5523898224942174</v>
      </c>
      <c r="CI303" s="13" t="n">
        <f>IF(COUNT(BY303,CB303,CE303,CH303)=4,SUM(BY303,CB303,CE303,CH303),"")</f>
        <v>9.256581929257546</v>
      </c>
    </row>
    <row r="304" ht="72" customHeight="1">
      <c r="A304" s="16" t="str">
        <v>B06b-NDP0-8</v>
      </c>
      <c r="B304" s="16" t="str">
        <v>1店-MUSSHOE-US</v>
      </c>
      <c r="C304" s="16" t="str">
        <v>艾年</v>
      </c>
      <c r="D304" s="26" t="n">
        <f>IF(NOT(ISNUMBER(E304)),"",IF(OR(E304&lt;=0,L304=0),0,IF(OR(NOT(ISNUMBER(F304)),F304&lt;0),"",MIN(E304,INT(F304)))))</f>
        <v>0</v>
      </c>
      <c r="E304" s="27" t="n">
        <f>IF(OR(NOT(ISNUMBER(L304)),COUNT(M304:O304)&lt;&gt;3,MIN(M304:O304)&lt;0),"",ROUNDUP(ROUND(BI304-SUM(M304:O304),10),0))</f>
        <v>9</v>
      </c>
      <c r="F304" s="28" t="n">
        <v>0</v>
      </c>
      <c r="G304" s="28" t="n">
        <f>IF(AND(ISNUMBER(D304),ISNUMBER(E304)),IF(OR(E304&lt;=0,L304=0),0,E304-D304),"")</f>
        <v>9</v>
      </c>
      <c r="H304" s="16" t="str">
        <f>IF(NOT(ISNUMBER(E304)),"销量或海外库存待补",IF(OR(E304&lt;=0,L304=0),IF(L304=0,"零日销，本批不发","本批无需补货"),IF(NOT(ISNUMBER(D304)),"国内库存待补",IF(D304=0,"国内无可用库存",IF(G304&gt;0,"先发国内现货","按建议量发货")))))</f>
        <v>国内无可用库存</v>
      </c>
      <c r="I304" s="28" t="n">
        <f>IF(AND(COUNT(Z304,AA304,AB304)=3,Z304&gt;=AA304,AA304&gt;=0,AB304=7),Z304-AA304,"")</f>
        <v>2</v>
      </c>
      <c r="J304" s="28" t="n">
        <f>IF(AND(COUNT(AF304,AG304,AH304)=3,AF304&gt;=AG304,AG304&gt;=0,AH304=14),AF304-AG304,"")</f>
        <v>4</v>
      </c>
      <c r="K304" s="28" t="n">
        <f>IF(AND(COUNT(AL304,AM304,AN304)=3,AL304&gt;=AM304,AM304&gt;=0,AN304=30),AL304-AM304,"")</f>
        <v>6</v>
      </c>
      <c r="L304" s="29" t="n">
        <f>IF(ISNUMBER(BI304),BI304/90,"")</f>
        <v>0.3304763175817987</v>
      </c>
      <c r="M304" s="28" t="n">
        <v>7</v>
      </c>
      <c r="N304" s="28" t="n">
        <v>7</v>
      </c>
      <c r="O304" s="28" t="n">
        <v>7</v>
      </c>
      <c r="P304" s="30" t="n">
        <f>IF(AND(ISNUMBER(L304),L304&gt;0,COUNT(M304:O304)=3,MIN(M304:O304)&gt;=0),SUM(M304:O304)/L304,"")</f>
        <v>63.54464414776751</v>
      </c>
      <c r="Q304" s="16" t="str">
        <v>沿用原计划SKU店铺</v>
      </c>
      <c r="R304" s="16" t="str">
        <v>已匹配</v>
      </c>
      <c r="S304" s="16" t="str">
        <v>在售</v>
      </c>
      <c r="T304" s="16" t="str">
        <v>B06b</v>
      </c>
      <c r="U304" s="16" t="str">
        <v>裸色PU</v>
      </c>
      <c r="V304" s="16" t="n">
        <v>8</v>
      </c>
      <c r="W304" s="8" t="str">
        <v>2026-10-10 至 2026-10-17</v>
      </c>
      <c r="X304" s="8" t="str">
        <v>2026-10-10、2026-10-11、2026-10-12、2026-10-13、2026-10-14、2026-10-15、2026-10-17</v>
      </c>
      <c r="Y304" s="8" t="str">
        <v>2026-10-16 有记录的停售日</v>
      </c>
      <c r="Z304" s="8" t="n">
        <v>2</v>
      </c>
      <c r="AA304" s="8" t="n">
        <v>0</v>
      </c>
      <c r="AB304" s="8" t="n">
        <v>7</v>
      </c>
      <c r="AC304" s="8" t="str">
        <v>2026-10-01 至 2026-10-17</v>
      </c>
      <c r="AD304" s="8" t="str">
        <v>2026-10-01、2026-10-02、2026-10-03、2026-10-04、2026-10-05、2026-10-08、2026-10-09、2026-10-10、2026-10-11、2026-10-12、2026-10-13、2026-10-14、2026-10-15、2026-10-17</v>
      </c>
      <c r="AE304" s="8" t="str">
        <v>2026-10-06 大促；2026-10-07 大促；2026-10-16 有记录的停售日</v>
      </c>
      <c r="AF304" s="8" t="n">
        <v>6</v>
      </c>
      <c r="AG304" s="8" t="n">
        <v>2</v>
      </c>
      <c r="AH304" s="8" t="n">
        <v>14</v>
      </c>
      <c r="AI304" s="8" t="str">
        <v>2026-09-15 至 2026-10-17</v>
      </c>
      <c r="AJ304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304" s="8" t="str">
        <v>2026-10-06 大促；2026-10-07 大促；2026-10-16 有记录的停售日</v>
      </c>
      <c r="AL304" s="8" t="n">
        <v>8</v>
      </c>
      <c r="AM304" s="8" t="n">
        <v>2</v>
      </c>
      <c r="AN304" s="8" t="n">
        <v>30</v>
      </c>
      <c r="AO304" s="8" t="str">
        <v>B06b / 裸色PU / 13120</v>
      </c>
      <c r="AP304" s="11" t="n">
        <v>1.1090677182221615</v>
      </c>
      <c r="AQ304" s="11" t="n">
        <v>1.1090677182221615</v>
      </c>
      <c r="AR304" s="11" t="n">
        <v>0.9399488951632641</v>
      </c>
      <c r="AS304" s="11" t="n">
        <f>IF(AND(COUNT(I304:K304,AP304:AR304)=6,MIN(AP304:AR304)&gt;0),I304/7/AP304*0.5+J304/14/AQ304*0.3+K304/30/AR304*0.2,"")</f>
        <v>0.24864880744192994</v>
      </c>
      <c r="AT304" s="8" t="n">
        <v>29</v>
      </c>
      <c r="AU304" s="8" t="n">
        <v>2</v>
      </c>
      <c r="AV304" s="8" t="n">
        <v>87</v>
      </c>
      <c r="AW304" s="11" t="n">
        <f>IF(AND(COUNT(AT304:AV304)=3,AT304&gt;=AU304,AU304&gt;=0,AV304&gt;0),(AT304-AU304)/AV304,"")</f>
        <v>0.3103448275862069</v>
      </c>
      <c r="AX304" s="8" t="n">
        <v>49</v>
      </c>
      <c r="AY304" s="8" t="n">
        <v>2</v>
      </c>
      <c r="AZ304" s="8" t="n">
        <v>177</v>
      </c>
      <c r="BA304" s="11" t="n">
        <f>IF(AND(COUNT(AX304:AZ304)=3,AX304&gt;=AY304,AY304&gt;=0,AZ304&gt;0),(AX304-AY304)/AZ304,"")</f>
        <v>0.2655367231638418</v>
      </c>
      <c r="BB304" s="8" t="n">
        <f>IF(COUNT(AS304,AW304,BA304)=3,1,0)</f>
        <v>1</v>
      </c>
      <c r="BC304" s="11" t="n">
        <f>IF(SUMIF($AO$11:$AO$1309,AO304,$BB$11:$BB$1309)=COUNTIF($AO$11:$AO$1309,AO304),SUMIF($AO$11:$AO$1309,AO304,$AS$11:$AS$1309),"")</f>
        <v>0.949812540451568</v>
      </c>
      <c r="BD304" s="11" t="n">
        <f>IF(SUMIF($AO$11:$AO$1309,AO304,$BB$11:$BB$1309)=COUNTIF($AO$11:$AO$1309,AO304),SUMIF($AO$11:$AO$1309,AO304,$AW$11:$AW$1309),"")</f>
        <v>0.9247833302600036</v>
      </c>
      <c r="BE304" s="11" t="n">
        <f>IF(SUMIF($AO$11:$AO$1309,AO304,$BB$11:$BB$1309)=COUNTIF($AO$11:$AO$1309,AO304),SUMIF($AO$11:$AO$1309,AO304,$BA$11:$BA$1309),"")</f>
        <v>0.8251835931477904</v>
      </c>
      <c r="BF304" s="12" t="n">
        <f>IF(COUNT(BD304:BE304)&lt;&gt;2,"",IF(AND(BD304&gt;0,BE304&gt;0),0.7*AW304/BD304+0.3*BA304/BE304,IF(BD304&gt;0,AW304/BD304,IF(BE304&gt;0,BA304/BE304,IF(AND(ISNUMBER(BH304),BH304=0),0,"")))))</f>
        <v>0.33144789536045394</v>
      </c>
      <c r="BG304" s="11" t="n">
        <f>IF(AND(COUNT(BN304:BU304)=8,MIN(BN304:BU304)&gt;=0),SUMPRODUCT(BN304:BQ304,BR304:BU304),"")</f>
        <v>94.47778160343367</v>
      </c>
      <c r="BH304" s="11" t="n">
        <f>IF(COUNT(BC304,BG304)=2,BC304*BG304,"")</f>
        <v>89.73618176098576</v>
      </c>
      <c r="BI304" s="11" t="n">
        <f>IF(ISNUMBER(CI304),CI304,"")</f>
        <v>29.74286858236188</v>
      </c>
      <c r="BJ304" s="8" t="str"/>
      <c r="BK304" s="8" t="str">
        <v>90天：2026-07-20 至 2026-10-17；180天：2026-04-21 至 2026-10-17</v>
      </c>
      <c r="BL304" s="8" t="str">
        <v>90天：2026-10-06、2026-10-07、2026-10-16；180天：2026-10-06、2026-10-07、2026-10-16</v>
      </c>
      <c r="BM304" s="8" t="str">
        <v>2026-10：12天 × 1.1090677182221615；2026-11：30天 × 1.0372741535934282；2026-12：31天 × 0.979949351738161；2027-01：17天 × 1.1571949690048173</v>
      </c>
      <c r="BN304" s="11" t="n">
        <v>1.1090677182221615</v>
      </c>
      <c r="BO304" s="11" t="n">
        <v>1.0372741535934282</v>
      </c>
      <c r="BP304" s="11" t="n">
        <v>0.979949351738161</v>
      </c>
      <c r="BQ304" s="11" t="n">
        <v>1.1571949690048173</v>
      </c>
      <c r="BR304" s="8" t="n">
        <v>12</v>
      </c>
      <c r="BS304" s="8" t="n">
        <v>30</v>
      </c>
      <c r="BT304" s="8" t="n">
        <v>31</v>
      </c>
      <c r="BU304" s="8" t="n">
        <v>17</v>
      </c>
      <c r="BV304" s="11" t="n">
        <f>IF(COUNT(BC304,BF304)=2,BC304*BF304,"")</f>
        <v>0.31481336751963823</v>
      </c>
      <c r="BW304" s="11" t="n">
        <f>IF(ISNUMBER(BN304),BN304,"")</f>
        <v>1.1090677182221615</v>
      </c>
      <c r="BX304" s="14" t="n">
        <f>IF(ISNUMBER(BR304),BR304,"")</f>
        <v>12</v>
      </c>
      <c r="BY304" s="13" t="n">
        <f>IF(AND(COUNT(BV304,BW304,BX304)=3,MIN(BV304,BW304,BX304)&gt;=0),BV304*BW304*BX304,"")</f>
        <v>4.189792118170079</v>
      </c>
      <c r="BZ304" s="11" t="n">
        <f>IF(ISNUMBER(BO304),BO304,"")</f>
        <v>1.0372741535934282</v>
      </c>
      <c r="CA304" s="14" t="n">
        <f>IF(ISNUMBER(BS304),BS304,"")</f>
        <v>30</v>
      </c>
      <c r="CB304" s="13" t="n">
        <f>IF(AND(COUNT(BV304,BZ304,CA304)=3,MIN(BV304,BZ304,CA304)&gt;=0),BV304*BZ304*CA304,"")</f>
        <v>9.79643308001489</v>
      </c>
      <c r="CC304" s="11" t="n">
        <f>IF(ISNUMBER(BP304),BP304,"")</f>
        <v>0.979949351738161</v>
      </c>
      <c r="CD304" s="14" t="n">
        <f>IF(ISNUMBER(BT304),BT304,"")</f>
        <v>31</v>
      </c>
      <c r="CE304" s="13" t="n">
        <f>IF(AND(COUNT(BV304,CC304,CD304)=3,MIN(BV304,CC304,CD304)&gt;=0),BV304*CC304*CD304,"")</f>
        <v>9.563535818000684</v>
      </c>
      <c r="CF304" s="11" t="n">
        <f>IF(ISNUMBER(BQ304),BQ304,"")</f>
        <v>1.1571949690048173</v>
      </c>
      <c r="CG304" s="14" t="n">
        <f>IF(ISNUMBER(BU304),BU304,"")</f>
        <v>17</v>
      </c>
      <c r="CH304" s="13" t="n">
        <f>IF(AND(COUNT(BV304,CF304,CG304)=3,MIN(BV304,CF304,CG304)&gt;=0),BV304*CF304*CG304,"")</f>
        <v>6.193107566176228</v>
      </c>
      <c r="CI304" s="13" t="n">
        <f>IF(COUNT(BY304,CB304,CE304,CH304)=4,SUM(BY304,CB304,CE304,CH304),"")</f>
        <v>29.74286858236188</v>
      </c>
    </row>
    <row r="305" ht="72" customHeight="1">
      <c r="A305" s="16" t="str">
        <v>B06b-NY-37.5</v>
      </c>
      <c r="B305" s="16" t="str">
        <v>1店-MUSSHOE-US</v>
      </c>
      <c r="C305" s="16" t="str">
        <v>艾年</v>
      </c>
      <c r="D305" s="26" t="n">
        <f>IF(NOT(ISNUMBER(E305)),"",IF(OR(E305&lt;=0,L305=0),0,IF(OR(NOT(ISNUMBER(F305)),F305&lt;0),"",MIN(E305,INT(F305)))))</f>
        <v>0</v>
      </c>
      <c r="E305" s="27" t="n">
        <f>IF(OR(NOT(ISNUMBER(L305)),COUNT(M305:O305)&lt;&gt;3,MIN(M305:O305)&lt;0),"",ROUNDUP(ROUND(BI305-SUM(M305:O305),10),0))</f>
        <v>9</v>
      </c>
      <c r="F305" s="28" t="n">
        <v>0</v>
      </c>
      <c r="G305" s="28" t="n">
        <f>IF(AND(ISNUMBER(D305),ISNUMBER(E305)),IF(OR(E305&lt;=0,L305=0),0,E305-D305),"")</f>
        <v>9</v>
      </c>
      <c r="H305" s="16" t="str">
        <f>IF(NOT(ISNUMBER(E305)),"销量或海外库存待补",IF(OR(E305&lt;=0,L305=0),IF(L305=0,"零日销，本批不发","本批无需补货"),IF(NOT(ISNUMBER(D305)),"国内库存待补",IF(D305=0,"国内无可用库存",IF(G305&gt;0,"先发国内现货","按建议量发货")))))</f>
        <v>国内无可用库存</v>
      </c>
      <c r="I305" s="28" t="n">
        <f>IF(AND(COUNT(Z305,AA305,AB305)=3,Z305&gt;=AA305,AA305&gt;=0,AB305=7),Z305-AA305,"")</f>
        <v>2</v>
      </c>
      <c r="J305" s="28" t="n">
        <f>IF(AND(COUNT(AF305,AG305,AH305)=3,AF305&gt;=AG305,AG305&gt;=0,AH305=14),AF305-AG305,"")</f>
        <v>2</v>
      </c>
      <c r="K305" s="28" t="n">
        <f>IF(AND(COUNT(AL305,AM305,AN305)=3,AL305&gt;=AM305,AM305&gt;=0,AN305=30),AL305-AM305,"")</f>
        <v>5</v>
      </c>
      <c r="L305" s="29" t="n">
        <f>IF(ISNUMBER(BI305),BI305/90,"")</f>
        <v>0.11116841554324755</v>
      </c>
      <c r="M305" s="28" t="n">
        <v>2</v>
      </c>
      <c r="N305" s="28" t="n">
        <v>0</v>
      </c>
      <c r="O305" s="28" t="n">
        <v>0</v>
      </c>
      <c r="P305" s="30" t="n">
        <f>IF(AND(ISNUMBER(L305),L305&gt;0,COUNT(M305:O305)=3,MIN(M305:O305)&gt;=0),SUM(M305:O305)/L305,"")</f>
        <v>17.99072146730332</v>
      </c>
      <c r="Q305" s="16" t="str">
        <v>沿用原计划SKU店铺</v>
      </c>
      <c r="R305" s="16" t="str">
        <v>已匹配</v>
      </c>
      <c r="S305" s="16" t="str">
        <v>在售</v>
      </c>
      <c r="T305" s="16" t="str">
        <v>B06b</v>
      </c>
      <c r="U305" s="16" t="str">
        <v>藏青色羊京绒</v>
      </c>
      <c r="V305" s="16" t="n">
        <v>6.5</v>
      </c>
      <c r="W305" s="8" t="str">
        <v>2026-10-11 至 2026-10-17</v>
      </c>
      <c r="X305" s="8" t="str">
        <v>2026-10-11、2026-10-12、2026-10-13、2026-10-14、2026-10-15、2026-10-16、2026-10-17</v>
      </c>
      <c r="Y305" s="8" t="str">
        <v>无</v>
      </c>
      <c r="Z305" s="8" t="n">
        <v>2</v>
      </c>
      <c r="AA305" s="8" t="n">
        <v>0</v>
      </c>
      <c r="AB305" s="8" t="n">
        <v>7</v>
      </c>
      <c r="AC305" s="8" t="str">
        <v>2026-10-02 至 2026-10-17</v>
      </c>
      <c r="AD305" s="8" t="str">
        <v>2026-10-02、2026-10-03、2026-10-04、2026-10-05、2026-10-08、2026-10-09、2026-10-10、2026-10-11、2026-10-12、2026-10-13、2026-10-14、2026-10-15、2026-10-16、2026-10-17</v>
      </c>
      <c r="AE305" s="8" t="str">
        <v>2026-10-06 大促；2026-10-07 大促</v>
      </c>
      <c r="AF305" s="8" t="n">
        <v>2</v>
      </c>
      <c r="AG305" s="8" t="n">
        <v>0</v>
      </c>
      <c r="AH305" s="8" t="n">
        <v>14</v>
      </c>
      <c r="AI305" s="8" t="str">
        <v>2026-09-16 至 2026-10-17</v>
      </c>
      <c r="AJ3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5" s="8" t="str">
        <v>2026-10-06 大促；2026-10-07 大促</v>
      </c>
      <c r="AL305" s="8" t="n">
        <v>5</v>
      </c>
      <c r="AM305" s="8" t="n">
        <v>0</v>
      </c>
      <c r="AN305" s="8" t="n">
        <v>30</v>
      </c>
      <c r="AO305" s="8" t="str">
        <v>B06b / 藏青色羊京绒 / 13120</v>
      </c>
      <c r="AP305" s="11" t="n">
        <v>1.1090677182221615</v>
      </c>
      <c r="AQ305" s="11" t="n">
        <v>1.1090677182221615</v>
      </c>
      <c r="AR305" s="11" t="n">
        <v>0.9505188216044452</v>
      </c>
      <c r="AS305" s="11" t="n">
        <f>IF(AND(COUNT(I305:K305,AP305:AR305)=6,MIN(AP305:AR305)&gt;0),I305/7/AP305*0.5+J305/14/AQ305*0.3+K305/30/AR305*0.2,"")</f>
        <v>0.20251937552594562</v>
      </c>
      <c r="AT305" s="8" t="n">
        <v>12</v>
      </c>
      <c r="AU305" s="8" t="n">
        <v>0</v>
      </c>
      <c r="AV305" s="8" t="n">
        <v>88</v>
      </c>
      <c r="AW305" s="11" t="n">
        <f>IF(AND(COUNT(AT305:AV305)=3,AT305&gt;=AU305,AU305&gt;=0,AV305&gt;0),(AT305-AU305)/AV305,"")</f>
        <v>0.13636363636363635</v>
      </c>
      <c r="AX305" s="8" t="n">
        <v>18</v>
      </c>
      <c r="AY305" s="8" t="n">
        <v>0</v>
      </c>
      <c r="AZ305" s="8" t="n">
        <v>178</v>
      </c>
      <c r="BA305" s="11" t="n">
        <f>IF(AND(COUNT(AX305:AZ305)=3,AX305&gt;=AY305,AY305&gt;=0,AZ305&gt;0),(AX305-AY305)/AZ305,"")</f>
        <v>0.10112359550561797</v>
      </c>
      <c r="BB305" s="8" t="n">
        <f>IF(COUNT(AS305,AW305,BA305)=3,1,0)</f>
        <v>1</v>
      </c>
      <c r="BC305" s="11" t="n">
        <f>IF(SUMIF($AO$11:$AO$1309,AO305,$BB$11:$BB$1309)=COUNTIF($AO$11:$AO$1309,AO305),SUMIF($AO$11:$AO$1309,AO305,$AS$11:$AS$1309),"")</f>
        <v>1.0519173612688397</v>
      </c>
      <c r="BD305" s="11" t="n">
        <f>IF(SUMIF($AO$11:$AO$1309,AO305,$BB$11:$BB$1309)=COUNTIF($AO$11:$AO$1309,AO305),SUMIF($AO$11:$AO$1309,AO305,$AW$11:$AW$1309),"")</f>
        <v>1.2745989304812833</v>
      </c>
      <c r="BE305" s="11" t="n">
        <f>IF(SUMIF($AO$11:$AO$1309,AO305,$BB$11:$BB$1309)=COUNTIF($AO$11:$AO$1309,AO305),SUMIF($AO$11:$AO$1309,AO305,$BA$11:$BA$1309),"")</f>
        <v>1.1766292134831462</v>
      </c>
      <c r="BF305" s="12" t="n">
        <f>IF(COUNT(BD305:BE305)&lt;&gt;2,"",IF(AND(BD305&gt;0,BE305&gt;0),0.7*AW305/BD305+0.3*BA305/BE305,IF(BD305&gt;0,AW305/BD305,IF(BE305&gt;0,BA305/BE305,IF(AND(ISNUMBER(BH305),BH305=0),0,"")))))</f>
        <v>0.10067290833033253</v>
      </c>
      <c r="BG305" s="11" t="n">
        <f>IF(AND(COUNT(BN305:BU305)=8,MIN(BN305:BU305)&gt;=0),SUMPRODUCT(BN305:BQ305,BR305:BU305),"")</f>
        <v>94.47778160343367</v>
      </c>
      <c r="BH305" s="11" t="n">
        <f>IF(COUNT(BC305,BG305)=2,BC305*BG305,"")</f>
        <v>99.38281872281767</v>
      </c>
      <c r="BI305" s="11" t="n">
        <f>IF(ISNUMBER(CI305),CI305,"")</f>
        <v>10.00515739889228</v>
      </c>
      <c r="BJ305" s="8" t="str"/>
      <c r="BK305" s="8" t="str">
        <v>90天：2026-07-20 至 2026-10-17；180天：2026-04-21 至 2026-10-17</v>
      </c>
      <c r="BL305" s="8" t="str">
        <v>90天：2026-10-06、2026-10-07；180天：2026-10-06、2026-10-07</v>
      </c>
      <c r="BM305" s="8" t="str">
        <v>2026-10：12天 × 1.1090677182221615；2026-11：30天 × 1.0372741535934282；2026-12：31天 × 0.979949351738161；2027-01：17天 × 1.1571949690048173</v>
      </c>
      <c r="BN305" s="11" t="n">
        <v>1.1090677182221615</v>
      </c>
      <c r="BO305" s="11" t="n">
        <v>1.0372741535934282</v>
      </c>
      <c r="BP305" s="11" t="n">
        <v>0.979949351738161</v>
      </c>
      <c r="BQ305" s="11" t="n">
        <v>1.1571949690048173</v>
      </c>
      <c r="BR305" s="8" t="n">
        <v>12</v>
      </c>
      <c r="BS305" s="8" t="n">
        <v>30</v>
      </c>
      <c r="BT305" s="8" t="n">
        <v>31</v>
      </c>
      <c r="BU305" s="8" t="n">
        <v>17</v>
      </c>
      <c r="BV305" s="11" t="n">
        <f>IF(COUNT(BC305,BF305)=2,BC305*BF305,"")</f>
        <v>0.10589958008210319</v>
      </c>
      <c r="BW305" s="11" t="n">
        <f>IF(ISNUMBER(BN305),BN305,"")</f>
        <v>1.1090677182221615</v>
      </c>
      <c r="BX305" s="14" t="n">
        <f>IF(ISNUMBER(BR305),BR305,"")</f>
        <v>12</v>
      </c>
      <c r="BY305" s="13" t="n">
        <f>IF(AND(COUNT(BV305,BW305,BX305)=3,MIN(BV305,BW305,BX305)&gt;=0),BV305*BW305*BX305,"")</f>
        <v>1.409397667708119</v>
      </c>
      <c r="BZ305" s="11" t="n">
        <f>IF(ISNUMBER(BO305),BO305,"")</f>
        <v>1.0372741535934282</v>
      </c>
      <c r="CA305" s="14" t="n">
        <f>IF(ISNUMBER(BS305),BS305,"")</f>
        <v>30</v>
      </c>
      <c r="CB305" s="13" t="n">
        <f>IF(AND(COUNT(BV305,BZ305,CA305)=3,MIN(BV305,BZ305,CA305)&gt;=0),BV305*BZ305*CA305,"")</f>
        <v>3.2954069188668917</v>
      </c>
      <c r="CC305" s="11" t="n">
        <f>IF(ISNUMBER(BP305),BP305,"")</f>
        <v>0.979949351738161</v>
      </c>
      <c r="CD305" s="14" t="n">
        <f>IF(ISNUMBER(BT305),BT305,"")</f>
        <v>31</v>
      </c>
      <c r="CE305" s="13" t="n">
        <f>IF(AND(COUNT(BV305,CC305,CD305)=3,MIN(BV305,CC305,CD305)&gt;=0),BV305*CC305*CD305,"")</f>
        <v>3.217062970374815</v>
      </c>
      <c r="CF305" s="11" t="n">
        <f>IF(ISNUMBER(BQ305),BQ305,"")</f>
        <v>1.1571949690048173</v>
      </c>
      <c r="CG305" s="14" t="n">
        <f>IF(ISNUMBER(BU305),BU305,"")</f>
        <v>17</v>
      </c>
      <c r="CH305" s="13" t="n">
        <f>IF(AND(COUNT(BV305,CF305,CG305)=3,MIN(BV305,CF305,CG305)&gt;=0),BV305*CF305*CG305,"")</f>
        <v>2.0832898419424537</v>
      </c>
      <c r="CI305" s="13" t="n">
        <f>IF(COUNT(BY305,CB305,CE305,CH305)=4,SUM(BY305,CB305,CE305,CH305),"")</f>
        <v>10.00515739889228</v>
      </c>
    </row>
    <row r="306" ht="72" customHeight="1">
      <c r="A306" s="16" t="str">
        <v>B07-BK-I-0-39.5</v>
      </c>
      <c r="B306" s="16" t="str">
        <v>4店-彬郁-US</v>
      </c>
      <c r="C306" s="16" t="str">
        <v>艾年</v>
      </c>
      <c r="D306" s="26" t="n">
        <f>IF(NOT(ISNUMBER(E306)),"",IF(OR(E306&lt;=0,L306=0),0,IF(OR(NOT(ISNUMBER(F306)),F306&lt;0),"",MIN(E306,INT(F306)))))</f>
        <v>0</v>
      </c>
      <c r="E306" s="27" t="n">
        <f>IF(OR(NOT(ISNUMBER(L306)),COUNT(M306:O306)&lt;&gt;3,MIN(M306:O306)&lt;0),"",ROUNDUP(ROUND(BI306-SUM(M306:O306),10),0))</f>
        <v>9</v>
      </c>
      <c r="F306" s="28" t="n">
        <v>0</v>
      </c>
      <c r="G306" s="28" t="n">
        <f>IF(AND(ISNUMBER(D306),ISNUMBER(E306)),IF(OR(E306&lt;=0,L306=0),0,E306-D306),"")</f>
        <v>9</v>
      </c>
      <c r="H306" s="16" t="str">
        <f>IF(NOT(ISNUMBER(E306)),"销量或海外库存待补",IF(OR(E306&lt;=0,L306=0),IF(L306=0,"零日销，本批不发","本批无需补货"),IF(NOT(ISNUMBER(D306)),"国内库存待补",IF(D306=0,"国内无可用库存",IF(G306&gt;0,"先发国内现货","按建议量发货")))))</f>
        <v>国内无可用库存</v>
      </c>
      <c r="I306" s="28" t="n">
        <f>IF(AND(COUNT(Z306,AA306,AB306)=3,Z306&gt;=AA306,AA306&gt;=0,AB306=7),Z306-AA306,"")</f>
        <v>0</v>
      </c>
      <c r="J306" s="28" t="n">
        <f>IF(AND(COUNT(AF306,AG306,AH306)=3,AF306&gt;=AG306,AG306&gt;=0,AH306=14),AF306-AG306,"")</f>
        <v>0</v>
      </c>
      <c r="K306" s="28" t="n">
        <f>IF(AND(COUNT(AL306,AM306,AN306)=3,AL306&gt;=AM306,AM306&gt;=0,AN306=30),AL306-AM306,"")</f>
        <v>0</v>
      </c>
      <c r="L306" s="29" t="n">
        <f>IF(ISNUMBER(BI306),BI306/90,"")</f>
        <v>0.09257376245249528</v>
      </c>
      <c r="M306" s="28" t="n">
        <v>0</v>
      </c>
      <c r="N306" s="28" t="n">
        <v>0</v>
      </c>
      <c r="O306" s="28" t="n">
        <v>0</v>
      </c>
      <c r="P306" s="30" t="n">
        <f>IF(AND(ISNUMBER(L306),L306&gt;0,COUNT(M306:O306)=3,MIN(M306:O306)&gt;=0),SUM(M306:O306)/L306,"")</f>
        <v>0</v>
      </c>
      <c r="Q306" s="16" t="str">
        <v>沿用原计划SKU店铺</v>
      </c>
      <c r="R306" s="16" t="str">
        <v>已匹配</v>
      </c>
      <c r="S306" s="16" t="str">
        <v>停售</v>
      </c>
      <c r="T306" s="16" t="str">
        <v>B07</v>
      </c>
      <c r="U306" s="16" t="str">
        <v>黑色色织提花</v>
      </c>
      <c r="V306" s="16" t="n">
        <v>8.5</v>
      </c>
      <c r="W306" s="8" t="str">
        <v>2026-10-08 至 2026-10-17</v>
      </c>
      <c r="X306" s="8" t="str">
        <v>2026-10-08、2026-10-09、2026-10-10、2026-10-11、2026-10-14、2026-10-15、2026-10-17</v>
      </c>
      <c r="Y306" s="8" t="str">
        <v>2026-10-12 有记录的停售日；2026-10-13 有记录的停售日；2026-10-16 有记录的停售日</v>
      </c>
      <c r="Z306" s="8" t="n">
        <v>0</v>
      </c>
      <c r="AA306" s="8" t="n">
        <v>0</v>
      </c>
      <c r="AB306" s="8" t="n">
        <v>7</v>
      </c>
      <c r="AC306" s="8" t="str">
        <v>2026-09-29 至 2026-10-17</v>
      </c>
      <c r="AD306" s="8" t="str">
        <v>2026-09-29、2026-09-30、2026-10-01、2026-10-02、2026-10-03、2026-10-04、2026-10-05、2026-10-08、2026-10-09、2026-10-10、2026-10-11、2026-10-14、2026-10-15、2026-10-17</v>
      </c>
      <c r="AE306" s="8" t="str">
        <v>2026-10-06 大促；2026-10-07 大促；2026-10-12 有记录的停售日；2026-10-13 有记录的停售日；2026-10-16 有记录的停售日</v>
      </c>
      <c r="AF306" s="8" t="n">
        <v>0</v>
      </c>
      <c r="AG306" s="8" t="n">
        <v>0</v>
      </c>
      <c r="AH306" s="8" t="n">
        <v>14</v>
      </c>
      <c r="AI306" s="8" t="str">
        <v>2026-09-13 至 2026-10-17</v>
      </c>
      <c r="AJ30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06" s="8" t="str">
        <v>2026-10-06 大促；2026-10-07 大促；2026-10-12 有记录的停售日；2026-10-13 有记录的停售日；2026-10-16 有记录的停售日</v>
      </c>
      <c r="AL306" s="8" t="n">
        <v>0</v>
      </c>
      <c r="AM306" s="8" t="n">
        <v>0</v>
      </c>
      <c r="AN306" s="8" t="n">
        <v>30</v>
      </c>
      <c r="AO306" s="8" t="str">
        <v>B07 / 黑色天鹅绒 / 13306</v>
      </c>
      <c r="AP306" s="11" t="n">
        <v>0.7307750238224848</v>
      </c>
      <c r="AQ306" s="11" t="n">
        <v>0.7348338471341894</v>
      </c>
      <c r="AR306" s="11" t="n">
        <v>0.7478220817316438</v>
      </c>
      <c r="AS306" s="11" t="n">
        <f>IF(AND(COUNT(I306:K306,AP306:AR306)=6,MIN(AP306:AR306)&gt;0),I306/7/AP306*0.5+J306/14/AQ306*0.3+K306/30/AR306*0.2,"")</f>
        <v>0</v>
      </c>
      <c r="AT306" s="8" t="n">
        <v>4</v>
      </c>
      <c r="AU306" s="8" t="n">
        <v>0</v>
      </c>
      <c r="AV306" s="8" t="n">
        <v>85</v>
      </c>
      <c r="AW306" s="11" t="n">
        <f>IF(AND(COUNT(AT306:AV306)=3,AT306&gt;=AU306,AU306&gt;=0,AV306&gt;0),(AT306-AU306)/AV306,"")</f>
        <v>0.047058823529411764</v>
      </c>
      <c r="AX306" s="8" t="n">
        <v>10</v>
      </c>
      <c r="AY306" s="8" t="n">
        <v>0</v>
      </c>
      <c r="AZ306" s="8" t="n">
        <v>175</v>
      </c>
      <c r="BA306" s="11" t="n">
        <f>IF(AND(COUNT(AX306:AZ306)=3,AX306&gt;=AY306,AY306&gt;=0,AZ306&gt;0),(AX306-AY306)/AZ306,"")</f>
        <v>0.05714285714285714</v>
      </c>
      <c r="BB306" s="8" t="n">
        <f>IF(COUNT(AS306,AW306,BA306)=3,1,0)</f>
        <v>1</v>
      </c>
      <c r="BC306" s="11" t="n">
        <f>IF(SUMIF($AO$11:$AO$1309,AO306,$BB$11:$BB$1309)=COUNTIF($AO$11:$AO$1309,AO306),SUMIF($AO$11:$AO$1309,AO306,$AS$11:$AS$1309),"")</f>
        <v>11.92937132043239</v>
      </c>
      <c r="BD306" s="11" t="n">
        <f>IF(SUMIF($AO$11:$AO$1309,AO306,$BB$11:$BB$1309)=COUNTIF($AO$11:$AO$1309,AO306),SUMIF($AO$11:$AO$1309,AO306,$AW$11:$AW$1309),"")</f>
        <v>5.794919786096258</v>
      </c>
      <c r="BE306" s="11" t="n">
        <f>IF(SUMIF($AO$11:$AO$1309,AO306,$BB$11:$BB$1309)=COUNTIF($AO$11:$AO$1309,AO306),SUMIF($AO$11:$AO$1309,AO306,$BA$11:$BA$1309),"")</f>
        <v>5.3098234349919755</v>
      </c>
      <c r="BF306" s="12" t="n">
        <f>IF(COUNT(BD306:BE306)&lt;&gt;2,"",IF(AND(BD306&gt;0,BE306&gt;0),0.7*AW306/BD306+0.3*BA306/BE306,IF(BD306&gt;0,AW306/BD306,IF(BE306&gt;0,BA306/BE306,IF(AND(ISNUMBER(BH306),BH306=0),0,"")))))</f>
        <v>0.008913009586187716</v>
      </c>
      <c r="BG306" s="11" t="n">
        <f>IF(AND(COUNT(BN306:BU306)=8,MIN(BN306:BU306)&gt;=0),SUMPRODUCT(BN306:BQ306,BR306:BU306),"")</f>
        <v>78.35892944347341</v>
      </c>
      <c r="BH306" s="11" t="n">
        <f>IF(COUNT(BC306,BG306)=2,BC306*BG306,"")</f>
        <v>934.7727656027569</v>
      </c>
      <c r="BI306" s="11" t="n">
        <f>IF(ISNUMBER(CI306),CI306,"")</f>
        <v>8.331638620724576</v>
      </c>
      <c r="BJ306" s="8" t="str">
        <v>低销提醒依据不完整</v>
      </c>
      <c r="BK306" s="8" t="str">
        <v>90天：2026-07-20 至 2026-10-17；180天：2026-04-21 至 2026-10-17</v>
      </c>
      <c r="BL306" s="8" t="str">
        <v>90天：2026-10-06、2026-10-07、2026-10-12、2026-10-13、2026-10-16；180天：2026-10-06、2026-10-07、2026-10-12、2026-10-13、2026-10-16</v>
      </c>
      <c r="BM306" s="8" t="str">
        <v>2026-10：12天 × 0.7307750238224848；2026-11：30天 × 0.9523018155490097；2026-12：31天 × 0.5958545198749097；2027-01：17天 × 1.3264167397065354</v>
      </c>
      <c r="BN306" s="11" t="n">
        <v>0.7307750238224848</v>
      </c>
      <c r="BO306" s="11" t="n">
        <v>0.9523018155490097</v>
      </c>
      <c r="BP306" s="11" t="n">
        <v>0.5958545198749097</v>
      </c>
      <c r="BQ306" s="11" t="n">
        <v>1.3264167397065354</v>
      </c>
      <c r="BR306" s="8" t="n">
        <v>12</v>
      </c>
      <c r="BS306" s="8" t="n">
        <v>30</v>
      </c>
      <c r="BT306" s="8" t="n">
        <v>31</v>
      </c>
      <c r="BU306" s="8" t="n">
        <v>17</v>
      </c>
      <c r="BV306" s="11" t="n">
        <f>IF(COUNT(BC306,BF306)=2,BC306*BF306,"")</f>
        <v>0.1063266009362067</v>
      </c>
      <c r="BW306" s="11" t="n">
        <f>IF(ISNUMBER(BN306),BN306,"")</f>
        <v>0.7307750238224848</v>
      </c>
      <c r="BX306" s="14" t="n">
        <f>IF(ISNUMBER(BR306),BR306,"")</f>
        <v>12</v>
      </c>
      <c r="BY306" s="13" t="n">
        <f>IF(AND(COUNT(BV306,BW306,BX306)=3,MIN(BV306,BW306,BX306)&gt;=0),BV306*BW306*BX306,"")</f>
        <v>0.9324098919854436</v>
      </c>
      <c r="BZ306" s="11" t="n">
        <f>IF(ISNUMBER(BO306),BO306,"")</f>
        <v>0.9523018155490097</v>
      </c>
      <c r="CA306" s="14" t="n">
        <f>IF(ISNUMBER(BS306),BS306,"")</f>
        <v>30</v>
      </c>
      <c r="CB306" s="13" t="n">
        <f>IF(AND(COUNT(BV306,BZ306,CA306)=3,MIN(BV306,BZ306,CA306)&gt;=0),BV306*BZ306*CA306,"")</f>
        <v>3.0376504533811404</v>
      </c>
      <c r="CC306" s="11" t="n">
        <f>IF(ISNUMBER(BP306),BP306,"")</f>
        <v>0.5958545198749097</v>
      </c>
      <c r="CD306" s="14" t="n">
        <f>IF(ISNUMBER(BT306),BT306,"")</f>
        <v>31</v>
      </c>
      <c r="CE306" s="13" t="n">
        <f>IF(AND(COUNT(BV306,CC306,CD306)=3,MIN(BV306,CC306,CD306)&gt;=0),BV306*CC306*CD306,"")</f>
        <v>1.9640107582740114</v>
      </c>
      <c r="CF306" s="11" t="n">
        <f>IF(ISNUMBER(BQ306),BQ306,"")</f>
        <v>1.3264167397065354</v>
      </c>
      <c r="CG306" s="14" t="n">
        <f>IF(ISNUMBER(BU306),BU306,"")</f>
        <v>17</v>
      </c>
      <c r="CH306" s="13" t="n">
        <f>IF(AND(COUNT(BV306,CF306,CG306)=3,MIN(BV306,CF306,CG306)&gt;=0),BV306*CF306*CG306,"")</f>
        <v>2.3975675170839796</v>
      </c>
      <c r="CI306" s="13" t="n">
        <f>IF(COUNT(BY306,CB306,CE306,CH306)=4,SUM(BY306,CB306,CE306,CH306),"")</f>
        <v>8.331638620724576</v>
      </c>
    </row>
    <row r="307" ht="72" customHeight="1">
      <c r="A307" s="16" t="str">
        <v>B07-BK-V-0-40</v>
      </c>
      <c r="B307" s="16" t="str">
        <v>4店-彬郁-US</v>
      </c>
      <c r="C307" s="16" t="str">
        <v>艾年</v>
      </c>
      <c r="D307" s="26" t="n">
        <f>IF(NOT(ISNUMBER(E307)),"",IF(OR(E307&lt;=0,L307=0),0,IF(OR(NOT(ISNUMBER(F307)),F307&lt;0),"",MIN(E307,INT(F307)))))</f>
        <v>0</v>
      </c>
      <c r="E307" s="27" t="n">
        <f>IF(OR(NOT(ISNUMBER(L307)),COUNT(M307:O307)&lt;&gt;3,MIN(M307:O307)&lt;0),"",ROUNDUP(ROUND(BI307-SUM(M307:O307),10),0))</f>
        <v>9</v>
      </c>
      <c r="F307" s="28" t="n">
        <v>0</v>
      </c>
      <c r="G307" s="28" t="n">
        <f>IF(AND(ISNUMBER(D307),ISNUMBER(E307)),IF(OR(E307&lt;=0,L307=0),0,E307-D307),"")</f>
        <v>9</v>
      </c>
      <c r="H307" s="16" t="str">
        <f>IF(NOT(ISNUMBER(E307)),"销量或海外库存待补",IF(OR(E307&lt;=0,L307=0),IF(L307=0,"零日销，本批不发","本批无需补货"),IF(NOT(ISNUMBER(D307)),"国内库存待补",IF(D307=0,"国内无可用库存",IF(G307&gt;0,"先发国内现货","按建议量发货")))))</f>
        <v>国内无可用库存</v>
      </c>
      <c r="I307" s="28" t="n">
        <f>IF(AND(COUNT(Z307,AA307,AB307)=3,Z307&gt;=AA307,AA307&gt;=0,AB307=7),Z307-AA307,"")</f>
        <v>0</v>
      </c>
      <c r="J307" s="28" t="n">
        <f>IF(AND(COUNT(AF307,AG307,AH307)=3,AF307&gt;=AG307,AG307&gt;=0,AH307=14),AF307-AG307,"")</f>
        <v>0</v>
      </c>
      <c r="K307" s="28" t="n">
        <f>IF(AND(COUNT(AL307,AM307,AN307)=3,AL307&gt;=AM307,AM307&gt;=0,AN307=30),AL307-AM307,"")</f>
        <v>3</v>
      </c>
      <c r="L307" s="29" t="n">
        <f>IF(ISNUMBER(BI307),BI307/90,"")</f>
        <v>0.1185100573160597</v>
      </c>
      <c r="M307" s="28" t="n">
        <v>2</v>
      </c>
      <c r="N307" s="28" t="n">
        <v>0</v>
      </c>
      <c r="O307" s="28" t="n">
        <v>0</v>
      </c>
      <c r="P307" s="30" t="n">
        <f>IF(AND(ISNUMBER(L307),L307&gt;0,COUNT(M307:O307)=3,MIN(M307:O307)&gt;=0),SUM(M307:O307)/L307,"")</f>
        <v>16.876204815816703</v>
      </c>
      <c r="Q307" s="16" t="str">
        <v>沿用原计划SKU店铺</v>
      </c>
      <c r="R307" s="16" t="str">
        <v>已匹配</v>
      </c>
      <c r="S307" s="16" t="str">
        <v>在售</v>
      </c>
      <c r="T307" s="16" t="str">
        <v>B07</v>
      </c>
      <c r="U307" s="16" t="str">
        <v>黑色天鹅绒</v>
      </c>
      <c r="V307" s="16" t="n">
        <v>9</v>
      </c>
      <c r="W307" s="8" t="str">
        <v>2026-10-11 至 2026-10-17</v>
      </c>
      <c r="X307" s="8" t="str">
        <v>2026-10-11、2026-10-12、2026-10-13、2026-10-14、2026-10-15、2026-10-16、2026-10-17</v>
      </c>
      <c r="Y307" s="8" t="str">
        <v>无</v>
      </c>
      <c r="Z307" s="8" t="n">
        <v>0</v>
      </c>
      <c r="AA307" s="8" t="n">
        <v>0</v>
      </c>
      <c r="AB307" s="8" t="n">
        <v>7</v>
      </c>
      <c r="AC307" s="8" t="str">
        <v>2026-10-02 至 2026-10-17</v>
      </c>
      <c r="AD307" s="8" t="str">
        <v>2026-10-02、2026-10-03、2026-10-04、2026-10-05、2026-10-08、2026-10-09、2026-10-10、2026-10-11、2026-10-12、2026-10-13、2026-10-14、2026-10-15、2026-10-16、2026-10-17</v>
      </c>
      <c r="AE307" s="8" t="str">
        <v>2026-10-06 大促；2026-10-07 大促</v>
      </c>
      <c r="AF307" s="8" t="n">
        <v>1</v>
      </c>
      <c r="AG307" s="8" t="n">
        <v>1</v>
      </c>
      <c r="AH307" s="8" t="n">
        <v>14</v>
      </c>
      <c r="AI307" s="8" t="str">
        <v>2026-09-16 至 2026-10-17</v>
      </c>
      <c r="AJ3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7" s="8" t="str">
        <v>2026-10-06 大促；2026-10-07 大促</v>
      </c>
      <c r="AL307" s="8" t="n">
        <v>4</v>
      </c>
      <c r="AM307" s="8" t="n">
        <v>1</v>
      </c>
      <c r="AN307" s="8" t="n">
        <v>30</v>
      </c>
      <c r="AO307" s="8" t="str">
        <v>B07 / 黑色天鹅绒 / 13306</v>
      </c>
      <c r="AP307" s="11" t="n">
        <v>0.7307750238224848</v>
      </c>
      <c r="AQ307" s="11" t="n">
        <v>0.7307750238224848</v>
      </c>
      <c r="AR307" s="11" t="n">
        <v>0.7449809054134506</v>
      </c>
      <c r="AS307" s="11" t="n">
        <f>IF(AND(COUNT(I307:K307,AP307:AR307)=6,MIN(AP307:AR307)&gt;0),I307/7/AP307*0.5+J307/14/AQ307*0.3+K307/30/AR307*0.2,"")</f>
        <v>0.026846325663743516</v>
      </c>
      <c r="AT307" s="8" t="n">
        <v>7</v>
      </c>
      <c r="AU307" s="8" t="n">
        <v>1</v>
      </c>
      <c r="AV307" s="8" t="n">
        <v>88</v>
      </c>
      <c r="AW307" s="11" t="n">
        <f>IF(AND(COUNT(AT307:AV307)=3,AT307&gt;=AU307,AU307&gt;=0,AV307&gt;0),(AT307-AU307)/AV307,"")</f>
        <v>0.06818181818181818</v>
      </c>
      <c r="AX307" s="8" t="n">
        <v>11</v>
      </c>
      <c r="AY307" s="8" t="n">
        <v>1</v>
      </c>
      <c r="AZ307" s="8" t="n">
        <v>178</v>
      </c>
      <c r="BA307" s="11" t="n">
        <f>IF(AND(COUNT(AX307:AZ307)=3,AX307&gt;=AY307,AY307&gt;=0,AZ307&gt;0),(AX307-AY307)/AZ307,"")</f>
        <v>0.056179775280898875</v>
      </c>
      <c r="BB307" s="8" t="n">
        <f>IF(COUNT(AS307,AW307,BA307)=3,1,0)</f>
        <v>1</v>
      </c>
      <c r="BC307" s="11" t="n">
        <f>IF(SUMIF($AO$11:$AO$1309,AO307,$BB$11:$BB$1309)=COUNTIF($AO$11:$AO$1309,AO307),SUMIF($AO$11:$AO$1309,AO307,$AS$11:$AS$1309),"")</f>
        <v>11.92937132043239</v>
      </c>
      <c r="BD307" s="11" t="n">
        <f>IF(SUMIF($AO$11:$AO$1309,AO307,$BB$11:$BB$1309)=COUNTIF($AO$11:$AO$1309,AO307),SUMIF($AO$11:$AO$1309,AO307,$AW$11:$AW$1309),"")</f>
        <v>5.794919786096258</v>
      </c>
      <c r="BE307" s="11" t="n">
        <f>IF(SUMIF($AO$11:$AO$1309,AO307,$BB$11:$BB$1309)=COUNTIF($AO$11:$AO$1309,AO307),SUMIF($AO$11:$AO$1309,AO307,$BA$11:$BA$1309),"")</f>
        <v>5.3098234349919755</v>
      </c>
      <c r="BF307" s="12" t="n">
        <f>IF(COUNT(BD307:BE307)&lt;&gt;2,"",IF(AND(BD307&gt;0,BE307&gt;0),0.7*AW307/BD307+0.3*BA307/BE307,IF(BD307&gt;0,AW307/BD307,IF(BE307&gt;0,BA307/BE307,IF(AND(ISNUMBER(BH307),BH307=0),0,"")))))</f>
        <v>0.011410158223392208</v>
      </c>
      <c r="BG307" s="11" t="n">
        <f>IF(AND(COUNT(BN307:BU307)=8,MIN(BN307:BU307)&gt;=0),SUMPRODUCT(BN307:BQ307,BR307:BU307),"")</f>
        <v>78.35892944347341</v>
      </c>
      <c r="BH307" s="11" t="n">
        <f>IF(COUNT(BC307,BG307)=2,BC307*BG307,"")</f>
        <v>934.7727656027569</v>
      </c>
      <c r="BI307" s="11" t="n">
        <f>IF(ISNUMBER(CI307),CI307,"")</f>
        <v>10.665905158445373</v>
      </c>
      <c r="BJ307" s="8" t="str">
        <v>低销提醒依据不完整</v>
      </c>
      <c r="BK307" s="8" t="str">
        <v>90天：2026-07-20 至 2026-10-17；180天：2026-04-21 至 2026-10-17</v>
      </c>
      <c r="BL307" s="8" t="str">
        <v>90天：2026-10-06、2026-10-07；180天：2026-10-06、2026-10-07</v>
      </c>
      <c r="BM307" s="8" t="str">
        <v>2026-10：12天 × 0.7307750238224848；2026-11：30天 × 0.9523018155490097；2026-12：31天 × 0.5958545198749097；2027-01：17天 × 1.3264167397065354</v>
      </c>
      <c r="BN307" s="11" t="n">
        <v>0.7307750238224848</v>
      </c>
      <c r="BO307" s="11" t="n">
        <v>0.9523018155490097</v>
      </c>
      <c r="BP307" s="11" t="n">
        <v>0.5958545198749097</v>
      </c>
      <c r="BQ307" s="11" t="n">
        <v>1.3264167397065354</v>
      </c>
      <c r="BR307" s="8" t="n">
        <v>12</v>
      </c>
      <c r="BS307" s="8" t="n">
        <v>30</v>
      </c>
      <c r="BT307" s="8" t="n">
        <v>31</v>
      </c>
      <c r="BU307" s="8" t="n">
        <v>17</v>
      </c>
      <c r="BV307" s="11" t="n">
        <f>IF(COUNT(BC307,BF307)=2,BC307*BF307,"")</f>
        <v>0.13611601427173078</v>
      </c>
      <c r="BW307" s="11" t="n">
        <f>IF(ISNUMBER(BN307),BN307,"")</f>
        <v>0.7307750238224848</v>
      </c>
      <c r="BX307" s="14" t="n">
        <f>IF(ISNUMBER(BR307),BR307,"")</f>
        <v>12</v>
      </c>
      <c r="BY307" s="13" t="n">
        <f>IF(AND(COUNT(BV307,BW307,BX307)=3,MIN(BV307,BW307,BX307)&gt;=0),BV307*BW307*BX307,"")</f>
        <v>1.193642202864549</v>
      </c>
      <c r="BZ307" s="11" t="n">
        <f>IF(ISNUMBER(BO307),BO307,"")</f>
        <v>0.9523018155490097</v>
      </c>
      <c r="CA307" s="14" t="n">
        <f>IF(ISNUMBER(BS307),BS307,"")</f>
        <v>30</v>
      </c>
      <c r="CB307" s="13" t="n">
        <f>IF(AND(COUNT(BV307,BZ307,CA307)=3,MIN(BV307,BZ307,CA307)&gt;=0),BV307*BZ307*CA307,"")</f>
        <v>3.888705825487924</v>
      </c>
      <c r="CC307" s="11" t="n">
        <f>IF(ISNUMBER(BP307),BP307,"")</f>
        <v>0.5958545198749097</v>
      </c>
      <c r="CD307" s="14" t="n">
        <f>IF(ISNUMBER(BT307),BT307,"")</f>
        <v>31</v>
      </c>
      <c r="CE307" s="13" t="n">
        <f>IF(AND(COUNT(BV307,CC307,CD307)=3,MIN(BV307,CC307,CD307)&gt;=0),BV307*CC307*CD307,"")</f>
        <v>2.5142656122662235</v>
      </c>
      <c r="CF307" s="11" t="n">
        <f>IF(ISNUMBER(BQ307),BQ307,"")</f>
        <v>1.3264167397065354</v>
      </c>
      <c r="CG307" s="14" t="n">
        <f>IF(ISNUMBER(BU307),BU307,"")</f>
        <v>17</v>
      </c>
      <c r="CH307" s="13" t="n">
        <f>IF(AND(COUNT(BV307,CF307,CG307)=3,MIN(BV307,CF307,CG307)&gt;=0),BV307*CF307*CG307,"")</f>
        <v>3.0692915178266755</v>
      </c>
      <c r="CI307" s="13" t="n">
        <f>IF(COUNT(BY307,CB307,CE307,CH307)=4,SUM(BY307,CB307,CE307,CH307),"")</f>
        <v>10.665905158445373</v>
      </c>
    </row>
    <row r="308" ht="72" customHeight="1">
      <c r="A308" s="16" t="str">
        <v>1S01-SP-42-NEW</v>
      </c>
      <c r="B308" s="16" t="str">
        <v>3店-SANDIEX-US</v>
      </c>
      <c r="C308" s="16" t="str">
        <v>徐新怡</v>
      </c>
      <c r="D308" s="26" t="n">
        <f>IF(NOT(ISNUMBER(E308)),"",IF(OR(E308&lt;=0,L308=0),0,IF(OR(NOT(ISNUMBER(F308)),F308&lt;0),"",MIN(E308,INT(F308)))))</f>
        <v>0</v>
      </c>
      <c r="E308" s="27" t="n">
        <f>IF(OR(NOT(ISNUMBER(L308)),COUNT(M308:O308)&lt;&gt;3,MIN(M308:O308)&lt;0),"",ROUNDUP(ROUND(BI308-SUM(M308:O308),10),0))</f>
        <v>8</v>
      </c>
      <c r="F308" s="28" t="n">
        <v>0</v>
      </c>
      <c r="G308" s="28" t="n">
        <f>IF(AND(ISNUMBER(D308),ISNUMBER(E308)),IF(OR(E308&lt;=0,L308=0),0,E308-D308),"")</f>
        <v>8</v>
      </c>
      <c r="H308" s="16" t="str">
        <f>IF(NOT(ISNUMBER(E308)),"销量或海外库存待补",IF(OR(E308&lt;=0,L308=0),IF(L308=0,"零日销，本批不发","本批无需补货"),IF(NOT(ISNUMBER(D308)),"国内库存待补",IF(D308=0,"国内无可用库存",IF(G308&gt;0,"先发国内现货","按建议量发货")))))</f>
        <v>国内无可用库存</v>
      </c>
      <c r="I308" s="28" t="n">
        <f>IF(AND(COUNT(Z308,AA308,AB308)=3,Z308&gt;=AA308,AA308&gt;=0,AB308=7),Z308-AA308,"")</f>
        <v>3</v>
      </c>
      <c r="J308" s="28" t="n">
        <f>IF(AND(COUNT(AF308,AG308,AH308)=3,AF308&gt;=AG308,AG308&gt;=0,AH308=14),AF308-AG308,"")</f>
        <v>4</v>
      </c>
      <c r="K308" s="28" t="n">
        <f>IF(AND(COUNT(AL308,AM308,AN308)=3,AL308&gt;=AM308,AM308&gt;=0,AN308=30),AL308-AM308,"")</f>
        <v>6</v>
      </c>
      <c r="L308" s="29" t="n">
        <f>IF(ISNUMBER(BI308),BI308/90,"")</f>
        <v>0.09590583004437904</v>
      </c>
      <c r="M308" s="28" t="n">
        <v>1</v>
      </c>
      <c r="N308" s="28" t="n">
        <v>0</v>
      </c>
      <c r="O308" s="28" t="n">
        <v>0</v>
      </c>
      <c r="P308" s="30" t="n">
        <f>IF(AND(ISNUMBER(L308),L308&gt;0,COUNT(M308:O308)=3,MIN(M308:O308)&gt;=0),SUM(M308:O308)/L308,"")</f>
        <v>10.426894793958454</v>
      </c>
      <c r="Q308" s="16" t="str">
        <v>沿用原计划SKU店铺</v>
      </c>
      <c r="R308" s="16" t="str">
        <v>已匹配</v>
      </c>
      <c r="S308" s="16" t="str">
        <v>在售</v>
      </c>
      <c r="T308" s="16" t="str">
        <v>1S01</v>
      </c>
      <c r="U308" s="16" t="str">
        <v>黑白蛇纹</v>
      </c>
      <c r="V308" s="16" t="n">
        <v>11</v>
      </c>
      <c r="W308" s="8" t="str">
        <v>2026-10-11 至 2026-10-17</v>
      </c>
      <c r="X308" s="8" t="str">
        <v>2026-10-11、2026-10-12、2026-10-13、2026-10-14、2026-10-15、2026-10-16、2026-10-17</v>
      </c>
      <c r="Y308" s="8" t="str">
        <v>无</v>
      </c>
      <c r="Z308" s="8" t="n">
        <v>3</v>
      </c>
      <c r="AA308" s="8" t="n">
        <v>0</v>
      </c>
      <c r="AB308" s="8" t="n">
        <v>7</v>
      </c>
      <c r="AC308" s="8" t="str">
        <v>2026-10-02 至 2026-10-17</v>
      </c>
      <c r="AD308" s="8" t="str">
        <v>2026-10-02、2026-10-03、2026-10-04、2026-10-05、2026-10-08、2026-10-09、2026-10-10、2026-10-11、2026-10-12、2026-10-13、2026-10-14、2026-10-15、2026-10-16、2026-10-17</v>
      </c>
      <c r="AE308" s="8" t="str">
        <v>2026-10-06 大促；2026-10-07 大促</v>
      </c>
      <c r="AF308" s="8" t="n">
        <v>5</v>
      </c>
      <c r="AG308" s="8" t="n">
        <v>1</v>
      </c>
      <c r="AH308" s="8" t="n">
        <v>14</v>
      </c>
      <c r="AI308" s="8" t="str">
        <v>2026-09-16 至 2026-10-17</v>
      </c>
      <c r="AJ3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08" s="8" t="str">
        <v>2026-10-06 大促；2026-10-07 大促</v>
      </c>
      <c r="AL308" s="8" t="n">
        <v>7</v>
      </c>
      <c r="AM308" s="8" t="n">
        <v>1</v>
      </c>
      <c r="AN308" s="8" t="n">
        <v>30</v>
      </c>
      <c r="AO308" s="8" t="str">
        <v>1S01 / 黑白蛇纹PU / 6574</v>
      </c>
      <c r="AP308" s="11" t="n">
        <v>0.8729500662042875</v>
      </c>
      <c r="AQ308" s="11" t="n">
        <v>0.8729500662042875</v>
      </c>
      <c r="AR308" s="11" t="n">
        <v>1.0921363354767095</v>
      </c>
      <c r="AS308" s="11" t="n">
        <f>IF(AND(COUNT(I308:K308,AP308:AR308)=6,MIN(AP308:AR308)&gt;0),I308/7/AP308*0.5+J308/14/AQ308*0.3+K308/30/AR308*0.2,"")</f>
        <v>0.38028773242045427</v>
      </c>
      <c r="AT308" s="8" t="n">
        <v>9</v>
      </c>
      <c r="AU308" s="8" t="n">
        <v>1</v>
      </c>
      <c r="AV308" s="8" t="n">
        <v>88</v>
      </c>
      <c r="AW308" s="11" t="n">
        <f>IF(AND(COUNT(AT308:AV308)=3,AT308&gt;=AU308,AU308&gt;=0,AV308&gt;0),(AT308-AU308)/AV308,"")</f>
        <v>0.09090909090909091</v>
      </c>
      <c r="AX308" s="8" t="n">
        <v>17</v>
      </c>
      <c r="AY308" s="8" t="n">
        <v>1</v>
      </c>
      <c r="AZ308" s="8" t="n">
        <v>178</v>
      </c>
      <c r="BA308" s="11" t="n">
        <f>IF(AND(COUNT(AX308:AZ308)=3,AX308&gt;=AY308,AY308&gt;=0,AZ308&gt;0),(AX308-AY308)/AZ308,"")</f>
        <v>0.0898876404494382</v>
      </c>
      <c r="BB308" s="8" t="n">
        <f>IF(COUNT(AS308,AW308,BA308)=3,1,0)</f>
        <v>1</v>
      </c>
      <c r="BC308" s="11" t="n">
        <f>IF(SUMIF($AO$11:$AO$1309,AO308,$BB$11:$BB$1309)=COUNTIF($AO$11:$AO$1309,AO308),SUMIF($AO$11:$AO$1309,AO308,$AS$11:$AS$1309),"")</f>
        <v>0.5210763310255071</v>
      </c>
      <c r="BD308" s="11" t="n">
        <f>IF(SUMIF($AO$11:$AO$1309,AO308,$BB$11:$BB$1309)=COUNTIF($AO$11:$AO$1309,AO308),SUMIF($AO$11:$AO$1309,AO308,$AW$11:$AW$1309),"")</f>
        <v>0.36363636363636365</v>
      </c>
      <c r="BE308" s="11" t="n">
        <f>IF(SUMIF($AO$11:$AO$1309,AO308,$BB$11:$BB$1309)=COUNTIF($AO$11:$AO$1309,AO308),SUMIF($AO$11:$AO$1309,AO308,$BA$11:$BA$1309),"")</f>
        <v>0.3207062600321028</v>
      </c>
      <c r="BF308" s="12" t="n">
        <f>IF(COUNT(BD308:BE308)&lt;&gt;2,"",IF(AND(BD308&gt;0,BE308&gt;0),0.7*AW308/BD308+0.3*BA308/BE308,IF(BD308&gt;0,AW308/BD308,IF(BE308&gt;0,BA308/BE308,IF(AND(ISNUMBER(BH308),BH308=0),0,"")))))</f>
        <v>0.25908408408408407</v>
      </c>
      <c r="BG308" s="11" t="n">
        <f>IF(AND(COUNT(BN308:BU308)=8,MIN(BN308:BU308)&gt;=0),SUMPRODUCT(BN308:BQ308,BR308:BU308),"")</f>
        <v>63.935996265425516</v>
      </c>
      <c r="BH308" s="11" t="n">
        <f>IF(COUNT(BC308,BG308)=2,BC308*BG308,"")</f>
        <v>33.31553435444845</v>
      </c>
      <c r="BI308" s="11" t="n">
        <f>IF(ISNUMBER(CI308),CI308,"")</f>
        <v>8.631524703994113</v>
      </c>
      <c r="BJ308" s="8" t="str">
        <v>近180天本色销量65双（＜90），无有效新采购，请运营判断</v>
      </c>
      <c r="BK308" s="8" t="str">
        <v>90天：2026-07-20 至 2026-10-17；180天：2026-04-21 至 2026-10-17</v>
      </c>
      <c r="BL308" s="8" t="str">
        <v>90天：2026-10-06、2026-10-07；180天：2026-10-06、2026-10-07</v>
      </c>
      <c r="BM308" s="8" t="str">
        <v>2026-10：12天 × 0.8729500662042875；2026-11：30天 × 0.8057375774163482；2026-12：31天 × 0.532550303142279；2027-01：17天 × 0.7517299265337036</v>
      </c>
      <c r="BN308" s="11" t="n">
        <v>0.8729500662042875</v>
      </c>
      <c r="BO308" s="11" t="n">
        <v>0.8057375774163482</v>
      </c>
      <c r="BP308" s="11" t="n">
        <v>0.532550303142279</v>
      </c>
      <c r="BQ308" s="11" t="n">
        <v>0.7517299265337036</v>
      </c>
      <c r="BR308" s="8" t="n">
        <v>12</v>
      </c>
      <c r="BS308" s="8" t="n">
        <v>30</v>
      </c>
      <c r="BT308" s="8" t="n">
        <v>31</v>
      </c>
      <c r="BU308" s="8" t="n">
        <v>17</v>
      </c>
      <c r="BV308" s="11" t="n">
        <f>IF(COUNT(BC308,BF308)=2,BC308*BF308,"")</f>
        <v>0.1350025839616385</v>
      </c>
      <c r="BW308" s="11" t="n">
        <f>IF(ISNUMBER(BN308),BN308,"")</f>
        <v>0.8729500662042875</v>
      </c>
      <c r="BX308" s="14" t="n">
        <f>IF(ISNUMBER(BR308),BR308,"")</f>
        <v>12</v>
      </c>
      <c r="BY308" s="13" t="n">
        <f>IF(AND(COUNT(BV308,BW308,BX308)=3,MIN(BV308,BW308,BX308)&gt;=0),BV308*BW308*BX308,"")</f>
        <v>1.4142061752847466</v>
      </c>
      <c r="BZ308" s="11" t="n">
        <f>IF(ISNUMBER(BO308),BO308,"")</f>
        <v>0.8057375774163482</v>
      </c>
      <c r="CA308" s="14" t="n">
        <f>IF(ISNUMBER(BS308),BS308,"")</f>
        <v>30</v>
      </c>
      <c r="CB308" s="13" t="n">
        <f>IF(AND(COUNT(BV308,BZ308,CA308)=3,MIN(BV308,BZ308,CA308)&gt;=0),BV308*BZ308*CA308,"")</f>
        <v>3.2632996483859324</v>
      </c>
      <c r="CC308" s="11" t="n">
        <f>IF(ISNUMBER(BP308),BP308,"")</f>
        <v>0.532550303142279</v>
      </c>
      <c r="CD308" s="14" t="n">
        <f>IF(ISNUMBER(BT308),BT308,"")</f>
        <v>31</v>
      </c>
      <c r="CE308" s="13" t="n">
        <f>IF(AND(COUNT(BV308,CC308,CD308)=3,MIN(BV308,CC308,CD308)&gt;=0),BV308*CC308*CD308,"")</f>
        <v>2.2287656774266082</v>
      </c>
      <c r="CF308" s="11" t="n">
        <f>IF(ISNUMBER(BQ308),BQ308,"")</f>
        <v>0.7517299265337036</v>
      </c>
      <c r="CG308" s="14" t="n">
        <f>IF(ISNUMBER(BU308),BU308,"")</f>
        <v>17</v>
      </c>
      <c r="CH308" s="13" t="n">
        <f>IF(AND(COUNT(BV308,CF308,CG308)=3,MIN(BV308,CF308,CG308)&gt;=0),BV308*CF308*CG308,"")</f>
        <v>1.7252532028968253</v>
      </c>
      <c r="CI308" s="13" t="n">
        <f>IF(COUNT(BY308,CB308,CE308,CH308)=4,SUM(BY308,CB308,CE308,CH308),"")</f>
        <v>8.631524703994113</v>
      </c>
    </row>
    <row r="309" ht="72" customHeight="1">
      <c r="A309" s="16" t="str">
        <v>2302153-RD-S-Z-7</v>
      </c>
      <c r="B309" s="16" t="str">
        <v>3店-SANDIEX-US</v>
      </c>
      <c r="C309" s="16" t="str">
        <v>徐新怡</v>
      </c>
      <c r="D309" s="26" t="n">
        <f>IF(NOT(ISNUMBER(E309)),"",IF(OR(E309&lt;=0,L309=0),0,IF(OR(NOT(ISNUMBER(F309)),F309&lt;0),"",MIN(E309,INT(F309)))))</f>
        <v>0</v>
      </c>
      <c r="E309" s="27" t="n">
        <f>IF(OR(NOT(ISNUMBER(L309)),COUNT(M309:O309)&lt;&gt;3,MIN(M309:O309)&lt;0),"",ROUNDUP(ROUND(BI309-SUM(M309:O309),10),0))</f>
        <v>8</v>
      </c>
      <c r="F309" s="28" t="n">
        <v>0</v>
      </c>
      <c r="G309" s="28" t="n">
        <f>IF(AND(ISNUMBER(D309),ISNUMBER(E309)),IF(OR(E309&lt;=0,L309=0),0,E309-D309),"")</f>
        <v>8</v>
      </c>
      <c r="H309" s="16" t="str">
        <f>IF(NOT(ISNUMBER(E309)),"销量或海外库存待补",IF(OR(E309&lt;=0,L309=0),IF(L309=0,"零日销，本批不发","本批无需补货"),IF(NOT(ISNUMBER(D309)),"国内库存待补",IF(D309=0,"国内无可用库存",IF(G309&gt;0,"先发国内现货","按建议量发货")))))</f>
        <v>国内无可用库存</v>
      </c>
      <c r="I309" s="28" t="n">
        <f>IF(AND(COUNT(Z309,AA309,AB309)=3,Z309&gt;=AA309,AA309&gt;=0,AB309=7),Z309-AA309,"")</f>
        <v>1</v>
      </c>
      <c r="J309" s="28" t="n">
        <f>IF(AND(COUNT(AF309,AG309,AH309)=3,AF309&gt;=AG309,AG309&gt;=0,AH309=14),AF309-AG309,"")</f>
        <v>2</v>
      </c>
      <c r="K309" s="28" t="n">
        <f>IF(AND(COUNT(AL309,AM309,AN309)=3,AL309&gt;=AM309,AM309&gt;=0,AN309=30),AL309-AM309,"")</f>
        <v>2</v>
      </c>
      <c r="L309" s="29" t="n">
        <f>IF(ISNUMBER(BI309),BI309/90,"")</f>
        <v>0.0877422452077783</v>
      </c>
      <c r="M309" s="28" t="n">
        <v>0</v>
      </c>
      <c r="N309" s="28" t="n">
        <v>0</v>
      </c>
      <c r="O309" s="28" t="n">
        <v>0</v>
      </c>
      <c r="P309" s="30" t="n">
        <f>IF(AND(ISNUMBER(L309),L309&gt;0,COUNT(M309:O309)=3,MIN(M309:O309)&gt;=0),SUM(M309:O309)/L309,"")</f>
        <v>0</v>
      </c>
      <c r="Q309" s="16" t="str">
        <v>沿用原计划SKU店铺</v>
      </c>
      <c r="R309" s="16" t="str">
        <v>已匹配</v>
      </c>
      <c r="S309" s="16" t="str">
        <v>停售</v>
      </c>
      <c r="T309" s="16" t="str">
        <v>2302153</v>
      </c>
      <c r="U309" s="16" t="str">
        <v>红色</v>
      </c>
      <c r="V309" s="16" t="n">
        <v>7</v>
      </c>
      <c r="W309" s="8" t="str">
        <v>2026-10-10 至 2026-10-17</v>
      </c>
      <c r="X309" s="8" t="str">
        <v>2026-10-10、2026-10-11、2026-10-12、2026-10-13、2026-10-14、2026-10-15、2026-10-17</v>
      </c>
      <c r="Y309" s="8" t="str">
        <v>2026-10-16 有记录的停售日</v>
      </c>
      <c r="Z309" s="8" t="n">
        <v>1</v>
      </c>
      <c r="AA309" s="8" t="n">
        <v>0</v>
      </c>
      <c r="AB309" s="8" t="n">
        <v>7</v>
      </c>
      <c r="AC309" s="8" t="str">
        <v>2026-10-01 至 2026-10-17</v>
      </c>
      <c r="AD309" s="8" t="str">
        <v>2026-10-01、2026-10-02、2026-10-03、2026-10-04、2026-10-05、2026-10-08、2026-10-09、2026-10-10、2026-10-11、2026-10-12、2026-10-13、2026-10-14、2026-10-15、2026-10-17</v>
      </c>
      <c r="AE309" s="8" t="str">
        <v>2026-10-06 大促；2026-10-07 大促；2026-10-16 有记录的停售日</v>
      </c>
      <c r="AF309" s="8" t="n">
        <v>3</v>
      </c>
      <c r="AG309" s="8" t="n">
        <v>1</v>
      </c>
      <c r="AH309" s="8" t="n">
        <v>14</v>
      </c>
      <c r="AI309" s="8" t="str">
        <v>2026-09-15 至 2026-10-17</v>
      </c>
      <c r="AJ309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309" s="8" t="str">
        <v>2026-10-06 大促；2026-10-07 大促；2026-10-16 有记录的停售日</v>
      </c>
      <c r="AL309" s="8" t="n">
        <v>3</v>
      </c>
      <c r="AM309" s="8" t="n">
        <v>1</v>
      </c>
      <c r="AN309" s="8" t="n">
        <v>30</v>
      </c>
      <c r="AO309" s="8" t="str">
        <v>2302153 / 红色羊京绒 / 6574</v>
      </c>
      <c r="AP309" s="11" t="n">
        <v>1.7391279184229513</v>
      </c>
      <c r="AQ309" s="11" t="n">
        <v>1.7391279184229513</v>
      </c>
      <c r="AR309" s="11" t="n">
        <v>1.5621267144429725</v>
      </c>
      <c r="AS309" s="11" t="n">
        <f>IF(AND(COUNT(I309:K309,AP309:AR309)=6,MIN(AP309:AR309)&gt;0),I309/7/AP309*0.5+J309/14/AQ309*0.3+K309/30/AR309*0.2,"")</f>
        <v>0.07424975325421146</v>
      </c>
      <c r="AT309" s="8" t="n">
        <v>5</v>
      </c>
      <c r="AU309" s="8" t="n">
        <v>1</v>
      </c>
      <c r="AV309" s="8" t="n">
        <v>87</v>
      </c>
      <c r="AW309" s="11" t="n">
        <f>IF(AND(COUNT(AT309:AV309)=3,AT309&gt;=AU309,AU309&gt;=0,AV309&gt;0),(AT309-AU309)/AV309,"")</f>
        <v>0.04597701149425287</v>
      </c>
      <c r="AX309" s="8" t="n">
        <v>9</v>
      </c>
      <c r="AY309" s="8" t="n">
        <v>1</v>
      </c>
      <c r="AZ309" s="8" t="n">
        <v>177</v>
      </c>
      <c r="BA309" s="11" t="n">
        <f>IF(AND(COUNT(AX309:AZ309)=3,AX309&gt;=AY309,AY309&gt;=0,AZ309&gt;0),(AX309-AY309)/AZ309,"")</f>
        <v>0.04519774011299435</v>
      </c>
      <c r="BB309" s="8" t="n">
        <f>IF(COUNT(AS309,AW309,BA309)=3,1,0)</f>
        <v>1</v>
      </c>
      <c r="BC309" s="11" t="n">
        <f>IF(SUMIF($AO$11:$AO$1309,AO309,$BB$11:$BB$1309)=COUNTIF($AO$11:$AO$1309,AO309),SUMIF($AO$11:$AO$1309,AO309,$AS$11:$AS$1309),"")</f>
        <v>0.5532040882147117</v>
      </c>
      <c r="BD309" s="11" t="n">
        <f>IF(SUMIF($AO$11:$AO$1309,AO309,$BB$11:$BB$1309)=COUNTIF($AO$11:$AO$1309,AO309),SUMIF($AO$11:$AO$1309,AO309,$AW$11:$AW$1309),"")</f>
        <v>0.3535973323498679</v>
      </c>
      <c r="BE309" s="11" t="n">
        <f>IF(SUMIF($AO$11:$AO$1309,AO309,$BB$11:$BB$1309)=COUNTIF($AO$11:$AO$1309,AO309),SUMIF($AO$11:$AO$1309,AO309,$BA$11:$BA$1309),"")</f>
        <v>0.34420255552230417</v>
      </c>
      <c r="BF309" s="12" t="n">
        <f>IF(COUNT(BD309:BE309)&lt;&gt;2,"",IF(AND(BD309&gt;0,BE309&gt;0),0.7*AW309/BD309+0.3*BA309/BE309,IF(BD309&gt;0,AW309/BD309,IF(BE309&gt;0,BA309/BE309,IF(AND(ISNUMBER(BH309),BH309=0),0,"")))))</f>
        <v>0.1304119641740511</v>
      </c>
      <c r="BG309" s="11" t="n">
        <f>IF(AND(COUNT(BN309:BU309)=8,MIN(BN309:BU309)&gt;=0),SUMPRODUCT(BN309:BQ309,BR309:BU309),"")</f>
        <v>109.4582336985339</v>
      </c>
      <c r="BH309" s="11" t="n">
        <f>IF(COUNT(BC309,BG309)=2,BC309*BG309,"")</f>
        <v>60.55274237079028</v>
      </c>
      <c r="BI309" s="11" t="n">
        <f>IF(ISNUMBER(CI309),CI309,"")</f>
        <v>7.8968020687000475</v>
      </c>
      <c r="BJ309" s="8" t="str">
        <v>近180天本色销量75双（＜90），无有效新采购，请运营判断</v>
      </c>
      <c r="BK309" s="8" t="str">
        <v>90天：2026-07-20 至 2026-10-17；180天：2026-04-21 至 2026-10-17</v>
      </c>
      <c r="BL309" s="8" t="str">
        <v>90天：2026-10-06、2026-10-07、2026-10-16；180天：2026-10-06、2026-10-07、2026-10-16</v>
      </c>
      <c r="BM309" s="8" t="str">
        <v>2026-10：12天 × 1.7391279184229513；2026-11：30天 × 1.4002077845513243；2026-12：31天 × 1.079339935625147；2027-01：17天 × 0.7719368903846591</v>
      </c>
      <c r="BN309" s="11" t="n">
        <v>1.7391279184229513</v>
      </c>
      <c r="BO309" s="11" t="n">
        <v>1.4002077845513243</v>
      </c>
      <c r="BP309" s="11" t="n">
        <v>1.079339935625147</v>
      </c>
      <c r="BQ309" s="11" t="n">
        <v>0.7719368903846591</v>
      </c>
      <c r="BR309" s="8" t="n">
        <v>12</v>
      </c>
      <c r="BS309" s="8" t="n">
        <v>30</v>
      </c>
      <c r="BT309" s="8" t="n">
        <v>31</v>
      </c>
      <c r="BU309" s="8" t="n">
        <v>17</v>
      </c>
      <c r="BV309" s="11" t="n">
        <f>IF(COUNT(BC309,BF309)=2,BC309*BF309,"")</f>
        <v>0.07214443173319558</v>
      </c>
      <c r="BW309" s="11" t="n">
        <f>IF(ISNUMBER(BN309),BN309,"")</f>
        <v>1.7391279184229513</v>
      </c>
      <c r="BX309" s="14" t="n">
        <f>IF(ISNUMBER(BR309),BR309,"")</f>
        <v>12</v>
      </c>
      <c r="BY309" s="13" t="n">
        <f>IF(AND(COUNT(BV309,BW309,BX309)=3,MIN(BV309,BW309,BX309)&gt;=0),BV309*BW309*BX309,"")</f>
        <v>1.5056207446315097</v>
      </c>
      <c r="BZ309" s="11" t="n">
        <f>IF(ISNUMBER(BO309),BO309,"")</f>
        <v>1.4002077845513243</v>
      </c>
      <c r="CA309" s="14" t="n">
        <f>IF(ISNUMBER(BS309),BS309,"")</f>
        <v>30</v>
      </c>
      <c r="CB309" s="13" t="n">
        <f>IF(AND(COUNT(BV309,BZ309,CA309)=3,MIN(BV309,BZ309,CA309)&gt;=0),BV309*BZ309*CA309,"")</f>
        <v>3.0305158477455616</v>
      </c>
      <c r="CC309" s="11" t="n">
        <f>IF(ISNUMBER(BP309),BP309,"")</f>
        <v>1.079339935625147</v>
      </c>
      <c r="CD309" s="14" t="n">
        <f>IF(ISNUMBER(BT309),BT309,"")</f>
        <v>31</v>
      </c>
      <c r="CE309" s="13" t="n">
        <f>IF(AND(COUNT(BV309,CC309,CD309)=3,MIN(BV309,CC309,CD309)&gt;=0),BV309*CC309*CD309,"")</f>
        <v>2.413919355381224</v>
      </c>
      <c r="CF309" s="11" t="n">
        <f>IF(ISNUMBER(BQ309),BQ309,"")</f>
        <v>0.7719368903846591</v>
      </c>
      <c r="CG309" s="14" t="n">
        <f>IF(ISNUMBER(BU309),BU309,"")</f>
        <v>17</v>
      </c>
      <c r="CH309" s="13" t="n">
        <f>IF(AND(COUNT(BV309,CF309,CG309)=3,MIN(BV309,CF309,CG309)&gt;=0),BV309*CF309*CG309,"")</f>
        <v>0.9467461209417524</v>
      </c>
      <c r="CI309" s="13" t="n">
        <f>IF(COUNT(BY309,CB309,CE309,CH309)=4,SUM(BY309,CB309,CE309,CH309),"")</f>
        <v>7.8968020687000475</v>
      </c>
    </row>
    <row r="310" ht="72" customHeight="1">
      <c r="A310" s="16" t="str">
        <v>8392-NY-S-K-37</v>
      </c>
      <c r="B310" s="16" t="str">
        <v>3店-SANDIEX-US</v>
      </c>
      <c r="C310" s="16" t="str">
        <v>徐新怡</v>
      </c>
      <c r="D310" s="26" t="n">
        <f>IF(NOT(ISNUMBER(E310)),"",IF(OR(E310&lt;=0,L310=0),0,IF(OR(NOT(ISNUMBER(F310)),F310&lt;0),"",MIN(E310,INT(F310)))))</f>
        <v>0</v>
      </c>
      <c r="E310" s="27" t="n">
        <f>IF(OR(NOT(ISNUMBER(L310)),COUNT(M310:O310)&lt;&gt;3,MIN(M310:O310)&lt;0),"",ROUNDUP(ROUND(BI310-SUM(M310:O310),10),0))</f>
        <v>8</v>
      </c>
      <c r="F310" s="28" t="n">
        <v>0</v>
      </c>
      <c r="G310" s="28" t="n">
        <f>IF(AND(ISNUMBER(D310),ISNUMBER(E310)),IF(OR(E310&lt;=0,L310=0),0,E310-D310),"")</f>
        <v>8</v>
      </c>
      <c r="H310" s="16" t="str">
        <f>IF(NOT(ISNUMBER(E310)),"销量或海外库存待补",IF(OR(E310&lt;=0,L310=0),IF(L310=0,"零日销，本批不发","本批无需补货"),IF(NOT(ISNUMBER(D310)),"国内库存待补",IF(D310=0,"国内无可用库存",IF(G310&gt;0,"先发国内现货","按建议量发货")))))</f>
        <v>国内无可用库存</v>
      </c>
      <c r="I310" s="28" t="n">
        <f>IF(AND(COUNT(Z310,AA310,AB310)=3,Z310&gt;=AA310,AA310&gt;=0,AB310=7),Z310-AA310,"")</f>
        <v>1</v>
      </c>
      <c r="J310" s="28" t="n">
        <f>IF(AND(COUNT(AF310,AG310,AH310)=3,AF310&gt;=AG310,AG310&gt;=0,AH310=14),AF310-AG310,"")</f>
        <v>1</v>
      </c>
      <c r="K310" s="28" t="n">
        <f>IF(AND(COUNT(AL310,AM310,AN310)=3,AL310&gt;=AM310,AM310&gt;=0,AN310=30),AL310-AM310,"")</f>
        <v>1</v>
      </c>
      <c r="L310" s="29" t="n">
        <f>IF(ISNUMBER(BI310),BI310/90,"")</f>
        <v>0.11681855866798413</v>
      </c>
      <c r="M310" s="28" t="n">
        <v>3</v>
      </c>
      <c r="N310" s="28" t="n">
        <v>0</v>
      </c>
      <c r="O310" s="28" t="n">
        <v>0</v>
      </c>
      <c r="P310" s="30" t="n">
        <f>IF(AND(ISNUMBER(L310),L310&gt;0,COUNT(M310:O310)=3,MIN(M310:O310)&gt;=0),SUM(M310:O310)/L310,"")</f>
        <v>25.680851006957294</v>
      </c>
      <c r="Q310" s="16" t="str">
        <v>按本SKU唯一未删除Listing店铺核实</v>
      </c>
      <c r="R310" s="16" t="str">
        <v>已匹配</v>
      </c>
      <c r="S310" s="16" t="str">
        <v>在售</v>
      </c>
      <c r="T310" s="16" t="str">
        <v>8392</v>
      </c>
      <c r="U310" s="16" t="str">
        <v>藏青色</v>
      </c>
      <c r="V310" s="16" t="n">
        <v>6</v>
      </c>
      <c r="W310" s="8" t="str">
        <v>2026-10-11 至 2026-10-17</v>
      </c>
      <c r="X310" s="8" t="str">
        <v>2026-10-11、2026-10-12、2026-10-13、2026-10-14、2026-10-15、2026-10-16、2026-10-17</v>
      </c>
      <c r="Y310" s="8" t="str">
        <v>无</v>
      </c>
      <c r="Z310" s="8" t="n">
        <v>1</v>
      </c>
      <c r="AA310" s="8" t="n">
        <v>0</v>
      </c>
      <c r="AB310" s="8" t="n">
        <v>7</v>
      </c>
      <c r="AC310" s="8" t="str">
        <v>2026-10-02 至 2026-10-17</v>
      </c>
      <c r="AD310" s="8" t="str">
        <v>2026-10-02、2026-10-03、2026-10-04、2026-10-05、2026-10-08、2026-10-09、2026-10-10、2026-10-11、2026-10-12、2026-10-13、2026-10-14、2026-10-15、2026-10-16、2026-10-17</v>
      </c>
      <c r="AE310" s="8" t="str">
        <v>2026-10-06 大促；2026-10-07 大促</v>
      </c>
      <c r="AF310" s="8" t="n">
        <v>2</v>
      </c>
      <c r="AG310" s="8" t="n">
        <v>1</v>
      </c>
      <c r="AH310" s="8" t="n">
        <v>14</v>
      </c>
      <c r="AI310" s="8" t="str">
        <v>2026-09-16 至 2026-10-17</v>
      </c>
      <c r="AJ3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10" s="8" t="str">
        <v>2026-10-06 大促；2026-10-07 大促</v>
      </c>
      <c r="AL310" s="8" t="n">
        <v>2</v>
      </c>
      <c r="AM310" s="8" t="n">
        <v>1</v>
      </c>
      <c r="AN310" s="8" t="n">
        <v>30</v>
      </c>
      <c r="AO310" s="8" t="str">
        <v>8392 / 藏青色羊京绒 / 6574</v>
      </c>
      <c r="AP310" s="11" t="n">
        <v>1.1743420411079069</v>
      </c>
      <c r="AQ310" s="11" t="n">
        <v>1.1743420411079069</v>
      </c>
      <c r="AR310" s="11" t="n">
        <v>1.144331424468921</v>
      </c>
      <c r="AS310" s="11" t="n">
        <f>IF(AND(COUNT(I310:K310,AP310:AR310)=6,MIN(AP310:AR310)&gt;0),I310/7/AP310*0.5+J310/14/AQ310*0.3+K310/30/AR310*0.2,"")</f>
        <v>0.08489745102017039</v>
      </c>
      <c r="AT310" s="8" t="n">
        <v>5</v>
      </c>
      <c r="AU310" s="8" t="n">
        <v>1</v>
      </c>
      <c r="AV310" s="8" t="n">
        <v>88</v>
      </c>
      <c r="AW310" s="11" t="n">
        <f>IF(AND(COUNT(AT310:AV310)=3,AT310&gt;=AU310,AU310&gt;=0,AV310&gt;0),(AT310-AU310)/AV310,"")</f>
        <v>0.045454545454545456</v>
      </c>
      <c r="AX310" s="8" t="n">
        <v>9</v>
      </c>
      <c r="AY310" s="8" t="n">
        <v>1</v>
      </c>
      <c r="AZ310" s="8" t="n">
        <v>178</v>
      </c>
      <c r="BA310" s="11" t="n">
        <f>IF(AND(COUNT(AX310:AZ310)=3,AX310&gt;=AY310,AY310&gt;=0,AZ310&gt;0),(AX310-AY310)/AZ310,"")</f>
        <v>0.0449438202247191</v>
      </c>
      <c r="BB310" s="8" t="n">
        <f>IF(COUNT(AS310,AW310,BA310)=3,1,0)</f>
        <v>1</v>
      </c>
      <c r="BC310" s="11" t="n">
        <f>IF(SUMIF($AO$11:$AO$1309,AO310,$BB$11:$BB$1309)=COUNTIF($AO$11:$AO$1309,AO310),SUMIF($AO$11:$AO$1309,AO310,$AS$11:$AS$1309),"")</f>
        <v>0.6185202058446071</v>
      </c>
      <c r="BD310" s="11" t="n">
        <f>IF(SUMIF($AO$11:$AO$1309,AO310,$BB$11:$BB$1309)=COUNTIF($AO$11:$AO$1309,AO310),SUMIF($AO$11:$AO$1309,AO310,$AW$11:$AW$1309),"")</f>
        <v>0.20655080213903745</v>
      </c>
      <c r="BE310" s="11" t="n">
        <f>IF(SUMIF($AO$11:$AO$1309,AO310,$BB$11:$BB$1309)=COUNTIF($AO$11:$AO$1309,AO310),SUMIF($AO$11:$AO$1309,AO310,$BA$11:$BA$1309),"")</f>
        <v>0.6192937399678973</v>
      </c>
      <c r="BF310" s="12" t="n">
        <f>IF(COUNT(BD310:BE310)&lt;&gt;2,"",IF(AND(BD310&gt;0,BE310&gt;0),0.7*AW310/BD310+0.3*BA310/BE310,IF(BD310&gt;0,AW310/BD310,IF(BE310&gt;0,BA310/BE310,IF(AND(ISNUMBER(BH310),BH310=0),0,"")))))</f>
        <v>0.17581711813228795</v>
      </c>
      <c r="BG310" s="11" t="n">
        <f>IF(AND(COUNT(BN310:BU310)=8,MIN(BN310:BU310)&gt;=0),SUMPRODUCT(BN310:BQ310,BR310:BU310),"")</f>
        <v>96.68059267618935</v>
      </c>
      <c r="BH310" s="11" t="n">
        <f>IF(COUNT(BC310,BG310)=2,BC310*BG310,"")</f>
        <v>59.79890008325525</v>
      </c>
      <c r="BI310" s="11" t="n">
        <f>IF(ISNUMBER(CI310),CI310,"")</f>
        <v>10.513670280118571</v>
      </c>
      <c r="BJ310" s="8" t="str"/>
      <c r="BK310" s="8" t="str">
        <v>90天：2026-07-20 至 2026-10-17；180天：2026-04-21 至 2026-10-17</v>
      </c>
      <c r="BL310" s="8" t="str">
        <v>90天：2026-10-06、2026-10-07；180天：2026-10-06、2026-10-07</v>
      </c>
      <c r="BM310" s="8" t="str">
        <v>2026-10：12天 × 1.1743420411079069；2026-11：30天 × 1.281694931279211；2026-12：31天 × 0.9007634642750235；2027-01：17天 × 0.9537631089407297</v>
      </c>
      <c r="BN310" s="11" t="n">
        <v>1.1743420411079069</v>
      </c>
      <c r="BO310" s="11" t="n">
        <v>1.281694931279211</v>
      </c>
      <c r="BP310" s="11" t="n">
        <v>0.9007634642750235</v>
      </c>
      <c r="BQ310" s="11" t="n">
        <v>0.9537631089407297</v>
      </c>
      <c r="BR310" s="8" t="n">
        <v>12</v>
      </c>
      <c r="BS310" s="8" t="n">
        <v>30</v>
      </c>
      <c r="BT310" s="8" t="n">
        <v>31</v>
      </c>
      <c r="BU310" s="8" t="n">
        <v>17</v>
      </c>
      <c r="BV310" s="11" t="n">
        <f>IF(COUNT(BC310,BF310)=2,BC310*BF310,"")</f>
        <v>0.10874644009818835</v>
      </c>
      <c r="BW310" s="11" t="n">
        <f>IF(ISNUMBER(BN310),BN310,"")</f>
        <v>1.1743420411079069</v>
      </c>
      <c r="BX310" s="14" t="n">
        <f>IF(ISNUMBER(BR310),BR310,"")</f>
        <v>12</v>
      </c>
      <c r="BY310" s="13" t="n">
        <f>IF(AND(COUNT(BV310,BW310,BX310)=3,MIN(BV310,BW310,BX310)&gt;=0),BV310*BW310*BX310,"")</f>
        <v>1.5324661971375027</v>
      </c>
      <c r="BZ310" s="11" t="n">
        <f>IF(ISNUMBER(BO310),BO310,"")</f>
        <v>1.281694931279211</v>
      </c>
      <c r="CA310" s="14" t="n">
        <f>IF(ISNUMBER(BS310),BS310,"")</f>
        <v>30</v>
      </c>
      <c r="CB310" s="13" t="n">
        <f>IF(AND(COUNT(BV310,BZ310,CA310)=3,MIN(BV310,BZ310,CA310)&gt;=0),BV310*BZ310*CA310,"")</f>
        <v>4.181392832055191</v>
      </c>
      <c r="CC310" s="11" t="n">
        <f>IF(ISNUMBER(BP310),BP310,"")</f>
        <v>0.9007634642750235</v>
      </c>
      <c r="CD310" s="14" t="n">
        <f>IF(ISNUMBER(BT310),BT310,"")</f>
        <v>31</v>
      </c>
      <c r="CE310" s="13" t="n">
        <f>IF(AND(COUNT(BV310,CC310,CD310)=3,MIN(BV310,CC310,CD310)&gt;=0),BV310*CC310*CD310,"")</f>
        <v>3.0365994234230342</v>
      </c>
      <c r="CF310" s="11" t="n">
        <f>IF(ISNUMBER(BQ310),BQ310,"")</f>
        <v>0.9537631089407297</v>
      </c>
      <c r="CG310" s="14" t="n">
        <f>IF(ISNUMBER(BU310),BU310,"")</f>
        <v>17</v>
      </c>
      <c r="CH310" s="13" t="n">
        <f>IF(AND(COUNT(BV310,CF310,CG310)=3,MIN(BV310,CF310,CG310)&gt;=0),BV310*CF310*CG310,"")</f>
        <v>1.763211827502844</v>
      </c>
      <c r="CI310" s="13" t="n">
        <f>IF(COUNT(BY310,CB310,CE310,CH310)=4,SUM(BY310,CB310,CE310,CH310),"")</f>
        <v>10.513670280118571</v>
      </c>
    </row>
    <row r="311" ht="72" customHeight="1">
      <c r="A311" s="16" t="str">
        <v>B06-CFP-42</v>
      </c>
      <c r="B311" s="16" t="str">
        <v>1店-MUSSHOE-US</v>
      </c>
      <c r="C311" s="16" t="str">
        <v>艾年</v>
      </c>
      <c r="D311" s="26" t="n">
        <f>IF(NOT(ISNUMBER(E311)),"",IF(OR(E311&lt;=0,L311=0),0,IF(OR(NOT(ISNUMBER(F311)),F311&lt;0),"",MIN(E311,INT(F311)))))</f>
        <v>0</v>
      </c>
      <c r="E311" s="27" t="n">
        <f>IF(OR(NOT(ISNUMBER(L311)),COUNT(M311:O311)&lt;&gt;3,MIN(M311:O311)&lt;0),"",ROUNDUP(ROUND(BI311-SUM(M311:O311),10),0))</f>
        <v>8</v>
      </c>
      <c r="F311" s="28" t="n">
        <v>0</v>
      </c>
      <c r="G311" s="28" t="n">
        <f>IF(AND(ISNUMBER(D311),ISNUMBER(E311)),IF(OR(E311&lt;=0,L311=0),0,E311-D311),"")</f>
        <v>8</v>
      </c>
      <c r="H311" s="16" t="str">
        <f>IF(NOT(ISNUMBER(E311)),"销量或海外库存待补",IF(OR(E311&lt;=0,L311=0),IF(L311=0,"零日销，本批不发","本批无需补货"),IF(NOT(ISNUMBER(D311)),"国内库存待补",IF(D311=0,"国内无可用库存",IF(G311&gt;0,"先发国内现货","按建议量发货")))))</f>
        <v>国内无可用库存</v>
      </c>
      <c r="I311" s="28" t="n">
        <f>IF(AND(COUNT(Z311,AA311,AB311)=3,Z311&gt;=AA311,AA311&gt;=0,AB311=7),Z311-AA311,"")</f>
        <v>1</v>
      </c>
      <c r="J311" s="28" t="n">
        <f>IF(AND(COUNT(AF311,AG311,AH311)=3,AF311&gt;=AG311,AG311&gt;=0,AH311=14),AF311-AG311,"")</f>
        <v>2</v>
      </c>
      <c r="K311" s="28" t="n">
        <f>IF(AND(COUNT(AL311,AM311,AN311)=3,AL311&gt;=AM311,AM311&gt;=0,AN311=30),AL311-AM311,"")</f>
        <v>4</v>
      </c>
      <c r="L311" s="29" t="n">
        <f>IF(ISNUMBER(BI311),BI311/90,"")</f>
        <v>0.13763811124721098</v>
      </c>
      <c r="M311" s="28" t="n">
        <v>5</v>
      </c>
      <c r="N311" s="28" t="n">
        <v>0</v>
      </c>
      <c r="O311" s="28" t="n">
        <v>0</v>
      </c>
      <c r="P311" s="30" t="n">
        <f>IF(AND(ISNUMBER(L311),L311&gt;0,COUNT(M311:O311)=3,MIN(M311:O311)&gt;=0),SUM(M311:O311)/L311,"")</f>
        <v>36.32714772596327</v>
      </c>
      <c r="Q311" s="16" t="str">
        <v>沿用原计划SKU店铺</v>
      </c>
      <c r="R311" s="16" t="str">
        <v>已匹配</v>
      </c>
      <c r="S311" s="16" t="str">
        <v>在售</v>
      </c>
      <c r="T311" s="16" t="str">
        <v>B06</v>
      </c>
      <c r="U311" s="16" t="str">
        <v>咖色PU</v>
      </c>
      <c r="V311" s="16" t="n">
        <v>11</v>
      </c>
      <c r="W311" s="8" t="str">
        <v>2026-10-11 至 2026-10-17</v>
      </c>
      <c r="X311" s="8" t="str">
        <v>2026-10-11、2026-10-12、2026-10-13、2026-10-14、2026-10-15、2026-10-16、2026-10-17</v>
      </c>
      <c r="Y311" s="8" t="str">
        <v>无</v>
      </c>
      <c r="Z311" s="8" t="n">
        <v>1</v>
      </c>
      <c r="AA311" s="8" t="n">
        <v>0</v>
      </c>
      <c r="AB311" s="8" t="n">
        <v>7</v>
      </c>
      <c r="AC311" s="8" t="str">
        <v>2026-10-02 至 2026-10-17</v>
      </c>
      <c r="AD311" s="8" t="str">
        <v>2026-10-02、2026-10-03、2026-10-04、2026-10-05、2026-10-08、2026-10-09、2026-10-10、2026-10-11、2026-10-12、2026-10-13、2026-10-14、2026-10-15、2026-10-16、2026-10-17</v>
      </c>
      <c r="AE311" s="8" t="str">
        <v>2026-10-06 大促；2026-10-07 大促</v>
      </c>
      <c r="AF311" s="8" t="n">
        <v>2</v>
      </c>
      <c r="AG311" s="8" t="n">
        <v>0</v>
      </c>
      <c r="AH311" s="8" t="n">
        <v>14</v>
      </c>
      <c r="AI311" s="8" t="str">
        <v>2026-09-16 至 2026-10-17</v>
      </c>
      <c r="AJ3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11" s="8" t="str">
        <v>2026-10-06 大促；2026-10-07 大促</v>
      </c>
      <c r="AL311" s="8" t="n">
        <v>4</v>
      </c>
      <c r="AM311" s="8" t="n">
        <v>0</v>
      </c>
      <c r="AN311" s="8" t="n">
        <v>30</v>
      </c>
      <c r="AO311" s="8" t="str">
        <v>B06 / 咖色PU / 13120</v>
      </c>
      <c r="AP311" s="11" t="n">
        <v>1.2247029157699902</v>
      </c>
      <c r="AQ311" s="11" t="n">
        <v>1.2247029157699902</v>
      </c>
      <c r="AR311" s="11" t="n">
        <v>1.1136940657346173</v>
      </c>
      <c r="AS311" s="11" t="n">
        <f>IF(AND(COUNT(I311:K311,AP311:AR311)=6,MIN(AP311:AR311)&gt;0),I311/7/AP311*0.5+J311/14/AQ311*0.3+K311/30/AR311*0.2,"")</f>
        <v>0.11726142926776174</v>
      </c>
      <c r="AT311" s="8" t="n">
        <v>9</v>
      </c>
      <c r="AU311" s="8" t="n">
        <v>0</v>
      </c>
      <c r="AV311" s="8" t="n">
        <v>88</v>
      </c>
      <c r="AW311" s="11" t="n">
        <f>IF(AND(COUNT(AT311:AV311)=3,AT311&gt;=AU311,AU311&gt;=0,AV311&gt;0),(AT311-AU311)/AV311,"")</f>
        <v>0.10227272727272728</v>
      </c>
      <c r="AX311" s="8" t="n">
        <v>19</v>
      </c>
      <c r="AY311" s="8" t="n">
        <v>0</v>
      </c>
      <c r="AZ311" s="8" t="n">
        <v>178</v>
      </c>
      <c r="BA311" s="11" t="n">
        <f>IF(AND(COUNT(AX311:AZ311)=3,AX311&gt;=AY311,AY311&gt;=0,AZ311&gt;0),(AX311-AY311)/AZ311,"")</f>
        <v>0.10674157303370786</v>
      </c>
      <c r="BB311" s="8" t="n">
        <f>IF(COUNT(AS311,AW311,BA311)=3,1,0)</f>
        <v>1</v>
      </c>
      <c r="BC311" s="11" t="n">
        <f>IF(SUMIF($AO$11:$AO$1309,AO311,$BB$11:$BB$1309)=COUNTIF($AO$11:$AO$1309,AO311),SUMIF($AO$11:$AO$1309,AO311,$AS$11:$AS$1309),"")</f>
        <v>2.611458509464822</v>
      </c>
      <c r="BD311" s="11" t="n">
        <f>IF(SUMIF($AO$11:$AO$1309,AO311,$BB$11:$BB$1309)=COUNTIF($AO$11:$AO$1309,AO311),SUMIF($AO$11:$AO$1309,AO311,$AW$11:$AW$1309),"")</f>
        <v>1.6638477801268499</v>
      </c>
      <c r="BE311" s="11" t="n">
        <f>IF(SUMIF($AO$11:$AO$1309,AO311,$BB$11:$BB$1309)=COUNTIF($AO$11:$AO$1309,AO311),SUMIF($AO$11:$AO$1309,AO311,$BA$11:$BA$1309),"")</f>
        <v>1.5075970377936672</v>
      </c>
      <c r="BF311" s="12" t="n">
        <f>IF(COUNT(BD311:BE311)&lt;&gt;2,"",IF(AND(BD311&gt;0,BE311&gt;0),0.7*AW311/BD311+0.3*BA311/BE311,IF(BD311&gt;0,AW311/BD311,IF(BE311&gt;0,BA311/BE311,IF(AND(ISNUMBER(BH311),BH311=0),0,"")))))</f>
        <v>0.06426805575247356</v>
      </c>
      <c r="BG311" s="11" t="n">
        <f>IF(AND(COUNT(BN311:BU311)=8,MIN(BN311:BU311)&gt;=0),SUMPRODUCT(BN311:BQ311,BR311:BU311),"")</f>
        <v>73.80791239847399</v>
      </c>
      <c r="BH311" s="11" t="n">
        <f>IF(COUNT(BC311,BG311)=2,BC311*BG311,"")</f>
        <v>192.74630089882905</v>
      </c>
      <c r="BI311" s="11" t="n">
        <f>IF(ISNUMBER(CI311),CI311,"")</f>
        <v>12.38743001224899</v>
      </c>
      <c r="BJ311" s="8" t="str">
        <v>低销提醒依据不完整</v>
      </c>
      <c r="BK311" s="8" t="str">
        <v>90天：2026-07-20 至 2026-10-17；180天：2026-04-21 至 2026-10-17</v>
      </c>
      <c r="BL311" s="8" t="str">
        <v>90天：2026-10-06、2026-10-07；180天：2026-10-06、2026-10-07</v>
      </c>
      <c r="BM311" s="8" t="str">
        <v>2026-10：12天 × 1.2247029157699902；2026-11：30天 × 0.8332682139098497；2026-12：31天 × 0.5511018253564084；2027-01：17天 × 1.0017220238758797</v>
      </c>
      <c r="BN311" s="11" t="n">
        <v>1.2247029157699902</v>
      </c>
      <c r="BO311" s="11" t="n">
        <v>0.8332682139098497</v>
      </c>
      <c r="BP311" s="11" t="n">
        <v>0.5511018253564084</v>
      </c>
      <c r="BQ311" s="11" t="n">
        <v>1.0017220238758797</v>
      </c>
      <c r="BR311" s="8" t="n">
        <v>12</v>
      </c>
      <c r="BS311" s="8" t="n">
        <v>30</v>
      </c>
      <c r="BT311" s="8" t="n">
        <v>31</v>
      </c>
      <c r="BU311" s="8" t="n">
        <v>17</v>
      </c>
      <c r="BV311" s="11" t="n">
        <f>IF(COUNT(BC311,BF311)=2,BC311*BF311,"")</f>
        <v>0.1678333610815567</v>
      </c>
      <c r="BW311" s="11" t="n">
        <f>IF(ISNUMBER(BN311),BN311,"")</f>
        <v>1.2247029157699902</v>
      </c>
      <c r="BX311" s="14" t="n">
        <f>IF(ISNUMBER(BR311),BR311,"")</f>
        <v>12</v>
      </c>
      <c r="BY311" s="13" t="n">
        <f>IF(AND(COUNT(BV311,BW311,BX311)=3,MIN(BV311,BW311,BX311)&gt;=0),BV311*BW311*BX311,"")</f>
        <v>2.4665520801607212</v>
      </c>
      <c r="BZ311" s="11" t="n">
        <f>IF(ISNUMBER(BO311),BO311,"")</f>
        <v>0.8332682139098497</v>
      </c>
      <c r="CA311" s="14" t="n">
        <f>IF(ISNUMBER(BS311),BS311,"")</f>
        <v>30</v>
      </c>
      <c r="CB311" s="13" t="n">
        <f>IF(AND(COUNT(BV311,BZ311,CA311)=3,MIN(BV311,BZ311,CA311)&gt;=0),BV311*BZ311*CA311,"")</f>
        <v>4.195506150687469</v>
      </c>
      <c r="CC311" s="11" t="n">
        <f>IF(ISNUMBER(BP311),BP311,"")</f>
        <v>0.5511018253564084</v>
      </c>
      <c r="CD311" s="14" t="n">
        <f>IF(ISNUMBER(BT311),BT311,"")</f>
        <v>31</v>
      </c>
      <c r="CE311" s="13" t="n">
        <f>IF(AND(COUNT(BV311,CC311,CD311)=3,MIN(BV311,CC311,CD311)&gt;=0),BV311*CC311*CD311,"")</f>
        <v>2.8672914210801594</v>
      </c>
      <c r="CF311" s="11" t="n">
        <f>IF(ISNUMBER(BQ311),BQ311,"")</f>
        <v>1.0017220238758797</v>
      </c>
      <c r="CG311" s="14" t="n">
        <f>IF(ISNUMBER(BU311),BU311,"")</f>
        <v>17</v>
      </c>
      <c r="CH311" s="13" t="n">
        <f>IF(AND(COUNT(BV311,CF311,CG311)=3,MIN(BV311,CF311,CG311)&gt;=0),BV311*CF311*CG311,"")</f>
        <v>2.8580803603206406</v>
      </c>
      <c r="CI311" s="13" t="n">
        <f>IF(COUNT(BY311,CB311,CE311,CH311)=4,SUM(BY311,CB311,CE311,CH311),"")</f>
        <v>12.38743001224899</v>
      </c>
    </row>
    <row r="312" ht="72" customHeight="1">
      <c r="A312" s="16" t="str">
        <v>B06b-NY-38</v>
      </c>
      <c r="B312" s="16" t="str">
        <v>1店-MUSSHOE-US</v>
      </c>
      <c r="C312" s="16" t="str">
        <v>艾年</v>
      </c>
      <c r="D312" s="26" t="n">
        <f>IF(NOT(ISNUMBER(E312)),"",IF(OR(E312&lt;=0,L312=0),0,IF(OR(NOT(ISNUMBER(F312)),F312&lt;0),"",MIN(E312,INT(F312)))))</f>
        <v>0</v>
      </c>
      <c r="E312" s="27" t="n">
        <f>IF(OR(NOT(ISNUMBER(L312)),COUNT(M312:O312)&lt;&gt;3,MIN(M312:O312)&lt;0),"",ROUNDUP(ROUND(BI312-SUM(M312:O312),10),0))</f>
        <v>8</v>
      </c>
      <c r="F312" s="28" t="n">
        <v>0</v>
      </c>
      <c r="G312" s="28" t="n">
        <f>IF(AND(ISNUMBER(D312),ISNUMBER(E312)),IF(OR(E312&lt;=0,L312=0),0,E312-D312),"")</f>
        <v>8</v>
      </c>
      <c r="H312" s="16" t="str">
        <f>IF(NOT(ISNUMBER(E312)),"销量或海外库存待补",IF(OR(E312&lt;=0,L312=0),IF(L312=0,"零日销，本批不发","本批无需补货"),IF(NOT(ISNUMBER(D312)),"国内库存待补",IF(D312=0,"国内无可用库存",IF(G312&gt;0,"先发国内现货","按建议量发货")))))</f>
        <v>国内无可用库存</v>
      </c>
      <c r="I312" s="28" t="n">
        <f>IF(AND(COUNT(Z312,AA312,AB312)=3,Z312&gt;=AA312,AA312&gt;=0,AB312=7),Z312-AA312,"")</f>
        <v>1</v>
      </c>
      <c r="J312" s="28" t="n">
        <f>IF(AND(COUNT(AF312,AG312,AH312)=3,AF312&gt;=AG312,AG312&gt;=0,AH312=14),AF312-AG312,"")</f>
        <v>1</v>
      </c>
      <c r="K312" s="28" t="n">
        <f>IF(AND(COUNT(AL312,AM312,AN312)=3,AL312&gt;=AM312,AM312&gt;=0,AN312=30),AL312-AM312,"")</f>
        <v>8</v>
      </c>
      <c r="L312" s="29" t="n">
        <f>IF(ISNUMBER(BI312),BI312/90,"")</f>
        <v>0.19059041973303864</v>
      </c>
      <c r="M312" s="28" t="n">
        <v>10</v>
      </c>
      <c r="N312" s="28" t="n">
        <v>0</v>
      </c>
      <c r="O312" s="28" t="n">
        <v>0</v>
      </c>
      <c r="P312" s="30" t="n">
        <f>IF(AND(ISNUMBER(L312),L312&gt;0,COUNT(M312:O312)=3,MIN(M312:O312)&gt;=0),SUM(M312:O312)/L312,"")</f>
        <v>52.468534431096124</v>
      </c>
      <c r="Q312" s="16" t="str">
        <v>沿用原计划SKU店铺</v>
      </c>
      <c r="R312" s="16" t="str">
        <v>已匹配</v>
      </c>
      <c r="S312" s="16" t="str">
        <v>在售</v>
      </c>
      <c r="T312" s="16" t="str">
        <v>B06b</v>
      </c>
      <c r="U312" s="16" t="str">
        <v>藏青色羊京绒</v>
      </c>
      <c r="V312" s="16" t="n">
        <v>7</v>
      </c>
      <c r="W312" s="8" t="str">
        <v>2026-10-11 至 2026-10-17</v>
      </c>
      <c r="X312" s="8" t="str">
        <v>2026-10-11、2026-10-12、2026-10-13、2026-10-14、2026-10-15、2026-10-16、2026-10-17</v>
      </c>
      <c r="Y312" s="8" t="str">
        <v>无</v>
      </c>
      <c r="Z312" s="8" t="n">
        <v>1</v>
      </c>
      <c r="AA312" s="8" t="n">
        <v>0</v>
      </c>
      <c r="AB312" s="8" t="n">
        <v>7</v>
      </c>
      <c r="AC312" s="8" t="str">
        <v>2026-10-02 至 2026-10-17</v>
      </c>
      <c r="AD312" s="8" t="str">
        <v>2026-10-02、2026-10-03、2026-10-04、2026-10-05、2026-10-08、2026-10-09、2026-10-10、2026-10-11、2026-10-12、2026-10-13、2026-10-14、2026-10-15、2026-10-16、2026-10-17</v>
      </c>
      <c r="AE312" s="8" t="str">
        <v>2026-10-06 大促；2026-10-07 大促</v>
      </c>
      <c r="AF312" s="8" t="n">
        <v>1</v>
      </c>
      <c r="AG312" s="8" t="n">
        <v>0</v>
      </c>
      <c r="AH312" s="8" t="n">
        <v>14</v>
      </c>
      <c r="AI312" s="8" t="str">
        <v>2026-09-16 至 2026-10-17</v>
      </c>
      <c r="AJ3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12" s="8" t="str">
        <v>2026-10-06 大促；2026-10-07 大促</v>
      </c>
      <c r="AL312" s="8" t="n">
        <v>8</v>
      </c>
      <c r="AM312" s="8" t="n">
        <v>0</v>
      </c>
      <c r="AN312" s="8" t="n">
        <v>30</v>
      </c>
      <c r="AO312" s="8" t="str">
        <v>B06b / 藏青色羊京绒 / 13120</v>
      </c>
      <c r="AP312" s="11" t="n">
        <v>1.1090677182221615</v>
      </c>
      <c r="AQ312" s="11" t="n">
        <v>1.1090677182221615</v>
      </c>
      <c r="AR312" s="11" t="n">
        <v>0.9505188216044452</v>
      </c>
      <c r="AS312" s="11" t="n">
        <f>IF(AND(COUNT(I312:K312,AP312:AR312)=6,MIN(AP312:AR312)&gt;0),I312/7/AP312*0.5+J312/14/AQ312*0.3+K312/30/AR312*0.2,"")</f>
        <v>0.13983511187164485</v>
      </c>
      <c r="AT312" s="8" t="n">
        <v>21</v>
      </c>
      <c r="AU312" s="8" t="n">
        <v>0</v>
      </c>
      <c r="AV312" s="8" t="n">
        <v>88</v>
      </c>
      <c r="AW312" s="11" t="n">
        <f>IF(AND(COUNT(AT312:AV312)=3,AT312&gt;=AU312,AU312&gt;=0,AV312&gt;0),(AT312-AU312)/AV312,"")</f>
        <v>0.23863636363636365</v>
      </c>
      <c r="AX312" s="8" t="n">
        <v>29</v>
      </c>
      <c r="AY312" s="8" t="n">
        <v>0</v>
      </c>
      <c r="AZ312" s="8" t="n">
        <v>178</v>
      </c>
      <c r="BA312" s="11" t="n">
        <f>IF(AND(COUNT(AX312:AZ312)=3,AX312&gt;=AY312,AY312&gt;=0,AZ312&gt;0),(AX312-AY312)/AZ312,"")</f>
        <v>0.16292134831460675</v>
      </c>
      <c r="BB312" s="8" t="n">
        <f>IF(COUNT(AS312,AW312,BA312)=3,1,0)</f>
        <v>1</v>
      </c>
      <c r="BC312" s="11" t="n">
        <f>IF(SUMIF($AO$11:$AO$1309,AO312,$BB$11:$BB$1309)=COUNTIF($AO$11:$AO$1309,AO312),SUMIF($AO$11:$AO$1309,AO312,$AS$11:$AS$1309),"")</f>
        <v>1.0519173612688397</v>
      </c>
      <c r="BD312" s="11" t="n">
        <f>IF(SUMIF($AO$11:$AO$1309,AO312,$BB$11:$BB$1309)=COUNTIF($AO$11:$AO$1309,AO312),SUMIF($AO$11:$AO$1309,AO312,$AW$11:$AW$1309),"")</f>
        <v>1.2745989304812833</v>
      </c>
      <c r="BE312" s="11" t="n">
        <f>IF(SUMIF($AO$11:$AO$1309,AO312,$BB$11:$BB$1309)=COUNTIF($AO$11:$AO$1309,AO312),SUMIF($AO$11:$AO$1309,AO312,$BA$11:$BA$1309),"")</f>
        <v>1.1766292134831462</v>
      </c>
      <c r="BF312" s="12" t="n">
        <f>IF(COUNT(BD312:BE312)&lt;&gt;2,"",IF(AND(BD312&gt;0,BE312&gt;0),0.7*AW312/BD312+0.3*BA312/BE312,IF(BD312&gt;0,AW312/BD312,IF(BE312&gt;0,BA312/BE312,IF(AND(ISNUMBER(BH312),BH312=0),0,"")))))</f>
        <v>0.1725966117323982</v>
      </c>
      <c r="BG312" s="11" t="n">
        <f>IF(AND(COUNT(BN312:BU312)=8,MIN(BN312:BU312)&gt;=0),SUMPRODUCT(BN312:BQ312,BR312:BU312),"")</f>
        <v>94.47778160343367</v>
      </c>
      <c r="BH312" s="11" t="n">
        <f>IF(COUNT(BC312,BG312)=2,BC312*BG312,"")</f>
        <v>99.38281872281767</v>
      </c>
      <c r="BI312" s="11" t="n">
        <f>IF(ISNUMBER(CI312),CI312,"")</f>
        <v>17.153137775973477</v>
      </c>
      <c r="BJ312" s="8" t="str"/>
      <c r="BK312" s="8" t="str">
        <v>90天：2026-07-20 至 2026-10-17；180天：2026-04-21 至 2026-10-17</v>
      </c>
      <c r="BL312" s="8" t="str">
        <v>90天：2026-10-06、2026-10-07；180天：2026-10-06、2026-10-07</v>
      </c>
      <c r="BM312" s="8" t="str">
        <v>2026-10：12天 × 1.1090677182221615；2026-11：30天 × 1.0372741535934282；2026-12：31天 × 0.979949351738161；2027-01：17天 × 1.1571949690048173</v>
      </c>
      <c r="BN312" s="11" t="n">
        <v>1.1090677182221615</v>
      </c>
      <c r="BO312" s="11" t="n">
        <v>1.0372741535934282</v>
      </c>
      <c r="BP312" s="11" t="n">
        <v>0.979949351738161</v>
      </c>
      <c r="BQ312" s="11" t="n">
        <v>1.1571949690048173</v>
      </c>
      <c r="BR312" s="8" t="n">
        <v>12</v>
      </c>
      <c r="BS312" s="8" t="n">
        <v>30</v>
      </c>
      <c r="BT312" s="8" t="n">
        <v>31</v>
      </c>
      <c r="BU312" s="8" t="n">
        <v>17</v>
      </c>
      <c r="BV312" s="11" t="n">
        <f>IF(COUNT(BC312,BF312)=2,BC312*BF312,"")</f>
        <v>0.1815573723774868</v>
      </c>
      <c r="BW312" s="11" t="n">
        <f>IF(ISNUMBER(BN312),BN312,"")</f>
        <v>1.1090677182221615</v>
      </c>
      <c r="BX312" s="14" t="n">
        <f>IF(ISNUMBER(BR312),BR312,"")</f>
        <v>12</v>
      </c>
      <c r="BY312" s="13" t="n">
        <f>IF(AND(COUNT(BV312,BW312,BX312)=3,MIN(BV312,BW312,BX312)&gt;=0),BV312*BW312*BX312,"")</f>
        <v>2.416313048509327</v>
      </c>
      <c r="BZ312" s="11" t="n">
        <f>IF(ISNUMBER(BO312),BO312,"")</f>
        <v>1.0372741535934282</v>
      </c>
      <c r="CA312" s="14" t="n">
        <f>IF(ISNUMBER(BS312),BS312,"")</f>
        <v>30</v>
      </c>
      <c r="CB312" s="13" t="n">
        <f>IF(AND(COUNT(BV312,BZ312,CA312)=3,MIN(BV312,BZ312,CA312)&gt;=0),BV312*BZ312*CA312,"")</f>
        <v>5.649743092845134</v>
      </c>
      <c r="CC312" s="11" t="n">
        <f>IF(ISNUMBER(BP312),BP312,"")</f>
        <v>0.979949351738161</v>
      </c>
      <c r="CD312" s="14" t="n">
        <f>IF(ISNUMBER(BT312),BT312,"")</f>
        <v>31</v>
      </c>
      <c r="CE312" s="13" t="n">
        <f>IF(AND(COUNT(BV312,CC312,CD312)=3,MIN(BV312,CC312,CD312)&gt;=0),BV312*CC312*CD312,"")</f>
        <v>5.515427910302664</v>
      </c>
      <c r="CF312" s="11" t="n">
        <f>IF(ISNUMBER(BQ312),BQ312,"")</f>
        <v>1.1571949690048173</v>
      </c>
      <c r="CG312" s="14" t="n">
        <f>IF(ISNUMBER(BU312),BU312,"")</f>
        <v>17</v>
      </c>
      <c r="CH312" s="13" t="n">
        <f>IF(AND(COUNT(BV312,CF312,CG312)=3,MIN(BV312,CF312,CG312)&gt;=0),BV312*CF312*CG312,"")</f>
        <v>3.571653724316352</v>
      </c>
      <c r="CI312" s="13" t="n">
        <f>IF(COUNT(BY312,CB312,CE312,CH312)=4,SUM(BY312,CB312,CE312,CH312),"")</f>
        <v>17.153137775973477</v>
      </c>
    </row>
    <row r="313" ht="72" customHeight="1">
      <c r="A313" s="16" t="str">
        <v>B07-BK-V-0-41</v>
      </c>
      <c r="B313" s="16" t="str">
        <v>4店-彬郁-US</v>
      </c>
      <c r="C313" s="16" t="str">
        <v>艾年</v>
      </c>
      <c r="D313" s="26" t="n">
        <f>IF(NOT(ISNUMBER(E313)),"",IF(OR(E313&lt;=0,L313=0),0,IF(OR(NOT(ISNUMBER(F313)),F313&lt;0),"",MIN(E313,INT(F313)))))</f>
        <v>0</v>
      </c>
      <c r="E313" s="27" t="n">
        <f>IF(OR(NOT(ISNUMBER(L313)),COUNT(M313:O313)&lt;&gt;3,MIN(M313:O313)&lt;0),"",ROUNDUP(ROUND(BI313-SUM(M313:O313),10),0))</f>
        <v>8</v>
      </c>
      <c r="F313" s="28" t="n">
        <v>0</v>
      </c>
      <c r="G313" s="28" t="n">
        <f>IF(AND(ISNUMBER(D313),ISNUMBER(E313)),IF(OR(E313&lt;=0,L313=0),0,E313-D313),"")</f>
        <v>8</v>
      </c>
      <c r="H313" s="16" t="str">
        <f>IF(NOT(ISNUMBER(E313)),"销量或海外库存待补",IF(OR(E313&lt;=0,L313=0),IF(L313=0,"零日销，本批不发","本批无需补货"),IF(NOT(ISNUMBER(D313)),"国内库存待补",IF(D313=0,"国内无可用库存",IF(G313&gt;0,"先发国内现货","按建议量发货")))))</f>
        <v>国内无可用库存</v>
      </c>
      <c r="I313" s="28" t="n">
        <f>IF(AND(COUNT(Z313,AA313,AB313)=3,Z313&gt;=AA313,AA313&gt;=0,AB313=7),Z313-AA313,"")</f>
        <v>0</v>
      </c>
      <c r="J313" s="28" t="n">
        <f>IF(AND(COUNT(AF313,AG313,AH313)=3,AF313&gt;=AG313,AG313&gt;=0,AH313=14),AF313-AG313,"")</f>
        <v>2</v>
      </c>
      <c r="K313" s="28" t="n">
        <f>IF(AND(COUNT(AL313,AM313,AN313)=3,AL313&gt;=AM313,AM313&gt;=0,AN313=30),AL313-AM313,"")</f>
        <v>2</v>
      </c>
      <c r="L313" s="29" t="n">
        <f>IF(ISNUMBER(BI313),BI313/90,"")</f>
        <v>0.08116671668121073</v>
      </c>
      <c r="M313" s="28" t="n">
        <v>0</v>
      </c>
      <c r="N313" s="28" t="n">
        <v>0</v>
      </c>
      <c r="O313" s="28" t="n">
        <v>0</v>
      </c>
      <c r="P313" s="30" t="n">
        <f>IF(AND(ISNUMBER(L313),L313&gt;0,COUNT(M313:O313)=3,MIN(M313:O313)&gt;=0),SUM(M313:O313)/L313,"")</f>
        <v>0</v>
      </c>
      <c r="Q313" s="16" t="str">
        <v>沿用原计划SKU店铺</v>
      </c>
      <c r="R313" s="16" t="str">
        <v>已匹配</v>
      </c>
      <c r="S313" s="16" t="str">
        <v>停售</v>
      </c>
      <c r="T313" s="16" t="str">
        <v>B07</v>
      </c>
      <c r="U313" s="16" t="str">
        <v>黑色天鹅绒</v>
      </c>
      <c r="V313" s="16" t="n">
        <v>10</v>
      </c>
      <c r="W313" s="8" t="str">
        <v>2026-10-08 至 2026-10-17</v>
      </c>
      <c r="X313" s="8" t="str">
        <v>2026-10-08、2026-10-09、2026-10-10、2026-10-11、2026-10-14、2026-10-15、2026-10-17</v>
      </c>
      <c r="Y313" s="8" t="str">
        <v>2026-10-12 有记录的停售日；2026-10-13 有记录的停售日；2026-10-16 有记录的停售日</v>
      </c>
      <c r="Z313" s="8" t="n">
        <v>0</v>
      </c>
      <c r="AA313" s="8" t="n">
        <v>0</v>
      </c>
      <c r="AB313" s="8" t="n">
        <v>7</v>
      </c>
      <c r="AC313" s="8" t="str">
        <v>2026-09-29 至 2026-10-17</v>
      </c>
      <c r="AD313" s="8" t="str">
        <v>2026-09-29、2026-09-30、2026-10-01、2026-10-02、2026-10-03、2026-10-04、2026-10-05、2026-10-08、2026-10-09、2026-10-10、2026-10-11、2026-10-14、2026-10-15、2026-10-17</v>
      </c>
      <c r="AE313" s="8" t="str">
        <v>2026-10-06 大促；2026-10-07 大促；2026-10-12 有记录的停售日；2026-10-13 有记录的停售日；2026-10-16 有记录的停售日</v>
      </c>
      <c r="AF313" s="8" t="n">
        <v>2</v>
      </c>
      <c r="AG313" s="8" t="n">
        <v>0</v>
      </c>
      <c r="AH313" s="8" t="n">
        <v>14</v>
      </c>
      <c r="AI313" s="8" t="str">
        <v>2026-09-13 至 2026-10-17</v>
      </c>
      <c r="AJ31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3" s="8" t="str">
        <v>2026-10-06 大促；2026-10-07 大促；2026-10-12 有记录的停售日；2026-10-13 有记录的停售日；2026-10-16 有记录的停售日</v>
      </c>
      <c r="AL313" s="8" t="n">
        <v>2</v>
      </c>
      <c r="AM313" s="8" t="n">
        <v>0</v>
      </c>
      <c r="AN313" s="8" t="n">
        <v>30</v>
      </c>
      <c r="AO313" s="8" t="str">
        <v>B07 / 黑色天鹅绒 / 13306</v>
      </c>
      <c r="AP313" s="11" t="n">
        <v>0.7307750238224848</v>
      </c>
      <c r="AQ313" s="11" t="n">
        <v>0.7348338471341894</v>
      </c>
      <c r="AR313" s="11" t="n">
        <v>0.7478220817316438</v>
      </c>
      <c r="AS313" s="11" t="n">
        <f>IF(AND(COUNT(I313:K313,AP313:AR313)=6,MIN(AP313:AR313)&gt;0),I313/7/AP313*0.5+J313/14/AQ313*0.3+K313/30/AR313*0.2,"")</f>
        <v>0.07615177498076275</v>
      </c>
      <c r="AT313" s="8" t="n">
        <v>3</v>
      </c>
      <c r="AU313" s="8" t="n">
        <v>0</v>
      </c>
      <c r="AV313" s="8" t="n">
        <v>85</v>
      </c>
      <c r="AW313" s="11" t="n">
        <f>IF(AND(COUNT(AT313:AV313)=3,AT313&gt;=AU313,AU313&gt;=0,AV313&gt;0),(AT313-AU313)/AV313,"")</f>
        <v>0.03529411764705882</v>
      </c>
      <c r="AX313" s="8" t="n">
        <v>11</v>
      </c>
      <c r="AY313" s="8" t="n">
        <v>0</v>
      </c>
      <c r="AZ313" s="8" t="n">
        <v>175</v>
      </c>
      <c r="BA313" s="11" t="n">
        <f>IF(AND(COUNT(AX313:AZ313)=3,AX313&gt;=AY313,AY313&gt;=0,AZ313&gt;0),(AX313-AY313)/AZ313,"")</f>
        <v>0.06285714285714286</v>
      </c>
      <c r="BB313" s="8" t="n">
        <f>IF(COUNT(AS313,AW313,BA313)=3,1,0)</f>
        <v>1</v>
      </c>
      <c r="BC313" s="11" t="n">
        <f>IF(SUMIF($AO$11:$AO$1309,AO313,$BB$11:$BB$1309)=COUNTIF($AO$11:$AO$1309,AO313),SUMIF($AO$11:$AO$1309,AO313,$AS$11:$AS$1309),"")</f>
        <v>11.92937132043239</v>
      </c>
      <c r="BD313" s="11" t="n">
        <f>IF(SUMIF($AO$11:$AO$1309,AO313,$BB$11:$BB$1309)=COUNTIF($AO$11:$AO$1309,AO313),SUMIF($AO$11:$AO$1309,AO313,$AW$11:$AW$1309),"")</f>
        <v>5.794919786096258</v>
      </c>
      <c r="BE313" s="11" t="n">
        <f>IF(SUMIF($AO$11:$AO$1309,AO313,$BB$11:$BB$1309)=COUNTIF($AO$11:$AO$1309,AO313),SUMIF($AO$11:$AO$1309,AO313,$BA$11:$BA$1309),"")</f>
        <v>5.3098234349919755</v>
      </c>
      <c r="BF313" s="12" t="n">
        <f>IF(COUNT(BD313:BE313)&lt;&gt;2,"",IF(AND(BD313&gt;0,BE313&gt;0),0.7*AW313/BD313+0.3*BA313/BE313,IF(BD313&gt;0,AW313/BD313,IF(BE313&gt;0,BA313/BE313,IF(AND(ISNUMBER(BH313),BH313=0),0,"")))))</f>
        <v>0.007814738265934158</v>
      </c>
      <c r="BG313" s="11" t="n">
        <f>IF(AND(COUNT(BN313:BU313)=8,MIN(BN313:BU313)&gt;=0),SUMPRODUCT(BN313:BQ313,BR313:BU313),"")</f>
        <v>78.35892944347341</v>
      </c>
      <c r="BH313" s="11" t="n">
        <f>IF(COUNT(BC313,BG313)=2,BC313*BG313,"")</f>
        <v>934.7727656027569</v>
      </c>
      <c r="BI313" s="11" t="n">
        <f>IF(ISNUMBER(CI313),CI313,"")</f>
        <v>7.305004501308965</v>
      </c>
      <c r="BJ313" s="8" t="str">
        <v>低销提醒依据不完整</v>
      </c>
      <c r="BK313" s="8" t="str">
        <v>90天：2026-07-20 至 2026-10-17；180天：2026-04-21 至 2026-10-17</v>
      </c>
      <c r="BL313" s="8" t="str">
        <v>90天：2026-10-06、2026-10-07、2026-10-12、2026-10-13、2026-10-16；180天：2026-10-06、2026-10-07、2026-10-12、2026-10-13、2026-10-16</v>
      </c>
      <c r="BM313" s="8" t="str">
        <v>2026-10：12天 × 0.7307750238224848；2026-11：30天 × 0.9523018155490097；2026-12：31天 × 0.5958545198749097；2027-01：17天 × 1.3264167397065354</v>
      </c>
      <c r="BN313" s="11" t="n">
        <v>0.7307750238224848</v>
      </c>
      <c r="BO313" s="11" t="n">
        <v>0.9523018155490097</v>
      </c>
      <c r="BP313" s="11" t="n">
        <v>0.5958545198749097</v>
      </c>
      <c r="BQ313" s="11" t="n">
        <v>1.3264167397065354</v>
      </c>
      <c r="BR313" s="8" t="n">
        <v>12</v>
      </c>
      <c r="BS313" s="8" t="n">
        <v>30</v>
      </c>
      <c r="BT313" s="8" t="n">
        <v>31</v>
      </c>
      <c r="BU313" s="8" t="n">
        <v>17</v>
      </c>
      <c r="BV313" s="11" t="n">
        <f>IF(COUNT(BC313,BF313)=2,BC313*BF313,"")</f>
        <v>0.0932249145463205</v>
      </c>
      <c r="BW313" s="11" t="n">
        <f>IF(ISNUMBER(BN313),BN313,"")</f>
        <v>0.7307750238224848</v>
      </c>
      <c r="BX313" s="14" t="n">
        <f>IF(ISNUMBER(BR313),BR313,"")</f>
        <v>12</v>
      </c>
      <c r="BY313" s="13" t="n">
        <f>IF(AND(COUNT(BV313,BW313,BX313)=3,MIN(BV313,BW313,BX313)&gt;=0),BV313*BW313*BX313,"")</f>
        <v>0.8175172697812376</v>
      </c>
      <c r="BZ313" s="11" t="n">
        <f>IF(ISNUMBER(BO313),BO313,"")</f>
        <v>0.9523018155490097</v>
      </c>
      <c r="CA313" s="14" t="n">
        <f>IF(ISNUMBER(BS313),BS313,"")</f>
        <v>30</v>
      </c>
      <c r="CB313" s="13" t="n">
        <f>IF(AND(COUNT(BV313,BZ313,CA313)=3,MIN(BV313,BZ313,CA313)&gt;=0),BV313*BZ313*CA313,"")</f>
        <v>2.6633476613058686</v>
      </c>
      <c r="CC313" s="11" t="n">
        <f>IF(ISNUMBER(BP313),BP313,"")</f>
        <v>0.5958545198749097</v>
      </c>
      <c r="CD313" s="14" t="n">
        <f>IF(ISNUMBER(BT313),BT313,"")</f>
        <v>31</v>
      </c>
      <c r="CE313" s="13" t="n">
        <f>IF(AND(COUNT(BV313,CC313,CD313)=3,MIN(BV313,CC313,CD313)&gt;=0),BV313*CC313*CD313,"")</f>
        <v>1.7220030876186958</v>
      </c>
      <c r="CF313" s="11" t="n">
        <f>IF(ISNUMBER(BQ313),BQ313,"")</f>
        <v>1.3264167397065354</v>
      </c>
      <c r="CG313" s="14" t="n">
        <f>IF(ISNUMBER(BU313),BU313,"")</f>
        <v>17</v>
      </c>
      <c r="CH313" s="13" t="n">
        <f>IF(AND(COUNT(BV313,CF313,CG313)=3,MIN(BV313,CF313,CG313)&gt;=0),BV313*CF313*CG313,"")</f>
        <v>2.1021364826031634</v>
      </c>
      <c r="CI313" s="13" t="n">
        <f>IF(COUNT(BY313,CB313,CE313,CH313)=4,SUM(BY313,CB313,CE313,CH313),"")</f>
        <v>7.305004501308965</v>
      </c>
    </row>
    <row r="314" ht="72" customHeight="1">
      <c r="A314" s="16" t="str">
        <v>B07-BK-Z-0-42</v>
      </c>
      <c r="B314" s="16" t="str">
        <v>4店-彬郁-US</v>
      </c>
      <c r="C314" s="16" t="str">
        <v>艾年</v>
      </c>
      <c r="D314" s="26" t="n">
        <f>IF(NOT(ISNUMBER(E314)),"",IF(OR(E314&lt;=0,L314=0),0,IF(OR(NOT(ISNUMBER(F314)),F314&lt;0),"",MIN(E314,INT(F314)))))</f>
        <v>0</v>
      </c>
      <c r="E314" s="27" t="n">
        <f>IF(OR(NOT(ISNUMBER(L314)),COUNT(M314:O314)&lt;&gt;3,MIN(M314:O314)&lt;0),"",ROUNDUP(ROUND(BI314-SUM(M314:O314),10),0))</f>
        <v>8</v>
      </c>
      <c r="F314" s="28" t="n">
        <v>0</v>
      </c>
      <c r="G314" s="28" t="n">
        <f>IF(AND(ISNUMBER(D314),ISNUMBER(E314)),IF(OR(E314&lt;=0,L314=0),0,E314-D314),"")</f>
        <v>8</v>
      </c>
      <c r="H314" s="16" t="str">
        <f>IF(NOT(ISNUMBER(E314)),"销量或海外库存待补",IF(OR(E314&lt;=0,L314=0),IF(L314=0,"零日销，本批不发","本批无需补货"),IF(NOT(ISNUMBER(D314)),"国内库存待补",IF(D314=0,"国内无可用库存",IF(G314&gt;0,"先发国内现货","按建议量发货")))))</f>
        <v>国内无可用库存</v>
      </c>
      <c r="I314" s="28" t="n">
        <f>IF(AND(COUNT(Z314,AA314,AB314)=3,Z314&gt;=AA314,AA314&gt;=0,AB314=7),Z314-AA314,"")</f>
        <v>0</v>
      </c>
      <c r="J314" s="28" t="n">
        <f>IF(AND(COUNT(AF314,AG314,AH314)=3,AF314&gt;=AG314,AG314&gt;=0,AH314=14),AF314-AG314,"")</f>
        <v>1</v>
      </c>
      <c r="K314" s="28" t="n">
        <f>IF(AND(COUNT(AL314,AM314,AN314)=3,AL314&gt;=AM314,AM314&gt;=0,AN314=30),AL314-AM314,"")</f>
        <v>1</v>
      </c>
      <c r="L314" s="29" t="n">
        <f>IF(ISNUMBER(BI314),BI314/90,"")</f>
        <v>0.08251399544520448</v>
      </c>
      <c r="M314" s="28" t="n">
        <v>0</v>
      </c>
      <c r="N314" s="28" t="n">
        <v>0</v>
      </c>
      <c r="O314" s="28" t="n">
        <v>0</v>
      </c>
      <c r="P314" s="30" t="n">
        <f>IF(AND(ISNUMBER(L314),L314&gt;0,COUNT(M314:O314)=3,MIN(M314:O314)&gt;=0),SUM(M314:O314)/L314,"")</f>
        <v>0</v>
      </c>
      <c r="Q314" s="16" t="str">
        <v>沿用原计划SKU店铺</v>
      </c>
      <c r="R314" s="16" t="str">
        <v>已匹配</v>
      </c>
      <c r="S314" s="16" t="str">
        <v>停售</v>
      </c>
      <c r="T314" s="16" t="str">
        <v>B07</v>
      </c>
      <c r="U314" s="16" t="str">
        <v>黑色镜面PU</v>
      </c>
      <c r="V314" s="16" t="n">
        <v>11</v>
      </c>
      <c r="W314" s="8" t="str">
        <v>2026-10-08 至 2026-10-17</v>
      </c>
      <c r="X314" s="8" t="str">
        <v>2026-10-08、2026-10-09、2026-10-10、2026-10-11、2026-10-14、2026-10-15、2026-10-17</v>
      </c>
      <c r="Y314" s="8" t="str">
        <v>2026-10-12 有记录的停售日；2026-10-13 有记录的停售日；2026-10-16 有记录的停售日</v>
      </c>
      <c r="Z314" s="8" t="n">
        <v>0</v>
      </c>
      <c r="AA314" s="8" t="n">
        <v>0</v>
      </c>
      <c r="AB314" s="8" t="n">
        <v>7</v>
      </c>
      <c r="AC314" s="8" t="str">
        <v>2026-09-29 至 2026-10-17</v>
      </c>
      <c r="AD314" s="8" t="str">
        <v>2026-09-29、2026-09-30、2026-10-01、2026-10-02、2026-10-03、2026-10-04、2026-10-05、2026-10-08、2026-10-09、2026-10-10、2026-10-11、2026-10-14、2026-10-15、2026-10-17</v>
      </c>
      <c r="AE314" s="8" t="str">
        <v>2026-10-06 大促；2026-10-07 大促；2026-10-12 有记录的停售日；2026-10-13 有记录的停售日；2026-10-16 有记录的停售日</v>
      </c>
      <c r="AF314" s="8" t="n">
        <v>1</v>
      </c>
      <c r="AG314" s="8" t="n">
        <v>0</v>
      </c>
      <c r="AH314" s="8" t="n">
        <v>14</v>
      </c>
      <c r="AI314" s="8" t="str">
        <v>2026-09-13 至 2026-10-17</v>
      </c>
      <c r="AJ31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4" s="8" t="str">
        <v>2026-10-06 大促；2026-10-07 大促；2026-10-12 有记录的停售日；2026-10-13 有记录的停售日；2026-10-16 有记录的停售日</v>
      </c>
      <c r="AL314" s="8" t="n">
        <v>1</v>
      </c>
      <c r="AM314" s="8" t="n">
        <v>0</v>
      </c>
      <c r="AN314" s="8" t="n">
        <v>30</v>
      </c>
      <c r="AO314" s="8" t="str">
        <v>B07 / 黑色天鹅绒 / 13306</v>
      </c>
      <c r="AP314" s="11" t="n">
        <v>0.7307750238224848</v>
      </c>
      <c r="AQ314" s="11" t="n">
        <v>0.7348338471341894</v>
      </c>
      <c r="AR314" s="11" t="n">
        <v>0.7478220817316438</v>
      </c>
      <c r="AS314" s="11" t="n">
        <f>IF(AND(COUNT(I314:K314,AP314:AR314)=6,MIN(AP314:AR314)&gt;0),I314/7/AP314*0.5+J314/14/AQ314*0.3+K314/30/AR314*0.2,"")</f>
        <v>0.03807588749038138</v>
      </c>
      <c r="AT314" s="8" t="n">
        <v>4</v>
      </c>
      <c r="AU314" s="8" t="n">
        <v>0</v>
      </c>
      <c r="AV314" s="8" t="n">
        <v>85</v>
      </c>
      <c r="AW314" s="11" t="n">
        <f>IF(AND(COUNT(AT314:AV314)=3,AT314&gt;=AU314,AU314&gt;=0,AV314&gt;0),(AT314-AU314)/AV314,"")</f>
        <v>0.047058823529411764</v>
      </c>
      <c r="AX314" s="8" t="n">
        <v>7</v>
      </c>
      <c r="AY314" s="8" t="n">
        <v>0</v>
      </c>
      <c r="AZ314" s="8" t="n">
        <v>175</v>
      </c>
      <c r="BA314" s="11" t="n">
        <f>IF(AND(COUNT(AX314:AZ314)=3,AX314&gt;=AY314,AY314&gt;=0,AZ314&gt;0),(AX314-AY314)/AZ314,"")</f>
        <v>0.04</v>
      </c>
      <c r="BB314" s="8" t="n">
        <f>IF(COUNT(AS314,AW314,BA314)=3,1,0)</f>
        <v>1</v>
      </c>
      <c r="BC314" s="11" t="n">
        <f>IF(SUMIF($AO$11:$AO$1309,AO314,$BB$11:$BB$1309)=COUNTIF($AO$11:$AO$1309,AO314),SUMIF($AO$11:$AO$1309,AO314,$AS$11:$AS$1309),"")</f>
        <v>11.92937132043239</v>
      </c>
      <c r="BD314" s="11" t="n">
        <f>IF(SUMIF($AO$11:$AO$1309,AO314,$BB$11:$BB$1309)=COUNTIF($AO$11:$AO$1309,AO314),SUMIF($AO$11:$AO$1309,AO314,$AW$11:$AW$1309),"")</f>
        <v>5.794919786096258</v>
      </c>
      <c r="BE314" s="11" t="n">
        <f>IF(SUMIF($AO$11:$AO$1309,AO314,$BB$11:$BB$1309)=COUNTIF($AO$11:$AO$1309,AO314),SUMIF($AO$11:$AO$1309,AO314,$BA$11:$BA$1309),"")</f>
        <v>5.3098234349919755</v>
      </c>
      <c r="BF314" s="12" t="n">
        <f>IF(COUNT(BD314:BE314)&lt;&gt;2,"",IF(AND(BD314&gt;0,BE314&gt;0),0.7*AW314/BD314+0.3*BA314/BE314,IF(BD314&gt;0,AW314/BD314,IF(BE314&gt;0,BA314/BE314,IF(AND(ISNUMBER(BH314),BH314=0),0,"")))))</f>
        <v>0.007944454377936255</v>
      </c>
      <c r="BG314" s="11" t="n">
        <f>IF(AND(COUNT(BN314:BU314)=8,MIN(BN314:BU314)&gt;=0),SUMPRODUCT(BN314:BQ314,BR314:BU314),"")</f>
        <v>78.35892944347341</v>
      </c>
      <c r="BH314" s="11" t="n">
        <f>IF(COUNT(BC314,BG314)=2,BC314*BG314,"")</f>
        <v>934.7727656027569</v>
      </c>
      <c r="BI314" s="11" t="n">
        <f>IF(ISNUMBER(CI314),CI314,"")</f>
        <v>7.426259590068403</v>
      </c>
      <c r="BJ314" s="8" t="str">
        <v>低销提醒依据不完整</v>
      </c>
      <c r="BK314" s="8" t="str">
        <v>90天：2026-07-20 至 2026-10-17；180天：2026-04-21 至 2026-10-17</v>
      </c>
      <c r="BL314" s="8" t="str">
        <v>90天：2026-10-06、2026-10-07、2026-10-12、2026-10-13、2026-10-16；180天：2026-10-06、2026-10-07、2026-10-12、2026-10-13、2026-10-16</v>
      </c>
      <c r="BM314" s="8" t="str">
        <v>2026-10：12天 × 0.7307750238224848；2026-11：30天 × 0.9523018155490097；2026-12：31天 × 0.5958545198749097；2027-01：17天 × 1.3264167397065354</v>
      </c>
      <c r="BN314" s="11" t="n">
        <v>0.7307750238224848</v>
      </c>
      <c r="BO314" s="11" t="n">
        <v>0.9523018155490097</v>
      </c>
      <c r="BP314" s="11" t="n">
        <v>0.5958545198749097</v>
      </c>
      <c r="BQ314" s="11" t="n">
        <v>1.3264167397065354</v>
      </c>
      <c r="BR314" s="8" t="n">
        <v>12</v>
      </c>
      <c r="BS314" s="8" t="n">
        <v>30</v>
      </c>
      <c r="BT314" s="8" t="n">
        <v>31</v>
      </c>
      <c r="BU314" s="8" t="n">
        <v>17</v>
      </c>
      <c r="BV314" s="11" t="n">
        <f>IF(COUNT(BC314,BF314)=2,BC314*BF314,"")</f>
        <v>0.0947723462126363</v>
      </c>
      <c r="BW314" s="11" t="n">
        <f>IF(ISNUMBER(BN314),BN314,"")</f>
        <v>0.7307750238224848</v>
      </c>
      <c r="BX314" s="14" t="n">
        <f>IF(ISNUMBER(BR314),BR314,"")</f>
        <v>12</v>
      </c>
      <c r="BY314" s="13" t="n">
        <f>IF(AND(COUNT(BV314,BW314,BX314)=3,MIN(BV314,BW314,BX314)&gt;=0),BV314*BW314*BX314,"")</f>
        <v>0.8310871627350249</v>
      </c>
      <c r="BZ314" s="11" t="n">
        <f>IF(ISNUMBER(BO314),BO314,"")</f>
        <v>0.9523018155490097</v>
      </c>
      <c r="CA314" s="14" t="n">
        <f>IF(ISNUMBER(BS314),BS314,"")</f>
        <v>30</v>
      </c>
      <c r="CB314" s="13" t="n">
        <f>IF(AND(COUNT(BV314,BZ314,CA314)=3,MIN(BV314,BZ314,CA314)&gt;=0),BV314*BZ314*CA314,"")</f>
        <v>2.7075563208639863</v>
      </c>
      <c r="CC314" s="11" t="n">
        <f>IF(ISNUMBER(BP314),BP314,"")</f>
        <v>0.5958545198749097</v>
      </c>
      <c r="CD314" s="14" t="n">
        <f>IF(ISNUMBER(BT314),BT314,"")</f>
        <v>31</v>
      </c>
      <c r="CE314" s="13" t="n">
        <f>IF(AND(COUNT(BV314,CC314,CD314)=3,MIN(BV314,CC314,CD314)&gt;=0),BV314*CC314*CD314,"")</f>
        <v>1.7505864563484226</v>
      </c>
      <c r="CF314" s="11" t="n">
        <f>IF(ISNUMBER(BQ314),BQ314,"")</f>
        <v>1.3264167397065354</v>
      </c>
      <c r="CG314" s="14" t="n">
        <f>IF(ISNUMBER(BU314),BU314,"")</f>
        <v>17</v>
      </c>
      <c r="CH314" s="13" t="n">
        <f>IF(AND(COUNT(BV314,CF314,CG314)=3,MIN(BV314,CF314,CG314)&gt;=0),BV314*CF314*CG314,"")</f>
        <v>2.137029650120969</v>
      </c>
      <c r="CI314" s="13" t="n">
        <f>IF(COUNT(BY314,CB314,CE314,CH314)=4,SUM(BY314,CB314,CE314,CH314),"")</f>
        <v>7.426259590068403</v>
      </c>
    </row>
    <row r="315" ht="72" customHeight="1">
      <c r="A315" s="16" t="str">
        <v>B07-TNP-40-by</v>
      </c>
      <c r="B315" s="16" t="str">
        <v>4店-彬郁-US</v>
      </c>
      <c r="C315" s="16" t="str">
        <v>艾年</v>
      </c>
      <c r="D315" s="26" t="n">
        <f>IF(NOT(ISNUMBER(E315)),"",IF(OR(E315&lt;=0,L315=0),0,IF(OR(NOT(ISNUMBER(F315)),F315&lt;0),"",MIN(E315,INT(F315)))))</f>
        <v>0</v>
      </c>
      <c r="E315" s="27" t="n">
        <f>IF(OR(NOT(ISNUMBER(L315)),COUNT(M315:O315)&lt;&gt;3,MIN(M315:O315)&lt;0),"",ROUNDUP(ROUND(BI315-SUM(M315:O315),10),0))</f>
        <v>8</v>
      </c>
      <c r="F315" s="28" t="n">
        <v>0</v>
      </c>
      <c r="G315" s="28" t="n">
        <f>IF(AND(ISNUMBER(D315),ISNUMBER(E315)),IF(OR(E315&lt;=0,L315=0),0,E315-D315),"")</f>
        <v>8</v>
      </c>
      <c r="H315" s="16" t="str">
        <f>IF(NOT(ISNUMBER(E315)),"销量或海外库存待补",IF(OR(E315&lt;=0,L315=0),IF(L315=0,"零日销，本批不发","本批无需补货"),IF(NOT(ISNUMBER(D315)),"国内库存待补",IF(D315=0,"国内无可用库存",IF(G315&gt;0,"先发国内现货","按建议量发货")))))</f>
        <v>国内无可用库存</v>
      </c>
      <c r="I315" s="28" t="n">
        <f>IF(AND(COUNT(Z315,AA315,AB315)=3,Z315&gt;=AA315,AA315&gt;=0,AB315=7),Z315-AA315,"")</f>
        <v>0</v>
      </c>
      <c r="J315" s="28" t="n">
        <f>IF(AND(COUNT(AF315,AG315,AH315)=3,AF315&gt;=AG315,AG315&gt;=0,AH315=14),AF315-AG315,"")</f>
        <v>1</v>
      </c>
      <c r="K315" s="28" t="n">
        <f>IF(AND(COUNT(AL315,AM315,AN315)=3,AL315&gt;=AM315,AM315&gt;=0,AN315=30),AL315-AM315,"")</f>
        <v>2</v>
      </c>
      <c r="L315" s="29" t="n">
        <f>IF(ISNUMBER(BI315),BI315/90,"")</f>
        <v>0.08613975476194163</v>
      </c>
      <c r="M315" s="28" t="n">
        <v>0</v>
      </c>
      <c r="N315" s="28" t="n">
        <v>0</v>
      </c>
      <c r="O315" s="28" t="n">
        <v>0</v>
      </c>
      <c r="P315" s="30" t="n">
        <f>IF(AND(ISNUMBER(L315),L315&gt;0,COUNT(M315:O315)=3,MIN(M315:O315)&gt;=0),SUM(M315:O315)/L315,"")</f>
        <v>0</v>
      </c>
      <c r="Q315" s="16" t="str">
        <v>沿用原计划SKU店铺</v>
      </c>
      <c r="R315" s="16" t="str">
        <v>已匹配</v>
      </c>
      <c r="S315" s="16" t="str">
        <v>停售</v>
      </c>
      <c r="T315" s="16" t="str">
        <v>B07</v>
      </c>
      <c r="U315" s="16" t="str">
        <v>驼色PU</v>
      </c>
      <c r="V315" s="16" t="n">
        <v>9</v>
      </c>
      <c r="W315" s="8" t="str">
        <v>2026-10-08 至 2026-10-17</v>
      </c>
      <c r="X315" s="8" t="str">
        <v>2026-10-08、2026-10-09、2026-10-10、2026-10-11、2026-10-14、2026-10-15、2026-10-17</v>
      </c>
      <c r="Y315" s="8" t="str">
        <v>2026-10-12 有记录的停售日；2026-10-13 有记录的停售日；2026-10-16 有记录的停售日</v>
      </c>
      <c r="Z315" s="8" t="n">
        <v>0</v>
      </c>
      <c r="AA315" s="8" t="n">
        <v>0</v>
      </c>
      <c r="AB315" s="8" t="n">
        <v>7</v>
      </c>
      <c r="AC315" s="8" t="str">
        <v>2026-09-29 至 2026-10-17</v>
      </c>
      <c r="AD315" s="8" t="str">
        <v>2026-09-29、2026-09-30、2026-10-01、2026-10-02、2026-10-03、2026-10-04、2026-10-05、2026-10-08、2026-10-09、2026-10-10、2026-10-11、2026-10-14、2026-10-15、2026-10-17</v>
      </c>
      <c r="AE315" s="8" t="str">
        <v>2026-10-06 大促；2026-10-07 大促；2026-10-12 有记录的停售日；2026-10-13 有记录的停售日；2026-10-16 有记录的停售日</v>
      </c>
      <c r="AF315" s="8" t="n">
        <v>1</v>
      </c>
      <c r="AG315" s="8" t="n">
        <v>0</v>
      </c>
      <c r="AH315" s="8" t="n">
        <v>14</v>
      </c>
      <c r="AI315" s="8" t="str">
        <v>2026-09-13 至 2026-10-17</v>
      </c>
      <c r="AJ3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5" s="8" t="str">
        <v>2026-10-06 大促；2026-10-07 大促；2026-10-12 有记录的停售日；2026-10-13 有记录的停售日；2026-10-16 有记录的停售日</v>
      </c>
      <c r="AL315" s="8" t="n">
        <v>2</v>
      </c>
      <c r="AM315" s="8" t="n">
        <v>0</v>
      </c>
      <c r="AN315" s="8" t="n">
        <v>30</v>
      </c>
      <c r="AO315" s="8" t="str">
        <v>B07 / 驼色PU / 13306</v>
      </c>
      <c r="AP315" s="11" t="n">
        <v>0.7307750238224848</v>
      </c>
      <c r="AQ315" s="11" t="n">
        <v>0.7348338471341894</v>
      </c>
      <c r="AR315" s="11" t="n">
        <v>0.7478220817316438</v>
      </c>
      <c r="AS315" s="11" t="n">
        <f>IF(AND(COUNT(I315:K315,AP315:AR315)=6,MIN(AP315:AR315)&gt;0),I315/7/AP315*0.5+J315/14/AQ315*0.3+K315/30/AR315*0.2,"")</f>
        <v>0.046990663918525154</v>
      </c>
      <c r="AT315" s="8" t="n">
        <v>2</v>
      </c>
      <c r="AU315" s="8" t="n">
        <v>0</v>
      </c>
      <c r="AV315" s="8" t="n">
        <v>85</v>
      </c>
      <c r="AW315" s="11" t="n">
        <f>IF(AND(COUNT(AT315:AV315)=3,AT315&gt;=AU315,AU315&gt;=0,AV315&gt;0),(AT315-AU315)/AV315,"")</f>
        <v>0.023529411764705882</v>
      </c>
      <c r="AX315" s="8" t="n">
        <v>8</v>
      </c>
      <c r="AY315" s="8" t="n">
        <v>0</v>
      </c>
      <c r="AZ315" s="8" t="n">
        <v>175</v>
      </c>
      <c r="BA315" s="11" t="n">
        <f>IF(AND(COUNT(AX315:AZ315)=3,AX315&gt;=AY315,AY315&gt;=0,AZ315&gt;0),(AX315-AY315)/AZ315,"")</f>
        <v>0.045714285714285714</v>
      </c>
      <c r="BB315" s="8" t="n">
        <f>IF(COUNT(AS315,AW315,BA315)=3,1,0)</f>
        <v>1</v>
      </c>
      <c r="BC315" s="11" t="n">
        <f>IF(SUMIF($AO$11:$AO$1309,AO315,$BB$11:$BB$1309)=COUNTIF($AO$11:$AO$1309,AO315),SUMIF($AO$11:$AO$1309,AO315,$AS$11:$AS$1309),"")</f>
        <v>0.22127795205062725</v>
      </c>
      <c r="BD315" s="11" t="n">
        <f>IF(SUMIF($AO$11:$AO$1309,AO315,$BB$11:$BB$1309)=COUNTIF($AO$11:$AO$1309,AO315),SUMIF($AO$11:$AO$1309,AO315,$AW$11:$AW$1309),"")</f>
        <v>0.05762032085561497</v>
      </c>
      <c r="BE315" s="11" t="n">
        <f>IF(SUMIF($AO$11:$AO$1309,AO315,$BB$11:$BB$1309)=COUNTIF($AO$11:$AO$1309,AO315),SUMIF($AO$11:$AO$1309,AO315,$BA$11:$BA$1309),"")</f>
        <v>0.08504012841091493</v>
      </c>
      <c r="BF315" s="12" t="n">
        <f>IF(COUNT(BD315:BE315)&lt;&gt;2,"",IF(AND(BD315&gt;0,BE315&gt;0),0.7*AW315/BD315+0.3*BA315/BE315,IF(BD315&gt;0,AW315/BD315,IF(BE315&gt;0,BA315/BE315,IF(AND(ISNUMBER(BH315),BH315=0),0,"")))))</f>
        <v>0.4471152709204278</v>
      </c>
      <c r="BG315" s="11" t="n">
        <f>IF(AND(COUNT(BN315:BU315)=8,MIN(BN315:BU315)&gt;=0),SUMPRODUCT(BN315:BQ315,BR315:BU315),"")</f>
        <v>78.35892944347341</v>
      </c>
      <c r="BH315" s="11" t="n">
        <f>IF(COUNT(BC315,BG315)=2,BC315*BG315,"")</f>
        <v>17.339103432131395</v>
      </c>
      <c r="BI315" s="11" t="n">
        <f>IF(ISNUMBER(CI315),CI315,"")</f>
        <v>7.752577928574747</v>
      </c>
      <c r="BJ315" s="8" t="str">
        <v>低销提醒依据不完整</v>
      </c>
      <c r="BK315" s="8" t="str">
        <v>90天：2026-07-20 至 2026-10-17；180天：2026-04-21 至 2026-10-17</v>
      </c>
      <c r="BL315" s="8" t="str">
        <v>90天：2026-10-06、2026-10-07、2026-10-12、2026-10-13、2026-10-16；180天：2026-10-06、2026-10-07、2026-10-12、2026-10-13、2026-10-16</v>
      </c>
      <c r="BM315" s="8" t="str">
        <v>2026-10：12天 × 0.7307750238224848；2026-11：30天 × 0.9523018155490097；2026-12：31天 × 0.5958545198749097；2027-01：17天 × 1.3264167397065354</v>
      </c>
      <c r="BN315" s="11" t="n">
        <v>0.7307750238224848</v>
      </c>
      <c r="BO315" s="11" t="n">
        <v>0.9523018155490097</v>
      </c>
      <c r="BP315" s="11" t="n">
        <v>0.5958545198749097</v>
      </c>
      <c r="BQ315" s="11" t="n">
        <v>1.3264167397065354</v>
      </c>
      <c r="BR315" s="8" t="n">
        <v>12</v>
      </c>
      <c r="BS315" s="8" t="n">
        <v>30</v>
      </c>
      <c r="BT315" s="8" t="n">
        <v>31</v>
      </c>
      <c r="BU315" s="8" t="n">
        <v>17</v>
      </c>
      <c r="BV315" s="11" t="n">
        <f>IF(COUNT(BC315,BF315)=2,BC315*BF315,"")</f>
        <v>0.09893675147983363</v>
      </c>
      <c r="BW315" s="11" t="n">
        <f>IF(ISNUMBER(BN315),BN315,"")</f>
        <v>0.7307750238224848</v>
      </c>
      <c r="BX315" s="14" t="n">
        <f>IF(ISNUMBER(BR315),BR315,"")</f>
        <v>12</v>
      </c>
      <c r="BY315" s="13" t="n">
        <f>IF(AND(COUNT(BV315,BW315,BX315)=3,MIN(BV315,BW315,BX315)&gt;=0),BV315*BW315*BX315,"")</f>
        <v>0.8676060830351362</v>
      </c>
      <c r="BZ315" s="11" t="n">
        <f>IF(ISNUMBER(BO315),BO315,"")</f>
        <v>0.9523018155490097</v>
      </c>
      <c r="CA315" s="14" t="n">
        <f>IF(ISNUMBER(BS315),BS315,"")</f>
        <v>30</v>
      </c>
      <c r="CB315" s="13" t="n">
        <f>IF(AND(COUNT(BV315,BZ315,CA315)=3,MIN(BV315,BZ315,CA315)&gt;=0),BV315*BZ315*CA315,"")</f>
        <v>2.8265294417630025</v>
      </c>
      <c r="CC315" s="11" t="n">
        <f>IF(ISNUMBER(BP315),BP315,"")</f>
        <v>0.5958545198749097</v>
      </c>
      <c r="CD315" s="14" t="n">
        <f>IF(ISNUMBER(BT315),BT315,"")</f>
        <v>31</v>
      </c>
      <c r="CE315" s="13" t="n">
        <f>IF(AND(COUNT(BV315,CC315,CD315)=3,MIN(BV315,CC315,CD315)&gt;=0),BV315*CC315*CD315,"")</f>
        <v>1.8275092270809854</v>
      </c>
      <c r="CF315" s="11" t="n">
        <f>IF(ISNUMBER(BQ315),BQ315,"")</f>
        <v>1.3264167397065354</v>
      </c>
      <c r="CG315" s="14" t="n">
        <f>IF(ISNUMBER(BU315),BU315,"")</f>
        <v>17</v>
      </c>
      <c r="CH315" s="13" t="n">
        <f>IF(AND(COUNT(BV315,CF315,CG315)=3,MIN(BV315,CF315,CG315)&gt;=0),BV315*CF315*CG315,"")</f>
        <v>2.2309331766956237</v>
      </c>
      <c r="CI315" s="13" t="n">
        <f>IF(COUNT(BY315,CB315,CE315,CH315)=4,SUM(BY315,CB315,CE315,CH315),"")</f>
        <v>7.752577928574747</v>
      </c>
    </row>
    <row r="316" ht="72" customHeight="1">
      <c r="A316" s="16" t="str">
        <v>32582-MT-42</v>
      </c>
      <c r="B316" s="16" t="str">
        <v>3店-SANDIEX-US</v>
      </c>
      <c r="C316" s="16" t="str">
        <v>徐新怡</v>
      </c>
      <c r="D316" s="26" t="n">
        <f>IF(NOT(ISNUMBER(E316)),"",IF(OR(E316&lt;=0,L316=0),0,IF(OR(NOT(ISNUMBER(F316)),F316&lt;0),"",MIN(E316,INT(F316)))))</f>
        <v>0</v>
      </c>
      <c r="E316" s="27" t="n">
        <f>IF(OR(NOT(ISNUMBER(L316)),COUNT(M316:O316)&lt;&gt;3,MIN(M316:O316)&lt;0),"",ROUNDUP(ROUND(BI316-SUM(M316:O316),10),0))</f>
        <v>7</v>
      </c>
      <c r="F316" s="28" t="n">
        <v>0</v>
      </c>
      <c r="G316" s="28" t="n">
        <f>IF(AND(ISNUMBER(D316),ISNUMBER(E316)),IF(OR(E316&lt;=0,L316=0),0,E316-D316),"")</f>
        <v>7</v>
      </c>
      <c r="H316" s="16" t="str">
        <f>IF(NOT(ISNUMBER(E316)),"销量或海外库存待补",IF(OR(E316&lt;=0,L316=0),IF(L316=0,"零日销，本批不发","本批无需补货"),IF(NOT(ISNUMBER(D316)),"国内库存待补",IF(D316=0,"国内无可用库存",IF(G316&gt;0,"先发国内现货","按建议量发货")))))</f>
        <v>国内无可用库存</v>
      </c>
      <c r="I316" s="28" t="n">
        <f>IF(AND(COUNT(Z316,AA316,AB316)=3,Z316&gt;=AA316,AA316&gt;=0,AB316=7),Z316-AA316,"")</f>
        <v>0</v>
      </c>
      <c r="J316" s="28" t="n">
        <f>IF(AND(COUNT(AF316,AG316,AH316)=3,AF316&gt;=AG316,AG316&gt;=0,AH316=14),AF316-AG316,"")</f>
        <v>0</v>
      </c>
      <c r="K316" s="28" t="n">
        <f>IF(AND(COUNT(AL316,AM316,AN316)=3,AL316&gt;=AM316,AM316&gt;=0,AN316=30),AL316-AM316,"")</f>
        <v>1</v>
      </c>
      <c r="L316" s="29" t="n">
        <f>IF(ISNUMBER(BI316),BI316/90,"")</f>
        <v>0.07628080341453762</v>
      </c>
      <c r="M316" s="28" t="n">
        <v>0</v>
      </c>
      <c r="N316" s="28" t="n">
        <v>0</v>
      </c>
      <c r="O316" s="28" t="n">
        <v>0</v>
      </c>
      <c r="P316" s="30" t="n">
        <f>IF(AND(ISNUMBER(L316),L316&gt;0,COUNT(M316:O316)=3,MIN(M316:O316)&gt;=0),SUM(M316:O316)/L316,"")</f>
        <v>0</v>
      </c>
      <c r="Q316" s="16" t="str">
        <v>沿用原计划SKU店铺</v>
      </c>
      <c r="R316" s="16" t="str">
        <v>已匹配</v>
      </c>
      <c r="S316" s="16" t="str">
        <v>停售</v>
      </c>
      <c r="T316" s="16" t="str">
        <v>32582</v>
      </c>
      <c r="U316" s="16" t="str">
        <v>黄色</v>
      </c>
      <c r="V316" s="16" t="n">
        <v>11</v>
      </c>
      <c r="W316" s="8" t="str">
        <v>2026-10-08 至 2026-10-17</v>
      </c>
      <c r="X316" s="8" t="str">
        <v>2026-10-08、2026-10-09、2026-10-10、2026-10-11、2026-10-14、2026-10-15、2026-10-17</v>
      </c>
      <c r="Y316" s="8" t="str">
        <v>2026-10-12 有记录的停售日；2026-10-13 有记录的停售日；2026-10-16 有记录的停售日</v>
      </c>
      <c r="Z316" s="8" t="n">
        <v>0</v>
      </c>
      <c r="AA316" s="8" t="n">
        <v>0</v>
      </c>
      <c r="AB316" s="8" t="n">
        <v>7</v>
      </c>
      <c r="AC316" s="8" t="str">
        <v>2026-09-29 至 2026-10-17</v>
      </c>
      <c r="AD316" s="8" t="str">
        <v>2026-09-29、2026-09-30、2026-10-01、2026-10-02、2026-10-03、2026-10-04、2026-10-05、2026-10-08、2026-10-09、2026-10-10、2026-10-11、2026-10-14、2026-10-15、2026-10-17</v>
      </c>
      <c r="AE316" s="8" t="str">
        <v>2026-10-06 大促；2026-10-07 大促；2026-10-12 有记录的停售日；2026-10-13 有记录的停售日；2026-10-16 有记录的停售日</v>
      </c>
      <c r="AF316" s="8" t="n">
        <v>0</v>
      </c>
      <c r="AG316" s="8" t="n">
        <v>0</v>
      </c>
      <c r="AH316" s="8" t="n">
        <v>14</v>
      </c>
      <c r="AI316" s="8" t="str">
        <v>2026-09-13 至 2026-10-17</v>
      </c>
      <c r="AJ31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6" s="8" t="str">
        <v>2026-10-06 大促；2026-10-07 大促；2026-10-12 有记录的停售日；2026-10-13 有记录的停售日；2026-10-16 有记录的停售日</v>
      </c>
      <c r="AL316" s="8" t="n">
        <v>1</v>
      </c>
      <c r="AM316" s="8" t="n">
        <v>0</v>
      </c>
      <c r="AN316" s="8" t="n">
        <v>30</v>
      </c>
      <c r="AO316" s="8" t="str">
        <v>32582 / 黄色羊京绒 / 6574</v>
      </c>
      <c r="AP316" s="11" t="n">
        <v>1.0395067087630607</v>
      </c>
      <c r="AQ316" s="11" t="n">
        <v>1.048428692110265</v>
      </c>
      <c r="AR316" s="11" t="n">
        <v>1.076979038821319</v>
      </c>
      <c r="AS316" s="11" t="n">
        <f>IF(AND(COUNT(I316:K316,AP316:AR316)=6,MIN(AP316:AR316)&gt;0),I316/7/AP316*0.5+J316/14/AQ316*0.3+K316/30/AR316*0.2,"")</f>
        <v>0.0061901545214500045</v>
      </c>
      <c r="AT316" s="8" t="n">
        <v>6</v>
      </c>
      <c r="AU316" s="8" t="n">
        <v>0</v>
      </c>
      <c r="AV316" s="8" t="n">
        <v>85</v>
      </c>
      <c r="AW316" s="11" t="n">
        <f>IF(AND(COUNT(AT316:AV316)=3,AT316&gt;=AU316,AU316&gt;=0,AV316&gt;0),(AT316-AU316)/AV316,"")</f>
        <v>0.07058823529411765</v>
      </c>
      <c r="AX316" s="8" t="n">
        <v>14</v>
      </c>
      <c r="AY316" s="8" t="n">
        <v>0</v>
      </c>
      <c r="AZ316" s="8" t="n">
        <v>175</v>
      </c>
      <c r="BA316" s="11" t="n">
        <f>IF(AND(COUNT(AX316:AZ316)=3,AX316&gt;=AY316,AY316&gt;=0,AZ316&gt;0),(AX316-AY316)/AZ316,"")</f>
        <v>0.08</v>
      </c>
      <c r="BB316" s="8" t="n">
        <f>IF(COUNT(AS316,AW316,BA316)=3,1,0)</f>
        <v>1</v>
      </c>
      <c r="BC316" s="11" t="n">
        <f>IF(SUMIF($AO$11:$AO$1309,AO316,$BB$11:$BB$1309)=COUNTIF($AO$11:$AO$1309,AO316),SUMIF($AO$11:$AO$1309,AO316,$AS$11:$AS$1309),"")</f>
        <v>0.47872862187367615</v>
      </c>
      <c r="BD316" s="11" t="n">
        <f>IF(SUMIF($AO$11:$AO$1309,AO316,$BB$11:$BB$1309)=COUNTIF($AO$11:$AO$1309,AO316),SUMIF($AO$11:$AO$1309,AO316,$AW$11:$AW$1309),"")</f>
        <v>0.4244652406417112</v>
      </c>
      <c r="BE316" s="11" t="n">
        <f>IF(SUMIF($AO$11:$AO$1309,AO316,$BB$11:$BB$1309)=COUNTIF($AO$11:$AO$1309,AO316),SUMIF($AO$11:$AO$1309,AO316,$BA$11:$BA$1309),"")</f>
        <v>0.5211878009630819</v>
      </c>
      <c r="BF316" s="12" t="n">
        <f>IF(COUNT(BD316:BE316)&lt;&gt;2,"",IF(AND(BD316&gt;0,BE316&gt;0),0.7*AW316/BD316+0.3*BA316/BE316,IF(BD316&gt;0,AW316/BD316,IF(BE316&gt;0,BA316/BE316,IF(AND(ISNUMBER(BH316),BH316=0),0,"")))))</f>
        <v>0.1624581091207147</v>
      </c>
      <c r="BG316" s="11" t="n">
        <f>IF(AND(COUNT(BN316:BU316)=8,MIN(BN316:BU316)&gt;=0),SUMPRODUCT(BN316:BQ316,BR316:BU316),"")</f>
        <v>88.27281580841549</v>
      </c>
      <c r="BH316" s="11" t="n">
        <f>IF(COUNT(BC316,BG316)=2,BC316*BG316,"")</f>
        <v>42.2587234608716</v>
      </c>
      <c r="BI316" s="11" t="n">
        <f>IF(ISNUMBER(CI316),CI316,"")</f>
        <v>6.865272307308386</v>
      </c>
      <c r="BJ316" s="8" t="str"/>
      <c r="BK316" s="8" t="str">
        <v>90天：2026-07-20 至 2026-10-17；180天：2026-04-21 至 2026-10-17</v>
      </c>
      <c r="BL316" s="8" t="str">
        <v>90天：2026-10-06、2026-10-07、2026-10-12、2026-10-13、2026-10-16；180天：2026-10-06、2026-10-07、2026-10-12、2026-10-13、2026-10-16</v>
      </c>
      <c r="BM316" s="8" t="str">
        <v>2026-10：12天 × 1.0395067087630607；2026-11：30天 × 0.9890368360033146；2026-12：31天 × 0.7800796503018808；2027-01：17天 × 1.2908918272824135</v>
      </c>
      <c r="BN316" s="11" t="n">
        <v>1.0395067087630607</v>
      </c>
      <c r="BO316" s="11" t="n">
        <v>0.9890368360033146</v>
      </c>
      <c r="BP316" s="11" t="n">
        <v>0.7800796503018808</v>
      </c>
      <c r="BQ316" s="11" t="n">
        <v>1.2908918272824135</v>
      </c>
      <c r="BR316" s="8" t="n">
        <v>12</v>
      </c>
      <c r="BS316" s="8" t="n">
        <v>30</v>
      </c>
      <c r="BT316" s="8" t="n">
        <v>31</v>
      </c>
      <c r="BU316" s="8" t="n">
        <v>17</v>
      </c>
      <c r="BV316" s="11" t="n">
        <f>IF(COUNT(BC316,BF316)=2,BC316*BF316,"")</f>
        <v>0.07777334669156305</v>
      </c>
      <c r="BW316" s="11" t="n">
        <f>IF(ISNUMBER(BN316),BN316,"")</f>
        <v>1.0395067087630607</v>
      </c>
      <c r="BX316" s="14" t="n">
        <f>IF(ISNUMBER(BR316),BR316,"")</f>
        <v>12</v>
      </c>
      <c r="BY316" s="13" t="n">
        <f>IF(AND(COUNT(BV316,BW316,BX316)=3,MIN(BV316,BW316,BX316)&gt;=0),BV316*BW316*BX316,"")</f>
        <v>0.9701509877860222</v>
      </c>
      <c r="BZ316" s="11" t="n">
        <f>IF(ISNUMBER(BO316),BO316,"")</f>
        <v>0.9890368360033146</v>
      </c>
      <c r="CA316" s="14" t="n">
        <f>IF(ISNUMBER(BS316),BS316,"")</f>
        <v>30</v>
      </c>
      <c r="CB316" s="13" t="n">
        <f>IF(AND(COUNT(BV316,BZ316,CA316)=3,MIN(BV316,BZ316,CA316)&gt;=0),BV316*BZ316*CA316,"")</f>
        <v>2.3076211421163713</v>
      </c>
      <c r="CC316" s="11" t="n">
        <f>IF(ISNUMBER(BP316),BP316,"")</f>
        <v>0.7800796503018808</v>
      </c>
      <c r="CD316" s="14" t="n">
        <f>IF(ISNUMBER(BT316),BT316,"")</f>
        <v>31</v>
      </c>
      <c r="CE316" s="13" t="n">
        <f>IF(AND(COUNT(BV316,CC316,CD316)=3,MIN(BV316,CC316,CD316)&gt;=0),BV316*CC316*CD316,"")</f>
        <v>1.8807515577888045</v>
      </c>
      <c r="CF316" s="11" t="n">
        <f>IF(ISNUMBER(BQ316),BQ316,"")</f>
        <v>1.2908918272824135</v>
      </c>
      <c r="CG316" s="14" t="n">
        <f>IF(ISNUMBER(BU316),BU316,"")</f>
        <v>17</v>
      </c>
      <c r="CH316" s="13" t="n">
        <f>IF(AND(COUNT(BV316,CF316,CG316)=3,MIN(BV316,CF316,CG316)&gt;=0),BV316*CF316*CG316,"")</f>
        <v>1.706748619617188</v>
      </c>
      <c r="CI316" s="13" t="n">
        <f>IF(COUNT(BY316,CB316,CE316,CH316)=4,SUM(BY316,CB316,CE316,CH316),"")</f>
        <v>6.865272307308386</v>
      </c>
    </row>
    <row r="317" ht="72" customHeight="1">
      <c r="A317" s="16" t="str">
        <v>8392-LP-38.5</v>
      </c>
      <c r="B317" s="16" t="str">
        <v>3店-SANDIEX-US</v>
      </c>
      <c r="C317" s="16" t="str">
        <v>徐新怡</v>
      </c>
      <c r="D317" s="26" t="n">
        <f>IF(NOT(ISNUMBER(E317)),"",IF(OR(E317&lt;=0,L317=0),0,IF(OR(NOT(ISNUMBER(F317)),F317&lt;0),"",MIN(E317,INT(F317)))))</f>
        <v>0</v>
      </c>
      <c r="E317" s="27" t="n">
        <f>IF(OR(NOT(ISNUMBER(L317)),COUNT(M317:O317)&lt;&gt;3,MIN(M317:O317)&lt;0),"",ROUNDUP(ROUND(BI317-SUM(M317:O317),10),0))</f>
        <v>7</v>
      </c>
      <c r="F317" s="28" t="n">
        <v>0</v>
      </c>
      <c r="G317" s="28" t="n">
        <f>IF(AND(ISNUMBER(D317),ISNUMBER(E317)),IF(OR(E317&lt;=0,L317=0),0,E317-D317),"")</f>
        <v>7</v>
      </c>
      <c r="H317" s="16" t="str">
        <f>IF(NOT(ISNUMBER(E317)),"销量或海外库存待补",IF(OR(E317&lt;=0,L317=0),IF(L317=0,"零日销，本批不发","本批无需补货"),IF(NOT(ISNUMBER(D317)),"国内库存待补",IF(D317=0,"国内无可用库存",IF(G317&gt;0,"先发国内现货","按建议量发货")))))</f>
        <v>国内无可用库存</v>
      </c>
      <c r="I317" s="28" t="n">
        <f>IF(AND(COUNT(Z317,AA317,AB317)=3,Z317&gt;=AA317,AA317&gt;=0,AB317=7),Z317-AA317,"")</f>
        <v>0</v>
      </c>
      <c r="J317" s="28" t="n">
        <f>IF(AND(COUNT(AF317,AG317,AH317)=3,AF317&gt;=AG317,AG317&gt;=0,AH317=14),AF317-AG317,"")</f>
        <v>0</v>
      </c>
      <c r="K317" s="28" t="n">
        <f>IF(AND(COUNT(AL317,AM317,AN317)=3,AL317&gt;=AM317,AM317&gt;=0,AN317=30),AL317-AM317,"")</f>
        <v>1</v>
      </c>
      <c r="L317" s="29" t="n">
        <f>IF(ISNUMBER(BI317),BI317/90,"")</f>
        <v>0.0737509543823185</v>
      </c>
      <c r="M317" s="28" t="n">
        <v>0</v>
      </c>
      <c r="N317" s="28" t="n">
        <v>0</v>
      </c>
      <c r="O317" s="28" t="n">
        <v>0</v>
      </c>
      <c r="P317" s="30" t="n">
        <f>IF(AND(ISNUMBER(L317),L317&gt;0,COUNT(M317:O317)=3,MIN(M317:O317)&gt;=0),SUM(M317:O317)/L317,"")</f>
        <v>0</v>
      </c>
      <c r="Q317" s="16" t="str">
        <v>按本SKU唯一未删除Listing店铺核实</v>
      </c>
      <c r="R317" s="16" t="str">
        <v>已匹配</v>
      </c>
      <c r="S317" s="16" t="str">
        <v>停售</v>
      </c>
      <c r="T317" s="16" t="str">
        <v>8392</v>
      </c>
      <c r="U317" s="16" t="str">
        <v>豹纹</v>
      </c>
      <c r="V317" s="16" t="n">
        <v>7.5</v>
      </c>
      <c r="W317" s="8" t="str">
        <v>2026-10-08 至 2026-10-17</v>
      </c>
      <c r="X317" s="8" t="str">
        <v>2026-10-08、2026-10-09、2026-10-10、2026-10-11、2026-10-14、2026-10-15、2026-10-17</v>
      </c>
      <c r="Y317" s="8" t="str">
        <v>2026-10-12 有记录的停售日；2026-10-13 有记录的停售日；2026-10-16 有记录的停售日</v>
      </c>
      <c r="Z317" s="8" t="n">
        <v>0</v>
      </c>
      <c r="AA317" s="8" t="n">
        <v>0</v>
      </c>
      <c r="AB317" s="8" t="n">
        <v>7</v>
      </c>
      <c r="AC317" s="8" t="str">
        <v>2026-09-29 至 2026-10-17</v>
      </c>
      <c r="AD317" s="8" t="str">
        <v>2026-09-29、2026-09-30、2026-10-01、2026-10-02、2026-10-03、2026-10-04、2026-10-05、2026-10-08、2026-10-09、2026-10-10、2026-10-11、2026-10-14、2026-10-15、2026-10-17</v>
      </c>
      <c r="AE317" s="8" t="str">
        <v>2026-10-06 大促；2026-10-07 大促；2026-10-12 有记录的停售日；2026-10-13 有记录的停售日；2026-10-16 有记录的停售日</v>
      </c>
      <c r="AF317" s="8" t="n">
        <v>0</v>
      </c>
      <c r="AG317" s="8" t="n">
        <v>0</v>
      </c>
      <c r="AH317" s="8" t="n">
        <v>14</v>
      </c>
      <c r="AI317" s="8" t="str">
        <v>2026-09-13 至 2026-10-17</v>
      </c>
      <c r="AJ31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7" s="8" t="str">
        <v>2026-10-06 大促；2026-10-07 大促；2026-10-12 有记录的停售日；2026-10-13 有记录的停售日；2026-10-16 有记录的停售日</v>
      </c>
      <c r="AL317" s="8" t="n">
        <v>1</v>
      </c>
      <c r="AM317" s="8" t="n">
        <v>0</v>
      </c>
      <c r="AN317" s="8" t="n">
        <v>30</v>
      </c>
      <c r="AO317" s="8" t="str">
        <v>8392 / 豹纹羊京绒 / 6574</v>
      </c>
      <c r="AP317" s="11" t="n">
        <v>1.1743420411079069</v>
      </c>
      <c r="AQ317" s="11" t="n">
        <v>1.1657675792110538</v>
      </c>
      <c r="AR317" s="11" t="n">
        <v>1.138329301141124</v>
      </c>
      <c r="AS317" s="11" t="n">
        <f>IF(AND(COUNT(I317:K317,AP317:AR317)=6,MIN(AP317:AR317)&gt;0),I317/7/AP317*0.5+J317/14/AQ317*0.3+K317/30/AR317*0.2,"")</f>
        <v>0.005856536118312718</v>
      </c>
      <c r="AT317" s="8" t="n">
        <v>2</v>
      </c>
      <c r="AU317" s="8" t="n">
        <v>0</v>
      </c>
      <c r="AV317" s="8" t="n">
        <v>85</v>
      </c>
      <c r="AW317" s="11" t="n">
        <f>IF(AND(COUNT(AT317:AV317)=3,AT317&gt;=AU317,AU317&gt;=0,AV317&gt;0),(AT317-AU317)/AV317,"")</f>
        <v>0.023529411764705882</v>
      </c>
      <c r="AX317" s="8" t="n">
        <v>7</v>
      </c>
      <c r="AY317" s="8" t="n">
        <v>0</v>
      </c>
      <c r="AZ317" s="8" t="n">
        <v>175</v>
      </c>
      <c r="BA317" s="11" t="n">
        <f>IF(AND(COUNT(AX317:AZ317)=3,AX317&gt;=AY317,AY317&gt;=0,AZ317&gt;0),(AX317-AY317)/AZ317,"")</f>
        <v>0.04</v>
      </c>
      <c r="BB317" s="8" t="n">
        <f>IF(COUNT(AS317,AW317,BA317)=3,1,0)</f>
        <v>1</v>
      </c>
      <c r="BC317" s="11" t="n">
        <f>IF(SUMIF($AO$11:$AO$1309,AO317,$BB$11:$BB$1309)=COUNTIF($AO$11:$AO$1309,AO317),SUMIF($AO$11:$AO$1309,AO317,$AS$11:$AS$1309),"")</f>
        <v>1.7348603654072816</v>
      </c>
      <c r="BD317" s="11" t="n">
        <f>IF(SUMIF($AO$11:$AO$1309,AO317,$BB$11:$BB$1309)=COUNTIF($AO$11:$AO$1309,AO317),SUMIF($AO$11:$AO$1309,AO317,$AW$11:$AW$1309),"")</f>
        <v>0.7184184645645092</v>
      </c>
      <c r="BE317" s="11" t="n">
        <f>IF(SUMIF($AO$11:$AO$1309,AO317,$BB$11:$BB$1309)=COUNTIF($AO$11:$AO$1309,AO317),SUMIF($AO$11:$AO$1309,AO317,$BA$11:$BA$1309),"")</f>
        <v>0.7208292298065674</v>
      </c>
      <c r="BF317" s="12" t="n">
        <f>IF(COUNT(BD317:BE317)&lt;&gt;2,"",IF(AND(BD317&gt;0,BE317&gt;0),0.7*AW317/BD317+0.3*BA317/BE317,IF(BD317&gt;0,AW317/BD317,IF(BE317&gt;0,BA317/BE317,IF(AND(ISNUMBER(BH317),BH317=0),0,"")))))</f>
        <v>0.0395736697184642</v>
      </c>
      <c r="BG317" s="11" t="n">
        <f>IF(AND(COUNT(BN317:BU317)=8,MIN(BN317:BU317)&gt;=0),SUMPRODUCT(BN317:BQ317,BR317:BU317),"")</f>
        <v>96.68059267618935</v>
      </c>
      <c r="BH317" s="11" t="n">
        <f>IF(COUNT(BC317,BG317)=2,BC317*BG317,"")</f>
        <v>167.7273283380064</v>
      </c>
      <c r="BI317" s="11" t="n">
        <f>IF(ISNUMBER(CI317),CI317,"")</f>
        <v>6.637585894408666</v>
      </c>
      <c r="BJ317" s="8" t="str"/>
      <c r="BK317" s="8" t="str">
        <v>90天：2026-07-20 至 2026-10-17；180天：2026-04-21 至 2026-10-17</v>
      </c>
      <c r="BL317" s="8" t="str">
        <v>90天：2026-10-06、2026-10-07、2026-10-12、2026-10-13、2026-10-16；180天：2026-10-06、2026-10-07、2026-10-12、2026-10-13、2026-10-16</v>
      </c>
      <c r="BM317" s="8" t="str">
        <v>2026-10：12天 × 1.1743420411079069；2026-11：30天 × 1.281694931279211；2026-12：31天 × 0.9007634642750235；2027-01：17天 × 0.9537631089407297</v>
      </c>
      <c r="BN317" s="11" t="n">
        <v>1.1743420411079069</v>
      </c>
      <c r="BO317" s="11" t="n">
        <v>1.281694931279211</v>
      </c>
      <c r="BP317" s="11" t="n">
        <v>0.9007634642750235</v>
      </c>
      <c r="BQ317" s="11" t="n">
        <v>0.9537631089407297</v>
      </c>
      <c r="BR317" s="8" t="n">
        <v>12</v>
      </c>
      <c r="BS317" s="8" t="n">
        <v>30</v>
      </c>
      <c r="BT317" s="8" t="n">
        <v>31</v>
      </c>
      <c r="BU317" s="8" t="n">
        <v>17</v>
      </c>
      <c r="BV317" s="11" t="n">
        <f>IF(COUNT(BC317,BF317)=2,BC317*BF317,"")</f>
        <v>0.06865479110828188</v>
      </c>
      <c r="BW317" s="11" t="n">
        <f>IF(ISNUMBER(BN317),BN317,"")</f>
        <v>1.1743420411079069</v>
      </c>
      <c r="BX317" s="14" t="n">
        <f>IF(ISNUMBER(BR317),BR317,"")</f>
        <v>12</v>
      </c>
      <c r="BY317" s="13" t="n">
        <f>IF(AND(COUNT(BV317,BW317,BX317)=3,MIN(BV317,BW317,BX317)&gt;=0),BV317*BW317*BX317,"")</f>
        <v>0.9674904902632406</v>
      </c>
      <c r="BZ317" s="11" t="n">
        <f>IF(ISNUMBER(BO317),BO317,"")</f>
        <v>1.281694931279211</v>
      </c>
      <c r="CA317" s="14" t="n">
        <f>IF(ISNUMBER(BS317),BS317,"")</f>
        <v>30</v>
      </c>
      <c r="CB317" s="13" t="n">
        <f>IF(AND(COUNT(BV317,BZ317,CA317)=3,MIN(BV317,BZ317,CA317)&gt;=0),BV317*BZ317*CA317,"")</f>
        <v>2.6398349331455377</v>
      </c>
      <c r="CC317" s="11" t="n">
        <f>IF(ISNUMBER(BP317),BP317,"")</f>
        <v>0.9007634642750235</v>
      </c>
      <c r="CD317" s="14" t="n">
        <f>IF(ISNUMBER(BT317),BT317,"")</f>
        <v>31</v>
      </c>
      <c r="CE317" s="13" t="n">
        <f>IF(AND(COUNT(BV317,CC317,CD317)=3,MIN(BV317,CC317,CD317)&gt;=0),BV317*CC317*CD317,"")</f>
        <v>1.917093551810996</v>
      </c>
      <c r="CF317" s="11" t="n">
        <f>IF(ISNUMBER(BQ317),BQ317,"")</f>
        <v>0.9537631089407297</v>
      </c>
      <c r="CG317" s="14" t="n">
        <f>IF(ISNUMBER(BU317),BU317,"")</f>
        <v>17</v>
      </c>
      <c r="CH317" s="13" t="n">
        <f>IF(AND(COUNT(BV317,CF317,CG317)=3,MIN(BV317,CF317,CG317)&gt;=0),BV317*CF317*CG317,"")</f>
        <v>1.1131669191888918</v>
      </c>
      <c r="CI317" s="13" t="n">
        <f>IF(COUNT(BY317,CB317,CE317,CH317)=4,SUM(BY317,CB317,CE317,CH317),"")</f>
        <v>6.637585894408666</v>
      </c>
    </row>
    <row r="318" ht="72" customHeight="1">
      <c r="A318" s="16" t="str">
        <v>8392-NY-S-K-41.5</v>
      </c>
      <c r="B318" s="16" t="str">
        <v>3店-SANDIEX-US</v>
      </c>
      <c r="C318" s="16" t="str">
        <v>徐新怡</v>
      </c>
      <c r="D318" s="26" t="n">
        <f>IF(NOT(ISNUMBER(E318)),"",IF(OR(E318&lt;=0,L318=0),0,IF(OR(NOT(ISNUMBER(F318)),F318&lt;0),"",MIN(E318,INT(F318)))))</f>
        <v>0</v>
      </c>
      <c r="E318" s="27" t="n">
        <f>IF(OR(NOT(ISNUMBER(L318)),COUNT(M318:O318)&lt;&gt;3,MIN(M318:O318)&lt;0),"",ROUNDUP(ROUND(BI318-SUM(M318:O318),10),0))</f>
        <v>7</v>
      </c>
      <c r="F318" s="28" t="n">
        <v>0</v>
      </c>
      <c r="G318" s="28" t="n">
        <f>IF(AND(ISNUMBER(D318),ISNUMBER(E318)),IF(OR(E318&lt;=0,L318=0),0,E318-D318),"")</f>
        <v>7</v>
      </c>
      <c r="H318" s="16" t="str">
        <f>IF(NOT(ISNUMBER(E318)),"销量或海外库存待补",IF(OR(E318&lt;=0,L318=0),IF(L318=0,"零日销，本批不发","本批无需补货"),IF(NOT(ISNUMBER(D318)),"国内库存待补",IF(D318=0,"国内无可用库存",IF(G318&gt;0,"先发国内现货","按建议量发货")))))</f>
        <v>国内无可用库存</v>
      </c>
      <c r="I318" s="28" t="n">
        <f>IF(AND(COUNT(Z318,AA318,AB318)=3,Z318&gt;=AA318,AA318&gt;=0,AB318=7),Z318-AA318,"")</f>
        <v>0</v>
      </c>
      <c r="J318" s="28" t="n">
        <f>IF(AND(COUNT(AF318,AG318,AH318)=3,AF318&gt;=AG318,AG318&gt;=0,AH318=14),AF318-AG318,"")</f>
        <v>0</v>
      </c>
      <c r="K318" s="28" t="n">
        <f>IF(AND(COUNT(AL318,AM318,AN318)=3,AL318&gt;=AM318,AM318&gt;=0,AN318=30),AL318-AM318,"")</f>
        <v>0</v>
      </c>
      <c r="L318" s="29" t="n">
        <f>IF(ISNUMBER(BI318),BI318/90,"")</f>
        <v>0.07505337552607215</v>
      </c>
      <c r="M318" s="28" t="n">
        <v>0</v>
      </c>
      <c r="N318" s="28" t="n">
        <v>0</v>
      </c>
      <c r="O318" s="28" t="n">
        <v>0</v>
      </c>
      <c r="P318" s="30" t="n">
        <f>IF(AND(ISNUMBER(L318),L318&gt;0,COUNT(M318:O318)=3,MIN(M318:O318)&gt;=0),SUM(M318:O318)/L318,"")</f>
        <v>0</v>
      </c>
      <c r="Q318" s="16" t="str">
        <v>按本SKU唯一未删除Listing店铺核实</v>
      </c>
      <c r="R318" s="16" t="str">
        <v>已匹配</v>
      </c>
      <c r="S318" s="16" t="str">
        <v>停售</v>
      </c>
      <c r="T318" s="16" t="str">
        <v>8392</v>
      </c>
      <c r="U318" s="16" t="str">
        <v>藏青色</v>
      </c>
      <c r="V318" s="16" t="n">
        <v>10.5</v>
      </c>
      <c r="W318" s="8" t="str">
        <v>2026-10-08 至 2026-10-17</v>
      </c>
      <c r="X318" s="8" t="str">
        <v>2026-10-08、2026-10-09、2026-10-10、2026-10-11、2026-10-14、2026-10-15、2026-10-17</v>
      </c>
      <c r="Y318" s="8" t="str">
        <v>2026-10-12 有记录的停售日；2026-10-13 有记录的停售日；2026-10-16 有记录的停售日</v>
      </c>
      <c r="Z318" s="8" t="n">
        <v>0</v>
      </c>
      <c r="AA318" s="8" t="n">
        <v>0</v>
      </c>
      <c r="AB318" s="8" t="n">
        <v>7</v>
      </c>
      <c r="AC318" s="8" t="str">
        <v>2026-09-29 至 2026-10-17</v>
      </c>
      <c r="AD318" s="8" t="str">
        <v>2026-09-29、2026-09-30、2026-10-01、2026-10-02、2026-10-03、2026-10-04、2026-10-05、2026-10-08、2026-10-09、2026-10-10、2026-10-11、2026-10-14、2026-10-15、2026-10-17</v>
      </c>
      <c r="AE318" s="8" t="str">
        <v>2026-10-06 大促；2026-10-07 大促；2026-10-12 有记录的停售日；2026-10-13 有记录的停售日；2026-10-16 有记录的停售日</v>
      </c>
      <c r="AF318" s="8" t="n">
        <v>0</v>
      </c>
      <c r="AG318" s="8" t="n">
        <v>0</v>
      </c>
      <c r="AH318" s="8" t="n">
        <v>14</v>
      </c>
      <c r="AI318" s="8" t="str">
        <v>2026-09-13 至 2026-10-17</v>
      </c>
      <c r="AJ3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8" s="8" t="str">
        <v>2026-10-06 大促；2026-10-07 大促；2026-10-12 有记录的停售日；2026-10-13 有记录的停售日；2026-10-16 有记录的停售日</v>
      </c>
      <c r="AL318" s="8" t="n">
        <v>0</v>
      </c>
      <c r="AM318" s="8" t="n">
        <v>0</v>
      </c>
      <c r="AN318" s="8" t="n">
        <v>30</v>
      </c>
      <c r="AO318" s="8" t="str">
        <v>8392 / 藏青色羊京绒 / 6574</v>
      </c>
      <c r="AP318" s="11" t="n">
        <v>1.1743420411079069</v>
      </c>
      <c r="AQ318" s="11" t="n">
        <v>1.1657675792110538</v>
      </c>
      <c r="AR318" s="11" t="n">
        <v>1.138329301141124</v>
      </c>
      <c r="AS318" s="11" t="n">
        <f>IF(AND(COUNT(I318:K318,AP318:AR318)=6,MIN(AP318:AR318)&gt;0),I318/7/AP318*0.5+J318/14/AQ318*0.3+K318/30/AR318*0.2,"")</f>
        <v>0</v>
      </c>
      <c r="AT318" s="8" t="n">
        <v>2</v>
      </c>
      <c r="AU318" s="8" t="n">
        <v>0</v>
      </c>
      <c r="AV318" s="8" t="n">
        <v>85</v>
      </c>
      <c r="AW318" s="11" t="n">
        <f>IF(AND(COUNT(AT318:AV318)=3,AT318&gt;=AU318,AU318&gt;=0,AV318&gt;0),(AT318-AU318)/AV318,"")</f>
        <v>0.023529411764705882</v>
      </c>
      <c r="AX318" s="8" t="n">
        <v>12</v>
      </c>
      <c r="AY318" s="8" t="n">
        <v>0</v>
      </c>
      <c r="AZ318" s="8" t="n">
        <v>175</v>
      </c>
      <c r="BA318" s="11" t="n">
        <f>IF(AND(COUNT(AX318:AZ318)=3,AX318&gt;=AY318,AY318&gt;=0,AZ318&gt;0),(AX318-AY318)/AZ318,"")</f>
        <v>0.06857142857142857</v>
      </c>
      <c r="BB318" s="8" t="n">
        <f>IF(COUNT(AS318,AW318,BA318)=3,1,0)</f>
        <v>1</v>
      </c>
      <c r="BC318" s="11" t="n">
        <f>IF(SUMIF($AO$11:$AO$1309,AO318,$BB$11:$BB$1309)=COUNTIF($AO$11:$AO$1309,AO318),SUMIF($AO$11:$AO$1309,AO318,$AS$11:$AS$1309),"")</f>
        <v>0.6185202058446071</v>
      </c>
      <c r="BD318" s="11" t="n">
        <f>IF(SUMIF($AO$11:$AO$1309,AO318,$BB$11:$BB$1309)=COUNTIF($AO$11:$AO$1309,AO318),SUMIF($AO$11:$AO$1309,AO318,$AW$11:$AW$1309),"")</f>
        <v>0.20655080213903745</v>
      </c>
      <c r="BE318" s="11" t="n">
        <f>IF(SUMIF($AO$11:$AO$1309,AO318,$BB$11:$BB$1309)=COUNTIF($AO$11:$AO$1309,AO318),SUMIF($AO$11:$AO$1309,AO318,$BA$11:$BA$1309),"")</f>
        <v>0.6192937399678973</v>
      </c>
      <c r="BF318" s="12" t="n">
        <f>IF(COUNT(BD318:BE318)&lt;&gt;2,"",IF(AND(BD318&gt;0,BE318&gt;0),0.7*AW318/BD318+0.3*BA318/BE318,IF(BD318&gt;0,AW318/BD318,IF(BE318&gt;0,BA318/BE318,IF(AND(ISNUMBER(BH318),BH318=0),0,"")))))</f>
        <v>0.1129586629175803</v>
      </c>
      <c r="BG318" s="11" t="n">
        <f>IF(AND(COUNT(BN318:BU318)=8,MIN(BN318:BU318)&gt;=0),SUMPRODUCT(BN318:BQ318,BR318:BU318),"")</f>
        <v>96.68059267618935</v>
      </c>
      <c r="BH318" s="11" t="n">
        <f>IF(COUNT(BC318,BG318)=2,BC318*BG318,"")</f>
        <v>59.79890008325525</v>
      </c>
      <c r="BI318" s="11" t="n">
        <f>IF(ISNUMBER(CI318),CI318,"")</f>
        <v>6.754803797346494</v>
      </c>
      <c r="BJ318" s="8" t="str"/>
      <c r="BK318" s="8" t="str">
        <v>90天：2026-07-20 至 2026-10-17；180天：2026-04-21 至 2026-10-17</v>
      </c>
      <c r="BL318" s="8" t="str">
        <v>90天：2026-10-06、2026-10-07、2026-10-12、2026-10-13、2026-10-16；180天：2026-10-06、2026-10-07、2026-10-12、2026-10-13、2026-10-16</v>
      </c>
      <c r="BM318" s="8" t="str">
        <v>2026-10：12天 × 1.1743420411079069；2026-11：30天 × 1.281694931279211；2026-12：31天 × 0.9007634642750235；2027-01：17天 × 0.9537631089407297</v>
      </c>
      <c r="BN318" s="11" t="n">
        <v>1.1743420411079069</v>
      </c>
      <c r="BO318" s="11" t="n">
        <v>1.281694931279211</v>
      </c>
      <c r="BP318" s="11" t="n">
        <v>0.9007634642750235</v>
      </c>
      <c r="BQ318" s="11" t="n">
        <v>0.9537631089407297</v>
      </c>
      <c r="BR318" s="8" t="n">
        <v>12</v>
      </c>
      <c r="BS318" s="8" t="n">
        <v>30</v>
      </c>
      <c r="BT318" s="8" t="n">
        <v>31</v>
      </c>
      <c r="BU318" s="8" t="n">
        <v>17</v>
      </c>
      <c r="BV318" s="11" t="n">
        <f>IF(COUNT(BC318,BF318)=2,BC318*BF318,"")</f>
        <v>0.06986721543971336</v>
      </c>
      <c r="BW318" s="11" t="n">
        <f>IF(ISNUMBER(BN318),BN318,"")</f>
        <v>1.1743420411079069</v>
      </c>
      <c r="BX318" s="14" t="n">
        <f>IF(ISNUMBER(BR318),BR318,"")</f>
        <v>12</v>
      </c>
      <c r="BY318" s="13" t="n">
        <f>IF(AND(COUNT(BV318,BW318,BX318)=3,MIN(BV318,BW318,BX318)&gt;=0),BV318*BW318*BX318,"")</f>
        <v>0.9845761006319862</v>
      </c>
      <c r="BZ318" s="11" t="n">
        <f>IF(ISNUMBER(BO318),BO318,"")</f>
        <v>1.281694931279211</v>
      </c>
      <c r="CA318" s="14" t="n">
        <f>IF(ISNUMBER(BS318),BS318,"")</f>
        <v>30</v>
      </c>
      <c r="CB318" s="13" t="n">
        <f>IF(AND(COUNT(BV318,BZ318,CA318)=3,MIN(BV318,BZ318,CA318)&gt;=0),BV318*BZ318*CA318,"")</f>
        <v>2.6864536767501974</v>
      </c>
      <c r="CC318" s="11" t="n">
        <f>IF(ISNUMBER(BP318),BP318,"")</f>
        <v>0.9007634642750235</v>
      </c>
      <c r="CD318" s="14" t="n">
        <f>IF(ISNUMBER(BT318),BT318,"")</f>
        <v>31</v>
      </c>
      <c r="CE318" s="13" t="n">
        <f>IF(AND(COUNT(BV318,CC318,CD318)=3,MIN(BV318,CC318,CD318)&gt;=0),BV318*CC318*CD318,"")</f>
        <v>1.950948885580494</v>
      </c>
      <c r="CF318" s="11" t="n">
        <f>IF(ISNUMBER(BQ318),BQ318,"")</f>
        <v>0.9537631089407297</v>
      </c>
      <c r="CG318" s="14" t="n">
        <f>IF(ISNUMBER(BU318),BU318,"")</f>
        <v>17</v>
      </c>
      <c r="CH318" s="13" t="n">
        <f>IF(AND(COUNT(BV318,CF318,CG318)=3,MIN(BV318,CF318,CG318)&gt;=0),BV318*CF318*CG318,"")</f>
        <v>1.132825134383817</v>
      </c>
      <c r="CI318" s="13" t="n">
        <f>IF(COUNT(BY318,CB318,CE318,CH318)=4,SUM(BY318,CB318,CE318,CH318),"")</f>
        <v>6.754803797346494</v>
      </c>
    </row>
    <row r="319" ht="72" customHeight="1">
      <c r="A319" s="16" t="str">
        <v>8392-TN-39.5</v>
      </c>
      <c r="B319" s="16" t="str">
        <v>3店-SANDIEX-US</v>
      </c>
      <c r="C319" s="16" t="str">
        <v>徐新怡</v>
      </c>
      <c r="D319" s="26" t="n">
        <f>IF(NOT(ISNUMBER(E319)),"",IF(OR(E319&lt;=0,L319=0),0,IF(OR(NOT(ISNUMBER(F319)),F319&lt;0),"",MIN(E319,INT(F319)))))</f>
        <v>0</v>
      </c>
      <c r="E319" s="27" t="n">
        <f>IF(OR(NOT(ISNUMBER(L319)),COUNT(M319:O319)&lt;&gt;3,MIN(M319:O319)&lt;0),"",ROUNDUP(ROUND(BI319-SUM(M319:O319),10),0))</f>
        <v>7</v>
      </c>
      <c r="F319" s="28" t="n">
        <v>0</v>
      </c>
      <c r="G319" s="28" t="n">
        <f>IF(AND(ISNUMBER(D319),ISNUMBER(E319)),IF(OR(E319&lt;=0,L319=0),0,E319-D319),"")</f>
        <v>7</v>
      </c>
      <c r="H319" s="16" t="str">
        <f>IF(NOT(ISNUMBER(E319)),"销量或海外库存待补",IF(OR(E319&lt;=0,L319=0),IF(L319=0,"零日销，本批不发","本批无需补货"),IF(NOT(ISNUMBER(D319)),"国内库存待补",IF(D319=0,"国内无可用库存",IF(G319&gt;0,"先发国内现货","按建议量发货")))))</f>
        <v>国内无可用库存</v>
      </c>
      <c r="I319" s="28" t="n">
        <f>IF(AND(COUNT(Z319,AA319,AB319)=3,Z319&gt;=AA319,AA319&gt;=0,AB319=7),Z319-AA319,"")</f>
        <v>0</v>
      </c>
      <c r="J319" s="28" t="n">
        <f>IF(AND(COUNT(AF319,AG319,AH319)=3,AF319&gt;=AG319,AG319&gt;=0,AH319=14),AF319-AG319,"")</f>
        <v>1</v>
      </c>
      <c r="K319" s="28" t="n">
        <f>IF(AND(COUNT(AL319,AM319,AN319)=3,AL319&gt;=AM319,AM319&gt;=0,AN319=30),AL319-AM319,"")</f>
        <v>2</v>
      </c>
      <c r="L319" s="29" t="n">
        <f>IF(ISNUMBER(BI319),BI319/90,"")</f>
        <v>0.07438137540274625</v>
      </c>
      <c r="M319" s="28" t="n">
        <v>0</v>
      </c>
      <c r="N319" s="28" t="n">
        <v>0</v>
      </c>
      <c r="O319" s="28" t="n">
        <v>0</v>
      </c>
      <c r="P319" s="30" t="n">
        <f>IF(AND(ISNUMBER(L319),L319&gt;0,COUNT(M319:O319)=3,MIN(M319:O319)&gt;=0),SUM(M319:O319)/L319,"")</f>
        <v>0</v>
      </c>
      <c r="Q319" s="16" t="str">
        <v>按本SKU唯一未删除Listing店铺核实</v>
      </c>
      <c r="R319" s="16" t="str">
        <v>已匹配</v>
      </c>
      <c r="S319" s="16" t="str">
        <v>停售</v>
      </c>
      <c r="T319" s="16" t="str">
        <v>8392</v>
      </c>
      <c r="U319" s="16" t="str">
        <v>驼色</v>
      </c>
      <c r="V319" s="16" t="n">
        <v>8.5</v>
      </c>
      <c r="W319" s="8" t="str">
        <v>2026-10-08 至 2026-10-17</v>
      </c>
      <c r="X319" s="8" t="str">
        <v>2026-10-08、2026-10-09、2026-10-10、2026-10-11、2026-10-14、2026-10-15、2026-10-17</v>
      </c>
      <c r="Y319" s="8" t="str">
        <v>2026-10-12 有记录的停售日；2026-10-13 有记录的停售日；2026-10-16 有记录的停售日</v>
      </c>
      <c r="Z319" s="8" t="n">
        <v>0</v>
      </c>
      <c r="AA319" s="8" t="n">
        <v>0</v>
      </c>
      <c r="AB319" s="8" t="n">
        <v>7</v>
      </c>
      <c r="AC319" s="8" t="str">
        <v>2026-09-29 至 2026-10-17</v>
      </c>
      <c r="AD319" s="8" t="str">
        <v>2026-09-29、2026-09-30、2026-10-01、2026-10-02、2026-10-03、2026-10-04、2026-10-05、2026-10-08、2026-10-09、2026-10-10、2026-10-11、2026-10-14、2026-10-15、2026-10-17</v>
      </c>
      <c r="AE319" s="8" t="str">
        <v>2026-10-06 大促；2026-10-07 大促；2026-10-12 有记录的停售日；2026-10-13 有记录的停售日；2026-10-16 有记录的停售日</v>
      </c>
      <c r="AF319" s="8" t="n">
        <v>1</v>
      </c>
      <c r="AG319" s="8" t="n">
        <v>0</v>
      </c>
      <c r="AH319" s="8" t="n">
        <v>14</v>
      </c>
      <c r="AI319" s="8" t="str">
        <v>2026-09-13 至 2026-10-17</v>
      </c>
      <c r="AJ31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19" s="8" t="str">
        <v>2026-10-06 大促；2026-10-07 大促；2026-10-12 有记录的停售日；2026-10-13 有记录的停售日；2026-10-16 有记录的停售日</v>
      </c>
      <c r="AL319" s="8" t="n">
        <v>2</v>
      </c>
      <c r="AM319" s="8" t="n">
        <v>0</v>
      </c>
      <c r="AN319" s="8" t="n">
        <v>30</v>
      </c>
      <c r="AO319" s="8" t="str">
        <v>8392 / 驼色羊京绒 / 6574</v>
      </c>
      <c r="AP319" s="11" t="n">
        <v>1.1743420411079069</v>
      </c>
      <c r="AQ319" s="11" t="n">
        <v>1.1657675792110538</v>
      </c>
      <c r="AR319" s="11" t="n">
        <v>1.138329301141124</v>
      </c>
      <c r="AS319" s="11" t="n">
        <f>IF(AND(COUNT(I319:K319,AP319:AR319)=6,MIN(AP319:AR319)&gt;0),I319/7/AP319*0.5+J319/14/AQ319*0.3+K319/30/AR319*0.2,"")</f>
        <v>0.030094584821727048</v>
      </c>
      <c r="AT319" s="8" t="n">
        <v>3</v>
      </c>
      <c r="AU319" s="8" t="n">
        <v>0</v>
      </c>
      <c r="AV319" s="8" t="n">
        <v>85</v>
      </c>
      <c r="AW319" s="11" t="n">
        <f>IF(AND(COUNT(AT319:AV319)=3,AT319&gt;=AU319,AU319&gt;=0,AV319&gt;0),(AT319-AU319)/AV319,"")</f>
        <v>0.03529411764705882</v>
      </c>
      <c r="AX319" s="8" t="n">
        <v>7</v>
      </c>
      <c r="AY319" s="8" t="n">
        <v>0</v>
      </c>
      <c r="AZ319" s="8" t="n">
        <v>175</v>
      </c>
      <c r="BA319" s="11" t="n">
        <f>IF(AND(COUNT(AX319:AZ319)=3,AX319&gt;=AY319,AY319&gt;=0,AZ319&gt;0),(AX319-AY319)/AZ319,"")</f>
        <v>0.04</v>
      </c>
      <c r="BB319" s="8" t="n">
        <f>IF(COUNT(AS319,AW319,BA319)=3,1,0)</f>
        <v>1</v>
      </c>
      <c r="BC319" s="11" t="n">
        <f>IF(SUMIF($AO$11:$AO$1309,AO319,$BB$11:$BB$1309)=COUNTIF($AO$11:$AO$1309,AO319),SUMIF($AO$11:$AO$1309,AO319,$AS$11:$AS$1309),"")</f>
        <v>0.7013954528820118</v>
      </c>
      <c r="BD319" s="11" t="n">
        <f>IF(SUMIF($AO$11:$AO$1309,AO319,$BB$11:$BB$1309)=COUNTIF($AO$11:$AO$1309,AO319),SUMIF($AO$11:$AO$1309,AO319,$AW$11:$AW$1309),"")</f>
        <v>0.33235294117647063</v>
      </c>
      <c r="BE319" s="11" t="n">
        <f>IF(SUMIF($AO$11:$AO$1309,AO319,$BB$11:$BB$1309)=COUNTIF($AO$11:$AO$1309,AO319),SUMIF($AO$11:$AO$1309,AO319,$BA$11:$BA$1309),"")</f>
        <v>0.4921348314606742</v>
      </c>
      <c r="BF319" s="12" t="n">
        <f>IF(COUNT(BD319:BE319)&lt;&gt;2,"",IF(AND(BD319&gt;0,BE319&gt;0),0.7*AW319/BD319+0.3*BA319/BE319,IF(BD319&gt;0,AW319/BD319,IF(BE319&gt;0,BA319/BE319,IF(AND(ISNUMBER(BH319),BH319=0),0,"")))))</f>
        <v>0.0987198448296763</v>
      </c>
      <c r="BG319" s="11" t="n">
        <f>IF(AND(COUNT(BN319:BU319)=8,MIN(BN319:BU319)&gt;=0),SUMPRODUCT(BN319:BQ319,BR319:BU319),"")</f>
        <v>96.68059267618935</v>
      </c>
      <c r="BH319" s="11" t="n">
        <f>IF(COUNT(BC319,BG319)=2,BC319*BG319,"")</f>
        <v>67.81132808501714</v>
      </c>
      <c r="BI319" s="11" t="n">
        <f>IF(ISNUMBER(CI319),CI319,"")</f>
        <v>6.694323786247162</v>
      </c>
      <c r="BJ319" s="8" t="str"/>
      <c r="BK319" s="8" t="str">
        <v>90天：2026-07-20 至 2026-10-17；180天：2026-04-21 至 2026-10-17</v>
      </c>
      <c r="BL319" s="8" t="str">
        <v>90天：2026-10-06、2026-10-07、2026-10-12、2026-10-13、2026-10-16；180天：2026-10-06、2026-10-07、2026-10-12、2026-10-13、2026-10-16</v>
      </c>
      <c r="BM319" s="8" t="str">
        <v>2026-10：12天 × 1.1743420411079069；2026-11：30天 × 1.281694931279211；2026-12：31天 × 0.9007634642750235；2027-01：17天 × 0.9537631089407297</v>
      </c>
      <c r="BN319" s="11" t="n">
        <v>1.1743420411079069</v>
      </c>
      <c r="BO319" s="11" t="n">
        <v>1.281694931279211</v>
      </c>
      <c r="BP319" s="11" t="n">
        <v>0.9007634642750235</v>
      </c>
      <c r="BQ319" s="11" t="n">
        <v>0.9537631089407297</v>
      </c>
      <c r="BR319" s="8" t="n">
        <v>12</v>
      </c>
      <c r="BS319" s="8" t="n">
        <v>30</v>
      </c>
      <c r="BT319" s="8" t="n">
        <v>31</v>
      </c>
      <c r="BU319" s="8" t="n">
        <v>17</v>
      </c>
      <c r="BV319" s="11" t="n">
        <f>IF(COUNT(BC319,BF319)=2,BC319*BF319,"")</f>
        <v>0.06924165027275274</v>
      </c>
      <c r="BW319" s="11" t="n">
        <f>IF(ISNUMBER(BN319),BN319,"")</f>
        <v>1.1743420411079069</v>
      </c>
      <c r="BX319" s="14" t="n">
        <f>IF(ISNUMBER(BR319),BR319,"")</f>
        <v>12</v>
      </c>
      <c r="BY319" s="13" t="n">
        <f>IF(AND(COUNT(BV319,BW319,BX319)=3,MIN(BV319,BW319,BX319)&gt;=0),BV319*BW319*BX319,"")</f>
        <v>0.9757605709318117</v>
      </c>
      <c r="BZ319" s="11" t="n">
        <f>IF(ISNUMBER(BO319),BO319,"")</f>
        <v>1.281694931279211</v>
      </c>
      <c r="CA319" s="14" t="n">
        <f>IF(ISNUMBER(BS319),BS319,"")</f>
        <v>30</v>
      </c>
      <c r="CB319" s="13" t="n">
        <f>IF(AND(COUNT(BV319,BZ319,CA319)=3,MIN(BV319,BZ319,CA319)&gt;=0),BV319*BZ319*CA319,"")</f>
        <v>2.6624001656398493</v>
      </c>
      <c r="CC319" s="11" t="n">
        <f>IF(ISNUMBER(BP319),BP319,"")</f>
        <v>0.9007634642750235</v>
      </c>
      <c r="CD319" s="14" t="n">
        <f>IF(ISNUMBER(BT319),BT319,"")</f>
        <v>31</v>
      </c>
      <c r="CE319" s="13" t="n">
        <f>IF(AND(COUNT(BV319,CC319,CD319)=3,MIN(BV319,CC319,CD319)&gt;=0),BV319*CC319*CD319,"")</f>
        <v>1.933480811925936</v>
      </c>
      <c r="CF319" s="11" t="n">
        <f>IF(ISNUMBER(BQ319),BQ319,"")</f>
        <v>0.9537631089407297</v>
      </c>
      <c r="CG319" s="14" t="n">
        <f>IF(ISNUMBER(BU319),BU319,"")</f>
        <v>17</v>
      </c>
      <c r="CH319" s="13" t="n">
        <f>IF(AND(COUNT(BV319,CF319,CG319)=3,MIN(BV319,CF319,CG319)&gt;=0),BV319*CF319*CG319,"")</f>
        <v>1.1226822377495653</v>
      </c>
      <c r="CI319" s="13" t="n">
        <f>IF(COUNT(BY319,CB319,CE319,CH319)=4,SUM(BY319,CB319,CE319,CH319),"")</f>
        <v>6.694323786247162</v>
      </c>
    </row>
    <row r="320" ht="72" customHeight="1">
      <c r="A320" s="16" t="str">
        <v>B06-BK-V-0-40</v>
      </c>
      <c r="B320" s="16" t="str">
        <v>1店-MUSSHOE-US</v>
      </c>
      <c r="C320" s="16" t="str">
        <v>艾年</v>
      </c>
      <c r="D320" s="26" t="n">
        <f>IF(NOT(ISNUMBER(E320)),"",IF(OR(E320&lt;=0,L320=0),0,IF(OR(NOT(ISNUMBER(F320)),F320&lt;0),"",MIN(E320,INT(F320)))))</f>
        <v>0</v>
      </c>
      <c r="E320" s="27" t="n">
        <f>IF(OR(NOT(ISNUMBER(L320)),COUNT(M320:O320)&lt;&gt;3,MIN(M320:O320)&lt;0),"",ROUNDUP(ROUND(BI320-SUM(M320:O320),10),0))</f>
        <v>7</v>
      </c>
      <c r="F320" s="28" t="n">
        <v>0</v>
      </c>
      <c r="G320" s="28" t="n">
        <f>IF(AND(ISNUMBER(D320),ISNUMBER(E320)),IF(OR(E320&lt;=0,L320=0),0,E320-D320),"")</f>
        <v>7</v>
      </c>
      <c r="H320" s="16" t="str">
        <f>IF(NOT(ISNUMBER(E320)),"销量或海外库存待补",IF(OR(E320&lt;=0,L320=0),IF(L320=0,"零日销，本批不发","本批无需补货"),IF(NOT(ISNUMBER(D320)),"国内库存待补",IF(D320=0,"国内无可用库存",IF(G320&gt;0,"先发国内现货","按建议量发货")))))</f>
        <v>国内无可用库存</v>
      </c>
      <c r="I320" s="28" t="n">
        <f>IF(AND(COUNT(Z320,AA320,AB320)=3,Z320&gt;=AA320,AA320&gt;=0,AB320=7),Z320-AA320,"")</f>
        <v>1</v>
      </c>
      <c r="J320" s="28" t="n">
        <f>IF(AND(COUNT(AF320,AG320,AH320)=3,AF320&gt;=AG320,AG320&gt;=0,AH320=14),AF320-AG320,"")</f>
        <v>2</v>
      </c>
      <c r="K320" s="28" t="n">
        <f>IF(AND(COUNT(AL320,AM320,AN320)=3,AL320&gt;=AM320,AM320&gt;=0,AN320=30),AL320-AM320,"")</f>
        <v>8</v>
      </c>
      <c r="L320" s="29" t="n">
        <f>IF(ISNUMBER(BI320),BI320/90,"")</f>
        <v>0.12209418440828211</v>
      </c>
      <c r="M320" s="28" t="n">
        <v>4</v>
      </c>
      <c r="N320" s="28" t="n">
        <v>0</v>
      </c>
      <c r="O320" s="28" t="n">
        <v>0</v>
      </c>
      <c r="P320" s="30" t="n">
        <f>IF(AND(ISNUMBER(L320),L320&gt;0,COUNT(M320:O320)=3,MIN(M320:O320)&gt;=0),SUM(M320:O320)/L320,"")</f>
        <v>32.76159318632268</v>
      </c>
      <c r="Q320" s="16" t="str">
        <v>沿用原计划SKU店铺</v>
      </c>
      <c r="R320" s="16" t="str">
        <v>已匹配</v>
      </c>
      <c r="S320" s="16" t="str">
        <v>在售</v>
      </c>
      <c r="T320" s="16" t="str">
        <v>B06</v>
      </c>
      <c r="U320" s="16" t="str">
        <v>黑色天鹅绒</v>
      </c>
      <c r="V320" s="16" t="n">
        <v>9</v>
      </c>
      <c r="W320" s="8" t="str">
        <v>2026-10-11 至 2026-10-17</v>
      </c>
      <c r="X320" s="8" t="str">
        <v>2026-10-11、2026-10-12、2026-10-13、2026-10-14、2026-10-15、2026-10-16、2026-10-17</v>
      </c>
      <c r="Y320" s="8" t="str">
        <v>无</v>
      </c>
      <c r="Z320" s="8" t="n">
        <v>1</v>
      </c>
      <c r="AA320" s="8" t="n">
        <v>0</v>
      </c>
      <c r="AB320" s="8" t="n">
        <v>7</v>
      </c>
      <c r="AC320" s="8" t="str">
        <v>2026-10-02 至 2026-10-17</v>
      </c>
      <c r="AD320" s="8" t="str">
        <v>2026-10-02、2026-10-03、2026-10-04、2026-10-05、2026-10-08、2026-10-09、2026-10-10、2026-10-11、2026-10-12、2026-10-13、2026-10-14、2026-10-15、2026-10-16、2026-10-17</v>
      </c>
      <c r="AE320" s="8" t="str">
        <v>2026-10-06 大促；2026-10-07 大促</v>
      </c>
      <c r="AF320" s="8" t="n">
        <v>5</v>
      </c>
      <c r="AG320" s="8" t="n">
        <v>3</v>
      </c>
      <c r="AH320" s="8" t="n">
        <v>14</v>
      </c>
      <c r="AI320" s="8" t="str">
        <v>2026-09-16 至 2026-10-17</v>
      </c>
      <c r="AJ3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0" s="8" t="str">
        <v>2026-10-06 大促；2026-10-07 大促</v>
      </c>
      <c r="AL320" s="8" t="n">
        <v>11</v>
      </c>
      <c r="AM320" s="8" t="n">
        <v>3</v>
      </c>
      <c r="AN320" s="8" t="n">
        <v>30</v>
      </c>
      <c r="AO320" s="8" t="str">
        <v>B06 / 黑色羊京绒 / 13120</v>
      </c>
      <c r="AP320" s="11" t="n">
        <v>1.2247029157699902</v>
      </c>
      <c r="AQ320" s="11" t="n">
        <v>1.2247029157699902</v>
      </c>
      <c r="AR320" s="11" t="n">
        <v>1.1136940657346173</v>
      </c>
      <c r="AS320" s="11" t="n">
        <f>IF(AND(COUNT(I320:K320,AP320:AR320)=6,MIN(AP320:AR320)&gt;0),I320/7/AP320*0.5+J320/14/AQ320*0.3+K320/30/AR320*0.2,"")</f>
        <v>0.14120576684405722</v>
      </c>
      <c r="AT320" s="8" t="n">
        <v>17</v>
      </c>
      <c r="AU320" s="8" t="n">
        <v>3</v>
      </c>
      <c r="AV320" s="8" t="n">
        <v>88</v>
      </c>
      <c r="AW320" s="11" t="n">
        <f>IF(AND(COUNT(AT320:AV320)=3,AT320&gt;=AU320,AU320&gt;=0,AV320&gt;0),(AT320-AU320)/AV320,"")</f>
        <v>0.1590909090909091</v>
      </c>
      <c r="AX320" s="8" t="n">
        <v>26</v>
      </c>
      <c r="AY320" s="8" t="n">
        <v>3</v>
      </c>
      <c r="AZ320" s="8" t="n">
        <v>178</v>
      </c>
      <c r="BA320" s="11" t="n">
        <f>IF(AND(COUNT(AX320:AZ320)=3,AX320&gt;=AY320,AY320&gt;=0,AZ320&gt;0),(AX320-AY320)/AZ320,"")</f>
        <v>0.12921348314606743</v>
      </c>
      <c r="BB320" s="8" t="n">
        <f>IF(COUNT(AS320,AW320,BA320)=3,1,0)</f>
        <v>1</v>
      </c>
      <c r="BC320" s="11" t="n">
        <f>IF(SUMIF($AO$11:$AO$1309,AO320,$BB$11:$BB$1309)=COUNTIF($AO$11:$AO$1309,AO320),SUMIF($AO$11:$AO$1309,AO320,$AS$11:$AS$1309),"")</f>
        <v>11.479673646705146</v>
      </c>
      <c r="BD320" s="11" t="n">
        <f>IF(SUMIF($AO$11:$AO$1309,AO320,$BB$11:$BB$1309)=COUNTIF($AO$11:$AO$1309,AO320),SUMIF($AO$11:$AO$1309,AO320,$AW$11:$AW$1309),"")</f>
        <v>12.119251336898396</v>
      </c>
      <c r="BE320" s="11" t="n">
        <f>IF(SUMIF($AO$11:$AO$1309,AO320,$BB$11:$BB$1309)=COUNTIF($AO$11:$AO$1309,AO320),SUMIF($AO$11:$AO$1309,AO320,$BA$11:$BA$1309),"")</f>
        <v>10.255120385232745</v>
      </c>
      <c r="BF320" s="12" t="n">
        <f>IF(COUNT(BD320:BE320)&lt;&gt;2,"",IF(AND(BD320&gt;0,BE320&gt;0),0.7*AW320/BD320+0.3*BA320/BE320,IF(BD320&gt;0,AW320/BD320,IF(BE320&gt;0,BA320/BE320,IF(AND(ISNUMBER(BH320),BH320=0),0,"")))))</f>
        <v>0.012968956213932955</v>
      </c>
      <c r="BG320" s="11" t="n">
        <f>IF(AND(COUNT(BN320:BU320)=8,MIN(BN320:BU320)&gt;=0),SUMPRODUCT(BN320:BQ320,BR320:BU320),"")</f>
        <v>73.80791239847399</v>
      </c>
      <c r="BH320" s="11" t="n">
        <f>IF(COUNT(BC320,BG320)=2,BC320*BG320,"")</f>
        <v>847.2907468790838</v>
      </c>
      <c r="BI320" s="11" t="n">
        <f>IF(ISNUMBER(CI320),CI320,"")</f>
        <v>10.98847659674539</v>
      </c>
      <c r="BJ320" s="8" t="str">
        <v>低销提醒依据不完整</v>
      </c>
      <c r="BK320" s="8" t="str">
        <v>90天：2026-07-20 至 2026-10-17；180天：2026-04-21 至 2026-10-17</v>
      </c>
      <c r="BL320" s="8" t="str">
        <v>90天：2026-10-06、2026-10-07；180天：2026-10-06、2026-10-07</v>
      </c>
      <c r="BM320" s="8" t="str">
        <v>2026-10：12天 × 1.2247029157699902；2026-11：30天 × 0.8332682139098497；2026-12：31天 × 0.5511018253564084；2027-01：17天 × 1.0017220238758797</v>
      </c>
      <c r="BN320" s="11" t="n">
        <v>1.2247029157699902</v>
      </c>
      <c r="BO320" s="11" t="n">
        <v>0.8332682139098497</v>
      </c>
      <c r="BP320" s="11" t="n">
        <v>0.5511018253564084</v>
      </c>
      <c r="BQ320" s="11" t="n">
        <v>1.0017220238758797</v>
      </c>
      <c r="BR320" s="8" t="n">
        <v>12</v>
      </c>
      <c r="BS320" s="8" t="n">
        <v>30</v>
      </c>
      <c r="BT320" s="8" t="n">
        <v>31</v>
      </c>
      <c r="BU320" s="8" t="n">
        <v>17</v>
      </c>
      <c r="BV320" s="11" t="n">
        <f>IF(COUNT(BC320,BF320)=2,BC320*BF320,"")</f>
        <v>0.1488793848743591</v>
      </c>
      <c r="BW320" s="11" t="n">
        <f>IF(ISNUMBER(BN320),BN320,"")</f>
        <v>1.2247029157699902</v>
      </c>
      <c r="BX320" s="14" t="n">
        <f>IF(ISNUMBER(BR320),BR320,"")</f>
        <v>12</v>
      </c>
      <c r="BY320" s="13" t="n">
        <f>IF(AND(COUNT(BV320,BW320,BX320)=3,MIN(BV320,BW320,BX320)&gt;=0),BV320*BW320*BX320,"")</f>
        <v>2.187996201044042</v>
      </c>
      <c r="BZ320" s="11" t="n">
        <f>IF(ISNUMBER(BO320),BO320,"")</f>
        <v>0.8332682139098497</v>
      </c>
      <c r="CA320" s="14" t="n">
        <f>IF(ISNUMBER(BS320),BS320,"")</f>
        <v>30</v>
      </c>
      <c r="CB320" s="13" t="n">
        <f>IF(AND(COUNT(BV320,BZ320,CA320)=3,MIN(BV320,BZ320,CA320)&gt;=0),BV320*BZ320*CA320,"")</f>
        <v>3.7216937736676288</v>
      </c>
      <c r="CC320" s="11" t="n">
        <f>IF(ISNUMBER(BP320),BP320,"")</f>
        <v>0.5511018253564084</v>
      </c>
      <c r="CD320" s="14" t="n">
        <f>IF(ISNUMBER(BT320),BT320,"")</f>
        <v>31</v>
      </c>
      <c r="CE320" s="13" t="n">
        <f>IF(AND(COUNT(BV320,CC320,CD320)=3,MIN(BV320,CC320,CD320)&gt;=0),BV320*CC320*CD320,"")</f>
        <v>2.543478723628155</v>
      </c>
      <c r="CF320" s="11" t="n">
        <f>IF(ISNUMBER(BQ320),BQ320,"")</f>
        <v>1.0017220238758797</v>
      </c>
      <c r="CG320" s="14" t="n">
        <f>IF(ISNUMBER(BU320),BU320,"")</f>
        <v>17</v>
      </c>
      <c r="CH320" s="13" t="n">
        <f>IF(AND(COUNT(BV320,CF320,CG320)=3,MIN(BV320,CF320,CG320)&gt;=0),BV320*CF320*CG320,"")</f>
        <v>2.5353078984055633</v>
      </c>
      <c r="CI320" s="13" t="n">
        <f>IF(COUNT(BY320,CB320,CE320,CH320)=4,SUM(BY320,CB320,CE320,CH320),"")</f>
        <v>10.98847659674539</v>
      </c>
    </row>
    <row r="321" ht="72" customHeight="1">
      <c r="A321" s="16" t="str">
        <v>B07-BK-I-0-39</v>
      </c>
      <c r="B321" s="16" t="str">
        <v>4店-彬郁-US</v>
      </c>
      <c r="C321" s="16" t="str">
        <v>艾年</v>
      </c>
      <c r="D321" s="26" t="n">
        <f>IF(NOT(ISNUMBER(E321)),"",IF(OR(E321&lt;=0,L321=0),0,IF(OR(NOT(ISNUMBER(F321)),F321&lt;0),"",MIN(E321,INT(F321)))))</f>
        <v>0</v>
      </c>
      <c r="E321" s="27" t="n">
        <f>IF(OR(NOT(ISNUMBER(L321)),COUNT(M321:O321)&lt;&gt;3,MIN(M321:O321)&lt;0),"",ROUNDUP(ROUND(BI321-SUM(M321:O321),10),0))</f>
        <v>7</v>
      </c>
      <c r="F321" s="28" t="n">
        <v>0</v>
      </c>
      <c r="G321" s="28" t="n">
        <f>IF(AND(ISNUMBER(D321),ISNUMBER(E321)),IF(OR(E321&lt;=0,L321=0),0,E321-D321),"")</f>
        <v>7</v>
      </c>
      <c r="H321" s="16" t="str">
        <f>IF(NOT(ISNUMBER(E321)),"销量或海外库存待补",IF(OR(E321&lt;=0,L321=0),IF(L321=0,"零日销，本批不发","本批无需补货"),IF(NOT(ISNUMBER(D321)),"国内库存待补",IF(D321=0,"国内无可用库存",IF(G321&gt;0,"先发国内现货","按建议量发货")))))</f>
        <v>国内无可用库存</v>
      </c>
      <c r="I321" s="28" t="n">
        <f>IF(AND(COUNT(Z321,AA321,AB321)=3,Z321&gt;=AA321,AA321&gt;=0,AB321=7),Z321-AA321,"")</f>
        <v>0</v>
      </c>
      <c r="J321" s="28" t="n">
        <f>IF(AND(COUNT(AF321,AG321,AH321)=3,AF321&gt;=AG321,AG321&gt;=0,AH321=14),AF321-AG321,"")</f>
        <v>0</v>
      </c>
      <c r="K321" s="28" t="n">
        <f>IF(AND(COUNT(AL321,AM321,AN321)=3,AL321&gt;=AM321,AM321&gt;=0,AN321=30),AL321-AM321,"")</f>
        <v>0</v>
      </c>
      <c r="L321" s="29" t="n">
        <f>IF(ISNUMBER(BI321),BI321/90,"")</f>
        <v>0.07110694967391992</v>
      </c>
      <c r="M321" s="28" t="n">
        <v>0</v>
      </c>
      <c r="N321" s="28" t="n">
        <v>0</v>
      </c>
      <c r="O321" s="28" t="n">
        <v>0</v>
      </c>
      <c r="P321" s="30" t="n">
        <f>IF(AND(ISNUMBER(L321),L321&gt;0,COUNT(M321:O321)=3,MIN(M321:O321)&gt;=0),SUM(M321:O321)/L321,"")</f>
        <v>0</v>
      </c>
      <c r="Q321" s="16" t="str">
        <v>沿用原计划SKU店铺</v>
      </c>
      <c r="R321" s="16" t="str">
        <v>已匹配</v>
      </c>
      <c r="S321" s="16" t="str">
        <v>停售</v>
      </c>
      <c r="T321" s="16" t="str">
        <v>B07</v>
      </c>
      <c r="U321" s="16" t="str">
        <v>黑色色织提花</v>
      </c>
      <c r="V321" s="16" t="n">
        <v>8</v>
      </c>
      <c r="W321" s="8" t="str">
        <v>2026-10-08 至 2026-10-17</v>
      </c>
      <c r="X321" s="8" t="str">
        <v>2026-10-08、2026-10-09、2026-10-10、2026-10-11、2026-10-14、2026-10-15、2026-10-17</v>
      </c>
      <c r="Y321" s="8" t="str">
        <v>2026-10-12 有记录的停售日；2026-10-13 有记录的停售日；2026-10-16 有记录的停售日</v>
      </c>
      <c r="Z321" s="8" t="n">
        <v>0</v>
      </c>
      <c r="AA321" s="8" t="n">
        <v>0</v>
      </c>
      <c r="AB321" s="8" t="n">
        <v>7</v>
      </c>
      <c r="AC321" s="8" t="str">
        <v>2026-09-29 至 2026-10-17</v>
      </c>
      <c r="AD321" s="8" t="str">
        <v>2026-09-29、2026-09-30、2026-10-01、2026-10-02、2026-10-03、2026-10-04、2026-10-05、2026-10-08、2026-10-09、2026-10-10、2026-10-11、2026-10-14、2026-10-15、2026-10-17</v>
      </c>
      <c r="AE321" s="8" t="str">
        <v>2026-10-06 大促；2026-10-07 大促；2026-10-12 有记录的停售日；2026-10-13 有记录的停售日；2026-10-16 有记录的停售日</v>
      </c>
      <c r="AF321" s="8" t="n">
        <v>0</v>
      </c>
      <c r="AG321" s="8" t="n">
        <v>0</v>
      </c>
      <c r="AH321" s="8" t="n">
        <v>14</v>
      </c>
      <c r="AI321" s="8" t="str">
        <v>2026-09-13 至 2026-10-17</v>
      </c>
      <c r="AJ32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21" s="8" t="str">
        <v>2026-10-06 大促；2026-10-07 大促；2026-10-12 有记录的停售日；2026-10-13 有记录的停售日；2026-10-16 有记录的停售日</v>
      </c>
      <c r="AL321" s="8" t="n">
        <v>0</v>
      </c>
      <c r="AM321" s="8" t="n">
        <v>0</v>
      </c>
      <c r="AN321" s="8" t="n">
        <v>30</v>
      </c>
      <c r="AO321" s="8" t="str">
        <v>B07 / 黑色天鹅绒 / 13306</v>
      </c>
      <c r="AP321" s="11" t="n">
        <v>0.7307750238224848</v>
      </c>
      <c r="AQ321" s="11" t="n">
        <v>0.7348338471341894</v>
      </c>
      <c r="AR321" s="11" t="n">
        <v>0.7478220817316438</v>
      </c>
      <c r="AS321" s="11" t="n">
        <f>IF(AND(COUNT(I321:K321,AP321:AR321)=6,MIN(AP321:AR321)&gt;0),I321/7/AP321*0.5+J321/14/AQ321*0.3+K321/30/AR321*0.2,"")</f>
        <v>0</v>
      </c>
      <c r="AT321" s="8" t="n">
        <v>3</v>
      </c>
      <c r="AU321" s="8" t="n">
        <v>0</v>
      </c>
      <c r="AV321" s="8" t="n">
        <v>85</v>
      </c>
      <c r="AW321" s="11" t="n">
        <f>IF(AND(COUNT(AT321:AV321)=3,AT321&gt;=AU321,AU321&gt;=0,AV321&gt;0),(AT321-AU321)/AV321,"")</f>
        <v>0.03529411764705882</v>
      </c>
      <c r="AX321" s="8" t="n">
        <v>8</v>
      </c>
      <c r="AY321" s="8" t="n">
        <v>0</v>
      </c>
      <c r="AZ321" s="8" t="n">
        <v>175</v>
      </c>
      <c r="BA321" s="11" t="n">
        <f>IF(AND(COUNT(AX321:AZ321)=3,AX321&gt;=AY321,AY321&gt;=0,AZ321&gt;0),(AX321-AY321)/AZ321,"")</f>
        <v>0.045714285714285714</v>
      </c>
      <c r="BB321" s="8" t="n">
        <f>IF(COUNT(AS321,AW321,BA321)=3,1,0)</f>
        <v>1</v>
      </c>
      <c r="BC321" s="11" t="n">
        <f>IF(SUMIF($AO$11:$AO$1309,AO321,$BB$11:$BB$1309)=COUNTIF($AO$11:$AO$1309,AO321),SUMIF($AO$11:$AO$1309,AO321,$AS$11:$AS$1309),"")</f>
        <v>11.92937132043239</v>
      </c>
      <c r="BD321" s="11" t="n">
        <f>IF(SUMIF($AO$11:$AO$1309,AO321,$BB$11:$BB$1309)=COUNTIF($AO$11:$AO$1309,AO321),SUMIF($AO$11:$AO$1309,AO321,$AW$11:$AW$1309),"")</f>
        <v>5.794919786096258</v>
      </c>
      <c r="BE321" s="11" t="n">
        <f>IF(SUMIF($AO$11:$AO$1309,AO321,$BB$11:$BB$1309)=COUNTIF($AO$11:$AO$1309,AO321),SUMIF($AO$11:$AO$1309,AO321,$BA$11:$BA$1309),"")</f>
        <v>5.3098234349919755</v>
      </c>
      <c r="BF321" s="12" t="n">
        <f>IF(COUNT(BD321:BE321)&lt;&gt;2,"",IF(AND(BD321&gt;0,BE321&gt;0),0.7*AW321/BD321+0.3*BA321/BE321,IF(BD321&gt;0,AW321/BD321,IF(BE321&gt;0,BA321/BE321,IF(AND(ISNUMBER(BH321),BH321=0),0,"")))))</f>
        <v>0.006846183057682698</v>
      </c>
      <c r="BG321" s="11" t="n">
        <f>IF(AND(COUNT(BN321:BU321)=8,MIN(BN321:BU321)&gt;=0),SUMPRODUCT(BN321:BQ321,BR321:BU321),"")</f>
        <v>78.35892944347341</v>
      </c>
      <c r="BH321" s="11" t="n">
        <f>IF(COUNT(BC321,BG321)=2,BC321*BG321,"")</f>
        <v>934.7727656027569</v>
      </c>
      <c r="BI321" s="11" t="n">
        <f>IF(ISNUMBER(CI321),CI321,"")</f>
        <v>6.3996254706527935</v>
      </c>
      <c r="BJ321" s="8" t="str">
        <v>低销提醒依据不完整</v>
      </c>
      <c r="BK321" s="8" t="str">
        <v>90天：2026-07-20 至 2026-10-17；180天：2026-04-21 至 2026-10-17</v>
      </c>
      <c r="BL321" s="8" t="str">
        <v>90天：2026-10-06、2026-10-07、2026-10-12、2026-10-13、2026-10-16；180天：2026-10-06、2026-10-07、2026-10-12、2026-10-13、2026-10-16</v>
      </c>
      <c r="BM321" s="8" t="str">
        <v>2026-10：12天 × 0.7307750238224848；2026-11：30天 × 0.9523018155490097；2026-12：31天 × 0.5958545198749097；2027-01：17天 × 1.3264167397065354</v>
      </c>
      <c r="BN321" s="11" t="n">
        <v>0.7307750238224848</v>
      </c>
      <c r="BO321" s="11" t="n">
        <v>0.9523018155490097</v>
      </c>
      <c r="BP321" s="11" t="n">
        <v>0.5958545198749097</v>
      </c>
      <c r="BQ321" s="11" t="n">
        <v>1.3264167397065354</v>
      </c>
      <c r="BR321" s="8" t="n">
        <v>12</v>
      </c>
      <c r="BS321" s="8" t="n">
        <v>30</v>
      </c>
      <c r="BT321" s="8" t="n">
        <v>31</v>
      </c>
      <c r="BU321" s="8" t="n">
        <v>17</v>
      </c>
      <c r="BV321" s="11" t="n">
        <f>IF(COUNT(BC321,BF321)=2,BC321*BF321,"")</f>
        <v>0.0816706598227501</v>
      </c>
      <c r="BW321" s="11" t="n">
        <f>IF(ISNUMBER(BN321),BN321,"")</f>
        <v>0.7307750238224848</v>
      </c>
      <c r="BX321" s="14" t="n">
        <f>IF(ISNUMBER(BR321),BR321,"")</f>
        <v>12</v>
      </c>
      <c r="BY321" s="13" t="n">
        <f>IF(AND(COUNT(BV321,BW321,BX321)=3,MIN(BV321,BW321,BX321)&gt;=0),BV321*BW321*BX321,"")</f>
        <v>0.7161945405308191</v>
      </c>
      <c r="BZ321" s="11" t="n">
        <f>IF(ISNUMBER(BO321),BO321,"")</f>
        <v>0.9523018155490097</v>
      </c>
      <c r="CA321" s="14" t="n">
        <f>IF(ISNUMBER(BS321),BS321,"")</f>
        <v>30</v>
      </c>
      <c r="CB321" s="13" t="n">
        <f>IF(AND(COUNT(BV321,BZ321,CA321)=3,MIN(BV321,BZ321,CA321)&gt;=0),BV321*BZ321*CA321,"")</f>
        <v>2.3332535287887146</v>
      </c>
      <c r="CC321" s="11" t="n">
        <f>IF(ISNUMBER(BP321),BP321,"")</f>
        <v>0.5958545198749097</v>
      </c>
      <c r="CD321" s="14" t="n">
        <f>IF(ISNUMBER(BT321),BT321,"")</f>
        <v>31</v>
      </c>
      <c r="CE321" s="13" t="n">
        <f>IF(AND(COUNT(BV321,CC321,CD321)=3,MIN(BV321,CC321,CD321)&gt;=0),BV321*CC321*CD321,"")</f>
        <v>1.508578785693107</v>
      </c>
      <c r="CF321" s="11" t="n">
        <f>IF(ISNUMBER(BQ321),BQ321,"")</f>
        <v>1.3264167397065354</v>
      </c>
      <c r="CG321" s="14" t="n">
        <f>IF(ISNUMBER(BU321),BU321,"")</f>
        <v>17</v>
      </c>
      <c r="CH321" s="13" t="n">
        <f>IF(AND(COUNT(BV321,CF321,CG321)=3,MIN(BV321,CF321,CG321)&gt;=0),BV321*CF321*CG321,"")</f>
        <v>1.841598615640153</v>
      </c>
      <c r="CI321" s="13" t="n">
        <f>IF(COUNT(BY321,CB321,CE321,CH321)=4,SUM(BY321,CB321,CE321,CH321),"")</f>
        <v>6.3996254706527935</v>
      </c>
    </row>
    <row r="322" ht="72" customHeight="1">
      <c r="A322" s="16" t="str">
        <v>B07-BK-V-0-38.5</v>
      </c>
      <c r="B322" s="16" t="str">
        <v>4店-彬郁-US</v>
      </c>
      <c r="C322" s="16" t="str">
        <v>艾年</v>
      </c>
      <c r="D322" s="26" t="n">
        <f>IF(NOT(ISNUMBER(E322)),"",IF(OR(E322&lt;=0,L322=0),0,IF(OR(NOT(ISNUMBER(F322)),F322&lt;0),"",MIN(E322,INT(F322)))))</f>
        <v>0</v>
      </c>
      <c r="E322" s="27" t="n">
        <f>IF(OR(NOT(ISNUMBER(L322)),COUNT(M322:O322)&lt;&gt;3,MIN(M322:O322)&lt;0),"",ROUNDUP(ROUND(BI322-SUM(M322:O322),10),0))</f>
        <v>7</v>
      </c>
      <c r="F322" s="28" t="n">
        <v>0</v>
      </c>
      <c r="G322" s="28" t="n">
        <f>IF(AND(ISNUMBER(D322),ISNUMBER(E322)),IF(OR(E322&lt;=0,L322=0),0,E322-D322),"")</f>
        <v>7</v>
      </c>
      <c r="H322" s="16" t="str">
        <f>IF(NOT(ISNUMBER(E322)),"销量或海外库存待补",IF(OR(E322&lt;=0,L322=0),IF(L322=0,"零日销，本批不发","本批无需补货"),IF(NOT(ISNUMBER(D322)),"国内库存待补",IF(D322=0,"国内无可用库存",IF(G322&gt;0,"先发国内现货","按建议量发货")))))</f>
        <v>国内无可用库存</v>
      </c>
      <c r="I322" s="28" t="n">
        <f>IF(AND(COUNT(Z322,AA322,AB322)=3,Z322&gt;=AA322,AA322&gt;=0,AB322=7),Z322-AA322,"")</f>
        <v>0</v>
      </c>
      <c r="J322" s="28" t="n">
        <f>IF(AND(COUNT(AF322,AG322,AH322)=3,AF322&gt;=AG322,AG322&gt;=0,AH322=14),AF322-AG322,"")</f>
        <v>1</v>
      </c>
      <c r="K322" s="28" t="n">
        <f>IF(AND(COUNT(AL322,AM322,AN322)=3,AL322&gt;=AM322,AM322&gt;=0,AN322=30),AL322-AM322,"")</f>
        <v>1</v>
      </c>
      <c r="L322" s="29" t="n">
        <f>IF(ISNUMBER(BI322),BI322/90,"")</f>
        <v>0.08999583862441364</v>
      </c>
      <c r="M322" s="28" t="n">
        <v>2</v>
      </c>
      <c r="N322" s="28" t="n">
        <v>0</v>
      </c>
      <c r="O322" s="28" t="n">
        <v>0</v>
      </c>
      <c r="P322" s="30" t="n">
        <f>IF(AND(ISNUMBER(L322),L322&gt;0,COUNT(M322:O322)=3,MIN(M322:O322)&gt;=0),SUM(M322:O322)/L322,"")</f>
        <v>22.223249769878244</v>
      </c>
      <c r="Q322" s="16" t="str">
        <v>沿用原计划SKU店铺</v>
      </c>
      <c r="R322" s="16" t="str">
        <v>已匹配</v>
      </c>
      <c r="S322" s="16" t="str">
        <v>在售</v>
      </c>
      <c r="T322" s="16" t="str">
        <v>B07</v>
      </c>
      <c r="U322" s="16" t="str">
        <v>黑色天鹅绒</v>
      </c>
      <c r="V322" s="16" t="n">
        <v>7.5</v>
      </c>
      <c r="W322" s="8" t="str">
        <v>2026-10-11 至 2026-10-17</v>
      </c>
      <c r="X322" s="8" t="str">
        <v>2026-10-11、2026-10-12、2026-10-13、2026-10-14、2026-10-15、2026-10-16、2026-10-17</v>
      </c>
      <c r="Y322" s="8" t="str">
        <v>无</v>
      </c>
      <c r="Z322" s="8" t="n">
        <v>0</v>
      </c>
      <c r="AA322" s="8" t="n">
        <v>0</v>
      </c>
      <c r="AB322" s="8" t="n">
        <v>7</v>
      </c>
      <c r="AC322" s="8" t="str">
        <v>2026-10-02 至 2026-10-17</v>
      </c>
      <c r="AD322" s="8" t="str">
        <v>2026-10-02、2026-10-03、2026-10-04、2026-10-05、2026-10-08、2026-10-09、2026-10-10、2026-10-11、2026-10-12、2026-10-13、2026-10-14、2026-10-15、2026-10-16、2026-10-17</v>
      </c>
      <c r="AE322" s="8" t="str">
        <v>2026-10-06 大促；2026-10-07 大促</v>
      </c>
      <c r="AF322" s="8" t="n">
        <v>1</v>
      </c>
      <c r="AG322" s="8" t="n">
        <v>0</v>
      </c>
      <c r="AH322" s="8" t="n">
        <v>14</v>
      </c>
      <c r="AI322" s="8" t="str">
        <v>2026-09-16 至 2026-10-17</v>
      </c>
      <c r="AJ3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2" s="8" t="str">
        <v>2026-10-06 大促；2026-10-07 大促</v>
      </c>
      <c r="AL322" s="8" t="n">
        <v>1</v>
      </c>
      <c r="AM322" s="8" t="n">
        <v>0</v>
      </c>
      <c r="AN322" s="8" t="n">
        <v>30</v>
      </c>
      <c r="AO322" s="8" t="str">
        <v>B07 / 黑色天鹅绒 / 13306</v>
      </c>
      <c r="AP322" s="11" t="n">
        <v>0.7307750238224848</v>
      </c>
      <c r="AQ322" s="11" t="n">
        <v>0.7307750238224848</v>
      </c>
      <c r="AR322" s="11" t="n">
        <v>0.7449809054134506</v>
      </c>
      <c r="AS322" s="11" t="n">
        <f>IF(AND(COUNT(I322:K322,AP322:AR322)=6,MIN(AP322:AR322)&gt;0),I322/7/AP322*0.5+J322/14/AQ322*0.3+K322/30/AR322*0.2,"")</f>
        <v>0.038271851038049046</v>
      </c>
      <c r="AT322" s="8" t="n">
        <v>4</v>
      </c>
      <c r="AU322" s="8" t="n">
        <v>0</v>
      </c>
      <c r="AV322" s="8" t="n">
        <v>88</v>
      </c>
      <c r="AW322" s="11" t="n">
        <f>IF(AND(COUNT(AT322:AV322)=3,AT322&gt;=AU322,AU322&gt;=0,AV322&gt;0),(AT322-AU322)/AV322,"")</f>
        <v>0.045454545454545456</v>
      </c>
      <c r="AX322" s="8" t="n">
        <v>10</v>
      </c>
      <c r="AY322" s="8" t="n">
        <v>0</v>
      </c>
      <c r="AZ322" s="8" t="n">
        <v>178</v>
      </c>
      <c r="BA322" s="11" t="n">
        <f>IF(AND(COUNT(AX322:AZ322)=3,AX322&gt;=AY322,AY322&gt;=0,AZ322&gt;0),(AX322-AY322)/AZ322,"")</f>
        <v>0.056179775280898875</v>
      </c>
      <c r="BB322" s="8" t="n">
        <f>IF(COUNT(AS322,AW322,BA322)=3,1,0)</f>
        <v>1</v>
      </c>
      <c r="BC322" s="11" t="n">
        <f>IF(SUMIF($AO$11:$AO$1309,AO322,$BB$11:$BB$1309)=COUNTIF($AO$11:$AO$1309,AO322),SUMIF($AO$11:$AO$1309,AO322,$AS$11:$AS$1309),"")</f>
        <v>11.92937132043239</v>
      </c>
      <c r="BD322" s="11" t="n">
        <f>IF(SUMIF($AO$11:$AO$1309,AO322,$BB$11:$BB$1309)=COUNTIF($AO$11:$AO$1309,AO322),SUMIF($AO$11:$AO$1309,AO322,$AW$11:$AW$1309),"")</f>
        <v>5.794919786096258</v>
      </c>
      <c r="BE322" s="11" t="n">
        <f>IF(SUMIF($AO$11:$AO$1309,AO322,$BB$11:$BB$1309)=COUNTIF($AO$11:$AO$1309,AO322),SUMIF($AO$11:$AO$1309,AO322,$BA$11:$BA$1309),"")</f>
        <v>5.3098234349919755</v>
      </c>
      <c r="BF322" s="12" t="n">
        <f>IF(COUNT(BD322:BE322)&lt;&gt;2,"",IF(AND(BD322&gt;0,BE322&gt;0),0.7*AW322/BD322+0.3*BA322/BE322,IF(BD322&gt;0,AW322/BD322,IF(BE322&gt;0,BA322/BE322,IF(AND(ISNUMBER(BH322),BH322=0),0,"")))))</f>
        <v>0.008664806864558635</v>
      </c>
      <c r="BG322" s="11" t="n">
        <f>IF(AND(COUNT(BN322:BU322)=8,MIN(BN322:BU322)&gt;=0),SUMPRODUCT(BN322:BQ322,BR322:BU322),"")</f>
        <v>78.35892944347341</v>
      </c>
      <c r="BH322" s="11" t="n">
        <f>IF(COUNT(BC322,BG322)=2,BC322*BG322,"")</f>
        <v>934.7727656027569</v>
      </c>
      <c r="BI322" s="11" t="n">
        <f>IF(ISNUMBER(CI322),CI322,"")</f>
        <v>8.099625476197227</v>
      </c>
      <c r="BJ322" s="8" t="str">
        <v>低销提醒依据不完整</v>
      </c>
      <c r="BK322" s="8" t="str">
        <v>90天：2026-07-20 至 2026-10-17；180天：2026-04-21 至 2026-10-17</v>
      </c>
      <c r="BL322" s="8" t="str">
        <v>90天：2026-10-06、2026-10-07；180天：2026-10-06、2026-10-07</v>
      </c>
      <c r="BM322" s="8" t="str">
        <v>2026-10：12天 × 0.7307750238224848；2026-11：30天 × 0.9523018155490097；2026-12：31天 × 0.5958545198749097；2027-01：17天 × 1.3264167397065354</v>
      </c>
      <c r="BN322" s="11" t="n">
        <v>0.7307750238224848</v>
      </c>
      <c r="BO322" s="11" t="n">
        <v>0.9523018155490097</v>
      </c>
      <c r="BP322" s="11" t="n">
        <v>0.5958545198749097</v>
      </c>
      <c r="BQ322" s="11" t="n">
        <v>1.3264167397065354</v>
      </c>
      <c r="BR322" s="8" t="n">
        <v>12</v>
      </c>
      <c r="BS322" s="8" t="n">
        <v>30</v>
      </c>
      <c r="BT322" s="8" t="n">
        <v>31</v>
      </c>
      <c r="BU322" s="8" t="n">
        <v>17</v>
      </c>
      <c r="BV322" s="11" t="n">
        <f>IF(COUNT(BC322,BF322)=2,BC322*BF322,"")</f>
        <v>0.10336569850715148</v>
      </c>
      <c r="BW322" s="11" t="n">
        <f>IF(ISNUMBER(BN322),BN322,"")</f>
        <v>0.7307750238224848</v>
      </c>
      <c r="BX322" s="14" t="n">
        <f>IF(ISNUMBER(BR322),BR322,"")</f>
        <v>12</v>
      </c>
      <c r="BY322" s="13" t="n">
        <f>IF(AND(COUNT(BV322,BW322,BX322)=3,MIN(BV322,BW322,BX322)&gt;=0),BV322*BW322*BX322,"")</f>
        <v>0.9064448494678969</v>
      </c>
      <c r="BZ322" s="11" t="n">
        <f>IF(ISNUMBER(BO322),BO322,"")</f>
        <v>0.9523018155490097</v>
      </c>
      <c r="CA322" s="14" t="n">
        <f>IF(ISNUMBER(BS322),BS322,"")</f>
        <v>30</v>
      </c>
      <c r="CB322" s="13" t="n">
        <f>IF(AND(COUNT(BV322,BZ322,CA322)=3,MIN(BV322,BZ322,CA322)&gt;=0),BV322*BZ322*CA322,"")</f>
        <v>2.9530602706155573</v>
      </c>
      <c r="CC322" s="11" t="n">
        <f>IF(ISNUMBER(BP322),BP322,"")</f>
        <v>0.5958545198749097</v>
      </c>
      <c r="CD322" s="14" t="n">
        <f>IF(ISNUMBER(BT322),BT322,"")</f>
        <v>31</v>
      </c>
      <c r="CE322" s="13" t="n">
        <f>IF(AND(COUNT(BV322,CC322,CD322)=3,MIN(BV322,CC322,CD322)&gt;=0),BV322*CC322*CD322,"")</f>
        <v>1.9093184783209156</v>
      </c>
      <c r="CF322" s="11" t="n">
        <f>IF(ISNUMBER(BQ322),BQ322,"")</f>
        <v>1.3264167397065354</v>
      </c>
      <c r="CG322" s="14" t="n">
        <f>IF(ISNUMBER(BU322),BU322,"")</f>
        <v>17</v>
      </c>
      <c r="CH322" s="13" t="n">
        <f>IF(AND(COUNT(BV322,CF322,CG322)=3,MIN(BV322,CF322,CG322)&gt;=0),BV322*CF322*CG322,"")</f>
        <v>2.3308018777928576</v>
      </c>
      <c r="CI322" s="13" t="n">
        <f>IF(COUNT(BY322,CB322,CE322,CH322)=4,SUM(BY322,CB322,CE322,CH322),"")</f>
        <v>8.099625476197227</v>
      </c>
    </row>
    <row r="323" ht="72" customHeight="1">
      <c r="A323" s="16" t="str">
        <v>B07-MT-39-by</v>
      </c>
      <c r="B323" s="16" t="str">
        <v>4店-彬郁-US</v>
      </c>
      <c r="C323" s="16" t="str">
        <v>艾年</v>
      </c>
      <c r="D323" s="26" t="n">
        <f>IF(NOT(ISNUMBER(E323)),"",IF(OR(E323&lt;=0,L323=0),0,IF(OR(NOT(ISNUMBER(F323)),F323&lt;0),"",MIN(E323,INT(F323)))))</f>
        <v>0</v>
      </c>
      <c r="E323" s="27" t="n">
        <f>IF(OR(NOT(ISNUMBER(L323)),COUNT(M323:O323)&lt;&gt;3,MIN(M323:O323)&lt;0),"",ROUNDUP(ROUND(BI323-SUM(M323:O323),10),0))</f>
        <v>7</v>
      </c>
      <c r="F323" s="28" t="n">
        <v>0</v>
      </c>
      <c r="G323" s="28" t="n">
        <f>IF(AND(ISNUMBER(D323),ISNUMBER(E323)),IF(OR(E323&lt;=0,L323=0),0,E323-D323),"")</f>
        <v>7</v>
      </c>
      <c r="H323" s="16" t="str">
        <f>IF(NOT(ISNUMBER(E323)),"销量或海外库存待补",IF(OR(E323&lt;=0,L323=0),IF(L323=0,"零日销，本批不发","本批无需补货"),IF(NOT(ISNUMBER(D323)),"国内库存待补",IF(D323=0,"国内无可用库存",IF(G323&gt;0,"先发国内现货","按建议量发货")))))</f>
        <v>国内无可用库存</v>
      </c>
      <c r="I323" s="28" t="n">
        <f>IF(AND(COUNT(Z323,AA323,AB323)=3,Z323&gt;=AA323,AA323&gt;=0,AB323=7),Z323-AA323,"")</f>
        <v>0</v>
      </c>
      <c r="J323" s="28" t="n">
        <f>IF(AND(COUNT(AF323,AG323,AH323)=3,AF323&gt;=AG323,AG323&gt;=0,AH323=14),AF323-AG323,"")</f>
        <v>0</v>
      </c>
      <c r="K323" s="28" t="n">
        <f>IF(AND(COUNT(AL323,AM323,AN323)=3,AL323&gt;=AM323,AM323&gt;=0,AN323=30),AL323-AM323,"")</f>
        <v>1</v>
      </c>
      <c r="L323" s="29" t="n">
        <f>IF(ISNUMBER(BI323),BI323/90,"")</f>
        <v>0.08766405533057889</v>
      </c>
      <c r="M323" s="28" t="n">
        <v>1</v>
      </c>
      <c r="N323" s="28" t="n">
        <v>0</v>
      </c>
      <c r="O323" s="28" t="n">
        <v>0</v>
      </c>
      <c r="P323" s="30" t="n">
        <f>IF(AND(ISNUMBER(L323),L323&gt;0,COUNT(M323:O323)=3,MIN(M323:O323)&gt;=0),SUM(M323:O323)/L323,"")</f>
        <v>11.407183893433013</v>
      </c>
      <c r="Q323" s="16" t="str">
        <v>沿用原计划SKU店铺</v>
      </c>
      <c r="R323" s="16" t="str">
        <v>已匹配</v>
      </c>
      <c r="S323" s="16" t="str">
        <v>在售</v>
      </c>
      <c r="T323" s="16" t="str">
        <v>B07</v>
      </c>
      <c r="U323" s="16" t="str">
        <v>黄色羊京绒</v>
      </c>
      <c r="V323" s="16" t="n">
        <v>8</v>
      </c>
      <c r="W323" s="8" t="str">
        <v>2026-10-11 至 2026-10-17</v>
      </c>
      <c r="X323" s="8" t="str">
        <v>2026-10-11、2026-10-12、2026-10-13、2026-10-14、2026-10-15、2026-10-16、2026-10-17</v>
      </c>
      <c r="Y323" s="8" t="str">
        <v>无</v>
      </c>
      <c r="Z323" s="8" t="n">
        <v>0</v>
      </c>
      <c r="AA323" s="8" t="n">
        <v>0</v>
      </c>
      <c r="AB323" s="8" t="n">
        <v>7</v>
      </c>
      <c r="AC323" s="8" t="str">
        <v>2026-10-02 至 2026-10-17</v>
      </c>
      <c r="AD323" s="8" t="str">
        <v>2026-10-02、2026-10-03、2026-10-04、2026-10-05、2026-10-08、2026-10-09、2026-10-10、2026-10-11、2026-10-12、2026-10-13、2026-10-14、2026-10-15、2026-10-16、2026-10-17</v>
      </c>
      <c r="AE323" s="8" t="str">
        <v>2026-10-06 大促；2026-10-07 大促</v>
      </c>
      <c r="AF323" s="8" t="n">
        <v>0</v>
      </c>
      <c r="AG323" s="8" t="n">
        <v>0</v>
      </c>
      <c r="AH323" s="8" t="n">
        <v>14</v>
      </c>
      <c r="AI323" s="8" t="str">
        <v>2026-09-16 至 2026-10-17</v>
      </c>
      <c r="AJ3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3" s="8" t="str">
        <v>2026-10-06 大促；2026-10-07 大促</v>
      </c>
      <c r="AL323" s="8" t="n">
        <v>1</v>
      </c>
      <c r="AM323" s="8" t="n">
        <v>0</v>
      </c>
      <c r="AN323" s="8" t="n">
        <v>30</v>
      </c>
      <c r="AO323" s="8" t="str">
        <v>B07 / 黄色羊京绒 / 13306</v>
      </c>
      <c r="AP323" s="11" t="n">
        <v>0.7307750238224848</v>
      </c>
      <c r="AQ323" s="11" t="n">
        <v>0.7307750238224848</v>
      </c>
      <c r="AR323" s="11" t="n">
        <v>0.7449809054134506</v>
      </c>
      <c r="AS323" s="11" t="n">
        <f>IF(AND(COUNT(I323:K323,AP323:AR323)=6,MIN(AP323:AR323)&gt;0),I323/7/AP323*0.5+J323/14/AQ323*0.3+K323/30/AR323*0.2,"")</f>
        <v>0.008948775221247839</v>
      </c>
      <c r="AT323" s="8" t="n">
        <v>6</v>
      </c>
      <c r="AU323" s="8" t="n">
        <v>0</v>
      </c>
      <c r="AV323" s="8" t="n">
        <v>88</v>
      </c>
      <c r="AW323" s="11" t="n">
        <f>IF(AND(COUNT(AT323:AV323)=3,AT323&gt;=AU323,AU323&gt;=0,AV323&gt;0),(AT323-AU323)/AV323,"")</f>
        <v>0.06818181818181818</v>
      </c>
      <c r="AX323" s="8" t="n">
        <v>11</v>
      </c>
      <c r="AY323" s="8" t="n">
        <v>0</v>
      </c>
      <c r="AZ323" s="8" t="n">
        <v>178</v>
      </c>
      <c r="BA323" s="11" t="n">
        <f>IF(AND(COUNT(AX323:AZ323)=3,AX323&gt;=AY323,AY323&gt;=0,AZ323&gt;0),(AX323-AY323)/AZ323,"")</f>
        <v>0.06179775280898876</v>
      </c>
      <c r="BB323" s="8" t="n">
        <f>IF(COUNT(AS323,AW323,BA323)=3,1,0)</f>
        <v>1</v>
      </c>
      <c r="BC323" s="11" t="n">
        <f>IF(SUMIF($AO$11:$AO$1309,AO323,$BB$11:$BB$1309)=COUNTIF($AO$11:$AO$1309,AO323),SUMIF($AO$11:$AO$1309,AO323,$AS$11:$AS$1309),"")</f>
        <v>0.2573030152763903</v>
      </c>
      <c r="BD323" s="11" t="n">
        <f>IF(SUMIF($AO$11:$AO$1309,AO323,$BB$11:$BB$1309)=COUNTIF($AO$11:$AO$1309,AO323),SUMIF($AO$11:$AO$1309,AO323,$AW$11:$AW$1309),"")</f>
        <v>0.15909090909090912</v>
      </c>
      <c r="BE323" s="11" t="n">
        <f>IF(SUMIF($AO$11:$AO$1309,AO323,$BB$11:$BB$1309)=COUNTIF($AO$11:$AO$1309,AO323),SUMIF($AO$11:$AO$1309,AO323,$BA$11:$BA$1309),"")</f>
        <v>0.20301765650080256</v>
      </c>
      <c r="BF323" s="12" t="n">
        <f>IF(COUNT(BD323:BE323)&lt;&gt;2,"",IF(AND(BD323&gt;0,BE323&gt;0),0.7*AW323/BD323+0.3*BA323/BE323,IF(BD323&gt;0,AW323/BD323,IF(BE323&gt;0,BA323/BE323,IF(AND(ISNUMBER(BH323),BH323=0),0,"")))))</f>
        <v>0.39131878557874755</v>
      </c>
      <c r="BG323" s="11" t="n">
        <f>IF(AND(COUNT(BN323:BU323)=8,MIN(BN323:BU323)&gt;=0),SUMPRODUCT(BN323:BQ323,BR323:BU323),"")</f>
        <v>78.35892944347341</v>
      </c>
      <c r="BH323" s="11" t="n">
        <f>IF(COUNT(BC323,BG323)=2,BC323*BG323,"")</f>
        <v>20.16198881963563</v>
      </c>
      <c r="BI323" s="11" t="n">
        <f>IF(ISNUMBER(CI323),CI323,"")</f>
        <v>7.8897649797520994</v>
      </c>
      <c r="BJ323" s="8" t="str">
        <v>近180天本色销量50双（＜90），无有效新采购，请运营判断</v>
      </c>
      <c r="BK323" s="8" t="str">
        <v>90天：2026-07-20 至 2026-10-17；180天：2026-04-21 至 2026-10-17</v>
      </c>
      <c r="BL323" s="8" t="str">
        <v>90天：2026-10-06、2026-10-07；180天：2026-10-06、2026-10-07</v>
      </c>
      <c r="BM323" s="8" t="str">
        <v>2026-10：12天 × 0.7307750238224848；2026-11：30天 × 0.9523018155490097；2026-12：31天 × 0.5958545198749097；2027-01：17天 × 1.3264167397065354</v>
      </c>
      <c r="BN323" s="11" t="n">
        <v>0.7307750238224848</v>
      </c>
      <c r="BO323" s="11" t="n">
        <v>0.9523018155490097</v>
      </c>
      <c r="BP323" s="11" t="n">
        <v>0.5958545198749097</v>
      </c>
      <c r="BQ323" s="11" t="n">
        <v>1.3264167397065354</v>
      </c>
      <c r="BR323" s="8" t="n">
        <v>12</v>
      </c>
      <c r="BS323" s="8" t="n">
        <v>30</v>
      </c>
      <c r="BT323" s="8" t="n">
        <v>31</v>
      </c>
      <c r="BU323" s="8" t="n">
        <v>17</v>
      </c>
      <c r="BV323" s="11" t="n">
        <f>IF(COUNT(BC323,BF323)=2,BC323*BF323,"")</f>
        <v>0.10068750346370699</v>
      </c>
      <c r="BW323" s="11" t="n">
        <f>IF(ISNUMBER(BN323),BN323,"")</f>
        <v>0.7307750238224848</v>
      </c>
      <c r="BX323" s="14" t="n">
        <f>IF(ISNUMBER(BR323),BR323,"")</f>
        <v>12</v>
      </c>
      <c r="BY323" s="13" t="n">
        <f>IF(AND(COUNT(BV323,BW323,BX323)=3,MIN(BV323,BW323,BX323)&gt;=0),BV323*BW323*BX323,"")</f>
        <v>0.8829589529078039</v>
      </c>
      <c r="BZ323" s="11" t="n">
        <f>IF(ISNUMBER(BO323),BO323,"")</f>
        <v>0.9523018155490097</v>
      </c>
      <c r="CA323" s="14" t="n">
        <f>IF(ISNUMBER(BS323),BS323,"")</f>
        <v>30</v>
      </c>
      <c r="CB323" s="13" t="n">
        <f>IF(AND(COUNT(BV323,BZ323,CA323)=3,MIN(BV323,BZ323,CA323)&gt;=0),BV323*BZ323*CA323,"")</f>
        <v>2.876546770547561</v>
      </c>
      <c r="CC323" s="11" t="n">
        <f>IF(ISNUMBER(BP323),BP323,"")</f>
        <v>0.5958545198749097</v>
      </c>
      <c r="CD323" s="14" t="n">
        <f>IF(ISNUMBER(BT323),BT323,"")</f>
        <v>31</v>
      </c>
      <c r="CE323" s="13" t="n">
        <f>IF(AND(COUNT(BV323,CC323,CD323)=3,MIN(BV323,CC323,CD323)&gt;=0),BV323*CC323*CD323,"")</f>
        <v>1.8598482250468833</v>
      </c>
      <c r="CF323" s="11" t="n">
        <f>IF(ISNUMBER(BQ323),BQ323,"")</f>
        <v>1.3264167397065354</v>
      </c>
      <c r="CG323" s="14" t="n">
        <f>IF(ISNUMBER(BU323),BU323,"")</f>
        <v>17</v>
      </c>
      <c r="CH323" s="13" t="n">
        <f>IF(AND(COUNT(BV323,CF323,CG323)=3,MIN(BV323,CF323,CG323)&gt;=0),BV323*CF323*CG323,"")</f>
        <v>2.270411031249852</v>
      </c>
      <c r="CI323" s="13" t="n">
        <f>IF(COUNT(BY323,CB323,CE323,CH323)=4,SUM(BY323,CB323,CE323,CH323),"")</f>
        <v>7.8897649797520994</v>
      </c>
    </row>
    <row r="324" ht="72" customHeight="1">
      <c r="A324" s="16" t="str">
        <v>B07-PK-39.5</v>
      </c>
      <c r="B324" s="16" t="str">
        <v>4店-彬郁-US</v>
      </c>
      <c r="C324" s="16" t="str">
        <v>艾年</v>
      </c>
      <c r="D324" s="26" t="n">
        <f>IF(NOT(ISNUMBER(E324)),"",IF(OR(E324&lt;=0,L324=0),0,IF(OR(NOT(ISNUMBER(F324)),F324&lt;0),"",MIN(E324,INT(F324)))))</f>
        <v>0</v>
      </c>
      <c r="E324" s="27" t="n">
        <f>IF(OR(NOT(ISNUMBER(L324)),COUNT(M324:O324)&lt;&gt;3,MIN(M324:O324)&lt;0),"",ROUNDUP(ROUND(BI324-SUM(M324:O324),10),0))</f>
        <v>7</v>
      </c>
      <c r="F324" s="28" t="n">
        <v>0</v>
      </c>
      <c r="G324" s="28" t="n">
        <f>IF(AND(ISNUMBER(D324),ISNUMBER(E324)),IF(OR(E324&lt;=0,L324=0),0,E324-D324),"")</f>
        <v>7</v>
      </c>
      <c r="H324" s="16" t="str">
        <f>IF(NOT(ISNUMBER(E324)),"销量或海外库存待补",IF(OR(E324&lt;=0,L324=0),IF(L324=0,"零日销，本批不发","本批无需补货"),IF(NOT(ISNUMBER(D324)),"国内库存待补",IF(D324=0,"国内无可用库存",IF(G324&gt;0,"先发国内现货","按建议量发货")))))</f>
        <v>国内无可用库存</v>
      </c>
      <c r="I324" s="28" t="n">
        <f>IF(AND(COUNT(Z324,AA324,AB324)=3,Z324&gt;=AA324,AA324&gt;=0,AB324=7),Z324-AA324,"")</f>
        <v>0</v>
      </c>
      <c r="J324" s="28" t="n">
        <f>IF(AND(COUNT(AF324,AG324,AH324)=3,AF324&gt;=AG324,AG324&gt;=0,AH324=14),AF324-AG324,"")</f>
        <v>0</v>
      </c>
      <c r="K324" s="28" t="n">
        <f>IF(AND(COUNT(AL324,AM324,AN324)=3,AL324&gt;=AM324,AM324&gt;=0,AN324=30),AL324-AM324,"")</f>
        <v>0</v>
      </c>
      <c r="L324" s="29" t="n">
        <f>IF(ISNUMBER(BI324),BI324/90,"")</f>
        <v>0.09514591438431468</v>
      </c>
      <c r="M324" s="28" t="n">
        <v>2</v>
      </c>
      <c r="N324" s="28" t="n">
        <v>0</v>
      </c>
      <c r="O324" s="28" t="n">
        <v>0</v>
      </c>
      <c r="P324" s="30" t="n">
        <f>IF(AND(ISNUMBER(L324),L324&gt;0,COUNT(M324:O324)=3,MIN(M324:O324)&gt;=0),SUM(M324:O324)/L324,"")</f>
        <v>21.020345570715445</v>
      </c>
      <c r="Q324" s="16" t="str">
        <v>沿用原计划SKU店铺</v>
      </c>
      <c r="R324" s="16" t="str">
        <v>已匹配</v>
      </c>
      <c r="S324" s="16" t="str">
        <v>在售</v>
      </c>
      <c r="T324" s="16" t="str">
        <v>B07</v>
      </c>
      <c r="U324" s="16" t="str">
        <v>粉色羊京绒</v>
      </c>
      <c r="V324" s="16" t="n">
        <v>8.5</v>
      </c>
      <c r="W324" s="8" t="str">
        <v>2026-10-11 至 2026-10-17</v>
      </c>
      <c r="X324" s="8" t="str">
        <v>2026-10-11、2026-10-12、2026-10-13、2026-10-14、2026-10-15、2026-10-16、2026-10-17</v>
      </c>
      <c r="Y324" s="8" t="str">
        <v>无</v>
      </c>
      <c r="Z324" s="8" t="n">
        <v>0</v>
      </c>
      <c r="AA324" s="8" t="n">
        <v>0</v>
      </c>
      <c r="AB324" s="8" t="n">
        <v>7</v>
      </c>
      <c r="AC324" s="8" t="str">
        <v>2026-10-02 至 2026-10-17</v>
      </c>
      <c r="AD324" s="8" t="str">
        <v>2026-10-02、2026-10-03、2026-10-04、2026-10-05、2026-10-08、2026-10-09、2026-10-10、2026-10-11、2026-10-12、2026-10-13、2026-10-14、2026-10-15、2026-10-16、2026-10-17</v>
      </c>
      <c r="AE324" s="8" t="str">
        <v>2026-10-06 大促；2026-10-07 大促</v>
      </c>
      <c r="AF324" s="8" t="n">
        <v>0</v>
      </c>
      <c r="AG324" s="8" t="n">
        <v>0</v>
      </c>
      <c r="AH324" s="8" t="n">
        <v>14</v>
      </c>
      <c r="AI324" s="8" t="str">
        <v>2026-09-16 至 2026-10-17</v>
      </c>
      <c r="AJ3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4" s="8" t="str">
        <v>2026-10-06 大促；2026-10-07 大促</v>
      </c>
      <c r="AL324" s="8" t="n">
        <v>0</v>
      </c>
      <c r="AM324" s="8" t="n">
        <v>0</v>
      </c>
      <c r="AN324" s="8" t="n">
        <v>30</v>
      </c>
      <c r="AO324" s="8" t="str">
        <v>B07 / 粉色羊京绒 / 13306</v>
      </c>
      <c r="AP324" s="11" t="n">
        <v>0.7307750238224848</v>
      </c>
      <c r="AQ324" s="11" t="n">
        <v>0.7307750238224848</v>
      </c>
      <c r="AR324" s="11" t="n">
        <v>0.7449809054134506</v>
      </c>
      <c r="AS324" s="11" t="n">
        <f>IF(AND(COUNT(I324:K324,AP324:AR324)=6,MIN(AP324:AR324)&gt;0),I324/7/AP324*0.5+J324/14/AQ324*0.3+K324/30/AR324*0.2,"")</f>
        <v>0</v>
      </c>
      <c r="AT324" s="8" t="n">
        <v>6</v>
      </c>
      <c r="AU324" s="8" t="n">
        <v>0</v>
      </c>
      <c r="AV324" s="8" t="n">
        <v>88</v>
      </c>
      <c r="AW324" s="11" t="n">
        <f>IF(AND(COUNT(AT324:AV324)=3,AT324&gt;=AU324,AU324&gt;=0,AV324&gt;0),(AT324-AU324)/AV324,"")</f>
        <v>0.06818181818181818</v>
      </c>
      <c r="AX324" s="8" t="n">
        <v>7</v>
      </c>
      <c r="AY324" s="8" t="n">
        <v>0</v>
      </c>
      <c r="AZ324" s="8" t="n">
        <v>178</v>
      </c>
      <c r="BA324" s="11" t="n">
        <f>IF(AND(COUNT(AX324:AZ324)=3,AX324&gt;=AY324,AY324&gt;=0,AZ324&gt;0),(AX324-AY324)/AZ324,"")</f>
        <v>0.03932584269662921</v>
      </c>
      <c r="BB324" s="8" t="n">
        <f>IF(COUNT(AS324,AW324,BA324)=3,1,0)</f>
        <v>1</v>
      </c>
      <c r="BC324" s="11" t="n">
        <f>IF(SUMIF($AO$11:$AO$1309,AO324,$BB$11:$BB$1309)=COUNTIF($AO$11:$AO$1309,AO324),SUMIF($AO$11:$AO$1309,AO324,$AS$11:$AS$1309),"")</f>
        <v>0.4047439777447489</v>
      </c>
      <c r="BD324" s="11" t="n">
        <f>IF(SUMIF($AO$11:$AO$1309,AO324,$BB$11:$BB$1309)=COUNTIF($AO$11:$AO$1309,AO324),SUMIF($AO$11:$AO$1309,AO324,$AW$11:$AW$1309),"")</f>
        <v>0.22727272727272724</v>
      </c>
      <c r="BE324" s="11" t="n">
        <f>IF(SUMIF($AO$11:$AO$1309,AO324,$BB$11:$BB$1309)=COUNTIF($AO$11:$AO$1309,AO324),SUMIF($AO$11:$AO$1309,AO324,$BA$11:$BA$1309),"")</f>
        <v>0.19662921348314605</v>
      </c>
      <c r="BF324" s="12" t="n">
        <f>IF(COUNT(BD324:BE324)&lt;&gt;2,"",IF(AND(BD324&gt;0,BE324&gt;0),0.7*AW324/BD324+0.3*BA324/BE324,IF(BD324&gt;0,AW324/BD324,IF(BE324&gt;0,BA324/BE324,IF(AND(ISNUMBER(BH324),BH324=0),0,"")))))</f>
        <v>0.27</v>
      </c>
      <c r="BG324" s="11" t="n">
        <f>IF(AND(COUNT(BN324:BU324)=8,MIN(BN324:BU324)&gt;=0),SUMPRODUCT(BN324:BQ324,BR324:BU324),"")</f>
        <v>78.35892944347341</v>
      </c>
      <c r="BH324" s="11" t="n">
        <f>IF(COUNT(BC324,BG324)=2,BC324*BG324,"")</f>
        <v>31.715304794771555</v>
      </c>
      <c r="BI324" s="11" t="n">
        <f>IF(ISNUMBER(CI324),CI324,"")</f>
        <v>8.563132294588321</v>
      </c>
      <c r="BJ324" s="8" t="str">
        <v>近180天本色销量36双（＜90），无有效新采购，请运营判断</v>
      </c>
      <c r="BK324" s="8" t="str">
        <v>90天：2026-07-20 至 2026-10-17；180天：2026-04-21 至 2026-10-17</v>
      </c>
      <c r="BL324" s="8" t="str">
        <v>90天：2026-10-06、2026-10-07；180天：2026-10-06、2026-10-07</v>
      </c>
      <c r="BM324" s="8" t="str">
        <v>2026-10：12天 × 0.7307750238224848；2026-11：30天 × 0.9523018155490097；2026-12：31天 × 0.5958545198749097；2027-01：17天 × 1.3264167397065354</v>
      </c>
      <c r="BN324" s="11" t="n">
        <v>0.7307750238224848</v>
      </c>
      <c r="BO324" s="11" t="n">
        <v>0.9523018155490097</v>
      </c>
      <c r="BP324" s="11" t="n">
        <v>0.5958545198749097</v>
      </c>
      <c r="BQ324" s="11" t="n">
        <v>1.3264167397065354</v>
      </c>
      <c r="BR324" s="8" t="n">
        <v>12</v>
      </c>
      <c r="BS324" s="8" t="n">
        <v>30</v>
      </c>
      <c r="BT324" s="8" t="n">
        <v>31</v>
      </c>
      <c r="BU324" s="8" t="n">
        <v>17</v>
      </c>
      <c r="BV324" s="11" t="n">
        <f>IF(COUNT(BC324,BF324)=2,BC324*BF324,"")</f>
        <v>0.10928087399108222</v>
      </c>
      <c r="BW324" s="11" t="n">
        <f>IF(ISNUMBER(BN324),BN324,"")</f>
        <v>0.7307750238224848</v>
      </c>
      <c r="BX324" s="14" t="n">
        <f>IF(ISNUMBER(BR324),BR324,"")</f>
        <v>12</v>
      </c>
      <c r="BY324" s="13" t="n">
        <f>IF(AND(COUNT(BV324,BW324,BX324)=3,MIN(BV324,BW324,BX324)&gt;=0),BV324*BW324*BX324,"")</f>
        <v>0.958316799530101</v>
      </c>
      <c r="BZ324" s="11" t="n">
        <f>IF(ISNUMBER(BO324),BO324,"")</f>
        <v>0.9523018155490097</v>
      </c>
      <c r="CA324" s="14" t="n">
        <f>IF(ISNUMBER(BS324),BS324,"")</f>
        <v>30</v>
      </c>
      <c r="CB324" s="13" t="n">
        <f>IF(AND(COUNT(BV324,BZ324,CA324)=3,MIN(BV324,BZ324,CA324)&gt;=0),BV324*BZ324*CA324,"")</f>
        <v>3.1220512411947046</v>
      </c>
      <c r="CC324" s="11" t="n">
        <f>IF(ISNUMBER(BP324),BP324,"")</f>
        <v>0.5958545198749097</v>
      </c>
      <c r="CD324" s="14" t="n">
        <f>IF(ISNUMBER(BT324),BT324,"")</f>
        <v>31</v>
      </c>
      <c r="CE324" s="13" t="n">
        <f>IF(AND(COUNT(BV324,CC324,CD324)=3,MIN(BV324,CC324,CD324)&gt;=0),BV324*CC324*CD324,"")</f>
        <v>2.018580583807471</v>
      </c>
      <c r="CF324" s="11" t="n">
        <f>IF(ISNUMBER(BQ324),BQ324,"")</f>
        <v>1.3264167397065354</v>
      </c>
      <c r="CG324" s="14" t="n">
        <f>IF(ISNUMBER(BU324),BU324,"")</f>
        <v>17</v>
      </c>
      <c r="CH324" s="13" t="n">
        <f>IF(AND(COUNT(BV324,CF324,CG324)=3,MIN(BV324,CF324,CG324)&gt;=0),BV324*CF324*CG324,"")</f>
        <v>2.4641836700560438</v>
      </c>
      <c r="CI324" s="13" t="n">
        <f>IF(COUNT(BY324,CB324,CE324,CH324)=4,SUM(BY324,CB324,CE324,CH324),"")</f>
        <v>8.563132294588321</v>
      </c>
    </row>
    <row r="325" ht="72" customHeight="1">
      <c r="A325" s="16" t="str">
        <v>B07-TNP-41-New</v>
      </c>
      <c r="B325" s="16" t="str">
        <v>4店-彬郁-US</v>
      </c>
      <c r="C325" s="16" t="str">
        <v>艾年</v>
      </c>
      <c r="D325" s="26" t="n">
        <f>IF(NOT(ISNUMBER(E325)),"",IF(OR(E325&lt;=0,L325=0),0,IF(OR(NOT(ISNUMBER(F325)),F325&lt;0),"",MIN(E325,INT(F325)))))</f>
        <v>0</v>
      </c>
      <c r="E325" s="27" t="n">
        <f>IF(OR(NOT(ISNUMBER(L325)),COUNT(M325:O325)&lt;&gt;3,MIN(M325:O325)&lt;0),"",ROUNDUP(ROUND(BI325-SUM(M325:O325),10),0))</f>
        <v>7</v>
      </c>
      <c r="F325" s="28" t="n">
        <v>0</v>
      </c>
      <c r="G325" s="28" t="n">
        <f>IF(AND(ISNUMBER(D325),ISNUMBER(E325)),IF(OR(E325&lt;=0,L325=0),0,E325-D325),"")</f>
        <v>7</v>
      </c>
      <c r="H325" s="16" t="str">
        <f>IF(NOT(ISNUMBER(E325)),"销量或海外库存待补",IF(OR(E325&lt;=0,L325=0),IF(L325=0,"零日销，本批不发","本批无需补货"),IF(NOT(ISNUMBER(D325)),"国内库存待补",IF(D325=0,"国内无可用库存",IF(G325&gt;0,"先发国内现货","按建议量发货")))))</f>
        <v>国内无可用库存</v>
      </c>
      <c r="I325" s="28" t="n">
        <f>IF(AND(COUNT(Z325,AA325,AB325)=3,Z325&gt;=AA325,AA325&gt;=0,AB325=7),Z325-AA325,"")</f>
        <v>1</v>
      </c>
      <c r="J325" s="28" t="n">
        <f>IF(AND(COUNT(AF325,AG325,AH325)=3,AF325&gt;=AG325,AG325&gt;=0,AH325=14),AF325-AG325,"")</f>
        <v>2</v>
      </c>
      <c r="K325" s="28" t="n">
        <f>IF(AND(COUNT(AL325,AM325,AN325)=3,AL325&gt;=AM325,AM325&gt;=0,AN325=30),AL325-AM325,"")</f>
        <v>2</v>
      </c>
      <c r="L325" s="29" t="n">
        <f>IF(ISNUMBER(BI325),BI325/90,"")</f>
        <v>0.09888050081182734</v>
      </c>
      <c r="M325" s="28" t="n">
        <v>2</v>
      </c>
      <c r="N325" s="28" t="n">
        <v>0</v>
      </c>
      <c r="O325" s="28" t="n">
        <v>0</v>
      </c>
      <c r="P325" s="30" t="n">
        <f>IF(AND(ISNUMBER(L325),L325&gt;0,COUNT(M325:O325)=3,MIN(M325:O325)&gt;=0),SUM(M325:O325)/L325,"")</f>
        <v>20.226434773080914</v>
      </c>
      <c r="Q325" s="16" t="str">
        <v>沿用原计划SKU店铺</v>
      </c>
      <c r="R325" s="16" t="str">
        <v>已匹配</v>
      </c>
      <c r="S325" s="16" t="str">
        <v>在售</v>
      </c>
      <c r="T325" s="16" t="str">
        <v>B07</v>
      </c>
      <c r="U325" s="16" t="str">
        <v>驼色PU</v>
      </c>
      <c r="V325" s="16" t="n">
        <v>10</v>
      </c>
      <c r="W325" s="8" t="str">
        <v>2026-10-11 至 2026-10-17</v>
      </c>
      <c r="X325" s="8" t="str">
        <v>2026-10-11、2026-10-12、2026-10-13、2026-10-14、2026-10-15、2026-10-16、2026-10-17</v>
      </c>
      <c r="Y325" s="8" t="str">
        <v>无</v>
      </c>
      <c r="Z325" s="8" t="n">
        <v>1</v>
      </c>
      <c r="AA325" s="8" t="n">
        <v>0</v>
      </c>
      <c r="AB325" s="8" t="n">
        <v>7</v>
      </c>
      <c r="AC325" s="8" t="str">
        <v>2026-10-02 至 2026-10-17</v>
      </c>
      <c r="AD325" s="8" t="str">
        <v>2026-10-02、2026-10-03、2026-10-04、2026-10-05、2026-10-08、2026-10-09、2026-10-10、2026-10-11、2026-10-12、2026-10-13、2026-10-14、2026-10-15、2026-10-16、2026-10-17</v>
      </c>
      <c r="AE325" s="8" t="str">
        <v>2026-10-06 大促；2026-10-07 大促</v>
      </c>
      <c r="AF325" s="8" t="n">
        <v>4</v>
      </c>
      <c r="AG325" s="8" t="n">
        <v>2</v>
      </c>
      <c r="AH325" s="8" t="n">
        <v>14</v>
      </c>
      <c r="AI325" s="8" t="str">
        <v>2026-09-16 至 2026-10-17</v>
      </c>
      <c r="AJ3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5" s="8" t="str">
        <v>2026-10-06 大促；2026-10-07 大促</v>
      </c>
      <c r="AL325" s="8" t="n">
        <v>4</v>
      </c>
      <c r="AM325" s="8" t="n">
        <v>2</v>
      </c>
      <c r="AN325" s="8" t="n">
        <v>30</v>
      </c>
      <c r="AO325" s="8" t="str">
        <v>B07 / 驼色PU / 13306</v>
      </c>
      <c r="AP325" s="11" t="n">
        <v>0.7307750238224848</v>
      </c>
      <c r="AQ325" s="11" t="n">
        <v>0.7307750238224848</v>
      </c>
      <c r="AR325" s="11" t="n">
        <v>0.7449809054134506</v>
      </c>
      <c r="AS325" s="11" t="n">
        <f>IF(AND(COUNT(I325:K325,AP325:AR325)=6,MIN(AP325:AR325)&gt;0),I325/7/AP325*0.5+J325/14/AQ325*0.3+K325/30/AR325*0.2,"")</f>
        <v>0.1742872881321021</v>
      </c>
      <c r="AT325" s="8" t="n">
        <v>5</v>
      </c>
      <c r="AU325" s="8" t="n">
        <v>2</v>
      </c>
      <c r="AV325" s="8" t="n">
        <v>88</v>
      </c>
      <c r="AW325" s="11" t="n">
        <f>IF(AND(COUNT(AT325:AV325)=3,AT325&gt;=AU325,AU325&gt;=0,AV325&gt;0),(AT325-AU325)/AV325,"")</f>
        <v>0.03409090909090909</v>
      </c>
      <c r="AX325" s="8" t="n">
        <v>7</v>
      </c>
      <c r="AY325" s="8" t="n">
        <v>2</v>
      </c>
      <c r="AZ325" s="8" t="n">
        <v>178</v>
      </c>
      <c r="BA325" s="11" t="n">
        <f>IF(AND(COUNT(AX325:AZ325)=3,AX325&gt;=AY325,AY325&gt;=0,AZ325&gt;0),(AX325-AY325)/AZ325,"")</f>
        <v>0.028089887640449437</v>
      </c>
      <c r="BB325" s="8" t="n">
        <f>IF(COUNT(AS325,AW325,BA325)=3,1,0)</f>
        <v>1</v>
      </c>
      <c r="BC325" s="11" t="n">
        <f>IF(SUMIF($AO$11:$AO$1309,AO325,$BB$11:$BB$1309)=COUNTIF($AO$11:$AO$1309,AO325),SUMIF($AO$11:$AO$1309,AO325,$AS$11:$AS$1309),"")</f>
        <v>0.22127795205062725</v>
      </c>
      <c r="BD325" s="11" t="n">
        <f>IF(SUMIF($AO$11:$AO$1309,AO325,$BB$11:$BB$1309)=COUNTIF($AO$11:$AO$1309,AO325),SUMIF($AO$11:$AO$1309,AO325,$AW$11:$AW$1309),"")</f>
        <v>0.05762032085561497</v>
      </c>
      <c r="BE325" s="11" t="n">
        <f>IF(SUMIF($AO$11:$AO$1309,AO325,$BB$11:$BB$1309)=COUNTIF($AO$11:$AO$1309,AO325),SUMIF($AO$11:$AO$1309,AO325,$BA$11:$BA$1309),"")</f>
        <v>0.08504012841091493</v>
      </c>
      <c r="BF325" s="12" t="n">
        <f>IF(COUNT(BD325:BE325)&lt;&gt;2,"",IF(AND(BD325&gt;0,BE325&gt;0),0.7*AW325/BD325+0.3*BA325/BE325,IF(BD325&gt;0,AW325/BD325,IF(BE325&gt;0,BA325/BE325,IF(AND(ISNUMBER(BH325),BH325=0),0,"")))))</f>
        <v>0.5132471299855743</v>
      </c>
      <c r="BG325" s="11" t="n">
        <f>IF(AND(COUNT(BN325:BU325)=8,MIN(BN325:BU325)&gt;=0),SUMPRODUCT(BN325:BQ325,BR325:BU325),"")</f>
        <v>78.35892944347341</v>
      </c>
      <c r="BH325" s="11" t="n">
        <f>IF(COUNT(BC325,BG325)=2,BC325*BG325,"")</f>
        <v>17.339103432131395</v>
      </c>
      <c r="BI325" s="11" t="n">
        <f>IF(ISNUMBER(CI325),CI325,"")</f>
        <v>8.89924507306446</v>
      </c>
      <c r="BJ325" s="8" t="str">
        <v>低销提醒依据不完整</v>
      </c>
      <c r="BK325" s="8" t="str">
        <v>90天：2026-07-20 至 2026-10-17；180天：2026-04-21 至 2026-10-17</v>
      </c>
      <c r="BL325" s="8" t="str">
        <v>90天：2026-10-06、2026-10-07；180天：2026-10-06、2026-10-07</v>
      </c>
      <c r="BM325" s="8" t="str">
        <v>2026-10：12天 × 0.7307750238224848；2026-11：30天 × 0.9523018155490097；2026-12：31天 × 0.5958545198749097；2027-01：17天 × 1.3264167397065354</v>
      </c>
      <c r="BN325" s="11" t="n">
        <v>0.7307750238224848</v>
      </c>
      <c r="BO325" s="11" t="n">
        <v>0.9523018155490097</v>
      </c>
      <c r="BP325" s="11" t="n">
        <v>0.5958545198749097</v>
      </c>
      <c r="BQ325" s="11" t="n">
        <v>1.3264167397065354</v>
      </c>
      <c r="BR325" s="8" t="n">
        <v>12</v>
      </c>
      <c r="BS325" s="8" t="n">
        <v>30</v>
      </c>
      <c r="BT325" s="8" t="n">
        <v>31</v>
      </c>
      <c r="BU325" s="8" t="n">
        <v>17</v>
      </c>
      <c r="BV325" s="11" t="n">
        <f>IF(COUNT(BC325,BF325)=2,BC325*BF325,"")</f>
        <v>0.11357027381906996</v>
      </c>
      <c r="BW325" s="11" t="n">
        <f>IF(ISNUMBER(BN325),BN325,"")</f>
        <v>0.7307750238224848</v>
      </c>
      <c r="BX325" s="14" t="n">
        <f>IF(ISNUMBER(BR325),BR325,"")</f>
        <v>12</v>
      </c>
      <c r="BY325" s="13" t="n">
        <f>IF(AND(COUNT(BV325,BW325,BX325)=3,MIN(BV325,BW325,BX325)&gt;=0),BV325*BW325*BX325,"")</f>
        <v>0.9959318346678837</v>
      </c>
      <c r="BZ325" s="11" t="n">
        <f>IF(ISNUMBER(BO325),BO325,"")</f>
        <v>0.9523018155490097</v>
      </c>
      <c r="CA325" s="14" t="n">
        <f>IF(ISNUMBER(BS325),BS325,"")</f>
        <v>30</v>
      </c>
      <c r="CB325" s="13" t="n">
        <f>IF(AND(COUNT(BV325,BZ325,CA325)=3,MIN(BV325,BZ325,CA325)&gt;=0),BV325*BZ325*CA325,"")</f>
        <v>3.244595338508955</v>
      </c>
      <c r="CC325" s="11" t="n">
        <f>IF(ISNUMBER(BP325),BP325,"")</f>
        <v>0.5958545198749097</v>
      </c>
      <c r="CD325" s="14" t="n">
        <f>IF(ISNUMBER(BT325),BT325,"")</f>
        <v>31</v>
      </c>
      <c r="CE325" s="13" t="n">
        <f>IF(AND(COUNT(BV325,CC325,CD325)=3,MIN(BV325,CC325,CD325)&gt;=0),BV325*CC325*CD325,"")</f>
        <v>2.097812190334243</v>
      </c>
      <c r="CF325" s="11" t="n">
        <f>IF(ISNUMBER(BQ325),BQ325,"")</f>
        <v>1.3264167397065354</v>
      </c>
      <c r="CG325" s="14" t="n">
        <f>IF(ISNUMBER(BU325),BU325,"")</f>
        <v>17</v>
      </c>
      <c r="CH325" s="13" t="n">
        <f>IF(AND(COUNT(BV325,CF325,CG325)=3,MIN(BV325,CF325,CG325)&gt;=0),BV325*CF325*CG325,"")</f>
        <v>2.560905709553378</v>
      </c>
      <c r="CI325" s="13" t="n">
        <f>IF(COUNT(BY325,CB325,CE325,CH325)=4,SUM(BY325,CB325,CE325,CH325),"")</f>
        <v>8.89924507306446</v>
      </c>
    </row>
    <row r="326" ht="72" customHeight="1">
      <c r="A326" s="16" t="str">
        <v>S02-TNP1-37</v>
      </c>
      <c r="B326" s="16" t="str">
        <v>3店-SANDIEX-US</v>
      </c>
      <c r="C326" s="16" t="str">
        <v>陈晨</v>
      </c>
      <c r="D326" s="26" t="n">
        <f>IF(NOT(ISNUMBER(E326)),"",IF(OR(E326&lt;=0,L326=0),0,IF(OR(NOT(ISNUMBER(F326)),F326&lt;0),"",MIN(E326,INT(F326)))))</f>
        <v>0</v>
      </c>
      <c r="E326" s="27" t="n">
        <f>IF(OR(NOT(ISNUMBER(L326)),COUNT(M326:O326)&lt;&gt;3,MIN(M326:O326)&lt;0),"",ROUNDUP(ROUND(BI326-SUM(M326:O326),10),0))</f>
        <v>7</v>
      </c>
      <c r="F326" s="28" t="n">
        <v>0</v>
      </c>
      <c r="G326" s="28" t="n">
        <f>IF(AND(ISNUMBER(D326),ISNUMBER(E326)),IF(OR(E326&lt;=0,L326=0),0,E326-D326),"")</f>
        <v>7</v>
      </c>
      <c r="H326" s="16" t="str">
        <f>IF(NOT(ISNUMBER(E326)),"销量或海外库存待补",IF(OR(E326&lt;=0,L326=0),IF(L326=0,"零日销，本批不发","本批无需补货"),IF(NOT(ISNUMBER(D326)),"国内库存待补",IF(D326=0,"国内无可用库存",IF(G326&gt;0,"先发国内现货","按建议量发货")))))</f>
        <v>国内无可用库存</v>
      </c>
      <c r="I326" s="28" t="n">
        <f>IF(AND(COUNT(Z326,AA326,AB326)=3,Z326&gt;=AA326,AA326&gt;=0,AB326=7),Z326-AA326,"")</f>
        <v>0</v>
      </c>
      <c r="J326" s="28" t="n">
        <f>IF(AND(COUNT(AF326,AG326,AH326)=3,AF326&gt;=AG326,AG326&gt;=0,AH326=14),AF326-AG326,"")</f>
        <v>4</v>
      </c>
      <c r="K326" s="28" t="n">
        <f>IF(AND(COUNT(AL326,AM326,AN326)=3,AL326&gt;=AM326,AM326&gt;=0,AN326=30),AL326-AM326,"")</f>
        <v>8</v>
      </c>
      <c r="L326" s="29" t="n">
        <f>IF(ISNUMBER(BI326),BI326/90,"")</f>
        <v>0.20874772282694778</v>
      </c>
      <c r="M326" s="28" t="n">
        <v>12</v>
      </c>
      <c r="N326" s="28" t="n">
        <v>0</v>
      </c>
      <c r="O326" s="28" t="n">
        <v>0</v>
      </c>
      <c r="P326" s="30" t="n">
        <f>IF(AND(ISNUMBER(L326),L326&gt;0,COUNT(M326:O326)=3,MIN(M326:O326)&gt;=0),SUM(M326:O326)/L326,"")</f>
        <v>57.4856570289297</v>
      </c>
      <c r="Q326" s="16" t="str">
        <v>沿用原计划SKU店铺</v>
      </c>
      <c r="R326" s="16" t="str">
        <v>已匹配</v>
      </c>
      <c r="S326" s="16" t="str">
        <v>在售</v>
      </c>
      <c r="T326" s="16" t="str">
        <v>S02</v>
      </c>
      <c r="U326" s="16" t="str">
        <v>驼色PU</v>
      </c>
      <c r="V326" s="16" t="n">
        <v>6.5</v>
      </c>
      <c r="W326" s="8" t="str">
        <v>2026-10-11 至 2026-10-17</v>
      </c>
      <c r="X326" s="8" t="str">
        <v>2026-10-11、2026-10-12、2026-10-13、2026-10-14、2026-10-15、2026-10-16、2026-10-17</v>
      </c>
      <c r="Y326" s="8" t="str">
        <v>无</v>
      </c>
      <c r="Z326" s="8" t="n">
        <v>0</v>
      </c>
      <c r="AA326" s="8" t="n">
        <v>0</v>
      </c>
      <c r="AB326" s="8" t="n">
        <v>7</v>
      </c>
      <c r="AC326" s="8" t="str">
        <v>2026-10-02 至 2026-10-17</v>
      </c>
      <c r="AD326" s="8" t="str">
        <v>2026-10-02、2026-10-03、2026-10-04、2026-10-05、2026-10-08、2026-10-09、2026-10-10、2026-10-11、2026-10-12、2026-10-13、2026-10-14、2026-10-15、2026-10-16、2026-10-17</v>
      </c>
      <c r="AE326" s="8" t="str">
        <v>2026-10-06 大促；2026-10-07 大促</v>
      </c>
      <c r="AF326" s="8" t="n">
        <v>5</v>
      </c>
      <c r="AG326" s="8" t="n">
        <v>1</v>
      </c>
      <c r="AH326" s="8" t="n">
        <v>14</v>
      </c>
      <c r="AI326" s="8" t="str">
        <v>2026-09-16 至 2026-10-17</v>
      </c>
      <c r="AJ3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6" s="8" t="str">
        <v>2026-10-06 大促；2026-10-07 大促</v>
      </c>
      <c r="AL326" s="8" t="n">
        <v>9</v>
      </c>
      <c r="AM326" s="8" t="n">
        <v>1</v>
      </c>
      <c r="AN326" s="8" t="n">
        <v>30</v>
      </c>
      <c r="AO326" s="8" t="str">
        <v>S02 / 驼色PU / 6574</v>
      </c>
      <c r="AP326" s="11" t="n">
        <v>0.9634503791704667</v>
      </c>
      <c r="AQ326" s="11" t="n">
        <v>0.9634503791704667</v>
      </c>
      <c r="AR326" s="11" t="n">
        <v>0.902244307144596</v>
      </c>
      <c r="AS326" s="11" t="n">
        <f>IF(AND(COUNT(I326:K326,AP326:AR326)=6,MIN(AP326:AR326)&gt;0),I326/7/AP326*0.5+J326/14/AQ326*0.3+K326/30/AR326*0.2,"")</f>
        <v>0.14807781126753075</v>
      </c>
      <c r="AT326" s="8" t="n">
        <v>14</v>
      </c>
      <c r="AU326" s="8" t="n">
        <v>1</v>
      </c>
      <c r="AV326" s="8" t="n">
        <v>88</v>
      </c>
      <c r="AW326" s="11" t="n">
        <f>IF(AND(COUNT(AT326:AV326)=3,AT326&gt;=AU326,AU326&gt;=0,AV326&gt;0),(AT326-AU326)/AV326,"")</f>
        <v>0.14772727272727273</v>
      </c>
      <c r="AX326" s="8" t="n">
        <v>26</v>
      </c>
      <c r="AY326" s="8" t="n">
        <v>1</v>
      </c>
      <c r="AZ326" s="8" t="n">
        <v>178</v>
      </c>
      <c r="BA326" s="11" t="n">
        <f>IF(AND(COUNT(AX326:AZ326)=3,AX326&gt;=AY326,AY326&gt;=0,AZ326&gt;0),(AX326-AY326)/AZ326,"")</f>
        <v>0.1404494382022472</v>
      </c>
      <c r="BB326" s="8" t="n">
        <f>IF(COUNT(AS326,AW326,BA326)=3,1,0)</f>
        <v>1</v>
      </c>
      <c r="BC326" s="11" t="n">
        <f>IF(SUMIF($AO$11:$AO$1309,AO326,$BB$11:$BB$1309)=COUNTIF($AO$11:$AO$1309,AO326),SUMIF($AO$11:$AO$1309,AO326,$AS$11:$AS$1309),"")</f>
        <v>2.9113987850676852</v>
      </c>
      <c r="BD326" s="11" t="n">
        <f>IF(SUMIF($AO$11:$AO$1309,AO326,$BB$11:$BB$1309)=COUNTIF($AO$11:$AO$1309,AO326),SUMIF($AO$11:$AO$1309,AO326,$AW$11:$AW$1309),"")</f>
        <v>1.9090909090909094</v>
      </c>
      <c r="BE326" s="11" t="n">
        <f>IF(SUMIF($AO$11:$AO$1309,AO326,$BB$11:$BB$1309)=COUNTIF($AO$11:$AO$1309,AO326),SUMIF($AO$11:$AO$1309,AO326,$BA$11:$BA$1309),"")</f>
        <v>1.5224719101123596</v>
      </c>
      <c r="BF326" s="12" t="n">
        <f>IF(COUNT(BD326:BE326)&lt;&gt;2,"",IF(AND(BD326&gt;0,BE326&gt;0),0.7*AW326/BD326+0.3*BA326/BE326,IF(BD326&gt;0,AW326/BD326,IF(BE326&gt;0,BA326/BE326,IF(AND(ISNUMBER(BH326),BH326=0),0,"")))))</f>
        <v>0.08184194341943418</v>
      </c>
      <c r="BG326" s="11" t="n">
        <f>IF(AND(COUNT(BN326:BU326)=8,MIN(BN326:BU326)&gt;=0),SUMPRODUCT(BN326:BQ326,BR326:BU326),"")</f>
        <v>78.84726365280937</v>
      </c>
      <c r="BH326" s="11" t="n">
        <f>IF(COUNT(BC326,BG326)=2,BC326*BG326,"")</f>
        <v>229.55582760470068</v>
      </c>
      <c r="BI326" s="11" t="n">
        <f>IF(ISNUMBER(CI326),CI326,"")</f>
        <v>18.7872950544253</v>
      </c>
      <c r="BJ326" s="8" t="str"/>
      <c r="BK326" s="8" t="str">
        <v>90天：2026-07-20 至 2026-10-17；180天：2026-04-21 至 2026-10-17</v>
      </c>
      <c r="BL326" s="8" t="str">
        <v>90天：2026-10-06、2026-10-07；180天：2026-10-06、2026-10-07</v>
      </c>
      <c r="BM326" s="8" t="str">
        <v>2026-10：12天 × 0.9634503791704667；2026-11：30天 × 0.8585031562320637；2026-12：31天 × 0.7896606554092485；2027-01：17天 × 1.0030167116538329</v>
      </c>
      <c r="BN326" s="11" t="n">
        <v>0.9634503791704667</v>
      </c>
      <c r="BO326" s="11" t="n">
        <v>0.8585031562320637</v>
      </c>
      <c r="BP326" s="11" t="n">
        <v>0.7896606554092485</v>
      </c>
      <c r="BQ326" s="11" t="n">
        <v>1.0030167116538329</v>
      </c>
      <c r="BR326" s="8" t="n">
        <v>12</v>
      </c>
      <c r="BS326" s="8" t="n">
        <v>30</v>
      </c>
      <c r="BT326" s="8" t="n">
        <v>31</v>
      </c>
      <c r="BU326" s="8" t="n">
        <v>17</v>
      </c>
      <c r="BV326" s="11" t="n">
        <f>IF(COUNT(BC326,BF326)=2,BC326*BF326,"")</f>
        <v>0.23827453463891893</v>
      </c>
      <c r="BW326" s="11" t="n">
        <f>IF(ISNUMBER(BN326),BN326,"")</f>
        <v>0.9634503791704667</v>
      </c>
      <c r="BX326" s="14" t="n">
        <f>IF(ISNUMBER(BR326),BR326,"")</f>
        <v>12</v>
      </c>
      <c r="BY326" s="13" t="n">
        <f>IF(AND(COUNT(BV326,BW326,BX326)=3,MIN(BV326,BW326,BX326)&gt;=0),BV326*BW326*BX326,"")</f>
        <v>2.7547882889343955</v>
      </c>
      <c r="BZ326" s="11" t="n">
        <f>IF(ISNUMBER(BO326),BO326,"")</f>
        <v>0.8585031562320637</v>
      </c>
      <c r="CA326" s="14" t="n">
        <f>IF(ISNUMBER(BS326),BS326,"")</f>
        <v>30</v>
      </c>
      <c r="CB326" s="13" t="n">
        <f>IF(AND(COUNT(BV326,BZ326,CA326)=3,MIN(BV326,BZ326,CA326)&gt;=0),BV326*BZ326*CA326,"")</f>
        <v>6.136783201117144</v>
      </c>
      <c r="CC326" s="11" t="n">
        <f>IF(ISNUMBER(BP326),BP326,"")</f>
        <v>0.7896606554092485</v>
      </c>
      <c r="CD326" s="14" t="n">
        <f>IF(ISNUMBER(BT326),BT326,"")</f>
        <v>31</v>
      </c>
      <c r="CE326" s="13" t="n">
        <f>IF(AND(COUNT(BV326,CC326,CD326)=3,MIN(BV326,CC326,CD326)&gt;=0),BV326*CC326*CD326,"")</f>
        <v>5.832836780899374</v>
      </c>
      <c r="CF326" s="11" t="n">
        <f>IF(ISNUMBER(BQ326),BQ326,"")</f>
        <v>1.0030167116538329</v>
      </c>
      <c r="CG326" s="14" t="n">
        <f>IF(ISNUMBER(BU326),BU326,"")</f>
        <v>17</v>
      </c>
      <c r="CH326" s="13" t="n">
        <f>IF(AND(COUNT(BV326,CF326,CG326)=3,MIN(BV326,CF326,CG326)&gt;=0),BV326*CF326*CG326,"")</f>
        <v>4.062886783474388</v>
      </c>
      <c r="CI326" s="13" t="n">
        <f>IF(COUNT(BY326,CB326,CE326,CH326)=4,SUM(BY326,CB326,CE326,CH326),"")</f>
        <v>18.7872950544253</v>
      </c>
    </row>
    <row r="327" ht="72" customHeight="1">
      <c r="A327" s="16" t="str">
        <v>S02a-TN1-42</v>
      </c>
      <c r="B327" s="16" t="str">
        <v>3店-SANDIEX-US</v>
      </c>
      <c r="C327" s="16" t="str">
        <v>陈晨</v>
      </c>
      <c r="D327" s="26" t="n">
        <f>IF(NOT(ISNUMBER(E327)),"",IF(OR(E327&lt;=0,L327=0),0,IF(OR(NOT(ISNUMBER(F327)),F327&lt;0),"",MIN(E327,INT(F327)))))</f>
        <v>0</v>
      </c>
      <c r="E327" s="27" t="n">
        <f>IF(OR(NOT(ISNUMBER(L327)),COUNT(M327:O327)&lt;&gt;3,MIN(M327:O327)&lt;0),"",ROUNDUP(ROUND(BI327-SUM(M327:O327),10),0))</f>
        <v>7</v>
      </c>
      <c r="F327" s="28" t="n">
        <v>0</v>
      </c>
      <c r="G327" s="28" t="n">
        <f>IF(AND(ISNUMBER(D327),ISNUMBER(E327)),IF(OR(E327&lt;=0,L327=0),0,E327-D327),"")</f>
        <v>7</v>
      </c>
      <c r="H327" s="16" t="str">
        <f>IF(NOT(ISNUMBER(E327)),"销量或海外库存待补",IF(OR(E327&lt;=0,L327=0),IF(L327=0,"零日销，本批不发","本批无需补货"),IF(NOT(ISNUMBER(D327)),"国内库存待补",IF(D327=0,"国内无可用库存",IF(G327&gt;0,"先发国内现货","按建议量发货")))))</f>
        <v>国内无可用库存</v>
      </c>
      <c r="I327" s="28" t="n">
        <f>IF(AND(COUNT(Z327,AA327,AB327)=3,Z327&gt;=AA327,AA327&gt;=0,AB327=7),Z327-AA327,"")</f>
        <v>2</v>
      </c>
      <c r="J327" s="28" t="n">
        <f>IF(AND(COUNT(AF327,AG327,AH327)=3,AF327&gt;=AG327,AG327&gt;=0,AH327=14),AF327-AG327,"")</f>
        <v>3</v>
      </c>
      <c r="K327" s="28" t="n">
        <f>IF(AND(COUNT(AL327,AM327,AN327)=3,AL327&gt;=AM327,AM327&gt;=0,AN327=30),AL327-AM327,"")</f>
        <v>5</v>
      </c>
      <c r="L327" s="29" t="n">
        <f>IF(ISNUMBER(BI327),BI327/90,"")</f>
        <v>0.23901098215660066</v>
      </c>
      <c r="M327" s="28" t="n">
        <v>15</v>
      </c>
      <c r="N327" s="28" t="n">
        <v>0</v>
      </c>
      <c r="O327" s="28" t="n">
        <v>0</v>
      </c>
      <c r="P327" s="30" t="n">
        <f>IF(AND(ISNUMBER(L327),L327&gt;0,COUNT(M327:O327)=3,MIN(M327:O327)&gt;=0),SUM(M327:O327)/L327,"")</f>
        <v>62.75862248945514</v>
      </c>
      <c r="Q327" s="16" t="str">
        <v>沿用同SPU原计划店铺</v>
      </c>
      <c r="R327" s="16" t="str">
        <v>已匹配</v>
      </c>
      <c r="S327" s="16" t="str">
        <v>在售</v>
      </c>
      <c r="T327" s="16" t="str">
        <v>S02a</v>
      </c>
      <c r="U327" s="16" t="str">
        <v>驼色</v>
      </c>
      <c r="V327" s="16" t="n">
        <v>10.5</v>
      </c>
      <c r="W327" s="8" t="str">
        <v>2026-10-11 至 2026-10-17</v>
      </c>
      <c r="X327" s="8" t="str">
        <v>2026-10-11、2026-10-12、2026-10-13、2026-10-14、2026-10-15、2026-10-16、2026-10-17</v>
      </c>
      <c r="Y327" s="8" t="str">
        <v>无</v>
      </c>
      <c r="Z327" s="8" t="n">
        <v>2</v>
      </c>
      <c r="AA327" s="8" t="n">
        <v>0</v>
      </c>
      <c r="AB327" s="8" t="n">
        <v>7</v>
      </c>
      <c r="AC327" s="8" t="str">
        <v>2026-10-02 至 2026-10-17</v>
      </c>
      <c r="AD327" s="8" t="str">
        <v>2026-10-02、2026-10-03、2026-10-04、2026-10-05、2026-10-08、2026-10-09、2026-10-10、2026-10-11、2026-10-12、2026-10-13、2026-10-14、2026-10-15、2026-10-16、2026-10-17</v>
      </c>
      <c r="AE327" s="8" t="str">
        <v>2026-10-06 大促；2026-10-07 大促</v>
      </c>
      <c r="AF327" s="8" t="n">
        <v>4</v>
      </c>
      <c r="AG327" s="8" t="n">
        <v>1</v>
      </c>
      <c r="AH327" s="8" t="n">
        <v>14</v>
      </c>
      <c r="AI327" s="8" t="str">
        <v>2026-09-16 至 2026-10-17</v>
      </c>
      <c r="AJ3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7" s="8" t="str">
        <v>2026-10-06 大促；2026-10-07 大促</v>
      </c>
      <c r="AL327" s="8" t="n">
        <v>6</v>
      </c>
      <c r="AM327" s="8" t="n">
        <v>1</v>
      </c>
      <c r="AN327" s="8" t="n">
        <v>30</v>
      </c>
      <c r="AO327" s="8" t="str">
        <v>S02a / 驼色 / 6574</v>
      </c>
      <c r="AP327" s="11" t="n">
        <v>0.7647664488148722</v>
      </c>
      <c r="AQ327" s="11" t="n">
        <v>0.7647664488148722</v>
      </c>
      <c r="AR327" s="11" t="n">
        <v>0.8066052567225582</v>
      </c>
      <c r="AS327" s="11" t="n">
        <f>IF(AND(COUNT(I327:K327,AP327:AR327)=6,MIN(AP327:AR327)&gt;0),I327/7/AP327*0.5+J327/14/AQ327*0.3+K327/30/AR327*0.2,"")</f>
        <v>0.3121831284052458</v>
      </c>
      <c r="AT327" s="8" t="n">
        <v>8</v>
      </c>
      <c r="AU327" s="8" t="n">
        <v>1</v>
      </c>
      <c r="AV327" s="8" t="n">
        <v>88</v>
      </c>
      <c r="AW327" s="11" t="n">
        <f>IF(AND(COUNT(AT327:AV327)=3,AT327&gt;=AU327,AU327&gt;=0,AV327&gt;0),(AT327-AU327)/AV327,"")</f>
        <v>0.07954545454545454</v>
      </c>
      <c r="AX327" s="8" t="n">
        <v>13</v>
      </c>
      <c r="AY327" s="8" t="n">
        <v>1</v>
      </c>
      <c r="AZ327" s="8" t="n">
        <v>178</v>
      </c>
      <c r="BA327" s="11" t="n">
        <f>IF(AND(COUNT(AX327:AZ327)=3,AX327&gt;=AY327,AY327&gt;=0,AZ327&gt;0),(AX327-AY327)/AZ327,"")</f>
        <v>0.06741573033707865</v>
      </c>
      <c r="BB327" s="8" t="n">
        <f>IF(COUNT(AS327,AW327,BA327)=3,1,0)</f>
        <v>1</v>
      </c>
      <c r="BC327" s="11" t="n">
        <f>IF(SUMIF($AO$11:$AO$1309,AO327,$BB$11:$BB$1309)=COUNTIF($AO$11:$AO$1309,AO327),SUMIF($AO$11:$AO$1309,AO327,$AS$11:$AS$1309),"")</f>
        <v>4.646128546626029</v>
      </c>
      <c r="BD327" s="11" t="n">
        <f>IF(SUMIF($AO$11:$AO$1309,AO327,$BB$11:$BB$1309)=COUNTIF($AO$11:$AO$1309,AO327),SUMIF($AO$11:$AO$1309,AO327,$AW$11:$AW$1309),"")</f>
        <v>1.9772727272727275</v>
      </c>
      <c r="BE327" s="11" t="n">
        <f>IF(SUMIF($AO$11:$AO$1309,AO327,$BB$11:$BB$1309)=COUNTIF($AO$11:$AO$1309,AO327),SUMIF($AO$11:$AO$1309,AO327,$BA$11:$BA$1309),"")</f>
        <v>1.6629213483146066</v>
      </c>
      <c r="BF327" s="12" t="n">
        <f>IF(COUNT(BD327:BE327)&lt;&gt;2,"",IF(AND(BD327&gt;0,BE327&gt;0),0.7*AW327/BD327+0.3*BA327/BE327,IF(BD327&gt;0,AW327/BD327,IF(BE327&gt;0,BA327/BE327,IF(AND(ISNUMBER(BH327),BH327=0),0,"")))))</f>
        <v>0.040323081702392044</v>
      </c>
      <c r="BG327" s="11" t="n">
        <f>IF(AND(COUNT(BN327:BU327)=8,MIN(BN327:BU327)&gt;=0),SUMPRODUCT(BN327:BQ327,BR327:BU327),"")</f>
        <v>114.81944114457707</v>
      </c>
      <c r="BH327" s="11" t="n">
        <f>IF(COUNT(BC327,BG327)=2,BC327*BG327,"")</f>
        <v>533.4658832094667</v>
      </c>
      <c r="BI327" s="11" t="n">
        <f>IF(ISNUMBER(CI327),CI327,"")</f>
        <v>21.51098839409406</v>
      </c>
      <c r="BJ327" s="8" t="str"/>
      <c r="BK327" s="8" t="str">
        <v>90天：2026-07-20 至 2026-10-17；180天：2026-04-21 至 2026-10-17</v>
      </c>
      <c r="BL327" s="8" t="str">
        <v>90天：2026-10-06、2026-10-07；180天：2026-10-06、2026-10-07</v>
      </c>
      <c r="BM327" s="8" t="str">
        <v>2026-10：12天 × 0.7647664488148722；2026-11：30天 × 1.5248287781391903；2026-12：31天 × 1.2288250057360348；2027-01：17天 × 1.2825767786356366</v>
      </c>
      <c r="BN327" s="11" t="n">
        <v>0.7647664488148722</v>
      </c>
      <c r="BO327" s="11" t="n">
        <v>1.5248287781391903</v>
      </c>
      <c r="BP327" s="11" t="n">
        <v>1.2288250057360348</v>
      </c>
      <c r="BQ327" s="11" t="n">
        <v>1.2825767786356366</v>
      </c>
      <c r="BR327" s="8" t="n">
        <v>12</v>
      </c>
      <c r="BS327" s="8" t="n">
        <v>30</v>
      </c>
      <c r="BT327" s="8" t="n">
        <v>31</v>
      </c>
      <c r="BU327" s="8" t="n">
        <v>17</v>
      </c>
      <c r="BV327" s="11" t="n">
        <f>IF(COUNT(BC327,BF327)=2,BC327*BF327,"")</f>
        <v>0.18734622098541737</v>
      </c>
      <c r="BW327" s="11" t="n">
        <f>IF(ISNUMBER(BN327),BN327,"")</f>
        <v>0.7647664488148722</v>
      </c>
      <c r="BX327" s="14" t="n">
        <f>IF(ISNUMBER(BR327),BR327,"")</f>
        <v>12</v>
      </c>
      <c r="BY327" s="13" t="n">
        <f>IF(AND(COUNT(BV327,BW327,BX327)=3,MIN(BV327,BW327,BX327)&gt;=0),BV327*BW327*BX327,"")</f>
        <v>1.719313249462847</v>
      </c>
      <c r="BZ327" s="11" t="n">
        <f>IF(ISNUMBER(BO327),BO327,"")</f>
        <v>1.5248287781391903</v>
      </c>
      <c r="CA327" s="14" t="n">
        <f>IF(ISNUMBER(BS327),BS327,"")</f>
        <v>30</v>
      </c>
      <c r="CB327" s="13" t="n">
        <f>IF(AND(COUNT(BV327,BZ327,CA327)=3,MIN(BV327,BZ327,CA327)&gt;=0),BV327*BZ327*CA327,"")</f>
        <v>8.57012727702566</v>
      </c>
      <c r="CC327" s="11" t="n">
        <f>IF(ISNUMBER(BP327),BP327,"")</f>
        <v>1.2288250057360348</v>
      </c>
      <c r="CD327" s="14" t="n">
        <f>IF(ISNUMBER(BT327),BT327,"")</f>
        <v>31</v>
      </c>
      <c r="CE327" s="13" t="n">
        <f>IF(AND(COUNT(BV327,CC327,CD327)=3,MIN(BV327,CC327,CD327)&gt;=0),BV327*CC327*CD327,"")</f>
        <v>7.136687353387928</v>
      </c>
      <c r="CF327" s="11" t="n">
        <f>IF(ISNUMBER(BQ327),BQ327,"")</f>
        <v>1.2825767786356366</v>
      </c>
      <c r="CG327" s="14" t="n">
        <f>IF(ISNUMBER(BU327),BU327,"")</f>
        <v>17</v>
      </c>
      <c r="CH327" s="13" t="n">
        <f>IF(AND(COUNT(BV327,CF327,CG327)=3,MIN(BV327,CF327,CG327)&gt;=0),BV327*CF327*CG327,"")</f>
        <v>4.084860514217624</v>
      </c>
      <c r="CI327" s="13" t="n">
        <f>IF(COUNT(BY327,CB327,CE327,CH327)=4,SUM(BY327,CB327,CE327,CH327),"")</f>
        <v>21.51098839409406</v>
      </c>
    </row>
    <row r="328" ht="72" customHeight="1">
      <c r="A328" s="16" t="str">
        <v>B06-CFP-40.5</v>
      </c>
      <c r="B328" s="16" t="str">
        <v>1店-MUSSHOE-US</v>
      </c>
      <c r="C328" s="16" t="str">
        <v>艾年</v>
      </c>
      <c r="D328" s="26" t="n">
        <f>IF(NOT(ISNUMBER(E328)),"",IF(OR(E328&lt;=0,L328=0),0,IF(OR(NOT(ISNUMBER(F328)),F328&lt;0),"",MIN(E328,INT(F328)))))</f>
        <v>0</v>
      </c>
      <c r="E328" s="27" t="n">
        <f>IF(OR(NOT(ISNUMBER(L328)),COUNT(M328:O328)&lt;&gt;3,MIN(M328:O328)&lt;0),"",ROUNDUP(ROUND(BI328-SUM(M328:O328),10),0))</f>
        <v>6</v>
      </c>
      <c r="F328" s="28" t="n">
        <v>0</v>
      </c>
      <c r="G328" s="28" t="n">
        <f>IF(AND(ISNUMBER(D328),ISNUMBER(E328)),IF(OR(E328&lt;=0,L328=0),0,E328-D328),"")</f>
        <v>6</v>
      </c>
      <c r="H328" s="16" t="str">
        <f>IF(NOT(ISNUMBER(E328)),"销量或海外库存待补",IF(OR(E328&lt;=0,L328=0),IF(L328=0,"零日销，本批不发","本批无需补货"),IF(NOT(ISNUMBER(D328)),"国内库存待补",IF(D328=0,"国内无可用库存",IF(G328&gt;0,"先发国内现货","按建议量发货")))))</f>
        <v>国内无可用库存</v>
      </c>
      <c r="I328" s="28" t="n">
        <f>IF(AND(COUNT(Z328,AA328,AB328)=3,Z328&gt;=AA328,AA328&gt;=0,AB328=7),Z328-AA328,"")</f>
        <v>3</v>
      </c>
      <c r="J328" s="28" t="n">
        <f>IF(AND(COUNT(AF328,AG328,AH328)=3,AF328&gt;=AG328,AG328&gt;=0,AH328=14),AF328-AG328,"")</f>
        <v>4</v>
      </c>
      <c r="K328" s="28" t="n">
        <f>IF(AND(COUNT(AL328,AM328,AN328)=3,AL328&gt;=AM328,AM328&gt;=0,AN328=30),AL328-AM328,"")</f>
        <v>7</v>
      </c>
      <c r="L328" s="29" t="n">
        <f>IF(ISNUMBER(BI328),BI328/90,"")</f>
        <v>0.29707750971169783</v>
      </c>
      <c r="M328" s="28" t="n">
        <v>19</v>
      </c>
      <c r="N328" s="28" t="n">
        <v>0</v>
      </c>
      <c r="O328" s="28" t="n">
        <v>2</v>
      </c>
      <c r="P328" s="30" t="n">
        <f>IF(AND(ISNUMBER(L328),L328&gt;0,COUNT(M328:O328)=3,MIN(M328:O328)&gt;=0),SUM(M328:O328)/L328,"")</f>
        <v>70.68862271122336</v>
      </c>
      <c r="Q328" s="16" t="str">
        <v>沿用原计划SKU店铺</v>
      </c>
      <c r="R328" s="16" t="str">
        <v>已匹配</v>
      </c>
      <c r="S328" s="16" t="str">
        <v>在售</v>
      </c>
      <c r="T328" s="16" t="str">
        <v>B06</v>
      </c>
      <c r="U328" s="16" t="str">
        <v>咖色PU</v>
      </c>
      <c r="V328" s="16" t="n">
        <v>9.5</v>
      </c>
      <c r="W328" s="8" t="str">
        <v>2026-10-11 至 2026-10-17</v>
      </c>
      <c r="X328" s="8" t="str">
        <v>2026-10-11、2026-10-12、2026-10-13、2026-10-14、2026-10-15、2026-10-16、2026-10-17</v>
      </c>
      <c r="Y328" s="8" t="str">
        <v>无</v>
      </c>
      <c r="Z328" s="8" t="n">
        <v>3</v>
      </c>
      <c r="AA328" s="8" t="n">
        <v>0</v>
      </c>
      <c r="AB328" s="8" t="n">
        <v>7</v>
      </c>
      <c r="AC328" s="8" t="str">
        <v>2026-10-02 至 2026-10-17</v>
      </c>
      <c r="AD328" s="8" t="str">
        <v>2026-10-02、2026-10-03、2026-10-04、2026-10-05、2026-10-08、2026-10-09、2026-10-10、2026-10-11、2026-10-12、2026-10-13、2026-10-14、2026-10-15、2026-10-16、2026-10-17</v>
      </c>
      <c r="AE328" s="8" t="str">
        <v>2026-10-06 大促；2026-10-07 大促</v>
      </c>
      <c r="AF328" s="8" t="n">
        <v>8</v>
      </c>
      <c r="AG328" s="8" t="n">
        <v>4</v>
      </c>
      <c r="AH328" s="8" t="n">
        <v>14</v>
      </c>
      <c r="AI328" s="8" t="str">
        <v>2026-09-16 至 2026-10-17</v>
      </c>
      <c r="AJ3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28" s="8" t="str">
        <v>2026-10-06 大促；2026-10-07 大促</v>
      </c>
      <c r="AL328" s="8" t="n">
        <v>11</v>
      </c>
      <c r="AM328" s="8" t="n">
        <v>4</v>
      </c>
      <c r="AN328" s="8" t="n">
        <v>30</v>
      </c>
      <c r="AO328" s="8" t="str">
        <v>B06 / 咖色PU / 13120</v>
      </c>
      <c r="AP328" s="11" t="n">
        <v>1.2247029157699902</v>
      </c>
      <c r="AQ328" s="11" t="n">
        <v>1.2247029157699902</v>
      </c>
      <c r="AR328" s="11" t="n">
        <v>1.1136940657346173</v>
      </c>
      <c r="AS328" s="11" t="n">
        <f>IF(AND(COUNT(I328:K328,AP328:AR328)=6,MIN(AP328:AR328)&gt;0),I328/7/AP328*0.5+J328/14/AQ328*0.3+K328/30/AR328*0.2,"")</f>
        <v>0.286859956448616</v>
      </c>
      <c r="AT328" s="8" t="n">
        <v>26</v>
      </c>
      <c r="AU328" s="8" t="n">
        <v>4</v>
      </c>
      <c r="AV328" s="8" t="n">
        <v>88</v>
      </c>
      <c r="AW328" s="11" t="n">
        <f>IF(AND(COUNT(AT328:AV328)=3,AT328&gt;=AU328,AU328&gt;=0,AV328&gt;0),(AT328-AU328)/AV328,"")</f>
        <v>0.25</v>
      </c>
      <c r="AX328" s="8" t="n">
        <v>34</v>
      </c>
      <c r="AY328" s="8" t="n">
        <v>4</v>
      </c>
      <c r="AZ328" s="8" t="n">
        <v>178</v>
      </c>
      <c r="BA328" s="11" t="n">
        <f>IF(AND(COUNT(AX328:AZ328)=3,AX328&gt;=AY328,AY328&gt;=0,AZ328&gt;0),(AX328-AY328)/AZ328,"")</f>
        <v>0.16853932584269662</v>
      </c>
      <c r="BB328" s="8" t="n">
        <f>IF(COUNT(AS328,AW328,BA328)=3,1,0)</f>
        <v>1</v>
      </c>
      <c r="BC328" s="11" t="n">
        <f>IF(SUMIF($AO$11:$AO$1309,AO328,$BB$11:$BB$1309)=COUNTIF($AO$11:$AO$1309,AO328),SUMIF($AO$11:$AO$1309,AO328,$AS$11:$AS$1309),"")</f>
        <v>2.611458509464822</v>
      </c>
      <c r="BD328" s="11" t="n">
        <f>IF(SUMIF($AO$11:$AO$1309,AO328,$BB$11:$BB$1309)=COUNTIF($AO$11:$AO$1309,AO328),SUMIF($AO$11:$AO$1309,AO328,$AW$11:$AW$1309),"")</f>
        <v>1.6638477801268499</v>
      </c>
      <c r="BE328" s="11" t="n">
        <f>IF(SUMIF($AO$11:$AO$1309,AO328,$BB$11:$BB$1309)=COUNTIF($AO$11:$AO$1309,AO328),SUMIF($AO$11:$AO$1309,AO328,$BA$11:$BA$1309),"")</f>
        <v>1.5075970377936672</v>
      </c>
      <c r="BF328" s="12" t="n">
        <f>IF(COUNT(BD328:BE328)&lt;&gt;2,"",IF(AND(BD328&gt;0,BE328&gt;0),0.7*AW328/BD328+0.3*BA328/BE328,IF(BD328&gt;0,AW328/BD328,IF(BE328&gt;0,BA328/BE328,IF(AND(ISNUMBER(BH328),BH328=0),0,"")))))</f>
        <v>0.13871589622924502</v>
      </c>
      <c r="BG328" s="11" t="n">
        <f>IF(AND(COUNT(BN328:BU328)=8,MIN(BN328:BU328)&gt;=0),SUMPRODUCT(BN328:BQ328,BR328:BU328),"")</f>
        <v>73.80791239847399</v>
      </c>
      <c r="BH328" s="11" t="n">
        <f>IF(COUNT(BC328,BG328)=2,BC328*BG328,"")</f>
        <v>192.74630089882905</v>
      </c>
      <c r="BI328" s="11" t="n">
        <f>IF(ISNUMBER(CI328),CI328,"")</f>
        <v>26.736975874052803</v>
      </c>
      <c r="BJ328" s="8" t="str">
        <v>低销提醒依据不完整</v>
      </c>
      <c r="BK328" s="8" t="str">
        <v>90天：2026-07-20 至 2026-10-17；180天：2026-04-21 至 2026-10-17</v>
      </c>
      <c r="BL328" s="8" t="str">
        <v>90天：2026-10-06、2026-10-07；180天：2026-10-06、2026-10-07</v>
      </c>
      <c r="BM328" s="8" t="str">
        <v>2026-10：12天 × 1.2247029157699902；2026-11：30天 × 0.8332682139098497；2026-12：31天 × 0.5511018253564084；2027-01：17天 × 1.0017220238758797</v>
      </c>
      <c r="BN328" s="11" t="n">
        <v>1.2247029157699902</v>
      </c>
      <c r="BO328" s="11" t="n">
        <v>0.8332682139098497</v>
      </c>
      <c r="BP328" s="11" t="n">
        <v>0.5511018253564084</v>
      </c>
      <c r="BQ328" s="11" t="n">
        <v>1.0017220238758797</v>
      </c>
      <c r="BR328" s="8" t="n">
        <v>12</v>
      </c>
      <c r="BS328" s="8" t="n">
        <v>30</v>
      </c>
      <c r="BT328" s="8" t="n">
        <v>31</v>
      </c>
      <c r="BU328" s="8" t="n">
        <v>17</v>
      </c>
      <c r="BV328" s="11" t="n">
        <f>IF(COUNT(BC328,BF328)=2,BC328*BF328,"")</f>
        <v>0.3622508076059011</v>
      </c>
      <c r="BW328" s="11" t="n">
        <f>IF(ISNUMBER(BN328),BN328,"")</f>
        <v>1.2247029157699902</v>
      </c>
      <c r="BX328" s="14" t="n">
        <f>IF(ISNUMBER(BR328),BR328,"")</f>
        <v>12</v>
      </c>
      <c r="BY328" s="13" t="n">
        <f>IF(AND(COUNT(BV328,BW328,BX328)=3,MIN(BV328,BW328,BX328)&gt;=0),BV328*BW328*BX328,"")</f>
        <v>5.32379544377977</v>
      </c>
      <c r="BZ328" s="11" t="n">
        <f>IF(ISNUMBER(BO328),BO328,"")</f>
        <v>0.8332682139098497</v>
      </c>
      <c r="CA328" s="14" t="n">
        <f>IF(ISNUMBER(BS328),BS328,"")</f>
        <v>30</v>
      </c>
      <c r="CB328" s="13" t="n">
        <f>IF(AND(COUNT(BV328,BZ328,CA328)=3,MIN(BV328,BZ328,CA328)&gt;=0),BV328*BZ328*CA328,"")</f>
        <v>9.055562503235095</v>
      </c>
      <c r="CC328" s="11" t="n">
        <f>IF(ISNUMBER(BP328),BP328,"")</f>
        <v>0.5511018253564084</v>
      </c>
      <c r="CD328" s="14" t="n">
        <f>IF(ISNUMBER(BT328),BT328,"")</f>
        <v>31</v>
      </c>
      <c r="CE328" s="13" t="n">
        <f>IF(AND(COUNT(BV328,CC328,CD328)=3,MIN(BV328,CC328,CD328)&gt;=0),BV328*CC328*CD328,"")</f>
        <v>6.188749520561801</v>
      </c>
      <c r="CF328" s="11" t="n">
        <f>IF(ISNUMBER(BQ328),BQ328,"")</f>
        <v>1.0017220238758797</v>
      </c>
      <c r="CG328" s="14" t="n">
        <f>IF(ISNUMBER(BU328),BU328,"")</f>
        <v>17</v>
      </c>
      <c r="CH328" s="13" t="n">
        <f>IF(AND(COUNT(BV328,CF328,CG328)=3,MIN(BV328,CF328,CG328)&gt;=0),BV328*CF328*CG328,"")</f>
        <v>6.168868406476138</v>
      </c>
      <c r="CI328" s="13" t="n">
        <f>IF(COUNT(BY328,CB328,CE328,CH328)=4,SUM(BY328,CB328,CE328,CH328),"")</f>
        <v>26.736975874052803</v>
      </c>
    </row>
    <row r="329" ht="72" customHeight="1">
      <c r="A329" s="16" t="str">
        <v>B06b-NY-37</v>
      </c>
      <c r="B329" s="16" t="str">
        <v>1店-MUSSHOE-US</v>
      </c>
      <c r="C329" s="16" t="str">
        <v>艾年</v>
      </c>
      <c r="D329" s="26" t="n">
        <f>IF(NOT(ISNUMBER(E329)),"",IF(OR(E329&lt;=0,L329=0),0,IF(OR(NOT(ISNUMBER(F329)),F329&lt;0),"",MIN(E329,INT(F329)))))</f>
        <v>0</v>
      </c>
      <c r="E329" s="27" t="n">
        <f>IF(OR(NOT(ISNUMBER(L329)),COUNT(M329:O329)&lt;&gt;3,MIN(M329:O329)&lt;0),"",ROUNDUP(ROUND(BI329-SUM(M329:O329),10),0))</f>
        <v>6</v>
      </c>
      <c r="F329" s="28" t="n">
        <v>0</v>
      </c>
      <c r="G329" s="28" t="n">
        <f>IF(AND(ISNUMBER(D329),ISNUMBER(E329)),IF(OR(E329&lt;=0,L329=0),0,E329-D329),"")</f>
        <v>6</v>
      </c>
      <c r="H329" s="16" t="str">
        <f>IF(NOT(ISNUMBER(E329)),"销量或海外库存待补",IF(OR(E329&lt;=0,L329=0),IF(L329=0,"零日销，本批不发","本批无需补货"),IF(NOT(ISNUMBER(D329)),"国内库存待补",IF(D329=0,"国内无可用库存",IF(G329&gt;0,"先发国内现货","按建议量发货")))))</f>
        <v>国内无可用库存</v>
      </c>
      <c r="I329" s="28" t="n">
        <f>IF(AND(COUNT(Z329,AA329,AB329)=3,Z329&gt;=AA329,AA329&gt;=0,AB329=7),Z329-AA329,"")</f>
        <v>2</v>
      </c>
      <c r="J329" s="28" t="n">
        <f>IF(AND(COUNT(AF329,AG329,AH329)=3,AF329&gt;=AG329,AG329&gt;=0,AH329=14),AF329-AG329,"")</f>
        <v>3</v>
      </c>
      <c r="K329" s="28" t="n">
        <f>IF(AND(COUNT(AL329,AM329,AN329)=3,AL329&gt;=AM329,AM329&gt;=0,AN329=30),AL329-AM329,"")</f>
        <v>4</v>
      </c>
      <c r="L329" s="29" t="n">
        <f>IF(ISNUMBER(BI329),BI329/90,"")</f>
        <v>0.060505287422710975</v>
      </c>
      <c r="M329" s="28" t="n">
        <v>0</v>
      </c>
      <c r="N329" s="28" t="n">
        <v>0</v>
      </c>
      <c r="O329" s="28" t="n">
        <v>0</v>
      </c>
      <c r="P329" s="30" t="n">
        <f>IF(AND(ISNUMBER(L329),L329&gt;0,COUNT(M329:O329)=3,MIN(M329:O329)&gt;=0),SUM(M329:O329)/L329,"")</f>
        <v>0</v>
      </c>
      <c r="Q329" s="16" t="str">
        <v>沿用原计划SKU店铺</v>
      </c>
      <c r="R329" s="16" t="str">
        <v>已匹配</v>
      </c>
      <c r="S329" s="16" t="str">
        <v>停售</v>
      </c>
      <c r="T329" s="16" t="str">
        <v>B06b</v>
      </c>
      <c r="U329" s="16" t="str">
        <v>藏青色羊京绒</v>
      </c>
      <c r="V329" s="16" t="n">
        <v>6</v>
      </c>
      <c r="W329" s="8" t="str">
        <v>2026-10-08 至 2026-10-17</v>
      </c>
      <c r="X329" s="8" t="str">
        <v>2026-10-08、2026-10-09、2026-10-10、2026-10-11、2026-10-14、2026-10-15、2026-10-17</v>
      </c>
      <c r="Y329" s="8" t="str">
        <v>2026-10-12 有记录的停售日；2026-10-13 有记录的停售日；2026-10-16 有记录的停售日</v>
      </c>
      <c r="Z329" s="8" t="n">
        <v>2</v>
      </c>
      <c r="AA329" s="8" t="n">
        <v>0</v>
      </c>
      <c r="AB329" s="8" t="n">
        <v>7</v>
      </c>
      <c r="AC329" s="8" t="str">
        <v>2026-09-29 至 2026-10-17</v>
      </c>
      <c r="AD329" s="8" t="str">
        <v>2026-09-29、2026-09-30、2026-10-01、2026-10-02、2026-10-03、2026-10-04、2026-10-05、2026-10-08、2026-10-09、2026-10-10、2026-10-11、2026-10-14、2026-10-15、2026-10-17</v>
      </c>
      <c r="AE329" s="8" t="str">
        <v>2026-10-06 大促；2026-10-07 大促；2026-10-12 有记录的停售日；2026-10-13 有记录的停售日；2026-10-16 有记录的停售日</v>
      </c>
      <c r="AF329" s="8" t="n">
        <v>3</v>
      </c>
      <c r="AG329" s="8" t="n">
        <v>0</v>
      </c>
      <c r="AH329" s="8" t="n">
        <v>14</v>
      </c>
      <c r="AI329" s="8" t="str">
        <v>2026-09-13 至 2026-10-17</v>
      </c>
      <c r="AJ32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29" s="8" t="str">
        <v>2026-10-06 大促；2026-10-07 大促；2026-10-12 有记录的停售日；2026-10-13 有记录的停售日；2026-10-16 有记录的停售日</v>
      </c>
      <c r="AL329" s="8" t="n">
        <v>4</v>
      </c>
      <c r="AM329" s="8" t="n">
        <v>0</v>
      </c>
      <c r="AN329" s="8" t="n">
        <v>30</v>
      </c>
      <c r="AO329" s="8" t="str">
        <v>B06b / 藏青色羊京绒 / 13120</v>
      </c>
      <c r="AP329" s="11" t="n">
        <v>1.1090677182221615</v>
      </c>
      <c r="AQ329" s="11" t="n">
        <v>1.0637680334742425</v>
      </c>
      <c r="AR329" s="11" t="n">
        <v>0.9188090422809019</v>
      </c>
      <c r="AS329" s="11" t="n">
        <f>IF(AND(COUNT(I329:K329,AP329:AR329)=6,MIN(AP329:AR329)&gt;0),I329/7/AP329*0.5+J329/14/AQ329*0.3+K329/30/AR329*0.2,"")</f>
        <v>0.21826347156720619</v>
      </c>
      <c r="AT329" s="8" t="n">
        <v>6</v>
      </c>
      <c r="AU329" s="8" t="n">
        <v>0</v>
      </c>
      <c r="AV329" s="8" t="n">
        <v>85</v>
      </c>
      <c r="AW329" s="11" t="n">
        <f>IF(AND(COUNT(AT329:AV329)=3,AT329&gt;=AU329,AU329&gt;=0,AV329&gt;0),(AT329-AU329)/AV329,"")</f>
        <v>0.07058823529411765</v>
      </c>
      <c r="AX329" s="8" t="n">
        <v>11</v>
      </c>
      <c r="AY329" s="8" t="n">
        <v>0</v>
      </c>
      <c r="AZ329" s="8" t="n">
        <v>175</v>
      </c>
      <c r="BA329" s="11" t="n">
        <f>IF(AND(COUNT(AX329:AZ329)=3,AX329&gt;=AY329,AY329&gt;=0,AZ329&gt;0),(AX329-AY329)/AZ329,"")</f>
        <v>0.06285714285714286</v>
      </c>
      <c r="BB329" s="8" t="n">
        <f>IF(COUNT(AS329,AW329,BA329)=3,1,0)</f>
        <v>1</v>
      </c>
      <c r="BC329" s="11" t="n">
        <f>IF(SUMIF($AO$11:$AO$1309,AO329,$BB$11:$BB$1309)=COUNTIF($AO$11:$AO$1309,AO329),SUMIF($AO$11:$AO$1309,AO329,$AS$11:$AS$1309),"")</f>
        <v>1.0519173612688397</v>
      </c>
      <c r="BD329" s="11" t="n">
        <f>IF(SUMIF($AO$11:$AO$1309,AO329,$BB$11:$BB$1309)=COUNTIF($AO$11:$AO$1309,AO329),SUMIF($AO$11:$AO$1309,AO329,$AW$11:$AW$1309),"")</f>
        <v>1.2745989304812833</v>
      </c>
      <c r="BE329" s="11" t="n">
        <f>IF(SUMIF($AO$11:$AO$1309,AO329,$BB$11:$BB$1309)=COUNTIF($AO$11:$AO$1309,AO329),SUMIF($AO$11:$AO$1309,AO329,$BA$11:$BA$1309),"")</f>
        <v>1.1766292134831462</v>
      </c>
      <c r="BF329" s="12" t="n">
        <f>IF(COUNT(BD329:BE329)&lt;&gt;2,"",IF(AND(BD329&gt;0,BE329&gt;0),0.7*AW329/BD329+0.3*BA329/BE329,IF(BD329&gt;0,AW329/BD329,IF(BE329&gt;0,BA329/BE329,IF(AND(ISNUMBER(BH329),BH329=0),0,"")))))</f>
        <v>0.054792930388014235</v>
      </c>
      <c r="BG329" s="11" t="n">
        <f>IF(AND(COUNT(BN329:BU329)=8,MIN(BN329:BU329)&gt;=0),SUMPRODUCT(BN329:BQ329,BR329:BU329),"")</f>
        <v>94.47778160343367</v>
      </c>
      <c r="BH329" s="11" t="n">
        <f>IF(COUNT(BC329,BG329)=2,BC329*BG329,"")</f>
        <v>99.38281872281767</v>
      </c>
      <c r="BI329" s="11" t="n">
        <f>IF(ISNUMBER(CI329),CI329,"")</f>
        <v>5.445475868043988</v>
      </c>
      <c r="BJ329" s="8" t="str"/>
      <c r="BK329" s="8" t="str">
        <v>90天：2026-07-20 至 2026-10-17；180天：2026-04-21 至 2026-10-17</v>
      </c>
      <c r="BL329" s="8" t="str">
        <v>90天：2026-10-06、2026-10-07、2026-10-12、2026-10-13、2026-10-16；180天：2026-10-06、2026-10-07、2026-10-12、2026-10-13、2026-10-16</v>
      </c>
      <c r="BM329" s="8" t="str">
        <v>2026-10：12天 × 1.1090677182221615；2026-11：30天 × 1.0372741535934282；2026-12：31天 × 0.979949351738161；2027-01：17天 × 1.1571949690048173</v>
      </c>
      <c r="BN329" s="11" t="n">
        <v>1.1090677182221615</v>
      </c>
      <c r="BO329" s="11" t="n">
        <v>1.0372741535934282</v>
      </c>
      <c r="BP329" s="11" t="n">
        <v>0.979949351738161</v>
      </c>
      <c r="BQ329" s="11" t="n">
        <v>1.1571949690048173</v>
      </c>
      <c r="BR329" s="8" t="n">
        <v>12</v>
      </c>
      <c r="BS329" s="8" t="n">
        <v>30</v>
      </c>
      <c r="BT329" s="8" t="n">
        <v>31</v>
      </c>
      <c r="BU329" s="8" t="n">
        <v>17</v>
      </c>
      <c r="BV329" s="11" t="n">
        <f>IF(COUNT(BC329,BF329)=2,BC329*BF329,"")</f>
        <v>0.05763763474994716</v>
      </c>
      <c r="BW329" s="11" t="n">
        <f>IF(ISNUMBER(BN329),BN329,"")</f>
        <v>1.1090677182221615</v>
      </c>
      <c r="BX329" s="14" t="n">
        <f>IF(ISNUMBER(BR329),BR329,"")</f>
        <v>12</v>
      </c>
      <c r="BY329" s="13" t="n">
        <f>IF(AND(COUNT(BV329,BW329,BX329)=3,MIN(BV329,BW329,BX329)&gt;=0),BV329*BW329*BX329,"")</f>
        <v>0.7670884806701551</v>
      </c>
      <c r="BZ329" s="11" t="n">
        <f>IF(ISNUMBER(BO329),BO329,"")</f>
        <v>1.0372741535934282</v>
      </c>
      <c r="CA329" s="14" t="n">
        <f>IF(ISNUMBER(BS329),BS329,"")</f>
        <v>30</v>
      </c>
      <c r="CB329" s="13" t="n">
        <f>IF(AND(COUNT(BV329,BZ329,CA329)=3,MIN(BV329,BZ329,CA329)&gt;=0),BV329*BZ329*CA329,"")</f>
        <v>1.7935808640113582</v>
      </c>
      <c r="CC329" s="11" t="n">
        <f>IF(ISNUMBER(BP329),BP329,"")</f>
        <v>0.979949351738161</v>
      </c>
      <c r="CD329" s="14" t="n">
        <f>IF(ISNUMBER(BT329),BT329,"")</f>
        <v>31</v>
      </c>
      <c r="CE329" s="13" t="n">
        <f>IF(AND(COUNT(BV329,CC329,CD329)=3,MIN(BV329,CC329,CD329)&gt;=0),BV329*CC329*CD329,"")</f>
        <v>1.7509408470768801</v>
      </c>
      <c r="CF329" s="11" t="n">
        <f>IF(ISNUMBER(BQ329),BQ329,"")</f>
        <v>1.1571949690048173</v>
      </c>
      <c r="CG329" s="14" t="n">
        <f>IF(ISNUMBER(BU329),BU329,"")</f>
        <v>17</v>
      </c>
      <c r="CH329" s="13" t="n">
        <f>IF(AND(COUNT(BV329,CF329,CG329)=3,MIN(BV329,CF329,CG329)&gt;=0),BV329*CF329*CG329,"")</f>
        <v>1.1338656762855936</v>
      </c>
      <c r="CI329" s="13" t="n">
        <f>IF(COUNT(BY329,CB329,CE329,CH329)=4,SUM(BY329,CB329,CE329,CH329),"")</f>
        <v>5.445475868043988</v>
      </c>
    </row>
    <row r="330" ht="72" customHeight="1">
      <c r="A330" s="16" t="str">
        <v>B07-BK-V-0-40.5</v>
      </c>
      <c r="B330" s="16" t="str">
        <v>4店-彬郁-US</v>
      </c>
      <c r="C330" s="16" t="str">
        <v>艾年</v>
      </c>
      <c r="D330" s="26" t="n">
        <f>IF(NOT(ISNUMBER(E330)),"",IF(OR(E330&lt;=0,L330=0),0,IF(OR(NOT(ISNUMBER(F330)),F330&lt;0),"",MIN(E330,INT(F330)))))</f>
        <v>0</v>
      </c>
      <c r="E330" s="27" t="n">
        <f>IF(OR(NOT(ISNUMBER(L330)),COUNT(M330:O330)&lt;&gt;3,MIN(M330:O330)&lt;0),"",ROUNDUP(ROUND(BI330-SUM(M330:O330),10),0))</f>
        <v>6</v>
      </c>
      <c r="F330" s="28" t="n">
        <v>0</v>
      </c>
      <c r="G330" s="28" t="n">
        <f>IF(AND(ISNUMBER(D330),ISNUMBER(E330)),IF(OR(E330&lt;=0,L330=0),0,E330-D330),"")</f>
        <v>6</v>
      </c>
      <c r="H330" s="16" t="str">
        <f>IF(NOT(ISNUMBER(E330)),"销量或海外库存待补",IF(OR(E330&lt;=0,L330=0),IF(L330=0,"零日销，本批不发","本批无需补货"),IF(NOT(ISNUMBER(D330)),"国内库存待补",IF(D330=0,"国内无可用库存",IF(G330&gt;0,"先发国内现货","按建议量发货")))))</f>
        <v>国内无可用库存</v>
      </c>
      <c r="I330" s="28" t="n">
        <f>IF(AND(COUNT(Z330,AA330,AB330)=3,Z330&gt;=AA330,AA330&gt;=0,AB330=7),Z330-AA330,"")</f>
        <v>0</v>
      </c>
      <c r="J330" s="28" t="n">
        <f>IF(AND(COUNT(AF330,AG330,AH330)=3,AF330&gt;=AG330,AG330&gt;=0,AH330=14),AF330-AG330,"")</f>
        <v>0</v>
      </c>
      <c r="K330" s="28" t="n">
        <f>IF(AND(COUNT(AL330,AM330,AN330)=3,AL330&gt;=AM330,AM330&gt;=0,AN330=30),AL330-AM330,"")</f>
        <v>2</v>
      </c>
      <c r="L330" s="29" t="n">
        <f>IF(ISNUMBER(BI330),BI330/90,"")</f>
        <v>0.2128727849139599</v>
      </c>
      <c r="M330" s="28" t="n">
        <v>14</v>
      </c>
      <c r="N330" s="28" t="n">
        <v>0</v>
      </c>
      <c r="O330" s="28" t="n">
        <v>0</v>
      </c>
      <c r="P330" s="30" t="n">
        <f>IF(AND(ISNUMBER(L330),L330&gt;0,COUNT(M330:O330)=3,MIN(M330:O330)&gt;=0),SUM(M330:O330)/L330,"")</f>
        <v>65.76697911693408</v>
      </c>
      <c r="Q330" s="16" t="str">
        <v>沿用原计划SKU店铺</v>
      </c>
      <c r="R330" s="16" t="str">
        <v>已匹配</v>
      </c>
      <c r="S330" s="16" t="str">
        <v>在售</v>
      </c>
      <c r="T330" s="16" t="str">
        <v>B07</v>
      </c>
      <c r="U330" s="16" t="str">
        <v>黑色天鹅绒</v>
      </c>
      <c r="V330" s="16" t="n">
        <v>9.5</v>
      </c>
      <c r="W330" s="8" t="str">
        <v>2026-10-11 至 2026-10-17</v>
      </c>
      <c r="X330" s="8" t="str">
        <v>2026-10-11、2026-10-12、2026-10-13、2026-10-14、2026-10-15、2026-10-16、2026-10-17</v>
      </c>
      <c r="Y330" s="8" t="str">
        <v>无</v>
      </c>
      <c r="Z330" s="8" t="n">
        <v>0</v>
      </c>
      <c r="AA330" s="8" t="n">
        <v>0</v>
      </c>
      <c r="AB330" s="8" t="n">
        <v>7</v>
      </c>
      <c r="AC330" s="8" t="str">
        <v>2026-10-02 至 2026-10-17</v>
      </c>
      <c r="AD330" s="8" t="str">
        <v>2026-10-02、2026-10-03、2026-10-04、2026-10-05、2026-10-08、2026-10-09、2026-10-10、2026-10-11、2026-10-12、2026-10-13、2026-10-14、2026-10-15、2026-10-16、2026-10-17</v>
      </c>
      <c r="AE330" s="8" t="str">
        <v>2026-10-06 大促；2026-10-07 大促</v>
      </c>
      <c r="AF330" s="8" t="n">
        <v>0</v>
      </c>
      <c r="AG330" s="8" t="n">
        <v>0</v>
      </c>
      <c r="AH330" s="8" t="n">
        <v>14</v>
      </c>
      <c r="AI330" s="8" t="str">
        <v>2026-09-16 至 2026-10-17</v>
      </c>
      <c r="AJ3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0" s="8" t="str">
        <v>2026-10-06 大促；2026-10-07 大促</v>
      </c>
      <c r="AL330" s="8" t="n">
        <v>2</v>
      </c>
      <c r="AM330" s="8" t="n">
        <v>0</v>
      </c>
      <c r="AN330" s="8" t="n">
        <v>30</v>
      </c>
      <c r="AO330" s="8" t="str">
        <v>B07 / 黑色天鹅绒 / 13306</v>
      </c>
      <c r="AP330" s="11" t="n">
        <v>0.7307750238224848</v>
      </c>
      <c r="AQ330" s="11" t="n">
        <v>0.7307750238224848</v>
      </c>
      <c r="AR330" s="11" t="n">
        <v>0.7449809054134506</v>
      </c>
      <c r="AS330" s="11" t="n">
        <f>IF(AND(COUNT(I330:K330,AP330:AR330)=6,MIN(AP330:AR330)&gt;0),I330/7/AP330*0.5+J330/14/AQ330*0.3+K330/30/AR330*0.2,"")</f>
        <v>0.017897550442495677</v>
      </c>
      <c r="AT330" s="8" t="n">
        <v>11</v>
      </c>
      <c r="AU330" s="8" t="n">
        <v>0</v>
      </c>
      <c r="AV330" s="8" t="n">
        <v>88</v>
      </c>
      <c r="AW330" s="11" t="n">
        <f>IF(AND(COUNT(AT330:AV330)=3,AT330&gt;=AU330,AU330&gt;=0,AV330&gt;0),(AT330-AU330)/AV330,"")</f>
        <v>0.125</v>
      </c>
      <c r="AX330" s="8" t="n">
        <v>17</v>
      </c>
      <c r="AY330" s="8" t="n">
        <v>0</v>
      </c>
      <c r="AZ330" s="8" t="n">
        <v>178</v>
      </c>
      <c r="BA330" s="11" t="n">
        <f>IF(AND(COUNT(AX330:AZ330)=3,AX330&gt;=AY330,AY330&gt;=0,AZ330&gt;0),(AX330-AY330)/AZ330,"")</f>
        <v>0.09550561797752809</v>
      </c>
      <c r="BB330" s="8" t="n">
        <f>IF(COUNT(AS330,AW330,BA330)=3,1,0)</f>
        <v>1</v>
      </c>
      <c r="BC330" s="11" t="n">
        <f>IF(SUMIF($AO$11:$AO$1309,AO330,$BB$11:$BB$1309)=COUNTIF($AO$11:$AO$1309,AO330),SUMIF($AO$11:$AO$1309,AO330,$AS$11:$AS$1309),"")</f>
        <v>11.92937132043239</v>
      </c>
      <c r="BD330" s="11" t="n">
        <f>IF(SUMIF($AO$11:$AO$1309,AO330,$BB$11:$BB$1309)=COUNTIF($AO$11:$AO$1309,AO330),SUMIF($AO$11:$AO$1309,AO330,$AW$11:$AW$1309),"")</f>
        <v>5.794919786096258</v>
      </c>
      <c r="BE330" s="11" t="n">
        <f>IF(SUMIF($AO$11:$AO$1309,AO330,$BB$11:$BB$1309)=COUNTIF($AO$11:$AO$1309,AO330),SUMIF($AO$11:$AO$1309,AO330,$BA$11:$BA$1309),"")</f>
        <v>5.3098234349919755</v>
      </c>
      <c r="BF330" s="12" t="n">
        <f>IF(COUNT(BD330:BE330)&lt;&gt;2,"",IF(AND(BD330&gt;0,BE330&gt;0),0.7*AW330/BD330+0.3*BA330/BE330,IF(BD330&gt;0,AW330/BD330,IF(BE330&gt;0,BA330/BE330,IF(AND(ISNUMBER(BH330),BH330=0),0,"")))))</f>
        <v>0.02049540952330018</v>
      </c>
      <c r="BG330" s="11" t="n">
        <f>IF(AND(COUNT(BN330:BU330)=8,MIN(BN330:BU330)&gt;=0),SUMPRODUCT(BN330:BQ330,BR330:BU330),"")</f>
        <v>78.35892944347341</v>
      </c>
      <c r="BH330" s="11" t="n">
        <f>IF(COUNT(BC330,BG330)=2,BC330*BG330,"")</f>
        <v>934.7727656027569</v>
      </c>
      <c r="BI330" s="11" t="n">
        <f>IF(ISNUMBER(CI330),CI330,"")</f>
        <v>19.15855064225639</v>
      </c>
      <c r="BJ330" s="8" t="str">
        <v>低销提醒依据不完整</v>
      </c>
      <c r="BK330" s="8" t="str">
        <v>90天：2026-07-20 至 2026-10-17；180天：2026-04-21 至 2026-10-17</v>
      </c>
      <c r="BL330" s="8" t="str">
        <v>90天：2026-10-06、2026-10-07；180天：2026-10-06、2026-10-07</v>
      </c>
      <c r="BM330" s="8" t="str">
        <v>2026-10：12天 × 0.7307750238224848；2026-11：30天 × 0.9523018155490097；2026-12：31天 × 0.5958545198749097；2027-01：17天 × 1.3264167397065354</v>
      </c>
      <c r="BN330" s="11" t="n">
        <v>0.7307750238224848</v>
      </c>
      <c r="BO330" s="11" t="n">
        <v>0.9523018155490097</v>
      </c>
      <c r="BP330" s="11" t="n">
        <v>0.5958545198749097</v>
      </c>
      <c r="BQ330" s="11" t="n">
        <v>1.3264167397065354</v>
      </c>
      <c r="BR330" s="8" t="n">
        <v>12</v>
      </c>
      <c r="BS330" s="8" t="n">
        <v>30</v>
      </c>
      <c r="BT330" s="8" t="n">
        <v>31</v>
      </c>
      <c r="BU330" s="8" t="n">
        <v>17</v>
      </c>
      <c r="BV330" s="11" t="n">
        <f>IF(COUNT(BC330,BF330)=2,BC330*BF330,"")</f>
        <v>0.24449735056777405</v>
      </c>
      <c r="BW330" s="11" t="n">
        <f>IF(ISNUMBER(BN330),BN330,"")</f>
        <v>0.7307750238224848</v>
      </c>
      <c r="BX330" s="14" t="n">
        <f>IF(ISNUMBER(BR330),BR330,"")</f>
        <v>12</v>
      </c>
      <c r="BY330" s="13" t="n">
        <f>IF(AND(COUNT(BV330,BW330,BX330)=3,MIN(BV330,BW330,BX330)&gt;=0),BV330*BW330*BX330,"")</f>
        <v>2.144070686228394</v>
      </c>
      <c r="BZ330" s="11" t="n">
        <f>IF(ISNUMBER(BO330),BO330,"")</f>
        <v>0.9523018155490097</v>
      </c>
      <c r="CA330" s="14" t="n">
        <f>IF(ISNUMBER(BS330),BS330,"")</f>
        <v>30</v>
      </c>
      <c r="CB330" s="13" t="n">
        <f>IF(AND(COUNT(BV330,BZ330,CA330)=3,MIN(BV330,BZ330,CA330)&gt;=0),BV330*BZ330*CA330,"")</f>
        <v>6.985058125278418</v>
      </c>
      <c r="CC330" s="11" t="n">
        <f>IF(ISNUMBER(BP330),BP330,"")</f>
        <v>0.5958545198749097</v>
      </c>
      <c r="CD330" s="14" t="n">
        <f>IF(ISNUMBER(BT330),BT330,"")</f>
        <v>31</v>
      </c>
      <c r="CE330" s="13" t="n">
        <f>IF(AND(COUNT(BV330,CC330,CD330)=3,MIN(BV330,CC330,CD330)&gt;=0),BV330*CC330*CD330,"")</f>
        <v>4.5162303944307025</v>
      </c>
      <c r="CF330" s="11" t="n">
        <f>IF(ISNUMBER(BQ330),BQ330,"")</f>
        <v>1.3264167397065354</v>
      </c>
      <c r="CG330" s="14" t="n">
        <f>IF(ISNUMBER(BU330),BU330,"")</f>
        <v>17</v>
      </c>
      <c r="CH330" s="13" t="n">
        <f>IF(AND(COUNT(BV330,CF330,CG330)=3,MIN(BV330,CF330,CG330)&gt;=0),BV330*CF330*CG330,"")</f>
        <v>5.513191436318876</v>
      </c>
      <c r="CI330" s="13" t="n">
        <f>IF(COUNT(BY330,CB330,CE330,CH330)=4,SUM(BY330,CB330,CE330,CH330),"")</f>
        <v>19.15855064225639</v>
      </c>
    </row>
    <row r="331" ht="72" customHeight="1">
      <c r="A331" s="16" t="str">
        <v>B07-ND-I-0-40.5</v>
      </c>
      <c r="B331" s="16" t="str">
        <v>4店-彬郁-US</v>
      </c>
      <c r="C331" s="16" t="str">
        <v>艾年</v>
      </c>
      <c r="D331" s="26" t="n">
        <f>IF(NOT(ISNUMBER(E331)),"",IF(OR(E331&lt;=0,L331=0),0,IF(OR(NOT(ISNUMBER(F331)),F331&lt;0),"",MIN(E331,INT(F331)))))</f>
        <v>0</v>
      </c>
      <c r="E331" s="27" t="n">
        <f>IF(OR(NOT(ISNUMBER(L331)),COUNT(M331:O331)&lt;&gt;3,MIN(M331:O331)&lt;0),"",ROUNDUP(ROUND(BI331-SUM(M331:O331),10),0))</f>
        <v>6</v>
      </c>
      <c r="F331" s="28" t="n">
        <v>0</v>
      </c>
      <c r="G331" s="28" t="n">
        <f>IF(AND(ISNUMBER(D331),ISNUMBER(E331)),IF(OR(E331&lt;=0,L331=0),0,E331-D331),"")</f>
        <v>6</v>
      </c>
      <c r="H331" s="16" t="str">
        <f>IF(NOT(ISNUMBER(E331)),"销量或海外库存待补",IF(OR(E331&lt;=0,L331=0),IF(L331=0,"零日销，本批不发","本批无需补货"),IF(NOT(ISNUMBER(D331)),"国内库存待补",IF(D331=0,"国内无可用库存",IF(G331&gt;0,"先发国内现货","按建议量发货")))))</f>
        <v>国内无可用库存</v>
      </c>
      <c r="I331" s="28" t="n">
        <f>IF(AND(COUNT(Z331,AA331,AB331)=3,Z331&gt;=AA331,AA331&gt;=0,AB331=7),Z331-AA331,"")</f>
        <v>1</v>
      </c>
      <c r="J331" s="28" t="n">
        <f>IF(AND(COUNT(AF331,AG331,AH331)=3,AF331&gt;=AG331,AG331&gt;=0,AH331=14),AF331-AG331,"")</f>
        <v>1</v>
      </c>
      <c r="K331" s="28" t="n">
        <f>IF(AND(COUNT(AL331,AM331,AN331)=3,AL331&gt;=AM331,AM331&gt;=0,AN331=30),AL331-AM331,"")</f>
        <v>1</v>
      </c>
      <c r="L331" s="29" t="n">
        <f>IF(ISNUMBER(BI331),BI331/90,"")</f>
        <v>0.07179316260140506</v>
      </c>
      <c r="M331" s="28" t="n">
        <v>1</v>
      </c>
      <c r="N331" s="28" t="n">
        <v>0</v>
      </c>
      <c r="O331" s="28" t="n">
        <v>0</v>
      </c>
      <c r="P331" s="30" t="n">
        <f>IF(AND(ISNUMBER(L331),L331&gt;0,COUNT(M331:O331)=3,MIN(M331:O331)&gt;=0),SUM(M331:O331)/L331,"")</f>
        <v>13.92890302871863</v>
      </c>
      <c r="Q331" s="16" t="str">
        <v>沿用原计划SKU店铺</v>
      </c>
      <c r="R331" s="16" t="str">
        <v>已匹配</v>
      </c>
      <c r="S331" s="16" t="str">
        <v>在售</v>
      </c>
      <c r="T331" s="16" t="str">
        <v>B07</v>
      </c>
      <c r="U331" s="16" t="str">
        <v>裸色色织提花</v>
      </c>
      <c r="V331" s="16" t="n">
        <v>9.5</v>
      </c>
      <c r="W331" s="8" t="str">
        <v>2026-10-11 至 2026-10-17</v>
      </c>
      <c r="X331" s="8" t="str">
        <v>2026-10-11、2026-10-12、2026-10-13、2026-10-14、2026-10-15、2026-10-16、2026-10-17</v>
      </c>
      <c r="Y331" s="8" t="str">
        <v>无</v>
      </c>
      <c r="Z331" s="8" t="n">
        <v>1</v>
      </c>
      <c r="AA331" s="8" t="n">
        <v>0</v>
      </c>
      <c r="AB331" s="8" t="n">
        <v>7</v>
      </c>
      <c r="AC331" s="8" t="str">
        <v>2026-10-02 至 2026-10-17</v>
      </c>
      <c r="AD331" s="8" t="str">
        <v>2026-10-02、2026-10-03、2026-10-04、2026-10-05、2026-10-08、2026-10-09、2026-10-10、2026-10-11、2026-10-12、2026-10-13、2026-10-14、2026-10-15、2026-10-16、2026-10-17</v>
      </c>
      <c r="AE331" s="8" t="str">
        <v>2026-10-06 大促；2026-10-07 大促</v>
      </c>
      <c r="AF331" s="8" t="n">
        <v>1</v>
      </c>
      <c r="AG331" s="8" t="n">
        <v>0</v>
      </c>
      <c r="AH331" s="8" t="n">
        <v>14</v>
      </c>
      <c r="AI331" s="8" t="str">
        <v>2026-09-16 至 2026-10-17</v>
      </c>
      <c r="AJ3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1" s="8" t="str">
        <v>2026-10-06 大促；2026-10-07 大促</v>
      </c>
      <c r="AL331" s="8" t="n">
        <v>1</v>
      </c>
      <c r="AM331" s="8" t="n">
        <v>0</v>
      </c>
      <c r="AN331" s="8" t="n">
        <v>30</v>
      </c>
      <c r="AO331" s="8" t="str">
        <v>B07 / 裸色镜面PU / 13306</v>
      </c>
      <c r="AP331" s="11" t="n">
        <v>0.7307750238224848</v>
      </c>
      <c r="AQ331" s="11" t="n">
        <v>0.7307750238224848</v>
      </c>
      <c r="AR331" s="11" t="n">
        <v>0.7449809054134506</v>
      </c>
      <c r="AS331" s="11" t="n">
        <f>IF(AND(COUNT(I331:K331,AP331:AR331)=6,MIN(AP331:AR331)&gt;0),I331/7/AP331*0.5+J331/14/AQ331*0.3+K331/30/AR331*0.2,"")</f>
        <v>0.13601543709405306</v>
      </c>
      <c r="AT331" s="8" t="n">
        <v>4</v>
      </c>
      <c r="AU331" s="8" t="n">
        <v>0</v>
      </c>
      <c r="AV331" s="8" t="n">
        <v>88</v>
      </c>
      <c r="AW331" s="11" t="n">
        <f>IF(AND(COUNT(AT331:AV331)=3,AT331&gt;=AU331,AU331&gt;=0,AV331&gt;0),(AT331-AU331)/AV331,"")</f>
        <v>0.045454545454545456</v>
      </c>
      <c r="AX331" s="8" t="n">
        <v>9</v>
      </c>
      <c r="AY331" s="8" t="n">
        <v>0</v>
      </c>
      <c r="AZ331" s="8" t="n">
        <v>178</v>
      </c>
      <c r="BA331" s="11" t="n">
        <f>IF(AND(COUNT(AX331:AZ331)=3,AX331&gt;=AY331,AY331&gt;=0,AZ331&gt;0),(AX331-AY331)/AZ331,"")</f>
        <v>0.05056179775280899</v>
      </c>
      <c r="BB331" s="8" t="n">
        <f>IF(COUNT(AS331,AW331,BA331)=3,1,0)</f>
        <v>1</v>
      </c>
      <c r="BC331" s="11" t="n">
        <f>IF(SUMIF($AO$11:$AO$1309,AO331,$BB$11:$BB$1309)=COUNTIF($AO$11:$AO$1309,AO331),SUMIF($AO$11:$AO$1309,AO331,$AS$11:$AS$1309),"")</f>
        <v>0.683212878207941</v>
      </c>
      <c r="BD331" s="11" t="n">
        <f>IF(SUMIF($AO$11:$AO$1309,AO331,$BB$11:$BB$1309)=COUNTIF($AO$11:$AO$1309,AO331),SUMIF($AO$11:$AO$1309,AO331,$AW$11:$AW$1309),"")</f>
        <v>0.3772696182066906</v>
      </c>
      <c r="BE331" s="11" t="n">
        <f>IF(SUMIF($AO$11:$AO$1309,AO331,$BB$11:$BB$1309)=COUNTIF($AO$11:$AO$1309,AO331),SUMIF($AO$11:$AO$1309,AO331,$BA$11:$BA$1309),"")</f>
        <v>0.41723770611411054</v>
      </c>
      <c r="BF331" s="12" t="n">
        <f>IF(COUNT(BD331:BE331)&lt;&gt;2,"",IF(AND(BD331&gt;0,BE331&gt;0),0.7*AW331/BD331+0.3*BA331/BE331,IF(BD331&gt;0,AW331/BD331,IF(BE331&gt;0,BA331/BE331,IF(AND(ISNUMBER(BH331),BH331=0),0,"")))))</f>
        <v>0.12069271491853836</v>
      </c>
      <c r="BG331" s="11" t="n">
        <f>IF(AND(COUNT(BN331:BU331)=8,MIN(BN331:BU331)&gt;=0),SUMPRODUCT(BN331:BQ331,BR331:BU331),"")</f>
        <v>78.35892944347341</v>
      </c>
      <c r="BH331" s="11" t="n">
        <f>IF(COUNT(BC331,BG331)=2,BC331*BG331,"")</f>
        <v>53.53582971836844</v>
      </c>
      <c r="BI331" s="11" t="n">
        <f>IF(ISNUMBER(CI331),CI331,"")</f>
        <v>6.461384634126455</v>
      </c>
      <c r="BJ331" s="8" t="str"/>
      <c r="BK331" s="8" t="str">
        <v>90天：2026-07-20 至 2026-10-17；180天：2026-04-21 至 2026-10-17</v>
      </c>
      <c r="BL331" s="8" t="str">
        <v>90天：2026-10-06、2026-10-07；180天：2026-10-06、2026-10-07</v>
      </c>
      <c r="BM331" s="8" t="str">
        <v>2026-10：12天 × 0.7307750238224848；2026-11：30天 × 0.9523018155490097；2026-12：31天 × 0.5958545198749097；2027-01：17天 × 1.3264167397065354</v>
      </c>
      <c r="BN331" s="11" t="n">
        <v>0.7307750238224848</v>
      </c>
      <c r="BO331" s="11" t="n">
        <v>0.9523018155490097</v>
      </c>
      <c r="BP331" s="11" t="n">
        <v>0.5958545198749097</v>
      </c>
      <c r="BQ331" s="11" t="n">
        <v>1.3264167397065354</v>
      </c>
      <c r="BR331" s="8" t="n">
        <v>12</v>
      </c>
      <c r="BS331" s="8" t="n">
        <v>30</v>
      </c>
      <c r="BT331" s="8" t="n">
        <v>31</v>
      </c>
      <c r="BU331" s="8" t="n">
        <v>17</v>
      </c>
      <c r="BV331" s="11" t="n">
        <f>IF(COUNT(BC331,BF331)=2,BC331*BF331,"")</f>
        <v>0.08245881713822509</v>
      </c>
      <c r="BW331" s="11" t="n">
        <f>IF(ISNUMBER(BN331),BN331,"")</f>
        <v>0.7307750238224848</v>
      </c>
      <c r="BX331" s="14" t="n">
        <f>IF(ISNUMBER(BR331),BR331,"")</f>
        <v>12</v>
      </c>
      <c r="BY331" s="13" t="n">
        <f>IF(AND(COUNT(BV331,BW331,BX331)=3,MIN(BV331,BW331,BX331)&gt;=0),BV331*BW331*BX331,"")</f>
        <v>0.7231061287027243</v>
      </c>
      <c r="BZ331" s="11" t="n">
        <f>IF(ISNUMBER(BO331),BO331,"")</f>
        <v>0.9523018155490097</v>
      </c>
      <c r="CA331" s="14" t="n">
        <f>IF(ISNUMBER(BS331),BS331,"")</f>
        <v>30</v>
      </c>
      <c r="CB331" s="13" t="n">
        <f>IF(AND(COUNT(BV331,BZ331,CA331)=3,MIN(BV331,BZ331,CA331)&gt;=0),BV331*BZ331*CA331,"")</f>
        <v>2.3557704380626663</v>
      </c>
      <c r="CC331" s="11" t="n">
        <f>IF(ISNUMBER(BP331),BP331,"")</f>
        <v>0.5958545198749097</v>
      </c>
      <c r="CD331" s="14" t="n">
        <f>IF(ISNUMBER(BT331),BT331,"")</f>
        <v>31</v>
      </c>
      <c r="CE331" s="13" t="n">
        <f>IF(AND(COUNT(BV331,CC331,CD331)=3,MIN(BV331,CC331,CD331)&gt;=0),BV331*CC331*CD331,"")</f>
        <v>1.5231372257558526</v>
      </c>
      <c r="CF331" s="11" t="n">
        <f>IF(ISNUMBER(BQ331),BQ331,"")</f>
        <v>1.3264167397065354</v>
      </c>
      <c r="CG331" s="14" t="n">
        <f>IF(ISNUMBER(BU331),BU331,"")</f>
        <v>17</v>
      </c>
      <c r="CH331" s="13" t="n">
        <f>IF(AND(COUNT(BV331,CF331,CG331)=3,MIN(BV331,CF331,CG331)&gt;=0),BV331*CF331*CG331,"")</f>
        <v>1.8593708416052124</v>
      </c>
      <c r="CI331" s="13" t="n">
        <f>IF(COUNT(BY331,CB331,CE331,CH331)=4,SUM(BY331,CB331,CE331,CH331),"")</f>
        <v>6.461384634126455</v>
      </c>
    </row>
    <row r="332" ht="72" customHeight="1">
      <c r="A332" s="16" t="str">
        <v>2311062-RD-V-O-6</v>
      </c>
      <c r="B332" s="16" t="str">
        <v>4店-彬郁-US</v>
      </c>
      <c r="C332" s="16" t="str">
        <v>陈晨</v>
      </c>
      <c r="D332" s="26" t="n">
        <f>IF(NOT(ISNUMBER(E332)),"",IF(OR(E332&lt;=0,L332=0),0,IF(OR(NOT(ISNUMBER(F332)),F332&lt;0),"",MIN(E332,INT(F332)))))</f>
        <v>0</v>
      </c>
      <c r="E332" s="27" t="n">
        <f>IF(OR(NOT(ISNUMBER(L332)),COUNT(M332:O332)&lt;&gt;3,MIN(M332:O332)&lt;0),"",ROUNDUP(ROUND(BI332-SUM(M332:O332),10),0))</f>
        <v>5</v>
      </c>
      <c r="F332" s="28" t="n">
        <v>0</v>
      </c>
      <c r="G332" s="28" t="n">
        <f>IF(AND(ISNUMBER(D332),ISNUMBER(E332)),IF(OR(E332&lt;=0,L332=0),0,E332-D332),"")</f>
        <v>5</v>
      </c>
      <c r="H332" s="16" t="str">
        <f>IF(NOT(ISNUMBER(E332)),"销量或海外库存待补",IF(OR(E332&lt;=0,L332=0),IF(L332=0,"零日销，本批不发","本批无需补货"),IF(NOT(ISNUMBER(D332)),"国内库存待补",IF(D332=0,"国内无可用库存",IF(G332&gt;0,"先发国内现货","按建议量发货")))))</f>
        <v>国内无可用库存</v>
      </c>
      <c r="I332" s="28" t="n">
        <f>IF(AND(COUNT(Z332,AA332,AB332)=3,Z332&gt;=AA332,AA332&gt;=0,AB332=7),Z332-AA332,"")</f>
        <v>0</v>
      </c>
      <c r="J332" s="28" t="n">
        <f>IF(AND(COUNT(AF332,AG332,AH332)=3,AF332&gt;=AG332,AG332&gt;=0,AH332=14),AF332-AG332,"")</f>
        <v>1</v>
      </c>
      <c r="K332" s="28" t="n">
        <f>IF(AND(COUNT(AL332,AM332,AN332)=3,AL332&gt;=AM332,AM332&gt;=0,AN332=30),AL332-AM332,"")</f>
        <v>4</v>
      </c>
      <c r="L332" s="29" t="n">
        <f>IF(ISNUMBER(BI332),BI332/90,"")</f>
        <v>0.10777991551715</v>
      </c>
      <c r="M332" s="28" t="n">
        <v>5</v>
      </c>
      <c r="N332" s="28" t="n">
        <v>0</v>
      </c>
      <c r="O332" s="28" t="n">
        <v>0</v>
      </c>
      <c r="P332" s="30" t="n">
        <f>IF(AND(ISNUMBER(L332),L332&gt;0,COUNT(M332:O332)=3,MIN(M332:O332)&gt;=0),SUM(M332:O332)/L332,"")</f>
        <v>46.390832429297994</v>
      </c>
      <c r="Q332" s="16" t="str">
        <v>沿用原计划SKU店铺</v>
      </c>
      <c r="R332" s="16" t="str">
        <v>已匹配</v>
      </c>
      <c r="S332" s="16" t="str">
        <v>在售</v>
      </c>
      <c r="T332" s="16" t="str">
        <v>2311062</v>
      </c>
      <c r="U332" s="16" t="str">
        <v>酒红锦纶</v>
      </c>
      <c r="V332" s="16" t="n">
        <v>6</v>
      </c>
      <c r="W332" s="8" t="str">
        <v>2026-10-11 至 2026-10-17</v>
      </c>
      <c r="X332" s="8" t="str">
        <v>2026-10-11、2026-10-12、2026-10-13、2026-10-14、2026-10-15、2026-10-16、2026-10-17</v>
      </c>
      <c r="Y332" s="8" t="str">
        <v>无</v>
      </c>
      <c r="Z332" s="8" t="n">
        <v>0</v>
      </c>
      <c r="AA332" s="8" t="n">
        <v>0</v>
      </c>
      <c r="AB332" s="8" t="n">
        <v>7</v>
      </c>
      <c r="AC332" s="8" t="str">
        <v>2026-10-02 至 2026-10-17</v>
      </c>
      <c r="AD332" s="8" t="str">
        <v>2026-10-02、2026-10-03、2026-10-04、2026-10-05、2026-10-08、2026-10-09、2026-10-10、2026-10-11、2026-10-12、2026-10-13、2026-10-14、2026-10-15、2026-10-16、2026-10-17</v>
      </c>
      <c r="AE332" s="8" t="str">
        <v>2026-10-06 大促；2026-10-07 大促</v>
      </c>
      <c r="AF332" s="8" t="n">
        <v>1</v>
      </c>
      <c r="AG332" s="8" t="n">
        <v>0</v>
      </c>
      <c r="AH332" s="8" t="n">
        <v>14</v>
      </c>
      <c r="AI332" s="8" t="str">
        <v>2026-09-16 至 2026-10-17</v>
      </c>
      <c r="AJ3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2" s="8" t="str">
        <v>2026-10-06 大促；2026-10-07 大促</v>
      </c>
      <c r="AL332" s="8" t="n">
        <v>4</v>
      </c>
      <c r="AM332" s="8" t="n">
        <v>0</v>
      </c>
      <c r="AN332" s="8" t="n">
        <v>30</v>
      </c>
      <c r="AO332" s="8" t="str">
        <v>2311062 / 酒红锦纶 / 13306</v>
      </c>
      <c r="AP332" s="11" t="n">
        <v>1.4758912429949873</v>
      </c>
      <c r="AQ332" s="11" t="n">
        <v>1.4758912429949873</v>
      </c>
      <c r="AR332" s="11" t="n">
        <v>1.4124697525543728</v>
      </c>
      <c r="AS332" s="11" t="n">
        <f>IF(AND(COUNT(I332:K332,AP332:AR332)=6,MIN(AP332:AR332)&gt;0),I332/7/AP332*0.5+J332/14/AQ332*0.3+K332/30/AR332*0.2,"")</f>
        <v>0.033398532474738445</v>
      </c>
      <c r="AT332" s="8" t="n">
        <v>10</v>
      </c>
      <c r="AU332" s="8" t="n">
        <v>0</v>
      </c>
      <c r="AV332" s="8" t="n">
        <v>88</v>
      </c>
      <c r="AW332" s="11" t="n">
        <f>IF(AND(COUNT(AT332:AV332)=3,AT332&gt;=AU332,AU332&gt;=0,AV332&gt;0),(AT332-AU332)/AV332,"")</f>
        <v>0.11363636363636363</v>
      </c>
      <c r="AX332" s="8" t="n">
        <v>11</v>
      </c>
      <c r="AY332" s="8" t="n">
        <v>0</v>
      </c>
      <c r="AZ332" s="8" t="n">
        <v>178</v>
      </c>
      <c r="BA332" s="11" t="n">
        <f>IF(AND(COUNT(AX332:AZ332)=3,AX332&gt;=AY332,AY332&gt;=0,AZ332&gt;0),(AX332-AY332)/AZ332,"")</f>
        <v>0.06179775280898876</v>
      </c>
      <c r="BB332" s="8" t="n">
        <f>IF(COUNT(AS332,AW332,BA332)=3,1,0)</f>
        <v>1</v>
      </c>
      <c r="BC332" s="11" t="n">
        <f>IF(SUMIF($AO$11:$AO$1309,AO332,$BB$11:$BB$1309)=COUNTIF($AO$11:$AO$1309,AO332),SUMIF($AO$11:$AO$1309,AO332,$AS$11:$AS$1309),"")</f>
        <v>0.5680878634444062</v>
      </c>
      <c r="BD332" s="11" t="n">
        <f>IF(SUMIF($AO$11:$AO$1309,AO332,$BB$11:$BB$1309)=COUNTIF($AO$11:$AO$1309,AO332),SUMIF($AO$11:$AO$1309,AO332,$AW$11:$AW$1309),"")</f>
        <v>0.5227272727272727</v>
      </c>
      <c r="BE332" s="11" t="n">
        <f>IF(SUMIF($AO$11:$AO$1309,AO332,$BB$11:$BB$1309)=COUNTIF($AO$11:$AO$1309,AO332),SUMIF($AO$11:$AO$1309,AO332,$BA$11:$BA$1309),"")</f>
        <v>0.3595505617977528</v>
      </c>
      <c r="BF332" s="12" t="n">
        <f>IF(COUNT(BD332:BE332)&lt;&gt;2,"",IF(AND(BD332&gt;0,BE332&gt;0),0.7*AW332/BD332+0.3*BA332/BE332,IF(BD332&gt;0,AW332/BD332,IF(BE332&gt;0,BA332/BE332,IF(AND(ISNUMBER(BH332),BH332=0),0,"")))))</f>
        <v>0.20373641304347828</v>
      </c>
      <c r="BG332" s="11" t="n">
        <f>IF(AND(COUNT(BN332:BU332)=8,MIN(BN332:BU332)&gt;=0),SUMPRODUCT(BN332:BQ332,BR332:BU332),"")</f>
        <v>83.81006574832674</v>
      </c>
      <c r="BH332" s="11" t="n">
        <f>IF(COUNT(BC332,BG332)=2,BC332*BG332,"")</f>
        <v>47.61148118610215</v>
      </c>
      <c r="BI332" s="11" t="n">
        <f>IF(ISNUMBER(CI332),CI332,"")</f>
        <v>9.7001923965435</v>
      </c>
      <c r="BJ332" s="8" t="str">
        <v>低销提醒依据不完整</v>
      </c>
      <c r="BK332" s="8" t="str">
        <v>90天：2026-07-20 至 2026-10-17；180天：2026-04-21 至 2026-10-17</v>
      </c>
      <c r="BL332" s="8" t="str">
        <v>90天：2026-10-06、2026-10-07；180天：2026-10-06、2026-10-07</v>
      </c>
      <c r="BM332" s="8" t="str">
        <v>2026-10：12天 × 1.4758912429949873；2026-11：30天 × 0.906602681585801；2026-12：31天 × 0.6189770892129804；2027-01：17天 × 1.1595882717182624</v>
      </c>
      <c r="BN332" s="11" t="n">
        <v>1.4758912429949873</v>
      </c>
      <c r="BO332" s="11" t="n">
        <v>0.906602681585801</v>
      </c>
      <c r="BP332" s="11" t="n">
        <v>0.6189770892129804</v>
      </c>
      <c r="BQ332" s="11" t="n">
        <v>1.1595882717182624</v>
      </c>
      <c r="BR332" s="8" t="n">
        <v>12</v>
      </c>
      <c r="BS332" s="8" t="n">
        <v>30</v>
      </c>
      <c r="BT332" s="8" t="n">
        <v>31</v>
      </c>
      <c r="BU332" s="8" t="n">
        <v>17</v>
      </c>
      <c r="BV332" s="11" t="n">
        <f>IF(COUNT(BC332,BF332)=2,BC332*BF332,"")</f>
        <v>0.11574018359169663</v>
      </c>
      <c r="BW332" s="11" t="n">
        <f>IF(ISNUMBER(BN332),BN332,"")</f>
        <v>1.4758912429949873</v>
      </c>
      <c r="BX332" s="14" t="n">
        <f>IF(ISNUMBER(BR332),BR332,"")</f>
        <v>12</v>
      </c>
      <c r="BY332" s="13" t="n">
        <f>IF(AND(COUNT(BV332,BW332,BX332)=3,MIN(BV332,BW332,BX332)&gt;=0),BV332*BW332*BX332,"")</f>
        <v>2.049839081107406</v>
      </c>
      <c r="BZ332" s="11" t="n">
        <f>IF(ISNUMBER(BO332),BO332,"")</f>
        <v>0.906602681585801</v>
      </c>
      <c r="CA332" s="14" t="n">
        <f>IF(ISNUMBER(BS332),BS332,"")</f>
        <v>30</v>
      </c>
      <c r="CB332" s="13" t="n">
        <f>IF(AND(COUNT(BV332,BZ332,CA332)=3,MIN(BV332,BZ332,CA332)&gt;=0),BV332*BZ332*CA332,"")</f>
        <v>3.1479108243439526</v>
      </c>
      <c r="CC332" s="11" t="n">
        <f>IF(ISNUMBER(BP332),BP332,"")</f>
        <v>0.6189770892129804</v>
      </c>
      <c r="CD332" s="14" t="n">
        <f>IF(ISNUMBER(BT332),BT332,"")</f>
        <v>31</v>
      </c>
      <c r="CE332" s="13" t="n">
        <f>IF(AND(COUNT(BV332,CC332,CD332)=3,MIN(BV332,CC332,CD332)&gt;=0),BV332*CC332*CD332,"")</f>
        <v>2.2208561802814946</v>
      </c>
      <c r="CF332" s="11" t="n">
        <f>IF(ISNUMBER(BQ332),BQ332,"")</f>
        <v>1.1595882717182624</v>
      </c>
      <c r="CG332" s="14" t="n">
        <f>IF(ISNUMBER(BU332),BU332,"")</f>
        <v>17</v>
      </c>
      <c r="CH332" s="13" t="n">
        <f>IF(AND(COUNT(BV332,CF332,CG332)=3,MIN(BV332,CF332,CG332)&gt;=0),BV332*CF332*CG332,"")</f>
        <v>2.281586310810648</v>
      </c>
      <c r="CI332" s="13" t="n">
        <f>IF(COUNT(BY332,CB332,CE332,CH332)=4,SUM(BY332,CB332,CE332,CH332),"")</f>
        <v>9.7001923965435</v>
      </c>
    </row>
    <row r="333" ht="72" customHeight="1">
      <c r="A333" s="16" t="str">
        <v>32582-LPB-37</v>
      </c>
      <c r="B333" s="16" t="str">
        <v>3店-SANDIEX-US</v>
      </c>
      <c r="C333" s="16" t="str">
        <v>徐新怡</v>
      </c>
      <c r="D333" s="26" t="n">
        <f>IF(NOT(ISNUMBER(E333)),"",IF(OR(E333&lt;=0,L333=0),0,IF(OR(NOT(ISNUMBER(F333)),F333&lt;0),"",MIN(E333,INT(F333)))))</f>
        <v>0</v>
      </c>
      <c r="E333" s="27" t="n">
        <f>IF(OR(NOT(ISNUMBER(L333)),COUNT(M333:O333)&lt;&gt;3,MIN(M333:O333)&lt;0),"",ROUNDUP(ROUND(BI333-SUM(M333:O333),10),0))</f>
        <v>5</v>
      </c>
      <c r="F333" s="28" t="n">
        <v>0</v>
      </c>
      <c r="G333" s="28" t="n">
        <f>IF(AND(ISNUMBER(D333),ISNUMBER(E333)),IF(OR(E333&lt;=0,L333=0),0,E333-D333),"")</f>
        <v>5</v>
      </c>
      <c r="H333" s="16" t="str">
        <f>IF(NOT(ISNUMBER(E333)),"销量或海外库存待补",IF(OR(E333&lt;=0,L333=0),IF(L333=0,"零日销，本批不发","本批无需补货"),IF(NOT(ISNUMBER(D333)),"国内库存待补",IF(D333=0,"国内无可用库存",IF(G333&gt;0,"先发国内现货","按建议量发货")))))</f>
        <v>国内无可用库存</v>
      </c>
      <c r="I333" s="28" t="n">
        <f>IF(AND(COUNT(Z333,AA333,AB333)=3,Z333&gt;=AA333,AA333&gt;=0,AB333=7),Z333-AA333,"")</f>
        <v>0</v>
      </c>
      <c r="J333" s="28" t="n">
        <f>IF(AND(COUNT(AF333,AG333,AH333)=3,AF333&gt;=AG333,AG333&gt;=0,AH333=14),AF333-AG333,"")</f>
        <v>0</v>
      </c>
      <c r="K333" s="28" t="n">
        <f>IF(AND(COUNT(AL333,AM333,AN333)=3,AL333&gt;=AM333,AM333&gt;=0,AN333=30),AL333-AM333,"")</f>
        <v>1</v>
      </c>
      <c r="L333" s="29" t="n">
        <f>IF(ISNUMBER(BI333),BI333/90,"")</f>
        <v>0.04882394128323742</v>
      </c>
      <c r="M333" s="28" t="n">
        <v>0</v>
      </c>
      <c r="N333" s="28" t="n">
        <v>0</v>
      </c>
      <c r="O333" s="28" t="n">
        <v>0</v>
      </c>
      <c r="P333" s="30" t="n">
        <f>IF(AND(ISNUMBER(L333),L333&gt;0,COUNT(M333:O333)=3,MIN(M333:O333)&gt;=0),SUM(M333:O333)/L333,"")</f>
        <v>0</v>
      </c>
      <c r="Q333" s="16" t="str">
        <v>沿用原计划SKU店铺</v>
      </c>
      <c r="R333" s="16" t="str">
        <v>已匹配</v>
      </c>
      <c r="S333" s="16" t="str">
        <v>停售</v>
      </c>
      <c r="T333" s="16" t="str">
        <v>32582</v>
      </c>
      <c r="U333" s="16" t="str">
        <v>豹纹黑色内里</v>
      </c>
      <c r="V333" s="16" t="n">
        <v>6</v>
      </c>
      <c r="W333" s="8" t="str">
        <v>2026-10-08 至 2026-10-17</v>
      </c>
      <c r="X333" s="8" t="str">
        <v>2026-10-08、2026-10-09、2026-10-10、2026-10-11、2026-10-14、2026-10-15、2026-10-17</v>
      </c>
      <c r="Y333" s="8" t="str">
        <v>2026-10-12 有记录的停售日；2026-10-13 有记录的停售日；2026-10-16 有记录的停售日</v>
      </c>
      <c r="Z333" s="8" t="n">
        <v>0</v>
      </c>
      <c r="AA333" s="8" t="n">
        <v>0</v>
      </c>
      <c r="AB333" s="8" t="n">
        <v>7</v>
      </c>
      <c r="AC333" s="8" t="str">
        <v>2026-09-29 至 2026-10-17</v>
      </c>
      <c r="AD333" s="8" t="str">
        <v>2026-09-29、2026-09-30、2026-10-01、2026-10-02、2026-10-03、2026-10-04、2026-10-05、2026-10-08、2026-10-09、2026-10-10、2026-10-11、2026-10-14、2026-10-15、2026-10-17</v>
      </c>
      <c r="AE333" s="8" t="str">
        <v>2026-10-06 大促；2026-10-07 大促；2026-10-12 有记录的停售日；2026-10-13 有记录的停售日；2026-10-16 有记录的停售日</v>
      </c>
      <c r="AF333" s="8" t="n">
        <v>0</v>
      </c>
      <c r="AG333" s="8" t="n">
        <v>0</v>
      </c>
      <c r="AH333" s="8" t="n">
        <v>14</v>
      </c>
      <c r="AI333" s="8" t="str">
        <v>2026-09-13 至 2026-10-17</v>
      </c>
      <c r="AJ3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33" s="8" t="str">
        <v>2026-10-06 大促；2026-10-07 大促；2026-10-12 有记录的停售日；2026-10-13 有记录的停售日；2026-10-16 有记录的停售日</v>
      </c>
      <c r="AL333" s="8" t="n">
        <v>1</v>
      </c>
      <c r="AM333" s="8" t="n">
        <v>0</v>
      </c>
      <c r="AN333" s="8" t="n">
        <v>30</v>
      </c>
      <c r="AO333" s="8" t="str">
        <v>32582 / 豹纹黑色内里羊京绒 / 6574</v>
      </c>
      <c r="AP333" s="11" t="n">
        <v>1.0395067087630607</v>
      </c>
      <c r="AQ333" s="11" t="n">
        <v>1.048428692110265</v>
      </c>
      <c r="AR333" s="11" t="n">
        <v>1.076979038821319</v>
      </c>
      <c r="AS333" s="11" t="n">
        <f>IF(AND(COUNT(I333:K333,AP333:AR333)=6,MIN(AP333:AR333)&gt;0),I333/7/AP333*0.5+J333/14/AQ333*0.3+K333/30/AR333*0.2,"")</f>
        <v>0.0061901545214500045</v>
      </c>
      <c r="AT333" s="8" t="n">
        <v>3</v>
      </c>
      <c r="AU333" s="8" t="n">
        <v>0</v>
      </c>
      <c r="AV333" s="8" t="n">
        <v>85</v>
      </c>
      <c r="AW333" s="11" t="n">
        <f>IF(AND(COUNT(AT333:AV333)=3,AT333&gt;=AU333,AU333&gt;=0,AV333&gt;0),(AT333-AU333)/AV333,"")</f>
        <v>0.03529411764705882</v>
      </c>
      <c r="AX333" s="8" t="n">
        <v>3</v>
      </c>
      <c r="AY333" s="8" t="n">
        <v>0</v>
      </c>
      <c r="AZ333" s="8" t="n">
        <v>175</v>
      </c>
      <c r="BA333" s="11" t="n">
        <f>IF(AND(COUNT(AX333:AZ333)=3,AX333&gt;=AY333,AY333&gt;=0,AZ333&gt;0),(AX333-AY333)/AZ333,"")</f>
        <v>0.017142857142857144</v>
      </c>
      <c r="BB333" s="8" t="n">
        <f>IF(COUNT(AS333,AW333,BA333)=3,1,0)</f>
        <v>1</v>
      </c>
      <c r="BC333" s="11" t="n">
        <f>IF(SUMIF($AO$11:$AO$1309,AO333,$BB$11:$BB$1309)=COUNTIF($AO$11:$AO$1309,AO333),SUMIF($AO$11:$AO$1309,AO333,$AS$11:$AS$1309),"")</f>
        <v>1.9131647321216234</v>
      </c>
      <c r="BD333" s="11" t="n">
        <f>IF(SUMIF($AO$11:$AO$1309,AO333,$BB$11:$BB$1309)=COUNTIF($AO$11:$AO$1309,AO333),SUMIF($AO$11:$AO$1309,AO333,$AW$11:$AW$1309),"")</f>
        <v>1.2065508021390374</v>
      </c>
      <c r="BE333" s="11" t="n">
        <f>IF(SUMIF($AO$11:$AO$1309,AO333,$BB$11:$BB$1309)=COUNTIF($AO$11:$AO$1309,AO333),SUMIF($AO$11:$AO$1309,AO333,$BA$11:$BA$1309),"")</f>
        <v>0.9278330658105939</v>
      </c>
      <c r="BF333" s="12" t="n">
        <f>IF(COUNT(BD333:BE333)&lt;&gt;2,"",IF(AND(BD333&gt;0,BE333&gt;0),0.7*AW333/BD333+0.3*BA333/BE333,IF(BD333&gt;0,AW333/BD333,IF(BE333&gt;0,BA333/BE333,IF(AND(ISNUMBER(BH333),BH333=0),0,"")))))</f>
        <v>0.026019323299233954</v>
      </c>
      <c r="BG333" s="11" t="n">
        <f>IF(AND(COUNT(BN333:BU333)=8,MIN(BN333:BU333)&gt;=0),SUMPRODUCT(BN333:BQ333,BR333:BU333),"")</f>
        <v>88.27281580841549</v>
      </c>
      <c r="BH333" s="11" t="n">
        <f>IF(COUNT(BC333,BG333)=2,BC333*BG333,"")</f>
        <v>168.8804380097286</v>
      </c>
      <c r="BI333" s="11" t="n">
        <f>IF(ISNUMBER(CI333),CI333,"")</f>
        <v>4.394154715491368</v>
      </c>
      <c r="BJ333" s="8" t="str"/>
      <c r="BK333" s="8" t="str">
        <v>90天：2026-07-20 至 2026-10-17；180天：2026-04-21 至 2026-10-17</v>
      </c>
      <c r="BL333" s="8" t="str">
        <v>90天：2026-10-06、2026-10-07、2026-10-12、2026-10-13、2026-10-16；180天：2026-10-06、2026-10-07、2026-10-12、2026-10-13、2026-10-16</v>
      </c>
      <c r="BM333" s="8" t="str">
        <v>2026-10：12天 × 1.0395067087630607；2026-11：30天 × 0.9890368360033146；2026-12：31天 × 0.7800796503018808；2027-01：17天 × 1.2908918272824135</v>
      </c>
      <c r="BN333" s="11" t="n">
        <v>1.0395067087630607</v>
      </c>
      <c r="BO333" s="11" t="n">
        <v>0.9890368360033146</v>
      </c>
      <c r="BP333" s="11" t="n">
        <v>0.7800796503018808</v>
      </c>
      <c r="BQ333" s="11" t="n">
        <v>1.2908918272824135</v>
      </c>
      <c r="BR333" s="8" t="n">
        <v>12</v>
      </c>
      <c r="BS333" s="8" t="n">
        <v>30</v>
      </c>
      <c r="BT333" s="8" t="n">
        <v>31</v>
      </c>
      <c r="BU333" s="8" t="n">
        <v>17</v>
      </c>
      <c r="BV333" s="11" t="n">
        <f>IF(COUNT(BC333,BF333)=2,BC333*BF333,"")</f>
        <v>0.04977925168976484</v>
      </c>
      <c r="BW333" s="11" t="n">
        <f>IF(ISNUMBER(BN333),BN333,"")</f>
        <v>1.0395067087630607</v>
      </c>
      <c r="BX333" s="14" t="n">
        <f>IF(ISNUMBER(BR333),BR333,"")</f>
        <v>12</v>
      </c>
      <c r="BY333" s="13" t="n">
        <f>IF(AND(COUNT(BV333,BW333,BX333)=3,MIN(BV333,BW333,BX333)&gt;=0),BV333*BW333*BX333,"")</f>
        <v>0.6209503930645857</v>
      </c>
      <c r="BZ333" s="11" t="n">
        <f>IF(ISNUMBER(BO333),BO333,"")</f>
        <v>0.9890368360033146</v>
      </c>
      <c r="CA333" s="14" t="n">
        <f>IF(ISNUMBER(BS333),BS333,"")</f>
        <v>30</v>
      </c>
      <c r="CB333" s="13" t="n">
        <f>IF(AND(COUNT(BV333,BZ333,CA333)=3,MIN(BV333,BZ333,CA333)&gt;=0),BV333*BZ333*CA333,"")</f>
        <v>1.4770054076957302</v>
      </c>
      <c r="CC333" s="11" t="n">
        <f>IF(ISNUMBER(BP333),BP333,"")</f>
        <v>0.7800796503018808</v>
      </c>
      <c r="CD333" s="14" t="n">
        <f>IF(ISNUMBER(BT333),BT333,"")</f>
        <v>31</v>
      </c>
      <c r="CE333" s="13" t="n">
        <f>IF(AND(COUNT(BV333,CC333,CD333)=3,MIN(BV333,CC333,CD333)&gt;=0),BV333*CC333*CD333,"")</f>
        <v>1.2037852187636728</v>
      </c>
      <c r="CF333" s="11" t="n">
        <f>IF(ISNUMBER(BQ333),BQ333,"")</f>
        <v>1.2908918272824135</v>
      </c>
      <c r="CG333" s="14" t="n">
        <f>IF(ISNUMBER(BU333),BU333,"")</f>
        <v>17</v>
      </c>
      <c r="CH333" s="13" t="n">
        <f>IF(AND(COUNT(BV333,CF333,CG333)=3,MIN(BV333,CF333,CG333)&gt;=0),BV333*CF333*CG333,"")</f>
        <v>1.092413695967379</v>
      </c>
      <c r="CI333" s="13" t="n">
        <f>IF(COUNT(BY333,CB333,CE333,CH333)=4,SUM(BY333,CB333,CE333,CH333),"")</f>
        <v>4.394154715491368</v>
      </c>
    </row>
    <row r="334" ht="72" customHeight="1">
      <c r="A334" s="16" t="str">
        <v>32582-MT-41</v>
      </c>
      <c r="B334" s="16" t="str">
        <v>3店-SANDIEX-US</v>
      </c>
      <c r="C334" s="16" t="str">
        <v>徐新怡</v>
      </c>
      <c r="D334" s="26" t="n">
        <f>IF(NOT(ISNUMBER(E334)),"",IF(OR(E334&lt;=0,L334=0),0,IF(OR(NOT(ISNUMBER(F334)),F334&lt;0),"",MIN(E334,INT(F334)))))</f>
        <v>0</v>
      </c>
      <c r="E334" s="27" t="n">
        <f>IF(OR(NOT(ISNUMBER(L334)),COUNT(M334:O334)&lt;&gt;3,MIN(M334:O334)&lt;0),"",ROUNDUP(ROUND(BI334-SUM(M334:O334),10),0))</f>
        <v>5</v>
      </c>
      <c r="F334" s="28" t="n">
        <v>0</v>
      </c>
      <c r="G334" s="28" t="n">
        <f>IF(AND(ISNUMBER(D334),ISNUMBER(E334)),IF(OR(E334&lt;=0,L334=0),0,E334-D334),"")</f>
        <v>5</v>
      </c>
      <c r="H334" s="16" t="str">
        <f>IF(NOT(ISNUMBER(E334)),"销量或海外库存待补",IF(OR(E334&lt;=0,L334=0),IF(L334=0,"零日销，本批不发","本批无需补货"),IF(NOT(ISNUMBER(D334)),"国内库存待补",IF(D334=0,"国内无可用库存",IF(G334&gt;0,"先发国内现货","按建议量发货")))))</f>
        <v>国内无可用库存</v>
      </c>
      <c r="I334" s="28" t="n">
        <f>IF(AND(COUNT(Z334,AA334,AB334)=3,Z334&gt;=AA334,AA334&gt;=0,AB334=7),Z334-AA334,"")</f>
        <v>0</v>
      </c>
      <c r="J334" s="28" t="n">
        <f>IF(AND(COUNT(AF334,AG334,AH334)=3,AF334&gt;=AG334,AG334&gt;=0,AH334=14),AF334-AG334,"")</f>
        <v>0</v>
      </c>
      <c r="K334" s="28" t="n">
        <f>IF(AND(COUNT(AL334,AM334,AN334)=3,AL334&gt;=AM334,AM334&gt;=0,AN334=30),AL334-AM334,"")</f>
        <v>2</v>
      </c>
      <c r="L334" s="29" t="n">
        <f>IF(ISNUMBER(BI334),BI334/90,"")</f>
        <v>0.05049568806560598</v>
      </c>
      <c r="M334" s="28" t="n">
        <v>0</v>
      </c>
      <c r="N334" s="28" t="n">
        <v>0</v>
      </c>
      <c r="O334" s="28" t="n">
        <v>0</v>
      </c>
      <c r="P334" s="30" t="n">
        <f>IF(AND(ISNUMBER(L334),L334&gt;0,COUNT(M334:O334)=3,MIN(M334:O334)&gt;=0),SUM(M334:O334)/L334,"")</f>
        <v>0</v>
      </c>
      <c r="Q334" s="16" t="str">
        <v>沿用原计划SKU店铺</v>
      </c>
      <c r="R334" s="16" t="str">
        <v>已匹配</v>
      </c>
      <c r="S334" s="16" t="str">
        <v>停售</v>
      </c>
      <c r="T334" s="16" t="str">
        <v>32582</v>
      </c>
      <c r="U334" s="16" t="str">
        <v>黄色</v>
      </c>
      <c r="V334" s="16" t="n">
        <v>10</v>
      </c>
      <c r="W334" s="8" t="str">
        <v>2026-10-08 至 2026-10-17</v>
      </c>
      <c r="X334" s="8" t="str">
        <v>2026-10-08、2026-10-09、2026-10-10、2026-10-11、2026-10-14、2026-10-15、2026-10-17</v>
      </c>
      <c r="Y334" s="8" t="str">
        <v>2026-10-12 有记录的停售日；2026-10-13 有记录的停售日；2026-10-16 有记录的停售日</v>
      </c>
      <c r="Z334" s="8" t="n">
        <v>0</v>
      </c>
      <c r="AA334" s="8" t="n">
        <v>0</v>
      </c>
      <c r="AB334" s="8" t="n">
        <v>7</v>
      </c>
      <c r="AC334" s="8" t="str">
        <v>2026-09-29 至 2026-10-17</v>
      </c>
      <c r="AD334" s="8" t="str">
        <v>2026-09-29、2026-09-30、2026-10-01、2026-10-02、2026-10-03、2026-10-04、2026-10-05、2026-10-08、2026-10-09、2026-10-10、2026-10-11、2026-10-14、2026-10-15、2026-10-17</v>
      </c>
      <c r="AE334" s="8" t="str">
        <v>2026-10-06 大促；2026-10-07 大促；2026-10-12 有记录的停售日；2026-10-13 有记录的停售日；2026-10-16 有记录的停售日</v>
      </c>
      <c r="AF334" s="8" t="n">
        <v>0</v>
      </c>
      <c r="AG334" s="8" t="n">
        <v>0</v>
      </c>
      <c r="AH334" s="8" t="n">
        <v>14</v>
      </c>
      <c r="AI334" s="8" t="str">
        <v>2026-09-13 至 2026-10-17</v>
      </c>
      <c r="AJ33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34" s="8" t="str">
        <v>2026-10-06 大促；2026-10-07 大促；2026-10-12 有记录的停售日；2026-10-13 有记录的停售日；2026-10-16 有记录的停售日</v>
      </c>
      <c r="AL334" s="8" t="n">
        <v>2</v>
      </c>
      <c r="AM334" s="8" t="n">
        <v>0</v>
      </c>
      <c r="AN334" s="8" t="n">
        <v>30</v>
      </c>
      <c r="AO334" s="8" t="str">
        <v>32582 / 黄色羊京绒 / 6574</v>
      </c>
      <c r="AP334" s="11" t="n">
        <v>1.0395067087630607</v>
      </c>
      <c r="AQ334" s="11" t="n">
        <v>1.048428692110265</v>
      </c>
      <c r="AR334" s="11" t="n">
        <v>1.076979038821319</v>
      </c>
      <c r="AS334" s="11" t="n">
        <f>IF(AND(COUNT(I334:K334,AP334:AR334)=6,MIN(AP334:AR334)&gt;0),I334/7/AP334*0.5+J334/14/AQ334*0.3+K334/30/AR334*0.2,"")</f>
        <v>0.012380309042900009</v>
      </c>
      <c r="AT334" s="8" t="n">
        <v>3</v>
      </c>
      <c r="AU334" s="8" t="n">
        <v>0</v>
      </c>
      <c r="AV334" s="8" t="n">
        <v>85</v>
      </c>
      <c r="AW334" s="11" t="n">
        <f>IF(AND(COUNT(AT334:AV334)=3,AT334&gt;=AU334,AU334&gt;=0,AV334&gt;0),(AT334-AU334)/AV334,"")</f>
        <v>0.03529411764705882</v>
      </c>
      <c r="AX334" s="8" t="n">
        <v>15</v>
      </c>
      <c r="AY334" s="8" t="n">
        <v>0</v>
      </c>
      <c r="AZ334" s="8" t="n">
        <v>175</v>
      </c>
      <c r="BA334" s="11" t="n">
        <f>IF(AND(COUNT(AX334:AZ334)=3,AX334&gt;=AY334,AY334&gt;=0,AZ334&gt;0),(AX334-AY334)/AZ334,"")</f>
        <v>0.08571428571428572</v>
      </c>
      <c r="BB334" s="8" t="n">
        <f>IF(COUNT(AS334,AW334,BA334)=3,1,0)</f>
        <v>1</v>
      </c>
      <c r="BC334" s="11" t="n">
        <f>IF(SUMIF($AO$11:$AO$1309,AO334,$BB$11:$BB$1309)=COUNTIF($AO$11:$AO$1309,AO334),SUMIF($AO$11:$AO$1309,AO334,$AS$11:$AS$1309),"")</f>
        <v>0.47872862187367615</v>
      </c>
      <c r="BD334" s="11" t="n">
        <f>IF(SUMIF($AO$11:$AO$1309,AO334,$BB$11:$BB$1309)=COUNTIF($AO$11:$AO$1309,AO334),SUMIF($AO$11:$AO$1309,AO334,$AW$11:$AW$1309),"")</f>
        <v>0.4244652406417112</v>
      </c>
      <c r="BE334" s="11" t="n">
        <f>IF(SUMIF($AO$11:$AO$1309,AO334,$BB$11:$BB$1309)=COUNTIF($AO$11:$AO$1309,AO334),SUMIF($AO$11:$AO$1309,AO334,$BA$11:$BA$1309),"")</f>
        <v>0.5211878009630819</v>
      </c>
      <c r="BF334" s="12" t="n">
        <f>IF(COUNT(BD334:BE334)&lt;&gt;2,"",IF(AND(BD334&gt;0,BE334&gt;0),0.7*AW334/BD334+0.3*BA334/BE334,IF(BD334&gt;0,AW334/BD334,IF(BE334&gt;0,BA334/BE334,IF(AND(ISNUMBER(BH334),BH334=0),0,"")))))</f>
        <v>0.10754257473282425</v>
      </c>
      <c r="BG334" s="11" t="n">
        <f>IF(AND(COUNT(BN334:BU334)=8,MIN(BN334:BU334)&gt;=0),SUMPRODUCT(BN334:BQ334,BR334:BU334),"")</f>
        <v>88.27281580841549</v>
      </c>
      <c r="BH334" s="11" t="n">
        <f>IF(COUNT(BC334,BG334)=2,BC334*BG334,"")</f>
        <v>42.2587234608716</v>
      </c>
      <c r="BI334" s="11" t="n">
        <f>IF(ISNUMBER(CI334),CI334,"")</f>
        <v>4.5446119259045386</v>
      </c>
      <c r="BJ334" s="8" t="str"/>
      <c r="BK334" s="8" t="str">
        <v>90天：2026-07-20 至 2026-10-17；180天：2026-04-21 至 2026-10-17</v>
      </c>
      <c r="BL334" s="8" t="str">
        <v>90天：2026-10-06、2026-10-07、2026-10-12、2026-10-13、2026-10-16；180天：2026-10-06、2026-10-07、2026-10-12、2026-10-13、2026-10-16</v>
      </c>
      <c r="BM334" s="8" t="str">
        <v>2026-10：12天 × 1.0395067087630607；2026-11：30天 × 0.9890368360033146；2026-12：31天 × 0.7800796503018808；2027-01：17天 × 1.2908918272824135</v>
      </c>
      <c r="BN334" s="11" t="n">
        <v>1.0395067087630607</v>
      </c>
      <c r="BO334" s="11" t="n">
        <v>0.9890368360033146</v>
      </c>
      <c r="BP334" s="11" t="n">
        <v>0.7800796503018808</v>
      </c>
      <c r="BQ334" s="11" t="n">
        <v>1.2908918272824135</v>
      </c>
      <c r="BR334" s="8" t="n">
        <v>12</v>
      </c>
      <c r="BS334" s="8" t="n">
        <v>30</v>
      </c>
      <c r="BT334" s="8" t="n">
        <v>31</v>
      </c>
      <c r="BU334" s="8" t="n">
        <v>17</v>
      </c>
      <c r="BV334" s="11" t="n">
        <f>IF(COUNT(BC334,BF334)=2,BC334*BF334,"")</f>
        <v>0.05148370859459178</v>
      </c>
      <c r="BW334" s="11" t="n">
        <f>IF(ISNUMBER(BN334),BN334,"")</f>
        <v>1.0395067087630607</v>
      </c>
      <c r="BX334" s="14" t="n">
        <f>IF(ISNUMBER(BR334),BR334,"")</f>
        <v>12</v>
      </c>
      <c r="BY334" s="13" t="n">
        <f>IF(AND(COUNT(BV334,BW334,BX334)=3,MIN(BV334,BW334,BX334)&gt;=0),BV334*BW334*BX334,"")</f>
        <v>0.6422119257129673</v>
      </c>
      <c r="BZ334" s="11" t="n">
        <f>IF(ISNUMBER(BO334),BO334,"")</f>
        <v>0.9890368360033146</v>
      </c>
      <c r="CA334" s="14" t="n">
        <f>IF(ISNUMBER(BS334),BS334,"")</f>
        <v>30</v>
      </c>
      <c r="CB334" s="13" t="n">
        <f>IF(AND(COUNT(BV334,BZ334,CA334)=3,MIN(BV334,BZ334,CA334)&gt;=0),BV334*BZ334*CA334,"")</f>
        <v>1.5275785276233513</v>
      </c>
      <c r="CC334" s="11" t="n">
        <f>IF(ISNUMBER(BP334),BP334,"")</f>
        <v>0.7800796503018808</v>
      </c>
      <c r="CD334" s="14" t="n">
        <f>IF(ISNUMBER(BT334),BT334,"")</f>
        <v>31</v>
      </c>
      <c r="CE334" s="13" t="n">
        <f>IF(AND(COUNT(BV334,CC334,CD334)=3,MIN(BV334,CC334,CD334)&gt;=0),BV334*CC334*CD334,"")</f>
        <v>1.2450031952981058</v>
      </c>
      <c r="CF334" s="11" t="n">
        <f>IF(ISNUMBER(BQ334),BQ334,"")</f>
        <v>1.2908918272824135</v>
      </c>
      <c r="CG334" s="14" t="n">
        <f>IF(ISNUMBER(BU334),BU334,"")</f>
        <v>17</v>
      </c>
      <c r="CH334" s="13" t="n">
        <f>IF(AND(COUNT(BV334,CF334,CG334)=3,MIN(BV334,CF334,CG334)&gt;=0),BV334*CF334*CG334,"")</f>
        <v>1.129818277270114</v>
      </c>
      <c r="CI334" s="13" t="n">
        <f>IF(COUNT(BY334,CB334,CE334,CH334)=4,SUM(BY334,CB334,CE334,CH334),"")</f>
        <v>4.5446119259045386</v>
      </c>
    </row>
    <row r="335" ht="72" customHeight="1">
      <c r="A335" s="16" t="str">
        <v>32582-RD-42</v>
      </c>
      <c r="B335" s="16" t="str">
        <v>3店-SANDIEX-US</v>
      </c>
      <c r="C335" s="16" t="str">
        <v>徐新怡</v>
      </c>
      <c r="D335" s="26" t="n">
        <f>IF(NOT(ISNUMBER(E335)),"",IF(OR(E335&lt;=0,L335=0),0,IF(OR(NOT(ISNUMBER(F335)),F335&lt;0),"",MIN(E335,INT(F335)))))</f>
        <v>0</v>
      </c>
      <c r="E335" s="27" t="n">
        <f>IF(OR(NOT(ISNUMBER(L335)),COUNT(M335:O335)&lt;&gt;3,MIN(M335:O335)&lt;0),"",ROUNDUP(ROUND(BI335-SUM(M335:O335),10),0))</f>
        <v>5</v>
      </c>
      <c r="F335" s="28" t="n">
        <v>0</v>
      </c>
      <c r="G335" s="28" t="n">
        <f>IF(AND(ISNUMBER(D335),ISNUMBER(E335)),IF(OR(E335&lt;=0,L335=0),0,E335-D335),"")</f>
        <v>5</v>
      </c>
      <c r="H335" s="16" t="str">
        <f>IF(NOT(ISNUMBER(E335)),"销量或海外库存待补",IF(OR(E335&lt;=0,L335=0),IF(L335=0,"零日销，本批不发","本批无需补货"),IF(NOT(ISNUMBER(D335)),"国内库存待补",IF(D335=0,"国内无可用库存",IF(G335&gt;0,"先发国内现货","按建议量发货")))))</f>
        <v>国内无可用库存</v>
      </c>
      <c r="I335" s="28" t="n">
        <f>IF(AND(COUNT(Z335,AA335,AB335)=3,Z335&gt;=AA335,AA335&gt;=0,AB335=7),Z335-AA335,"")</f>
        <v>0</v>
      </c>
      <c r="J335" s="28" t="n">
        <f>IF(AND(COUNT(AF335,AG335,AH335)=3,AF335&gt;=AG335,AG335&gt;=0,AH335=14),AF335-AG335,"")</f>
        <v>1</v>
      </c>
      <c r="K335" s="28" t="n">
        <f>IF(AND(COUNT(AL335,AM335,AN335)=3,AL335&gt;=AM335,AM335&gt;=0,AN335=30),AL335-AM335,"")</f>
        <v>4</v>
      </c>
      <c r="L335" s="29" t="n">
        <f>IF(ISNUMBER(BI335),BI335/90,"")</f>
        <v>0.05775179040713826</v>
      </c>
      <c r="M335" s="28" t="n">
        <v>1</v>
      </c>
      <c r="N335" s="28" t="n">
        <v>0</v>
      </c>
      <c r="O335" s="28" t="n">
        <v>0</v>
      </c>
      <c r="P335" s="30" t="n">
        <f>IF(AND(ISNUMBER(L335),L335&gt;0,COUNT(M335:O335)=3,MIN(M335:O335)&gt;=0),SUM(M335:O335)/L335,"")</f>
        <v>17.315480489006582</v>
      </c>
      <c r="Q335" s="16" t="str">
        <v>沿用原计划SKU店铺</v>
      </c>
      <c r="R335" s="16" t="str">
        <v>已匹配</v>
      </c>
      <c r="S335" s="16" t="str">
        <v>在售</v>
      </c>
      <c r="T335" s="16" t="str">
        <v>32582</v>
      </c>
      <c r="U335" s="16" t="str">
        <v>红色</v>
      </c>
      <c r="V335" s="16" t="n">
        <v>11</v>
      </c>
      <c r="W335" s="8" t="str">
        <v>2026-10-11 至 2026-10-17</v>
      </c>
      <c r="X335" s="8" t="str">
        <v>2026-10-11、2026-10-12、2026-10-13、2026-10-14、2026-10-15、2026-10-16、2026-10-17</v>
      </c>
      <c r="Y335" s="8" t="str">
        <v>无</v>
      </c>
      <c r="Z335" s="8" t="n">
        <v>0</v>
      </c>
      <c r="AA335" s="8" t="n">
        <v>0</v>
      </c>
      <c r="AB335" s="8" t="n">
        <v>7</v>
      </c>
      <c r="AC335" s="8" t="str">
        <v>2026-10-02 至 2026-10-17</v>
      </c>
      <c r="AD335" s="8" t="str">
        <v>2026-10-02、2026-10-03、2026-10-04、2026-10-05、2026-10-08、2026-10-09、2026-10-10、2026-10-11、2026-10-12、2026-10-13、2026-10-14、2026-10-15、2026-10-16、2026-10-17</v>
      </c>
      <c r="AE335" s="8" t="str">
        <v>2026-10-06 大促；2026-10-07 大促</v>
      </c>
      <c r="AF335" s="8" t="n">
        <v>1</v>
      </c>
      <c r="AG335" s="8" t="n">
        <v>0</v>
      </c>
      <c r="AH335" s="8" t="n">
        <v>14</v>
      </c>
      <c r="AI335" s="8" t="str">
        <v>2026-09-16 至 2026-10-17</v>
      </c>
      <c r="AJ3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5" s="8" t="str">
        <v>2026-10-06 大促；2026-10-07 大促</v>
      </c>
      <c r="AL335" s="8" t="n">
        <v>4</v>
      </c>
      <c r="AM335" s="8" t="n">
        <v>0</v>
      </c>
      <c r="AN335" s="8" t="n">
        <v>30</v>
      </c>
      <c r="AO335" s="8" t="str">
        <v>32582 / 红色羊京绒 / 6574</v>
      </c>
      <c r="AP335" s="11" t="n">
        <v>1.0395067087630607</v>
      </c>
      <c r="AQ335" s="11" t="n">
        <v>1.0395067087630607</v>
      </c>
      <c r="AR335" s="11" t="n">
        <v>1.0707336504782758</v>
      </c>
      <c r="AS335" s="11" t="n">
        <f>IF(AND(COUNT(I335:K335,AP335:AR335)=6,MIN(AP335:AR335)&gt;0),I335/7/AP335*0.5+J335/14/AQ335*0.3+K335/30/AR335*0.2,"")</f>
        <v>0.04551921541014594</v>
      </c>
      <c r="AT335" s="8" t="n">
        <v>8</v>
      </c>
      <c r="AU335" s="8" t="n">
        <v>0</v>
      </c>
      <c r="AV335" s="8" t="n">
        <v>88</v>
      </c>
      <c r="AW335" s="11" t="n">
        <f>IF(AND(COUNT(AT335:AV335)=3,AT335&gt;=AU335,AU335&gt;=0,AV335&gt;0),(AT335-AU335)/AV335,"")</f>
        <v>0.09090909090909091</v>
      </c>
      <c r="AX335" s="8" t="n">
        <v>17</v>
      </c>
      <c r="AY335" s="8" t="n">
        <v>0</v>
      </c>
      <c r="AZ335" s="8" t="n">
        <v>178</v>
      </c>
      <c r="BA335" s="11" t="n">
        <f>IF(AND(COUNT(AX335:AZ335)=3,AX335&gt;=AY335,AY335&gt;=0,AZ335&gt;0),(AX335-AY335)/AZ335,"")</f>
        <v>0.09550561797752809</v>
      </c>
      <c r="BB335" s="8" t="n">
        <f>IF(COUNT(AS335,AW335,BA335)=3,1,0)</f>
        <v>1</v>
      </c>
      <c r="BC335" s="11" t="n">
        <f>IF(SUMIF($AO$11:$AO$1309,AO335,$BB$11:$BB$1309)=COUNTIF($AO$11:$AO$1309,AO335),SUMIF($AO$11:$AO$1309,AO335,$AS$11:$AS$1309),"")</f>
        <v>0.17414025453815726</v>
      </c>
      <c r="BD335" s="11" t="n">
        <f>IF(SUMIF($AO$11:$AO$1309,AO335,$BB$11:$BB$1309)=COUNTIF($AO$11:$AO$1309,AO335),SUMIF($AO$11:$AO$1309,AO335,$AW$11:$AW$1309),"")</f>
        <v>0.25</v>
      </c>
      <c r="BE335" s="11" t="n">
        <f>IF(SUMIF($AO$11:$AO$1309,AO335,$BB$11:$BB$1309)=COUNTIF($AO$11:$AO$1309,AO335),SUMIF($AO$11:$AO$1309,AO335,$BA$11:$BA$1309),"")</f>
        <v>0.342792937399679</v>
      </c>
      <c r="BF335" s="12" t="n">
        <f>IF(COUNT(BD335:BE335)&lt;&gt;2,"",IF(AND(BD335&gt;0,BE335&gt;0),0.7*AW335/BD335+0.3*BA335/BE335,IF(BD335&gt;0,AW335/BD335,IF(BE335&gt;0,BA335/BE335,IF(AND(ISNUMBER(BH335),BH335=0),0,"")))))</f>
        <v>0.33812852253571485</v>
      </c>
      <c r="BG335" s="11" t="n">
        <f>IF(AND(COUNT(BN335:BU335)=8,MIN(BN335:BU335)&gt;=0),SUMPRODUCT(BN335:BQ335,BR335:BU335),"")</f>
        <v>88.27281580841549</v>
      </c>
      <c r="BH335" s="11" t="n">
        <f>IF(COUNT(BC335,BG335)=2,BC335*BG335,"")</f>
        <v>15.371850613677346</v>
      </c>
      <c r="BI335" s="11" t="n">
        <f>IF(ISNUMBER(CI335),CI335,"")</f>
        <v>5.197661136642443</v>
      </c>
      <c r="BJ335" s="8" t="str">
        <v>近180天本色销量64双（＜90），无有效新采购，请运营判断</v>
      </c>
      <c r="BK335" s="8" t="str">
        <v>90天：2026-07-20 至 2026-10-17；180天：2026-04-21 至 2026-10-17</v>
      </c>
      <c r="BL335" s="8" t="str">
        <v>90天：2026-10-06、2026-10-07；180天：2026-10-06、2026-10-07</v>
      </c>
      <c r="BM335" s="8" t="str">
        <v>2026-10：12天 × 1.0395067087630607；2026-11：30天 × 0.9890368360033146；2026-12：31天 × 0.7800796503018808；2027-01：17天 × 1.2908918272824135</v>
      </c>
      <c r="BN335" s="11" t="n">
        <v>1.0395067087630607</v>
      </c>
      <c r="BO335" s="11" t="n">
        <v>0.9890368360033146</v>
      </c>
      <c r="BP335" s="11" t="n">
        <v>0.7800796503018808</v>
      </c>
      <c r="BQ335" s="11" t="n">
        <v>1.2908918272824135</v>
      </c>
      <c r="BR335" s="8" t="n">
        <v>12</v>
      </c>
      <c r="BS335" s="8" t="n">
        <v>30</v>
      </c>
      <c r="BT335" s="8" t="n">
        <v>31</v>
      </c>
      <c r="BU335" s="8" t="n">
        <v>17</v>
      </c>
      <c r="BV335" s="11" t="n">
        <f>IF(COUNT(BC335,BF335)=2,BC335*BF335,"")</f>
        <v>0.05888178698098043</v>
      </c>
      <c r="BW335" s="11" t="n">
        <f>IF(ISNUMBER(BN335),BN335,"")</f>
        <v>1.0395067087630607</v>
      </c>
      <c r="BX335" s="14" t="n">
        <f>IF(ISNUMBER(BR335),BR335,"")</f>
        <v>12</v>
      </c>
      <c r="BY335" s="13" t="n">
        <f>IF(AND(COUNT(BV335,BW335,BX335)=3,MIN(BV335,BW335,BX335)&gt;=0),BV335*BW335*BX335,"")</f>
        <v>0.7344961510882393</v>
      </c>
      <c r="BZ335" s="11" t="n">
        <f>IF(ISNUMBER(BO335),BO335,"")</f>
        <v>0.9890368360033146</v>
      </c>
      <c r="CA335" s="14" t="n">
        <f>IF(ISNUMBER(BS335),BS335,"")</f>
        <v>30</v>
      </c>
      <c r="CB335" s="13" t="n">
        <f>IF(AND(COUNT(BV335,BZ335,CA335)=3,MIN(BV335,BZ335,CA335)&gt;=0),BV335*BZ335*CA335,"")</f>
        <v>1.7470876888167013</v>
      </c>
      <c r="CC335" s="11" t="n">
        <f>IF(ISNUMBER(BP335),BP335,"")</f>
        <v>0.7800796503018808</v>
      </c>
      <c r="CD335" s="14" t="n">
        <f>IF(ISNUMBER(BT335),BT335,"")</f>
        <v>31</v>
      </c>
      <c r="CE335" s="13" t="n">
        <f>IF(AND(COUNT(BV335,CC335,CD335)=3,MIN(BV335,CC335,CD335)&gt;=0),BV335*CC335*CD335,"")</f>
        <v>1.4239069977154646</v>
      </c>
      <c r="CF335" s="11" t="n">
        <f>IF(ISNUMBER(BQ335),BQ335,"")</f>
        <v>1.2908918272824135</v>
      </c>
      <c r="CG335" s="14" t="n">
        <f>IF(ISNUMBER(BU335),BU335,"")</f>
        <v>17</v>
      </c>
      <c r="CH335" s="13" t="n">
        <f>IF(AND(COUNT(BV335,CF335,CG335)=3,MIN(BV335,CF335,CG335)&gt;=0),BV335*CF335*CG335,"")</f>
        <v>1.292170299022038</v>
      </c>
      <c r="CI335" s="13" t="n">
        <f>IF(COUNT(BY335,CB335,CE335,CH335)=4,SUM(BY335,CB335,CE335,CH335),"")</f>
        <v>5.197661136642443</v>
      </c>
    </row>
    <row r="336" ht="72" customHeight="1">
      <c r="A336" s="16" t="str">
        <v>60516-NY-S-K-10</v>
      </c>
      <c r="B336" s="16" t="str">
        <v>3店-SANDIEX-US</v>
      </c>
      <c r="C336" s="16" t="str">
        <v>徐新怡</v>
      </c>
      <c r="D336" s="26" t="n">
        <f>IF(NOT(ISNUMBER(E336)),"",IF(OR(E336&lt;=0,L336=0),0,IF(OR(NOT(ISNUMBER(F336)),F336&lt;0),"",MIN(E336,INT(F336)))))</f>
        <v>0</v>
      </c>
      <c r="E336" s="27" t="n">
        <f>IF(OR(NOT(ISNUMBER(L336)),COUNT(M336:O336)&lt;&gt;3,MIN(M336:O336)&lt;0),"",ROUNDUP(ROUND(BI336-SUM(M336:O336),10),0))</f>
        <v>5</v>
      </c>
      <c r="F336" s="28" t="n">
        <v>0</v>
      </c>
      <c r="G336" s="28" t="n">
        <f>IF(AND(ISNUMBER(D336),ISNUMBER(E336)),IF(OR(E336&lt;=0,L336=0),0,E336-D336),"")</f>
        <v>5</v>
      </c>
      <c r="H336" s="16" t="str">
        <f>IF(NOT(ISNUMBER(E336)),"销量或海外库存待补",IF(OR(E336&lt;=0,L336=0),IF(L336=0,"零日销，本批不发","本批无需补货"),IF(NOT(ISNUMBER(D336)),"国内库存待补",IF(D336=0,"国内无可用库存",IF(G336&gt;0,"先发国内现货","按建议量发货")))))</f>
        <v>国内无可用库存</v>
      </c>
      <c r="I336" s="28" t="n">
        <f>IF(AND(COUNT(Z336,AA336,AB336)=3,Z336&gt;=AA336,AA336&gt;=0,AB336=7),Z336-AA336,"")</f>
        <v>0</v>
      </c>
      <c r="J336" s="28" t="n">
        <f>IF(AND(COUNT(AF336,AG336,AH336)=3,AF336&gt;=AG336,AG336&gt;=0,AH336=14),AF336-AG336,"")</f>
        <v>1</v>
      </c>
      <c r="K336" s="28" t="n">
        <f>IF(AND(COUNT(AL336,AM336,AN336)=3,AL336&gt;=AM336,AM336&gt;=0,AN336=30),AL336-AM336,"")</f>
        <v>3</v>
      </c>
      <c r="L336" s="29" t="n">
        <f>IF(ISNUMBER(BI336),BI336/90,"")</f>
        <v>0.07735666731162438</v>
      </c>
      <c r="M336" s="28" t="n">
        <v>2</v>
      </c>
      <c r="N336" s="28" t="n">
        <v>0</v>
      </c>
      <c r="O336" s="28" t="n">
        <v>0</v>
      </c>
      <c r="P336" s="30" t="n">
        <f>IF(AND(ISNUMBER(L336),L336&gt;0,COUNT(M336:O336)=3,MIN(M336:O336)&gt;=0),SUM(M336:O336)/L336,"")</f>
        <v>25.854267893201495</v>
      </c>
      <c r="Q336" s="16" t="str">
        <v>沿用原计划SKU店铺</v>
      </c>
      <c r="R336" s="16" t="str">
        <v>已匹配</v>
      </c>
      <c r="S336" s="16" t="str">
        <v>在售</v>
      </c>
      <c r="T336" s="16" t="str">
        <v>60516</v>
      </c>
      <c r="U336" s="16" t="str">
        <v>藏青色</v>
      </c>
      <c r="V336" s="16" t="n">
        <v>10</v>
      </c>
      <c r="W336" s="8" t="str">
        <v>2026-10-11 至 2026-10-17</v>
      </c>
      <c r="X336" s="8" t="str">
        <v>2026-10-11、2026-10-12、2026-10-13、2026-10-14、2026-10-15、2026-10-16、2026-10-17</v>
      </c>
      <c r="Y336" s="8" t="str">
        <v>无</v>
      </c>
      <c r="Z336" s="8" t="n">
        <v>0</v>
      </c>
      <c r="AA336" s="8" t="n">
        <v>0</v>
      </c>
      <c r="AB336" s="8" t="n">
        <v>7</v>
      </c>
      <c r="AC336" s="8" t="str">
        <v>2026-10-02 至 2026-10-17</v>
      </c>
      <c r="AD336" s="8" t="str">
        <v>2026-10-02、2026-10-03、2026-10-04、2026-10-05、2026-10-08、2026-10-09、2026-10-10、2026-10-11、2026-10-12、2026-10-13、2026-10-14、2026-10-15、2026-10-16、2026-10-17</v>
      </c>
      <c r="AE336" s="8" t="str">
        <v>2026-10-06 大促；2026-10-07 大促</v>
      </c>
      <c r="AF336" s="8" t="n">
        <v>2</v>
      </c>
      <c r="AG336" s="8" t="n">
        <v>1</v>
      </c>
      <c r="AH336" s="8" t="n">
        <v>14</v>
      </c>
      <c r="AI336" s="8" t="str">
        <v>2026-09-16 至 2026-10-17</v>
      </c>
      <c r="AJ3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6" s="8" t="str">
        <v>2026-10-06 大促；2026-10-07 大促</v>
      </c>
      <c r="AL336" s="8" t="n">
        <v>4</v>
      </c>
      <c r="AM336" s="8" t="n">
        <v>1</v>
      </c>
      <c r="AN336" s="8" t="n">
        <v>30</v>
      </c>
      <c r="AO336" s="8" t="str">
        <v>60516 / 藏青色羊京绒 / 6574</v>
      </c>
      <c r="AP336" s="11" t="n">
        <v>1.8609238953732312</v>
      </c>
      <c r="AQ336" s="11" t="n">
        <v>1.8609238953732312</v>
      </c>
      <c r="AR336" s="11" t="n">
        <v>1.7598476169692943</v>
      </c>
      <c r="AS336" s="11" t="n">
        <f>IF(AND(COUNT(I336:K336,AP336:AR336)=6,MIN(AP336:AR336)&gt;0),I336/7/AP336*0.5+J336/14/AQ336*0.3+K336/30/AR336*0.2,"")</f>
        <v>0.02287963793820038</v>
      </c>
      <c r="AT336" s="8" t="n">
        <v>8</v>
      </c>
      <c r="AU336" s="8" t="n">
        <v>1</v>
      </c>
      <c r="AV336" s="8" t="n">
        <v>88</v>
      </c>
      <c r="AW336" s="11" t="n">
        <f>IF(AND(COUNT(AT336:AV336)=3,AT336&gt;=AU336,AU336&gt;=0,AV336&gt;0),(AT336-AU336)/AV336,"")</f>
        <v>0.07954545454545454</v>
      </c>
      <c r="AX336" s="8" t="n">
        <v>12</v>
      </c>
      <c r="AY336" s="8" t="n">
        <v>1</v>
      </c>
      <c r="AZ336" s="8" t="n">
        <v>178</v>
      </c>
      <c r="BA336" s="11" t="n">
        <f>IF(AND(COUNT(AX336:AZ336)=3,AX336&gt;=AY336,AY336&gt;=0,AZ336&gt;0),(AX336-AY336)/AZ336,"")</f>
        <v>0.06179775280898876</v>
      </c>
      <c r="BB336" s="8" t="n">
        <f>IF(COUNT(AS336,AW336,BA336)=3,1,0)</f>
        <v>1</v>
      </c>
      <c r="BC336" s="11" t="n">
        <f>IF(SUMIF($AO$11:$AO$1309,AO336,$BB$11:$BB$1309)=COUNTIF($AO$11:$AO$1309,AO336),SUMIF($AO$11:$AO$1309,AO336,$AS$11:$AS$1309),"")</f>
        <v>0.40586130703730794</v>
      </c>
      <c r="BD336" s="11" t="n">
        <f>IF(SUMIF($AO$11:$AO$1309,AO336,$BB$11:$BB$1309)=COUNTIF($AO$11:$AO$1309,AO336),SUMIF($AO$11:$AO$1309,AO336,$AW$11:$AW$1309),"")</f>
        <v>0.5125668449197861</v>
      </c>
      <c r="BE336" s="11" t="n">
        <f>IF(SUMIF($AO$11:$AO$1309,AO336,$BB$11:$BB$1309)=COUNTIF($AO$11:$AO$1309,AO336),SUMIF($AO$11:$AO$1309,AO336,$BA$11:$BA$1309),"")</f>
        <v>0.38879614767255216</v>
      </c>
      <c r="BF336" s="12" t="n">
        <f>IF(COUNT(BD336:BE336)&lt;&gt;2,"",IF(AND(BD336&gt;0,BE336&gt;0),0.7*AW336/BD336+0.3*BA336/BE336,IF(BD336&gt;0,AW336/BD336,IF(BE336&gt;0,BA336/BE336,IF(AND(ISNUMBER(BH336),BH336=0),0,"")))))</f>
        <v>0.1563172048742145</v>
      </c>
      <c r="BG336" s="11" t="n">
        <f>IF(AND(COUNT(BN336:BU336)=8,MIN(BN336:BU336)&gt;=0),SUMPRODUCT(BN336:BQ336,BR336:BU336),"")</f>
        <v>109.73769409574882</v>
      </c>
      <c r="BH336" s="11" t="n">
        <f>IF(COUNT(BC336,BG336)=2,BC336*BG336,"")</f>
        <v>44.53828395696089</v>
      </c>
      <c r="BI336" s="11" t="n">
        <f>IF(ISNUMBER(CI336),CI336,"")</f>
        <v>6.962100058046195</v>
      </c>
      <c r="BJ336" s="8" t="str">
        <v>近180天本色销量75双（＜90），无有效新采购，请运营判断</v>
      </c>
      <c r="BK336" s="8" t="str">
        <v>90天：2026-07-20 至 2026-10-17；180天：2026-04-21 至 2026-10-17</v>
      </c>
      <c r="BL336" s="8" t="str">
        <v>90天：2026-10-06、2026-10-07；180天：2026-10-06、2026-10-07</v>
      </c>
      <c r="BM336" s="8" t="str">
        <v>2026-10：12天 × 1.8609238953732312；2026-11：30天 × 1.438375649833085；2026-12：31天 × 0.9519742599124907；2027-01：17天 × 0.8673021058229575</v>
      </c>
      <c r="BN336" s="11" t="n">
        <v>1.8609238953732312</v>
      </c>
      <c r="BO336" s="11" t="n">
        <v>1.438375649833085</v>
      </c>
      <c r="BP336" s="11" t="n">
        <v>0.9519742599124907</v>
      </c>
      <c r="BQ336" s="11" t="n">
        <v>0.8673021058229575</v>
      </c>
      <c r="BR336" s="8" t="n">
        <v>12</v>
      </c>
      <c r="BS336" s="8" t="n">
        <v>30</v>
      </c>
      <c r="BT336" s="8" t="n">
        <v>31</v>
      </c>
      <c r="BU336" s="8" t="n">
        <v>17</v>
      </c>
      <c r="BV336" s="11" t="n">
        <f>IF(COUNT(BC336,BF336)=2,BC336*BF336,"")</f>
        <v>0.06344310508266733</v>
      </c>
      <c r="BW336" s="11" t="n">
        <f>IF(ISNUMBER(BN336),BN336,"")</f>
        <v>1.8609238953732312</v>
      </c>
      <c r="BX336" s="14" t="n">
        <f>IF(ISNUMBER(BR336),BR336,"")</f>
        <v>12</v>
      </c>
      <c r="BY336" s="13" t="n">
        <f>IF(AND(COUNT(BV336,BW336,BX336)=3,MIN(BV336,BW336,BX336)&gt;=0),BV336*BW336*BX336,"")</f>
        <v>1.4167534829401265</v>
      </c>
      <c r="BZ336" s="11" t="n">
        <f>IF(ISNUMBER(BO336),BO336,"")</f>
        <v>1.438375649833085</v>
      </c>
      <c r="CA336" s="14" t="n">
        <f>IF(ISNUMBER(BS336),BS336,"")</f>
        <v>30</v>
      </c>
      <c r="CB336" s="13" t="n">
        <f>IF(AND(COUNT(BV336,BZ336,CA336)=3,MIN(BV336,BZ336,CA336)&gt;=0),BV336*BZ336*CA336,"")</f>
        <v>2.73765052502131</v>
      </c>
      <c r="CC336" s="11" t="n">
        <f>IF(ISNUMBER(BP336),BP336,"")</f>
        <v>0.9519742599124907</v>
      </c>
      <c r="CD336" s="14" t="n">
        <f>IF(ISNUMBER(BT336),BT336,"")</f>
        <v>31</v>
      </c>
      <c r="CE336" s="13" t="n">
        <f>IF(AND(COUNT(BV336,CC336,CD336)=3,MIN(BV336,CC336,CD336)&gt;=0),BV336*CC336*CD336,"")</f>
        <v>1.872282293236301</v>
      </c>
      <c r="CF336" s="11" t="n">
        <f>IF(ISNUMBER(BQ336),BQ336,"")</f>
        <v>0.8673021058229575</v>
      </c>
      <c r="CG336" s="14" t="n">
        <f>IF(ISNUMBER(BU336),BU336,"")</f>
        <v>17</v>
      </c>
      <c r="CH336" s="13" t="n">
        <f>IF(AND(COUNT(BV336,CF336,CG336)=3,MIN(BV336,CF336,CG336)&gt;=0),BV336*CF336*CG336,"")</f>
        <v>0.9354137568484575</v>
      </c>
      <c r="CI336" s="13" t="n">
        <f>IF(COUNT(BY336,CB336,CE336,CH336)=4,SUM(BY336,CB336,CE336,CH336),"")</f>
        <v>6.962100058046195</v>
      </c>
    </row>
    <row r="337" ht="72" customHeight="1">
      <c r="A337" s="16" t="str">
        <v>60516-NY-S-K-7</v>
      </c>
      <c r="B337" s="16" t="str">
        <v>3店-SANDIEX-US</v>
      </c>
      <c r="C337" s="16" t="str">
        <v>徐新怡</v>
      </c>
      <c r="D337" s="26" t="n">
        <f>IF(NOT(ISNUMBER(E337)),"",IF(OR(E337&lt;=0,L337=0),0,IF(OR(NOT(ISNUMBER(F337)),F337&lt;0),"",MIN(E337,INT(F337)))))</f>
        <v>0</v>
      </c>
      <c r="E337" s="27" t="n">
        <f>IF(OR(NOT(ISNUMBER(L337)),COUNT(M337:O337)&lt;&gt;3,MIN(M337:O337)&lt;0),"",ROUNDUP(ROUND(BI337-SUM(M337:O337),10),0))</f>
        <v>5</v>
      </c>
      <c r="F337" s="28" t="n">
        <v>0</v>
      </c>
      <c r="G337" s="28" t="n">
        <f>IF(AND(ISNUMBER(D337),ISNUMBER(E337)),IF(OR(E337&lt;=0,L337=0),0,E337-D337),"")</f>
        <v>5</v>
      </c>
      <c r="H337" s="16" t="str">
        <f>IF(NOT(ISNUMBER(E337)),"销量或海外库存待补",IF(OR(E337&lt;=0,L337=0),IF(L337=0,"零日销，本批不发","本批无需补货"),IF(NOT(ISNUMBER(D337)),"国内库存待补",IF(D337=0,"国内无可用库存",IF(G337&gt;0,"先发国内现货","按建议量发货")))))</f>
        <v>国内无可用库存</v>
      </c>
      <c r="I337" s="28" t="n">
        <f>IF(AND(COUNT(Z337,AA337,AB337)=3,Z337&gt;=AA337,AA337&gt;=0,AB337=7),Z337-AA337,"")</f>
        <v>0</v>
      </c>
      <c r="J337" s="28" t="n">
        <f>IF(AND(COUNT(AF337,AG337,AH337)=3,AF337&gt;=AG337,AG337&gt;=0,AH337=14),AF337-AG337,"")</f>
        <v>0</v>
      </c>
      <c r="K337" s="28" t="n">
        <f>IF(AND(COUNT(AL337,AM337,AN337)=3,AL337&gt;=AM337,AM337&gt;=0,AN337=30),AL337-AM337,"")</f>
        <v>0</v>
      </c>
      <c r="L337" s="29" t="n">
        <f>IF(ISNUMBER(BI337),BI337/90,"")</f>
        <v>0.045672753537031534</v>
      </c>
      <c r="M337" s="28" t="n">
        <v>0</v>
      </c>
      <c r="N337" s="28" t="n">
        <v>0</v>
      </c>
      <c r="O337" s="28" t="n">
        <v>0</v>
      </c>
      <c r="P337" s="30" t="n">
        <f>IF(AND(ISNUMBER(L337),L337&gt;0,COUNT(M337:O337)=3,MIN(M337:O337)&gt;=0),SUM(M337:O337)/L337,"")</f>
        <v>0</v>
      </c>
      <c r="Q337" s="16" t="str">
        <v>沿用原计划SKU店铺</v>
      </c>
      <c r="R337" s="16" t="str">
        <v>已匹配</v>
      </c>
      <c r="S337" s="16" t="str">
        <v>停售</v>
      </c>
      <c r="T337" s="16" t="str">
        <v>60516</v>
      </c>
      <c r="U337" s="16" t="str">
        <v>藏青色</v>
      </c>
      <c r="V337" s="16" t="n">
        <v>7</v>
      </c>
      <c r="W337" s="8" t="str">
        <v>2026-10-08 至 2026-10-17</v>
      </c>
      <c r="X337" s="8" t="str">
        <v>2026-10-08、2026-10-09、2026-10-10、2026-10-11、2026-10-14、2026-10-15、2026-10-17</v>
      </c>
      <c r="Y337" s="8" t="str">
        <v>2026-10-12 有记录的停售日；2026-10-13 有记录的停售日；2026-10-16 有记录的停售日</v>
      </c>
      <c r="Z337" s="8" t="n">
        <v>0</v>
      </c>
      <c r="AA337" s="8" t="n">
        <v>0</v>
      </c>
      <c r="AB337" s="8" t="n">
        <v>7</v>
      </c>
      <c r="AC337" s="8" t="str">
        <v>2026-09-29 至 2026-10-17</v>
      </c>
      <c r="AD337" s="8" t="str">
        <v>2026-09-29、2026-09-30、2026-10-01、2026-10-02、2026-10-03、2026-10-04、2026-10-05、2026-10-08、2026-10-09、2026-10-10、2026-10-11、2026-10-14、2026-10-15、2026-10-17</v>
      </c>
      <c r="AE337" s="8" t="str">
        <v>2026-10-06 大促；2026-10-07 大促；2026-10-12 有记录的停售日；2026-10-13 有记录的停售日；2026-10-16 有记录的停售日</v>
      </c>
      <c r="AF337" s="8" t="n">
        <v>0</v>
      </c>
      <c r="AG337" s="8" t="n">
        <v>0</v>
      </c>
      <c r="AH337" s="8" t="n">
        <v>14</v>
      </c>
      <c r="AI337" s="8" t="str">
        <v>2026-09-13 至 2026-10-17</v>
      </c>
      <c r="AJ33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37" s="8" t="str">
        <v>2026-10-06 大促；2026-10-07 大促；2026-10-12 有记录的停售日；2026-10-13 有记录的停售日；2026-10-16 有记录的停售日</v>
      </c>
      <c r="AL337" s="8" t="n">
        <v>0</v>
      </c>
      <c r="AM337" s="8" t="n">
        <v>0</v>
      </c>
      <c r="AN337" s="8" t="n">
        <v>30</v>
      </c>
      <c r="AO337" s="8" t="str">
        <v>60516 / 藏青色羊京绒 / 6574</v>
      </c>
      <c r="AP337" s="11" t="n">
        <v>1.8609238953732312</v>
      </c>
      <c r="AQ337" s="11" t="n">
        <v>1.832044958686392</v>
      </c>
      <c r="AR337" s="11" t="n">
        <v>1.7396323612885067</v>
      </c>
      <c r="AS337" s="11" t="n">
        <f>IF(AND(COUNT(I337:K337,AP337:AR337)=6,MIN(AP337:AR337)&gt;0),I337/7/AP337*0.5+J337/14/AQ337*0.3+K337/30/AR337*0.2,"")</f>
        <v>0</v>
      </c>
      <c r="AT337" s="8" t="n">
        <v>3</v>
      </c>
      <c r="AU337" s="8" t="n">
        <v>0</v>
      </c>
      <c r="AV337" s="8" t="n">
        <v>85</v>
      </c>
      <c r="AW337" s="11" t="n">
        <f>IF(AND(COUNT(AT337:AV337)=3,AT337&gt;=AU337,AU337&gt;=0,AV337&gt;0),(AT337-AU337)/AV337,"")</f>
        <v>0.03529411764705882</v>
      </c>
      <c r="AX337" s="8" t="n">
        <v>10</v>
      </c>
      <c r="AY337" s="8" t="n">
        <v>0</v>
      </c>
      <c r="AZ337" s="8" t="n">
        <v>175</v>
      </c>
      <c r="BA337" s="11" t="n">
        <f>IF(AND(COUNT(AX337:AZ337)=3,AX337&gt;=AY337,AY337&gt;=0,AZ337&gt;0),(AX337-AY337)/AZ337,"")</f>
        <v>0.05714285714285714</v>
      </c>
      <c r="BB337" s="8" t="n">
        <f>IF(COUNT(AS337,AW337,BA337)=3,1,0)</f>
        <v>1</v>
      </c>
      <c r="BC337" s="11" t="n">
        <f>IF(SUMIF($AO$11:$AO$1309,AO337,$BB$11:$BB$1309)=COUNTIF($AO$11:$AO$1309,AO337),SUMIF($AO$11:$AO$1309,AO337,$AS$11:$AS$1309),"")</f>
        <v>0.40586130703730794</v>
      </c>
      <c r="BD337" s="11" t="n">
        <f>IF(SUMIF($AO$11:$AO$1309,AO337,$BB$11:$BB$1309)=COUNTIF($AO$11:$AO$1309,AO337),SUMIF($AO$11:$AO$1309,AO337,$AW$11:$AW$1309),"")</f>
        <v>0.5125668449197861</v>
      </c>
      <c r="BE337" s="11" t="n">
        <f>IF(SUMIF($AO$11:$AO$1309,AO337,$BB$11:$BB$1309)=COUNTIF($AO$11:$AO$1309,AO337),SUMIF($AO$11:$AO$1309,AO337,$BA$11:$BA$1309),"")</f>
        <v>0.38879614767255216</v>
      </c>
      <c r="BF337" s="12" t="n">
        <f>IF(COUNT(BD337:BE337)&lt;&gt;2,"",IF(AND(BD337&gt;0,BE337&gt;0),0.7*AW337/BD337+0.3*BA337/BE337,IF(BD337&gt;0,AW337/BD337,IF(BE337&gt;0,BA337/BE337,IF(AND(ISNUMBER(BH337),BH337=0),0,"")))))</f>
        <v>0.09229246062342734</v>
      </c>
      <c r="BG337" s="11" t="n">
        <f>IF(AND(COUNT(BN337:BU337)=8,MIN(BN337:BU337)&gt;=0),SUMPRODUCT(BN337:BQ337,BR337:BU337),"")</f>
        <v>109.73769409574882</v>
      </c>
      <c r="BH337" s="11" t="n">
        <f>IF(COUNT(BC337,BG337)=2,BC337*BG337,"")</f>
        <v>44.53828395696089</v>
      </c>
      <c r="BI337" s="11" t="n">
        <f>IF(ISNUMBER(CI337),CI337,"")</f>
        <v>4.110547818332838</v>
      </c>
      <c r="BJ337" s="8" t="str">
        <v>近180天本色销量75双（＜90），无有效新采购，请运营判断</v>
      </c>
      <c r="BK337" s="8" t="str">
        <v>90天：2026-07-20 至 2026-10-17；180天：2026-04-21 至 2026-10-17</v>
      </c>
      <c r="BL337" s="8" t="str">
        <v>90天：2026-10-06、2026-10-07、2026-10-12、2026-10-13、2026-10-16；180天：2026-10-06、2026-10-07、2026-10-12、2026-10-13、2026-10-16</v>
      </c>
      <c r="BM337" s="8" t="str">
        <v>2026-10：12天 × 1.8609238953732312；2026-11：30天 × 1.438375649833085；2026-12：31天 × 0.9519742599124907；2027-01：17天 × 0.8673021058229575</v>
      </c>
      <c r="BN337" s="11" t="n">
        <v>1.8609238953732312</v>
      </c>
      <c r="BO337" s="11" t="n">
        <v>1.438375649833085</v>
      </c>
      <c r="BP337" s="11" t="n">
        <v>0.9519742599124907</v>
      </c>
      <c r="BQ337" s="11" t="n">
        <v>0.8673021058229575</v>
      </c>
      <c r="BR337" s="8" t="n">
        <v>12</v>
      </c>
      <c r="BS337" s="8" t="n">
        <v>30</v>
      </c>
      <c r="BT337" s="8" t="n">
        <v>31</v>
      </c>
      <c r="BU337" s="8" t="n">
        <v>17</v>
      </c>
      <c r="BV337" s="11" t="n">
        <f>IF(COUNT(BC337,BF337)=2,BC337*BF337,"")</f>
        <v>0.0374579386983135</v>
      </c>
      <c r="BW337" s="11" t="n">
        <f>IF(ISNUMBER(BN337),BN337,"")</f>
        <v>1.8609238953732312</v>
      </c>
      <c r="BX337" s="14" t="n">
        <f>IF(ISNUMBER(BR337),BR337,"")</f>
        <v>12</v>
      </c>
      <c r="BY337" s="13" t="n">
        <f>IF(AND(COUNT(BV337,BW337,BX337)=3,MIN(BV337,BW337,BX337)&gt;=0),BV337*BW337*BX337,"")</f>
        <v>0.8364764783414071</v>
      </c>
      <c r="BZ337" s="11" t="n">
        <f>IF(ISNUMBER(BO337),BO337,"")</f>
        <v>1.438375649833085</v>
      </c>
      <c r="CA337" s="14" t="n">
        <f>IF(ISNUMBER(BS337),BS337,"")</f>
        <v>30</v>
      </c>
      <c r="CB337" s="13" t="n">
        <f>IF(AND(COUNT(BV337,BZ337,CA337)=3,MIN(BV337,BZ337,CA337)&gt;=0),BV337*BZ337*CA337,"")</f>
        <v>1.6163576074978365</v>
      </c>
      <c r="CC337" s="11" t="n">
        <f>IF(ISNUMBER(BP337),BP337,"")</f>
        <v>0.9519742599124907</v>
      </c>
      <c r="CD337" s="14" t="n">
        <f>IF(ISNUMBER(BT337),BT337,"")</f>
        <v>31</v>
      </c>
      <c r="CE337" s="13" t="n">
        <f>IF(AND(COUNT(BV337,CC337,CD337)=3,MIN(BV337,CC337,CD337)&gt;=0),BV337*CC337*CD337,"")</f>
        <v>1.1054287975754076</v>
      </c>
      <c r="CF337" s="11" t="n">
        <f>IF(ISNUMBER(BQ337),BQ337,"")</f>
        <v>0.8673021058229575</v>
      </c>
      <c r="CG337" s="14" t="n">
        <f>IF(ISNUMBER(BU337),BU337,"")</f>
        <v>17</v>
      </c>
      <c r="CH337" s="13" t="n">
        <f>IF(AND(COUNT(BV337,CF337,CG337)=3,MIN(BV337,CF337,CG337)&gt;=0),BV337*CF337*CG337,"")</f>
        <v>0.5522849349181874</v>
      </c>
      <c r="CI337" s="13" t="n">
        <f>IF(COUNT(BY337,CB337,CE337,CH337)=4,SUM(BY337,CB337,CE337,CH337),"")</f>
        <v>4.110547818332838</v>
      </c>
    </row>
    <row r="338" ht="72" customHeight="1">
      <c r="A338" s="16" t="str">
        <v>8392-LP-39.5</v>
      </c>
      <c r="B338" s="16" t="str">
        <v>3店-SANDIEX-US</v>
      </c>
      <c r="C338" s="16" t="str">
        <v>徐新怡</v>
      </c>
      <c r="D338" s="26" t="n">
        <f>IF(NOT(ISNUMBER(E338)),"",IF(OR(E338&lt;=0,L338=0),0,IF(OR(NOT(ISNUMBER(F338)),F338&lt;0),"",MIN(E338,INT(F338)))))</f>
        <v>0</v>
      </c>
      <c r="E338" s="27" t="n">
        <f>IF(OR(NOT(ISNUMBER(L338)),COUNT(M338:O338)&lt;&gt;3,MIN(M338:O338)&lt;0),"",ROUNDUP(ROUND(BI338-SUM(M338:O338),10),0))</f>
        <v>5</v>
      </c>
      <c r="F338" s="28" t="n">
        <v>0</v>
      </c>
      <c r="G338" s="28" t="n">
        <f>IF(AND(ISNUMBER(D338),ISNUMBER(E338)),IF(OR(E338&lt;=0,L338=0),0,E338-D338),"")</f>
        <v>5</v>
      </c>
      <c r="H338" s="16" t="str">
        <f>IF(NOT(ISNUMBER(E338)),"销量或海外库存待补",IF(OR(E338&lt;=0,L338=0),IF(L338=0,"零日销，本批不发","本批无需补货"),IF(NOT(ISNUMBER(D338)),"国内库存待补",IF(D338=0,"国内无可用库存",IF(G338&gt;0,"先发国内现货","按建议量发货")))))</f>
        <v>国内无可用库存</v>
      </c>
      <c r="I338" s="28" t="n">
        <f>IF(AND(COUNT(Z338,AA338,AB338)=3,Z338&gt;=AA338,AA338&gt;=0,AB338=7),Z338-AA338,"")</f>
        <v>0</v>
      </c>
      <c r="J338" s="28" t="n">
        <f>IF(AND(COUNT(AF338,AG338,AH338)=3,AF338&gt;=AG338,AG338&gt;=0,AH338=14),AF338-AG338,"")</f>
        <v>1</v>
      </c>
      <c r="K338" s="28" t="n">
        <f>IF(AND(COUNT(AL338,AM338,AN338)=3,AL338&gt;=AM338,AM338&gt;=0,AN338=30),AL338-AM338,"")</f>
        <v>1</v>
      </c>
      <c r="L338" s="29" t="n">
        <f>IF(ISNUMBER(BI338),BI338/90,"")</f>
        <v>0.04795579317291607</v>
      </c>
      <c r="M338" s="28" t="n">
        <v>0</v>
      </c>
      <c r="N338" s="28" t="n">
        <v>0</v>
      </c>
      <c r="O338" s="28" t="n">
        <v>0</v>
      </c>
      <c r="P338" s="30" t="n">
        <f>IF(AND(ISNUMBER(L338),L338&gt;0,COUNT(M338:O338)=3,MIN(M338:O338)&gt;=0),SUM(M338:O338)/L338,"")</f>
        <v>0</v>
      </c>
      <c r="Q338" s="16" t="str">
        <v>按本SKU唯一未删除Listing店铺核实</v>
      </c>
      <c r="R338" s="16" t="str">
        <v>已匹配</v>
      </c>
      <c r="S338" s="16" t="str">
        <v>停售</v>
      </c>
      <c r="T338" s="16" t="str">
        <v>8392</v>
      </c>
      <c r="U338" s="16" t="str">
        <v>豹纹</v>
      </c>
      <c r="V338" s="16" t="n">
        <v>8.5</v>
      </c>
      <c r="W338" s="8" t="str">
        <v>2026-10-08 至 2026-10-17</v>
      </c>
      <c r="X338" s="8" t="str">
        <v>2026-10-08、2026-10-09、2026-10-10、2026-10-11、2026-10-14、2026-10-15、2026-10-17</v>
      </c>
      <c r="Y338" s="8" t="str">
        <v>2026-10-12 有记录的停售日；2026-10-13 有记录的停售日；2026-10-16 有记录的停售日</v>
      </c>
      <c r="Z338" s="8" t="n">
        <v>0</v>
      </c>
      <c r="AA338" s="8" t="n">
        <v>0</v>
      </c>
      <c r="AB338" s="8" t="n">
        <v>7</v>
      </c>
      <c r="AC338" s="8" t="str">
        <v>2026-09-29 至 2026-10-17</v>
      </c>
      <c r="AD338" s="8" t="str">
        <v>2026-09-29、2026-09-30、2026-10-01、2026-10-02、2026-10-03、2026-10-04、2026-10-05、2026-10-08、2026-10-09、2026-10-10、2026-10-11、2026-10-14、2026-10-15、2026-10-17</v>
      </c>
      <c r="AE338" s="8" t="str">
        <v>2026-10-06 大促；2026-10-07 大促；2026-10-12 有记录的停售日；2026-10-13 有记录的停售日；2026-10-16 有记录的停售日</v>
      </c>
      <c r="AF338" s="8" t="n">
        <v>1</v>
      </c>
      <c r="AG338" s="8" t="n">
        <v>0</v>
      </c>
      <c r="AH338" s="8" t="n">
        <v>14</v>
      </c>
      <c r="AI338" s="8" t="str">
        <v>2026-09-13 至 2026-10-17</v>
      </c>
      <c r="AJ33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38" s="8" t="str">
        <v>2026-10-06 大促；2026-10-07 大促；2026-10-12 有记录的停售日；2026-10-13 有记录的停售日；2026-10-16 有记录的停售日</v>
      </c>
      <c r="AL338" s="8" t="n">
        <v>1</v>
      </c>
      <c r="AM338" s="8" t="n">
        <v>0</v>
      </c>
      <c r="AN338" s="8" t="n">
        <v>30</v>
      </c>
      <c r="AO338" s="8" t="str">
        <v>8392 / 豹纹羊京绒 / 6574</v>
      </c>
      <c r="AP338" s="11" t="n">
        <v>1.1743420411079069</v>
      </c>
      <c r="AQ338" s="11" t="n">
        <v>1.1657675792110538</v>
      </c>
      <c r="AR338" s="11" t="n">
        <v>1.138329301141124</v>
      </c>
      <c r="AS338" s="11" t="n">
        <f>IF(AND(COUNT(I338:K338,AP338:AR338)=6,MIN(AP338:AR338)&gt;0),I338/7/AP338*0.5+J338/14/AQ338*0.3+K338/30/AR338*0.2,"")</f>
        <v>0.024238048703414332</v>
      </c>
      <c r="AT338" s="8" t="n">
        <v>1</v>
      </c>
      <c r="AU338" s="8" t="n">
        <v>0</v>
      </c>
      <c r="AV338" s="8" t="n">
        <v>85</v>
      </c>
      <c r="AW338" s="11" t="n">
        <f>IF(AND(COUNT(AT338:AV338)=3,AT338&gt;=AU338,AU338&gt;=0,AV338&gt;0),(AT338-AU338)/AV338,"")</f>
        <v>0.011764705882352941</v>
      </c>
      <c r="AX338" s="8" t="n">
        <v>6</v>
      </c>
      <c r="AY338" s="8" t="n">
        <v>0</v>
      </c>
      <c r="AZ338" s="8" t="n">
        <v>175</v>
      </c>
      <c r="BA338" s="11" t="n">
        <f>IF(AND(COUNT(AX338:AZ338)=3,AX338&gt;=AY338,AY338&gt;=0,AZ338&gt;0),(AX338-AY338)/AZ338,"")</f>
        <v>0.03428571428571429</v>
      </c>
      <c r="BB338" s="8" t="n">
        <f>IF(COUNT(AS338,AW338,BA338)=3,1,0)</f>
        <v>1</v>
      </c>
      <c r="BC338" s="11" t="n">
        <f>IF(SUMIF($AO$11:$AO$1309,AO338,$BB$11:$BB$1309)=COUNTIF($AO$11:$AO$1309,AO338),SUMIF($AO$11:$AO$1309,AO338,$AS$11:$AS$1309),"")</f>
        <v>1.7348603654072816</v>
      </c>
      <c r="BD338" s="11" t="n">
        <f>IF(SUMIF($AO$11:$AO$1309,AO338,$BB$11:$BB$1309)=COUNTIF($AO$11:$AO$1309,AO338),SUMIF($AO$11:$AO$1309,AO338,$AW$11:$AW$1309),"")</f>
        <v>0.7184184645645092</v>
      </c>
      <c r="BE338" s="11" t="n">
        <f>IF(SUMIF($AO$11:$AO$1309,AO338,$BB$11:$BB$1309)=COUNTIF($AO$11:$AO$1309,AO338),SUMIF($AO$11:$AO$1309,AO338,$BA$11:$BA$1309),"")</f>
        <v>0.7208292298065674</v>
      </c>
      <c r="BF338" s="12" t="n">
        <f>IF(COUNT(BD338:BE338)&lt;&gt;2,"",IF(AND(BD338&gt;0,BE338&gt;0),0.7*AW338/BD338+0.3*BA338/BE338,IF(BD338&gt;0,AW338/BD338,IF(BE338&gt;0,BA338/BE338,IF(AND(ISNUMBER(BH338),BH338=0),0,"")))))</f>
        <v>0.025732368292808797</v>
      </c>
      <c r="BG338" s="11" t="n">
        <f>IF(AND(COUNT(BN338:BU338)=8,MIN(BN338:BU338)&gt;=0),SUMPRODUCT(BN338:BQ338,BR338:BU338),"")</f>
        <v>96.68059267618935</v>
      </c>
      <c r="BH338" s="11" t="n">
        <f>IF(COUNT(BC338,BG338)=2,BC338*BG338,"")</f>
        <v>167.7273283380064</v>
      </c>
      <c r="BI338" s="11" t="n">
        <f>IF(ISNUMBER(CI338),CI338,"")</f>
        <v>4.316021385562446</v>
      </c>
      <c r="BJ338" s="8" t="str"/>
      <c r="BK338" s="8" t="str">
        <v>90天：2026-07-20 至 2026-10-17；180天：2026-04-21 至 2026-10-17</v>
      </c>
      <c r="BL338" s="8" t="str">
        <v>90天：2026-10-06、2026-10-07、2026-10-12、2026-10-13、2026-10-16；180天：2026-10-06、2026-10-07、2026-10-12、2026-10-13、2026-10-16</v>
      </c>
      <c r="BM338" s="8" t="str">
        <v>2026-10：12天 × 1.1743420411079069；2026-11：30天 × 1.281694931279211；2026-12：31天 × 0.9007634642750235；2027-01：17天 × 0.9537631089407297</v>
      </c>
      <c r="BN338" s="11" t="n">
        <v>1.1743420411079069</v>
      </c>
      <c r="BO338" s="11" t="n">
        <v>1.281694931279211</v>
      </c>
      <c r="BP338" s="11" t="n">
        <v>0.9007634642750235</v>
      </c>
      <c r="BQ338" s="11" t="n">
        <v>0.9537631089407297</v>
      </c>
      <c r="BR338" s="8" t="n">
        <v>12</v>
      </c>
      <c r="BS338" s="8" t="n">
        <v>30</v>
      </c>
      <c r="BT338" s="8" t="n">
        <v>31</v>
      </c>
      <c r="BU338" s="8" t="n">
        <v>17</v>
      </c>
      <c r="BV338" s="11" t="n">
        <f>IF(COUNT(BC338,BF338)=2,BC338*BF338,"")</f>
        <v>0.044642065859257014</v>
      </c>
      <c r="BW338" s="11" t="n">
        <f>IF(ISNUMBER(BN338),BN338,"")</f>
        <v>1.1743420411079069</v>
      </c>
      <c r="BX338" s="14" t="n">
        <f>IF(ISNUMBER(BR338),BR338,"")</f>
        <v>12</v>
      </c>
      <c r="BY338" s="13" t="n">
        <f>IF(AND(COUNT(BV338,BW338,BX338)=3,MIN(BV338,BW338,BX338)&gt;=0),BV338*BW338*BX338,"")</f>
        <v>0.6291006568852018</v>
      </c>
      <c r="BZ338" s="11" t="n">
        <f>IF(ISNUMBER(BO338),BO338,"")</f>
        <v>1.281694931279211</v>
      </c>
      <c r="CA338" s="14" t="n">
        <f>IF(ISNUMBER(BS338),BS338,"")</f>
        <v>30</v>
      </c>
      <c r="CB338" s="13" t="n">
        <f>IF(AND(COUNT(BV338,BZ338,CA338)=3,MIN(BV338,BZ338,CA338)&gt;=0),BV338*BZ338*CA338,"")</f>
        <v>1.7165252860092728</v>
      </c>
      <c r="CC338" s="11" t="n">
        <f>IF(ISNUMBER(BP338),BP338,"")</f>
        <v>0.9007634642750235</v>
      </c>
      <c r="CD338" s="14" t="n">
        <f>IF(ISNUMBER(BT338),BT338,"")</f>
        <v>31</v>
      </c>
      <c r="CE338" s="13" t="n">
        <f>IF(AND(COUNT(BV338,CC338,CD338)=3,MIN(BV338,CC338,CD338)&gt;=0),BV338*CC338*CD338,"")</f>
        <v>1.2465701987691213</v>
      </c>
      <c r="CF338" s="11" t="n">
        <f>IF(ISNUMBER(BQ338),BQ338,"")</f>
        <v>0.9537631089407297</v>
      </c>
      <c r="CG338" s="14" t="n">
        <f>IF(ISNUMBER(BU338),BU338,"")</f>
        <v>17</v>
      </c>
      <c r="CH338" s="13" t="n">
        <f>IF(AND(COUNT(BV338,CF338,CG338)=3,MIN(BV338,CF338,CG338)&gt;=0),BV338*CF338*CG338,"")</f>
        <v>0.7238252438988502</v>
      </c>
      <c r="CI338" s="13" t="n">
        <f>IF(COUNT(BY338,CB338,CE338,CH338)=4,SUM(BY338,CB338,CE338,CH338),"")</f>
        <v>4.316021385562446</v>
      </c>
    </row>
    <row r="339" ht="72" customHeight="1">
      <c r="A339" s="16" t="str">
        <v>B06-BGP-38.5</v>
      </c>
      <c r="B339" s="16" t="str">
        <v>1店-MUSSHOE-US</v>
      </c>
      <c r="C339" s="16" t="str">
        <v>艾年</v>
      </c>
      <c r="D339" s="26" t="n">
        <f>IF(NOT(ISNUMBER(E339)),"",IF(OR(E339&lt;=0,L339=0),0,IF(OR(NOT(ISNUMBER(F339)),F339&lt;0),"",MIN(E339,INT(F339)))))</f>
        <v>0</v>
      </c>
      <c r="E339" s="27" t="n">
        <f>IF(OR(NOT(ISNUMBER(L339)),COUNT(M339:O339)&lt;&gt;3,MIN(M339:O339)&lt;0),"",ROUNDUP(ROUND(BI339-SUM(M339:O339),10),0))</f>
        <v>5</v>
      </c>
      <c r="F339" s="28" t="n">
        <v>0</v>
      </c>
      <c r="G339" s="28" t="n">
        <f>IF(AND(ISNUMBER(D339),ISNUMBER(E339)),IF(OR(E339&lt;=0,L339=0),0,E339-D339),"")</f>
        <v>5</v>
      </c>
      <c r="H339" s="16" t="str">
        <f>IF(NOT(ISNUMBER(E339)),"销量或海外库存待补",IF(OR(E339&lt;=0,L339=0),IF(L339=0,"零日销，本批不发","本批无需补货"),IF(NOT(ISNUMBER(D339)),"国内库存待补",IF(D339=0,"国内无可用库存",IF(G339&gt;0,"先发国内现货","按建议量发货")))))</f>
        <v>国内无可用库存</v>
      </c>
      <c r="I339" s="28" t="n">
        <f>IF(AND(COUNT(Z339,AA339,AB339)=3,Z339&gt;=AA339,AA339&gt;=0,AB339=7),Z339-AA339,"")</f>
        <v>6</v>
      </c>
      <c r="J339" s="28" t="n">
        <f>IF(AND(COUNT(AF339,AG339,AH339)=3,AF339&gt;=AG339,AG339&gt;=0,AH339=14),AF339-AG339,"")</f>
        <v>6</v>
      </c>
      <c r="K339" s="28" t="n">
        <f>IF(AND(COUNT(AL339,AM339,AN339)=3,AL339&gt;=AM339,AM339&gt;=0,AN339=30),AL339-AM339,"")</f>
        <v>13</v>
      </c>
      <c r="L339" s="29" t="n">
        <f>IF(ISNUMBER(BI339),BI339/90,"")</f>
        <v>0.41668073797538135</v>
      </c>
      <c r="M339" s="28" t="n">
        <v>28</v>
      </c>
      <c r="N339" s="28" t="n">
        <v>0</v>
      </c>
      <c r="O339" s="28" t="n">
        <v>5</v>
      </c>
      <c r="P339" s="30" t="n">
        <f>IF(AND(ISNUMBER(L339),L339&gt;0,COUNT(M339:O339)=3,MIN(M339:O339)&gt;=0),SUM(M339:O339)/L339,"")</f>
        <v>79.19732541596326</v>
      </c>
      <c r="Q339" s="16" t="str">
        <v>沿用原计划SKU店铺</v>
      </c>
      <c r="R339" s="16" t="str">
        <v>已匹配</v>
      </c>
      <c r="S339" s="16" t="str">
        <v>在售</v>
      </c>
      <c r="T339" s="16" t="str">
        <v>B06</v>
      </c>
      <c r="U339" s="16" t="str">
        <v>米色PU</v>
      </c>
      <c r="V339" s="16" t="n">
        <v>7.5</v>
      </c>
      <c r="W339" s="8" t="str">
        <v>2026-10-11 至 2026-10-17</v>
      </c>
      <c r="X339" s="8" t="str">
        <v>2026-10-11、2026-10-12、2026-10-13、2026-10-14、2026-10-15、2026-10-16、2026-10-17</v>
      </c>
      <c r="Y339" s="8" t="str">
        <v>无</v>
      </c>
      <c r="Z339" s="8" t="n">
        <v>6</v>
      </c>
      <c r="AA339" s="8" t="n">
        <v>0</v>
      </c>
      <c r="AB339" s="8" t="n">
        <v>7</v>
      </c>
      <c r="AC339" s="8" t="str">
        <v>2026-10-02 至 2026-10-17</v>
      </c>
      <c r="AD339" s="8" t="str">
        <v>2026-10-02、2026-10-03、2026-10-04、2026-10-05、2026-10-08、2026-10-09、2026-10-10、2026-10-11、2026-10-12、2026-10-13、2026-10-14、2026-10-15、2026-10-16、2026-10-17</v>
      </c>
      <c r="AE339" s="8" t="str">
        <v>2026-10-06 大促；2026-10-07 大促</v>
      </c>
      <c r="AF339" s="8" t="n">
        <v>9</v>
      </c>
      <c r="AG339" s="8" t="n">
        <v>3</v>
      </c>
      <c r="AH339" s="8" t="n">
        <v>14</v>
      </c>
      <c r="AI339" s="8" t="str">
        <v>2026-09-16 至 2026-10-17</v>
      </c>
      <c r="AJ3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39" s="8" t="str">
        <v>2026-10-06 大促；2026-10-07 大促</v>
      </c>
      <c r="AL339" s="8" t="n">
        <v>16</v>
      </c>
      <c r="AM339" s="8" t="n">
        <v>3</v>
      </c>
      <c r="AN339" s="8" t="n">
        <v>30</v>
      </c>
      <c r="AO339" s="8" t="str">
        <v>B06 / 米色PU / 13120</v>
      </c>
      <c r="AP339" s="11" t="n">
        <v>1.2247029157699902</v>
      </c>
      <c r="AQ339" s="11" t="n">
        <v>1.2247029157699902</v>
      </c>
      <c r="AR339" s="11" t="n">
        <v>1.1136940657346173</v>
      </c>
      <c r="AS339" s="11" t="n">
        <f>IF(AND(COUNT(I339:K339,AP339:AR339)=6,MIN(AP339:AR339)&gt;0),I339/7/AP339*0.5+J339/14/AQ339*0.3+K339/30/AR339*0.2,"")</f>
        <v>0.5327399191188584</v>
      </c>
      <c r="AT339" s="8" t="n">
        <v>47</v>
      </c>
      <c r="AU339" s="8" t="n">
        <v>3</v>
      </c>
      <c r="AV339" s="8" t="n">
        <v>88</v>
      </c>
      <c r="AW339" s="11" t="n">
        <f>IF(AND(COUNT(AT339:AV339)=3,AT339&gt;=AU339,AU339&gt;=0,AV339&gt;0),(AT339-AU339)/AV339,"")</f>
        <v>0.5</v>
      </c>
      <c r="AX339" s="8" t="n">
        <v>77</v>
      </c>
      <c r="AY339" s="8" t="n">
        <v>3</v>
      </c>
      <c r="AZ339" s="8" t="n">
        <v>178</v>
      </c>
      <c r="BA339" s="11" t="n">
        <f>IF(AND(COUNT(AX339:AZ339)=3,AX339&gt;=AY339,AY339&gt;=0,AZ339&gt;0),(AX339-AY339)/AZ339,"")</f>
        <v>0.4157303370786517</v>
      </c>
      <c r="BB339" s="8" t="n">
        <f>IF(COUNT(AS339,AW339,BA339)=3,1,0)</f>
        <v>1</v>
      </c>
      <c r="BC339" s="11" t="n">
        <f>IF(SUMIF($AO$11:$AO$1309,AO339,$BB$11:$BB$1309)=COUNTIF($AO$11:$AO$1309,AO339),SUMIF($AO$11:$AO$1309,AO339,$AS$11:$AS$1309),"")</f>
        <v>3.5783079906501625</v>
      </c>
      <c r="BD339" s="11" t="n">
        <f>IF(SUMIF($AO$11:$AO$1309,AO339,$BB$11:$BB$1309)=COUNTIF($AO$11:$AO$1309,AO339),SUMIF($AO$11:$AO$1309,AO339,$AW$11:$AW$1309),"")</f>
        <v>3.376306165099269</v>
      </c>
      <c r="BE339" s="11" t="n">
        <f>IF(SUMIF($AO$11:$AO$1309,AO339,$BB$11:$BB$1309)=COUNTIF($AO$11:$AO$1309,AO339),SUMIF($AO$11:$AO$1309,AO339,$BA$11:$BA$1309),"")</f>
        <v>3.2539198882752487</v>
      </c>
      <c r="BF339" s="12" t="n">
        <f>IF(COUNT(BD339:BE339)&lt;&gt;2,"",IF(AND(BD339&gt;0,BE339&gt;0),0.7*AW339/BD339+0.3*BA339/BE339,IF(BD339&gt;0,AW339/BD339,IF(BE339&gt;0,BA339/BE339,IF(AND(ISNUMBER(BH339),BH339=0),0,"")))))</f>
        <v>0.14199246349581848</v>
      </c>
      <c r="BG339" s="11" t="n">
        <f>IF(AND(COUNT(BN339:BU339)=8,MIN(BN339:BU339)&gt;=0),SUMPRODUCT(BN339:BQ339,BR339:BU339),"")</f>
        <v>73.80791239847399</v>
      </c>
      <c r="BH339" s="11" t="n">
        <f>IF(COUNT(BC339,BG339)=2,BC339*BG339,"")</f>
        <v>264.10744270866667</v>
      </c>
      <c r="BI339" s="11" t="n">
        <f>IF(ISNUMBER(CI339),CI339,"")</f>
        <v>37.50126641778432</v>
      </c>
      <c r="BJ339" s="8" t="str"/>
      <c r="BK339" s="8" t="str">
        <v>90天：2026-07-20 至 2026-10-17；180天：2026-04-21 至 2026-10-17</v>
      </c>
      <c r="BL339" s="8" t="str">
        <v>90天：2026-10-06、2026-10-07；180天：2026-10-06、2026-10-07</v>
      </c>
      <c r="BM339" s="8" t="str">
        <v>2026-10：12天 × 1.2247029157699902；2026-11：30天 × 0.8332682139098497；2026-12：31天 × 0.5511018253564084；2027-01：17天 × 1.0017220238758797</v>
      </c>
      <c r="BN339" s="11" t="n">
        <v>1.2247029157699902</v>
      </c>
      <c r="BO339" s="11" t="n">
        <v>0.8332682139098497</v>
      </c>
      <c r="BP339" s="11" t="n">
        <v>0.5511018253564084</v>
      </c>
      <c r="BQ339" s="11" t="n">
        <v>1.0017220238758797</v>
      </c>
      <c r="BR339" s="8" t="n">
        <v>12</v>
      </c>
      <c r="BS339" s="8" t="n">
        <v>30</v>
      </c>
      <c r="BT339" s="8" t="n">
        <v>31</v>
      </c>
      <c r="BU339" s="8" t="n">
        <v>17</v>
      </c>
      <c r="BV339" s="11" t="n">
        <f>IF(COUNT(BC339,BF339)=2,BC339*BF339,"")</f>
        <v>0.5080927667391888</v>
      </c>
      <c r="BW339" s="11" t="n">
        <f>IF(ISNUMBER(BN339),BN339,"")</f>
        <v>1.2247029157699902</v>
      </c>
      <c r="BX339" s="14" t="n">
        <f>IF(ISNUMBER(BR339),BR339,"")</f>
        <v>12</v>
      </c>
      <c r="BY339" s="13" t="n">
        <f>IF(AND(COUNT(BV339,BW339,BX339)=3,MIN(BV339,BW339,BX339)&gt;=0),BV339*BW339*BX339,"")</f>
        <v>7.467152314885512</v>
      </c>
      <c r="BZ339" s="11" t="n">
        <f>IF(ISNUMBER(BO339),BO339,"")</f>
        <v>0.8332682139098497</v>
      </c>
      <c r="CA339" s="14" t="n">
        <f>IF(ISNUMBER(BS339),BS339,"")</f>
        <v>30</v>
      </c>
      <c r="CB339" s="13" t="n">
        <f>IF(AND(COUNT(BV339,BZ339,CA339)=3,MIN(BV339,BZ339,CA339)&gt;=0),BV339*BZ339*CA339,"")</f>
        <v>12.701326567238333</v>
      </c>
      <c r="CC339" s="11" t="n">
        <f>IF(ISNUMBER(BP339),BP339,"")</f>
        <v>0.5511018253564084</v>
      </c>
      <c r="CD339" s="14" t="n">
        <f>IF(ISNUMBER(BT339),BT339,"")</f>
        <v>31</v>
      </c>
      <c r="CE339" s="13" t="n">
        <f>IF(AND(COUNT(BV339,CC339,CD339)=3,MIN(BV339,CC339,CD339)&gt;=0),BV339*CC339*CD339,"")</f>
        <v>8.680336387210998</v>
      </c>
      <c r="CF339" s="11" t="n">
        <f>IF(ISNUMBER(BQ339),BQ339,"")</f>
        <v>1.0017220238758797</v>
      </c>
      <c r="CG339" s="14" t="n">
        <f>IF(ISNUMBER(BU339),BU339,"")</f>
        <v>17</v>
      </c>
      <c r="CH339" s="13" t="n">
        <f>IF(AND(COUNT(BV339,CF339,CG339)=3,MIN(BV339,CF339,CG339)&gt;=0),BV339*CF339*CG339,"")</f>
        <v>8.652451148449483</v>
      </c>
      <c r="CI339" s="13" t="n">
        <f>IF(COUNT(BY339,CB339,CE339,CH339)=4,SUM(BY339,CB339,CE339,CH339),"")</f>
        <v>37.50126641778432</v>
      </c>
    </row>
    <row r="340" ht="72" customHeight="1">
      <c r="A340" s="16" t="str">
        <v>B06-NY-37-N</v>
      </c>
      <c r="B340" s="16" t="str">
        <v>1店-MUSSHOE-US</v>
      </c>
      <c r="C340" s="16" t="str">
        <v>艾年</v>
      </c>
      <c r="D340" s="26" t="n">
        <f>IF(NOT(ISNUMBER(E340)),"",IF(OR(E340&lt;=0,L340=0),0,IF(OR(NOT(ISNUMBER(F340)),F340&lt;0),"",MIN(E340,INT(F340)))))</f>
        <v>0</v>
      </c>
      <c r="E340" s="27" t="n">
        <f>IF(OR(NOT(ISNUMBER(L340)),COUNT(M340:O340)&lt;&gt;3,MIN(M340:O340)&lt;0),"",ROUNDUP(ROUND(BI340-SUM(M340:O340),10),0))</f>
        <v>5</v>
      </c>
      <c r="F340" s="28" t="n">
        <v>0</v>
      </c>
      <c r="G340" s="28" t="n">
        <f>IF(AND(ISNUMBER(D340),ISNUMBER(E340)),IF(OR(E340&lt;=0,L340=0),0,E340-D340),"")</f>
        <v>5</v>
      </c>
      <c r="H340" s="16" t="str">
        <f>IF(NOT(ISNUMBER(E340)),"销量或海外库存待补",IF(OR(E340&lt;=0,L340=0),IF(L340=0,"零日销，本批不发","本批无需补货"),IF(NOT(ISNUMBER(D340)),"国内库存待补",IF(D340=0,"国内无可用库存",IF(G340&gt;0,"先发国内现货","按建议量发货")))))</f>
        <v>国内无可用库存</v>
      </c>
      <c r="I340" s="28" t="n">
        <f>IF(AND(COUNT(Z340,AA340,AB340)=3,Z340&gt;=AA340,AA340&gt;=0,AB340=7),Z340-AA340,"")</f>
        <v>1</v>
      </c>
      <c r="J340" s="28" t="n">
        <f>IF(AND(COUNT(AF340,AG340,AH340)=3,AF340&gt;=AG340,AG340&gt;=0,AH340=14),AF340-AG340,"")</f>
        <v>2</v>
      </c>
      <c r="K340" s="28" t="n">
        <f>IF(AND(COUNT(AL340,AM340,AN340)=3,AL340&gt;=AM340,AM340&gt;=0,AN340=30),AL340-AM340,"")</f>
        <v>2</v>
      </c>
      <c r="L340" s="29" t="n">
        <f>IF(ISNUMBER(BI340),BI340/90,"")</f>
        <v>0.11345057834739762</v>
      </c>
      <c r="M340" s="28" t="n">
        <v>6</v>
      </c>
      <c r="N340" s="28" t="n">
        <v>0</v>
      </c>
      <c r="O340" s="28" t="n">
        <v>0</v>
      </c>
      <c r="P340" s="30" t="n">
        <f>IF(AND(ISNUMBER(L340),L340&gt;0,COUNT(M340:O340)=3,MIN(M340:O340)&gt;=0),SUM(M340:O340)/L340,"")</f>
        <v>52.88646463861443</v>
      </c>
      <c r="Q340" s="16" t="str">
        <v>沿用原计划SKU店铺</v>
      </c>
      <c r="R340" s="16" t="str">
        <v>已匹配</v>
      </c>
      <c r="S340" s="16" t="str">
        <v>在售</v>
      </c>
      <c r="T340" s="16" t="str">
        <v>B06</v>
      </c>
      <c r="U340" s="16" t="str">
        <v>藏青色羊京绒</v>
      </c>
      <c r="V340" s="16" t="n">
        <v>6</v>
      </c>
      <c r="W340" s="8" t="str">
        <v>2026-10-11 至 2026-10-17</v>
      </c>
      <c r="X340" s="8" t="str">
        <v>2026-10-11、2026-10-12、2026-10-13、2026-10-14、2026-10-15、2026-10-16、2026-10-17</v>
      </c>
      <c r="Y340" s="8" t="str">
        <v>无</v>
      </c>
      <c r="Z340" s="8" t="n">
        <v>1</v>
      </c>
      <c r="AA340" s="8" t="n">
        <v>0</v>
      </c>
      <c r="AB340" s="8" t="n">
        <v>7</v>
      </c>
      <c r="AC340" s="8" t="str">
        <v>2026-10-02 至 2026-10-17</v>
      </c>
      <c r="AD340" s="8" t="str">
        <v>2026-10-02、2026-10-03、2026-10-04、2026-10-05、2026-10-08、2026-10-09、2026-10-10、2026-10-11、2026-10-12、2026-10-13、2026-10-14、2026-10-15、2026-10-16、2026-10-17</v>
      </c>
      <c r="AE340" s="8" t="str">
        <v>2026-10-06 大促；2026-10-07 大促</v>
      </c>
      <c r="AF340" s="8" t="n">
        <v>3</v>
      </c>
      <c r="AG340" s="8" t="n">
        <v>1</v>
      </c>
      <c r="AH340" s="8" t="n">
        <v>14</v>
      </c>
      <c r="AI340" s="8" t="str">
        <v>2026-09-16 至 2026-10-17</v>
      </c>
      <c r="AJ3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0" s="8" t="str">
        <v>2026-10-06 大促；2026-10-07 大促</v>
      </c>
      <c r="AL340" s="8" t="n">
        <v>3</v>
      </c>
      <c r="AM340" s="8" t="n">
        <v>1</v>
      </c>
      <c r="AN340" s="8" t="n">
        <v>30</v>
      </c>
      <c r="AO340" s="8" t="str">
        <v>B06 / 藏青色羊京绒 / 13120</v>
      </c>
      <c r="AP340" s="11" t="n">
        <v>1.2247029157699902</v>
      </c>
      <c r="AQ340" s="11" t="n">
        <v>1.2247029157699902</v>
      </c>
      <c r="AR340" s="11" t="n">
        <v>1.1136940657346173</v>
      </c>
      <c r="AS340" s="11" t="n">
        <f>IF(AND(COUNT(I340:K340,AP340:AR340)=6,MIN(AP340:AR340)&gt;0),I340/7/AP340*0.5+J340/14/AQ340*0.3+K340/30/AR340*0.2,"")</f>
        <v>0.10528926047961401</v>
      </c>
      <c r="AT340" s="8" t="n">
        <v>12</v>
      </c>
      <c r="AU340" s="8" t="n">
        <v>1</v>
      </c>
      <c r="AV340" s="8" t="n">
        <v>88</v>
      </c>
      <c r="AW340" s="11" t="n">
        <f>IF(AND(COUNT(AT340:AV340)=3,AT340&gt;=AU340,AU340&gt;=0,AV340&gt;0),(AT340-AU340)/AV340,"")</f>
        <v>0.125</v>
      </c>
      <c r="AX340" s="8" t="n">
        <v>18</v>
      </c>
      <c r="AY340" s="8" t="n">
        <v>1</v>
      </c>
      <c r="AZ340" s="8" t="n">
        <v>178</v>
      </c>
      <c r="BA340" s="11" t="n">
        <f>IF(AND(COUNT(AX340:AZ340)=3,AX340&gt;=AY340,AY340&gt;=0,AZ340&gt;0),(AX340-AY340)/AZ340,"")</f>
        <v>0.09550561797752809</v>
      </c>
      <c r="BB340" s="8" t="n">
        <f>IF(COUNT(AS340,AW340,BA340)=3,1,0)</f>
        <v>1</v>
      </c>
      <c r="BC340" s="11" t="n">
        <f>IF(SUMIF($AO$11:$AO$1309,AO340,$BB$11:$BB$1309)=COUNTIF($AO$11:$AO$1309,AO340),SUMIF($AO$11:$AO$1309,AO340,$AS$11:$AS$1309),"")</f>
        <v>1.8232025777957794</v>
      </c>
      <c r="BD340" s="11" t="n">
        <f>IF(SUMIF($AO$11:$AO$1309,AO340,$BB$11:$BB$1309)=COUNTIF($AO$11:$AO$1309,AO340),SUMIF($AO$11:$AO$1309,AO340,$AW$11:$AW$1309),"")</f>
        <v>1.5588235294117647</v>
      </c>
      <c r="BE340" s="11" t="n">
        <f>IF(SUMIF($AO$11:$AO$1309,AO340,$BB$11:$BB$1309)=COUNTIF($AO$11:$AO$1309,AO340),SUMIF($AO$11:$AO$1309,AO340,$BA$11:$BA$1309),"")</f>
        <v>1.4510754414125202</v>
      </c>
      <c r="BF340" s="12" t="n">
        <f>IF(COUNT(BD340:BE340)&lt;&gt;2,"",IF(AND(BD340&gt;0,BE340&gt;0),0.7*AW340/BD340+0.3*BA340/BE340,IF(BD340&gt;0,AW340/BD340,IF(BE340&gt;0,BA340/BE340,IF(AND(ISNUMBER(BH340),BH340=0),0,"")))))</f>
        <v>0.0758772138535923</v>
      </c>
      <c r="BG340" s="11" t="n">
        <f>IF(AND(COUNT(BN340:BU340)=8,MIN(BN340:BU340)&gt;=0),SUMPRODUCT(BN340:BQ340,BR340:BU340),"")</f>
        <v>73.80791239847399</v>
      </c>
      <c r="BH340" s="11" t="n">
        <f>IF(COUNT(BC340,BG340)=2,BC340*BG340,"")</f>
        <v>134.56677614662286</v>
      </c>
      <c r="BI340" s="11" t="n">
        <f>IF(ISNUMBER(CI340),CI340,"")</f>
        <v>10.210552051265786</v>
      </c>
      <c r="BJ340" s="8" t="str">
        <v>低销提醒依据不完整</v>
      </c>
      <c r="BK340" s="8" t="str">
        <v>90天：2026-07-20 至 2026-10-17；180天：2026-04-21 至 2026-10-17</v>
      </c>
      <c r="BL340" s="8" t="str">
        <v>90天：2026-10-06、2026-10-07；180天：2026-10-06、2026-10-07</v>
      </c>
      <c r="BM340" s="8" t="str">
        <v>2026-10：12天 × 1.2247029157699902；2026-11：30天 × 0.8332682139098497；2026-12：31天 × 0.5511018253564084；2027-01：17天 × 1.0017220238758797</v>
      </c>
      <c r="BN340" s="11" t="n">
        <v>1.2247029157699902</v>
      </c>
      <c r="BO340" s="11" t="n">
        <v>0.8332682139098497</v>
      </c>
      <c r="BP340" s="11" t="n">
        <v>0.5511018253564084</v>
      </c>
      <c r="BQ340" s="11" t="n">
        <v>1.0017220238758797</v>
      </c>
      <c r="BR340" s="8" t="n">
        <v>12</v>
      </c>
      <c r="BS340" s="8" t="n">
        <v>30</v>
      </c>
      <c r="BT340" s="8" t="n">
        <v>31</v>
      </c>
      <c r="BU340" s="8" t="n">
        <v>17</v>
      </c>
      <c r="BV340" s="11" t="n">
        <f>IF(COUNT(BC340,BF340)=2,BC340*BF340,"")</f>
        <v>0.1383395318938311</v>
      </c>
      <c r="BW340" s="11" t="n">
        <f>IF(ISNUMBER(BN340),BN340,"")</f>
        <v>1.2247029157699902</v>
      </c>
      <c r="BX340" s="14" t="n">
        <f>IF(ISNUMBER(BR340),BR340,"")</f>
        <v>12</v>
      </c>
      <c r="BY340" s="13" t="n">
        <f>IF(AND(COUNT(BV340,BW340,BX340)=3,MIN(BV340,BW340,BX340)&gt;=0),BV340*BW340*BX340,"")</f>
        <v>2.033097936919566</v>
      </c>
      <c r="BZ340" s="11" t="n">
        <f>IF(ISNUMBER(BO340),BO340,"")</f>
        <v>0.8332682139098497</v>
      </c>
      <c r="CA340" s="14" t="n">
        <f>IF(ISNUMBER(BS340),BS340,"")</f>
        <v>30</v>
      </c>
      <c r="CB340" s="13" t="n">
        <f>IF(AND(COUNT(BV340,BZ340,CA340)=3,MIN(BV340,BZ340,CA340)&gt;=0),BV340*BZ340*CA340,"")</f>
        <v>3.45821803962892</v>
      </c>
      <c r="CC340" s="11" t="n">
        <f>IF(ISNUMBER(BP340),BP340,"")</f>
        <v>0.5511018253564084</v>
      </c>
      <c r="CD340" s="14" t="n">
        <f>IF(ISNUMBER(BT340),BT340,"")</f>
        <v>31</v>
      </c>
      <c r="CE340" s="13" t="n">
        <f>IF(AND(COUNT(BV340,CC340,CD340)=3,MIN(BV340,CC340,CD340)&gt;=0),BV340*CC340*CD340,"")</f>
        <v>2.3634142249148833</v>
      </c>
      <c r="CF340" s="11" t="n">
        <f>IF(ISNUMBER(BQ340),BQ340,"")</f>
        <v>1.0017220238758797</v>
      </c>
      <c r="CG340" s="14" t="n">
        <f>IF(ISNUMBER(BU340),BU340,"")</f>
        <v>17</v>
      </c>
      <c r="CH340" s="13" t="n">
        <f>IF(AND(COUNT(BV340,CF340,CG340)=3,MIN(BV340,CF340,CG340)&gt;=0),BV340*CF340*CG340,"")</f>
        <v>2.3558218498024153</v>
      </c>
      <c r="CI340" s="13" t="n">
        <f>IF(COUNT(BY340,CB340,CE340,CH340)=4,SUM(BY340,CB340,CE340,CH340),"")</f>
        <v>10.210552051265786</v>
      </c>
    </row>
    <row r="341" ht="72" customHeight="1">
      <c r="A341" s="16" t="str">
        <v>B07-BK-I-0-41</v>
      </c>
      <c r="B341" s="16" t="str">
        <v>4店-彬郁-US</v>
      </c>
      <c r="C341" s="16" t="str">
        <v>艾年</v>
      </c>
      <c r="D341" s="26" t="n">
        <f>IF(NOT(ISNUMBER(E341)),"",IF(OR(E341&lt;=0,L341=0),0,IF(OR(NOT(ISNUMBER(F341)),F341&lt;0),"",MIN(E341,INT(F341)))))</f>
        <v>0</v>
      </c>
      <c r="E341" s="27" t="n">
        <f>IF(OR(NOT(ISNUMBER(L341)),COUNT(M341:O341)&lt;&gt;3,MIN(M341:O341)&lt;0),"",ROUNDUP(ROUND(BI341-SUM(M341:O341),10),0))</f>
        <v>5</v>
      </c>
      <c r="F341" s="28" t="n">
        <v>0</v>
      </c>
      <c r="G341" s="28" t="n">
        <f>IF(AND(ISNUMBER(D341),ISNUMBER(E341)),IF(OR(E341&lt;=0,L341=0),0,E341-D341),"")</f>
        <v>5</v>
      </c>
      <c r="H341" s="16" t="str">
        <f>IF(NOT(ISNUMBER(E341)),"销量或海外库存待补",IF(OR(E341&lt;=0,L341=0),IF(L341=0,"零日销，本批不发","本批无需补货"),IF(NOT(ISNUMBER(D341)),"国内库存待补",IF(D341=0,"国内无可用库存",IF(G341&gt;0,"先发国内现货","按建议量发货")))))</f>
        <v>国内无可用库存</v>
      </c>
      <c r="I341" s="28" t="n">
        <f>IF(AND(COUNT(Z341,AA341,AB341)=3,Z341&gt;=AA341,AA341&gt;=0,AB341=7),Z341-AA341,"")</f>
        <v>0</v>
      </c>
      <c r="J341" s="28" t="n">
        <f>IF(AND(COUNT(AF341,AG341,AH341)=3,AF341&gt;=AG341,AG341&gt;=0,AH341=14),AF341-AG341,"")</f>
        <v>1</v>
      </c>
      <c r="K341" s="28" t="n">
        <f>IF(AND(COUNT(AL341,AM341,AN341)=3,AL341&gt;=AM341,AM341&gt;=0,AN341=30),AL341-AM341,"")</f>
        <v>1</v>
      </c>
      <c r="L341" s="29" t="n">
        <f>IF(ISNUMBER(BI341),BI341/90,"")</f>
        <v>0.08669909850030147</v>
      </c>
      <c r="M341" s="28" t="n">
        <v>3</v>
      </c>
      <c r="N341" s="28" t="n">
        <v>0</v>
      </c>
      <c r="O341" s="28" t="n">
        <v>0</v>
      </c>
      <c r="P341" s="30" t="n">
        <f>IF(AND(ISNUMBER(L341),L341&gt;0,COUNT(M341:O341)=3,MIN(M341:O341)&gt;=0),SUM(M341:O341)/L341,"")</f>
        <v>34.60243591794173</v>
      </c>
      <c r="Q341" s="16" t="str">
        <v>沿用原计划SKU店铺</v>
      </c>
      <c r="R341" s="16" t="str">
        <v>已匹配</v>
      </c>
      <c r="S341" s="16" t="str">
        <v>在售</v>
      </c>
      <c r="T341" s="16" t="str">
        <v>B07</v>
      </c>
      <c r="U341" s="16" t="str">
        <v>黑色色织提花</v>
      </c>
      <c r="V341" s="16" t="n">
        <v>10</v>
      </c>
      <c r="W341" s="8" t="str">
        <v>2026-10-11 至 2026-10-17</v>
      </c>
      <c r="X341" s="8" t="str">
        <v>2026-10-11、2026-10-12、2026-10-13、2026-10-14、2026-10-15、2026-10-16、2026-10-17</v>
      </c>
      <c r="Y341" s="8" t="str">
        <v>无</v>
      </c>
      <c r="Z341" s="8" t="n">
        <v>0</v>
      </c>
      <c r="AA341" s="8" t="n">
        <v>0</v>
      </c>
      <c r="AB341" s="8" t="n">
        <v>7</v>
      </c>
      <c r="AC341" s="8" t="str">
        <v>2026-10-02 至 2026-10-17</v>
      </c>
      <c r="AD341" s="8" t="str">
        <v>2026-10-02、2026-10-03、2026-10-04、2026-10-05、2026-10-08、2026-10-09、2026-10-10、2026-10-11、2026-10-12、2026-10-13、2026-10-14、2026-10-15、2026-10-16、2026-10-17</v>
      </c>
      <c r="AE341" s="8" t="str">
        <v>2026-10-06 大促；2026-10-07 大促</v>
      </c>
      <c r="AF341" s="8" t="n">
        <v>1</v>
      </c>
      <c r="AG341" s="8" t="n">
        <v>0</v>
      </c>
      <c r="AH341" s="8" t="n">
        <v>14</v>
      </c>
      <c r="AI341" s="8" t="str">
        <v>2026-09-16 至 2026-10-17</v>
      </c>
      <c r="AJ3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1" s="8" t="str">
        <v>2026-10-06 大促；2026-10-07 大促</v>
      </c>
      <c r="AL341" s="8" t="n">
        <v>1</v>
      </c>
      <c r="AM341" s="8" t="n">
        <v>0</v>
      </c>
      <c r="AN341" s="8" t="n">
        <v>30</v>
      </c>
      <c r="AO341" s="8" t="str">
        <v>B07 / 黑色天鹅绒 / 13306</v>
      </c>
      <c r="AP341" s="11" t="n">
        <v>0.7307750238224848</v>
      </c>
      <c r="AQ341" s="11" t="n">
        <v>0.7307750238224848</v>
      </c>
      <c r="AR341" s="11" t="n">
        <v>0.7449809054134506</v>
      </c>
      <c r="AS341" s="11" t="n">
        <f>IF(AND(COUNT(I341:K341,AP341:AR341)=6,MIN(AP341:AR341)&gt;0),I341/7/AP341*0.5+J341/14/AQ341*0.3+K341/30/AR341*0.2,"")</f>
        <v>0.038271851038049046</v>
      </c>
      <c r="AT341" s="8" t="n">
        <v>4</v>
      </c>
      <c r="AU341" s="8" t="n">
        <v>0</v>
      </c>
      <c r="AV341" s="8" t="n">
        <v>88</v>
      </c>
      <c r="AW341" s="11" t="n">
        <f>IF(AND(COUNT(AT341:AV341)=3,AT341&gt;=AU341,AU341&gt;=0,AV341&gt;0),(AT341-AU341)/AV341,"")</f>
        <v>0.045454545454545456</v>
      </c>
      <c r="AX341" s="8" t="n">
        <v>9</v>
      </c>
      <c r="AY341" s="8" t="n">
        <v>0</v>
      </c>
      <c r="AZ341" s="8" t="n">
        <v>178</v>
      </c>
      <c r="BA341" s="11" t="n">
        <f>IF(AND(COUNT(AX341:AZ341)=3,AX341&gt;=AY341,AY341&gt;=0,AZ341&gt;0),(AX341-AY341)/AZ341,"")</f>
        <v>0.05056179775280899</v>
      </c>
      <c r="BB341" s="8" t="n">
        <f>IF(COUNT(AS341,AW341,BA341)=3,1,0)</f>
        <v>1</v>
      </c>
      <c r="BC341" s="11" t="n">
        <f>IF(SUMIF($AO$11:$AO$1309,AO341,$BB$11:$BB$1309)=COUNTIF($AO$11:$AO$1309,AO341),SUMIF($AO$11:$AO$1309,AO341,$AS$11:$AS$1309),"")</f>
        <v>11.92937132043239</v>
      </c>
      <c r="BD341" s="11" t="n">
        <f>IF(SUMIF($AO$11:$AO$1309,AO341,$BB$11:$BB$1309)=COUNTIF($AO$11:$AO$1309,AO341),SUMIF($AO$11:$AO$1309,AO341,$AW$11:$AW$1309),"")</f>
        <v>5.794919786096258</v>
      </c>
      <c r="BE341" s="11" t="n">
        <f>IF(SUMIF($AO$11:$AO$1309,AO341,$BB$11:$BB$1309)=COUNTIF($AO$11:$AO$1309,AO341),SUMIF($AO$11:$AO$1309,AO341,$BA$11:$BA$1309),"")</f>
        <v>5.3098234349919755</v>
      </c>
      <c r="BF341" s="12" t="n">
        <f>IF(COUNT(BD341:BE341)&lt;&gt;2,"",IF(AND(BD341&gt;0,BE341&gt;0),0.7*AW341/BD341+0.3*BA341/BE341,IF(BD341&gt;0,AW341/BD341,IF(BE341&gt;0,BA341/BE341,IF(AND(ISNUMBER(BH341),BH341=0),0,"")))))</f>
        <v>0.008347396449869485</v>
      </c>
      <c r="BG341" s="11" t="n">
        <f>IF(AND(COUNT(BN341:BU341)=8,MIN(BN341:BU341)&gt;=0),SUMPRODUCT(BN341:BQ341,BR341:BU341),"")</f>
        <v>78.35892944347341</v>
      </c>
      <c r="BH341" s="11" t="n">
        <f>IF(COUNT(BC341,BG341)=2,BC341*BG341,"")</f>
        <v>934.7727656027569</v>
      </c>
      <c r="BI341" s="11" t="n">
        <f>IF(ISNUMBER(CI341),CI341,"")</f>
        <v>7.802918865027133</v>
      </c>
      <c r="BJ341" s="8" t="str">
        <v>低销提醒依据不完整</v>
      </c>
      <c r="BK341" s="8" t="str">
        <v>90天：2026-07-20 至 2026-10-17；180天：2026-04-21 至 2026-10-17</v>
      </c>
      <c r="BL341" s="8" t="str">
        <v>90天：2026-10-06、2026-10-07；180天：2026-10-06、2026-10-07</v>
      </c>
      <c r="BM341" s="8" t="str">
        <v>2026-10：12天 × 0.7307750238224848；2026-11：30天 × 0.9523018155490097；2026-12：31天 × 0.5958545198749097；2027-01：17天 × 1.3264167397065354</v>
      </c>
      <c r="BN341" s="11" t="n">
        <v>0.7307750238224848</v>
      </c>
      <c r="BO341" s="11" t="n">
        <v>0.9523018155490097</v>
      </c>
      <c r="BP341" s="11" t="n">
        <v>0.5958545198749097</v>
      </c>
      <c r="BQ341" s="11" t="n">
        <v>1.3264167397065354</v>
      </c>
      <c r="BR341" s="8" t="n">
        <v>12</v>
      </c>
      <c r="BS341" s="8" t="n">
        <v>30</v>
      </c>
      <c r="BT341" s="8" t="n">
        <v>31</v>
      </c>
      <c r="BU341" s="8" t="n">
        <v>17</v>
      </c>
      <c r="BV341" s="11" t="n">
        <f>IF(COUNT(BC341,BF341)=2,BC341*BF341,"")</f>
        <v>0.09957919180935218</v>
      </c>
      <c r="BW341" s="11" t="n">
        <f>IF(ISNUMBER(BN341),BN341,"")</f>
        <v>0.7307750238224848</v>
      </c>
      <c r="BX341" s="14" t="n">
        <f>IF(ISNUMBER(BR341),BR341,"")</f>
        <v>12</v>
      </c>
      <c r="BY341" s="13" t="n">
        <f>IF(AND(COUNT(BV341,BW341,BX341)=3,MIN(BV341,BW341,BX341)&gt;=0),BV341*BW341*BX341,"")</f>
        <v>0.8732398352004376</v>
      </c>
      <c r="BZ341" s="11" t="n">
        <f>IF(ISNUMBER(BO341),BO341,"")</f>
        <v>0.9523018155490097</v>
      </c>
      <c r="CA341" s="14" t="n">
        <f>IF(ISNUMBER(BS341),BS341,"")</f>
        <v>30</v>
      </c>
      <c r="CB341" s="13" t="n">
        <f>IF(AND(COUNT(BV341,BZ341,CA341)=3,MIN(BV341,BZ341,CA341)&gt;=0),BV341*BZ341*CA341,"")</f>
        <v>2.8448833545284744</v>
      </c>
      <c r="CC341" s="11" t="n">
        <f>IF(ISNUMBER(BP341),BP341,"")</f>
        <v>0.5958545198749097</v>
      </c>
      <c r="CD341" s="14" t="n">
        <f>IF(ISNUMBER(BT341),BT341,"")</f>
        <v>31</v>
      </c>
      <c r="CE341" s="13" t="n">
        <f>IF(AND(COUNT(BV341,CC341,CD341)=3,MIN(BV341,CC341,CD341)&gt;=0),BV341*CC341*CD341,"")</f>
        <v>1.8393760572778854</v>
      </c>
      <c r="CF341" s="11" t="n">
        <f>IF(ISNUMBER(BQ341),BQ341,"")</f>
        <v>1.3264167397065354</v>
      </c>
      <c r="CG341" s="14" t="n">
        <f>IF(ISNUMBER(BU341),BU341,"")</f>
        <v>17</v>
      </c>
      <c r="CH341" s="13" t="n">
        <f>IF(AND(COUNT(BV341,CF341,CG341)=3,MIN(BV341,CF341,CG341)&gt;=0),BV341*CF341*CG341,"")</f>
        <v>2.245419618020335</v>
      </c>
      <c r="CI341" s="13" t="n">
        <f>IF(COUNT(BY341,CB341,CE341,CH341)=4,SUM(BY341,CB341,CE341,CH341),"")</f>
        <v>7.802918865027133</v>
      </c>
    </row>
    <row r="342" ht="72" customHeight="1">
      <c r="A342" s="16" t="str">
        <v>B07-ND-I-0-39.5</v>
      </c>
      <c r="B342" s="16" t="str">
        <v>4店-彬郁-US</v>
      </c>
      <c r="C342" s="16" t="str">
        <v>艾年</v>
      </c>
      <c r="D342" s="26" t="n">
        <f>IF(NOT(ISNUMBER(E342)),"",IF(OR(E342&lt;=0,L342=0),0,IF(OR(NOT(ISNUMBER(F342)),F342&lt;0),"",MIN(E342,INT(F342)))))</f>
        <v>0</v>
      </c>
      <c r="E342" s="27" t="n">
        <f>IF(OR(NOT(ISNUMBER(L342)),COUNT(M342:O342)&lt;&gt;3,MIN(M342:O342)&lt;0),"",ROUNDUP(ROUND(BI342-SUM(M342:O342),10),0))</f>
        <v>5</v>
      </c>
      <c r="F342" s="28" t="n">
        <v>0</v>
      </c>
      <c r="G342" s="28" t="n">
        <f>IF(AND(ISNUMBER(D342),ISNUMBER(E342)),IF(OR(E342&lt;=0,L342=0),0,E342-D342),"")</f>
        <v>5</v>
      </c>
      <c r="H342" s="16" t="str">
        <f>IF(NOT(ISNUMBER(E342)),"销量或海外库存待补",IF(OR(E342&lt;=0,L342=0),IF(L342=0,"零日销，本批不发","本批无需补货"),IF(NOT(ISNUMBER(D342)),"国内库存待补",IF(D342=0,"国内无可用库存",IF(G342&gt;0,"先发国内现货","按建议量发货")))))</f>
        <v>国内无可用库存</v>
      </c>
      <c r="I342" s="28" t="n">
        <f>IF(AND(COUNT(Z342,AA342,AB342)=3,Z342&gt;=AA342,AA342&gt;=0,AB342=7),Z342-AA342,"")</f>
        <v>0</v>
      </c>
      <c r="J342" s="28" t="n">
        <f>IF(AND(COUNT(AF342,AG342,AH342)=3,AF342&gt;=AG342,AG342&gt;=0,AH342=14),AF342-AG342,"")</f>
        <v>0</v>
      </c>
      <c r="K342" s="28" t="n">
        <f>IF(AND(COUNT(AL342,AM342,AN342)=3,AL342&gt;=AM342,AM342&gt;=0,AN342=30),AL342-AM342,"")</f>
        <v>0</v>
      </c>
      <c r="L342" s="29" t="n">
        <f>IF(ISNUMBER(BI342),BI342/90,"")</f>
        <v>0.04796526844547365</v>
      </c>
      <c r="M342" s="28" t="n">
        <v>0</v>
      </c>
      <c r="N342" s="28" t="n">
        <v>0</v>
      </c>
      <c r="O342" s="28" t="n">
        <v>0</v>
      </c>
      <c r="P342" s="30" t="n">
        <f>IF(AND(ISNUMBER(L342),L342&gt;0,COUNT(M342:O342)=3,MIN(M342:O342)&gt;=0),SUM(M342:O342)/L342,"")</f>
        <v>0</v>
      </c>
      <c r="Q342" s="16" t="str">
        <v>沿用原计划SKU店铺</v>
      </c>
      <c r="R342" s="16" t="str">
        <v>已匹配</v>
      </c>
      <c r="S342" s="16" t="str">
        <v>停售</v>
      </c>
      <c r="T342" s="16" t="str">
        <v>B07</v>
      </c>
      <c r="U342" s="16" t="str">
        <v>裸色色织提花</v>
      </c>
      <c r="V342" s="16" t="n">
        <v>8.5</v>
      </c>
      <c r="W342" s="8" t="str">
        <v>2026-10-08 至 2026-10-17</v>
      </c>
      <c r="X342" s="8" t="str">
        <v>2026-10-08、2026-10-09、2026-10-10、2026-10-11、2026-10-14、2026-10-15、2026-10-17</v>
      </c>
      <c r="Y342" s="8" t="str">
        <v>2026-10-12 有记录的停售日；2026-10-13 有记录的停售日；2026-10-16 有记录的停售日</v>
      </c>
      <c r="Z342" s="8" t="n">
        <v>0</v>
      </c>
      <c r="AA342" s="8" t="n">
        <v>0</v>
      </c>
      <c r="AB342" s="8" t="n">
        <v>7</v>
      </c>
      <c r="AC342" s="8" t="str">
        <v>2026-09-29 至 2026-10-17</v>
      </c>
      <c r="AD342" s="8" t="str">
        <v>2026-09-29、2026-09-30、2026-10-01、2026-10-02、2026-10-03、2026-10-04、2026-10-05、2026-10-08、2026-10-09、2026-10-10、2026-10-11、2026-10-14、2026-10-15、2026-10-17</v>
      </c>
      <c r="AE342" s="8" t="str">
        <v>2026-10-06 大促；2026-10-07 大促；2026-10-12 有记录的停售日；2026-10-13 有记录的停售日；2026-10-16 有记录的停售日</v>
      </c>
      <c r="AF342" s="8" t="n">
        <v>0</v>
      </c>
      <c r="AG342" s="8" t="n">
        <v>0</v>
      </c>
      <c r="AH342" s="8" t="n">
        <v>14</v>
      </c>
      <c r="AI342" s="8" t="str">
        <v>2026-09-13 至 2026-10-17</v>
      </c>
      <c r="AJ34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42" s="8" t="str">
        <v>2026-10-06 大促；2026-10-07 大促；2026-10-12 有记录的停售日；2026-10-13 有记录的停售日；2026-10-16 有记录的停售日</v>
      </c>
      <c r="AL342" s="8" t="n">
        <v>0</v>
      </c>
      <c r="AM342" s="8" t="n">
        <v>0</v>
      </c>
      <c r="AN342" s="8" t="n">
        <v>30</v>
      </c>
      <c r="AO342" s="8" t="str">
        <v>B07 / 裸色镜面PU / 13306</v>
      </c>
      <c r="AP342" s="11" t="n">
        <v>0.7307750238224848</v>
      </c>
      <c r="AQ342" s="11" t="n">
        <v>0.7348338471341894</v>
      </c>
      <c r="AR342" s="11" t="n">
        <v>0.7478220817316438</v>
      </c>
      <c r="AS342" s="11" t="n">
        <f>IF(AND(COUNT(I342:K342,AP342:AR342)=6,MIN(AP342:AR342)&gt;0),I342/7/AP342*0.5+J342/14/AQ342*0.3+K342/30/AR342*0.2,"")</f>
        <v>0</v>
      </c>
      <c r="AT342" s="8" t="n">
        <v>2</v>
      </c>
      <c r="AU342" s="8" t="n">
        <v>0</v>
      </c>
      <c r="AV342" s="8" t="n">
        <v>85</v>
      </c>
      <c r="AW342" s="11" t="n">
        <f>IF(AND(COUNT(AT342:AV342)=3,AT342&gt;=AU342,AU342&gt;=0,AV342&gt;0),(AT342-AU342)/AV342,"")</f>
        <v>0.023529411764705882</v>
      </c>
      <c r="AX342" s="8" t="n">
        <v>9</v>
      </c>
      <c r="AY342" s="8" t="n">
        <v>0</v>
      </c>
      <c r="AZ342" s="8" t="n">
        <v>175</v>
      </c>
      <c r="BA342" s="11" t="n">
        <f>IF(AND(COUNT(AX342:AZ342)=3,AX342&gt;=AY342,AY342&gt;=0,AZ342&gt;0),(AX342-AY342)/AZ342,"")</f>
        <v>0.05142857142857143</v>
      </c>
      <c r="BB342" s="8" t="n">
        <f>IF(COUNT(AS342,AW342,BA342)=3,1,0)</f>
        <v>1</v>
      </c>
      <c r="BC342" s="11" t="n">
        <f>IF(SUMIF($AO$11:$AO$1309,AO342,$BB$11:$BB$1309)=COUNTIF($AO$11:$AO$1309,AO342),SUMIF($AO$11:$AO$1309,AO342,$AS$11:$AS$1309),"")</f>
        <v>0.683212878207941</v>
      </c>
      <c r="BD342" s="11" t="n">
        <f>IF(SUMIF($AO$11:$AO$1309,AO342,$BB$11:$BB$1309)=COUNTIF($AO$11:$AO$1309,AO342),SUMIF($AO$11:$AO$1309,AO342,$AW$11:$AW$1309),"")</f>
        <v>0.3772696182066906</v>
      </c>
      <c r="BE342" s="11" t="n">
        <f>IF(SUMIF($AO$11:$AO$1309,AO342,$BB$11:$BB$1309)=COUNTIF($AO$11:$AO$1309,AO342),SUMIF($AO$11:$AO$1309,AO342,$BA$11:$BA$1309),"")</f>
        <v>0.41723770611411054</v>
      </c>
      <c r="BF342" s="12" t="n">
        <f>IF(COUNT(BD342:BE342)&lt;&gt;2,"",IF(AND(BD342&gt;0,BE342&gt;0),0.7*AW342/BD342+0.3*BA342/BE342,IF(BD342&gt;0,AW342/BD342,IF(BE342&gt;0,BA342/BE342,IF(AND(ISNUMBER(BH342),BH342=0),0,"")))))</f>
        <v>0.08063523406290807</v>
      </c>
      <c r="BG342" s="11" t="n">
        <f>IF(AND(COUNT(BN342:BU342)=8,MIN(BN342:BU342)&gt;=0),SUMPRODUCT(BN342:BQ342,BR342:BU342),"")</f>
        <v>78.35892944347341</v>
      </c>
      <c r="BH342" s="11" t="n">
        <f>IF(COUNT(BC342,BG342)=2,BC342*BG342,"")</f>
        <v>53.53582971836844</v>
      </c>
      <c r="BI342" s="11" t="n">
        <f>IF(ISNUMBER(CI342),CI342,"")</f>
        <v>4.316874160092628</v>
      </c>
      <c r="BJ342" s="8" t="str"/>
      <c r="BK342" s="8" t="str">
        <v>90天：2026-07-20 至 2026-10-17；180天：2026-04-21 至 2026-10-17</v>
      </c>
      <c r="BL342" s="8" t="str">
        <v>90天：2026-10-06、2026-10-07、2026-10-12、2026-10-13、2026-10-16；180天：2026-10-06、2026-10-07、2026-10-12、2026-10-13、2026-10-16</v>
      </c>
      <c r="BM342" s="8" t="str">
        <v>2026-10：12天 × 0.7307750238224848；2026-11：30天 × 0.9523018155490097；2026-12：31天 × 0.5958545198749097；2027-01：17天 × 1.3264167397065354</v>
      </c>
      <c r="BN342" s="11" t="n">
        <v>0.7307750238224848</v>
      </c>
      <c r="BO342" s="11" t="n">
        <v>0.9523018155490097</v>
      </c>
      <c r="BP342" s="11" t="n">
        <v>0.5958545198749097</v>
      </c>
      <c r="BQ342" s="11" t="n">
        <v>1.3264167397065354</v>
      </c>
      <c r="BR342" s="8" t="n">
        <v>12</v>
      </c>
      <c r="BS342" s="8" t="n">
        <v>30</v>
      </c>
      <c r="BT342" s="8" t="n">
        <v>31</v>
      </c>
      <c r="BU342" s="8" t="n">
        <v>17</v>
      </c>
      <c r="BV342" s="11" t="n">
        <f>IF(COUNT(BC342,BF342)=2,BC342*BF342,"")</f>
        <v>0.05509103034909042</v>
      </c>
      <c r="BW342" s="11" t="n">
        <f>IF(ISNUMBER(BN342),BN342,"")</f>
        <v>0.7307750238224848</v>
      </c>
      <c r="BX342" s="14" t="n">
        <f>IF(ISNUMBER(BR342),BR342,"")</f>
        <v>12</v>
      </c>
      <c r="BY342" s="13" t="n">
        <f>IF(AND(COUNT(BV342,BW342,BX342)=3,MIN(BV342,BW342,BX342)&gt;=0),BV342*BW342*BX342,"")</f>
        <v>0.48310978818914146</v>
      </c>
      <c r="BZ342" s="11" t="n">
        <f>IF(ISNUMBER(BO342),BO342,"")</f>
        <v>0.9523018155490097</v>
      </c>
      <c r="CA342" s="14" t="n">
        <f>IF(ISNUMBER(BS342),BS342,"")</f>
        <v>30</v>
      </c>
      <c r="CB342" s="13" t="n">
        <f>IF(AND(COUNT(BV342,BZ342,CA342)=3,MIN(BV342,BZ342,CA342)&gt;=0),BV342*BZ342*CA342,"")</f>
        <v>1.573898646657132</v>
      </c>
      <c r="CC342" s="11" t="n">
        <f>IF(ISNUMBER(BP342),BP342,"")</f>
        <v>0.5958545198749097</v>
      </c>
      <c r="CD342" s="14" t="n">
        <f>IF(ISNUMBER(BT342),BT342,"")</f>
        <v>31</v>
      </c>
      <c r="CE342" s="13" t="n">
        <f>IF(AND(COUNT(BV342,CC342,CD342)=3,MIN(BV342,CC342,CD342)&gt;=0),BV342*CC342*CD342,"")</f>
        <v>1.0176134225802118</v>
      </c>
      <c r="CF342" s="11" t="n">
        <f>IF(ISNUMBER(BQ342),BQ342,"")</f>
        <v>1.3264167397065354</v>
      </c>
      <c r="CG342" s="14" t="n">
        <f>IF(ISNUMBER(BU342),BU342,"")</f>
        <v>17</v>
      </c>
      <c r="CH342" s="13" t="n">
        <f>IF(AND(COUNT(BV342,CF342,CG342)=3,MIN(BV342,CF342,CG342)&gt;=0),BV342*CF342*CG342,"")</f>
        <v>1.2422523026661434</v>
      </c>
      <c r="CI342" s="13" t="n">
        <f>IF(COUNT(BY342,CB342,CE342,CH342)=4,SUM(BY342,CB342,CE342,CH342),"")</f>
        <v>4.316874160092628</v>
      </c>
    </row>
    <row r="343" ht="72" customHeight="1">
      <c r="A343" s="16" t="str">
        <v>B07-RG-40-by</v>
      </c>
      <c r="B343" s="16" t="str">
        <v>4店-彬郁-US</v>
      </c>
      <c r="C343" s="16" t="str">
        <v>艾年</v>
      </c>
      <c r="D343" s="26" t="n">
        <f>IF(NOT(ISNUMBER(E343)),"",IF(OR(E343&lt;=0,L343=0),0,IF(OR(NOT(ISNUMBER(F343)),F343&lt;0),"",MIN(E343,INT(F343)))))</f>
        <v>0</v>
      </c>
      <c r="E343" s="27" t="n">
        <f>IF(OR(NOT(ISNUMBER(L343)),COUNT(M343:O343)&lt;&gt;3,MIN(M343:O343)&lt;0),"",ROUNDUP(ROUND(BI343-SUM(M343:O343),10),0))</f>
        <v>5</v>
      </c>
      <c r="F343" s="28" t="n">
        <v>0</v>
      </c>
      <c r="G343" s="28" t="n">
        <f>IF(AND(ISNUMBER(D343),ISNUMBER(E343)),IF(OR(E343&lt;=0,L343=0),0,E343-D343),"")</f>
        <v>5</v>
      </c>
      <c r="H343" s="16" t="str">
        <f>IF(NOT(ISNUMBER(E343)),"销量或海外库存待补",IF(OR(E343&lt;=0,L343=0),IF(L343=0,"零日销，本批不发","本批无需补货"),IF(NOT(ISNUMBER(D343)),"国内库存待补",IF(D343=0,"国内无可用库存",IF(G343&gt;0,"先发国内现货","按建议量发货")))))</f>
        <v>国内无可用库存</v>
      </c>
      <c r="I343" s="28" t="n">
        <f>IF(AND(COUNT(Z343,AA343,AB343)=3,Z343&gt;=AA343,AA343&gt;=0,AB343=7),Z343-AA343,"")</f>
        <v>0</v>
      </c>
      <c r="J343" s="28" t="n">
        <f>IF(AND(COUNT(AF343,AG343,AH343)=3,AF343&gt;=AG343,AG343&gt;=0,AH343=14),AF343-AG343,"")</f>
        <v>0</v>
      </c>
      <c r="K343" s="28" t="n">
        <f>IF(AND(COUNT(AL343,AM343,AN343)=3,AL343&gt;=AM343,AM343&gt;=0,AN343=30),AL343-AM343,"")</f>
        <v>1</v>
      </c>
      <c r="L343" s="29" t="n">
        <f>IF(ISNUMBER(BI343),BI343/90,"")</f>
        <v>0.04847343101831946</v>
      </c>
      <c r="M343" s="28" t="n">
        <v>0</v>
      </c>
      <c r="N343" s="28" t="n">
        <v>0</v>
      </c>
      <c r="O343" s="28" t="n">
        <v>0</v>
      </c>
      <c r="P343" s="30" t="n">
        <f>IF(AND(ISNUMBER(L343),L343&gt;0,COUNT(M343:O343)=3,MIN(M343:O343)&gt;=0),SUM(M343:O343)/L343,"")</f>
        <v>0</v>
      </c>
      <c r="Q343" s="16" t="str">
        <v>沿用原计划SKU店铺</v>
      </c>
      <c r="R343" s="16" t="str">
        <v>已匹配</v>
      </c>
      <c r="S343" s="16" t="str">
        <v>停售</v>
      </c>
      <c r="T343" s="16" t="str">
        <v>B07</v>
      </c>
      <c r="U343" s="16" t="str">
        <v>玫瑰金PU</v>
      </c>
      <c r="V343" s="16" t="n">
        <v>9</v>
      </c>
      <c r="W343" s="8" t="str">
        <v>2026-10-08 至 2026-10-17</v>
      </c>
      <c r="X343" s="8" t="str">
        <v>2026-10-08、2026-10-09、2026-10-10、2026-10-11、2026-10-14、2026-10-15、2026-10-17</v>
      </c>
      <c r="Y343" s="8" t="str">
        <v>2026-10-12 有记录的停售日；2026-10-13 有记录的停售日；2026-10-16 有记录的停售日</v>
      </c>
      <c r="Z343" s="8" t="n">
        <v>0</v>
      </c>
      <c r="AA343" s="8" t="n">
        <v>0</v>
      </c>
      <c r="AB343" s="8" t="n">
        <v>7</v>
      </c>
      <c r="AC343" s="8" t="str">
        <v>2026-09-29 至 2026-10-17</v>
      </c>
      <c r="AD343" s="8" t="str">
        <v>2026-09-29、2026-09-30、2026-10-01、2026-10-02、2026-10-03、2026-10-04、2026-10-05、2026-10-08、2026-10-09、2026-10-10、2026-10-11、2026-10-14、2026-10-15、2026-10-17</v>
      </c>
      <c r="AE343" s="8" t="str">
        <v>2026-10-06 大促；2026-10-07 大促；2026-10-12 有记录的停售日；2026-10-13 有记录的停售日；2026-10-16 有记录的停售日</v>
      </c>
      <c r="AF343" s="8" t="n">
        <v>0</v>
      </c>
      <c r="AG343" s="8" t="n">
        <v>0</v>
      </c>
      <c r="AH343" s="8" t="n">
        <v>14</v>
      </c>
      <c r="AI343" s="8" t="str">
        <v>2026-09-13 至 2026-10-17</v>
      </c>
      <c r="AJ34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43" s="8" t="str">
        <v>2026-10-06 大促；2026-10-07 大促；2026-10-12 有记录的停售日；2026-10-13 有记录的停售日；2026-10-16 有记录的停售日</v>
      </c>
      <c r="AL343" s="8" t="n">
        <v>1</v>
      </c>
      <c r="AM343" s="8" t="n">
        <v>0</v>
      </c>
      <c r="AN343" s="8" t="n">
        <v>30</v>
      </c>
      <c r="AO343" s="8" t="str">
        <v>B07 / 玫瑰金PU / 13306</v>
      </c>
      <c r="AP343" s="11" t="n">
        <v>0.7307750238224848</v>
      </c>
      <c r="AQ343" s="11" t="n">
        <v>0.7348338471341894</v>
      </c>
      <c r="AR343" s="11" t="n">
        <v>0.7478220817316438</v>
      </c>
      <c r="AS343" s="11" t="n">
        <f>IF(AND(COUNT(I343:K343,AP343:AR343)=6,MIN(AP343:AR343)&gt;0),I343/7/AP343*0.5+J343/14/AQ343*0.3+K343/30/AR343*0.2,"")</f>
        <v>0.008914776428143777</v>
      </c>
      <c r="AT343" s="8" t="n">
        <v>3</v>
      </c>
      <c r="AU343" s="8" t="n">
        <v>0</v>
      </c>
      <c r="AV343" s="8" t="n">
        <v>85</v>
      </c>
      <c r="AW343" s="11" t="n">
        <f>IF(AND(COUNT(AT343:AV343)=3,AT343&gt;=AU343,AU343&gt;=0,AV343&gt;0),(AT343-AU343)/AV343,"")</f>
        <v>0.03529411764705882</v>
      </c>
      <c r="AX343" s="8" t="n">
        <v>10</v>
      </c>
      <c r="AY343" s="8" t="n">
        <v>0</v>
      </c>
      <c r="AZ343" s="8" t="n">
        <v>175</v>
      </c>
      <c r="BA343" s="11" t="n">
        <f>IF(AND(COUNT(AX343:AZ343)=3,AX343&gt;=AY343,AY343&gt;=0,AZ343&gt;0),(AX343-AY343)/AZ343,"")</f>
        <v>0.05714285714285714</v>
      </c>
      <c r="BB343" s="8" t="n">
        <f>IF(COUNT(AS343,AW343,BA343)=3,1,0)</f>
        <v>1</v>
      </c>
      <c r="BC343" s="11" t="n">
        <f>IF(SUMIF($AO$11:$AO$1309,AO343,$BB$11:$BB$1309)=COUNTIF($AO$11:$AO$1309,AO343),SUMIF($AO$11:$AO$1309,AO343,$AS$11:$AS$1309),"")</f>
        <v>0.21004839022398944</v>
      </c>
      <c r="BD343" s="11" t="n">
        <f>IF(SUMIF($AO$11:$AO$1309,AO343,$BB$11:$BB$1309)=COUNTIF($AO$11:$AO$1309,AO343),SUMIF($AO$11:$AO$1309,AO343,$AW$11:$AW$1309),"")</f>
        <v>0.13836898395721925</v>
      </c>
      <c r="BE343" s="11" t="n">
        <f>IF(SUMIF($AO$11:$AO$1309,AO343,$BB$11:$BB$1309)=COUNTIF($AO$11:$AO$1309,AO343),SUMIF($AO$11:$AO$1309,AO343,$BA$11:$BA$1309),"")</f>
        <v>0.19817014446227932</v>
      </c>
      <c r="BF343" s="12" t="n">
        <f>IF(COUNT(BD343:BE343)&lt;&gt;2,"",IF(AND(BD343&gt;0,BE343&gt;0),0.7*AW343/BD343+0.3*BA343/BE343,IF(BD343&gt;0,AW343/BD343,IF(BE343&gt;0,BA343/BE343,IF(AND(ISNUMBER(BH343),BH343=0),0,"")))))</f>
        <v>0.265056475488159</v>
      </c>
      <c r="BG343" s="11" t="n">
        <f>IF(AND(COUNT(BN343:BU343)=8,MIN(BN343:BU343)&gt;=0),SUMPRODUCT(BN343:BQ343,BR343:BU343),"")</f>
        <v>78.35892944347341</v>
      </c>
      <c r="BH343" s="11" t="n">
        <f>IF(COUNT(BC343,BG343)=2,BC343*BG343,"")</f>
        <v>16.45916698927676</v>
      </c>
      <c r="BI343" s="11" t="n">
        <f>IF(ISNUMBER(CI343),CI343,"")</f>
        <v>4.362608791648752</v>
      </c>
      <c r="BJ343" s="8" t="str">
        <v>近180天本色销量32双（＜90），无有效新采购，请运营判断</v>
      </c>
      <c r="BK343" s="8" t="str">
        <v>90天：2026-07-20 至 2026-10-17；180天：2026-04-21 至 2026-10-17</v>
      </c>
      <c r="BL343" s="8" t="str">
        <v>90天：2026-10-06、2026-10-07、2026-10-12、2026-10-13、2026-10-16；180天：2026-10-06、2026-10-07、2026-10-12、2026-10-13、2026-10-16</v>
      </c>
      <c r="BM343" s="8" t="str">
        <v>2026-10：12天 × 0.7307750238224848；2026-11：30天 × 0.9523018155490097；2026-12：31天 × 0.5958545198749097；2027-01：17天 × 1.3264167397065354</v>
      </c>
      <c r="BN343" s="11" t="n">
        <v>0.7307750238224848</v>
      </c>
      <c r="BO343" s="11" t="n">
        <v>0.9523018155490097</v>
      </c>
      <c r="BP343" s="11" t="n">
        <v>0.5958545198749097</v>
      </c>
      <c r="BQ343" s="11" t="n">
        <v>1.3264167397065354</v>
      </c>
      <c r="BR343" s="8" t="n">
        <v>12</v>
      </c>
      <c r="BS343" s="8" t="n">
        <v>30</v>
      </c>
      <c r="BT343" s="8" t="n">
        <v>31</v>
      </c>
      <c r="BU343" s="8" t="n">
        <v>17</v>
      </c>
      <c r="BV343" s="11" t="n">
        <f>IF(COUNT(BC343,BF343)=2,BC343*BF343,"")</f>
        <v>0.05567468599473212</v>
      </c>
      <c r="BW343" s="11" t="n">
        <f>IF(ISNUMBER(BN343),BN343,"")</f>
        <v>0.7307750238224848</v>
      </c>
      <c r="BX343" s="14" t="n">
        <f>IF(ISNUMBER(BR343),BR343,"")</f>
        <v>12</v>
      </c>
      <c r="BY343" s="13" t="n">
        <f>IF(AND(COUNT(BV343,BW343,BX343)=3,MIN(BV343,BW343,BX343)&gt;=0),BV343*BW343*BX343,"")</f>
        <v>0.4882280398093167</v>
      </c>
      <c r="BZ343" s="11" t="n">
        <f>IF(ISNUMBER(BO343),BO343,"")</f>
        <v>0.9523018155490097</v>
      </c>
      <c r="CA343" s="14" t="n">
        <f>IF(ISNUMBER(BS343),BS343,"")</f>
        <v>30</v>
      </c>
      <c r="CB343" s="13" t="n">
        <f>IF(AND(COUNT(BV343,BZ343,CA343)=3,MIN(BV343,BZ343,CA343)&gt;=0),BV343*BZ343*CA343,"")</f>
        <v>1.5905731365871327</v>
      </c>
      <c r="CC343" s="11" t="n">
        <f>IF(ISNUMBER(BP343),BP343,"")</f>
        <v>0.5958545198749097</v>
      </c>
      <c r="CD343" s="14" t="n">
        <f>IF(ISNUMBER(BT343),BT343,"")</f>
        <v>31</v>
      </c>
      <c r="CE343" s="13" t="n">
        <f>IF(AND(COUNT(BV343,CC343,CD343)=3,MIN(BV343,CC343,CD343)&gt;=0),BV343*CC343*CD343,"")</f>
        <v>1.0283944120699013</v>
      </c>
      <c r="CF343" s="11" t="n">
        <f>IF(ISNUMBER(BQ343),BQ343,"")</f>
        <v>1.3264167397065354</v>
      </c>
      <c r="CG343" s="14" t="n">
        <f>IF(ISNUMBER(BU343),BU343,"")</f>
        <v>17</v>
      </c>
      <c r="CH343" s="13" t="n">
        <f>IF(AND(COUNT(BV343,CF343,CG343)=3,MIN(BV343,CF343,CG343)&gt;=0),BV343*CF343*CG343,"")</f>
        <v>1.2554132031824006</v>
      </c>
      <c r="CI343" s="13" t="n">
        <f>IF(COUNT(BY343,CB343,CE343,CH343)=4,SUM(BY343,CB343,CE343,CH343),"")</f>
        <v>4.362608791648752</v>
      </c>
    </row>
    <row r="344" ht="72" customHeight="1">
      <c r="A344" s="16" t="str">
        <v>S02-TN-42</v>
      </c>
      <c r="B344" s="16" t="str">
        <v>3店-SANDIEX-US</v>
      </c>
      <c r="C344" s="16" t="str">
        <v>陈晨</v>
      </c>
      <c r="D344" s="26" t="n">
        <f>IF(NOT(ISNUMBER(E344)),"",IF(OR(E344&lt;=0,L344=0),0,IF(OR(NOT(ISNUMBER(F344)),F344&lt;0),"",MIN(E344,INT(F344)))))</f>
        <v>0</v>
      </c>
      <c r="E344" s="27" t="n">
        <f>IF(OR(NOT(ISNUMBER(L344)),COUNT(M344:O344)&lt;&gt;3,MIN(M344:O344)&lt;0),"",ROUNDUP(ROUND(BI344-SUM(M344:O344),10),0))</f>
        <v>5</v>
      </c>
      <c r="F344" s="28" t="n">
        <v>0</v>
      </c>
      <c r="G344" s="28" t="n">
        <f>IF(AND(ISNUMBER(D344),ISNUMBER(E344)),IF(OR(E344&lt;=0,L344=0),0,E344-D344),"")</f>
        <v>5</v>
      </c>
      <c r="H344" s="16" t="str">
        <f>IF(NOT(ISNUMBER(E344)),"销量或海外库存待补",IF(OR(E344&lt;=0,L344=0),IF(L344=0,"零日销，本批不发","本批无需补货"),IF(NOT(ISNUMBER(D344)),"国内库存待补",IF(D344=0,"国内无可用库存",IF(G344&gt;0,"先发国内现货","按建议量发货")))))</f>
        <v>国内无可用库存</v>
      </c>
      <c r="I344" s="28" t="n">
        <f>IF(AND(COUNT(Z344,AA344,AB344)=3,Z344&gt;=AA344,AA344&gt;=0,AB344=7),Z344-AA344,"")</f>
        <v>1</v>
      </c>
      <c r="J344" s="28" t="n">
        <f>IF(AND(COUNT(AF344,AG344,AH344)=3,AF344&gt;=AG344,AG344&gt;=0,AH344=14),AF344-AG344,"")</f>
        <v>4</v>
      </c>
      <c r="K344" s="28" t="n">
        <f>IF(AND(COUNT(AL344,AM344,AN344)=3,AL344&gt;=AM344,AM344&gt;=0,AN344=30),AL344-AM344,"")</f>
        <v>7</v>
      </c>
      <c r="L344" s="29" t="n">
        <f>IF(ISNUMBER(BI344),BI344/90,"")</f>
        <v>0.14517391114478478</v>
      </c>
      <c r="M344" s="28" t="n">
        <v>9</v>
      </c>
      <c r="N344" s="28" t="n">
        <v>0</v>
      </c>
      <c r="O344" s="28" t="n">
        <v>0</v>
      </c>
      <c r="P344" s="30" t="n">
        <f>IF(AND(ISNUMBER(L344),L344&gt;0,COUNT(M344:O344)=3,MIN(M344:O344)&gt;=0),SUM(M344:O344)/L344,"")</f>
        <v>61.99460997523256</v>
      </c>
      <c r="Q344" s="16" t="str">
        <v>沿用原计划SKU店铺</v>
      </c>
      <c r="R344" s="16" t="str">
        <v>已匹配</v>
      </c>
      <c r="S344" s="16" t="str">
        <v>在售</v>
      </c>
      <c r="T344" s="16" t="str">
        <v>S02</v>
      </c>
      <c r="U344" s="16" t="str">
        <v>驼色</v>
      </c>
      <c r="V344" s="16" t="n">
        <v>11</v>
      </c>
      <c r="W344" s="8" t="str">
        <v>2026-10-11 至 2026-10-17</v>
      </c>
      <c r="X344" s="8" t="str">
        <v>2026-10-11、2026-10-12、2026-10-13、2026-10-14、2026-10-15、2026-10-16、2026-10-17</v>
      </c>
      <c r="Y344" s="8" t="str">
        <v>无</v>
      </c>
      <c r="Z344" s="8" t="n">
        <v>1</v>
      </c>
      <c r="AA344" s="8" t="n">
        <v>0</v>
      </c>
      <c r="AB344" s="8" t="n">
        <v>7</v>
      </c>
      <c r="AC344" s="8" t="str">
        <v>2026-10-02 至 2026-10-17</v>
      </c>
      <c r="AD344" s="8" t="str">
        <v>2026-10-02、2026-10-03、2026-10-04、2026-10-05、2026-10-08、2026-10-09、2026-10-10、2026-10-11、2026-10-12、2026-10-13、2026-10-14、2026-10-15、2026-10-16、2026-10-17</v>
      </c>
      <c r="AE344" s="8" t="str">
        <v>2026-10-06 大促；2026-10-07 大促</v>
      </c>
      <c r="AF344" s="8" t="n">
        <v>5</v>
      </c>
      <c r="AG344" s="8" t="n">
        <v>1</v>
      </c>
      <c r="AH344" s="8" t="n">
        <v>14</v>
      </c>
      <c r="AI344" s="8" t="str">
        <v>2026-09-16 至 2026-10-17</v>
      </c>
      <c r="AJ3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4" s="8" t="str">
        <v>2026-10-06 大促；2026-10-07 大促</v>
      </c>
      <c r="AL344" s="8" t="n">
        <v>8</v>
      </c>
      <c r="AM344" s="8" t="n">
        <v>1</v>
      </c>
      <c r="AN344" s="8" t="n">
        <v>30</v>
      </c>
      <c r="AO344" s="8" t="str">
        <v>S02 / 驼色 / 6574</v>
      </c>
      <c r="AP344" s="11" t="n">
        <v>0.9634503791704667</v>
      </c>
      <c r="AQ344" s="11" t="n">
        <v>0.9634503791704667</v>
      </c>
      <c r="AR344" s="11" t="n">
        <v>0.902244307144596</v>
      </c>
      <c r="AS344" s="11" t="n">
        <f>IF(AND(COUNT(I344:K344,AP344:AR344)=6,MIN(AP344:AR344)&gt;0),I344/7/AP344*0.5+J344/14/AQ344*0.3+K344/30/AR344*0.2,"")</f>
        <v>0.2148271276896941</v>
      </c>
      <c r="AT344" s="8" t="n">
        <v>10</v>
      </c>
      <c r="AU344" s="8" t="n">
        <v>1</v>
      </c>
      <c r="AV344" s="8" t="n">
        <v>88</v>
      </c>
      <c r="AW344" s="11" t="n">
        <f>IF(AND(COUNT(AT344:AV344)=3,AT344&gt;=AU344,AU344&gt;=0,AV344&gt;0),(AT344-AU344)/AV344,"")</f>
        <v>0.10227272727272728</v>
      </c>
      <c r="AX344" s="8" t="n">
        <v>14</v>
      </c>
      <c r="AY344" s="8" t="n">
        <v>1</v>
      </c>
      <c r="AZ344" s="8" t="n">
        <v>178</v>
      </c>
      <c r="BA344" s="11" t="n">
        <f>IF(AND(COUNT(AX344:AZ344)=3,AX344&gt;=AY344,AY344&gt;=0,AZ344&gt;0),(AX344-AY344)/AZ344,"")</f>
        <v>0.07303370786516854</v>
      </c>
      <c r="BB344" s="8" t="n">
        <f>IF(COUNT(AS344,AW344,BA344)=3,1,0)</f>
        <v>1</v>
      </c>
      <c r="BC344" s="11" t="n">
        <f>IF(SUMIF($AO$11:$AO$1309,AO344,$BB$11:$BB$1309)=COUNTIF($AO$11:$AO$1309,AO344),SUMIF($AO$11:$AO$1309,AO344,$AS$11:$AS$1309),"")</f>
        <v>2.6523136246811423</v>
      </c>
      <c r="BD344" s="11" t="n">
        <f>IF(SUMIF($AO$11:$AO$1309,AO344,$BB$11:$BB$1309)=COUNTIF($AO$11:$AO$1309,AO344),SUMIF($AO$11:$AO$1309,AO344,$AW$11:$AW$1309),"")</f>
        <v>1.5697492163009403</v>
      </c>
      <c r="BE344" s="11" t="n">
        <f>IF(SUMIF($AO$11:$AO$1309,AO344,$BB$11:$BB$1309)=COUNTIF($AO$11:$AO$1309,AO344),SUMIF($AO$11:$AO$1309,AO344,$BA$11:$BA$1309),"")</f>
        <v>1.2987367485558305</v>
      </c>
      <c r="BF344" s="12" t="n">
        <f>IF(COUNT(BD344:BE344)&lt;&gt;2,"",IF(AND(BD344&gt;0,BE344&gt;0),0.7*AW344/BD344+0.3*BA344/BE344,IF(BD344&gt;0,AW344/BD344,IF(BE344&gt;0,BA344/BE344,IF(AND(ISNUMBER(BH344),BH344=0),0,"")))))</f>
        <v>0.0624769161327172</v>
      </c>
      <c r="BG344" s="11" t="n">
        <f>IF(AND(COUNT(BN344:BU344)=8,MIN(BN344:BU344)&gt;=0),SUMPRODUCT(BN344:BQ344,BR344:BU344),"")</f>
        <v>78.84726365280937</v>
      </c>
      <c r="BH344" s="11" t="n">
        <f>IF(COUNT(BC344,BG344)=2,BC344*BG344,"")</f>
        <v>209.12767165517252</v>
      </c>
      <c r="BI344" s="11" t="n">
        <f>IF(ISNUMBER(CI344),CI344,"")</f>
        <v>13.065652003030632</v>
      </c>
      <c r="BJ344" s="8" t="str"/>
      <c r="BK344" s="8" t="str">
        <v>90天：2026-07-20 至 2026-10-17；180天：2026-04-21 至 2026-10-17</v>
      </c>
      <c r="BL344" s="8" t="str">
        <v>90天：2026-10-06、2026-10-07；180天：2026-10-06、2026-10-07</v>
      </c>
      <c r="BM344" s="8" t="str">
        <v>2026-10：12天 × 0.9634503791704667；2026-11：30天 × 0.8585031562320637；2026-12：31天 × 0.7896606554092485；2027-01：17天 × 1.0030167116538329</v>
      </c>
      <c r="BN344" s="11" t="n">
        <v>0.9634503791704667</v>
      </c>
      <c r="BO344" s="11" t="n">
        <v>0.8585031562320637</v>
      </c>
      <c r="BP344" s="11" t="n">
        <v>0.7896606554092485</v>
      </c>
      <c r="BQ344" s="11" t="n">
        <v>1.0030167116538329</v>
      </c>
      <c r="BR344" s="8" t="n">
        <v>12</v>
      </c>
      <c r="BS344" s="8" t="n">
        <v>30</v>
      </c>
      <c r="BT344" s="8" t="n">
        <v>31</v>
      </c>
      <c r="BU344" s="8" t="n">
        <v>17</v>
      </c>
      <c r="BV344" s="11" t="n">
        <f>IF(COUNT(BC344,BF344)=2,BC344*BF344,"")</f>
        <v>0.16570837588686688</v>
      </c>
      <c r="BW344" s="11" t="n">
        <f>IF(ISNUMBER(BN344),BN344,"")</f>
        <v>0.9634503791704667</v>
      </c>
      <c r="BX344" s="14" t="n">
        <f>IF(ISNUMBER(BR344),BR344,"")</f>
        <v>12</v>
      </c>
      <c r="BY344" s="13" t="n">
        <f>IF(AND(COUNT(BV344,BW344,BX344)=3,MIN(BV344,BW344,BX344)&gt;=0),BV344*BW344*BX344,"")</f>
        <v>1.9158215709590896</v>
      </c>
      <c r="BZ344" s="11" t="n">
        <f>IF(ISNUMBER(BO344),BO344,"")</f>
        <v>0.8585031562320637</v>
      </c>
      <c r="CA344" s="14" t="n">
        <f>IF(ISNUMBER(BS344),BS344,"")</f>
        <v>30</v>
      </c>
      <c r="CB344" s="13" t="n">
        <f>IF(AND(COUNT(BV344,BZ344,CA344)=3,MIN(BV344,BZ344,CA344)&gt;=0),BV344*BZ344*CA344,"")</f>
        <v>4.267834911388932</v>
      </c>
      <c r="CC344" s="11" t="n">
        <f>IF(ISNUMBER(BP344),BP344,"")</f>
        <v>0.7896606554092485</v>
      </c>
      <c r="CD344" s="14" t="n">
        <f>IF(ISNUMBER(BT344),BT344,"")</f>
        <v>31</v>
      </c>
      <c r="CE344" s="13" t="n">
        <f>IF(AND(COUNT(BV344,CC344,CD344)=3,MIN(BV344,CC344,CD344)&gt;=0),BV344*CC344*CD344,"")</f>
        <v>4.056454925998388</v>
      </c>
      <c r="CF344" s="11" t="n">
        <f>IF(ISNUMBER(BQ344),BQ344,"")</f>
        <v>1.0030167116538329</v>
      </c>
      <c r="CG344" s="14" t="n">
        <f>IF(ISNUMBER(BU344),BU344,"")</f>
        <v>17</v>
      </c>
      <c r="CH344" s="13" t="n">
        <f>IF(AND(COUNT(BV344,CF344,CG344)=3,MIN(BV344,CF344,CG344)&gt;=0),BV344*CF344*CG344,"")</f>
        <v>2.8255405946842225</v>
      </c>
      <c r="CI344" s="13" t="n">
        <f>IF(COUNT(BY344,CB344,CE344,CH344)=4,SUM(BY344,CB344,CE344,CH344),"")</f>
        <v>13.065652003030632</v>
      </c>
    </row>
    <row r="345" ht="72" customHeight="1">
      <c r="A345" s="16" t="str">
        <v>S02-TNP-38</v>
      </c>
      <c r="B345" s="16" t="str">
        <v>3店-SANDIEX-US</v>
      </c>
      <c r="C345" s="16" t="str">
        <v>陈晨</v>
      </c>
      <c r="D345" s="26" t="n">
        <f>IF(NOT(ISNUMBER(E345)),"",IF(OR(E345&lt;=0,L345=0),0,IF(OR(NOT(ISNUMBER(F345)),F345&lt;0),"",MIN(E345,INT(F345)))))</f>
        <v>0</v>
      </c>
      <c r="E345" s="27" t="n">
        <f>IF(OR(NOT(ISNUMBER(L345)),COUNT(M345:O345)&lt;&gt;3,MIN(M345:O345)&lt;0),"",ROUNDUP(ROUND(BI345-SUM(M345:O345),10),0))</f>
        <v>5</v>
      </c>
      <c r="F345" s="28" t="n">
        <v>0</v>
      </c>
      <c r="G345" s="28" t="n">
        <f>IF(AND(ISNUMBER(D345),ISNUMBER(E345)),IF(OR(E345&lt;=0,L345=0),0,E345-D345),"")</f>
        <v>5</v>
      </c>
      <c r="H345" s="16" t="str">
        <f>IF(NOT(ISNUMBER(E345)),"销量或海外库存待补",IF(OR(E345&lt;=0,L345=0),IF(L345=0,"零日销，本批不发","本批无需补货"),IF(NOT(ISNUMBER(D345)),"国内库存待补",IF(D345=0,"国内无可用库存",IF(G345&gt;0,"先发国内现货","按建议量发货")))))</f>
        <v>国内无可用库存</v>
      </c>
      <c r="I345" s="28" t="n">
        <f>IF(AND(COUNT(Z345,AA345,AB345)=3,Z345&gt;=AA345,AA345&gt;=0,AB345=7),Z345-AA345,"")</f>
        <v>2</v>
      </c>
      <c r="J345" s="28" t="n">
        <f>IF(AND(COUNT(AF345,AG345,AH345)=3,AF345&gt;=AG345,AG345&gt;=0,AH345=14),AF345-AG345,"")</f>
        <v>8</v>
      </c>
      <c r="K345" s="28" t="n">
        <f>IF(AND(COUNT(AL345,AM345,AN345)=3,AL345&gt;=AM345,AM345&gt;=0,AN345=30),AL345-AM345,"")</f>
        <v>14</v>
      </c>
      <c r="L345" s="29" t="n">
        <f>IF(ISNUMBER(BI345),BI345/90,"")</f>
        <v>0.4125149908729408</v>
      </c>
      <c r="M345" s="28" t="n">
        <v>33</v>
      </c>
      <c r="N345" s="28" t="n">
        <v>0</v>
      </c>
      <c r="O345" s="28" t="n">
        <v>0</v>
      </c>
      <c r="P345" s="30" t="n">
        <f>IF(AND(ISNUMBER(L345),L345&gt;0,COUNT(M345:O345)=3,MIN(M345:O345)&gt;=0),SUM(M345:O345)/L345,"")</f>
        <v>79.99709278483982</v>
      </c>
      <c r="Q345" s="16" t="str">
        <v>沿用原计划SKU店铺</v>
      </c>
      <c r="R345" s="16" t="str">
        <v>已匹配</v>
      </c>
      <c r="S345" s="16" t="str">
        <v>在售</v>
      </c>
      <c r="T345" s="16" t="str">
        <v>S02</v>
      </c>
      <c r="U345" s="16" t="str">
        <v>驼色PU</v>
      </c>
      <c r="V345" s="16" t="n">
        <v>7</v>
      </c>
      <c r="W345" s="8" t="str">
        <v>2026-10-11 至 2026-10-17</v>
      </c>
      <c r="X345" s="8" t="str">
        <v>2026-10-11、2026-10-12、2026-10-13、2026-10-14、2026-10-15、2026-10-16、2026-10-17</v>
      </c>
      <c r="Y345" s="8" t="str">
        <v>无</v>
      </c>
      <c r="Z345" s="8" t="n">
        <v>2</v>
      </c>
      <c r="AA345" s="8" t="n">
        <v>0</v>
      </c>
      <c r="AB345" s="8" t="n">
        <v>7</v>
      </c>
      <c r="AC345" s="8" t="str">
        <v>2026-10-02 至 2026-10-17</v>
      </c>
      <c r="AD345" s="8" t="str">
        <v>2026-10-02、2026-10-03、2026-10-04、2026-10-05、2026-10-08、2026-10-09、2026-10-10、2026-10-11、2026-10-12、2026-10-13、2026-10-14、2026-10-15、2026-10-16、2026-10-17</v>
      </c>
      <c r="AE345" s="8" t="str">
        <v>2026-10-06 大促；2026-10-07 大促</v>
      </c>
      <c r="AF345" s="8" t="n">
        <v>15</v>
      </c>
      <c r="AG345" s="8" t="n">
        <v>7</v>
      </c>
      <c r="AH345" s="8" t="n">
        <v>14</v>
      </c>
      <c r="AI345" s="8" t="str">
        <v>2026-09-16 至 2026-10-17</v>
      </c>
      <c r="AJ3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5" s="8" t="str">
        <v>2026-10-06 大促；2026-10-07 大促</v>
      </c>
      <c r="AL345" s="8" t="n">
        <v>21</v>
      </c>
      <c r="AM345" s="8" t="n">
        <v>7</v>
      </c>
      <c r="AN345" s="8" t="n">
        <v>30</v>
      </c>
      <c r="AO345" s="8" t="str">
        <v>S02 / 驼色PU / 6574</v>
      </c>
      <c r="AP345" s="11" t="n">
        <v>0.9634503791704667</v>
      </c>
      <c r="AQ345" s="11" t="n">
        <v>0.9634503791704667</v>
      </c>
      <c r="AR345" s="11" t="n">
        <v>0.902244307144596</v>
      </c>
      <c r="AS345" s="11" t="n">
        <f>IF(AND(COUNT(I345:K345,AP345:AR345)=6,MIN(AP345:AR345)&gt;0),I345/7/AP345*0.5+J345/14/AQ345*0.3+K345/30/AR345*0.2,"")</f>
        <v>0.4296542553793882</v>
      </c>
      <c r="AT345" s="8" t="n">
        <v>32</v>
      </c>
      <c r="AU345" s="8" t="n">
        <v>7</v>
      </c>
      <c r="AV345" s="8" t="n">
        <v>88</v>
      </c>
      <c r="AW345" s="11" t="n">
        <f>IF(AND(COUNT(AT345:AV345)=3,AT345&gt;=AU345,AU345&gt;=0,AV345&gt;0),(AT345-AU345)/AV345,"")</f>
        <v>0.2840909090909091</v>
      </c>
      <c r="AX345" s="8" t="n">
        <v>59</v>
      </c>
      <c r="AY345" s="8" t="n">
        <v>7</v>
      </c>
      <c r="AZ345" s="8" t="n">
        <v>178</v>
      </c>
      <c r="BA345" s="11" t="n">
        <f>IF(AND(COUNT(AX345:AZ345)=3,AX345&gt;=AY345,AY345&gt;=0,AZ345&gt;0),(AX345-AY345)/AZ345,"")</f>
        <v>0.29213483146067415</v>
      </c>
      <c r="BB345" s="8" t="n">
        <f>IF(COUNT(AS345,AW345,BA345)=3,1,0)</f>
        <v>1</v>
      </c>
      <c r="BC345" s="11" t="n">
        <f>IF(SUMIF($AO$11:$AO$1309,AO345,$BB$11:$BB$1309)=COUNTIF($AO$11:$AO$1309,AO345),SUMIF($AO$11:$AO$1309,AO345,$AS$11:$AS$1309),"")</f>
        <v>2.9113987850676852</v>
      </c>
      <c r="BD345" s="11" t="n">
        <f>IF(SUMIF($AO$11:$AO$1309,AO345,$BB$11:$BB$1309)=COUNTIF($AO$11:$AO$1309,AO345),SUMIF($AO$11:$AO$1309,AO345,$AW$11:$AW$1309),"")</f>
        <v>1.9090909090909094</v>
      </c>
      <c r="BE345" s="11" t="n">
        <f>IF(SUMIF($AO$11:$AO$1309,AO345,$BB$11:$BB$1309)=COUNTIF($AO$11:$AO$1309,AO345),SUMIF($AO$11:$AO$1309,AO345,$BA$11:$BA$1309),"")</f>
        <v>1.5224719101123596</v>
      </c>
      <c r="BF345" s="12" t="n">
        <f>IF(COUNT(BD345:BE345)&lt;&gt;2,"",IF(AND(BD345&gt;0,BE345&gt;0),0.7*AW345/BD345+0.3*BA345/BE345,IF(BD345&gt;0,AW345/BD345,IF(BE345&gt;0,BA345/BE345,IF(AND(ISNUMBER(BH345),BH345=0),0,"")))))</f>
        <v>0.1617312423124231</v>
      </c>
      <c r="BG345" s="11" t="n">
        <f>IF(AND(COUNT(BN345:BU345)=8,MIN(BN345:BU345)&gt;=0),SUMPRODUCT(BN345:BQ345,BR345:BU345),"")</f>
        <v>78.84726365280937</v>
      </c>
      <c r="BH345" s="11" t="n">
        <f>IF(COUNT(BC345,BG345)=2,BC345*BG345,"")</f>
        <v>229.55582760470068</v>
      </c>
      <c r="BI345" s="11" t="n">
        <f>IF(ISNUMBER(CI345),CI345,"")</f>
        <v>37.12634917856467</v>
      </c>
      <c r="BJ345" s="8" t="str"/>
      <c r="BK345" s="8" t="str">
        <v>90天：2026-07-20 至 2026-10-17；180天：2026-04-21 至 2026-10-17</v>
      </c>
      <c r="BL345" s="8" t="str">
        <v>90天：2026-10-06、2026-10-07；180天：2026-10-06、2026-10-07</v>
      </c>
      <c r="BM345" s="8" t="str">
        <v>2026-10：12天 × 0.9634503791704667；2026-11：30天 × 0.8585031562320637；2026-12：31天 × 0.7896606554092485；2027-01：17天 × 1.0030167116538329</v>
      </c>
      <c r="BN345" s="11" t="n">
        <v>0.9634503791704667</v>
      </c>
      <c r="BO345" s="11" t="n">
        <v>0.8585031562320637</v>
      </c>
      <c r="BP345" s="11" t="n">
        <v>0.7896606554092485</v>
      </c>
      <c r="BQ345" s="11" t="n">
        <v>1.0030167116538329</v>
      </c>
      <c r="BR345" s="8" t="n">
        <v>12</v>
      </c>
      <c r="BS345" s="8" t="n">
        <v>30</v>
      </c>
      <c r="BT345" s="8" t="n">
        <v>31</v>
      </c>
      <c r="BU345" s="8" t="n">
        <v>17</v>
      </c>
      <c r="BV345" s="11" t="n">
        <f>IF(COUNT(BC345,BF345)=2,BC345*BF345,"")</f>
        <v>0.47086414237587604</v>
      </c>
      <c r="BW345" s="11" t="n">
        <f>IF(ISNUMBER(BN345),BN345,"")</f>
        <v>0.9634503791704667</v>
      </c>
      <c r="BX345" s="14" t="n">
        <f>IF(ISNUMBER(BR345),BR345,"")</f>
        <v>12</v>
      </c>
      <c r="BY345" s="13" t="n">
        <f>IF(AND(COUNT(BV345,BW345,BX345)=3,MIN(BV345,BW345,BX345)&gt;=0),BV345*BW345*BX345,"")</f>
        <v>5.443850838117773</v>
      </c>
      <c r="BZ345" s="11" t="n">
        <f>IF(ISNUMBER(BO345),BO345,"")</f>
        <v>0.8585031562320637</v>
      </c>
      <c r="CA345" s="14" t="n">
        <f>IF(ISNUMBER(BS345),BS345,"")</f>
        <v>30</v>
      </c>
      <c r="CB345" s="13" t="n">
        <f>IF(AND(COUNT(BV345,BZ345,CA345)=3,MIN(BV345,BZ345,CA345)&gt;=0),BV345*BZ345*CA345,"")</f>
        <v>12.127150571585803</v>
      </c>
      <c r="CC345" s="11" t="n">
        <f>IF(ISNUMBER(BP345),BP345,"")</f>
        <v>0.7896606554092485</v>
      </c>
      <c r="CD345" s="14" t="n">
        <f>IF(ISNUMBER(BT345),BT345,"")</f>
        <v>31</v>
      </c>
      <c r="CE345" s="13" t="n">
        <f>IF(AND(COUNT(BV345,CC345,CD345)=3,MIN(BV345,CC345,CD345)&gt;=0),BV345*CC345*CD345,"")</f>
        <v>11.526509505594687</v>
      </c>
      <c r="CF345" s="11" t="n">
        <f>IF(ISNUMBER(BQ345),BQ345,"")</f>
        <v>1.0030167116538329</v>
      </c>
      <c r="CG345" s="14" t="n">
        <f>IF(ISNUMBER(BU345),BU345,"")</f>
        <v>17</v>
      </c>
      <c r="CH345" s="13" t="n">
        <f>IF(AND(COUNT(BV345,CF345,CG345)=3,MIN(BV345,CF345,CG345)&gt;=0),BV345*CF345*CG345,"")</f>
        <v>8.028838263266406</v>
      </c>
      <c r="CI345" s="13" t="n">
        <f>IF(COUNT(BY345,CB345,CE345,CH345)=4,SUM(BY345,CB345,CE345,CH345),"")</f>
        <v>37.12634917856467</v>
      </c>
    </row>
    <row r="346" ht="72" customHeight="1">
      <c r="A346" s="16" t="str">
        <v>32582-PK-38</v>
      </c>
      <c r="B346" s="16" t="str">
        <v>3店-SANDIEX-US</v>
      </c>
      <c r="C346" s="16" t="str">
        <v>徐新怡</v>
      </c>
      <c r="D346" s="26" t="n">
        <f>IF(NOT(ISNUMBER(E346)),"",IF(OR(E346&lt;=0,L346=0),0,IF(OR(NOT(ISNUMBER(F346)),F346&lt;0),"",MIN(E346,INT(F346)))))</f>
        <v>0</v>
      </c>
      <c r="E346" s="27" t="n">
        <f>IF(OR(NOT(ISNUMBER(L346)),COUNT(M346:O346)&lt;&gt;3,MIN(M346:O346)&lt;0),"",ROUNDUP(ROUND(BI346-SUM(M346:O346),10),0))</f>
        <v>4</v>
      </c>
      <c r="F346" s="28" t="n">
        <v>0</v>
      </c>
      <c r="G346" s="28" t="n">
        <f>IF(AND(ISNUMBER(D346),ISNUMBER(E346)),IF(OR(E346&lt;=0,L346=0),0,E346-D346),"")</f>
        <v>4</v>
      </c>
      <c r="H346" s="16" t="str">
        <f>IF(NOT(ISNUMBER(E346)),"销量或海外库存待补",IF(OR(E346&lt;=0,L346=0),IF(L346=0,"零日销，本批不发","本批无需补货"),IF(NOT(ISNUMBER(D346)),"国内库存待补",IF(D346=0,"国内无可用库存",IF(G346&gt;0,"先发国内现货","按建议量发货")))))</f>
        <v>国内无可用库存</v>
      </c>
      <c r="I346" s="28" t="n">
        <f>IF(AND(COUNT(Z346,AA346,AB346)=3,Z346&gt;=AA346,AA346&gt;=0,AB346=7),Z346-AA346,"")</f>
        <v>0</v>
      </c>
      <c r="J346" s="28" t="n">
        <f>IF(AND(COUNT(AF346,AG346,AH346)=3,AF346&gt;=AG346,AG346&gt;=0,AH346=14),AF346-AG346,"")</f>
        <v>1</v>
      </c>
      <c r="K346" s="28" t="n">
        <f>IF(AND(COUNT(AL346,AM346,AN346)=3,AL346&gt;=AM346,AM346&gt;=0,AN346=30),AL346-AM346,"")</f>
        <v>2</v>
      </c>
      <c r="L346" s="29" t="n">
        <f>IF(ISNUMBER(BI346),BI346/90,"")</f>
        <v>0.035538781952274716</v>
      </c>
      <c r="M346" s="28" t="n">
        <v>0</v>
      </c>
      <c r="N346" s="28" t="n">
        <v>0</v>
      </c>
      <c r="O346" s="28" t="n">
        <v>0</v>
      </c>
      <c r="P346" s="30" t="n">
        <f>IF(AND(ISNUMBER(L346),L346&gt;0,COUNT(M346:O346)=3,MIN(M346:O346)&gt;=0),SUM(M346:O346)/L346,"")</f>
        <v>0</v>
      </c>
      <c r="Q346" s="16" t="str">
        <v>沿用原计划SKU店铺</v>
      </c>
      <c r="R346" s="16" t="str">
        <v>已匹配</v>
      </c>
      <c r="S346" s="16" t="str">
        <v>停售</v>
      </c>
      <c r="T346" s="16" t="str">
        <v>32582</v>
      </c>
      <c r="U346" s="16" t="str">
        <v>粉色</v>
      </c>
      <c r="V346" s="16" t="n">
        <v>7</v>
      </c>
      <c r="W346" s="8" t="str">
        <v>2026-10-08 至 2026-10-17</v>
      </c>
      <c r="X346" s="8" t="str">
        <v>2026-10-08、2026-10-09、2026-10-10、2026-10-11、2026-10-14、2026-10-15、2026-10-17</v>
      </c>
      <c r="Y346" s="8" t="str">
        <v>2026-10-12 有记录的停售日；2026-10-13 有记录的停售日；2026-10-16 有记录的停售日</v>
      </c>
      <c r="Z346" s="8" t="n">
        <v>0</v>
      </c>
      <c r="AA346" s="8" t="n">
        <v>0</v>
      </c>
      <c r="AB346" s="8" t="n">
        <v>7</v>
      </c>
      <c r="AC346" s="8" t="str">
        <v>2026-09-29 至 2026-10-17</v>
      </c>
      <c r="AD346" s="8" t="str">
        <v>2026-09-29、2026-09-30、2026-10-01、2026-10-02、2026-10-03、2026-10-04、2026-10-05、2026-10-08、2026-10-09、2026-10-10、2026-10-11、2026-10-14、2026-10-15、2026-10-17</v>
      </c>
      <c r="AE346" s="8" t="str">
        <v>2026-10-06 大促；2026-10-07 大促；2026-10-12 有记录的停售日；2026-10-13 有记录的停售日；2026-10-16 有记录的停售日</v>
      </c>
      <c r="AF346" s="8" t="n">
        <v>1</v>
      </c>
      <c r="AG346" s="8" t="n">
        <v>0</v>
      </c>
      <c r="AH346" s="8" t="n">
        <v>14</v>
      </c>
      <c r="AI346" s="8" t="str">
        <v>2026-09-13 至 2026-10-17</v>
      </c>
      <c r="AJ34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46" s="8" t="str">
        <v>2026-10-06 大促；2026-10-07 大促；2026-10-12 有记录的停售日；2026-10-13 有记录的停售日；2026-10-16 有记录的停售日</v>
      </c>
      <c r="AL346" s="8" t="n">
        <v>2</v>
      </c>
      <c r="AM346" s="8" t="n">
        <v>0</v>
      </c>
      <c r="AN346" s="8" t="n">
        <v>30</v>
      </c>
      <c r="AO346" s="8" t="str">
        <v>32582 / 粉色羊京绒 / 6574</v>
      </c>
      <c r="AP346" s="11" t="n">
        <v>1.0395067087630607</v>
      </c>
      <c r="AQ346" s="11" t="n">
        <v>1.048428692110265</v>
      </c>
      <c r="AR346" s="11" t="n">
        <v>1.076979038821319</v>
      </c>
      <c r="AS346" s="11" t="n">
        <f>IF(AND(COUNT(I346:K346,AP346:AR346)=6,MIN(AP346:AR346)&gt;0),I346/7/AP346*0.5+J346/14/AQ346*0.3+K346/30/AR346*0.2,"")</f>
        <v>0.032819058563804716</v>
      </c>
      <c r="AT346" s="8" t="n">
        <v>6</v>
      </c>
      <c r="AU346" s="8" t="n">
        <v>0</v>
      </c>
      <c r="AV346" s="8" t="n">
        <v>85</v>
      </c>
      <c r="AW346" s="11" t="n">
        <f>IF(AND(COUNT(AT346:AV346)=3,AT346&gt;=AU346,AU346&gt;=0,AV346&gt;0),(AT346-AU346)/AV346,"")</f>
        <v>0.07058823529411765</v>
      </c>
      <c r="AX346" s="8" t="n">
        <v>13</v>
      </c>
      <c r="AY346" s="8" t="n">
        <v>0</v>
      </c>
      <c r="AZ346" s="8" t="n">
        <v>175</v>
      </c>
      <c r="BA346" s="11" t="n">
        <f>IF(AND(COUNT(AX346:AZ346)=3,AX346&gt;=AY346,AY346&gt;=0,AZ346&gt;0),(AX346-AY346)/AZ346,"")</f>
        <v>0.07428571428571429</v>
      </c>
      <c r="BB346" s="8" t="n">
        <f>IF(COUNT(AS346,AW346,BA346)=3,1,0)</f>
        <v>1</v>
      </c>
      <c r="BC346" s="11" t="n">
        <f>IF(SUMIF($AO$11:$AO$1309,AO346,$BB$11:$BB$1309)=COUNTIF($AO$11:$AO$1309,AO346),SUMIF($AO$11:$AO$1309,AO346,$AS$11:$AS$1309),"")</f>
        <v>0.13201914161115513</v>
      </c>
      <c r="BD346" s="11" t="n">
        <f>IF(SUMIF($AO$11:$AO$1309,AO346,$BB$11:$BB$1309)=COUNTIF($AO$11:$AO$1309,AO346),SUMIF($AO$11:$AO$1309,AO346,$AW$11:$AW$1309),"")</f>
        <v>0.2418449197860963</v>
      </c>
      <c r="BE346" s="11" t="n">
        <f>IF(SUMIF($AO$11:$AO$1309,AO346,$BB$11:$BB$1309)=COUNTIF($AO$11:$AO$1309,AO346),SUMIF($AO$11:$AO$1309,AO346,$BA$11:$BA$1309),"")</f>
        <v>0.31768860353130013</v>
      </c>
      <c r="BF346" s="12" t="n">
        <f>IF(COUNT(BD346:BE346)&lt;&gt;2,"",IF(AND(BD346&gt;0,BE346&gt;0),0.7*AW346/BD346+0.3*BA346/BE346,IF(BD346&gt;0,AW346/BD346,IF(BE346&gt;0,BA346/BE346,IF(AND(ISNUMBER(BH346),BH346=0),0,"")))))</f>
        <v>0.2744613298369376</v>
      </c>
      <c r="BG346" s="11" t="n">
        <f>IF(AND(COUNT(BN346:BU346)=8,MIN(BN346:BU346)&gt;=0),SUMPRODUCT(BN346:BQ346,BR346:BU346),"")</f>
        <v>88.27281580841549</v>
      </c>
      <c r="BH346" s="11" t="n">
        <f>IF(COUNT(BC346,BG346)=2,BC346*BG346,"")</f>
        <v>11.653701370626617</v>
      </c>
      <c r="BI346" s="11" t="n">
        <f>IF(ISNUMBER(CI346),CI346,"")</f>
        <v>3.1984903757047247</v>
      </c>
      <c r="BJ346" s="8" t="str">
        <v>近180天本色销量57双（＜90），无有效新采购，请运营判断</v>
      </c>
      <c r="BK346" s="8" t="str">
        <v>90天：2026-07-20 至 2026-10-17；180天：2026-04-21 至 2026-10-17</v>
      </c>
      <c r="BL346" s="8" t="str">
        <v>90天：2026-10-06、2026-10-07、2026-10-12、2026-10-13、2026-10-16；180天：2026-10-06、2026-10-07、2026-10-12、2026-10-13、2026-10-16</v>
      </c>
      <c r="BM346" s="8" t="str">
        <v>2026-10：12天 × 1.0395067087630607；2026-11：30天 × 0.9890368360033146；2026-12：31天 × 0.7800796503018808；2027-01：17天 × 1.2908918272824135</v>
      </c>
      <c r="BN346" s="11" t="n">
        <v>1.0395067087630607</v>
      </c>
      <c r="BO346" s="11" t="n">
        <v>0.9890368360033146</v>
      </c>
      <c r="BP346" s="11" t="n">
        <v>0.7800796503018808</v>
      </c>
      <c r="BQ346" s="11" t="n">
        <v>1.2908918272824135</v>
      </c>
      <c r="BR346" s="8" t="n">
        <v>12</v>
      </c>
      <c r="BS346" s="8" t="n">
        <v>30</v>
      </c>
      <c r="BT346" s="8" t="n">
        <v>31</v>
      </c>
      <c r="BU346" s="8" t="n">
        <v>17</v>
      </c>
      <c r="BV346" s="11" t="n">
        <f>IF(COUNT(BC346,BF346)=2,BC346*BF346,"")</f>
        <v>0.036234149170528626</v>
      </c>
      <c r="BW346" s="11" t="n">
        <f>IF(ISNUMBER(BN346),BN346,"")</f>
        <v>1.0395067087630607</v>
      </c>
      <c r="BX346" s="14" t="n">
        <f>IF(ISNUMBER(BR346),BR346,"")</f>
        <v>12</v>
      </c>
      <c r="BY346" s="13" t="n">
        <f>IF(AND(COUNT(BV346,BW346,BX346)=3,MIN(BV346,BW346,BX346)&gt;=0),BV346*BW346*BX346,"")</f>
        <v>0.45198769378903203</v>
      </c>
      <c r="BZ346" s="11" t="n">
        <f>IF(ISNUMBER(BO346),BO346,"")</f>
        <v>0.9890368360033146</v>
      </c>
      <c r="CA346" s="14" t="n">
        <f>IF(ISNUMBER(BS346),BS346,"")</f>
        <v>30</v>
      </c>
      <c r="CB346" s="13" t="n">
        <f>IF(AND(COUNT(BV346,BZ346,CA346)=3,MIN(BV346,BZ346,CA346)&gt;=0),BV346*BZ346*CA346,"")</f>
        <v>1.0751072475267527</v>
      </c>
      <c r="CC346" s="11" t="n">
        <f>IF(ISNUMBER(BP346),BP346,"")</f>
        <v>0.7800796503018808</v>
      </c>
      <c r="CD346" s="14" t="n">
        <f>IF(ISNUMBER(BT346),BT346,"")</f>
        <v>31</v>
      </c>
      <c r="CE346" s="13" t="n">
        <f>IF(AND(COUNT(BV346,CC346,CD346)=3,MIN(BV346,CC346,CD346)&gt;=0),BV346*CC346*CD346,"")</f>
        <v>0.8762311948318968</v>
      </c>
      <c r="CF346" s="11" t="n">
        <f>IF(ISNUMBER(BQ346),BQ346,"")</f>
        <v>1.2908918272824135</v>
      </c>
      <c r="CG346" s="14" t="n">
        <f>IF(ISNUMBER(BU346),BU346,"")</f>
        <v>17</v>
      </c>
      <c r="CH346" s="13" t="n">
        <f>IF(AND(COUNT(BV346,CF346,CG346)=3,MIN(BV346,CF346,CG346)&gt;=0),BV346*CF346*CG346,"")</f>
        <v>0.7951642395570432</v>
      </c>
      <c r="CI346" s="13" t="n">
        <f>IF(COUNT(BY346,CB346,CE346,CH346)=4,SUM(BY346,CB346,CE346,CH346),"")</f>
        <v>3.1984903757047247</v>
      </c>
    </row>
    <row r="347" ht="72" customHeight="1">
      <c r="A347" s="16" t="str">
        <v>60516-RD-S-K-10</v>
      </c>
      <c r="B347" s="16" t="str">
        <v>3店-SANDIEX-US</v>
      </c>
      <c r="C347" s="16" t="str">
        <v>徐新怡</v>
      </c>
      <c r="D347" s="26" t="n">
        <f>IF(NOT(ISNUMBER(E347)),"",IF(OR(E347&lt;=0,L347=0),0,IF(OR(NOT(ISNUMBER(F347)),F347&lt;0),"",MIN(E347,INT(F347)))))</f>
        <v>0</v>
      </c>
      <c r="E347" s="27" t="n">
        <f>IF(OR(NOT(ISNUMBER(L347)),COUNT(M347:O347)&lt;&gt;3,MIN(M347:O347)&lt;0),"",ROUNDUP(ROUND(BI347-SUM(M347:O347),10),0))</f>
        <v>4</v>
      </c>
      <c r="F347" s="28" t="n">
        <v>0</v>
      </c>
      <c r="G347" s="28" t="n">
        <f>IF(AND(ISNUMBER(D347),ISNUMBER(E347)),IF(OR(E347&lt;=0,L347=0),0,E347-D347),"")</f>
        <v>4</v>
      </c>
      <c r="H347" s="16" t="str">
        <f>IF(NOT(ISNUMBER(E347)),"销量或海外库存待补",IF(OR(E347&lt;=0,L347=0),IF(L347=0,"零日销，本批不发","本批无需补货"),IF(NOT(ISNUMBER(D347)),"国内库存待补",IF(D347=0,"国内无可用库存",IF(G347&gt;0,"先发国内现货","按建议量发货")))))</f>
        <v>国内无可用库存</v>
      </c>
      <c r="I347" s="28" t="n">
        <f>IF(AND(COUNT(Z347,AA347,AB347)=3,Z347&gt;=AA347,AA347&gt;=0,AB347=7),Z347-AA347,"")</f>
        <v>3</v>
      </c>
      <c r="J347" s="28" t="n">
        <f>IF(AND(COUNT(AF347,AG347,AH347)=3,AF347&gt;=AG347,AG347&gt;=0,AH347=14),AF347-AG347,"")</f>
        <v>3</v>
      </c>
      <c r="K347" s="28" t="n">
        <f>IF(AND(COUNT(AL347,AM347,AN347)=3,AL347&gt;=AM347,AM347&gt;=0,AN347=30),AL347-AM347,"")</f>
        <v>6</v>
      </c>
      <c r="L347" s="29" t="n">
        <f>IF(ISNUMBER(BI347),BI347/90,"")</f>
        <v>0.10844798257751481</v>
      </c>
      <c r="M347" s="28" t="n">
        <v>6</v>
      </c>
      <c r="N347" s="28" t="n">
        <v>0</v>
      </c>
      <c r="O347" s="28" t="n">
        <v>0</v>
      </c>
      <c r="P347" s="30" t="n">
        <f>IF(AND(ISNUMBER(L347),L347&gt;0,COUNT(M347:O347)=3,MIN(M347:O347)&gt;=0),SUM(M347:O347)/L347,"")</f>
        <v>55.326063771738774</v>
      </c>
      <c r="Q347" s="16" t="str">
        <v>沿用原计划SKU店铺</v>
      </c>
      <c r="R347" s="16" t="str">
        <v>已匹配</v>
      </c>
      <c r="S347" s="16" t="str">
        <v>在售</v>
      </c>
      <c r="T347" s="16" t="str">
        <v>60516</v>
      </c>
      <c r="U347" s="16" t="str">
        <v>红色</v>
      </c>
      <c r="V347" s="16" t="n">
        <v>10</v>
      </c>
      <c r="W347" s="8" t="str">
        <v>2026-10-11 至 2026-10-17</v>
      </c>
      <c r="X347" s="8" t="str">
        <v>2026-10-11、2026-10-12、2026-10-13、2026-10-14、2026-10-15、2026-10-16、2026-10-17</v>
      </c>
      <c r="Y347" s="8" t="str">
        <v>无</v>
      </c>
      <c r="Z347" s="8" t="n">
        <v>3</v>
      </c>
      <c r="AA347" s="8" t="n">
        <v>0</v>
      </c>
      <c r="AB347" s="8" t="n">
        <v>7</v>
      </c>
      <c r="AC347" s="8" t="str">
        <v>2026-10-02 至 2026-10-17</v>
      </c>
      <c r="AD347" s="8" t="str">
        <v>2026-10-02、2026-10-03、2026-10-04、2026-10-05、2026-10-08、2026-10-09、2026-10-10、2026-10-11、2026-10-12、2026-10-13、2026-10-14、2026-10-15、2026-10-16、2026-10-17</v>
      </c>
      <c r="AE347" s="8" t="str">
        <v>2026-10-06 大促；2026-10-07 大促</v>
      </c>
      <c r="AF347" s="8" t="n">
        <v>6</v>
      </c>
      <c r="AG347" s="8" t="n">
        <v>3</v>
      </c>
      <c r="AH347" s="8" t="n">
        <v>14</v>
      </c>
      <c r="AI347" s="8" t="str">
        <v>2026-09-16 至 2026-10-17</v>
      </c>
      <c r="AJ3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47" s="8" t="str">
        <v>2026-10-06 大促；2026-10-07 大促</v>
      </c>
      <c r="AL347" s="8" t="n">
        <v>9</v>
      </c>
      <c r="AM347" s="8" t="n">
        <v>3</v>
      </c>
      <c r="AN347" s="8" t="n">
        <v>30</v>
      </c>
      <c r="AO347" s="8" t="str">
        <v>60516 / 红色羊京绒 / 6574</v>
      </c>
      <c r="AP347" s="11" t="n">
        <v>1.8609238953732312</v>
      </c>
      <c r="AQ347" s="11" t="n">
        <v>1.8609238953732312</v>
      </c>
      <c r="AR347" s="11" t="n">
        <v>1.7598476169692943</v>
      </c>
      <c r="AS347" s="11" t="n">
        <f>IF(AND(COUNT(I347:K347,AP347:AR347)=6,MIN(AP347:AR347)&gt;0),I347/7/AP347*0.5+J347/14/AQ347*0.3+K347/30/AR347*0.2,"")</f>
        <v>0.17242446960105348</v>
      </c>
      <c r="AT347" s="8" t="n">
        <v>13</v>
      </c>
      <c r="AU347" s="8" t="n">
        <v>3</v>
      </c>
      <c r="AV347" s="8" t="n">
        <v>88</v>
      </c>
      <c r="AW347" s="11" t="n">
        <f>IF(AND(COUNT(AT347:AV347)=3,AT347&gt;=AU347,AU347&gt;=0,AV347&gt;0),(AT347-AU347)/AV347,"")</f>
        <v>0.11363636363636363</v>
      </c>
      <c r="AX347" s="8" t="n">
        <v>16</v>
      </c>
      <c r="AY347" s="8" t="n">
        <v>3</v>
      </c>
      <c r="AZ347" s="8" t="n">
        <v>178</v>
      </c>
      <c r="BA347" s="11" t="n">
        <f>IF(AND(COUNT(AX347:AZ347)=3,AX347&gt;=AY347,AY347&gt;=0,AZ347&gt;0),(AX347-AY347)/AZ347,"")</f>
        <v>0.07303370786516854</v>
      </c>
      <c r="BB347" s="8" t="n">
        <f>IF(COUNT(AS347,AW347,BA347)=3,1,0)</f>
        <v>1</v>
      </c>
      <c r="BC347" s="11" t="n">
        <f>IF(SUMIF($AO$11:$AO$1309,AO347,$BB$11:$BB$1309)=COUNTIF($AO$11:$AO$1309,AO347),SUMIF($AO$11:$AO$1309,AO347,$AS$11:$AS$1309),"")</f>
        <v>0.3946219562135558</v>
      </c>
      <c r="BD347" s="11" t="n">
        <f>IF(SUMIF($AO$11:$AO$1309,AO347,$BB$11:$BB$1309)=COUNTIF($AO$11:$AO$1309,AO347),SUMIF($AO$11:$AO$1309,AO347,$AW$11:$AW$1309),"")</f>
        <v>0.4780748663101604</v>
      </c>
      <c r="BE347" s="11" t="n">
        <f>IF(SUMIF($AO$11:$AO$1309,AO347,$BB$11:$BB$1309)=COUNTIF($AO$11:$AO$1309,AO347),SUMIF($AO$11:$AO$1309,AO347,$BA$11:$BA$1309),"")</f>
        <v>0.3713643659711075</v>
      </c>
      <c r="BF347" s="12" t="n">
        <f>IF(COUNT(BD347:BE347)&lt;&gt;2,"",IF(AND(BD347&gt;0,BE347&gt;0),0.7*AW347/BD347+0.3*BA347/BE347,IF(BD347&gt;0,AW347/BD347,IF(BE347&gt;0,BA347/BE347,IF(AND(ISNUMBER(BH347),BH347=0),0,"")))))</f>
        <v>0.2253859872641028</v>
      </c>
      <c r="BG347" s="11" t="n">
        <f>IF(AND(COUNT(BN347:BU347)=8,MIN(BN347:BU347)&gt;=0),SUMPRODUCT(BN347:BQ347,BR347:BU347),"")</f>
        <v>109.73769409574882</v>
      </c>
      <c r="BH347" s="11" t="n">
        <f>IF(COUNT(BC347,BG347)=2,BC347*BG347,"")</f>
        <v>43.30490351442917</v>
      </c>
      <c r="BI347" s="11" t="n">
        <f>IF(ISNUMBER(CI347),CI347,"")</f>
        <v>9.760318431976334</v>
      </c>
      <c r="BJ347" s="8" t="str">
        <v>近180天本色销量78双（＜90），无有效新采购，请运营判断</v>
      </c>
      <c r="BK347" s="8" t="str">
        <v>90天：2026-07-20 至 2026-10-17；180天：2026-04-21 至 2026-10-17</v>
      </c>
      <c r="BL347" s="8" t="str">
        <v>90天：2026-10-06、2026-10-07；180天：2026-10-06、2026-10-07</v>
      </c>
      <c r="BM347" s="8" t="str">
        <v>2026-10：12天 × 1.8609238953732312；2026-11：30天 × 1.438375649833085；2026-12：31天 × 0.9519742599124907；2027-01：17天 × 0.8673021058229575</v>
      </c>
      <c r="BN347" s="11" t="n">
        <v>1.8609238953732312</v>
      </c>
      <c r="BO347" s="11" t="n">
        <v>1.438375649833085</v>
      </c>
      <c r="BP347" s="11" t="n">
        <v>0.9519742599124907</v>
      </c>
      <c r="BQ347" s="11" t="n">
        <v>0.8673021058229575</v>
      </c>
      <c r="BR347" s="8" t="n">
        <v>12</v>
      </c>
      <c r="BS347" s="8" t="n">
        <v>30</v>
      </c>
      <c r="BT347" s="8" t="n">
        <v>31</v>
      </c>
      <c r="BU347" s="8" t="n">
        <v>17</v>
      </c>
      <c r="BV347" s="11" t="n">
        <f>IF(COUNT(BC347,BF347)=2,BC347*BF347,"")</f>
        <v>0.08894225919728382</v>
      </c>
      <c r="BW347" s="11" t="n">
        <f>IF(ISNUMBER(BN347),BN347,"")</f>
        <v>1.8609238953732312</v>
      </c>
      <c r="BX347" s="14" t="n">
        <f>IF(ISNUMBER(BR347),BR347,"")</f>
        <v>12</v>
      </c>
      <c r="BY347" s="13" t="n">
        <f>IF(AND(COUNT(BV347,BW347,BX347)=3,MIN(BV347,BW347,BX347)&gt;=0),BV347*BW347*BX347,"")</f>
        <v>1.9861773053844602</v>
      </c>
      <c r="BZ347" s="11" t="n">
        <f>IF(ISNUMBER(BO347),BO347,"")</f>
        <v>1.438375649833085</v>
      </c>
      <c r="CA347" s="14" t="n">
        <f>IF(ISNUMBER(BS347),BS347,"")</f>
        <v>30</v>
      </c>
      <c r="CB347" s="13" t="n">
        <f>IF(AND(COUNT(BV347,BZ347,CA347)=3,MIN(BV347,BZ347,CA347)&gt;=0),BV347*BZ347*CA347,"")</f>
        <v>3.837971396115474</v>
      </c>
      <c r="CC347" s="11" t="n">
        <f>IF(ISNUMBER(BP347),BP347,"")</f>
        <v>0.9519742599124907</v>
      </c>
      <c r="CD347" s="14" t="n">
        <f>IF(ISNUMBER(BT347),BT347,"")</f>
        <v>31</v>
      </c>
      <c r="CE347" s="13" t="n">
        <f>IF(AND(COUNT(BV347,CC347,CD347)=3,MIN(BV347,CC347,CD347)&gt;=0),BV347*CC347*CD347,"")</f>
        <v>2.6247929826026546</v>
      </c>
      <c r="CF347" s="11" t="n">
        <f>IF(ISNUMBER(BQ347),BQ347,"")</f>
        <v>0.8673021058229575</v>
      </c>
      <c r="CG347" s="14" t="n">
        <f>IF(ISNUMBER(BU347),BU347,"")</f>
        <v>17</v>
      </c>
      <c r="CH347" s="13" t="n">
        <f>IF(AND(COUNT(BV347,CF347,CG347)=3,MIN(BV347,CF347,CG347)&gt;=0),BV347*CF347*CG347,"")</f>
        <v>1.3113767478737448</v>
      </c>
      <c r="CI347" s="13" t="n">
        <f>IF(COUNT(BY347,CB347,CE347,CH347)=4,SUM(BY347,CB347,CE347,CH347),"")</f>
        <v>9.760318431976334</v>
      </c>
    </row>
    <row r="348" ht="72" customHeight="1">
      <c r="A348" s="16" t="str">
        <v>8392-NY-S-K-42</v>
      </c>
      <c r="B348" s="16" t="str">
        <v>3店-SANDIEX-US</v>
      </c>
      <c r="C348" s="16" t="str">
        <v>徐新怡</v>
      </c>
      <c r="D348" s="26" t="n">
        <f>IF(NOT(ISNUMBER(E348)),"",IF(OR(E348&lt;=0,L348=0),0,IF(OR(NOT(ISNUMBER(F348)),F348&lt;0),"",MIN(E348,INT(F348)))))</f>
        <v>0</v>
      </c>
      <c r="E348" s="27" t="n">
        <f>IF(OR(NOT(ISNUMBER(L348)),COUNT(M348:O348)&lt;&gt;3,MIN(M348:O348)&lt;0),"",ROUNDUP(ROUND(BI348-SUM(M348:O348),10),0))</f>
        <v>4</v>
      </c>
      <c r="F348" s="28" t="n">
        <v>0</v>
      </c>
      <c r="G348" s="28" t="n">
        <f>IF(AND(ISNUMBER(D348),ISNUMBER(E348)),IF(OR(E348&lt;=0,L348=0),0,E348-D348),"")</f>
        <v>4</v>
      </c>
      <c r="H348" s="16" t="str">
        <f>IF(NOT(ISNUMBER(E348)),"销量或海外库存待补",IF(OR(E348&lt;=0,L348=0),IF(L348=0,"零日销，本批不发","本批无需补货"),IF(NOT(ISNUMBER(D348)),"国内库存待补",IF(D348=0,"国内无可用库存",IF(G348&gt;0,"先发国内现货","按建议量发货")))))</f>
        <v>国内无可用库存</v>
      </c>
      <c r="I348" s="28" t="n">
        <f>IF(AND(COUNT(Z348,AA348,AB348)=3,Z348&gt;=AA348,AA348&gt;=0,AB348=7),Z348-AA348,"")</f>
        <v>0</v>
      </c>
      <c r="J348" s="28" t="n">
        <f>IF(AND(COUNT(AF348,AG348,AH348)=3,AF348&gt;=AG348,AG348&gt;=0,AH348=14),AF348-AG348,"")</f>
        <v>0</v>
      </c>
      <c r="K348" s="28" t="n">
        <f>IF(AND(COUNT(AL348,AM348,AN348)=3,AL348&gt;=AM348,AM348&gt;=0,AN348=30),AL348-AM348,"")</f>
        <v>0</v>
      </c>
      <c r="L348" s="29" t="n">
        <f>IF(ISNUMBER(BI348),BI348/90,"")</f>
        <v>0.04046316809669924</v>
      </c>
      <c r="M348" s="28" t="n">
        <v>0</v>
      </c>
      <c r="N348" s="28" t="n">
        <v>0</v>
      </c>
      <c r="O348" s="28" t="n">
        <v>0</v>
      </c>
      <c r="P348" s="30" t="n">
        <f>IF(AND(ISNUMBER(L348),L348&gt;0,COUNT(M348:O348)=3,MIN(M348:O348)&gt;=0),SUM(M348:O348)/L348,"")</f>
        <v>0</v>
      </c>
      <c r="Q348" s="16" t="str">
        <v>新增SPU唯一在售店铺</v>
      </c>
      <c r="R348" s="16" t="str">
        <v>已匹配</v>
      </c>
      <c r="S348" s="16" t="str">
        <v>停售</v>
      </c>
      <c r="T348" s="16" t="str">
        <v>8392</v>
      </c>
      <c r="U348" s="16" t="str">
        <v>藏青色</v>
      </c>
      <c r="V348" s="16" t="n">
        <v>11</v>
      </c>
      <c r="W348" s="8" t="str">
        <v>2026-10-08 至 2026-10-17</v>
      </c>
      <c r="X348" s="8" t="str">
        <v>2026-10-08、2026-10-09、2026-10-10、2026-10-11、2026-10-14、2026-10-15、2026-10-17</v>
      </c>
      <c r="Y348" s="8" t="str">
        <v>2026-10-12 有记录的停售日；2026-10-13 有记录的停售日；2026-10-16 有记录的停售日</v>
      </c>
      <c r="Z348" s="8" t="n">
        <v>0</v>
      </c>
      <c r="AA348" s="8" t="n">
        <v>0</v>
      </c>
      <c r="AB348" s="8" t="n">
        <v>7</v>
      </c>
      <c r="AC348" s="8" t="str">
        <v>2026-09-29 至 2026-10-17</v>
      </c>
      <c r="AD348" s="8" t="str">
        <v>2026-09-29、2026-09-30、2026-10-01、2026-10-02、2026-10-03、2026-10-04、2026-10-05、2026-10-08、2026-10-09、2026-10-10、2026-10-11、2026-10-14、2026-10-15、2026-10-17</v>
      </c>
      <c r="AE348" s="8" t="str">
        <v>2026-10-06 大促；2026-10-07 大促；2026-10-12 有记录的停售日；2026-10-13 有记录的停售日；2026-10-16 有记录的停售日</v>
      </c>
      <c r="AF348" s="8" t="n">
        <v>0</v>
      </c>
      <c r="AG348" s="8" t="n">
        <v>0</v>
      </c>
      <c r="AH348" s="8" t="n">
        <v>14</v>
      </c>
      <c r="AI348" s="8" t="str">
        <v>2026-09-13 至 2026-10-17</v>
      </c>
      <c r="AJ34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48" s="8" t="str">
        <v>2026-10-06 大促；2026-10-07 大促；2026-10-12 有记录的停售日；2026-10-13 有记录的停售日；2026-10-16 有记录的停售日</v>
      </c>
      <c r="AL348" s="8" t="n">
        <v>0</v>
      </c>
      <c r="AM348" s="8" t="n">
        <v>0</v>
      </c>
      <c r="AN348" s="8" t="n">
        <v>30</v>
      </c>
      <c r="AO348" s="8" t="str">
        <v>8392 / 藏青色羊京绒 / 6574</v>
      </c>
      <c r="AP348" s="11" t="n">
        <v>1.1743420411079069</v>
      </c>
      <c r="AQ348" s="11" t="n">
        <v>1.1657675792110538</v>
      </c>
      <c r="AR348" s="11" t="n">
        <v>1.138329301141124</v>
      </c>
      <c r="AS348" s="11" t="n">
        <f>IF(AND(COUNT(I348:K348,AP348:AR348)=6,MIN(AP348:AR348)&gt;0),I348/7/AP348*0.5+J348/14/AQ348*0.3+K348/30/AR348*0.2,"")</f>
        <v>0</v>
      </c>
      <c r="AT348" s="8" t="n">
        <v>0</v>
      </c>
      <c r="AU348" s="8" t="n">
        <v>0</v>
      </c>
      <c r="AV348" s="8" t="n">
        <v>85</v>
      </c>
      <c r="AW348" s="11" t="n">
        <f>IF(AND(COUNT(AT348:AV348)=3,AT348&gt;=AU348,AU348&gt;=0,AV348&gt;0),(AT348-AU348)/AV348,"")</f>
        <v>0</v>
      </c>
      <c r="AX348" s="8" t="n">
        <v>22</v>
      </c>
      <c r="AY348" s="8" t="n">
        <v>0</v>
      </c>
      <c r="AZ348" s="8" t="n">
        <v>175</v>
      </c>
      <c r="BA348" s="11" t="n">
        <f>IF(AND(COUNT(AX348:AZ348)=3,AX348&gt;=AY348,AY348&gt;=0,AZ348&gt;0),(AX348-AY348)/AZ348,"")</f>
        <v>0.12571428571428572</v>
      </c>
      <c r="BB348" s="8" t="n">
        <f>IF(COUNT(AS348,AW348,BA348)=3,1,0)</f>
        <v>1</v>
      </c>
      <c r="BC348" s="11" t="n">
        <f>IF(SUMIF($AO$11:$AO$1309,AO348,$BB$11:$BB$1309)=COUNTIF($AO$11:$AO$1309,AO348),SUMIF($AO$11:$AO$1309,AO348,$AS$11:$AS$1309),"")</f>
        <v>0.6185202058446071</v>
      </c>
      <c r="BD348" s="11" t="n">
        <f>IF(SUMIF($AO$11:$AO$1309,AO348,$BB$11:$BB$1309)=COUNTIF($AO$11:$AO$1309,AO348),SUMIF($AO$11:$AO$1309,AO348,$AW$11:$AW$1309),"")</f>
        <v>0.20655080213903745</v>
      </c>
      <c r="BE348" s="11" t="n">
        <f>IF(SUMIF($AO$11:$AO$1309,AO348,$BB$11:$BB$1309)=COUNTIF($AO$11:$AO$1309,AO348),SUMIF($AO$11:$AO$1309,AO348,$BA$11:$BA$1309),"")</f>
        <v>0.6192937399678973</v>
      </c>
      <c r="BF348" s="12" t="n">
        <f>IF(COUNT(BD348:BE348)&lt;&gt;2,"",IF(AND(BD348&gt;0,BE348&gt;0),0.7*AW348/BD348+0.3*BA348/BE348,IF(BD348&gt;0,AW348/BD348,IF(BE348&gt;0,BA348/BE348,IF(AND(ISNUMBER(BH348),BH348=0),0,"")))))</f>
        <v>0.06089886475558551</v>
      </c>
      <c r="BG348" s="11" t="n">
        <f>IF(AND(COUNT(BN348:BU348)=8,MIN(BN348:BU348)&gt;=0),SUMPRODUCT(BN348:BQ348,BR348:BU348),"")</f>
        <v>96.68059267618935</v>
      </c>
      <c r="BH348" s="11" t="n">
        <f>IF(COUNT(BC348,BG348)=2,BC348*BG348,"")</f>
        <v>59.79890008325525</v>
      </c>
      <c r="BI348" s="11" t="n">
        <f>IF(ISNUMBER(CI348),CI348,"")</f>
        <v>3.6416851287029317</v>
      </c>
      <c r="BJ348" s="8" t="str"/>
      <c r="BK348" s="8" t="str">
        <v>90天：2026-07-20 至 2026-10-17；180天：2026-04-21 至 2026-10-17</v>
      </c>
      <c r="BL348" s="8" t="str">
        <v>90天：2026-10-06、2026-10-07、2026-10-12、2026-10-13、2026-10-16；180天：2026-10-06、2026-10-07、2026-10-12、2026-10-13、2026-10-16</v>
      </c>
      <c r="BM348" s="8" t="str">
        <v>2026-10：12天 × 1.1743420411079069；2026-11：30天 × 1.281694931279211；2026-12：31天 × 0.9007634642750235；2027-01：17天 × 0.9537631089407297</v>
      </c>
      <c r="BN348" s="11" t="n">
        <v>1.1743420411079069</v>
      </c>
      <c r="BO348" s="11" t="n">
        <v>1.281694931279211</v>
      </c>
      <c r="BP348" s="11" t="n">
        <v>0.9007634642750235</v>
      </c>
      <c r="BQ348" s="11" t="n">
        <v>0.9537631089407297</v>
      </c>
      <c r="BR348" s="8" t="n">
        <v>12</v>
      </c>
      <c r="BS348" s="8" t="n">
        <v>30</v>
      </c>
      <c r="BT348" s="8" t="n">
        <v>31</v>
      </c>
      <c r="BU348" s="8" t="n">
        <v>17</v>
      </c>
      <c r="BV348" s="11" t="n">
        <f>IF(COUNT(BC348,BF348)=2,BC348*BF348,"")</f>
        <v>0.03766717836432763</v>
      </c>
      <c r="BW348" s="11" t="n">
        <f>IF(ISNUMBER(BN348),BN348,"")</f>
        <v>1.1743420411079069</v>
      </c>
      <c r="BX348" s="14" t="n">
        <f>IF(ISNUMBER(BR348),BR348,"")</f>
        <v>12</v>
      </c>
      <c r="BY348" s="13" t="n">
        <f>IF(AND(COUNT(BV348,BW348,BX348)=3,MIN(BV348,BW348,BX348)&gt;=0),BV348*BW348*BX348,"")</f>
        <v>0.5308098134776812</v>
      </c>
      <c r="BZ348" s="11" t="n">
        <f>IF(ISNUMBER(BO348),BO348,"")</f>
        <v>1.281694931279211</v>
      </c>
      <c r="CA348" s="14" t="n">
        <f>IF(ISNUMBER(BS348),BS348,"")</f>
        <v>30</v>
      </c>
      <c r="CB348" s="13" t="n">
        <f>IF(AND(COUNT(BV348,BZ348,CA348)=3,MIN(BV348,BZ348,CA348)&gt;=0),BV348*BZ348*CA348,"")</f>
        <v>1.4483349475544607</v>
      </c>
      <c r="CC348" s="11" t="n">
        <f>IF(ISNUMBER(BP348),BP348,"")</f>
        <v>0.9007634642750235</v>
      </c>
      <c r="CD348" s="14" t="n">
        <f>IF(ISNUMBER(BT348),BT348,"")</f>
        <v>31</v>
      </c>
      <c r="CE348" s="13" t="n">
        <f>IF(AND(COUNT(BV348,CC348,CD348)=3,MIN(BV348,CC348,CD348)&gt;=0),BV348*CC348*CD348,"")</f>
        <v>1.0518057602604263</v>
      </c>
      <c r="CF348" s="11" t="n">
        <f>IF(ISNUMBER(BQ348),BQ348,"")</f>
        <v>0.9537631089407297</v>
      </c>
      <c r="CG348" s="14" t="n">
        <f>IF(ISNUMBER(BU348),BU348,"")</f>
        <v>17</v>
      </c>
      <c r="CH348" s="13" t="n">
        <f>IF(AND(COUNT(BV348,CF348,CG348)=3,MIN(BV348,CF348,CG348)&gt;=0),BV348*CF348*CG348,"")</f>
        <v>0.6107346074103639</v>
      </c>
      <c r="CI348" s="13" t="n">
        <f>IF(COUNT(BY348,CB348,CE348,CH348)=4,SUM(BY348,CB348,CE348,CH348),"")</f>
        <v>3.6416851287029317</v>
      </c>
    </row>
    <row r="349" ht="72" customHeight="1">
      <c r="A349" s="16" t="str">
        <v>B06-BP-40</v>
      </c>
      <c r="B349" s="16" t="str">
        <v>1店-MUSSHOE-US</v>
      </c>
      <c r="C349" s="16" t="str">
        <v>艾年</v>
      </c>
      <c r="D349" s="26" t="n">
        <f>IF(NOT(ISNUMBER(E349)),"",IF(OR(E349&lt;=0,L349=0),0,IF(OR(NOT(ISNUMBER(F349)),F349&lt;0),"",MIN(E349,INT(F349)))))</f>
        <v>0</v>
      </c>
      <c r="E349" s="27" t="n">
        <f>IF(OR(NOT(ISNUMBER(L349)),COUNT(M349:O349)&lt;&gt;3,MIN(M349:O349)&lt;0),"",ROUNDUP(ROUND(BI349-SUM(M349:O349),10),0))</f>
        <v>4</v>
      </c>
      <c r="F349" s="28" t="n">
        <v>0</v>
      </c>
      <c r="G349" s="28" t="n">
        <f>IF(AND(ISNUMBER(D349),ISNUMBER(E349)),IF(OR(E349&lt;=0,L349=0),0,E349-D349),"")</f>
        <v>4</v>
      </c>
      <c r="H349" s="16" t="str">
        <f>IF(NOT(ISNUMBER(E349)),"销量或海外库存待补",IF(OR(E349&lt;=0,L349=0),IF(L349=0,"零日销，本批不发","本批无需补货"),IF(NOT(ISNUMBER(D349)),"国内库存待补",IF(D349=0,"国内无可用库存",IF(G349&gt;0,"先发国内现货","按建议量发货")))))</f>
        <v>国内无可用库存</v>
      </c>
      <c r="I349" s="28" t="n">
        <f>IF(AND(COUNT(Z349,AA349,AB349)=3,Z349&gt;=AA349,AA349&gt;=0,AB349=7),Z349-AA349,"")</f>
        <v>1</v>
      </c>
      <c r="J349" s="28" t="n">
        <f>IF(AND(COUNT(AF349,AG349,AH349)=3,AF349&gt;=AG349,AG349&gt;=0,AH349=14),AF349-AG349,"")</f>
        <v>2</v>
      </c>
      <c r="K349" s="28" t="n">
        <f>IF(AND(COUNT(AL349,AM349,AN349)=3,AL349&gt;=AM349,AM349&gt;=0,AN349=30),AL349-AM349,"")</f>
        <v>2</v>
      </c>
      <c r="L349" s="29" t="n">
        <f>IF(ISNUMBER(BI349),BI349/90,"")</f>
        <v>0.04388560795296974</v>
      </c>
      <c r="M349" s="28" t="n">
        <v>0</v>
      </c>
      <c r="N349" s="28" t="n">
        <v>0</v>
      </c>
      <c r="O349" s="28" t="n">
        <v>0</v>
      </c>
      <c r="P349" s="30" t="n">
        <f>IF(AND(ISNUMBER(L349),L349&gt;0,COUNT(M349:O349)=3,MIN(M349:O349)&gt;=0),SUM(M349:O349)/L349,"")</f>
        <v>0</v>
      </c>
      <c r="Q349" s="16" t="str">
        <v>沿用原计划SKU店铺</v>
      </c>
      <c r="R349" s="16" t="str">
        <v>已匹配</v>
      </c>
      <c r="S349" s="16" t="str">
        <v>停售</v>
      </c>
      <c r="T349" s="16" t="str">
        <v>B06</v>
      </c>
      <c r="U349" s="16" t="str">
        <v>黑色镜面</v>
      </c>
      <c r="V349" s="16" t="n">
        <v>9</v>
      </c>
      <c r="W349" s="8" t="str">
        <v>2026-10-10 至 2026-10-17</v>
      </c>
      <c r="X349" s="8" t="str">
        <v>2026-10-10、2026-10-11、2026-10-12、2026-10-13、2026-10-14、2026-10-15、2026-10-17</v>
      </c>
      <c r="Y349" s="8" t="str">
        <v>2026-10-16 有记录的停售日</v>
      </c>
      <c r="Z349" s="8" t="n">
        <v>1</v>
      </c>
      <c r="AA349" s="8" t="n">
        <v>0</v>
      </c>
      <c r="AB349" s="8" t="n">
        <v>7</v>
      </c>
      <c r="AC349" s="8" t="str">
        <v>2026-10-01 至 2026-10-17</v>
      </c>
      <c r="AD349" s="8" t="str">
        <v>2026-10-01、2026-10-02、2026-10-03、2026-10-04、2026-10-05、2026-10-08、2026-10-09、2026-10-10、2026-10-11、2026-10-12、2026-10-13、2026-10-14、2026-10-15、2026-10-17</v>
      </c>
      <c r="AE349" s="8" t="str">
        <v>2026-10-06 大促；2026-10-07 大促；2026-10-16 有记录的停售日</v>
      </c>
      <c r="AF349" s="8" t="n">
        <v>3</v>
      </c>
      <c r="AG349" s="8" t="n">
        <v>1</v>
      </c>
      <c r="AH349" s="8" t="n">
        <v>14</v>
      </c>
      <c r="AI349" s="8" t="str">
        <v>2026-09-15 至 2026-10-17</v>
      </c>
      <c r="AJ349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349" s="8" t="str">
        <v>2026-10-06 大促；2026-10-07 大促；2026-10-16 有记录的停售日</v>
      </c>
      <c r="AL349" s="8" t="n">
        <v>3</v>
      </c>
      <c r="AM349" s="8" t="n">
        <v>1</v>
      </c>
      <c r="AN349" s="8" t="n">
        <v>30</v>
      </c>
      <c r="AO349" s="8" t="str">
        <v>B06 / 黑色镜面 / 13120</v>
      </c>
      <c r="AP349" s="11" t="n">
        <v>1.2247029157699902</v>
      </c>
      <c r="AQ349" s="11" t="n">
        <v>1.2247029157699902</v>
      </c>
      <c r="AR349" s="11" t="n">
        <v>1.106293475732259</v>
      </c>
      <c r="AS349" s="11" t="n">
        <f>IF(AND(COUNT(I349:K349,AP349:AR349)=6,MIN(AP349:AR349)&gt;0),I349/7/AP349*0.5+J349/14/AQ349*0.3+K349/30/AR349*0.2,"")</f>
        <v>0.10536934873339447</v>
      </c>
      <c r="AT349" s="8" t="n">
        <v>9</v>
      </c>
      <c r="AU349" s="8" t="n">
        <v>1</v>
      </c>
      <c r="AV349" s="8" t="n">
        <v>87</v>
      </c>
      <c r="AW349" s="11" t="n">
        <f>IF(AND(COUNT(AT349:AV349)=3,AT349&gt;=AU349,AU349&gt;=0,AV349&gt;0),(AT349-AU349)/AV349,"")</f>
        <v>0.09195402298850575</v>
      </c>
      <c r="AX349" s="8" t="n">
        <v>14</v>
      </c>
      <c r="AY349" s="8" t="n">
        <v>1</v>
      </c>
      <c r="AZ349" s="8" t="n">
        <v>177</v>
      </c>
      <c r="BA349" s="11" t="n">
        <f>IF(AND(COUNT(AX349:AZ349)=3,AX349&gt;=AY349,AY349&gt;=0,AZ349&gt;0),(AX349-AY349)/AZ349,"")</f>
        <v>0.07344632768361582</v>
      </c>
      <c r="BB349" s="8" t="n">
        <f>IF(COUNT(AS349,AW349,BA349)=3,1,0)</f>
        <v>1</v>
      </c>
      <c r="BC349" s="11" t="n">
        <f>IF(SUMIF($AO$11:$AO$1309,AO349,$BB$11:$BB$1309)=COUNTIF($AO$11:$AO$1309,AO349),SUMIF($AO$11:$AO$1309,AO349,$AS$11:$AS$1309),"")</f>
        <v>0.3114994469321209</v>
      </c>
      <c r="BD349" s="11" t="n">
        <f>IF(SUMIF($AO$11:$AO$1309,AO349,$BB$11:$BB$1309)=COUNTIF($AO$11:$AO$1309,AO349),SUMIF($AO$11:$AO$1309,AO349,$AW$11:$AW$1309),"")</f>
        <v>0.535135841170324</v>
      </c>
      <c r="BE349" s="11" t="n">
        <f>IF(SUMIF($AO$11:$AO$1309,AO349,$BB$11:$BB$1309)=COUNTIF($AO$11:$AO$1309,AO349),SUMIF($AO$11:$AO$1309,AO349,$BA$11:$BA$1309),"")</f>
        <v>0.427764144698062</v>
      </c>
      <c r="BF349" s="12" t="n">
        <f>IF(COUNT(BD349:BE349)&lt;&gt;2,"",IF(AND(BD349&gt;0,BE349&gt;0),0.7*AW349/BD349+0.3*BA349/BE349,IF(BD349&gt;0,AW349/BD349,IF(BE349&gt;0,BA349/BE349,IF(AND(ISNUMBER(BH349),BH349=0),0,"")))))</f>
        <v>0.1717925898026742</v>
      </c>
      <c r="BG349" s="11" t="n">
        <f>IF(AND(COUNT(BN349:BU349)=8,MIN(BN349:BU349)&gt;=0),SUMPRODUCT(BN349:BQ349,BR349:BU349),"")</f>
        <v>73.80791239847399</v>
      </c>
      <c r="BH349" s="11" t="n">
        <f>IF(COUNT(BC349,BG349)=2,BC349*BG349,"")</f>
        <v>22.991123891339075</v>
      </c>
      <c r="BI349" s="11" t="n">
        <f>IF(ISNUMBER(CI349),CI349,"")</f>
        <v>3.949704715767276</v>
      </c>
      <c r="BJ349" s="8" t="str">
        <v>低销提醒依据不完整</v>
      </c>
      <c r="BK349" s="8" t="str">
        <v>90天：2026-07-20 至 2026-10-17；180天：2026-04-21 至 2026-10-17</v>
      </c>
      <c r="BL349" s="8" t="str">
        <v>90天：2026-10-06、2026-10-07、2026-10-16；180天：2026-10-06、2026-10-07、2026-10-16</v>
      </c>
      <c r="BM349" s="8" t="str">
        <v>2026-10：12天 × 1.2247029157699902；2026-11：30天 × 0.8332682139098497；2026-12：31天 × 0.5511018253564084；2027-01：17天 × 1.0017220238758797</v>
      </c>
      <c r="BN349" s="11" t="n">
        <v>1.2247029157699902</v>
      </c>
      <c r="BO349" s="11" t="n">
        <v>0.8332682139098497</v>
      </c>
      <c r="BP349" s="11" t="n">
        <v>0.5511018253564084</v>
      </c>
      <c r="BQ349" s="11" t="n">
        <v>1.0017220238758797</v>
      </c>
      <c r="BR349" s="8" t="n">
        <v>12</v>
      </c>
      <c r="BS349" s="8" t="n">
        <v>30</v>
      </c>
      <c r="BT349" s="8" t="n">
        <v>31</v>
      </c>
      <c r="BU349" s="8" t="n">
        <v>17</v>
      </c>
      <c r="BV349" s="11" t="n">
        <f>IF(COUNT(BC349,BF349)=2,BC349*BF349,"")</f>
        <v>0.05351329671056972</v>
      </c>
      <c r="BW349" s="11" t="n">
        <f>IF(ISNUMBER(BN349),BN349,"")</f>
        <v>1.2247029157699902</v>
      </c>
      <c r="BX349" s="14" t="n">
        <f>IF(ISNUMBER(BR349),BR349,"")</f>
        <v>12</v>
      </c>
      <c r="BY349" s="13" t="n">
        <f>IF(AND(COUNT(BV349,BW349,BX349)=3,MIN(BV349,BW349,BX349)&gt;=0),BV349*BW349*BX349,"")</f>
        <v>0.7864546861667925</v>
      </c>
      <c r="BZ349" s="11" t="n">
        <f>IF(ISNUMBER(BO349),BO349,"")</f>
        <v>0.8332682139098497</v>
      </c>
      <c r="CA349" s="14" t="n">
        <f>IF(ISNUMBER(BS349),BS349,"")</f>
        <v>30</v>
      </c>
      <c r="CB349" s="13" t="n">
        <f>IF(AND(COUNT(BV349,BZ349,CA349)=3,MIN(BV349,BZ349,CA349)&gt;=0),BV349*BZ349*CA349,"")</f>
        <v>1.3377278751133281</v>
      </c>
      <c r="CC349" s="11" t="n">
        <f>IF(ISNUMBER(BP349),BP349,"")</f>
        <v>0.5511018253564084</v>
      </c>
      <c r="CD349" s="14" t="n">
        <f>IF(ISNUMBER(BT349),BT349,"")</f>
        <v>31</v>
      </c>
      <c r="CE349" s="13" t="n">
        <f>IF(AND(COUNT(BV349,CC349,CD349)=3,MIN(BV349,CC349,CD349)&gt;=0),BV349*CC349*CD349,"")</f>
        <v>0.9142295404390558</v>
      </c>
      <c r="CF349" s="11" t="n">
        <f>IF(ISNUMBER(BQ349),BQ349,"")</f>
        <v>1.0017220238758797</v>
      </c>
      <c r="CG349" s="14" t="n">
        <f>IF(ISNUMBER(BU349),BU349,"")</f>
        <v>17</v>
      </c>
      <c r="CH349" s="13" t="n">
        <f>IF(AND(COUNT(BV349,CF349,CG349)=3,MIN(BV349,CF349,CG349)&gt;=0),BV349*CF349*CG349,"")</f>
        <v>0.9112926140481001</v>
      </c>
      <c r="CI349" s="13" t="n">
        <f>IF(COUNT(BY349,CB349,CE349,CH349)=4,SUM(BY349,CB349,CE349,CH349),"")</f>
        <v>3.949704715767276</v>
      </c>
    </row>
    <row r="350" ht="72" customHeight="1">
      <c r="A350" s="16" t="str">
        <v>B06-PK-38-N</v>
      </c>
      <c r="B350" s="16" t="str">
        <v>1店-MUSSHOE-US</v>
      </c>
      <c r="C350" s="16" t="str">
        <v>艾年</v>
      </c>
      <c r="D350" s="26" t="n">
        <f>IF(NOT(ISNUMBER(E350)),"",IF(OR(E350&lt;=0,L350=0),0,IF(OR(NOT(ISNUMBER(F350)),F350&lt;0),"",MIN(E350,INT(F350)))))</f>
        <v>0</v>
      </c>
      <c r="E350" s="27" t="n">
        <f>IF(OR(NOT(ISNUMBER(L350)),COUNT(M350:O350)&lt;&gt;3,MIN(M350:O350)&lt;0),"",ROUNDUP(ROUND(BI350-SUM(M350:O350),10),0))</f>
        <v>4</v>
      </c>
      <c r="F350" s="28" t="n">
        <v>0</v>
      </c>
      <c r="G350" s="28" t="n">
        <f>IF(AND(ISNUMBER(D350),ISNUMBER(E350)),IF(OR(E350&lt;=0,L350=0),0,E350-D350),"")</f>
        <v>4</v>
      </c>
      <c r="H350" s="16" t="str">
        <f>IF(NOT(ISNUMBER(E350)),"销量或海外库存待补",IF(OR(E350&lt;=0,L350=0),IF(L350=0,"零日销，本批不发","本批无需补货"),IF(NOT(ISNUMBER(D350)),"国内库存待补",IF(D350=0,"国内无可用库存",IF(G350&gt;0,"先发国内现货","按建议量发货")))))</f>
        <v>国内无可用库存</v>
      </c>
      <c r="I350" s="28" t="n">
        <f>IF(AND(COUNT(Z350,AA350,AB350)=3,Z350&gt;=AA350,AA350&gt;=0,AB350=7),Z350-AA350,"")</f>
        <v>0</v>
      </c>
      <c r="J350" s="28" t="n">
        <f>IF(AND(COUNT(AF350,AG350,AH350)=3,AF350&gt;=AG350,AG350&gt;=0,AH350=14),AF350-AG350,"")</f>
        <v>1</v>
      </c>
      <c r="K350" s="28" t="n">
        <f>IF(AND(COUNT(AL350,AM350,AN350)=3,AL350&gt;=AM350,AM350&gt;=0,AN350=30),AL350-AM350,"")</f>
        <v>1</v>
      </c>
      <c r="L350" s="29" t="n">
        <f>IF(ISNUMBER(BI350),BI350/90,"")</f>
        <v>0.04200098515681813</v>
      </c>
      <c r="M350" s="28" t="n">
        <v>0</v>
      </c>
      <c r="N350" s="28" t="n">
        <v>0</v>
      </c>
      <c r="O350" s="28" t="n">
        <v>0</v>
      </c>
      <c r="P350" s="30" t="n">
        <f>IF(AND(ISNUMBER(L350),L350&gt;0,COUNT(M350:O350)=3,MIN(M350:O350)&gt;=0),SUM(M350:O350)/L350,"")</f>
        <v>0</v>
      </c>
      <c r="Q350" s="16" t="str">
        <v>沿用原计划SKU店铺</v>
      </c>
      <c r="R350" s="16" t="str">
        <v>已匹配</v>
      </c>
      <c r="S350" s="16" t="str">
        <v>停售</v>
      </c>
      <c r="T350" s="16" t="str">
        <v>B06</v>
      </c>
      <c r="U350" s="16" t="str">
        <v>粉色羊京绒</v>
      </c>
      <c r="V350" s="16" t="n">
        <v>7</v>
      </c>
      <c r="W350" s="8" t="str">
        <v>2026-10-10 至 2026-10-17</v>
      </c>
      <c r="X350" s="8" t="str">
        <v>2026-10-10、2026-10-11、2026-10-12、2026-10-13、2026-10-14、2026-10-15、2026-10-17</v>
      </c>
      <c r="Y350" s="8" t="str">
        <v>2026-10-16 有记录的停售日</v>
      </c>
      <c r="Z350" s="8" t="n">
        <v>0</v>
      </c>
      <c r="AA350" s="8" t="n">
        <v>0</v>
      </c>
      <c r="AB350" s="8" t="n">
        <v>7</v>
      </c>
      <c r="AC350" s="8" t="str">
        <v>2026-10-01 至 2026-10-17</v>
      </c>
      <c r="AD350" s="8" t="str">
        <v>2026-10-01、2026-10-02、2026-10-03、2026-10-04、2026-10-05、2026-10-08、2026-10-09、2026-10-10、2026-10-11、2026-10-12、2026-10-13、2026-10-14、2026-10-15、2026-10-17</v>
      </c>
      <c r="AE350" s="8" t="str">
        <v>2026-10-06 大促；2026-10-07 大促；2026-10-16 有记录的停售日</v>
      </c>
      <c r="AF350" s="8" t="n">
        <v>1</v>
      </c>
      <c r="AG350" s="8" t="n">
        <v>0</v>
      </c>
      <c r="AH350" s="8" t="n">
        <v>14</v>
      </c>
      <c r="AI350" s="8" t="str">
        <v>2026-09-15 至 2026-10-17</v>
      </c>
      <c r="AJ350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350" s="8" t="str">
        <v>2026-10-06 大促；2026-10-07 大促；2026-10-16 有记录的停售日</v>
      </c>
      <c r="AL350" s="8" t="n">
        <v>1</v>
      </c>
      <c r="AM350" s="8" t="n">
        <v>0</v>
      </c>
      <c r="AN350" s="8" t="n">
        <v>30</v>
      </c>
      <c r="AO350" s="8" t="str">
        <v>B06 / 粉色羊京绒 / 13120</v>
      </c>
      <c r="AP350" s="11" t="n">
        <v>1.2247029157699902</v>
      </c>
      <c r="AQ350" s="11" t="n">
        <v>1.2247029157699902</v>
      </c>
      <c r="AR350" s="11" t="n">
        <v>1.106293475732259</v>
      </c>
      <c r="AS350" s="11" t="n">
        <f>IF(AND(COUNT(I350:K350,AP350:AR350)=6,MIN(AP350:AR350)&gt;0),I350/7/AP350*0.5+J350/14/AQ350*0.3+K350/30/AR350*0.2,"")</f>
        <v>0.023523083213114023</v>
      </c>
      <c r="AT350" s="8" t="n">
        <v>9</v>
      </c>
      <c r="AU350" s="8" t="n">
        <v>0</v>
      </c>
      <c r="AV350" s="8" t="n">
        <v>87</v>
      </c>
      <c r="AW350" s="11" t="n">
        <f>IF(AND(COUNT(AT350:AV350)=3,AT350&gt;=AU350,AU350&gt;=0,AV350&gt;0),(AT350-AU350)/AV350,"")</f>
        <v>0.10344827586206896</v>
      </c>
      <c r="AX350" s="8" t="n">
        <v>19</v>
      </c>
      <c r="AY350" s="8" t="n">
        <v>0</v>
      </c>
      <c r="AZ350" s="8" t="n">
        <v>177</v>
      </c>
      <c r="BA350" s="11" t="n">
        <f>IF(AND(COUNT(AX350:AZ350)=3,AX350&gt;=AY350,AY350&gt;=0,AZ350&gt;0),(AX350-AY350)/AZ350,"")</f>
        <v>0.10734463276836158</v>
      </c>
      <c r="BB350" s="8" t="n">
        <f>IF(COUNT(AS350,AW350,BA350)=3,1,0)</f>
        <v>1</v>
      </c>
      <c r="BC350" s="11" t="n">
        <f>IF(SUMIF($AO$11:$AO$1309,AO350,$BB$11:$BB$1309)=COUNTIF($AO$11:$AO$1309,AO350),SUMIF($AO$11:$AO$1309,AO350,$AS$11:$AS$1309),"")</f>
        <v>0.14161497208377494</v>
      </c>
      <c r="BD350" s="11" t="n">
        <f>IF(SUMIF($AO$11:$AO$1309,AO350,$BB$11:$BB$1309)=COUNTIF($AO$11:$AO$1309,AO350),SUMIF($AO$11:$AO$1309,AO350,$AW$11:$AW$1309),"")</f>
        <v>0.27671030794763046</v>
      </c>
      <c r="BE350" s="11" t="n">
        <f>IF(SUMIF($AO$11:$AO$1309,AO350,$BB$11:$BB$1309)=COUNTIF($AO$11:$AO$1309,AO350),SUMIF($AO$11:$AO$1309,AO350,$BA$11:$BA$1309),"")</f>
        <v>0.32217609344251885</v>
      </c>
      <c r="BF350" s="12" t="n">
        <f>IF(COUNT(BD350:BE350)&lt;&gt;2,"",IF(AND(BD350&gt;0,BE350&gt;0),0.7*AW350/BD350+0.3*BA350/BE350,IF(BD350&gt;0,AW350/BD350,IF(BE350&gt;0,BA350/BE350,IF(AND(ISNUMBER(BH350),BH350=0),0,"")))))</f>
        <v>0.36165118602742935</v>
      </c>
      <c r="BG350" s="11" t="n">
        <f>IF(AND(COUNT(BN350:BU350)=8,MIN(BN350:BU350)&gt;=0),SUMPRODUCT(BN350:BQ350,BR350:BU350),"")</f>
        <v>73.80791239847399</v>
      </c>
      <c r="BH350" s="11" t="n">
        <f>IF(COUNT(BC350,BG350)=2,BC350*BG350,"")</f>
        <v>10.4523054538716</v>
      </c>
      <c r="BI350" s="11" t="n">
        <f>IF(ISNUMBER(CI350),CI350,"")</f>
        <v>3.780088664113632</v>
      </c>
      <c r="BJ350" s="8" t="str">
        <v>近180天本色销量61双（＜90），无有效新采购，请运营判断</v>
      </c>
      <c r="BK350" s="8" t="str">
        <v>90天：2026-07-20 至 2026-10-17；180天：2026-04-21 至 2026-10-17</v>
      </c>
      <c r="BL350" s="8" t="str">
        <v>90天：2026-10-06、2026-10-07、2026-10-16；180天：2026-10-06、2026-10-07、2026-10-16</v>
      </c>
      <c r="BM350" s="8" t="str">
        <v>2026-10：12天 × 1.2247029157699902；2026-11：30天 × 0.8332682139098497；2026-12：31天 × 0.5511018253564084；2027-01：17天 × 1.0017220238758797</v>
      </c>
      <c r="BN350" s="11" t="n">
        <v>1.2247029157699902</v>
      </c>
      <c r="BO350" s="11" t="n">
        <v>0.8332682139098497</v>
      </c>
      <c r="BP350" s="11" t="n">
        <v>0.5511018253564084</v>
      </c>
      <c r="BQ350" s="11" t="n">
        <v>1.0017220238758797</v>
      </c>
      <c r="BR350" s="8" t="n">
        <v>12</v>
      </c>
      <c r="BS350" s="8" t="n">
        <v>30</v>
      </c>
      <c r="BT350" s="8" t="n">
        <v>31</v>
      </c>
      <c r="BU350" s="8" t="n">
        <v>17</v>
      </c>
      <c r="BV350" s="11" t="n">
        <f>IF(COUNT(BC350,BF350)=2,BC350*BF350,"")</f>
        <v>0.0512152226133385</v>
      </c>
      <c r="BW350" s="11" t="n">
        <f>IF(ISNUMBER(BN350),BN350,"")</f>
        <v>1.2247029157699902</v>
      </c>
      <c r="BX350" s="14" t="n">
        <f>IF(ISNUMBER(BR350),BR350,"")</f>
        <v>12</v>
      </c>
      <c r="BY350" s="13" t="n">
        <f>IF(AND(COUNT(BV350,BW350,BX350)=3,MIN(BV350,BW350,BX350)&gt;=0),BV350*BW350*BX350,"")</f>
        <v>0.7526811895963776</v>
      </c>
      <c r="BZ350" s="11" t="n">
        <f>IF(ISNUMBER(BO350),BO350,"")</f>
        <v>0.8332682139098497</v>
      </c>
      <c r="CA350" s="14" t="n">
        <f>IF(ISNUMBER(BS350),BS350,"")</f>
        <v>30</v>
      </c>
      <c r="CB350" s="13" t="n">
        <f>IF(AND(COUNT(BV350,BZ350,CA350)=3,MIN(BV350,BZ350,CA350)&gt;=0),BV350*BZ350*CA350,"")</f>
        <v>1.2802805121603575</v>
      </c>
      <c r="CC350" s="11" t="n">
        <f>IF(ISNUMBER(BP350),BP350,"")</f>
        <v>0.5511018253564084</v>
      </c>
      <c r="CD350" s="14" t="n">
        <f>IF(ISNUMBER(BT350),BT350,"")</f>
        <v>31</v>
      </c>
      <c r="CE350" s="13" t="n">
        <f>IF(AND(COUNT(BV350,CC350,CD350)=3,MIN(BV350,CC350,CD350)&gt;=0),BV350*CC350*CD350,"")</f>
        <v>0.8749688827156152</v>
      </c>
      <c r="CF350" s="11" t="n">
        <f>IF(ISNUMBER(BQ350),BQ350,"")</f>
        <v>1.0017220238758797</v>
      </c>
      <c r="CG350" s="14" t="n">
        <f>IF(ISNUMBER(BU350),BU350,"")</f>
        <v>17</v>
      </c>
      <c r="CH350" s="13" t="n">
        <f>IF(AND(COUNT(BV350,CF350,CG350)=3,MIN(BV350,CF350,CG350)&gt;=0),BV350*CF350*CG350,"")</f>
        <v>0.8721580796412819</v>
      </c>
      <c r="CI350" s="13" t="n">
        <f>IF(COUNT(BY350,CB350,CE350,CH350)=4,SUM(BY350,CB350,CE350,CH350),"")</f>
        <v>3.780088664113632</v>
      </c>
    </row>
    <row r="351" ht="72" customHeight="1">
      <c r="A351" s="16" t="str">
        <v>B06-RG-39-N</v>
      </c>
      <c r="B351" s="16" t="str">
        <v>1店-MUSSHOE-US</v>
      </c>
      <c r="C351" s="16" t="str">
        <v>艾年</v>
      </c>
      <c r="D351" s="26" t="n">
        <f>IF(NOT(ISNUMBER(E351)),"",IF(OR(E351&lt;=0,L351=0),0,IF(OR(NOT(ISNUMBER(F351)),F351&lt;0),"",MIN(E351,INT(F351)))))</f>
        <v>0</v>
      </c>
      <c r="E351" s="27" t="n">
        <f>IF(OR(NOT(ISNUMBER(L351)),COUNT(M351:O351)&lt;&gt;3,MIN(M351:O351)&lt;0),"",ROUNDUP(ROUND(BI351-SUM(M351:O351),10),0))</f>
        <v>4</v>
      </c>
      <c r="F351" s="28" t="n">
        <v>0</v>
      </c>
      <c r="G351" s="28" t="n">
        <f>IF(AND(ISNUMBER(D351),ISNUMBER(E351)),IF(OR(E351&lt;=0,L351=0),0,E351-D351),"")</f>
        <v>4</v>
      </c>
      <c r="H351" s="16" t="str">
        <f>IF(NOT(ISNUMBER(E351)),"销量或海外库存待补",IF(OR(E351&lt;=0,L351=0),IF(L351=0,"零日销，本批不发","本批无需补货"),IF(NOT(ISNUMBER(D351)),"国内库存待补",IF(D351=0,"国内无可用库存",IF(G351&gt;0,"先发国内现货","按建议量发货")))))</f>
        <v>国内无可用库存</v>
      </c>
      <c r="I351" s="28" t="n">
        <f>IF(AND(COUNT(Z351,AA351,AB351)=3,Z351&gt;=AA351,AA351&gt;=0,AB351=7),Z351-AA351,"")</f>
        <v>1</v>
      </c>
      <c r="J351" s="28" t="n">
        <f>IF(AND(COUNT(AF351,AG351,AH351)=3,AF351&gt;=AG351,AG351&gt;=0,AH351=14),AF351-AG351,"")</f>
        <v>1</v>
      </c>
      <c r="K351" s="28" t="n">
        <f>IF(AND(COUNT(AL351,AM351,AN351)=3,AL351&gt;=AM351,AM351&gt;=0,AN351=30),AL351-AM351,"")</f>
        <v>2</v>
      </c>
      <c r="L351" s="29" t="n">
        <f>IF(ISNUMBER(BI351),BI351/90,"")</f>
        <v>0.0374491940901435</v>
      </c>
      <c r="M351" s="28" t="n">
        <v>0</v>
      </c>
      <c r="N351" s="28" t="n">
        <v>0</v>
      </c>
      <c r="O351" s="28" t="n">
        <v>0</v>
      </c>
      <c r="P351" s="30" t="n">
        <f>IF(AND(ISNUMBER(L351),L351&gt;0,COUNT(M351:O351)=3,MIN(M351:O351)&gt;=0),SUM(M351:O351)/L351,"")</f>
        <v>0</v>
      </c>
      <c r="Q351" s="16" t="str">
        <v>沿用原计划SKU店铺</v>
      </c>
      <c r="R351" s="16" t="str">
        <v>已匹配</v>
      </c>
      <c r="S351" s="16" t="str">
        <v>停售</v>
      </c>
      <c r="T351" s="16" t="str">
        <v>B06</v>
      </c>
      <c r="U351" s="16" t="str">
        <v>玫瑰金PU</v>
      </c>
      <c r="V351" s="16" t="n">
        <v>8</v>
      </c>
      <c r="W351" s="8" t="str">
        <v>2026-10-08 至 2026-10-17</v>
      </c>
      <c r="X351" s="8" t="str">
        <v>2026-10-08、2026-10-09、2026-10-10、2026-10-11、2026-10-14、2026-10-15、2026-10-17</v>
      </c>
      <c r="Y351" s="8" t="str">
        <v>2026-10-12 有记录的停售日；2026-10-13 有记录的停售日；2026-10-16 有记录的停售日</v>
      </c>
      <c r="Z351" s="8" t="n">
        <v>1</v>
      </c>
      <c r="AA351" s="8" t="n">
        <v>0</v>
      </c>
      <c r="AB351" s="8" t="n">
        <v>7</v>
      </c>
      <c r="AC351" s="8" t="str">
        <v>2026-09-29 至 2026-10-17</v>
      </c>
      <c r="AD351" s="8" t="str">
        <v>2026-09-29、2026-09-30、2026-10-01、2026-10-02、2026-10-03、2026-10-04、2026-10-05、2026-10-08、2026-10-09、2026-10-10、2026-10-11、2026-10-14、2026-10-15、2026-10-17</v>
      </c>
      <c r="AE351" s="8" t="str">
        <v>2026-10-06 大促；2026-10-07 大促；2026-10-12 有记录的停售日；2026-10-13 有记录的停售日；2026-10-16 有记录的停售日</v>
      </c>
      <c r="AF351" s="8" t="n">
        <v>1</v>
      </c>
      <c r="AG351" s="8" t="n">
        <v>0</v>
      </c>
      <c r="AH351" s="8" t="n">
        <v>14</v>
      </c>
      <c r="AI351" s="8" t="str">
        <v>2026-09-13 至 2026-10-17</v>
      </c>
      <c r="AJ3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1" s="8" t="str">
        <v>2026-10-06 大促；2026-10-07 大促；2026-10-12 有记录的停售日；2026-10-13 有记录的停售日；2026-10-16 有记录的停售日</v>
      </c>
      <c r="AL351" s="8" t="n">
        <v>2</v>
      </c>
      <c r="AM351" s="8" t="n">
        <v>0</v>
      </c>
      <c r="AN351" s="8" t="n">
        <v>30</v>
      </c>
      <c r="AO351" s="8" t="str">
        <v>B06 / 玫瑰金PU / 13120</v>
      </c>
      <c r="AP351" s="11" t="n">
        <v>1.2247029157699902</v>
      </c>
      <c r="AQ351" s="11" t="n">
        <v>1.1929861014741694</v>
      </c>
      <c r="AR351" s="11" t="n">
        <v>1.0914922957275428</v>
      </c>
      <c r="AS351" s="11" t="n">
        <f>IF(AND(COUNT(I351:K351,AP351:AR351)=6,MIN(AP351:AR351)&gt;0),I351/7/AP351*0.5+J351/14/AQ351*0.3+K351/30/AR351*0.2,"")</f>
        <v>0.08850100395468441</v>
      </c>
      <c r="AT351" s="8" t="n">
        <v>5</v>
      </c>
      <c r="AU351" s="8" t="n">
        <v>0</v>
      </c>
      <c r="AV351" s="8" t="n">
        <v>85</v>
      </c>
      <c r="AW351" s="11" t="n">
        <f>IF(AND(COUNT(AT351:AV351)=3,AT351&gt;=AU351,AU351&gt;=0,AV351&gt;0),(AT351-AU351)/AV351,"")</f>
        <v>0.058823529411764705</v>
      </c>
      <c r="AX351" s="8" t="n">
        <v>17</v>
      </c>
      <c r="AY351" s="8" t="n">
        <v>0</v>
      </c>
      <c r="AZ351" s="8" t="n">
        <v>175</v>
      </c>
      <c r="BA351" s="11" t="n">
        <f>IF(AND(COUNT(AX351:AZ351)=3,AX351&gt;=AY351,AY351&gt;=0,AZ351&gt;0),(AX351-AY351)/AZ351,"")</f>
        <v>0.09714285714285714</v>
      </c>
      <c r="BB351" s="8" t="n">
        <f>IF(COUNT(AS351,AW351,BA351)=3,1,0)</f>
        <v>1</v>
      </c>
      <c r="BC351" s="11" t="n">
        <f>IF(SUMIF($AO$11:$AO$1309,AO351,$BB$11:$BB$1309)=COUNTIF($AO$11:$AO$1309,AO351),SUMIF($AO$11:$AO$1309,AO351,$AS$11:$AS$1309),"")</f>
        <v>0.17138358849157517</v>
      </c>
      <c r="BD351" s="11" t="n">
        <f>IF(SUMIF($AO$11:$AO$1309,AO351,$BB$11:$BB$1309)=COUNTIF($AO$11:$AO$1309,AO351),SUMIF($AO$11:$AO$1309,AO351,$AW$11:$AW$1309),"")</f>
        <v>0.24064171122994651</v>
      </c>
      <c r="BE351" s="11" t="n">
        <f>IF(SUMIF($AO$11:$AO$1309,AO351,$BB$11:$BB$1309)=COUNTIF($AO$11:$AO$1309,AO351),SUMIF($AO$11:$AO$1309,AO351,$BA$11:$BA$1309),"")</f>
        <v>0.30568218298555383</v>
      </c>
      <c r="BF351" s="12" t="n">
        <f>IF(COUNT(BD351:BE351)&lt;&gt;2,"",IF(AND(BD351&gt;0,BE351&gt;0),0.7*AW351/BD351+0.3*BA351/BE351,IF(BD351&gt;0,AW351/BD351,IF(BE351&gt;0,BA351/BE351,IF(AND(ISNUMBER(BH351),BH351=0),0,"")))))</f>
        <v>0.2664482251627809</v>
      </c>
      <c r="BG351" s="11" t="n">
        <f>IF(AND(COUNT(BN351:BU351)=8,MIN(BN351:BU351)&gt;=0),SUMPRODUCT(BN351:BQ351,BR351:BU351),"")</f>
        <v>73.80791239847399</v>
      </c>
      <c r="BH351" s="11" t="n">
        <f>IF(COUNT(BC351,BG351)=2,BC351*BG351,"")</f>
        <v>12.649464885922296</v>
      </c>
      <c r="BI351" s="11" t="n">
        <f>IF(ISNUMBER(CI351),CI351,"")</f>
        <v>3.370427468112915</v>
      </c>
      <c r="BJ351" s="8" t="str">
        <v>低销提醒依据不完整</v>
      </c>
      <c r="BK351" s="8" t="str">
        <v>90天：2026-07-20 至 2026-10-17；180天：2026-04-21 至 2026-10-17</v>
      </c>
      <c r="BL351" s="8" t="str">
        <v>90天：2026-10-06、2026-10-07、2026-10-12、2026-10-13、2026-10-16；180天：2026-10-06、2026-10-07、2026-10-12、2026-10-13、2026-10-16</v>
      </c>
      <c r="BM351" s="8" t="str">
        <v>2026-10：12天 × 1.2247029157699902；2026-11：30天 × 0.8332682139098497；2026-12：31天 × 0.5511018253564084；2027-01：17天 × 1.0017220238758797</v>
      </c>
      <c r="BN351" s="11" t="n">
        <v>1.2247029157699902</v>
      </c>
      <c r="BO351" s="11" t="n">
        <v>0.8332682139098497</v>
      </c>
      <c r="BP351" s="11" t="n">
        <v>0.5511018253564084</v>
      </c>
      <c r="BQ351" s="11" t="n">
        <v>1.0017220238758797</v>
      </c>
      <c r="BR351" s="8" t="n">
        <v>12</v>
      </c>
      <c r="BS351" s="8" t="n">
        <v>30</v>
      </c>
      <c r="BT351" s="8" t="n">
        <v>31</v>
      </c>
      <c r="BU351" s="8" t="n">
        <v>17</v>
      </c>
      <c r="BV351" s="11" t="n">
        <f>IF(COUNT(BC351,BF351)=2,BC351*BF351,"")</f>
        <v>0.04566485297560861</v>
      </c>
      <c r="BW351" s="11" t="n">
        <f>IF(ISNUMBER(BN351),BN351,"")</f>
        <v>1.2247029157699902</v>
      </c>
      <c r="BX351" s="14" t="n">
        <f>IF(ISNUMBER(BR351),BR351,"")</f>
        <v>12</v>
      </c>
      <c r="BY351" s="13" t="n">
        <f>IF(AND(COUNT(BV351,BW351,BX351)=3,MIN(BV351,BW351,BX351)&gt;=0),BV351*BW351*BX351,"")</f>
        <v>0.6711105430492293</v>
      </c>
      <c r="BZ351" s="11" t="n">
        <f>IF(ISNUMBER(BO351),BO351,"")</f>
        <v>0.8332682139098497</v>
      </c>
      <c r="CA351" s="14" t="n">
        <f>IF(ISNUMBER(BS351),BS351,"")</f>
        <v>30</v>
      </c>
      <c r="CB351" s="13" t="n">
        <f>IF(AND(COUNT(BV351,BZ351,CA351)=3,MIN(BV351,BZ351,CA351)&gt;=0),BV351*BZ351*CA351,"")</f>
        <v>1.1415321143232382</v>
      </c>
      <c r="CC351" s="11" t="n">
        <f>IF(ISNUMBER(BP351),BP351,"")</f>
        <v>0.5511018253564084</v>
      </c>
      <c r="CD351" s="14" t="n">
        <f>IF(ISNUMBER(BT351),BT351,"")</f>
        <v>31</v>
      </c>
      <c r="CE351" s="13" t="n">
        <f>IF(AND(COUNT(BV351,CC351,CD351)=3,MIN(BV351,CC351,CD351)&gt;=0),BV351*CC351*CD351,"")</f>
        <v>0.7801454987141876</v>
      </c>
      <c r="CF351" s="11" t="n">
        <f>IF(ISNUMBER(BQ351),BQ351,"")</f>
        <v>1.0017220238758797</v>
      </c>
      <c r="CG351" s="14" t="n">
        <f>IF(ISNUMBER(BU351),BU351,"")</f>
        <v>17</v>
      </c>
      <c r="CH351" s="13" t="n">
        <f>IF(AND(COUNT(BV351,CF351,CG351)=3,MIN(BV351,CF351,CG351)&gt;=0),BV351*CF351*CG351,"")</f>
        <v>0.7776393120262595</v>
      </c>
      <c r="CI351" s="13" t="n">
        <f>IF(COUNT(BY351,CB351,CE351,CH351)=4,SUM(BY351,CB351,CE351,CH351),"")</f>
        <v>3.370427468112915</v>
      </c>
    </row>
    <row r="352" ht="72" customHeight="1">
      <c r="A352" s="16" t="str">
        <v>B06b-LP-38.5</v>
      </c>
      <c r="B352" s="16" t="str">
        <v>1店-MUSSHOE-US</v>
      </c>
      <c r="C352" s="16" t="str">
        <v>艾年</v>
      </c>
      <c r="D352" s="26" t="n">
        <f>IF(NOT(ISNUMBER(E352)),"",IF(OR(E352&lt;=0,L352=0),0,IF(OR(NOT(ISNUMBER(F352)),F352&lt;0),"",MIN(E352,INT(F352)))))</f>
        <v>0</v>
      </c>
      <c r="E352" s="27" t="n">
        <f>IF(OR(NOT(ISNUMBER(L352)),COUNT(M352:O352)&lt;&gt;3,MIN(M352:O352)&lt;0),"",ROUNDUP(ROUND(BI352-SUM(M352:O352),10),0))</f>
        <v>4</v>
      </c>
      <c r="F352" s="28" t="n">
        <v>0</v>
      </c>
      <c r="G352" s="28" t="n">
        <f>IF(AND(ISNUMBER(D352),ISNUMBER(E352)),IF(OR(E352&lt;=0,L352=0),0,E352-D352),"")</f>
        <v>4</v>
      </c>
      <c r="H352" s="16" t="str">
        <f>IF(NOT(ISNUMBER(E352)),"销量或海外库存待补",IF(OR(E352&lt;=0,L352=0),IF(L352=0,"零日销，本批不发","本批无需补货"),IF(NOT(ISNUMBER(D352)),"国内库存待补",IF(D352=0,"国内无可用库存",IF(G352&gt;0,"先发国内现货","按建议量发货")))))</f>
        <v>国内无可用库存</v>
      </c>
      <c r="I352" s="28" t="n">
        <f>IF(AND(COUNT(Z352,AA352,AB352)=3,Z352&gt;=AA352,AA352&gt;=0,AB352=7),Z352-AA352,"")</f>
        <v>0</v>
      </c>
      <c r="J352" s="28" t="n">
        <f>IF(AND(COUNT(AF352,AG352,AH352)=3,AF352&gt;=AG352,AG352&gt;=0,AH352=14),AF352-AG352,"")</f>
        <v>1</v>
      </c>
      <c r="K352" s="28" t="n">
        <f>IF(AND(COUNT(AL352,AM352,AN352)=3,AL352&gt;=AM352,AM352&gt;=0,AN352=30),AL352-AM352,"")</f>
        <v>1</v>
      </c>
      <c r="L352" s="29" t="n">
        <f>IF(ISNUMBER(BI352),BI352/90,"")</f>
        <v>0.04022279470588176</v>
      </c>
      <c r="M352" s="28" t="n">
        <v>0</v>
      </c>
      <c r="N352" s="28" t="n">
        <v>0</v>
      </c>
      <c r="O352" s="28" t="n">
        <v>0</v>
      </c>
      <c r="P352" s="30" t="n">
        <f>IF(AND(ISNUMBER(L352),L352&gt;0,COUNT(M352:O352)=3,MIN(M352:O352)&gt;=0),SUM(M352:O352)/L352,"")</f>
        <v>0</v>
      </c>
      <c r="Q352" s="16" t="str">
        <v>沿用原计划SKU店铺</v>
      </c>
      <c r="R352" s="16" t="str">
        <v>已匹配</v>
      </c>
      <c r="S352" s="16" t="str">
        <v>停售</v>
      </c>
      <c r="T352" s="16" t="str">
        <v>B06b</v>
      </c>
      <c r="U352" s="16" t="str">
        <v>豹纹羊京绒</v>
      </c>
      <c r="V352" s="16" t="n">
        <v>7.5</v>
      </c>
      <c r="W352" s="8" t="str">
        <v>2026-10-08 至 2026-10-17</v>
      </c>
      <c r="X352" s="8" t="str">
        <v>2026-10-08、2026-10-09、2026-10-10、2026-10-11、2026-10-14、2026-10-15、2026-10-17</v>
      </c>
      <c r="Y352" s="8" t="str">
        <v>2026-10-12 有记录的停售日；2026-10-13 有记录的停售日；2026-10-16 有记录的停售日</v>
      </c>
      <c r="Z352" s="8" t="n">
        <v>0</v>
      </c>
      <c r="AA352" s="8" t="n">
        <v>0</v>
      </c>
      <c r="AB352" s="8" t="n">
        <v>7</v>
      </c>
      <c r="AC352" s="8" t="str">
        <v>2026-09-29 至 2026-10-17</v>
      </c>
      <c r="AD352" s="8" t="str">
        <v>2026-09-29、2026-09-30、2026-10-01、2026-10-02、2026-10-03、2026-10-04、2026-10-05、2026-10-08、2026-10-09、2026-10-10、2026-10-11、2026-10-14、2026-10-15、2026-10-17</v>
      </c>
      <c r="AE352" s="8" t="str">
        <v>2026-10-06 大促；2026-10-07 大促；2026-10-12 有记录的停售日；2026-10-13 有记录的停售日；2026-10-16 有记录的停售日</v>
      </c>
      <c r="AF352" s="8" t="n">
        <v>1</v>
      </c>
      <c r="AG352" s="8" t="n">
        <v>0</v>
      </c>
      <c r="AH352" s="8" t="n">
        <v>14</v>
      </c>
      <c r="AI352" s="8" t="str">
        <v>2026-09-13 至 2026-10-17</v>
      </c>
      <c r="AJ35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2" s="8" t="str">
        <v>2026-10-06 大促；2026-10-07 大促；2026-10-12 有记录的停售日；2026-10-13 有记录的停售日；2026-10-16 有记录的停售日</v>
      </c>
      <c r="AL352" s="8" t="n">
        <v>1</v>
      </c>
      <c r="AM352" s="8" t="n">
        <v>0</v>
      </c>
      <c r="AN352" s="8" t="n">
        <v>30</v>
      </c>
      <c r="AO352" s="8" t="str">
        <v>B06b / 豹纹羊京绒 / 13120</v>
      </c>
      <c r="AP352" s="11" t="n">
        <v>1.1090677182221615</v>
      </c>
      <c r="AQ352" s="11" t="n">
        <v>1.0637680334742425</v>
      </c>
      <c r="AR352" s="11" t="n">
        <v>0.9188090422809019</v>
      </c>
      <c r="AS352" s="11" t="n">
        <f>IF(AND(COUNT(I352:K352,AP352:AR352)=6,MIN(AP352:AR352)&gt;0),I352/7/AP352*0.5+J352/14/AQ352*0.3+K352/30/AR352*0.2,"")</f>
        <v>0.027399796019082635</v>
      </c>
      <c r="AT352" s="8" t="n">
        <v>2</v>
      </c>
      <c r="AU352" s="8" t="n">
        <v>0</v>
      </c>
      <c r="AV352" s="8" t="n">
        <v>85</v>
      </c>
      <c r="AW352" s="11" t="n">
        <f>IF(AND(COUNT(AT352:AV352)=3,AT352&gt;=AU352,AU352&gt;=0,AV352&gt;0),(AT352-AU352)/AV352,"")</f>
        <v>0.023529411764705882</v>
      </c>
      <c r="AX352" s="8" t="n">
        <v>4</v>
      </c>
      <c r="AY352" s="8" t="n">
        <v>0</v>
      </c>
      <c r="AZ352" s="8" t="n">
        <v>175</v>
      </c>
      <c r="BA352" s="11" t="n">
        <f>IF(AND(COUNT(AX352:AZ352)=3,AX352&gt;=AY352,AY352&gt;=0,AZ352&gt;0),(AX352-AY352)/AZ352,"")</f>
        <v>0.022857142857142857</v>
      </c>
      <c r="BB352" s="8" t="n">
        <f>IF(COUNT(AS352,AW352,BA352)=3,1,0)</f>
        <v>1</v>
      </c>
      <c r="BC352" s="11" t="n">
        <f>IF(SUMIF($AO$11:$AO$1309,AO352,$BB$11:$BB$1309)=COUNTIF($AO$11:$AO$1309,AO352),SUMIF($AO$11:$AO$1309,AO352,$AS$11:$AS$1309),"")</f>
        <v>3.3094608435746915</v>
      </c>
      <c r="BD352" s="11" t="n">
        <f>IF(SUMIF($AO$11:$AO$1309,AO352,$BB$11:$BB$1309)=COUNTIF($AO$11:$AO$1309,AO352),SUMIF($AO$11:$AO$1309,AO352,$AW$11:$AW$1309),"")</f>
        <v>2.343716577540107</v>
      </c>
      <c r="BE352" s="11" t="n">
        <f>IF(SUMIF($AO$11:$AO$1309,AO352,$BB$11:$BB$1309)=COUNTIF($AO$11:$AO$1309,AO352),SUMIF($AO$11:$AO$1309,AO352,$BA$11:$BA$1309),"")</f>
        <v>1.5069662921348317</v>
      </c>
      <c r="BF352" s="12" t="n">
        <f>IF(COUNT(BD352:BE352)&lt;&gt;2,"",IF(AND(BD352&gt;0,BE352&gt;0),0.7*AW352/BD352+0.3*BA352/BE352,IF(BD352&gt;0,AW352/BD352,IF(BE352&gt;0,BA352/BE352,IF(AND(ISNUMBER(BH352),BH352=0),0,"")))))</f>
        <v>0.011577847305119258</v>
      </c>
      <c r="BG352" s="11" t="n">
        <f>IF(AND(COUNT(BN352:BU352)=8,MIN(BN352:BU352)&gt;=0),SUMPRODUCT(BN352:BQ352,BR352:BU352),"")</f>
        <v>94.47778160343367</v>
      </c>
      <c r="BH352" s="11" t="n">
        <f>IF(COUNT(BC352,BG352)=2,BC352*BG352,"")</f>
        <v>312.6705188043651</v>
      </c>
      <c r="BI352" s="11" t="n">
        <f>IF(ISNUMBER(CI352),CI352,"")</f>
        <v>3.6200515235293587</v>
      </c>
      <c r="BJ352" s="8" t="str"/>
      <c r="BK352" s="8" t="str">
        <v>90天：2026-07-20 至 2026-10-17；180天：2026-04-21 至 2026-10-17</v>
      </c>
      <c r="BL352" s="8" t="str">
        <v>90天：2026-10-06、2026-10-07、2026-10-12、2026-10-13、2026-10-16；180天：2026-10-06、2026-10-07、2026-10-12、2026-10-13、2026-10-16</v>
      </c>
      <c r="BM352" s="8" t="str">
        <v>2026-10：12天 × 1.1090677182221615；2026-11：30天 × 1.0372741535934282；2026-12：31天 × 0.979949351738161；2027-01：17天 × 1.1571949690048173</v>
      </c>
      <c r="BN352" s="11" t="n">
        <v>1.1090677182221615</v>
      </c>
      <c r="BO352" s="11" t="n">
        <v>1.0372741535934282</v>
      </c>
      <c r="BP352" s="11" t="n">
        <v>0.979949351738161</v>
      </c>
      <c r="BQ352" s="11" t="n">
        <v>1.1571949690048173</v>
      </c>
      <c r="BR352" s="8" t="n">
        <v>12</v>
      </c>
      <c r="BS352" s="8" t="n">
        <v>30</v>
      </c>
      <c r="BT352" s="8" t="n">
        <v>31</v>
      </c>
      <c r="BU352" s="8" t="n">
        <v>17</v>
      </c>
      <c r="BV352" s="11" t="n">
        <f>IF(COUNT(BC352,BF352)=2,BC352*BF352,"")</f>
        <v>0.03831643230917895</v>
      </c>
      <c r="BW352" s="11" t="n">
        <f>IF(ISNUMBER(BN352),BN352,"")</f>
        <v>1.1090677182221615</v>
      </c>
      <c r="BX352" s="14" t="n">
        <f>IF(ISNUMBER(BR352),BR352,"")</f>
        <v>12</v>
      </c>
      <c r="BY352" s="13" t="n">
        <f>IF(AND(COUNT(BV352,BW352,BX352)=3,MIN(BV352,BW352,BX352)&gt;=0),BV352*BW352*BX352,"")</f>
        <v>0.5099462178186601</v>
      </c>
      <c r="BZ352" s="11" t="n">
        <f>IF(ISNUMBER(BO352),BO352,"")</f>
        <v>1.0372741535934282</v>
      </c>
      <c r="CA352" s="14" t="n">
        <f>IF(ISNUMBER(BS352),BS352,"")</f>
        <v>30</v>
      </c>
      <c r="CB352" s="13" t="n">
        <f>IF(AND(COUNT(BV352,BZ352,CA352)=3,MIN(BV352,BZ352,CA352)&gt;=0),BV352*BZ352*CA352,"")</f>
        <v>1.1923393467667045</v>
      </c>
      <c r="CC352" s="11" t="n">
        <f>IF(ISNUMBER(BP352),BP352,"")</f>
        <v>0.979949351738161</v>
      </c>
      <c r="CD352" s="14" t="n">
        <f>IF(ISNUMBER(BT352),BT352,"")</f>
        <v>31</v>
      </c>
      <c r="CE352" s="13" t="n">
        <f>IF(AND(COUNT(BV352,CC352,CD352)=3,MIN(BV352,CC352,CD352)&gt;=0),BV352*CC352*CD352,"")</f>
        <v>1.16399305307127</v>
      </c>
      <c r="CF352" s="11" t="n">
        <f>IF(ISNUMBER(BQ352),BQ352,"")</f>
        <v>1.1571949690048173</v>
      </c>
      <c r="CG352" s="14" t="n">
        <f>IF(ISNUMBER(BU352),BU352,"")</f>
        <v>17</v>
      </c>
      <c r="CH352" s="13" t="n">
        <f>IF(AND(COUNT(BV352,CF352,CG352)=3,MIN(BV352,CF352,CG352)&gt;=0),BV352*CF352*CG352,"")</f>
        <v>0.7537729058727238</v>
      </c>
      <c r="CI352" s="13" t="n">
        <f>IF(COUNT(BY352,CB352,CE352,CH352)=4,SUM(BY352,CB352,CE352,CH352),"")</f>
        <v>3.6200515235293587</v>
      </c>
    </row>
    <row r="353" ht="72" customHeight="1">
      <c r="A353" s="16" t="str">
        <v>B06b-NDP0-7</v>
      </c>
      <c r="B353" s="16" t="str">
        <v>1店-MUSSHOE-US</v>
      </c>
      <c r="C353" s="16" t="str">
        <v>艾年</v>
      </c>
      <c r="D353" s="26" t="n">
        <f>IF(NOT(ISNUMBER(E353)),"",IF(OR(E353&lt;=0,L353=0),0,IF(OR(NOT(ISNUMBER(F353)),F353&lt;0),"",MIN(E353,INT(F353)))))</f>
        <v>0</v>
      </c>
      <c r="E353" s="27" t="n">
        <f>IF(OR(NOT(ISNUMBER(L353)),COUNT(M353:O353)&lt;&gt;3,MIN(M353:O353)&lt;0),"",ROUNDUP(ROUND(BI353-SUM(M353:O353),10),0))</f>
        <v>4</v>
      </c>
      <c r="F353" s="28" t="n">
        <v>0</v>
      </c>
      <c r="G353" s="28" t="n">
        <f>IF(AND(ISNUMBER(D353),ISNUMBER(E353)),IF(OR(E353&lt;=0,L353=0),0,E353-D353),"")</f>
        <v>4</v>
      </c>
      <c r="H353" s="16" t="str">
        <f>IF(NOT(ISNUMBER(E353)),"销量或海外库存待补",IF(OR(E353&lt;=0,L353=0),IF(L353=0,"零日销，本批不发","本批无需补货"),IF(NOT(ISNUMBER(D353)),"国内库存待补",IF(D353=0,"国内无可用库存",IF(G353&gt;0,"先发国内现货","按建议量发货")))))</f>
        <v>国内无可用库存</v>
      </c>
      <c r="I353" s="28" t="n">
        <f>IF(AND(COUNT(Z353,AA353,AB353)=3,Z353&gt;=AA353,AA353&gt;=0,AB353=7),Z353-AA353,"")</f>
        <v>0</v>
      </c>
      <c r="J353" s="28" t="n">
        <f>IF(AND(COUNT(AF353,AG353,AH353)=3,AF353&gt;=AG353,AG353&gt;=0,AH353=14),AF353-AG353,"")</f>
        <v>0</v>
      </c>
      <c r="K353" s="28" t="n">
        <f>IF(AND(COUNT(AL353,AM353,AN353)=3,AL353&gt;=AM353,AM353&gt;=0,AN353=30),AL353-AM353,"")</f>
        <v>0</v>
      </c>
      <c r="L353" s="29" t="n">
        <f>IF(ISNUMBER(BI353),BI353/90,"")</f>
        <v>0.04261444678769688</v>
      </c>
      <c r="M353" s="28" t="n">
        <v>0</v>
      </c>
      <c r="N353" s="28" t="n">
        <v>0</v>
      </c>
      <c r="O353" s="28" t="n">
        <v>0</v>
      </c>
      <c r="P353" s="30" t="n">
        <f>IF(AND(ISNUMBER(L353),L353&gt;0,COUNT(M353:O353)=3,MIN(M353:O353)&gt;=0),SUM(M353:O353)/L353,"")</f>
        <v>0</v>
      </c>
      <c r="Q353" s="16" t="str">
        <v>沿用原计划SKU店铺</v>
      </c>
      <c r="R353" s="16" t="str">
        <v>已匹配</v>
      </c>
      <c r="S353" s="16" t="str">
        <v>停售</v>
      </c>
      <c r="T353" s="16" t="str">
        <v>B06b</v>
      </c>
      <c r="U353" s="16" t="str">
        <v>裸色PU</v>
      </c>
      <c r="V353" s="16" t="n">
        <v>7</v>
      </c>
      <c r="W353" s="8" t="str">
        <v>2026-10-08 至 2026-10-17</v>
      </c>
      <c r="X353" s="8" t="str">
        <v>2026-10-08、2026-10-09、2026-10-10、2026-10-11、2026-10-14、2026-10-15、2026-10-17</v>
      </c>
      <c r="Y353" s="8" t="str">
        <v>2026-10-12 有记录的停售日；2026-10-13 有记录的停售日；2026-10-16 有记录的停售日</v>
      </c>
      <c r="Z353" s="8" t="n">
        <v>0</v>
      </c>
      <c r="AA353" s="8" t="n">
        <v>0</v>
      </c>
      <c r="AB353" s="8" t="n">
        <v>7</v>
      </c>
      <c r="AC353" s="8" t="str">
        <v>2026-09-29 至 2026-10-17</v>
      </c>
      <c r="AD353" s="8" t="str">
        <v>2026-09-29、2026-09-30、2026-10-01、2026-10-02、2026-10-03、2026-10-04、2026-10-05、2026-10-08、2026-10-09、2026-10-10、2026-10-11、2026-10-14、2026-10-15、2026-10-17</v>
      </c>
      <c r="AE353" s="8" t="str">
        <v>2026-10-06 大促；2026-10-07 大促；2026-10-12 有记录的停售日；2026-10-13 有记录的停售日；2026-10-16 有记录的停售日</v>
      </c>
      <c r="AF353" s="8" t="n">
        <v>0</v>
      </c>
      <c r="AG353" s="8" t="n">
        <v>0</v>
      </c>
      <c r="AH353" s="8" t="n">
        <v>14</v>
      </c>
      <c r="AI353" s="8" t="str">
        <v>2026-09-13 至 2026-10-17</v>
      </c>
      <c r="AJ35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3" s="8" t="str">
        <v>2026-10-06 大促；2026-10-07 大促；2026-10-12 有记录的停售日；2026-10-13 有记录的停售日；2026-10-16 有记录的停售日</v>
      </c>
      <c r="AL353" s="8" t="n">
        <v>0</v>
      </c>
      <c r="AM353" s="8" t="n">
        <v>0</v>
      </c>
      <c r="AN353" s="8" t="n">
        <v>30</v>
      </c>
      <c r="AO353" s="8" t="str">
        <v>B06b / 裸色PU / 13120</v>
      </c>
      <c r="AP353" s="11" t="n">
        <v>1.1090677182221615</v>
      </c>
      <c r="AQ353" s="11" t="n">
        <v>1.0637680334742425</v>
      </c>
      <c r="AR353" s="11" t="n">
        <v>0.9188090422809019</v>
      </c>
      <c r="AS353" s="11" t="n">
        <f>IF(AND(COUNT(I353:K353,AP353:AR353)=6,MIN(AP353:AR353)&gt;0),I353/7/AP353*0.5+J353/14/AQ353*0.3+K353/30/AR353*0.2,"")</f>
        <v>0</v>
      </c>
      <c r="AT353" s="8" t="n">
        <v>2</v>
      </c>
      <c r="AU353" s="8" t="n">
        <v>0</v>
      </c>
      <c r="AV353" s="8" t="n">
        <v>85</v>
      </c>
      <c r="AW353" s="11" t="n">
        <f>IF(AND(COUNT(AT353:AV353)=3,AT353&gt;=AU353,AU353&gt;=0,AV353&gt;0),(AT353-AU353)/AV353,"")</f>
        <v>0.023529411764705882</v>
      </c>
      <c r="AX353" s="8" t="n">
        <v>12</v>
      </c>
      <c r="AY353" s="8" t="n">
        <v>0</v>
      </c>
      <c r="AZ353" s="8" t="n">
        <v>175</v>
      </c>
      <c r="BA353" s="11" t="n">
        <f>IF(AND(COUNT(AX353:AZ353)=3,AX353&gt;=AY353,AY353&gt;=0,AZ353&gt;0),(AX353-AY353)/AZ353,"")</f>
        <v>0.06857142857142857</v>
      </c>
      <c r="BB353" s="8" t="n">
        <f>IF(COUNT(AS353,AW353,BA353)=3,1,0)</f>
        <v>1</v>
      </c>
      <c r="BC353" s="11" t="n">
        <f>IF(SUMIF($AO$11:$AO$1309,AO353,$BB$11:$BB$1309)=COUNTIF($AO$11:$AO$1309,AO353),SUMIF($AO$11:$AO$1309,AO353,$AS$11:$AS$1309),"")</f>
        <v>0.949812540451568</v>
      </c>
      <c r="BD353" s="11" t="n">
        <f>IF(SUMIF($AO$11:$AO$1309,AO353,$BB$11:$BB$1309)=COUNTIF($AO$11:$AO$1309,AO353),SUMIF($AO$11:$AO$1309,AO353,$AW$11:$AW$1309),"")</f>
        <v>0.9247833302600036</v>
      </c>
      <c r="BE353" s="11" t="n">
        <f>IF(SUMIF($AO$11:$AO$1309,AO353,$BB$11:$BB$1309)=COUNTIF($AO$11:$AO$1309,AO353),SUMIF($AO$11:$AO$1309,AO353,$BA$11:$BA$1309),"")</f>
        <v>0.8251835931477904</v>
      </c>
      <c r="BF353" s="12" t="n">
        <f>IF(COUNT(BD353:BE353)&lt;&gt;2,"",IF(AND(BD353&gt;0,BE353&gt;0),0.7*AW353/BD353+0.3*BA353/BE353,IF(BD353&gt;0,AW353/BD353,IF(BE353&gt;0,BA353/BE353,IF(AND(ISNUMBER(BH353),BH353=0),0,"")))))</f>
        <v>0.04273973034765535</v>
      </c>
      <c r="BG353" s="11" t="n">
        <f>IF(AND(COUNT(BN353:BU353)=8,MIN(BN353:BU353)&gt;=0),SUMPRODUCT(BN353:BQ353,BR353:BU353),"")</f>
        <v>94.47778160343367</v>
      </c>
      <c r="BH353" s="11" t="n">
        <f>IF(COUNT(BC353,BG353)=2,BC353*BG353,"")</f>
        <v>89.73618176098576</v>
      </c>
      <c r="BI353" s="11" t="n">
        <f>IF(ISNUMBER(CI353),CI353,"")</f>
        <v>3.8353002108927194</v>
      </c>
      <c r="BJ353" s="8" t="str"/>
      <c r="BK353" s="8" t="str">
        <v>90天：2026-07-20 至 2026-10-17；180天：2026-04-21 至 2026-10-17</v>
      </c>
      <c r="BL353" s="8" t="str">
        <v>90天：2026-10-06、2026-10-07、2026-10-12、2026-10-13、2026-10-16；180天：2026-10-06、2026-10-07、2026-10-12、2026-10-13、2026-10-16</v>
      </c>
      <c r="BM353" s="8" t="str">
        <v>2026-10：12天 × 1.1090677182221615；2026-11：30天 × 1.0372741535934282；2026-12：31天 × 0.979949351738161；2027-01：17天 × 1.1571949690048173</v>
      </c>
      <c r="BN353" s="11" t="n">
        <v>1.1090677182221615</v>
      </c>
      <c r="BO353" s="11" t="n">
        <v>1.0372741535934282</v>
      </c>
      <c r="BP353" s="11" t="n">
        <v>0.979949351738161</v>
      </c>
      <c r="BQ353" s="11" t="n">
        <v>1.1571949690048173</v>
      </c>
      <c r="BR353" s="8" t="n">
        <v>12</v>
      </c>
      <c r="BS353" s="8" t="n">
        <v>30</v>
      </c>
      <c r="BT353" s="8" t="n">
        <v>31</v>
      </c>
      <c r="BU353" s="8" t="n">
        <v>17</v>
      </c>
      <c r="BV353" s="11" t="n">
        <f>IF(COUNT(BC353,BF353)=2,BC353*BF353,"")</f>
        <v>0.04059473185972151</v>
      </c>
      <c r="BW353" s="11" t="n">
        <f>IF(ISNUMBER(BN353),BN353,"")</f>
        <v>1.1090677182221615</v>
      </c>
      <c r="BX353" s="14" t="n">
        <f>IF(ISNUMBER(BR353),BR353,"")</f>
        <v>12</v>
      </c>
      <c r="BY353" s="13" t="n">
        <f>IF(AND(COUNT(BV353,BW353,BX353)=3,MIN(BV353,BW353,BX353)&gt;=0),BV353*BW353*BX353,"")</f>
        <v>0.5402676796260218</v>
      </c>
      <c r="BZ353" s="11" t="n">
        <f>IF(ISNUMBER(BO353),BO353,"")</f>
        <v>1.0372741535934282</v>
      </c>
      <c r="CA353" s="14" t="n">
        <f>IF(ISNUMBER(BS353),BS353,"")</f>
        <v>30</v>
      </c>
      <c r="CB353" s="13" t="n">
        <f>IF(AND(COUNT(BV353,BZ353,CA353)=3,MIN(BV353,BZ353,CA353)&gt;=0),BV353*BZ353*CA353,"")</f>
        <v>1.263235983904344</v>
      </c>
      <c r="CC353" s="11" t="n">
        <f>IF(ISNUMBER(BP353),BP353,"")</f>
        <v>0.979949351738161</v>
      </c>
      <c r="CD353" s="14" t="n">
        <f>IF(ISNUMBER(BT353),BT353,"")</f>
        <v>31</v>
      </c>
      <c r="CE353" s="13" t="n">
        <f>IF(AND(COUNT(BV353,CC353,CD353)=3,MIN(BV353,CC353,CD353)&gt;=0),BV353*CC353*CD353,"")</f>
        <v>1.2332042162674757</v>
      </c>
      <c r="CF353" s="11" t="n">
        <f>IF(ISNUMBER(BQ353),BQ353,"")</f>
        <v>1.1571949690048173</v>
      </c>
      <c r="CG353" s="14" t="n">
        <f>IF(ISNUMBER(BU353),BU353,"")</f>
        <v>17</v>
      </c>
      <c r="CH353" s="13" t="n">
        <f>IF(AND(COUNT(BV353,CF353,CG353)=3,MIN(BV353,CF353,CG353)&gt;=0),BV353*CF353*CG353,"")</f>
        <v>0.7985923310948781</v>
      </c>
      <c r="CI353" s="13" t="n">
        <f>IF(COUNT(BY353,CB353,CE353,CH353)=4,SUM(BY353,CB353,CE353,CH353),"")</f>
        <v>3.8353002108927194</v>
      </c>
    </row>
    <row r="354" ht="72" customHeight="1">
      <c r="A354" s="16" t="str">
        <v>B06b-NDP0-8.5</v>
      </c>
      <c r="B354" s="16" t="str">
        <v>1店-MUSSHOE-US</v>
      </c>
      <c r="C354" s="16" t="str">
        <v>艾年</v>
      </c>
      <c r="D354" s="26" t="n">
        <f>IF(NOT(ISNUMBER(E354)),"",IF(OR(E354&lt;=0,L354=0),0,IF(OR(NOT(ISNUMBER(F354)),F354&lt;0),"",MIN(E354,INT(F354)))))</f>
        <v>0</v>
      </c>
      <c r="E354" s="27" t="n">
        <f>IF(OR(NOT(ISNUMBER(L354)),COUNT(M354:O354)&lt;&gt;3,MIN(M354:O354)&lt;0),"",ROUNDUP(ROUND(BI354-SUM(M354:O354),10),0))</f>
        <v>4</v>
      </c>
      <c r="F354" s="28" t="n">
        <v>0</v>
      </c>
      <c r="G354" s="28" t="n">
        <f>IF(AND(ISNUMBER(D354),ISNUMBER(E354)),IF(OR(E354&lt;=0,L354=0),0,E354-D354),"")</f>
        <v>4</v>
      </c>
      <c r="H354" s="16" t="str">
        <f>IF(NOT(ISNUMBER(E354)),"销量或海外库存待补",IF(OR(E354&lt;=0,L354=0),IF(L354=0,"零日销，本批不发","本批无需补货"),IF(NOT(ISNUMBER(D354)),"国内库存待补",IF(D354=0,"国内无可用库存",IF(G354&gt;0,"先发国内现货","按建议量发货")))))</f>
        <v>国内无可用库存</v>
      </c>
      <c r="I354" s="28" t="n">
        <f>IF(AND(COUNT(Z354,AA354,AB354)=3,Z354&gt;=AA354,AA354&gt;=0,AB354=7),Z354-AA354,"")</f>
        <v>0</v>
      </c>
      <c r="J354" s="28" t="n">
        <f>IF(AND(COUNT(AF354,AG354,AH354)=3,AF354&gt;=AG354,AG354&gt;=0,AH354=14),AF354-AG354,"")</f>
        <v>0</v>
      </c>
      <c r="K354" s="28" t="n">
        <f>IF(AND(COUNT(AL354,AM354,AN354)=3,AL354&gt;=AM354,AM354&gt;=0,AN354=30),AL354-AM354,"")</f>
        <v>0</v>
      </c>
      <c r="L354" s="29" t="n">
        <f>IF(ISNUMBER(BI354),BI354/90,"")</f>
        <v>0.0372846614316658</v>
      </c>
      <c r="M354" s="28" t="n">
        <v>0</v>
      </c>
      <c r="N354" s="28" t="n">
        <v>0</v>
      </c>
      <c r="O354" s="28" t="n">
        <v>0</v>
      </c>
      <c r="P354" s="30" t="n">
        <f>IF(AND(ISNUMBER(L354),L354&gt;0,COUNT(M354:O354)=3,MIN(M354:O354)&gt;=0),SUM(M354:O354)/L354,"")</f>
        <v>0</v>
      </c>
      <c r="Q354" s="16" t="str">
        <v>沿用原计划SKU店铺</v>
      </c>
      <c r="R354" s="16" t="str">
        <v>已匹配</v>
      </c>
      <c r="S354" s="16" t="str">
        <v>停售</v>
      </c>
      <c r="T354" s="16" t="str">
        <v>B06b</v>
      </c>
      <c r="U354" s="16" t="str">
        <v>裸色PU</v>
      </c>
      <c r="V354" s="16" t="n">
        <v>8.5</v>
      </c>
      <c r="W354" s="8" t="str">
        <v>2026-10-08 至 2026-10-17</v>
      </c>
      <c r="X354" s="8" t="str">
        <v>2026-10-08、2026-10-09、2026-10-10、2026-10-11、2026-10-14、2026-10-15、2026-10-17</v>
      </c>
      <c r="Y354" s="8" t="str">
        <v>2026-10-12 有记录的停售日；2026-10-13 有记录的停售日；2026-10-16 有记录的停售日</v>
      </c>
      <c r="Z354" s="8" t="n">
        <v>0</v>
      </c>
      <c r="AA354" s="8" t="n">
        <v>0</v>
      </c>
      <c r="AB354" s="8" t="n">
        <v>7</v>
      </c>
      <c r="AC354" s="8" t="str">
        <v>2026-09-29 至 2026-10-17</v>
      </c>
      <c r="AD354" s="8" t="str">
        <v>2026-09-29、2026-09-30、2026-10-01、2026-10-02、2026-10-03、2026-10-04、2026-10-05、2026-10-08、2026-10-09、2026-10-10、2026-10-11、2026-10-14、2026-10-15、2026-10-17</v>
      </c>
      <c r="AE354" s="8" t="str">
        <v>2026-10-06 大促；2026-10-07 大促；2026-10-12 有记录的停售日；2026-10-13 有记录的停售日；2026-10-16 有记录的停售日</v>
      </c>
      <c r="AF354" s="8" t="n">
        <v>0</v>
      </c>
      <c r="AG354" s="8" t="n">
        <v>0</v>
      </c>
      <c r="AH354" s="8" t="n">
        <v>14</v>
      </c>
      <c r="AI354" s="8" t="str">
        <v>2026-09-13 至 2026-10-17</v>
      </c>
      <c r="AJ35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4" s="8" t="str">
        <v>2026-10-06 大促；2026-10-07 大促；2026-10-12 有记录的停售日；2026-10-13 有记录的停售日；2026-10-16 有记录的停售日</v>
      </c>
      <c r="AL354" s="8" t="n">
        <v>0</v>
      </c>
      <c r="AM354" s="8" t="n">
        <v>0</v>
      </c>
      <c r="AN354" s="8" t="n">
        <v>30</v>
      </c>
      <c r="AO354" s="8" t="str">
        <v>B06b / 裸色PU / 13120</v>
      </c>
      <c r="AP354" s="11" t="n">
        <v>1.1090677182221615</v>
      </c>
      <c r="AQ354" s="11" t="n">
        <v>1.0637680334742425</v>
      </c>
      <c r="AR354" s="11" t="n">
        <v>0.9188090422809019</v>
      </c>
      <c r="AS354" s="11" t="n">
        <f>IF(AND(COUNT(I354:K354,AP354:AR354)=6,MIN(AP354:AR354)&gt;0),I354/7/AP354*0.5+J354/14/AQ354*0.3+K354/30/AR354*0.2,"")</f>
        <v>0</v>
      </c>
      <c r="AT354" s="8" t="n">
        <v>0</v>
      </c>
      <c r="AU354" s="8" t="n">
        <v>0</v>
      </c>
      <c r="AV354" s="8" t="n">
        <v>85</v>
      </c>
      <c r="AW354" s="11" t="n">
        <f>IF(AND(COUNT(AT354:AV354)=3,AT354&gt;=AU354,AU354&gt;=0,AV354&gt;0),(AT354-AU354)/AV354,"")</f>
        <v>0</v>
      </c>
      <c r="AX354" s="8" t="n">
        <v>18</v>
      </c>
      <c r="AY354" s="8" t="n">
        <v>0</v>
      </c>
      <c r="AZ354" s="8" t="n">
        <v>175</v>
      </c>
      <c r="BA354" s="11" t="n">
        <f>IF(AND(COUNT(AX354:AZ354)=3,AX354&gt;=AY354,AY354&gt;=0,AZ354&gt;0),(AX354-AY354)/AZ354,"")</f>
        <v>0.10285714285714286</v>
      </c>
      <c r="BB354" s="8" t="n">
        <f>IF(COUNT(AS354,AW354,BA354)=3,1,0)</f>
        <v>1</v>
      </c>
      <c r="BC354" s="11" t="n">
        <f>IF(SUMIF($AO$11:$AO$1309,AO354,$BB$11:$BB$1309)=COUNTIF($AO$11:$AO$1309,AO354),SUMIF($AO$11:$AO$1309,AO354,$AS$11:$AS$1309),"")</f>
        <v>0.949812540451568</v>
      </c>
      <c r="BD354" s="11" t="n">
        <f>IF(SUMIF($AO$11:$AO$1309,AO354,$BB$11:$BB$1309)=COUNTIF($AO$11:$AO$1309,AO354),SUMIF($AO$11:$AO$1309,AO354,$AW$11:$AW$1309),"")</f>
        <v>0.9247833302600036</v>
      </c>
      <c r="BE354" s="11" t="n">
        <f>IF(SUMIF($AO$11:$AO$1309,AO354,$BB$11:$BB$1309)=COUNTIF($AO$11:$AO$1309,AO354),SUMIF($AO$11:$AO$1309,AO354,$BA$11:$BA$1309),"")</f>
        <v>0.8251835931477904</v>
      </c>
      <c r="BF354" s="12" t="n">
        <f>IF(COUNT(BD354:BE354)&lt;&gt;2,"",IF(AND(BD354&gt;0,BE354&gt;0),0.7*AW354/BD354+0.3*BA354/BE354,IF(BD354&gt;0,AW354/BD354,IF(BE354&gt;0,BA354/BE354,IF(AND(ISNUMBER(BH354),BH354=0),0,"")))))</f>
        <v>0.03739427578708092</v>
      </c>
      <c r="BG354" s="11" t="n">
        <f>IF(AND(COUNT(BN354:BU354)=8,MIN(BN354:BU354)&gt;=0),SUMPRODUCT(BN354:BQ354,BR354:BU354),"")</f>
        <v>94.47778160343367</v>
      </c>
      <c r="BH354" s="11" t="n">
        <f>IF(COUNT(BC354,BG354)=2,BC354*BG354,"")</f>
        <v>89.73618176098576</v>
      </c>
      <c r="BI354" s="11" t="n">
        <f>IF(ISNUMBER(CI354),CI354,"")</f>
        <v>3.355619528849922</v>
      </c>
      <c r="BJ354" s="8" t="str"/>
      <c r="BK354" s="8" t="str">
        <v>90天：2026-07-20 至 2026-10-17；180天：2026-04-21 至 2026-10-17</v>
      </c>
      <c r="BL354" s="8" t="str">
        <v>90天：2026-10-06、2026-10-07、2026-10-12、2026-10-13、2026-10-16；180天：2026-10-06、2026-10-07、2026-10-12、2026-10-13、2026-10-16</v>
      </c>
      <c r="BM354" s="8" t="str">
        <v>2026-10：12天 × 1.1090677182221615；2026-11：30天 × 1.0372741535934282；2026-12：31天 × 0.979949351738161；2027-01：17天 × 1.1571949690048173</v>
      </c>
      <c r="BN354" s="11" t="n">
        <v>1.1090677182221615</v>
      </c>
      <c r="BO354" s="11" t="n">
        <v>1.0372741535934282</v>
      </c>
      <c r="BP354" s="11" t="n">
        <v>0.979949351738161</v>
      </c>
      <c r="BQ354" s="11" t="n">
        <v>1.1571949690048173</v>
      </c>
      <c r="BR354" s="8" t="n">
        <v>12</v>
      </c>
      <c r="BS354" s="8" t="n">
        <v>30</v>
      </c>
      <c r="BT354" s="8" t="n">
        <v>31</v>
      </c>
      <c r="BU354" s="8" t="n">
        <v>17</v>
      </c>
      <c r="BV354" s="11" t="n">
        <f>IF(COUNT(BC354,BF354)=2,BC354*BF354,"")</f>
        <v>0.03551755208367389</v>
      </c>
      <c r="BW354" s="11" t="n">
        <f>IF(ISNUMBER(BN354),BN354,"")</f>
        <v>1.1090677182221615</v>
      </c>
      <c r="BX354" s="14" t="n">
        <f>IF(ISNUMBER(BR354),BR354,"")</f>
        <v>12</v>
      </c>
      <c r="BY354" s="13" t="n">
        <f>IF(AND(COUNT(BV354,BW354,BX354)=3,MIN(BV354,BW354,BX354)&gt;=0),BV354*BW354*BX354,"")</f>
        <v>0.47269644535532374</v>
      </c>
      <c r="BZ354" s="11" t="n">
        <f>IF(ISNUMBER(BO354),BO354,"")</f>
        <v>1.0372741535934282</v>
      </c>
      <c r="CA354" s="14" t="n">
        <f>IF(ISNUMBER(BS354),BS354,"")</f>
        <v>30</v>
      </c>
      <c r="CB354" s="13" t="n">
        <f>IF(AND(COUNT(BV354,BZ354,CA354)=3,MIN(BV354,BZ354,CA354)&gt;=0),BV354*BZ354*CA354,"")</f>
        <v>1.1052431632591</v>
      </c>
      <c r="CC354" s="11" t="n">
        <f>IF(ISNUMBER(BP354),BP354,"")</f>
        <v>0.979949351738161</v>
      </c>
      <c r="CD354" s="14" t="n">
        <f>IF(ISNUMBER(BT354),BT354,"")</f>
        <v>31</v>
      </c>
      <c r="CE354" s="13" t="n">
        <f>IF(AND(COUNT(BV354,CC354,CD354)=3,MIN(BV354,CC354,CD354)&gt;=0),BV354*CC354*CD354,"")</f>
        <v>1.0789674663314004</v>
      </c>
      <c r="CF354" s="11" t="n">
        <f>IF(ISNUMBER(BQ354),BQ354,"")</f>
        <v>1.1571949690048173</v>
      </c>
      <c r="CG354" s="14" t="n">
        <f>IF(ISNUMBER(BU354),BU354,"")</f>
        <v>17</v>
      </c>
      <c r="CH354" s="13" t="n">
        <f>IF(AND(COUNT(BV354,CF354,CG354)=3,MIN(BV354,CF354,CG354)&gt;=0),BV354*CF354*CG354,"")</f>
        <v>0.6987124539040978</v>
      </c>
      <c r="CI354" s="13" t="n">
        <f>IF(COUNT(BY354,CB354,CE354,CH354)=4,SUM(BY354,CB354,CE354,CH354),"")</f>
        <v>3.355619528849922</v>
      </c>
    </row>
    <row r="355" ht="72" customHeight="1">
      <c r="A355" s="16" t="str">
        <v>B07-BK-Z-0-38</v>
      </c>
      <c r="B355" s="16" t="str">
        <v>4店-彬郁-US</v>
      </c>
      <c r="C355" s="16" t="str">
        <v>艾年</v>
      </c>
      <c r="D355" s="26" t="n">
        <f>IF(NOT(ISNUMBER(E355)),"",IF(OR(E355&lt;=0,L355=0),0,IF(OR(NOT(ISNUMBER(F355)),F355&lt;0),"",MIN(E355,INT(F355)))))</f>
        <v>0</v>
      </c>
      <c r="E355" s="27" t="n">
        <f>IF(OR(NOT(ISNUMBER(L355)),COUNT(M355:O355)&lt;&gt;3,MIN(M355:O355)&lt;0),"",ROUNDUP(ROUND(BI355-SUM(M355:O355),10),0))</f>
        <v>4</v>
      </c>
      <c r="F355" s="28" t="n">
        <v>0</v>
      </c>
      <c r="G355" s="28" t="n">
        <f>IF(AND(ISNUMBER(D355),ISNUMBER(E355)),IF(OR(E355&lt;=0,L355=0),0,E355-D355),"")</f>
        <v>4</v>
      </c>
      <c r="H355" s="16" t="str">
        <f>IF(NOT(ISNUMBER(E355)),"销量或海外库存待补",IF(OR(E355&lt;=0,L355=0),IF(L355=0,"零日销，本批不发","本批无需补货"),IF(NOT(ISNUMBER(D355)),"国内库存待补",IF(D355=0,"国内无可用库存",IF(G355&gt;0,"先发国内现货","按建议量发货")))))</f>
        <v>国内无可用库存</v>
      </c>
      <c r="I355" s="28" t="n">
        <f>IF(AND(COUNT(Z355,AA355,AB355)=3,Z355&gt;=AA355,AA355&gt;=0,AB355=7),Z355-AA355,"")</f>
        <v>0</v>
      </c>
      <c r="J355" s="28" t="n">
        <f>IF(AND(COUNT(AF355,AG355,AH355)=3,AF355&gt;=AG355,AG355&gt;=0,AH355=14),AF355-AG355,"")</f>
        <v>0</v>
      </c>
      <c r="K355" s="28" t="n">
        <f>IF(AND(COUNT(AL355,AM355,AN355)=3,AL355&gt;=AM355,AM355&gt;=0,AN355=30),AL355-AM355,"")</f>
        <v>0</v>
      </c>
      <c r="L355" s="29" t="n">
        <f>IF(ISNUMBER(BI355),BI355/90,"")</f>
        <v>0.08233220952681493</v>
      </c>
      <c r="M355" s="28" t="n">
        <v>4</v>
      </c>
      <c r="N355" s="28" t="n">
        <v>0</v>
      </c>
      <c r="O355" s="28" t="n">
        <v>0</v>
      </c>
      <c r="P355" s="30" t="n">
        <f>IF(AND(ISNUMBER(L355),L355&gt;0,COUNT(M355:O355)=3,MIN(M355:O355)&gt;=0),SUM(M355:O355)/L355,"")</f>
        <v>48.58365909270579</v>
      </c>
      <c r="Q355" s="16" t="str">
        <v>沿用原计划SKU店铺</v>
      </c>
      <c r="R355" s="16" t="str">
        <v>已匹配</v>
      </c>
      <c r="S355" s="16" t="str">
        <v>在售</v>
      </c>
      <c r="T355" s="16" t="str">
        <v>B07</v>
      </c>
      <c r="U355" s="16" t="str">
        <v>黑色镜面PU</v>
      </c>
      <c r="V355" s="16" t="n">
        <v>7</v>
      </c>
      <c r="W355" s="8" t="str">
        <v>2026-10-11 至 2026-10-17</v>
      </c>
      <c r="X355" s="8" t="str">
        <v>2026-10-11、2026-10-12、2026-10-13、2026-10-14、2026-10-15、2026-10-16、2026-10-17</v>
      </c>
      <c r="Y355" s="8" t="str">
        <v>无</v>
      </c>
      <c r="Z355" s="8" t="n">
        <v>0</v>
      </c>
      <c r="AA355" s="8" t="n">
        <v>0</v>
      </c>
      <c r="AB355" s="8" t="n">
        <v>7</v>
      </c>
      <c r="AC355" s="8" t="str">
        <v>2026-10-02 至 2026-10-17</v>
      </c>
      <c r="AD355" s="8" t="str">
        <v>2026-10-02、2026-10-03、2026-10-04、2026-10-05、2026-10-08、2026-10-09、2026-10-10、2026-10-11、2026-10-12、2026-10-13、2026-10-14、2026-10-15、2026-10-16、2026-10-17</v>
      </c>
      <c r="AE355" s="8" t="str">
        <v>2026-10-06 大促；2026-10-07 大促</v>
      </c>
      <c r="AF355" s="8" t="n">
        <v>1</v>
      </c>
      <c r="AG355" s="8" t="n">
        <v>1</v>
      </c>
      <c r="AH355" s="8" t="n">
        <v>14</v>
      </c>
      <c r="AI355" s="8" t="str">
        <v>2026-09-16 至 2026-10-17</v>
      </c>
      <c r="AJ3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55" s="8" t="str">
        <v>2026-10-06 大促；2026-10-07 大促</v>
      </c>
      <c r="AL355" s="8" t="n">
        <v>1</v>
      </c>
      <c r="AM355" s="8" t="n">
        <v>1</v>
      </c>
      <c r="AN355" s="8" t="n">
        <v>30</v>
      </c>
      <c r="AO355" s="8" t="str">
        <v>B07 / 黑色天鹅绒 / 13306</v>
      </c>
      <c r="AP355" s="11" t="n">
        <v>0.7307750238224848</v>
      </c>
      <c r="AQ355" s="11" t="n">
        <v>0.7307750238224848</v>
      </c>
      <c r="AR355" s="11" t="n">
        <v>0.7449809054134506</v>
      </c>
      <c r="AS355" s="11" t="n">
        <f>IF(AND(COUNT(I355:K355,AP355:AR355)=6,MIN(AP355:AR355)&gt;0),I355/7/AP355*0.5+J355/14/AQ355*0.3+K355/30/AR355*0.2,"")</f>
        <v>0</v>
      </c>
      <c r="AT355" s="8" t="n">
        <v>4</v>
      </c>
      <c r="AU355" s="8" t="n">
        <v>1</v>
      </c>
      <c r="AV355" s="8" t="n">
        <v>88</v>
      </c>
      <c r="AW355" s="11" t="n">
        <f>IF(AND(COUNT(AT355:AV355)=3,AT355&gt;=AU355,AU355&gt;=0,AV355&gt;0),(AT355-AU355)/AV355,"")</f>
        <v>0.03409090909090909</v>
      </c>
      <c r="AX355" s="8" t="n">
        <v>13</v>
      </c>
      <c r="AY355" s="8" t="n">
        <v>1</v>
      </c>
      <c r="AZ355" s="8" t="n">
        <v>178</v>
      </c>
      <c r="BA355" s="11" t="n">
        <f>IF(AND(COUNT(AX355:AZ355)=3,AX355&gt;=AY355,AY355&gt;=0,AZ355&gt;0),(AX355-AY355)/AZ355,"")</f>
        <v>0.06741573033707865</v>
      </c>
      <c r="BB355" s="8" t="n">
        <f>IF(COUNT(AS355,AW355,BA355)=3,1,0)</f>
        <v>1</v>
      </c>
      <c r="BC355" s="11" t="n">
        <f>IF(SUMIF($AO$11:$AO$1309,AO355,$BB$11:$BB$1309)=COUNTIF($AO$11:$AO$1309,AO355),SUMIF($AO$11:$AO$1309,AO355,$AS$11:$AS$1309),"")</f>
        <v>11.92937132043239</v>
      </c>
      <c r="BD355" s="11" t="n">
        <f>IF(SUMIF($AO$11:$AO$1309,AO355,$BB$11:$BB$1309)=COUNTIF($AO$11:$AO$1309,AO355),SUMIF($AO$11:$AO$1309,AO355,$AW$11:$AW$1309),"")</f>
        <v>5.794919786096258</v>
      </c>
      <c r="BE355" s="11" t="n">
        <f>IF(SUMIF($AO$11:$AO$1309,AO355,$BB$11:$BB$1309)=COUNTIF($AO$11:$AO$1309,AO355),SUMIF($AO$11:$AO$1309,AO355,$BA$11:$BA$1309),"")</f>
        <v>5.3098234349919755</v>
      </c>
      <c r="BF355" s="12" t="n">
        <f>IF(COUNT(BD355:BE355)&lt;&gt;2,"",IF(AND(BD355&gt;0,BE355&gt;0),0.7*AW355/BD355+0.3*BA355/BE355,IF(BD355&gt;0,AW355/BD355,IF(BE355&gt;0,BA355/BE355,IF(AND(ISNUMBER(BH355),BH355=0),0,"")))))</f>
        <v>0.007926952014520148</v>
      </c>
      <c r="BG355" s="11" t="n">
        <f>IF(AND(COUNT(BN355:BU355)=8,MIN(BN355:BU355)&gt;=0),SUMPRODUCT(BN355:BQ355,BR355:BU355),"")</f>
        <v>78.35892944347341</v>
      </c>
      <c r="BH355" s="11" t="n">
        <f>IF(COUNT(BC355,BG355)=2,BC355*BG355,"")</f>
        <v>934.7727656027569</v>
      </c>
      <c r="BI355" s="11" t="n">
        <f>IF(ISNUMBER(CI355),CI355,"")</f>
        <v>7.409898857413344</v>
      </c>
      <c r="BJ355" s="8" t="str">
        <v>低销提醒依据不完整</v>
      </c>
      <c r="BK355" s="8" t="str">
        <v>90天：2026-07-20 至 2026-10-17；180天：2026-04-21 至 2026-10-17</v>
      </c>
      <c r="BL355" s="8" t="str">
        <v>90天：2026-10-06、2026-10-07；180天：2026-10-06、2026-10-07</v>
      </c>
      <c r="BM355" s="8" t="str">
        <v>2026-10：12天 × 0.7307750238224848；2026-11：30天 × 0.9523018155490097；2026-12：31天 × 0.5958545198749097；2027-01：17天 × 1.3264167397065354</v>
      </c>
      <c r="BN355" s="11" t="n">
        <v>0.7307750238224848</v>
      </c>
      <c r="BO355" s="11" t="n">
        <v>0.9523018155490097</v>
      </c>
      <c r="BP355" s="11" t="n">
        <v>0.5958545198749097</v>
      </c>
      <c r="BQ355" s="11" t="n">
        <v>1.3264167397065354</v>
      </c>
      <c r="BR355" s="8" t="n">
        <v>12</v>
      </c>
      <c r="BS355" s="8" t="n">
        <v>30</v>
      </c>
      <c r="BT355" s="8" t="n">
        <v>31</v>
      </c>
      <c r="BU355" s="8" t="n">
        <v>17</v>
      </c>
      <c r="BV355" s="11" t="n">
        <f>IF(COUNT(BC355,BF355)=2,BC355*BF355,"")</f>
        <v>0.0945635540204604</v>
      </c>
      <c r="BW355" s="11" t="n">
        <f>IF(ISNUMBER(BN355),BN355,"")</f>
        <v>0.7307750238224848</v>
      </c>
      <c r="BX355" s="14" t="n">
        <f>IF(ISNUMBER(BR355),BR355,"")</f>
        <v>12</v>
      </c>
      <c r="BY355" s="13" t="n">
        <f>IF(AND(COUNT(BV355,BW355,BX355)=3,MIN(BV355,BW355,BX355)&gt;=0),BV355*BW355*BX355,"")</f>
        <v>0.8292562013044893</v>
      </c>
      <c r="BZ355" s="11" t="n">
        <f>IF(ISNUMBER(BO355),BO355,"")</f>
        <v>0.9523018155490097</v>
      </c>
      <c r="CA355" s="14" t="n">
        <f>IF(ISNUMBER(BS355),BS355,"")</f>
        <v>30</v>
      </c>
      <c r="CB355" s="13" t="n">
        <f>IF(AND(COUNT(BV355,BZ355,CA355)=3,MIN(BV355,BZ355,CA355)&gt;=0),BV355*BZ355*CA355,"")</f>
        <v>2.7015913253535393</v>
      </c>
      <c r="CC355" s="11" t="n">
        <f>IF(ISNUMBER(BP355),BP355,"")</f>
        <v>0.5958545198749097</v>
      </c>
      <c r="CD355" s="14" t="n">
        <f>IF(ISNUMBER(BT355),BT355,"")</f>
        <v>31</v>
      </c>
      <c r="CE355" s="13" t="n">
        <f>IF(AND(COUNT(BV355,CC355,CD355)=3,MIN(BV355,CC355,CD355)&gt;=0),BV355*CC355*CD355,"")</f>
        <v>1.746729753434322</v>
      </c>
      <c r="CF355" s="11" t="n">
        <f>IF(ISNUMBER(BQ355),BQ355,"")</f>
        <v>1.3264167397065354</v>
      </c>
      <c r="CG355" s="14" t="n">
        <f>IF(ISNUMBER(BU355),BU355,"")</f>
        <v>17</v>
      </c>
      <c r="CH355" s="13" t="n">
        <f>IF(AND(COUNT(BV355,CF355,CG355)=3,MIN(BV355,CF355,CG355)&gt;=0),BV355*CF355*CG355,"")</f>
        <v>2.132321577320993</v>
      </c>
      <c r="CI355" s="13" t="n">
        <f>IF(COUNT(BY355,CB355,CE355,CH355)=4,SUM(BY355,CB355,CE355,CH355),"")</f>
        <v>7.409898857413344</v>
      </c>
    </row>
    <row r="356" ht="72" customHeight="1">
      <c r="A356" s="16" t="str">
        <v>B07-BKP-41-by</v>
      </c>
      <c r="B356" s="16" t="str">
        <v>4店-彬郁-US</v>
      </c>
      <c r="C356" s="16" t="str">
        <v>艾年</v>
      </c>
      <c r="D356" s="26" t="n">
        <f>IF(NOT(ISNUMBER(E356)),"",IF(OR(E356&lt;=0,L356=0),0,IF(OR(NOT(ISNUMBER(F356)),F356&lt;0),"",MIN(E356,INT(F356)))))</f>
        <v>0</v>
      </c>
      <c r="E356" s="27" t="n">
        <f>IF(OR(NOT(ISNUMBER(L356)),COUNT(M356:O356)&lt;&gt;3,MIN(M356:O356)&lt;0),"",ROUNDUP(ROUND(BI356-SUM(M356:O356),10),0))</f>
        <v>4</v>
      </c>
      <c r="F356" s="28" t="n">
        <v>0</v>
      </c>
      <c r="G356" s="28" t="n">
        <f>IF(AND(ISNUMBER(D356),ISNUMBER(E356)),IF(OR(E356&lt;=0,L356=0),0,E356-D356),"")</f>
        <v>4</v>
      </c>
      <c r="H356" s="16" t="str">
        <f>IF(NOT(ISNUMBER(E356)),"销量或海外库存待补",IF(OR(E356&lt;=0,L356=0),IF(L356=0,"零日销，本批不发","本批无需补货"),IF(NOT(ISNUMBER(D356)),"国内库存待补",IF(D356=0,"国内无可用库存",IF(G356&gt;0,"先发国内现货","按建议量发货")))))</f>
        <v>国内无可用库存</v>
      </c>
      <c r="I356" s="28" t="n">
        <f>IF(AND(COUNT(Z356,AA356,AB356)=3,Z356&gt;=AA356,AA356&gt;=0,AB356=7),Z356-AA356,"")</f>
        <v>0</v>
      </c>
      <c r="J356" s="28" t="n">
        <f>IF(AND(COUNT(AF356,AG356,AH356)=3,AF356&gt;=AG356,AG356&gt;=0,AH356=14),AF356-AG356,"")</f>
        <v>0</v>
      </c>
      <c r="K356" s="28" t="n">
        <f>IF(AND(COUNT(AL356,AM356,AN356)=3,AL356&gt;=AM356,AM356&gt;=0,AN356=30),AL356-AM356,"")</f>
        <v>0</v>
      </c>
      <c r="L356" s="29" t="n">
        <f>IF(ISNUMBER(BI356),BI356/90,"")</f>
        <v>0.03457731380121392</v>
      </c>
      <c r="M356" s="28" t="n">
        <v>0</v>
      </c>
      <c r="N356" s="28" t="n">
        <v>0</v>
      </c>
      <c r="O356" s="28" t="n">
        <v>0</v>
      </c>
      <c r="P356" s="30" t="n">
        <f>IF(AND(ISNUMBER(L356),L356&gt;0,COUNT(M356:O356)=3,MIN(M356:O356)&gt;=0),SUM(M356:O356)/L356,"")</f>
        <v>0</v>
      </c>
      <c r="Q356" s="16" t="str">
        <v>沿用原计划SKU店铺</v>
      </c>
      <c r="R356" s="16" t="str">
        <v>已匹配</v>
      </c>
      <c r="S356" s="16" t="str">
        <v>停售</v>
      </c>
      <c r="T356" s="16" t="str">
        <v>B07</v>
      </c>
      <c r="U356" s="16" t="str">
        <v>黑色PU</v>
      </c>
      <c r="V356" s="16" t="n">
        <v>10</v>
      </c>
      <c r="W356" s="8" t="str">
        <v>2026-10-08 至 2026-10-17</v>
      </c>
      <c r="X356" s="8" t="str">
        <v>2026-10-08、2026-10-09、2026-10-10、2026-10-11、2026-10-14、2026-10-15、2026-10-17</v>
      </c>
      <c r="Y356" s="8" t="str">
        <v>2026-10-12 有记录的停售日；2026-10-13 有记录的停售日；2026-10-16 有记录的停售日</v>
      </c>
      <c r="Z356" s="8" t="n">
        <v>0</v>
      </c>
      <c r="AA356" s="8" t="n">
        <v>0</v>
      </c>
      <c r="AB356" s="8" t="n">
        <v>7</v>
      </c>
      <c r="AC356" s="8" t="str">
        <v>2026-09-29 至 2026-10-17</v>
      </c>
      <c r="AD356" s="8" t="str">
        <v>2026-09-29、2026-09-30、2026-10-01、2026-10-02、2026-10-03、2026-10-04、2026-10-05、2026-10-08、2026-10-09、2026-10-10、2026-10-11、2026-10-14、2026-10-15、2026-10-17</v>
      </c>
      <c r="AE356" s="8" t="str">
        <v>2026-10-06 大促；2026-10-07 大促；2026-10-12 有记录的停售日；2026-10-13 有记录的停售日；2026-10-16 有记录的停售日</v>
      </c>
      <c r="AF356" s="8" t="n">
        <v>0</v>
      </c>
      <c r="AG356" s="8" t="n">
        <v>0</v>
      </c>
      <c r="AH356" s="8" t="n">
        <v>14</v>
      </c>
      <c r="AI356" s="8" t="str">
        <v>2026-09-13 至 2026-10-17</v>
      </c>
      <c r="AJ35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6" s="8" t="str">
        <v>2026-10-06 大促；2026-10-07 大促；2026-10-12 有记录的停售日；2026-10-13 有记录的停售日；2026-10-16 有记录的停售日</v>
      </c>
      <c r="AL356" s="8" t="n">
        <v>0</v>
      </c>
      <c r="AM356" s="8" t="n">
        <v>0</v>
      </c>
      <c r="AN356" s="8" t="n">
        <v>30</v>
      </c>
      <c r="AO356" s="8" t="str">
        <v>B07 / 黑色PU / 13306</v>
      </c>
      <c r="AP356" s="11" t="n">
        <v>0.7307750238224848</v>
      </c>
      <c r="AQ356" s="11" t="n">
        <v>0.7348338471341894</v>
      </c>
      <c r="AR356" s="11" t="n">
        <v>0.7478220817316438</v>
      </c>
      <c r="AS356" s="11" t="n">
        <f>IF(AND(COUNT(I356:K356,AP356:AR356)=6,MIN(AP356:AR356)&gt;0),I356/7/AP356*0.5+J356/14/AQ356*0.3+K356/30/AR356*0.2,"")</f>
        <v>0</v>
      </c>
      <c r="AT356" s="8" t="n">
        <v>0</v>
      </c>
      <c r="AU356" s="8" t="n">
        <v>0</v>
      </c>
      <c r="AV356" s="8" t="n">
        <v>85</v>
      </c>
      <c r="AW356" s="11" t="n">
        <f>IF(AND(COUNT(AT356:AV356)=3,AT356&gt;=AU356,AU356&gt;=0,AV356&gt;0),(AT356-AU356)/AV356,"")</f>
        <v>0</v>
      </c>
      <c r="AX356" s="8" t="n">
        <v>13</v>
      </c>
      <c r="AY356" s="8" t="n">
        <v>0</v>
      </c>
      <c r="AZ356" s="8" t="n">
        <v>175</v>
      </c>
      <c r="BA356" s="11" t="n">
        <f>IF(AND(COUNT(AX356:AZ356)=3,AX356&gt;=AY356,AY356&gt;=0,AZ356&gt;0),(AX356-AY356)/AZ356,"")</f>
        <v>0.07428571428571429</v>
      </c>
      <c r="BB356" s="8" t="n">
        <f>IF(COUNT(AS356,AW356,BA356)=3,1,0)</f>
        <v>1</v>
      </c>
      <c r="BC356" s="11" t="n">
        <f>IF(SUMIF($AO$11:$AO$1309,AO356,$BB$11:$BB$1309)=COUNTIF($AO$11:$AO$1309,AO356),SUMIF($AO$11:$AO$1309,AO356,$AS$11:$AS$1309),"")</f>
        <v>1.9452610587450656</v>
      </c>
      <c r="BD356" s="11" t="n">
        <f>IF(SUMIF($AO$11:$AO$1309,AO356,$BB$11:$BB$1309)=COUNTIF($AO$11:$AO$1309,AO356),SUMIF($AO$11:$AO$1309,AO356,$AW$11:$AW$1309),"")</f>
        <v>0.8570855614973261</v>
      </c>
      <c r="BE356" s="11" t="n">
        <f>IF(SUMIF($AO$11:$AO$1309,AO356,$BB$11:$BB$1309)=COUNTIF($AO$11:$AO$1309,AO356),SUMIF($AO$11:$AO$1309,AO356,$BA$11:$BA$1309),"")</f>
        <v>1.091589085072231</v>
      </c>
      <c r="BF356" s="12" t="n">
        <f>IF(COUNT(BD356:BE356)&lt;&gt;2,"",IF(AND(BD356&gt;0,BE356&gt;0),0.7*AW356/BD356+0.3*BA356/BE356,IF(BD356&gt;0,AW356/BD356,IF(BE356&gt;0,BA356/BE356,IF(AND(ISNUMBER(BH356),BH356=0),0,"")))))</f>
        <v>0.020415845660677005</v>
      </c>
      <c r="BG356" s="11" t="n">
        <f>IF(AND(COUNT(BN356:BU356)=8,MIN(BN356:BU356)&gt;=0),SUMPRODUCT(BN356:BQ356,BR356:BU356),"")</f>
        <v>78.35892944347341</v>
      </c>
      <c r="BH356" s="11" t="n">
        <f>IF(COUNT(BC356,BG356)=2,BC356*BG356,"")</f>
        <v>152.428574051341</v>
      </c>
      <c r="BI356" s="11" t="n">
        <f>IF(ISNUMBER(CI356),CI356,"")</f>
        <v>3.111958242109253</v>
      </c>
      <c r="BJ356" s="8" t="str">
        <v>低销提醒依据不完整</v>
      </c>
      <c r="BK356" s="8" t="str">
        <v>90天：2026-07-20 至 2026-10-17；180天：2026-04-21 至 2026-10-17</v>
      </c>
      <c r="BL356" s="8" t="str">
        <v>90天：2026-10-06、2026-10-07、2026-10-12、2026-10-13、2026-10-16；180天：2026-10-06、2026-10-07、2026-10-12、2026-10-13、2026-10-16</v>
      </c>
      <c r="BM356" s="8" t="str">
        <v>2026-10：12天 × 0.7307750238224848；2026-11：30天 × 0.9523018155490097；2026-12：31天 × 0.5958545198749097；2027-01：17天 × 1.3264167397065354</v>
      </c>
      <c r="BN356" s="11" t="n">
        <v>0.7307750238224848</v>
      </c>
      <c r="BO356" s="11" t="n">
        <v>0.9523018155490097</v>
      </c>
      <c r="BP356" s="11" t="n">
        <v>0.5958545198749097</v>
      </c>
      <c r="BQ356" s="11" t="n">
        <v>1.3264167397065354</v>
      </c>
      <c r="BR356" s="8" t="n">
        <v>12</v>
      </c>
      <c r="BS356" s="8" t="n">
        <v>30</v>
      </c>
      <c r="BT356" s="8" t="n">
        <v>31</v>
      </c>
      <c r="BU356" s="8" t="n">
        <v>17</v>
      </c>
      <c r="BV356" s="11" t="n">
        <f>IF(COUNT(BC356,BF356)=2,BC356*BF356,"")</f>
        <v>0.0397141495450644</v>
      </c>
      <c r="BW356" s="11" t="n">
        <f>IF(ISNUMBER(BN356),BN356,"")</f>
        <v>0.7307750238224848</v>
      </c>
      <c r="BX356" s="14" t="n">
        <f>IF(ISNUMBER(BR356),BR356,"")</f>
        <v>12</v>
      </c>
      <c r="BY356" s="13" t="n">
        <f>IF(AND(COUNT(BV356,BW356,BX356)=3,MIN(BV356,BW356,BX356)&gt;=0),BV356*BW356*BX356,"")</f>
        <v>0.34826530295860997</v>
      </c>
      <c r="BZ356" s="11" t="n">
        <f>IF(ISNUMBER(BO356),BO356,"")</f>
        <v>0.9523018155490097</v>
      </c>
      <c r="CA356" s="14" t="n">
        <f>IF(ISNUMBER(BS356),BS356,"")</f>
        <v>30</v>
      </c>
      <c r="CB356" s="13" t="n">
        <f>IF(AND(COUNT(BV356,BZ356,CA356)=3,MIN(BV356,BZ356,CA356)&gt;=0),BV356*BZ356*CA356,"")</f>
        <v>1.1345957014424912</v>
      </c>
      <c r="CC356" s="11" t="n">
        <f>IF(ISNUMBER(BP356),BP356,"")</f>
        <v>0.5958545198749097</v>
      </c>
      <c r="CD356" s="14" t="n">
        <f>IF(ISNUMBER(BT356),BT356,"")</f>
        <v>31</v>
      </c>
      <c r="CE356" s="13" t="n">
        <f>IF(AND(COUNT(BV356,CC356,CD356)=3,MIN(BV356,CC356,CD356)&gt;=0),BV356*CC356*CD356,"")</f>
        <v>0.733579520791856</v>
      </c>
      <c r="CF356" s="11" t="n">
        <f>IF(ISNUMBER(BQ356),BQ356,"")</f>
        <v>1.3264167397065354</v>
      </c>
      <c r="CG356" s="14" t="n">
        <f>IF(ISNUMBER(BU356),BU356,"")</f>
        <v>17</v>
      </c>
      <c r="CH356" s="13" t="n">
        <f>IF(AND(COUNT(BV356,CF356,CG356)=3,MIN(BV356,CF356,CG356)&gt;=0),BV356*CF356*CG356,"")</f>
        <v>0.8955177169162958</v>
      </c>
      <c r="CI356" s="13" t="n">
        <f>IF(COUNT(BY356,CB356,CE356,CH356)=4,SUM(BY356,CB356,CE356,CH356),"")</f>
        <v>3.111958242109253</v>
      </c>
    </row>
    <row r="357" ht="72" customHeight="1">
      <c r="A357" s="16" t="str">
        <v>B07-WT-38-New</v>
      </c>
      <c r="B357" s="16" t="str">
        <v>4店-彬郁-US</v>
      </c>
      <c r="C357" s="16" t="str">
        <v>艾年</v>
      </c>
      <c r="D357" s="26" t="n">
        <f>IF(NOT(ISNUMBER(E357)),"",IF(OR(E357&lt;=0,L357=0),0,IF(OR(NOT(ISNUMBER(F357)),F357&lt;0),"",MIN(E357,INT(F357)))))</f>
        <v>0</v>
      </c>
      <c r="E357" s="27" t="n">
        <f>IF(OR(NOT(ISNUMBER(L357)),COUNT(M357:O357)&lt;&gt;3,MIN(M357:O357)&lt;0),"",ROUNDUP(ROUND(BI357-SUM(M357:O357),10),0))</f>
        <v>4</v>
      </c>
      <c r="F357" s="28" t="n">
        <v>0</v>
      </c>
      <c r="G357" s="28" t="n">
        <f>IF(AND(ISNUMBER(D357),ISNUMBER(E357)),IF(OR(E357&lt;=0,L357=0),0,E357-D357),"")</f>
        <v>4</v>
      </c>
      <c r="H357" s="16" t="str">
        <f>IF(NOT(ISNUMBER(E357)),"销量或海外库存待补",IF(OR(E357&lt;=0,L357=0),IF(L357=0,"零日销，本批不发","本批无需补货"),IF(NOT(ISNUMBER(D357)),"国内库存待补",IF(D357=0,"国内无可用库存",IF(G357&gt;0,"先发国内现货","按建议量发货")))))</f>
        <v>国内无可用库存</v>
      </c>
      <c r="I357" s="28" t="n">
        <f>IF(AND(COUNT(Z357,AA357,AB357)=3,Z357&gt;=AA357,AA357&gt;=0,AB357=7),Z357-AA357,"")</f>
        <v>0</v>
      </c>
      <c r="J357" s="28" t="n">
        <f>IF(AND(COUNT(AF357,AG357,AH357)=3,AF357&gt;=AG357,AG357&gt;=0,AH357=14),AF357-AG357,"")</f>
        <v>0</v>
      </c>
      <c r="K357" s="28" t="n">
        <f>IF(AND(COUNT(AL357,AM357,AN357)=3,AL357&gt;=AM357,AM357&gt;=0,AN357=30),AL357-AM357,"")</f>
        <v>1</v>
      </c>
      <c r="L357" s="29" t="n">
        <f>IF(ISNUMBER(BI357),BI357/90,"")</f>
        <v>0.051319401044626636</v>
      </c>
      <c r="M357" s="28" t="n">
        <v>1</v>
      </c>
      <c r="N357" s="28" t="n">
        <v>0</v>
      </c>
      <c r="O357" s="28" t="n">
        <v>0</v>
      </c>
      <c r="P357" s="30" t="n">
        <f>IF(AND(ISNUMBER(L357),L357&gt;0,COUNT(M357:O357)=3,MIN(M357:O357)&gt;=0),SUM(M357:O357)/L357,"")</f>
        <v>19.485808089038567</v>
      </c>
      <c r="Q357" s="16" t="str">
        <v>沿用原计划SKU店铺</v>
      </c>
      <c r="R357" s="16" t="str">
        <v>已匹配</v>
      </c>
      <c r="S357" s="16" t="str">
        <v>在售</v>
      </c>
      <c r="T357" s="16" t="str">
        <v>B07</v>
      </c>
      <c r="U357" s="16" t="str">
        <v>白色PU</v>
      </c>
      <c r="V357" s="16" t="n">
        <v>7</v>
      </c>
      <c r="W357" s="8" t="str">
        <v>2026-10-11 至 2026-10-17</v>
      </c>
      <c r="X357" s="8" t="str">
        <v>2026-10-11、2026-10-12、2026-10-13、2026-10-14、2026-10-15、2026-10-16、2026-10-17</v>
      </c>
      <c r="Y357" s="8" t="str">
        <v>无</v>
      </c>
      <c r="Z357" s="8" t="n">
        <v>0</v>
      </c>
      <c r="AA357" s="8" t="n">
        <v>0</v>
      </c>
      <c r="AB357" s="8" t="n">
        <v>7</v>
      </c>
      <c r="AC357" s="8" t="str">
        <v>2026-10-02 至 2026-10-17</v>
      </c>
      <c r="AD357" s="8" t="str">
        <v>2026-10-02、2026-10-03、2026-10-04、2026-10-05、2026-10-08、2026-10-09、2026-10-10、2026-10-11、2026-10-12、2026-10-13、2026-10-14、2026-10-15、2026-10-16、2026-10-17</v>
      </c>
      <c r="AE357" s="8" t="str">
        <v>2026-10-06 大促；2026-10-07 大促</v>
      </c>
      <c r="AF357" s="8" t="n">
        <v>0</v>
      </c>
      <c r="AG357" s="8" t="n">
        <v>0</v>
      </c>
      <c r="AH357" s="8" t="n">
        <v>14</v>
      </c>
      <c r="AI357" s="8" t="str">
        <v>2026-09-16 至 2026-10-17</v>
      </c>
      <c r="AJ3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57" s="8" t="str">
        <v>2026-10-06 大促；2026-10-07 大促</v>
      </c>
      <c r="AL357" s="8" t="n">
        <v>1</v>
      </c>
      <c r="AM357" s="8" t="n">
        <v>0</v>
      </c>
      <c r="AN357" s="8" t="n">
        <v>30</v>
      </c>
      <c r="AO357" s="8" t="str">
        <v>B07 / 白色PU / 13306</v>
      </c>
      <c r="AP357" s="11" t="n">
        <v>0.7307750238224848</v>
      </c>
      <c r="AQ357" s="11" t="n">
        <v>0.7307750238224848</v>
      </c>
      <c r="AR357" s="11" t="n">
        <v>0.7449809054134506</v>
      </c>
      <c r="AS357" s="11" t="n">
        <f>IF(AND(COUNT(I357:K357,AP357:AR357)=6,MIN(AP357:AR357)&gt;0),I357/7/AP357*0.5+J357/14/AQ357*0.3+K357/30/AR357*0.2,"")</f>
        <v>0.008948775221247839</v>
      </c>
      <c r="AT357" s="8" t="n">
        <v>4</v>
      </c>
      <c r="AU357" s="8" t="n">
        <v>0</v>
      </c>
      <c r="AV357" s="8" t="n">
        <v>88</v>
      </c>
      <c r="AW357" s="11" t="n">
        <f>IF(AND(COUNT(AT357:AV357)=3,AT357&gt;=AU357,AU357&gt;=0,AV357&gt;0),(AT357-AU357)/AV357,"")</f>
        <v>0.045454545454545456</v>
      </c>
      <c r="AX357" s="8" t="n">
        <v>9</v>
      </c>
      <c r="AY357" s="8" t="n">
        <v>0</v>
      </c>
      <c r="AZ357" s="8" t="n">
        <v>178</v>
      </c>
      <c r="BA357" s="11" t="n">
        <f>IF(AND(COUNT(AX357:AZ357)=3,AX357&gt;=AY357,AY357&gt;=0,AZ357&gt;0),(AX357-AY357)/AZ357,"")</f>
        <v>0.05056179775280899</v>
      </c>
      <c r="BB357" s="8" t="n">
        <f>IF(COUNT(AS357,AW357,BA357)=3,1,0)</f>
        <v>1</v>
      </c>
      <c r="BC357" s="11" t="n">
        <f>IF(SUMIF($AO$11:$AO$1309,AO357,$BB$11:$BB$1309)=COUNTIF($AO$11:$AO$1309,AO357),SUMIF($AO$11:$AO$1309,AO357,$AS$11:$AS$1309),"")</f>
        <v>0.16263180041702485</v>
      </c>
      <c r="BD357" s="11" t="n">
        <f>IF(SUMIF($AO$11:$AO$1309,AO357,$BB$11:$BB$1309)=COUNTIF($AO$11:$AO$1309,AO357),SUMIF($AO$11:$AO$1309,AO357,$AW$11:$AW$1309),"")</f>
        <v>0.11524064171122994</v>
      </c>
      <c r="BE357" s="11" t="n">
        <f>IF(SUMIF($AO$11:$AO$1309,AO357,$BB$11:$BB$1309)=COUNTIF($AO$11:$AO$1309,AO357),SUMIF($AO$11:$AO$1309,AO357,$BA$11:$BA$1309),"")</f>
        <v>0.17569823434991974</v>
      </c>
      <c r="BF357" s="12" t="n">
        <f>IF(COUNT(BD357:BE357)&lt;&gt;2,"",IF(AND(BD357&gt;0,BE357&gt;0),0.7*AW357/BD357+0.3*BA357/BE357,IF(BD357&gt;0,AW357/BD357,IF(BE357&gt;0,BA357/BE357,IF(AND(ISNUMBER(BH357),BH357=0),0,"")))))</f>
        <v>0.36243499516504346</v>
      </c>
      <c r="BG357" s="11" t="n">
        <f>IF(AND(COUNT(BN357:BU357)=8,MIN(BN357:BU357)&gt;=0),SUMPRODUCT(BN357:BQ357,BR357:BU357),"")</f>
        <v>78.35892944347341</v>
      </c>
      <c r="BH357" s="11" t="n">
        <f>IF(COUNT(BC357,BG357)=2,BC357*BG357,"")</f>
        <v>12.7436537741427</v>
      </c>
      <c r="BI357" s="11" t="n">
        <f>IF(ISNUMBER(CI357),CI357,"")</f>
        <v>4.618746094016397</v>
      </c>
      <c r="BJ357" s="8" t="str"/>
      <c r="BK357" s="8" t="str">
        <v>90天：2026-07-20 至 2026-10-17；180天：2026-04-21 至 2026-10-17</v>
      </c>
      <c r="BL357" s="8" t="str">
        <v>90天：2026-10-06、2026-10-07；180天：2026-10-06、2026-10-07</v>
      </c>
      <c r="BM357" s="8" t="str">
        <v>2026-10：12天 × 0.7307750238224848；2026-11：30天 × 0.9523018155490097；2026-12：31天 × 0.5958545198749097；2027-01：17天 × 1.3264167397065354</v>
      </c>
      <c r="BN357" s="11" t="n">
        <v>0.7307750238224848</v>
      </c>
      <c r="BO357" s="11" t="n">
        <v>0.9523018155490097</v>
      </c>
      <c r="BP357" s="11" t="n">
        <v>0.5958545198749097</v>
      </c>
      <c r="BQ357" s="11" t="n">
        <v>1.3264167397065354</v>
      </c>
      <c r="BR357" s="8" t="n">
        <v>12</v>
      </c>
      <c r="BS357" s="8" t="n">
        <v>30</v>
      </c>
      <c r="BT357" s="8" t="n">
        <v>31</v>
      </c>
      <c r="BU357" s="8" t="n">
        <v>17</v>
      </c>
      <c r="BV357" s="11" t="n">
        <f>IF(COUNT(BC357,BF357)=2,BC357*BF357,"")</f>
        <v>0.05894345579782671</v>
      </c>
      <c r="BW357" s="11" t="n">
        <f>IF(ISNUMBER(BN357),BN357,"")</f>
        <v>0.7307750238224848</v>
      </c>
      <c r="BX357" s="14" t="n">
        <f>IF(ISNUMBER(BR357),BR357,"")</f>
        <v>12</v>
      </c>
      <c r="BY357" s="13" t="n">
        <f>IF(AND(COUNT(BV357,BW357,BX357)=3,MIN(BV357,BW357,BX357)&gt;=0),BV357*BW357*BX357,"")</f>
        <v>0.5168928637780368</v>
      </c>
      <c r="BZ357" s="11" t="n">
        <f>IF(ISNUMBER(BO357),BO357,"")</f>
        <v>0.9523018155490097</v>
      </c>
      <c r="CA357" s="14" t="n">
        <f>IF(ISNUMBER(BS357),BS357,"")</f>
        <v>30</v>
      </c>
      <c r="CB357" s="13" t="n">
        <f>IF(AND(COUNT(BV357,BZ357,CA357)=3,MIN(BV357,BZ357,CA357)&gt;=0),BV357*BZ357*CA357,"")</f>
        <v>1.6839587991300955</v>
      </c>
      <c r="CC357" s="11" t="n">
        <f>IF(ISNUMBER(BP357),BP357,"")</f>
        <v>0.5958545198749097</v>
      </c>
      <c r="CD357" s="14" t="n">
        <f>IF(ISNUMBER(BT357),BT357,"")</f>
        <v>31</v>
      </c>
      <c r="CE357" s="13" t="n">
        <f>IF(AND(COUNT(BV357,CC357,CD357)=3,MIN(BV357,CC357,CD357)&gt;=0),BV357*CC357*CD357,"")</f>
        <v>1.088773461179642</v>
      </c>
      <c r="CF357" s="11" t="n">
        <f>IF(ISNUMBER(BQ357),BQ357,"")</f>
        <v>1.3264167397065354</v>
      </c>
      <c r="CG357" s="14" t="n">
        <f>IF(ISNUMBER(BU357),BU357,"")</f>
        <v>17</v>
      </c>
      <c r="CH357" s="13" t="n">
        <f>IF(AND(COUNT(BV357,CF357,CG357)=3,MIN(BV357,CF357,CG357)&gt;=0),BV357*CF357*CG357,"")</f>
        <v>1.329120969928623</v>
      </c>
      <c r="CI357" s="13" t="n">
        <f>IF(COUNT(BY357,CB357,CE357,CH357)=4,SUM(BY357,CB357,CE357,CH357),"")</f>
        <v>4.618746094016397</v>
      </c>
    </row>
    <row r="358" ht="72" customHeight="1">
      <c r="A358" s="16" t="str">
        <v>1S01-SP-39.5</v>
      </c>
      <c r="B358" s="16" t="str">
        <v>3店-SANDIEX-US</v>
      </c>
      <c r="C358" s="16" t="str">
        <v>徐新怡</v>
      </c>
      <c r="D358" s="26" t="n">
        <f>IF(NOT(ISNUMBER(E358)),"",IF(OR(E358&lt;=0,L358=0),0,IF(OR(NOT(ISNUMBER(F358)),F358&lt;0),"",MIN(E358,INT(F358)))))</f>
        <v>0</v>
      </c>
      <c r="E358" s="27" t="n">
        <f>IF(OR(NOT(ISNUMBER(L358)),COUNT(M358:O358)&lt;&gt;3,MIN(M358:O358)&lt;0),"",ROUNDUP(ROUND(BI358-SUM(M358:O358),10),0))</f>
        <v>3</v>
      </c>
      <c r="F358" s="28" t="n">
        <v>0</v>
      </c>
      <c r="G358" s="28" t="n">
        <f>IF(AND(ISNUMBER(D358),ISNUMBER(E358)),IF(OR(E358&lt;=0,L358=0),0,E358-D358),"")</f>
        <v>3</v>
      </c>
      <c r="H358" s="16" t="str">
        <f>IF(NOT(ISNUMBER(E358)),"销量或海外库存待补",IF(OR(E358&lt;=0,L358=0),IF(L358=0,"零日销，本批不发","本批无需补货"),IF(NOT(ISNUMBER(D358)),"国内库存待补",IF(D358=0,"国内无可用库存",IF(G358&gt;0,"先发国内现货","按建议量发货")))))</f>
        <v>国内无可用库存</v>
      </c>
      <c r="I358" s="28" t="n">
        <f>IF(AND(COUNT(Z358,AA358,AB358)=3,Z358&gt;=AA358,AA358&gt;=0,AB358=7),Z358-AA358,"")</f>
        <v>0</v>
      </c>
      <c r="J358" s="28" t="n">
        <f>IF(AND(COUNT(AF358,AG358,AH358)=3,AF358&gt;=AG358,AG358&gt;=0,AH358=14),AF358-AG358,"")</f>
        <v>0</v>
      </c>
      <c r="K358" s="28" t="n">
        <f>IF(AND(COUNT(AL358,AM358,AN358)=3,AL358&gt;=AM358,AM358&gt;=0,AN358=30),AL358-AM358,"")</f>
        <v>5</v>
      </c>
      <c r="L358" s="29" t="n">
        <f>IF(ISNUMBER(BI358),BI358/90,"")</f>
        <v>0.09006977547778396</v>
      </c>
      <c r="M358" s="28" t="n">
        <v>1</v>
      </c>
      <c r="N358" s="28" t="n">
        <v>0</v>
      </c>
      <c r="O358" s="28" t="n">
        <v>5</v>
      </c>
      <c r="P358" s="30" t="n">
        <f>IF(AND(ISNUMBER(L358),L358&gt;0,COUNT(M358:O358)=3,MIN(M358:O358)&gt;=0),SUM(M358:O358)/L358,"")</f>
        <v>66.61502116744947</v>
      </c>
      <c r="Q358" s="16" t="str">
        <v>沿用原计划SKU店铺</v>
      </c>
      <c r="R358" s="16" t="str">
        <v>已匹配</v>
      </c>
      <c r="S358" s="16" t="str">
        <v>在售</v>
      </c>
      <c r="T358" s="16" t="str">
        <v>1S01</v>
      </c>
      <c r="U358" s="16" t="str">
        <v>黑白蛇纹</v>
      </c>
      <c r="V358" s="16" t="n">
        <v>8.5</v>
      </c>
      <c r="W358" s="8" t="str">
        <v>2026-10-11 至 2026-10-17</v>
      </c>
      <c r="X358" s="8" t="str">
        <v>2026-10-11、2026-10-12、2026-10-13、2026-10-14、2026-10-15、2026-10-16、2026-10-17</v>
      </c>
      <c r="Y358" s="8" t="str">
        <v>无</v>
      </c>
      <c r="Z358" s="8" t="n">
        <v>0</v>
      </c>
      <c r="AA358" s="8" t="n">
        <v>0</v>
      </c>
      <c r="AB358" s="8" t="n">
        <v>7</v>
      </c>
      <c r="AC358" s="8" t="str">
        <v>2026-10-02 至 2026-10-17</v>
      </c>
      <c r="AD358" s="8" t="str">
        <v>2026-10-02、2026-10-03、2026-10-04、2026-10-05、2026-10-08、2026-10-09、2026-10-10、2026-10-11、2026-10-12、2026-10-13、2026-10-14、2026-10-15、2026-10-16、2026-10-17</v>
      </c>
      <c r="AE358" s="8" t="str">
        <v>2026-10-06 大促；2026-10-07 大促</v>
      </c>
      <c r="AF358" s="8" t="n">
        <v>2</v>
      </c>
      <c r="AG358" s="8" t="n">
        <v>2</v>
      </c>
      <c r="AH358" s="8" t="n">
        <v>14</v>
      </c>
      <c r="AI358" s="8" t="str">
        <v>2026-09-16 至 2026-10-17</v>
      </c>
      <c r="AJ3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58" s="8" t="str">
        <v>2026-10-06 大促；2026-10-07 大促</v>
      </c>
      <c r="AL358" s="8" t="n">
        <v>7</v>
      </c>
      <c r="AM358" s="8" t="n">
        <v>2</v>
      </c>
      <c r="AN358" s="8" t="n">
        <v>30</v>
      </c>
      <c r="AO358" s="8" t="str">
        <v>1S01 / 黑白蛇纹PU / 6574</v>
      </c>
      <c r="AP358" s="11" t="n">
        <v>0.8729500662042875</v>
      </c>
      <c r="AQ358" s="11" t="n">
        <v>0.8729500662042875</v>
      </c>
      <c r="AR358" s="11" t="n">
        <v>1.0921363354767095</v>
      </c>
      <c r="AS358" s="11" t="n">
        <f>IF(AND(COUNT(I358:K358,AP358:AR358)=6,MIN(AP358:AR358)&gt;0),I358/7/AP358*0.5+J358/14/AQ358*0.3+K358/30/AR358*0.2,"")</f>
        <v>0.030521219970933003</v>
      </c>
      <c r="AT358" s="8" t="n">
        <v>10</v>
      </c>
      <c r="AU358" s="8" t="n">
        <v>2</v>
      </c>
      <c r="AV358" s="8" t="n">
        <v>88</v>
      </c>
      <c r="AW358" s="11" t="n">
        <f>IF(AND(COUNT(AT358:AV358)=3,AT358&gt;=AU358,AU358&gt;=0,AV358&gt;0),(AT358-AU358)/AV358,"")</f>
        <v>0.09090909090909091</v>
      </c>
      <c r="AX358" s="8" t="n">
        <v>15</v>
      </c>
      <c r="AY358" s="8" t="n">
        <v>2</v>
      </c>
      <c r="AZ358" s="8" t="n">
        <v>178</v>
      </c>
      <c r="BA358" s="11" t="n">
        <f>IF(AND(COUNT(AX358:AZ358)=3,AX358&gt;=AY358,AY358&gt;=0,AZ358&gt;0),(AX358-AY358)/AZ358,"")</f>
        <v>0.07303370786516854</v>
      </c>
      <c r="BB358" s="8" t="n">
        <f>IF(COUNT(AS358,AW358,BA358)=3,1,0)</f>
        <v>1</v>
      </c>
      <c r="BC358" s="11" t="n">
        <f>IF(SUMIF($AO$11:$AO$1309,AO358,$BB$11:$BB$1309)=COUNTIF($AO$11:$AO$1309,AO358),SUMIF($AO$11:$AO$1309,AO358,$AS$11:$AS$1309),"")</f>
        <v>0.5210763310255071</v>
      </c>
      <c r="BD358" s="11" t="n">
        <f>IF(SUMIF($AO$11:$AO$1309,AO358,$BB$11:$BB$1309)=COUNTIF($AO$11:$AO$1309,AO358),SUMIF($AO$11:$AO$1309,AO358,$AW$11:$AW$1309),"")</f>
        <v>0.36363636363636365</v>
      </c>
      <c r="BE358" s="11" t="n">
        <f>IF(SUMIF($AO$11:$AO$1309,AO358,$BB$11:$BB$1309)=COUNTIF($AO$11:$AO$1309,AO358),SUMIF($AO$11:$AO$1309,AO358,$BA$11:$BA$1309),"")</f>
        <v>0.3207062600321028</v>
      </c>
      <c r="BF358" s="12" t="n">
        <f>IF(COUNT(BD358:BE358)&lt;&gt;2,"",IF(AND(BD358&gt;0,BE358&gt;0),0.7*AW358/BD358+0.3*BA358/BE358,IF(BD358&gt;0,AW358/BD358,IF(BE358&gt;0,BA358/BE358,IF(AND(ISNUMBER(BH358),BH358=0),0,"")))))</f>
        <v>0.2433183183183183</v>
      </c>
      <c r="BG358" s="11" t="n">
        <f>IF(AND(COUNT(BN358:BU358)=8,MIN(BN358:BU358)&gt;=0),SUMPRODUCT(BN358:BQ358,BR358:BU358),"")</f>
        <v>63.935996265425516</v>
      </c>
      <c r="BH358" s="11" t="n">
        <f>IF(COUNT(BC358,BG358)=2,BC358*BG358,"")</f>
        <v>33.31553435444845</v>
      </c>
      <c r="BI358" s="11" t="n">
        <f>IF(ISNUMBER(CI358),CI358,"")</f>
        <v>8.106279793000557</v>
      </c>
      <c r="BJ358" s="8" t="str">
        <v>近180天本色销量65双（＜90），无有效新采购，请运营判断</v>
      </c>
      <c r="BK358" s="8" t="str">
        <v>90天：2026-07-20 至 2026-10-17；180天：2026-04-21 至 2026-10-17</v>
      </c>
      <c r="BL358" s="8" t="str">
        <v>90天：2026-10-06、2026-10-07；180天：2026-10-06、2026-10-07</v>
      </c>
      <c r="BM358" s="8" t="str">
        <v>2026-10：12天 × 0.8729500662042875；2026-11：30天 × 0.8057375774163482；2026-12：31天 × 0.532550303142279；2027-01：17天 × 0.7517299265337036</v>
      </c>
      <c r="BN358" s="11" t="n">
        <v>0.8729500662042875</v>
      </c>
      <c r="BO358" s="11" t="n">
        <v>0.8057375774163482</v>
      </c>
      <c r="BP358" s="11" t="n">
        <v>0.532550303142279</v>
      </c>
      <c r="BQ358" s="11" t="n">
        <v>0.7517299265337036</v>
      </c>
      <c r="BR358" s="8" t="n">
        <v>12</v>
      </c>
      <c r="BS358" s="8" t="n">
        <v>30</v>
      </c>
      <c r="BT358" s="8" t="n">
        <v>31</v>
      </c>
      <c r="BU358" s="8" t="n">
        <v>17</v>
      </c>
      <c r="BV358" s="11" t="n">
        <f>IF(COUNT(BC358,BF358)=2,BC358*BF358,"")</f>
        <v>0.12678741658060574</v>
      </c>
      <c r="BW358" s="11" t="n">
        <f>IF(ISNUMBER(BN358),BN358,"")</f>
        <v>0.8729500662042875</v>
      </c>
      <c r="BX358" s="14" t="n">
        <f>IF(ISNUMBER(BR358),BR358,"")</f>
        <v>12</v>
      </c>
      <c r="BY358" s="13" t="n">
        <f>IF(AND(COUNT(BV358,BW358,BX358)=3,MIN(BV358,BW358,BX358)&gt;=0),BV358*BW358*BX358,"")</f>
        <v>1.3281490043749244</v>
      </c>
      <c r="BZ358" s="11" t="n">
        <f>IF(ISNUMBER(BO358),BO358,"")</f>
        <v>0.8057375774163482</v>
      </c>
      <c r="CA358" s="14" t="n">
        <f>IF(ISNUMBER(BS358),BS358,"")</f>
        <v>30</v>
      </c>
      <c r="CB358" s="13" t="n">
        <f>IF(AND(COUNT(BV358,BZ358,CA358)=3,MIN(BV358,BZ358,CA358)&gt;=0),BV358*BZ358*CA358,"")</f>
        <v>3.0647215764760385</v>
      </c>
      <c r="CC358" s="11" t="n">
        <f>IF(ISNUMBER(BP358),BP358,"")</f>
        <v>0.532550303142279</v>
      </c>
      <c r="CD358" s="14" t="n">
        <f>IF(ISNUMBER(BT358),BT358,"")</f>
        <v>31</v>
      </c>
      <c r="CE358" s="13" t="n">
        <f>IF(AND(COUNT(BV358,CC358,CD358)=3,MIN(BV358,CC358,CD358)&gt;=0),BV358*CC358*CD358,"")</f>
        <v>2.093140991173468</v>
      </c>
      <c r="CF358" s="11" t="n">
        <f>IF(ISNUMBER(BQ358),BQ358,"")</f>
        <v>0.7517299265337036</v>
      </c>
      <c r="CG358" s="14" t="n">
        <f>IF(ISNUMBER(BU358),BU358,"")</f>
        <v>17</v>
      </c>
      <c r="CH358" s="13" t="n">
        <f>IF(AND(COUNT(BV358,CF358,CG358)=3,MIN(BV358,CF358,CG358)&gt;=0),BV358*CF358*CG358,"")</f>
        <v>1.620268220976126</v>
      </c>
      <c r="CI358" s="13" t="n">
        <f>IF(COUNT(BY358,CB358,CE358,CH358)=4,SUM(BY358,CB358,CE358,CH358),"")</f>
        <v>8.106279793000557</v>
      </c>
    </row>
    <row r="359" ht="72" customHeight="1">
      <c r="A359" s="16" t="str">
        <v>32582-gy-42</v>
      </c>
      <c r="B359" s="16" t="str">
        <v>3店-SANDIEX-US</v>
      </c>
      <c r="C359" s="16" t="str">
        <v>徐新怡</v>
      </c>
      <c r="D359" s="26" t="n">
        <f>IF(NOT(ISNUMBER(E359)),"",IF(OR(E359&lt;=0,L359=0),0,IF(OR(NOT(ISNUMBER(F359)),F359&lt;0),"",MIN(E359,INT(F359)))))</f>
        <v>0</v>
      </c>
      <c r="E359" s="27" t="n">
        <f>IF(OR(NOT(ISNUMBER(L359)),COUNT(M359:O359)&lt;&gt;3,MIN(M359:O359)&lt;0),"",ROUNDUP(ROUND(BI359-SUM(M359:O359),10),0))</f>
        <v>3</v>
      </c>
      <c r="F359" s="28" t="n">
        <v>0</v>
      </c>
      <c r="G359" s="28" t="n">
        <f>IF(AND(ISNUMBER(D359),ISNUMBER(E359)),IF(OR(E359&lt;=0,L359=0),0,E359-D359),"")</f>
        <v>3</v>
      </c>
      <c r="H359" s="16" t="str">
        <f>IF(NOT(ISNUMBER(E359)),"销量或海外库存待补",IF(OR(E359&lt;=0,L359=0),IF(L359=0,"零日销，本批不发","本批无需补货"),IF(NOT(ISNUMBER(D359)),"国内库存待补",IF(D359=0,"国内无可用库存",IF(G359&gt;0,"先发国内现货","按建议量发货")))))</f>
        <v>国内无可用库存</v>
      </c>
      <c r="I359" s="28" t="n">
        <f>IF(AND(COUNT(Z359,AA359,AB359)=3,Z359&gt;=AA359,AA359&gt;=0,AB359=7),Z359-AA359,"")</f>
        <v>0</v>
      </c>
      <c r="J359" s="28" t="n">
        <f>IF(AND(COUNT(AF359,AG359,AH359)=3,AF359&gt;=AG359,AG359&gt;=0,AH359=14),AF359-AG359,"")</f>
        <v>0</v>
      </c>
      <c r="K359" s="28" t="n">
        <f>IF(AND(COUNT(AL359,AM359,AN359)=3,AL359&gt;=AM359,AM359&gt;=0,AN359=30),AL359-AM359,"")</f>
        <v>0</v>
      </c>
      <c r="L359" s="29" t="n">
        <f>IF(ISNUMBER(BI359),BI359/90,"")</f>
        <v>0.02941864203520568</v>
      </c>
      <c r="M359" s="28" t="n">
        <v>0</v>
      </c>
      <c r="N359" s="28" t="n">
        <v>0</v>
      </c>
      <c r="O359" s="28" t="n">
        <v>0</v>
      </c>
      <c r="P359" s="30" t="n">
        <f>IF(AND(ISNUMBER(L359),L359&gt;0,COUNT(M359:O359)=3,MIN(M359:O359)&gt;=0),SUM(M359:O359)/L359,"")</f>
        <v>0</v>
      </c>
      <c r="Q359" s="16" t="str">
        <v>沿用原计划SKU店铺</v>
      </c>
      <c r="R359" s="16" t="str">
        <v>已匹配</v>
      </c>
      <c r="S359" s="16" t="str">
        <v>停售</v>
      </c>
      <c r="T359" s="16" t="str">
        <v>32582</v>
      </c>
      <c r="U359" s="16" t="str">
        <v>灰色</v>
      </c>
      <c r="V359" s="16" t="n">
        <v>11</v>
      </c>
      <c r="W359" s="8" t="str">
        <v>2026-10-08 至 2026-10-17</v>
      </c>
      <c r="X359" s="8" t="str">
        <v>2026-10-08、2026-10-09、2026-10-10、2026-10-11、2026-10-14、2026-10-15、2026-10-17</v>
      </c>
      <c r="Y359" s="8" t="str">
        <v>2026-10-12 有记录的停售日；2026-10-13 有记录的停售日；2026-10-16 有记录的停售日</v>
      </c>
      <c r="Z359" s="8" t="n">
        <v>0</v>
      </c>
      <c r="AA359" s="8" t="n">
        <v>0</v>
      </c>
      <c r="AB359" s="8" t="n">
        <v>7</v>
      </c>
      <c r="AC359" s="8" t="str">
        <v>2026-09-29 至 2026-10-17</v>
      </c>
      <c r="AD359" s="8" t="str">
        <v>2026-09-29、2026-09-30、2026-10-01、2026-10-02、2026-10-03、2026-10-04、2026-10-05、2026-10-08、2026-10-09、2026-10-10、2026-10-11、2026-10-14、2026-10-15、2026-10-17</v>
      </c>
      <c r="AE359" s="8" t="str">
        <v>2026-10-06 大促；2026-10-07 大促；2026-10-12 有记录的停售日；2026-10-13 有记录的停售日；2026-10-16 有记录的停售日</v>
      </c>
      <c r="AF359" s="8" t="n">
        <v>0</v>
      </c>
      <c r="AG359" s="8" t="n">
        <v>0</v>
      </c>
      <c r="AH359" s="8" t="n">
        <v>14</v>
      </c>
      <c r="AI359" s="8" t="str">
        <v>2026-09-13 至 2026-10-17</v>
      </c>
      <c r="AJ35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59" s="8" t="str">
        <v>2026-10-06 大促；2026-10-07 大促；2026-10-12 有记录的停售日；2026-10-13 有记录的停售日；2026-10-16 有记录的停售日</v>
      </c>
      <c r="AL359" s="8" t="n">
        <v>0</v>
      </c>
      <c r="AM359" s="8" t="n">
        <v>0</v>
      </c>
      <c r="AN359" s="8" t="n">
        <v>30</v>
      </c>
      <c r="AO359" s="8" t="str">
        <v>32582 / 灰色羊京绒 / 6574</v>
      </c>
      <c r="AP359" s="11" t="n">
        <v>1.0395067087630607</v>
      </c>
      <c r="AQ359" s="11" t="n">
        <v>1.048428692110265</v>
      </c>
      <c r="AR359" s="11" t="n">
        <v>1.076979038821319</v>
      </c>
      <c r="AS359" s="11" t="n">
        <f>IF(AND(COUNT(I359:K359,AP359:AR359)=6,MIN(AP359:AR359)&gt;0),I359/7/AP359*0.5+J359/14/AQ359*0.3+K359/30/AR359*0.2,"")</f>
        <v>0</v>
      </c>
      <c r="AT359" s="8" t="n">
        <v>1</v>
      </c>
      <c r="AU359" s="8" t="n">
        <v>0</v>
      </c>
      <c r="AV359" s="8" t="n">
        <v>85</v>
      </c>
      <c r="AW359" s="11" t="n">
        <f>IF(AND(COUNT(AT359:AV359)=3,AT359&gt;=AU359,AU359&gt;=0,AV359&gt;0),(AT359-AU359)/AV359,"")</f>
        <v>0.011764705882352941</v>
      </c>
      <c r="AX359" s="8" t="n">
        <v>2</v>
      </c>
      <c r="AY359" s="8" t="n">
        <v>0</v>
      </c>
      <c r="AZ359" s="8" t="n">
        <v>175</v>
      </c>
      <c r="BA359" s="11" t="n">
        <f>IF(AND(COUNT(AX359:AZ359)=3,AX359&gt;=AY359,AY359&gt;=0,AZ359&gt;0),(AX359-AY359)/AZ359,"")</f>
        <v>0.011428571428571429</v>
      </c>
      <c r="BB359" s="8" t="n">
        <f>IF(COUNT(AS359,AW359,BA359)=3,1,0)</f>
        <v>1</v>
      </c>
      <c r="BC359" s="11" t="n">
        <f>IF(SUMIF($AO$11:$AO$1309,AO359,$BB$11:$BB$1309)=COUNTIF($AO$11:$AO$1309,AO359),SUMIF($AO$11:$AO$1309,AO359,$AS$11:$AS$1309),"")</f>
        <v>0.12239477859749676</v>
      </c>
      <c r="BD359" s="11" t="n">
        <f>IF(SUMIF($AO$11:$AO$1309,AO359,$BB$11:$BB$1309)=COUNTIF($AO$11:$AO$1309,AO359),SUMIF($AO$11:$AO$1309,AO359,$AW$11:$AW$1309),"")</f>
        <v>0.0572192513368984</v>
      </c>
      <c r="BE359" s="11" t="n">
        <f>IF(SUMIF($AO$11:$AO$1309,AO359,$BB$11:$BB$1309)=COUNTIF($AO$11:$AO$1309,AO359),SUMIF($AO$11:$AO$1309,AO359,$BA$11:$BA$1309),"")</f>
        <v>0.03390048154093098</v>
      </c>
      <c r="BF359" s="12" t="n">
        <f>IF(COUNT(BD359:BE359)&lt;&gt;2,"",IF(AND(BD359&gt;0,BE359&gt;0),0.7*AW359/BD359+0.3*BA359/BE359,IF(BD359&gt;0,AW359/BD359,IF(BE359&gt;0,BA359/BE359,IF(AND(ISNUMBER(BH359),BH359=0),0,"")))))</f>
        <v>0.24506159728122343</v>
      </c>
      <c r="BG359" s="11" t="n">
        <f>IF(AND(COUNT(BN359:BU359)=8,MIN(BN359:BU359)&gt;=0),SUMPRODUCT(BN359:BQ359,BR359:BU359),"")</f>
        <v>88.27281580841549</v>
      </c>
      <c r="BH359" s="11" t="n">
        <f>IF(COUNT(BC359,BG359)=2,BC359*BG359,"")</f>
        <v>10.804131747048626</v>
      </c>
      <c r="BI359" s="11" t="n">
        <f>IF(ISNUMBER(CI359),CI359,"")</f>
        <v>2.647677783168511</v>
      </c>
      <c r="BJ359" s="8" t="str">
        <v>近180天本色销量7双（＜90），无有效新采购，请运营判断</v>
      </c>
      <c r="BK359" s="8" t="str">
        <v>90天：2026-07-20 至 2026-10-17；180天：2026-04-21 至 2026-10-17</v>
      </c>
      <c r="BL359" s="8" t="str">
        <v>90天：2026-10-06、2026-10-07、2026-10-12、2026-10-13、2026-10-16；180天：2026-10-06、2026-10-07、2026-10-12、2026-10-13、2026-10-16</v>
      </c>
      <c r="BM359" s="8" t="str">
        <v>2026-10：12天 × 1.0395067087630607；2026-11：30天 × 0.9890368360033146；2026-12：31天 × 0.7800796503018808；2027-01：17天 × 1.2908918272824135</v>
      </c>
      <c r="BN359" s="11" t="n">
        <v>1.0395067087630607</v>
      </c>
      <c r="BO359" s="11" t="n">
        <v>0.9890368360033146</v>
      </c>
      <c r="BP359" s="11" t="n">
        <v>0.7800796503018808</v>
      </c>
      <c r="BQ359" s="11" t="n">
        <v>1.2908918272824135</v>
      </c>
      <c r="BR359" s="8" t="n">
        <v>12</v>
      </c>
      <c r="BS359" s="8" t="n">
        <v>30</v>
      </c>
      <c r="BT359" s="8" t="n">
        <v>31</v>
      </c>
      <c r="BU359" s="8" t="n">
        <v>17</v>
      </c>
      <c r="BV359" s="11" t="n">
        <f>IF(COUNT(BC359,BF359)=2,BC359*BF359,"")</f>
        <v>0.029994259941984253</v>
      </c>
      <c r="BW359" s="11" t="n">
        <f>IF(ISNUMBER(BN359),BN359,"")</f>
        <v>1.0395067087630607</v>
      </c>
      <c r="BX359" s="14" t="n">
        <f>IF(ISNUMBER(BR359),BR359,"")</f>
        <v>12</v>
      </c>
      <c r="BY359" s="13" t="n">
        <f>IF(AND(COUNT(BV359,BW359,BX359)=3,MIN(BV359,BW359,BX359)&gt;=0),BV359*BW359*BX359,"")</f>
        <v>0.3741508132089092</v>
      </c>
      <c r="BZ359" s="11" t="n">
        <f>IF(ISNUMBER(BO359),BO359,"")</f>
        <v>0.9890368360033146</v>
      </c>
      <c r="CA359" s="14" t="n">
        <f>IF(ISNUMBER(BS359),BS359,"")</f>
        <v>30</v>
      </c>
      <c r="CB359" s="13" t="n">
        <f>IF(AND(COUNT(BV359,BZ359,CA359)=3,MIN(BV359,BZ359,CA359)&gt;=0),BV359*BZ359*CA359,"")</f>
        <v>0.889962838538432</v>
      </c>
      <c r="CC359" s="11" t="n">
        <f>IF(ISNUMBER(BP359),BP359,"")</f>
        <v>0.7800796503018808</v>
      </c>
      <c r="CD359" s="14" t="n">
        <f>IF(ISNUMBER(BT359),BT359,"")</f>
        <v>31</v>
      </c>
      <c r="CE359" s="13" t="n">
        <f>IF(AND(COUNT(BV359,CC359,CD359)=3,MIN(BV359,CC359,CD359)&gt;=0),BV359*CC359*CD359,"")</f>
        <v>0.7253352660048104</v>
      </c>
      <c r="CF359" s="11" t="n">
        <f>IF(ISNUMBER(BQ359),BQ359,"")</f>
        <v>1.2908918272824135</v>
      </c>
      <c r="CG359" s="14" t="n">
        <f>IF(ISNUMBER(BU359),BU359,"")</f>
        <v>17</v>
      </c>
      <c r="CH359" s="13" t="n">
        <f>IF(AND(COUNT(BV359,CF359,CG359)=3,MIN(BV359,CF359,CG359)&gt;=0),BV359*CF359*CG359,"")</f>
        <v>0.6582288654163597</v>
      </c>
      <c r="CI359" s="13" t="n">
        <f>IF(COUNT(BY359,CB359,CE359,CH359)=4,SUM(BY359,CB359,CE359,CH359),"")</f>
        <v>2.647677783168511</v>
      </c>
    </row>
    <row r="360" ht="72" customHeight="1">
      <c r="A360" s="16" t="str">
        <v>32582-NY-42</v>
      </c>
      <c r="B360" s="16" t="str">
        <v>3店-SANDIEX-US</v>
      </c>
      <c r="C360" s="16" t="str">
        <v>徐新怡</v>
      </c>
      <c r="D360" s="26" t="n">
        <f>IF(NOT(ISNUMBER(E360)),"",IF(OR(E360&lt;=0,L360=0),0,IF(OR(NOT(ISNUMBER(F360)),F360&lt;0),"",MIN(E360,INT(F360)))))</f>
        <v>0</v>
      </c>
      <c r="E360" s="27" t="n">
        <f>IF(OR(NOT(ISNUMBER(L360)),COUNT(M360:O360)&lt;&gt;3,MIN(M360:O360)&lt;0),"",ROUNDUP(ROUND(BI360-SUM(M360:O360),10),0))</f>
        <v>3</v>
      </c>
      <c r="F360" s="28" t="n">
        <v>0</v>
      </c>
      <c r="G360" s="28" t="n">
        <f>IF(AND(ISNUMBER(D360),ISNUMBER(E360)),IF(OR(E360&lt;=0,L360=0),0,E360-D360),"")</f>
        <v>3</v>
      </c>
      <c r="H360" s="16" t="str">
        <f>IF(NOT(ISNUMBER(E360)),"销量或海外库存待补",IF(OR(E360&lt;=0,L360=0),IF(L360=0,"零日销，本批不发","本批无需补货"),IF(NOT(ISNUMBER(D360)),"国内库存待补",IF(D360=0,"国内无可用库存",IF(G360&gt;0,"先发国内现货","按建议量发货")))))</f>
        <v>国内无可用库存</v>
      </c>
      <c r="I360" s="28" t="n">
        <f>IF(AND(COUNT(Z360,AA360,AB360)=3,Z360&gt;=AA360,AA360&gt;=0,AB360=7),Z360-AA360,"")</f>
        <v>0</v>
      </c>
      <c r="J360" s="28" t="n">
        <f>IF(AND(COUNT(AF360,AG360,AH360)=3,AF360&gt;=AG360,AG360&gt;=0,AH360=14),AF360-AG360,"")</f>
        <v>0</v>
      </c>
      <c r="K360" s="28" t="n">
        <f>IF(AND(COUNT(AL360,AM360,AN360)=3,AL360&gt;=AM360,AM360&gt;=0,AN360=30),AL360-AM360,"")</f>
        <v>0</v>
      </c>
      <c r="L360" s="29" t="n">
        <f>IF(ISNUMBER(BI360),BI360/90,"")</f>
        <v>0.026001656158179128</v>
      </c>
      <c r="M360" s="28" t="n">
        <v>0</v>
      </c>
      <c r="N360" s="28" t="n">
        <v>0</v>
      </c>
      <c r="O360" s="28" t="n">
        <v>0</v>
      </c>
      <c r="P360" s="30" t="n">
        <f>IF(AND(ISNUMBER(L360),L360&gt;0,COUNT(M360:O360)=3,MIN(M360:O360)&gt;=0),SUM(M360:O360)/L360,"")</f>
        <v>0</v>
      </c>
      <c r="Q360" s="16" t="str">
        <v>沿用原计划SKU店铺</v>
      </c>
      <c r="R360" s="16" t="str">
        <v>已匹配</v>
      </c>
      <c r="S360" s="16" t="str">
        <v>停售</v>
      </c>
      <c r="T360" s="16" t="str">
        <v>32582</v>
      </c>
      <c r="U360" s="16" t="str">
        <v>藏青色</v>
      </c>
      <c r="V360" s="16" t="n">
        <v>11</v>
      </c>
      <c r="W360" s="8" t="str">
        <v>2026-10-08 至 2026-10-17</v>
      </c>
      <c r="X360" s="8" t="str">
        <v>2026-10-08、2026-10-09、2026-10-10、2026-10-11、2026-10-14、2026-10-15、2026-10-17</v>
      </c>
      <c r="Y360" s="8" t="str">
        <v>2026-10-12 有记录的停售日；2026-10-13 有记录的停售日；2026-10-16 有记录的停售日</v>
      </c>
      <c r="Z360" s="8" t="n">
        <v>0</v>
      </c>
      <c r="AA360" s="8" t="n">
        <v>0</v>
      </c>
      <c r="AB360" s="8" t="n">
        <v>7</v>
      </c>
      <c r="AC360" s="8" t="str">
        <v>2026-09-29 至 2026-10-17</v>
      </c>
      <c r="AD360" s="8" t="str">
        <v>2026-09-29、2026-09-30、2026-10-01、2026-10-02、2026-10-03、2026-10-04、2026-10-05、2026-10-08、2026-10-09、2026-10-10、2026-10-11、2026-10-14、2026-10-15、2026-10-17</v>
      </c>
      <c r="AE360" s="8" t="str">
        <v>2026-10-06 大促；2026-10-07 大促；2026-10-12 有记录的停售日；2026-10-13 有记录的停售日；2026-10-16 有记录的停售日</v>
      </c>
      <c r="AF360" s="8" t="n">
        <v>0</v>
      </c>
      <c r="AG360" s="8" t="n">
        <v>0</v>
      </c>
      <c r="AH360" s="8" t="n">
        <v>14</v>
      </c>
      <c r="AI360" s="8" t="str">
        <v>2026-09-13 至 2026-10-17</v>
      </c>
      <c r="AJ36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0" s="8" t="str">
        <v>2026-10-06 大促；2026-10-07 大促；2026-10-12 有记录的停售日；2026-10-13 有记录的停售日；2026-10-16 有记录的停售日</v>
      </c>
      <c r="AL360" s="8" t="n">
        <v>0</v>
      </c>
      <c r="AM360" s="8" t="n">
        <v>0</v>
      </c>
      <c r="AN360" s="8" t="n">
        <v>30</v>
      </c>
      <c r="AO360" s="8" t="str">
        <v>32582 / 藏青色羊京绒 / 6574</v>
      </c>
      <c r="AP360" s="11" t="n">
        <v>1.0395067087630607</v>
      </c>
      <c r="AQ360" s="11" t="n">
        <v>1.048428692110265</v>
      </c>
      <c r="AR360" s="11" t="n">
        <v>1.076979038821319</v>
      </c>
      <c r="AS360" s="11" t="n">
        <f>IF(AND(COUNT(I360:K360,AP360:AR360)=6,MIN(AP360:AR360)&gt;0),I360/7/AP360*0.5+J360/14/AQ360*0.3+K360/30/AR360*0.2,"")</f>
        <v>0</v>
      </c>
      <c r="AT360" s="8" t="n">
        <v>0</v>
      </c>
      <c r="AU360" s="8" t="n">
        <v>0</v>
      </c>
      <c r="AV360" s="8" t="n">
        <v>85</v>
      </c>
      <c r="AW360" s="11" t="n">
        <f>IF(AND(COUNT(AT360:AV360)=3,AT360&gt;=AU360,AU360&gt;=0,AV360&gt;0),(AT360-AU360)/AV360,"")</f>
        <v>0</v>
      </c>
      <c r="AX360" s="8" t="n">
        <v>22</v>
      </c>
      <c r="AY360" s="8" t="n">
        <v>0</v>
      </c>
      <c r="AZ360" s="8" t="n">
        <v>175</v>
      </c>
      <c r="BA360" s="11" t="n">
        <f>IF(AND(COUNT(AX360:AZ360)=3,AX360&gt;=AY360,AY360&gt;=0,AZ360&gt;0),(AX360-AY360)/AZ360,"")</f>
        <v>0.12571428571428572</v>
      </c>
      <c r="BB360" s="8" t="n">
        <f>IF(COUNT(AS360,AW360,BA360)=3,1,0)</f>
        <v>1</v>
      </c>
      <c r="BC360" s="11" t="n">
        <f>IF(SUMIF($AO$11:$AO$1309,AO360,$BB$11:$BB$1309)=COUNTIF($AO$11:$AO$1309,AO360),SUMIF($AO$11:$AO$1309,AO360,$AS$11:$AS$1309),"")</f>
        <v>1.3720516715672233</v>
      </c>
      <c r="BD360" s="11" t="n">
        <f>IF(SUMIF($AO$11:$AO$1309,AO360,$BB$11:$BB$1309)=COUNTIF($AO$11:$AO$1309,AO360),SUMIF($AO$11:$AO$1309,AO360,$AW$11:$AW$1309),"")</f>
        <v>1.1959893048128343</v>
      </c>
      <c r="BE360" s="11" t="n">
        <f>IF(SUMIF($AO$11:$AO$1309,AO360,$BB$11:$BB$1309)=COUNTIF($AO$11:$AO$1309,AO360),SUMIF($AO$11:$AO$1309,AO360,$BA$11:$BA$1309),"")</f>
        <v>1.9519101123595508</v>
      </c>
      <c r="BF360" s="12" t="n">
        <f>IF(COUNT(BD360:BE360)&lt;&gt;2,"",IF(AND(BD360&gt;0,BE360&gt;0),0.7*AW360/BD360+0.3*BA360/BE360,IF(BD360&gt;0,AW360/BD360,IF(BE360&gt;0,BA360/BE360,IF(AND(ISNUMBER(BH360),BH360=0),0,"")))))</f>
        <v>0.019321732837735597</v>
      </c>
      <c r="BG360" s="11" t="n">
        <f>IF(AND(COUNT(BN360:BU360)=8,MIN(BN360:BU360)&gt;=0),SUMPRODUCT(BN360:BQ360,BR360:BU360),"")</f>
        <v>88.27281580841549</v>
      </c>
      <c r="BH360" s="11" t="n">
        <f>IF(COUNT(BC360,BG360)=2,BC360*BG360,"")</f>
        <v>121.11486448388209</v>
      </c>
      <c r="BI360" s="11" t="n">
        <f>IF(ISNUMBER(CI360),CI360,"")</f>
        <v>2.3401490542361216</v>
      </c>
      <c r="BJ360" s="8" t="str"/>
      <c r="BK360" s="8" t="str">
        <v>90天：2026-07-20 至 2026-10-17；180天：2026-04-21 至 2026-10-17</v>
      </c>
      <c r="BL360" s="8" t="str">
        <v>90天：2026-10-06、2026-10-07、2026-10-12、2026-10-13、2026-10-16；180天：2026-10-06、2026-10-07、2026-10-12、2026-10-13、2026-10-16</v>
      </c>
      <c r="BM360" s="8" t="str">
        <v>2026-10：12天 × 1.0395067087630607；2026-11：30天 × 0.9890368360033146；2026-12：31天 × 0.7800796503018808；2027-01：17天 × 1.2908918272824135</v>
      </c>
      <c r="BN360" s="11" t="n">
        <v>1.0395067087630607</v>
      </c>
      <c r="BO360" s="11" t="n">
        <v>0.9890368360033146</v>
      </c>
      <c r="BP360" s="11" t="n">
        <v>0.7800796503018808</v>
      </c>
      <c r="BQ360" s="11" t="n">
        <v>1.2908918272824135</v>
      </c>
      <c r="BR360" s="8" t="n">
        <v>12</v>
      </c>
      <c r="BS360" s="8" t="n">
        <v>30</v>
      </c>
      <c r="BT360" s="8" t="n">
        <v>31</v>
      </c>
      <c r="BU360" s="8" t="n">
        <v>17</v>
      </c>
      <c r="BV360" s="11" t="n">
        <f>IF(COUNT(BC360,BF360)=2,BC360*BF360,"")</f>
        <v>0.026510415837590433</v>
      </c>
      <c r="BW360" s="11" t="n">
        <f>IF(ISNUMBER(BN360),BN360,"")</f>
        <v>1.0395067087630607</v>
      </c>
      <c r="BX360" s="14" t="n">
        <f>IF(ISNUMBER(BR360),BR360,"")</f>
        <v>12</v>
      </c>
      <c r="BY360" s="13" t="n">
        <f>IF(AND(COUNT(BV360,BW360,BX360)=3,MIN(BV360,BW360,BX360)&gt;=0),BV360*BW360*BX360,"")</f>
        <v>0.330693061383285</v>
      </c>
      <c r="BZ360" s="11" t="n">
        <f>IF(ISNUMBER(BO360),BO360,"")</f>
        <v>0.9890368360033146</v>
      </c>
      <c r="CA360" s="14" t="n">
        <f>IF(ISNUMBER(BS360),BS360,"")</f>
        <v>30</v>
      </c>
      <c r="CB360" s="13" t="n">
        <f>IF(AND(COUNT(BV360,BZ360,CA360)=3,MIN(BV360,BZ360,CA360)&gt;=0),BV360*BZ360*CA360,"")</f>
        <v>0.7865933340342781</v>
      </c>
      <c r="CC360" s="11" t="n">
        <f>IF(ISNUMBER(BP360),BP360,"")</f>
        <v>0.7800796503018808</v>
      </c>
      <c r="CD360" s="14" t="n">
        <f>IF(ISNUMBER(BT360),BT360,"")</f>
        <v>31</v>
      </c>
      <c r="CE360" s="13" t="n">
        <f>IF(AND(COUNT(BV360,CC360,CD360)=3,MIN(BV360,CC360,CD360)&gt;=0),BV360*CC360*CD360,"")</f>
        <v>0.6410873133942946</v>
      </c>
      <c r="CF360" s="11" t="n">
        <f>IF(ISNUMBER(BQ360),BQ360,"")</f>
        <v>1.2908918272824135</v>
      </c>
      <c r="CG360" s="14" t="n">
        <f>IF(ISNUMBER(BU360),BU360,"")</f>
        <v>17</v>
      </c>
      <c r="CH360" s="13" t="n">
        <f>IF(AND(COUNT(BV360,CF360,CG360)=3,MIN(BV360,CF360,CG360)&gt;=0),BV360*CF360*CG360,"")</f>
        <v>0.5817753454242638</v>
      </c>
      <c r="CI360" s="13" t="n">
        <f>IF(COUNT(BY360,CB360,CE360,CH360)=4,SUM(BY360,CB360,CE360,CH360),"")</f>
        <v>2.3401490542361216</v>
      </c>
    </row>
    <row r="361" ht="72" customHeight="1">
      <c r="A361" s="16" t="str">
        <v>32582-PK-39.5</v>
      </c>
      <c r="B361" s="16" t="str">
        <v>3店-SANDIEX-US</v>
      </c>
      <c r="C361" s="16" t="str">
        <v>徐新怡</v>
      </c>
      <c r="D361" s="26" t="n">
        <f>IF(NOT(ISNUMBER(E361)),"",IF(OR(E361&lt;=0,L361=0),0,IF(OR(NOT(ISNUMBER(F361)),F361&lt;0),"",MIN(E361,INT(F361)))))</f>
        <v>0</v>
      </c>
      <c r="E361" s="27" t="n">
        <f>IF(OR(NOT(ISNUMBER(L361)),COUNT(M361:O361)&lt;&gt;3,MIN(M361:O361)&lt;0),"",ROUNDUP(ROUND(BI361-SUM(M361:O361),10),0))</f>
        <v>3</v>
      </c>
      <c r="F361" s="28" t="n">
        <v>0</v>
      </c>
      <c r="G361" s="28" t="n">
        <f>IF(AND(ISNUMBER(D361),ISNUMBER(E361)),IF(OR(E361&lt;=0,L361=0),0,E361-D361),"")</f>
        <v>3</v>
      </c>
      <c r="H361" s="16" t="str">
        <f>IF(NOT(ISNUMBER(E361)),"销量或海外库存待补",IF(OR(E361&lt;=0,L361=0),IF(L361=0,"零日销，本批不发","本批无需补货"),IF(NOT(ISNUMBER(D361)),"国内库存待补",IF(D361=0,"国内无可用库存",IF(G361&gt;0,"先发国内现货","按建议量发货")))))</f>
        <v>国内无可用库存</v>
      </c>
      <c r="I361" s="28" t="n">
        <f>IF(AND(COUNT(Z361,AA361,AB361)=3,Z361&gt;=AA361,AA361&gt;=0,AB361=7),Z361-AA361,"")</f>
        <v>0</v>
      </c>
      <c r="J361" s="28" t="n">
        <f>IF(AND(COUNT(AF361,AG361,AH361)=3,AF361&gt;=AG361,AG361&gt;=0,AH361=14),AF361-AG361,"")</f>
        <v>2</v>
      </c>
      <c r="K361" s="28" t="n">
        <f>IF(AND(COUNT(AL361,AM361,AN361)=3,AL361&gt;=AM361,AM361&gt;=0,AN361=30),AL361-AM361,"")</f>
        <v>4</v>
      </c>
      <c r="L361" s="29" t="n">
        <f>IF(ISNUMBER(BI361),BI361/90,"")</f>
        <v>0.03874272501243054</v>
      </c>
      <c r="M361" s="28" t="n">
        <v>1</v>
      </c>
      <c r="N361" s="28" t="n">
        <v>0</v>
      </c>
      <c r="O361" s="28" t="n">
        <v>0</v>
      </c>
      <c r="P361" s="30" t="n">
        <f>IF(AND(ISNUMBER(L361),L361&gt;0,COUNT(M361:O361)=3,MIN(M361:O361)&gt;=0),SUM(M361:O361)/L361,"")</f>
        <v>25.81129746756718</v>
      </c>
      <c r="Q361" s="16" t="str">
        <v>沿用原计划SKU店铺</v>
      </c>
      <c r="R361" s="16" t="str">
        <v>已匹配</v>
      </c>
      <c r="S361" s="16" t="str">
        <v>在售</v>
      </c>
      <c r="T361" s="16" t="str">
        <v>32582</v>
      </c>
      <c r="U361" s="16" t="str">
        <v>粉色</v>
      </c>
      <c r="V361" s="16" t="n">
        <v>8.5</v>
      </c>
      <c r="W361" s="8" t="str">
        <v>2026-10-11 至 2026-10-17</v>
      </c>
      <c r="X361" s="8" t="str">
        <v>2026-10-11、2026-10-12、2026-10-13、2026-10-14、2026-10-15、2026-10-16、2026-10-17</v>
      </c>
      <c r="Y361" s="8" t="str">
        <v>无</v>
      </c>
      <c r="Z361" s="8" t="n">
        <v>0</v>
      </c>
      <c r="AA361" s="8" t="n">
        <v>0</v>
      </c>
      <c r="AB361" s="8" t="n">
        <v>7</v>
      </c>
      <c r="AC361" s="8" t="str">
        <v>2026-10-02 至 2026-10-17</v>
      </c>
      <c r="AD361" s="8" t="str">
        <v>2026-10-02、2026-10-03、2026-10-04、2026-10-05、2026-10-08、2026-10-09、2026-10-10、2026-10-11、2026-10-12、2026-10-13、2026-10-14、2026-10-15、2026-10-16、2026-10-17</v>
      </c>
      <c r="AE361" s="8" t="str">
        <v>2026-10-06 大促；2026-10-07 大促</v>
      </c>
      <c r="AF361" s="8" t="n">
        <v>2</v>
      </c>
      <c r="AG361" s="8" t="n">
        <v>0</v>
      </c>
      <c r="AH361" s="8" t="n">
        <v>14</v>
      </c>
      <c r="AI361" s="8" t="str">
        <v>2026-09-16 至 2026-10-17</v>
      </c>
      <c r="AJ3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61" s="8" t="str">
        <v>2026-10-06 大促；2026-10-07 大促</v>
      </c>
      <c r="AL361" s="8" t="n">
        <v>4</v>
      </c>
      <c r="AM361" s="8" t="n">
        <v>0</v>
      </c>
      <c r="AN361" s="8" t="n">
        <v>30</v>
      </c>
      <c r="AO361" s="8" t="str">
        <v>32582 / 粉色羊京绒 / 6574</v>
      </c>
      <c r="AP361" s="11" t="n">
        <v>1.0395067087630607</v>
      </c>
      <c r="AQ361" s="11" t="n">
        <v>1.0395067087630607</v>
      </c>
      <c r="AR361" s="11" t="n">
        <v>1.0707336504782758</v>
      </c>
      <c r="AS361" s="11" t="n">
        <f>IF(AND(COUNT(I361:K361,AP361:AR361)=6,MIN(AP361:AR361)&gt;0),I361/7/AP361*0.5+J361/14/AQ361*0.3+K361/30/AR361*0.2,"")</f>
        <v>0.06613338869823362</v>
      </c>
      <c r="AT361" s="8" t="n">
        <v>7</v>
      </c>
      <c r="AU361" s="8" t="n">
        <v>0</v>
      </c>
      <c r="AV361" s="8" t="n">
        <v>88</v>
      </c>
      <c r="AW361" s="11" t="n">
        <f>IF(AND(COUNT(AT361:AV361)=3,AT361&gt;=AU361,AU361&gt;=0,AV361&gt;0),(AT361-AU361)/AV361,"")</f>
        <v>0.07954545454545454</v>
      </c>
      <c r="AX361" s="8" t="n">
        <v>13</v>
      </c>
      <c r="AY361" s="8" t="n">
        <v>0</v>
      </c>
      <c r="AZ361" s="8" t="n">
        <v>178</v>
      </c>
      <c r="BA361" s="11" t="n">
        <f>IF(AND(COUNT(AX361:AZ361)=3,AX361&gt;=AY361,AY361&gt;=0,AZ361&gt;0),(AX361-AY361)/AZ361,"")</f>
        <v>0.07303370786516854</v>
      </c>
      <c r="BB361" s="8" t="n">
        <f>IF(COUNT(AS361,AW361,BA361)=3,1,0)</f>
        <v>1</v>
      </c>
      <c r="BC361" s="11" t="n">
        <f>IF(SUMIF($AO$11:$AO$1309,AO361,$BB$11:$BB$1309)=COUNTIF($AO$11:$AO$1309,AO361),SUMIF($AO$11:$AO$1309,AO361,$AS$11:$AS$1309),"")</f>
        <v>0.13201914161115513</v>
      </c>
      <c r="BD361" s="11" t="n">
        <f>IF(SUMIF($AO$11:$AO$1309,AO361,$BB$11:$BB$1309)=COUNTIF($AO$11:$AO$1309,AO361),SUMIF($AO$11:$AO$1309,AO361,$AW$11:$AW$1309),"")</f>
        <v>0.2418449197860963</v>
      </c>
      <c r="BE361" s="11" t="n">
        <f>IF(SUMIF($AO$11:$AO$1309,AO361,$BB$11:$BB$1309)=COUNTIF($AO$11:$AO$1309,AO361),SUMIF($AO$11:$AO$1309,AO361,$BA$11:$BA$1309),"")</f>
        <v>0.31768860353130013</v>
      </c>
      <c r="BF361" s="12" t="n">
        <f>IF(COUNT(BD361:BE361)&lt;&gt;2,"",IF(AND(BD361&gt;0,BE361&gt;0),0.7*AW361/BD361+0.3*BA361/BE361,IF(BD361&gt;0,AW361/BD361,IF(BE361&gt;0,BA361/BE361,IF(AND(ISNUMBER(BH361),BH361=0),0,"")))))</f>
        <v>0.2992049598857415</v>
      </c>
      <c r="BG361" s="11" t="n">
        <f>IF(AND(COUNT(BN361:BU361)=8,MIN(BN361:BU361)&gt;=0),SUMPRODUCT(BN361:BQ361,BR361:BU361),"")</f>
        <v>88.27281580841549</v>
      </c>
      <c r="BH361" s="11" t="n">
        <f>IF(COUNT(BC361,BG361)=2,BC361*BG361,"")</f>
        <v>11.653701370626617</v>
      </c>
      <c r="BI361" s="11" t="n">
        <f>IF(ISNUMBER(CI361),CI361,"")</f>
        <v>3.4868452511187487</v>
      </c>
      <c r="BJ361" s="8" t="str">
        <v>近180天本色销量57双（＜90），无有效新采购，请运营判断</v>
      </c>
      <c r="BK361" s="8" t="str">
        <v>90天：2026-07-20 至 2026-10-17；180天：2026-04-21 至 2026-10-17</v>
      </c>
      <c r="BL361" s="8" t="str">
        <v>90天：2026-10-06、2026-10-07；180天：2026-10-06、2026-10-07</v>
      </c>
      <c r="BM361" s="8" t="str">
        <v>2026-10：12天 × 1.0395067087630607；2026-11：30天 × 0.9890368360033146；2026-12：31天 × 0.7800796503018808；2027-01：17天 × 1.2908918272824135</v>
      </c>
      <c r="BN361" s="11" t="n">
        <v>1.0395067087630607</v>
      </c>
      <c r="BO361" s="11" t="n">
        <v>0.9890368360033146</v>
      </c>
      <c r="BP361" s="11" t="n">
        <v>0.7800796503018808</v>
      </c>
      <c r="BQ361" s="11" t="n">
        <v>1.2908918272824135</v>
      </c>
      <c r="BR361" s="8" t="n">
        <v>12</v>
      </c>
      <c r="BS361" s="8" t="n">
        <v>30</v>
      </c>
      <c r="BT361" s="8" t="n">
        <v>31</v>
      </c>
      <c r="BU361" s="8" t="n">
        <v>17</v>
      </c>
      <c r="BV361" s="11" t="n">
        <f>IF(COUNT(BC361,BF361)=2,BC361*BF361,"")</f>
        <v>0.039500781969915695</v>
      </c>
      <c r="BW361" s="11" t="n">
        <f>IF(ISNUMBER(BN361),BN361,"")</f>
        <v>1.0395067087630607</v>
      </c>
      <c r="BX361" s="14" t="n">
        <f>IF(ISNUMBER(BR361),BR361,"")</f>
        <v>12</v>
      </c>
      <c r="BY361" s="13" t="n">
        <f>IF(AND(COUNT(BV361,BW361,BX361)=3,MIN(BV361,BW361,BX361)&gt;=0),BV361*BW361*BX361,"")</f>
        <v>0.4927359343093718</v>
      </c>
      <c r="BZ361" s="11" t="n">
        <f>IF(ISNUMBER(BO361),BO361,"")</f>
        <v>0.9890368360033146</v>
      </c>
      <c r="CA361" s="14" t="n">
        <f>IF(ISNUMBER(BS361),BS361,"")</f>
        <v>30</v>
      </c>
      <c r="CB361" s="13" t="n">
        <f>IF(AND(COUNT(BV361,BZ361,CA361)=3,MIN(BV361,BZ361,CA361)&gt;=0),BV361*BZ361*CA361,"")</f>
        <v>1.172031852575466</v>
      </c>
      <c r="CC361" s="11" t="n">
        <f>IF(ISNUMBER(BP361),BP361,"")</f>
        <v>0.7800796503018808</v>
      </c>
      <c r="CD361" s="14" t="n">
        <f>IF(ISNUMBER(BT361),BT361,"")</f>
        <v>31</v>
      </c>
      <c r="CE361" s="13" t="n">
        <f>IF(AND(COUNT(BV361,CC361,CD361)=3,MIN(BV361,CC361,CD361)&gt;=0),BV361*CC361*CD361,"")</f>
        <v>0.9552264417580228</v>
      </c>
      <c r="CF361" s="11" t="n">
        <f>IF(ISNUMBER(BQ361),BQ361,"")</f>
        <v>1.2908918272824135</v>
      </c>
      <c r="CG361" s="14" t="n">
        <f>IF(ISNUMBER(BU361),BU361,"")</f>
        <v>17</v>
      </c>
      <c r="CH361" s="13" t="n">
        <f>IF(AND(COUNT(BV361,CF361,CG361)=3,MIN(BV361,CF361,CG361)&gt;=0),BV361*CF361*CG361,"")</f>
        <v>0.8668510224758876</v>
      </c>
      <c r="CI361" s="13" t="n">
        <f>IF(COUNT(BY361,CB361,CE361,CH361)=4,SUM(BY361,CB361,CE361,CH361),"")</f>
        <v>3.4868452511187487</v>
      </c>
    </row>
    <row r="362" ht="72" customHeight="1">
      <c r="A362" s="16" t="str">
        <v>60516-BK-S-K-9.5</v>
      </c>
      <c r="B362" s="16" t="str">
        <v>3店-SANDIEX-US</v>
      </c>
      <c r="C362" s="16" t="str">
        <v>徐新怡</v>
      </c>
      <c r="D362" s="26" t="n">
        <f>IF(NOT(ISNUMBER(E362)),"",IF(OR(E362&lt;=0,L362=0),0,IF(OR(NOT(ISNUMBER(F362)),F362&lt;0),"",MIN(E362,INT(F362)))))</f>
        <v>0</v>
      </c>
      <c r="E362" s="27" t="n">
        <f>IF(OR(NOT(ISNUMBER(L362)),COUNT(M362:O362)&lt;&gt;3,MIN(M362:O362)&lt;0),"",ROUNDUP(ROUND(BI362-SUM(M362:O362),10),0))</f>
        <v>3</v>
      </c>
      <c r="F362" s="28" t="n">
        <v>0</v>
      </c>
      <c r="G362" s="28" t="n">
        <f>IF(AND(ISNUMBER(D362),ISNUMBER(E362)),IF(OR(E362&lt;=0,L362=0),0,E362-D362),"")</f>
        <v>3</v>
      </c>
      <c r="H362" s="16" t="str">
        <f>IF(NOT(ISNUMBER(E362)),"销量或海外库存待补",IF(OR(E362&lt;=0,L362=0),IF(L362=0,"零日销，本批不发","本批无需补货"),IF(NOT(ISNUMBER(D362)),"国内库存待补",IF(D362=0,"国内无可用库存",IF(G362&gt;0,"先发国内现货","按建议量发货")))))</f>
        <v>国内无可用库存</v>
      </c>
      <c r="I362" s="28" t="n">
        <f>IF(AND(COUNT(Z362,AA362,AB362)=3,Z362&gt;=AA362,AA362&gt;=0,AB362=7),Z362-AA362,"")</f>
        <v>0</v>
      </c>
      <c r="J362" s="28" t="n">
        <f>IF(AND(COUNT(AF362,AG362,AH362)=3,AF362&gt;=AG362,AG362&gt;=0,AH362=14),AF362-AG362,"")</f>
        <v>0</v>
      </c>
      <c r="K362" s="28" t="n">
        <f>IF(AND(COUNT(AL362,AM362,AN362)=3,AL362&gt;=AM362,AM362&gt;=0,AN362=30),AL362-AM362,"")</f>
        <v>0</v>
      </c>
      <c r="L362" s="29" t="n">
        <f>IF(ISNUMBER(BI362),BI362/90,"")</f>
        <v>0.02925307235605305</v>
      </c>
      <c r="M362" s="28" t="n">
        <v>0</v>
      </c>
      <c r="N362" s="28" t="n">
        <v>0</v>
      </c>
      <c r="O362" s="28" t="n">
        <v>0</v>
      </c>
      <c r="P362" s="30" t="n">
        <f>IF(AND(ISNUMBER(L362),L362&gt;0,COUNT(M362:O362)=3,MIN(M362:O362)&gt;=0),SUM(M362:O362)/L362,"")</f>
        <v>0</v>
      </c>
      <c r="Q362" s="16" t="str">
        <v>按本SKU唯一未删除Listing店铺核实</v>
      </c>
      <c r="R362" s="16" t="str">
        <v>已匹配</v>
      </c>
      <c r="S362" s="16" t="str">
        <v>停售</v>
      </c>
      <c r="T362" s="16" t="str">
        <v>60516</v>
      </c>
      <c r="U362" s="16" t="str">
        <v>黑色</v>
      </c>
      <c r="V362" s="16" t="n">
        <v>9.5</v>
      </c>
      <c r="W362" s="8" t="str">
        <v>2026-10-08 至 2026-10-17</v>
      </c>
      <c r="X362" s="8" t="str">
        <v>2026-10-08、2026-10-09、2026-10-10、2026-10-11、2026-10-14、2026-10-15、2026-10-17</v>
      </c>
      <c r="Y362" s="8" t="str">
        <v>2026-10-12 有记录的停售日；2026-10-13 有记录的停售日；2026-10-16 有记录的停售日</v>
      </c>
      <c r="Z362" s="8" t="n">
        <v>0</v>
      </c>
      <c r="AA362" s="8" t="n">
        <v>0</v>
      </c>
      <c r="AB362" s="8" t="n">
        <v>7</v>
      </c>
      <c r="AC362" s="8" t="str">
        <v>2026-09-29 至 2026-10-17</v>
      </c>
      <c r="AD362" s="8" t="str">
        <v>2026-09-29、2026-09-30、2026-10-01、2026-10-02、2026-10-03、2026-10-04、2026-10-05、2026-10-08、2026-10-09、2026-10-10、2026-10-11、2026-10-14、2026-10-15、2026-10-17</v>
      </c>
      <c r="AE362" s="8" t="str">
        <v>2026-10-06 大促；2026-10-07 大促；2026-10-12 有记录的停售日；2026-10-13 有记录的停售日；2026-10-16 有记录的停售日</v>
      </c>
      <c r="AF362" s="8" t="n">
        <v>0</v>
      </c>
      <c r="AG362" s="8" t="n">
        <v>0</v>
      </c>
      <c r="AH362" s="8" t="n">
        <v>14</v>
      </c>
      <c r="AI362" s="8" t="str">
        <v>2026-09-13 至 2026-10-17</v>
      </c>
      <c r="AJ36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2" s="8" t="str">
        <v>2026-10-06 大促；2026-10-07 大促；2026-10-12 有记录的停售日；2026-10-13 有记录的停售日；2026-10-16 有记录的停售日</v>
      </c>
      <c r="AL362" s="8" t="n">
        <v>0</v>
      </c>
      <c r="AM362" s="8" t="n">
        <v>0</v>
      </c>
      <c r="AN362" s="8" t="n">
        <v>30</v>
      </c>
      <c r="AO362" s="8" t="str">
        <v>60516 / 黑色羊京绒 / 6574</v>
      </c>
      <c r="AP362" s="11" t="n">
        <v>1.8609238953732312</v>
      </c>
      <c r="AQ362" s="11" t="n">
        <v>1.832044958686392</v>
      </c>
      <c r="AR362" s="11" t="n">
        <v>1.7396323612885067</v>
      </c>
      <c r="AS362" s="11" t="n">
        <f>IF(AND(COUNT(I362:K362,AP362:AR362)=6,MIN(AP362:AR362)&gt;0),I362/7/AP362*0.5+J362/14/AQ362*0.3+K362/30/AR362*0.2,"")</f>
        <v>0</v>
      </c>
      <c r="AT362" s="8" t="n">
        <v>0</v>
      </c>
      <c r="AU362" s="8" t="n">
        <v>0</v>
      </c>
      <c r="AV362" s="8" t="n">
        <v>85</v>
      </c>
      <c r="AW362" s="11" t="n">
        <f>IF(AND(COUNT(AT362:AV362)=3,AT362&gt;=AU362,AU362&gt;=0,AV362&gt;0),(AT362-AU362)/AV362,"")</f>
        <v>0</v>
      </c>
      <c r="AX362" s="8" t="n">
        <v>10</v>
      </c>
      <c r="AY362" s="8" t="n">
        <v>0</v>
      </c>
      <c r="AZ362" s="8" t="n">
        <v>175</v>
      </c>
      <c r="BA362" s="11" t="n">
        <f>IF(AND(COUNT(AX362:AZ362)=3,AX362&gt;=AY362,AY362&gt;=0,AZ362&gt;0),(AX362-AY362)/AZ362,"")</f>
        <v>0.05714285714285714</v>
      </c>
      <c r="BB362" s="8" t="n">
        <f>IF(COUNT(AS362,AW362,BA362)=3,1,0)</f>
        <v>1</v>
      </c>
      <c r="BC362" s="11" t="n">
        <f>IF(SUMIF($AO$11:$AO$1309,AO362,$BB$11:$BB$1309)=COUNTIF($AO$11:$AO$1309,AO362),SUMIF($AO$11:$AO$1309,AO362,$AS$11:$AS$1309),"")</f>
        <v>3.0362329919441002</v>
      </c>
      <c r="BD362" s="11" t="n">
        <f>IF(SUMIF($AO$11:$AO$1309,AO362,$BB$11:$BB$1309)=COUNTIF($AO$11:$AO$1309,AO362),SUMIF($AO$11:$AO$1309,AO362,$AW$11:$AW$1309),"")</f>
        <v>2.9545454545454546</v>
      </c>
      <c r="BE362" s="11" t="n">
        <f>IF(SUMIF($AO$11:$AO$1309,AO362,$BB$11:$BB$1309)=COUNTIF($AO$11:$AO$1309,AO362),SUMIF($AO$11:$AO$1309,AO362,$BA$11:$BA$1309),"")</f>
        <v>2.169502407704655</v>
      </c>
      <c r="BF362" s="12" t="n">
        <f>IF(COUNT(BD362:BE362)&lt;&gt;2,"",IF(AND(BD362&gt;0,BE362&gt;0),0.7*AW362/BD362+0.3*BA362/BE362,IF(BD362&gt;0,AW362/BD362,IF(BE362&gt;0,BA362/BE362,IF(AND(ISNUMBER(BH362),BH362=0),0,"")))))</f>
        <v>0.007901746078721513</v>
      </c>
      <c r="BG362" s="11" t="n">
        <f>IF(AND(COUNT(BN362:BU362)=8,MIN(BN362:BU362)&gt;=0),SUMPRODUCT(BN362:BQ362,BR362:BU362),"")</f>
        <v>109.73769409574882</v>
      </c>
      <c r="BH362" s="11" t="n">
        <f>IF(COUNT(BC362,BG362)=2,BC362*BG362,"")</f>
        <v>333.18920727338184</v>
      </c>
      <c r="BI362" s="11" t="n">
        <f>IF(ISNUMBER(CI362),CI362,"")</f>
        <v>2.6327765120447744</v>
      </c>
      <c r="BJ362" s="8" t="str"/>
      <c r="BK362" s="8" t="str">
        <v>90天：2026-07-20 至 2026-10-17；180天：2026-04-21 至 2026-10-17</v>
      </c>
      <c r="BL362" s="8" t="str">
        <v>90天：2026-10-06、2026-10-07、2026-10-12、2026-10-13、2026-10-16；180天：2026-10-06、2026-10-07、2026-10-12、2026-10-13、2026-10-16</v>
      </c>
      <c r="BM362" s="8" t="str">
        <v>2026-10：12天 × 1.8609238953732312；2026-11：30天 × 1.438375649833085；2026-12：31天 × 0.9519742599124907；2027-01：17天 × 0.8673021058229575</v>
      </c>
      <c r="BN362" s="11" t="n">
        <v>1.8609238953732312</v>
      </c>
      <c r="BO362" s="11" t="n">
        <v>1.438375649833085</v>
      </c>
      <c r="BP362" s="11" t="n">
        <v>0.9519742599124907</v>
      </c>
      <c r="BQ362" s="11" t="n">
        <v>0.8673021058229575</v>
      </c>
      <c r="BR362" s="8" t="n">
        <v>12</v>
      </c>
      <c r="BS362" s="8" t="n">
        <v>30</v>
      </c>
      <c r="BT362" s="8" t="n">
        <v>31</v>
      </c>
      <c r="BU362" s="8" t="n">
        <v>17</v>
      </c>
      <c r="BV362" s="11" t="n">
        <f>IF(COUNT(BC362,BF362)=2,BC362*BF362,"")</f>
        <v>0.02399154213817918</v>
      </c>
      <c r="BW362" s="11" t="n">
        <f>IF(ISNUMBER(BN362),BN362,"")</f>
        <v>1.8609238953732312</v>
      </c>
      <c r="BX362" s="14" t="n">
        <f>IF(ISNUMBER(BR362),BR362,"")</f>
        <v>12</v>
      </c>
      <c r="BY362" s="13" t="n">
        <f>IF(AND(COUNT(BV362,BW362,BX362)=3,MIN(BV362,BW362,BX362)&gt;=0),BV362*BW362*BX362,"")</f>
        <v>0.5357572086214971</v>
      </c>
      <c r="BZ362" s="11" t="n">
        <f>IF(ISNUMBER(BO362),BO362,"")</f>
        <v>1.438375649833085</v>
      </c>
      <c r="CA362" s="14" t="n">
        <f>IF(ISNUMBER(BS362),BS362,"")</f>
        <v>30</v>
      </c>
      <c r="CB362" s="13" t="n">
        <f>IF(AND(COUNT(BV362,BZ362,CA362)=3,MIN(BV362,BZ362,CA362)&gt;=0),BV362*BZ362*CA362,"")</f>
        <v>1.0352655004050397</v>
      </c>
      <c r="CC362" s="11" t="n">
        <f>IF(ISNUMBER(BP362),BP362,"")</f>
        <v>0.9519742599124907</v>
      </c>
      <c r="CD362" s="14" t="n">
        <f>IF(ISNUMBER(BT362),BT362,"")</f>
        <v>31</v>
      </c>
      <c r="CE362" s="13" t="n">
        <f>IF(AND(COUNT(BV362,CC362,CD362)=3,MIN(BV362,CC362,CD362)&gt;=0),BV362*CC362*CD362,"")</f>
        <v>0.7080192477057262</v>
      </c>
      <c r="CF362" s="11" t="n">
        <f>IF(ISNUMBER(BQ362),BQ362,"")</f>
        <v>0.8673021058229575</v>
      </c>
      <c r="CG362" s="14" t="n">
        <f>IF(ISNUMBER(BU362),BU362,"")</f>
        <v>17</v>
      </c>
      <c r="CH362" s="13" t="n">
        <f>IF(AND(COUNT(BV362,CF362,CG362)=3,MIN(BV362,CF362,CG362)&gt;=0),BV362*CF362*CG362,"")</f>
        <v>0.3537345553125114</v>
      </c>
      <c r="CI362" s="13" t="n">
        <f>IF(COUNT(BY362,CB362,CE362,CH362)=4,SUM(BY362,CB362,CE362,CH362),"")</f>
        <v>2.6327765120447744</v>
      </c>
    </row>
    <row r="363" ht="72" customHeight="1">
      <c r="A363" s="16" t="str">
        <v>8392-TN-37.5</v>
      </c>
      <c r="B363" s="16" t="str">
        <v>3店-SANDIEX-US</v>
      </c>
      <c r="C363" s="16" t="str">
        <v>徐新怡</v>
      </c>
      <c r="D363" s="26" t="n">
        <f>IF(NOT(ISNUMBER(E363)),"",IF(OR(E363&lt;=0,L363=0),0,IF(OR(NOT(ISNUMBER(F363)),F363&lt;0),"",MIN(E363,INT(F363)))))</f>
        <v>0</v>
      </c>
      <c r="E363" s="27" t="n">
        <f>IF(OR(NOT(ISNUMBER(L363)),COUNT(M363:O363)&lt;&gt;3,MIN(M363:O363)&lt;0),"",ROUNDUP(ROUND(BI363-SUM(M363:O363),10),0))</f>
        <v>3</v>
      </c>
      <c r="F363" s="28" t="n">
        <v>0</v>
      </c>
      <c r="G363" s="28" t="n">
        <f>IF(AND(ISNUMBER(D363),ISNUMBER(E363)),IF(OR(E363&lt;=0,L363=0),0,E363-D363),"")</f>
        <v>3</v>
      </c>
      <c r="H363" s="16" t="str">
        <f>IF(NOT(ISNUMBER(E363)),"销量或海外库存待补",IF(OR(E363&lt;=0,L363=0),IF(L363=0,"零日销，本批不发","本批无需补货"),IF(NOT(ISNUMBER(D363)),"国内库存待补",IF(D363=0,"国内无可用库存",IF(G363&gt;0,"先发国内现货","按建议量发货")))))</f>
        <v>国内无可用库存</v>
      </c>
      <c r="I363" s="28" t="n">
        <f>IF(AND(COUNT(Z363,AA363,AB363)=3,Z363&gt;=AA363,AA363&gt;=0,AB363=7),Z363-AA363,"")</f>
        <v>0</v>
      </c>
      <c r="J363" s="28" t="n">
        <f>IF(AND(COUNT(AF363,AG363,AH363)=3,AF363&gt;=AG363,AG363&gt;=0,AH363=14),AF363-AG363,"")</f>
        <v>0</v>
      </c>
      <c r="K363" s="28" t="n">
        <f>IF(AND(COUNT(AL363,AM363,AN363)=3,AL363&gt;=AM363,AM363&gt;=0,AN363=30),AL363-AM363,"")</f>
        <v>0</v>
      </c>
      <c r="L363" s="29" t="n">
        <f>IF(ISNUMBER(BI363),BI363/90,"")</f>
        <v>0.023918933759375</v>
      </c>
      <c r="M363" s="28" t="n">
        <v>0</v>
      </c>
      <c r="N363" s="28" t="n">
        <v>0</v>
      </c>
      <c r="O363" s="28" t="n">
        <v>0</v>
      </c>
      <c r="P363" s="30" t="n">
        <f>IF(AND(ISNUMBER(L363),L363&gt;0,COUNT(M363:O363)=3,MIN(M363:O363)&gt;=0),SUM(M363:O363)/L363,"")</f>
        <v>0</v>
      </c>
      <c r="Q363" s="16" t="str">
        <v>按本SKU唯一未删除Listing店铺核实</v>
      </c>
      <c r="R363" s="16" t="str">
        <v>已匹配</v>
      </c>
      <c r="S363" s="16" t="str">
        <v>停售</v>
      </c>
      <c r="T363" s="16" t="str">
        <v>8392</v>
      </c>
      <c r="U363" s="16" t="str">
        <v>驼色</v>
      </c>
      <c r="V363" s="16" t="n">
        <v>6.5</v>
      </c>
      <c r="W363" s="8" t="str">
        <v>2026-10-08 至 2026-10-17</v>
      </c>
      <c r="X363" s="8" t="str">
        <v>2026-10-08、2026-10-09、2026-10-10、2026-10-11、2026-10-14、2026-10-15、2026-10-17</v>
      </c>
      <c r="Y363" s="8" t="str">
        <v>2026-10-12 有记录的停售日；2026-10-13 有记录的停售日；2026-10-16 有记录的停售日</v>
      </c>
      <c r="Z363" s="8" t="n">
        <v>0</v>
      </c>
      <c r="AA363" s="8" t="n">
        <v>0</v>
      </c>
      <c r="AB363" s="8" t="n">
        <v>7</v>
      </c>
      <c r="AC363" s="8" t="str">
        <v>2026-09-29 至 2026-10-17</v>
      </c>
      <c r="AD363" s="8" t="str">
        <v>2026-09-29、2026-09-30、2026-10-01、2026-10-02、2026-10-03、2026-10-04、2026-10-05、2026-10-08、2026-10-09、2026-10-10、2026-10-11、2026-10-14、2026-10-15、2026-10-17</v>
      </c>
      <c r="AE363" s="8" t="str">
        <v>2026-10-06 大促；2026-10-07 大促；2026-10-12 有记录的停售日；2026-10-13 有记录的停售日；2026-10-16 有记录的停售日</v>
      </c>
      <c r="AF363" s="8" t="n">
        <v>0</v>
      </c>
      <c r="AG363" s="8" t="n">
        <v>0</v>
      </c>
      <c r="AH363" s="8" t="n">
        <v>14</v>
      </c>
      <c r="AI363" s="8" t="str">
        <v>2026-09-13 至 2026-10-17</v>
      </c>
      <c r="AJ36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3" s="8" t="str">
        <v>2026-10-06 大促；2026-10-07 大促；2026-10-12 有记录的停售日；2026-10-13 有记录的停售日；2026-10-16 有记录的停售日</v>
      </c>
      <c r="AL363" s="8" t="n">
        <v>0</v>
      </c>
      <c r="AM363" s="8" t="n">
        <v>0</v>
      </c>
      <c r="AN363" s="8" t="n">
        <v>30</v>
      </c>
      <c r="AO363" s="8" t="str">
        <v>8392 / 驼色羊京绒 / 6574</v>
      </c>
      <c r="AP363" s="11" t="n">
        <v>1.1743420411079069</v>
      </c>
      <c r="AQ363" s="11" t="n">
        <v>1.1657675792110538</v>
      </c>
      <c r="AR363" s="11" t="n">
        <v>1.138329301141124</v>
      </c>
      <c r="AS363" s="11" t="n">
        <f>IF(AND(COUNT(I363:K363,AP363:AR363)=6,MIN(AP363:AR363)&gt;0),I363/7/AP363*0.5+J363/14/AQ363*0.3+K363/30/AR363*0.2,"")</f>
        <v>0</v>
      </c>
      <c r="AT363" s="8" t="n">
        <v>1</v>
      </c>
      <c r="AU363" s="8" t="n">
        <v>0</v>
      </c>
      <c r="AV363" s="8" t="n">
        <v>85</v>
      </c>
      <c r="AW363" s="11" t="n">
        <f>IF(AND(COUNT(AT363:AV363)=3,AT363&gt;=AU363,AU363&gt;=0,AV363&gt;0),(AT363-AU363)/AV363,"")</f>
        <v>0.011764705882352941</v>
      </c>
      <c r="AX363" s="8" t="n">
        <v>2</v>
      </c>
      <c r="AY363" s="8" t="n">
        <v>0</v>
      </c>
      <c r="AZ363" s="8" t="n">
        <v>175</v>
      </c>
      <c r="BA363" s="11" t="n">
        <f>IF(AND(COUNT(AX363:AZ363)=3,AX363&gt;=AY363,AY363&gt;=0,AZ363&gt;0),(AX363-AY363)/AZ363,"")</f>
        <v>0.011428571428571429</v>
      </c>
      <c r="BB363" s="8" t="n">
        <f>IF(COUNT(AS363,AW363,BA363)=3,1,0)</f>
        <v>1</v>
      </c>
      <c r="BC363" s="11" t="n">
        <f>IF(SUMIF($AO$11:$AO$1309,AO363,$BB$11:$BB$1309)=COUNTIF($AO$11:$AO$1309,AO363),SUMIF($AO$11:$AO$1309,AO363,$AS$11:$AS$1309),"")</f>
        <v>0.7013954528820118</v>
      </c>
      <c r="BD363" s="11" t="n">
        <f>IF(SUMIF($AO$11:$AO$1309,AO363,$BB$11:$BB$1309)=COUNTIF($AO$11:$AO$1309,AO363),SUMIF($AO$11:$AO$1309,AO363,$AW$11:$AW$1309),"")</f>
        <v>0.33235294117647063</v>
      </c>
      <c r="BE363" s="11" t="n">
        <f>IF(SUMIF($AO$11:$AO$1309,AO363,$BB$11:$BB$1309)=COUNTIF($AO$11:$AO$1309,AO363),SUMIF($AO$11:$AO$1309,AO363,$BA$11:$BA$1309),"")</f>
        <v>0.4921348314606742</v>
      </c>
      <c r="BF363" s="12" t="n">
        <f>IF(COUNT(BD363:BE363)&lt;&gt;2,"",IF(AND(BD363&gt;0,BE363&gt;0),0.7*AW363/BD363+0.3*BA363/BE363,IF(BD363&gt;0,AW363/BD363,IF(BE363&gt;0,BA363/BE363,IF(AND(ISNUMBER(BH363),BH363=0),0,"")))))</f>
        <v>0.03174549296018564</v>
      </c>
      <c r="BG363" s="11" t="n">
        <f>IF(AND(COUNT(BN363:BU363)=8,MIN(BN363:BU363)&gt;=0),SUMPRODUCT(BN363:BQ363,BR363:BU363),"")</f>
        <v>96.68059267618935</v>
      </c>
      <c r="BH363" s="11" t="n">
        <f>IF(COUNT(BC363,BG363)=2,BC363*BG363,"")</f>
        <v>67.81132808501714</v>
      </c>
      <c r="BI363" s="11" t="n">
        <f>IF(ISNUMBER(CI363),CI363,"")</f>
        <v>2.15270403834375</v>
      </c>
      <c r="BJ363" s="8" t="str"/>
      <c r="BK363" s="8" t="str">
        <v>90天：2026-07-20 至 2026-10-17；180天：2026-04-21 至 2026-10-17</v>
      </c>
      <c r="BL363" s="8" t="str">
        <v>90天：2026-10-06、2026-10-07、2026-10-12、2026-10-13、2026-10-16；180天：2026-10-06、2026-10-07、2026-10-12、2026-10-13、2026-10-16</v>
      </c>
      <c r="BM363" s="8" t="str">
        <v>2026-10：12天 × 1.1743420411079069；2026-11：30天 × 1.281694931279211；2026-12：31天 × 0.9007634642750235；2027-01：17天 × 0.9537631089407297</v>
      </c>
      <c r="BN363" s="11" t="n">
        <v>1.1743420411079069</v>
      </c>
      <c r="BO363" s="11" t="n">
        <v>1.281694931279211</v>
      </c>
      <c r="BP363" s="11" t="n">
        <v>0.9007634642750235</v>
      </c>
      <c r="BQ363" s="11" t="n">
        <v>0.9537631089407297</v>
      </c>
      <c r="BR363" s="8" t="n">
        <v>12</v>
      </c>
      <c r="BS363" s="8" t="n">
        <v>30</v>
      </c>
      <c r="BT363" s="8" t="n">
        <v>31</v>
      </c>
      <c r="BU363" s="8" t="n">
        <v>17</v>
      </c>
      <c r="BV363" s="11" t="n">
        <f>IF(COUNT(BC363,BF363)=2,BC363*BF363,"")</f>
        <v>0.02226614441177212</v>
      </c>
      <c r="BW363" s="11" t="n">
        <f>IF(ISNUMBER(BN363),BN363,"")</f>
        <v>1.1743420411079069</v>
      </c>
      <c r="BX363" s="14" t="n">
        <f>IF(ISNUMBER(BR363),BR363,"")</f>
        <v>12</v>
      </c>
      <c r="BY363" s="13" t="n">
        <f>IF(AND(COUNT(BV363,BW363,BX363)=3,MIN(BV363,BW363,BX363)&gt;=0),BV363*BW363*BX363,"")</f>
        <v>0.31377683371348664</v>
      </c>
      <c r="BZ363" s="11" t="n">
        <f>IF(ISNUMBER(BO363),BO363,"")</f>
        <v>1.281694931279211</v>
      </c>
      <c r="CA363" s="14" t="n">
        <f>IF(ISNUMBER(BS363),BS363,"")</f>
        <v>30</v>
      </c>
      <c r="CB363" s="13" t="n">
        <f>IF(AND(COUNT(BV363,BZ363,CA363)=3,MIN(BV363,BZ363,CA363)&gt;=0),BV363*BZ363*CA363,"")</f>
        <v>0.8561521329509777</v>
      </c>
      <c r="CC363" s="11" t="n">
        <f>IF(ISNUMBER(BP363),BP363,"")</f>
        <v>0.9007634642750235</v>
      </c>
      <c r="CD363" s="14" t="n">
        <f>IF(ISNUMBER(BT363),BT363,"")</f>
        <v>31</v>
      </c>
      <c r="CE363" s="13" t="n">
        <f>IF(AND(COUNT(BV363,CC363,CD363)=3,MIN(BV363,CC363,CD363)&gt;=0),BV363*CC363*CD363,"")</f>
        <v>0.6217524106682701</v>
      </c>
      <c r="CF363" s="11" t="n">
        <f>IF(ISNUMBER(BQ363),BQ363,"")</f>
        <v>0.9537631089407297</v>
      </c>
      <c r="CG363" s="14" t="n">
        <f>IF(ISNUMBER(BU363),BU363,"")</f>
        <v>17</v>
      </c>
      <c r="CH363" s="13" t="n">
        <f>IF(AND(COUNT(BV363,CF363,CG363)=3,MIN(BV363,CF363,CG363)&gt;=0),BV363*CF363*CG363,"")</f>
        <v>0.3610226610110156</v>
      </c>
      <c r="CI363" s="13" t="n">
        <f>IF(COUNT(BY363,CB363,CE363,CH363)=4,SUM(BY363,CB363,CE363,CH363),"")</f>
        <v>2.15270403834375</v>
      </c>
    </row>
    <row r="364" ht="72" customHeight="1">
      <c r="A364" s="16" t="str">
        <v>B07-BK-Z-0-38.5</v>
      </c>
      <c r="B364" s="16" t="str">
        <v>4店-彬郁-US</v>
      </c>
      <c r="C364" s="16" t="str">
        <v>艾年</v>
      </c>
      <c r="D364" s="26" t="n">
        <f>IF(NOT(ISNUMBER(E364)),"",IF(OR(E364&lt;=0,L364=0),0,IF(OR(NOT(ISNUMBER(F364)),F364&lt;0),"",MIN(E364,INT(F364)))))</f>
        <v>0</v>
      </c>
      <c r="E364" s="27" t="n">
        <f>IF(OR(NOT(ISNUMBER(L364)),COUNT(M364:O364)&lt;&gt;3,MIN(M364:O364)&lt;0),"",ROUNDUP(ROUND(BI364-SUM(M364:O364),10),0))</f>
        <v>3</v>
      </c>
      <c r="F364" s="28" t="n">
        <v>0</v>
      </c>
      <c r="G364" s="28" t="n">
        <f>IF(AND(ISNUMBER(D364),ISNUMBER(E364)),IF(OR(E364&lt;=0,L364=0),0,E364-D364),"")</f>
        <v>3</v>
      </c>
      <c r="H364" s="16" t="str">
        <f>IF(NOT(ISNUMBER(E364)),"销量或海外库存待补",IF(OR(E364&lt;=0,L364=0),IF(L364=0,"零日销，本批不发","本批无需补货"),IF(NOT(ISNUMBER(D364)),"国内库存待补",IF(D364=0,"国内无可用库存",IF(G364&gt;0,"先发国内现货","按建议量发货")))))</f>
        <v>国内无可用库存</v>
      </c>
      <c r="I364" s="28" t="n">
        <f>IF(AND(COUNT(Z364,AA364,AB364)=3,Z364&gt;=AA364,AA364&gt;=0,AB364=7),Z364-AA364,"")</f>
        <v>1</v>
      </c>
      <c r="J364" s="28" t="n">
        <f>IF(AND(COUNT(AF364,AG364,AH364)=3,AF364&gt;=AG364,AG364&gt;=0,AH364=14),AF364-AG364,"")</f>
        <v>1</v>
      </c>
      <c r="K364" s="28" t="n">
        <f>IF(AND(COUNT(AL364,AM364,AN364)=3,AL364&gt;=AM364,AM364&gt;=0,AN364=30),AL364-AM364,"")</f>
        <v>1</v>
      </c>
      <c r="L364" s="29" t="n">
        <f>IF(ISNUMBER(BI364),BI364/90,"")</f>
        <v>0.1459541271583313</v>
      </c>
      <c r="M364" s="28" t="n">
        <v>11</v>
      </c>
      <c r="N364" s="28" t="n">
        <v>0</v>
      </c>
      <c r="O364" s="28" t="n">
        <v>0</v>
      </c>
      <c r="P364" s="30" t="n">
        <f>IF(AND(ISNUMBER(L364),L364&gt;0,COUNT(M364:O364)=3,MIN(M364:O364)&gt;=0),SUM(M364:O364)/L364,"")</f>
        <v>75.36614561140281</v>
      </c>
      <c r="Q364" s="16" t="str">
        <v>沿用原计划SKU店铺</v>
      </c>
      <c r="R364" s="16" t="str">
        <v>已匹配</v>
      </c>
      <c r="S364" s="16" t="str">
        <v>在售</v>
      </c>
      <c r="T364" s="16" t="str">
        <v>B07</v>
      </c>
      <c r="U364" s="16" t="str">
        <v>黑色镜面PU</v>
      </c>
      <c r="V364" s="16" t="n">
        <v>7.5</v>
      </c>
      <c r="W364" s="8" t="str">
        <v>2026-10-11 至 2026-10-17</v>
      </c>
      <c r="X364" s="8" t="str">
        <v>2026-10-11、2026-10-12、2026-10-13、2026-10-14、2026-10-15、2026-10-16、2026-10-17</v>
      </c>
      <c r="Y364" s="8" t="str">
        <v>无</v>
      </c>
      <c r="Z364" s="8" t="n">
        <v>1</v>
      </c>
      <c r="AA364" s="8" t="n">
        <v>0</v>
      </c>
      <c r="AB364" s="8" t="n">
        <v>7</v>
      </c>
      <c r="AC364" s="8" t="str">
        <v>2026-10-02 至 2026-10-17</v>
      </c>
      <c r="AD364" s="8" t="str">
        <v>2026-10-02、2026-10-03、2026-10-04、2026-10-05、2026-10-08、2026-10-09、2026-10-10、2026-10-11、2026-10-12、2026-10-13、2026-10-14、2026-10-15、2026-10-16、2026-10-17</v>
      </c>
      <c r="AE364" s="8" t="str">
        <v>2026-10-06 大促；2026-10-07 大促</v>
      </c>
      <c r="AF364" s="8" t="n">
        <v>1</v>
      </c>
      <c r="AG364" s="8" t="n">
        <v>0</v>
      </c>
      <c r="AH364" s="8" t="n">
        <v>14</v>
      </c>
      <c r="AI364" s="8" t="str">
        <v>2026-09-16 至 2026-10-17</v>
      </c>
      <c r="AJ3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64" s="8" t="str">
        <v>2026-10-06 大促；2026-10-07 大促</v>
      </c>
      <c r="AL364" s="8" t="n">
        <v>1</v>
      </c>
      <c r="AM364" s="8" t="n">
        <v>0</v>
      </c>
      <c r="AN364" s="8" t="n">
        <v>30</v>
      </c>
      <c r="AO364" s="8" t="str">
        <v>B07 / 黑色天鹅绒 / 13306</v>
      </c>
      <c r="AP364" s="11" t="n">
        <v>0.7307750238224848</v>
      </c>
      <c r="AQ364" s="11" t="n">
        <v>0.7307750238224848</v>
      </c>
      <c r="AR364" s="11" t="n">
        <v>0.7449809054134506</v>
      </c>
      <c r="AS364" s="11" t="n">
        <f>IF(AND(COUNT(I364:K364,AP364:AR364)=6,MIN(AP364:AR364)&gt;0),I364/7/AP364*0.5+J364/14/AQ364*0.3+K364/30/AR364*0.2,"")</f>
        <v>0.13601543709405306</v>
      </c>
      <c r="AT364" s="8" t="n">
        <v>7</v>
      </c>
      <c r="AU364" s="8" t="n">
        <v>0</v>
      </c>
      <c r="AV364" s="8" t="n">
        <v>88</v>
      </c>
      <c r="AW364" s="11" t="n">
        <f>IF(AND(COUNT(AT364:AV364)=3,AT364&gt;=AU364,AU364&gt;=0,AV364&gt;0),(AT364-AU364)/AV364,"")</f>
        <v>0.07954545454545454</v>
      </c>
      <c r="AX364" s="8" t="n">
        <v>14</v>
      </c>
      <c r="AY364" s="8" t="n">
        <v>0</v>
      </c>
      <c r="AZ364" s="8" t="n">
        <v>178</v>
      </c>
      <c r="BA364" s="11" t="n">
        <f>IF(AND(COUNT(AX364:AZ364)=3,AX364&gt;=AY364,AY364&gt;=0,AZ364&gt;0),(AX364-AY364)/AZ364,"")</f>
        <v>0.07865168539325842</v>
      </c>
      <c r="BB364" s="8" t="n">
        <f>IF(COUNT(AS364,AW364,BA364)=3,1,0)</f>
        <v>1</v>
      </c>
      <c r="BC364" s="11" t="n">
        <f>IF(SUMIF($AO$11:$AO$1309,AO364,$BB$11:$BB$1309)=COUNTIF($AO$11:$AO$1309,AO364),SUMIF($AO$11:$AO$1309,AO364,$AS$11:$AS$1309),"")</f>
        <v>11.92937132043239</v>
      </c>
      <c r="BD364" s="11" t="n">
        <f>IF(SUMIF($AO$11:$AO$1309,AO364,$BB$11:$BB$1309)=COUNTIF($AO$11:$AO$1309,AO364),SUMIF($AO$11:$AO$1309,AO364,$AW$11:$AW$1309),"")</f>
        <v>5.794919786096258</v>
      </c>
      <c r="BE364" s="11" t="n">
        <f>IF(SUMIF($AO$11:$AO$1309,AO364,$BB$11:$BB$1309)=COUNTIF($AO$11:$AO$1309,AO364),SUMIF($AO$11:$AO$1309,AO364,$BA$11:$BA$1309),"")</f>
        <v>5.3098234349919755</v>
      </c>
      <c r="BF364" s="12" t="n">
        <f>IF(COUNT(BD364:BE364)&lt;&gt;2,"",IF(AND(BD364&gt;0,BE364&gt;0),0.7*AW364/BD364+0.3*BA364/BE364,IF(BD364&gt;0,AW364/BD364,IF(BE364&gt;0,BA364/BE364,IF(AND(ISNUMBER(BH364),BH364=0),0,"")))))</f>
        <v>0.01405247556156559</v>
      </c>
      <c r="BG364" s="11" t="n">
        <f>IF(AND(COUNT(BN364:BU364)=8,MIN(BN364:BU364)&gt;=0),SUMPRODUCT(BN364:BQ364,BR364:BU364),"")</f>
        <v>78.35892944347341</v>
      </c>
      <c r="BH364" s="11" t="n">
        <f>IF(COUNT(BC364,BG364)=2,BC364*BG364,"")</f>
        <v>934.7727656027569</v>
      </c>
      <c r="BI364" s="11" t="n">
        <f>IF(ISNUMBER(CI364),CI364,"")</f>
        <v>13.135871444249819</v>
      </c>
      <c r="BJ364" s="8" t="str">
        <v>低销提醒依据不完整</v>
      </c>
      <c r="BK364" s="8" t="str">
        <v>90天：2026-07-20 至 2026-10-17；180天：2026-04-21 至 2026-10-17</v>
      </c>
      <c r="BL364" s="8" t="str">
        <v>90天：2026-10-06、2026-10-07；180天：2026-10-06、2026-10-07</v>
      </c>
      <c r="BM364" s="8" t="str">
        <v>2026-10：12天 × 0.7307750238224848；2026-11：30天 × 0.9523018155490097；2026-12：31天 × 0.5958545198749097；2027-01：17天 × 1.3264167397065354</v>
      </c>
      <c r="BN364" s="11" t="n">
        <v>0.7307750238224848</v>
      </c>
      <c r="BO364" s="11" t="n">
        <v>0.9523018155490097</v>
      </c>
      <c r="BP364" s="11" t="n">
        <v>0.5958545198749097</v>
      </c>
      <c r="BQ364" s="11" t="n">
        <v>1.3264167397065354</v>
      </c>
      <c r="BR364" s="8" t="n">
        <v>12</v>
      </c>
      <c r="BS364" s="8" t="n">
        <v>30</v>
      </c>
      <c r="BT364" s="8" t="n">
        <v>31</v>
      </c>
      <c r="BU364" s="8" t="n">
        <v>17</v>
      </c>
      <c r="BV364" s="11" t="n">
        <f>IF(COUNT(BC364,BF364)=2,BC364*BF364,"")</f>
        <v>0.16763719894521759</v>
      </c>
      <c r="BW364" s="11" t="n">
        <f>IF(ISNUMBER(BN364),BN364,"")</f>
        <v>0.7307750238224848</v>
      </c>
      <c r="BX364" s="14" t="n">
        <f>IF(ISNUMBER(BR364),BR364,"")</f>
        <v>12</v>
      </c>
      <c r="BY364" s="13" t="n">
        <f>IF(AND(COUNT(BV364,BW364,BX364)=3,MIN(BV364,BW364,BX364)&gt;=0),BV364*BW364*BX364,"")</f>
        <v>1.470060936632712</v>
      </c>
      <c r="BZ364" s="11" t="n">
        <f>IF(ISNUMBER(BO364),BO364,"")</f>
        <v>0.9523018155490097</v>
      </c>
      <c r="CA364" s="14" t="n">
        <f>IF(ISNUMBER(BS364),BS364,"")</f>
        <v>30</v>
      </c>
      <c r="CB364" s="13" t="n">
        <f>IF(AND(COUNT(BV364,BZ364,CA364)=3,MIN(BV364,BZ364,CA364)&gt;=0),BV364*BZ364*CA364,"")</f>
        <v>4.789236267272437</v>
      </c>
      <c r="CC364" s="11" t="n">
        <f>IF(ISNUMBER(BP364),BP364,"")</f>
        <v>0.5958545198749097</v>
      </c>
      <c r="CD364" s="14" t="n">
        <f>IF(ISNUMBER(BT364),BT364,"")</f>
        <v>31</v>
      </c>
      <c r="CE364" s="13" t="n">
        <f>IF(AND(COUNT(BV364,CC364,CD364)=3,MIN(BV364,CC364,CD364)&gt;=0),BV364*CC364*CD364,"")</f>
        <v>3.096508863410998</v>
      </c>
      <c r="CF364" s="11" t="n">
        <f>IF(ISNUMBER(BQ364),BQ364,"")</f>
        <v>1.3264167397065354</v>
      </c>
      <c r="CG364" s="14" t="n">
        <f>IF(ISNUMBER(BU364),BU364,"")</f>
        <v>17</v>
      </c>
      <c r="CH364" s="13" t="n">
        <f>IF(AND(COUNT(BV364,CF364,CG364)=3,MIN(BV364,CF364,CG364)&gt;=0),BV364*CF364*CG364,"")</f>
        <v>3.780065376933673</v>
      </c>
      <c r="CI364" s="13" t="n">
        <f>IF(COUNT(BY364,CB364,CE364,CH364)=4,SUM(BY364,CB364,CE364,CH364),"")</f>
        <v>13.135871444249819</v>
      </c>
    </row>
    <row r="365" ht="72" customHeight="1">
      <c r="A365" s="16" t="str">
        <v>B07-BK-Z-0-41</v>
      </c>
      <c r="B365" s="16" t="str">
        <v>4店-彬郁-US</v>
      </c>
      <c r="C365" s="16" t="str">
        <v>艾年</v>
      </c>
      <c r="D365" s="26" t="n">
        <f>IF(NOT(ISNUMBER(E365)),"",IF(OR(E365&lt;=0,L365=0),0,IF(OR(NOT(ISNUMBER(F365)),F365&lt;0),"",MIN(E365,INT(F365)))))</f>
        <v>0</v>
      </c>
      <c r="E365" s="27" t="n">
        <f>IF(OR(NOT(ISNUMBER(L365)),COUNT(M365:O365)&lt;&gt;3,MIN(M365:O365)&lt;0),"",ROUNDUP(ROUND(BI365-SUM(M365:O365),10),0))</f>
        <v>3</v>
      </c>
      <c r="F365" s="28" t="n">
        <v>0</v>
      </c>
      <c r="G365" s="28" t="n">
        <f>IF(AND(ISNUMBER(D365),ISNUMBER(E365)),IF(OR(E365&lt;=0,L365=0),0,E365-D365),"")</f>
        <v>3</v>
      </c>
      <c r="H365" s="16" t="str">
        <f>IF(NOT(ISNUMBER(E365)),"销量或海外库存待补",IF(OR(E365&lt;=0,L365=0),IF(L365=0,"零日销，本批不发","本批无需补货"),IF(NOT(ISNUMBER(D365)),"国内库存待补",IF(D365=0,"国内无可用库存",IF(G365&gt;0,"先发国内现货","按建议量发货")))))</f>
        <v>国内无可用库存</v>
      </c>
      <c r="I365" s="28" t="n">
        <f>IF(AND(COUNT(Z365,AA365,AB365)=3,Z365&gt;=AA365,AA365&gt;=0,AB365=7),Z365-AA365,"")</f>
        <v>0</v>
      </c>
      <c r="J365" s="28" t="n">
        <f>IF(AND(COUNT(AF365,AG365,AH365)=3,AF365&gt;=AG365,AG365&gt;=0,AH365=14),AF365-AG365,"")</f>
        <v>1</v>
      </c>
      <c r="K365" s="28" t="n">
        <f>IF(AND(COUNT(AL365,AM365,AN365)=3,AL365&gt;=AM365,AM365&gt;=0,AN365=30),AL365-AM365,"")</f>
        <v>4</v>
      </c>
      <c r="L365" s="29" t="n">
        <f>IF(ISNUMBER(BI365),BI365/90,"")</f>
        <v>0.16680471675237868</v>
      </c>
      <c r="M365" s="28" t="n">
        <v>13</v>
      </c>
      <c r="N365" s="28" t="n">
        <v>0</v>
      </c>
      <c r="O365" s="28" t="n">
        <v>0</v>
      </c>
      <c r="P365" s="30" t="n">
        <f>IF(AND(ISNUMBER(L365),L365&gt;0,COUNT(M365:O365)=3,MIN(M365:O365)&gt;=0),SUM(M365:O365)/L365,"")</f>
        <v>77.93544602997335</v>
      </c>
      <c r="Q365" s="16" t="str">
        <v>沿用原计划SKU店铺</v>
      </c>
      <c r="R365" s="16" t="str">
        <v>已匹配</v>
      </c>
      <c r="S365" s="16" t="str">
        <v>在售</v>
      </c>
      <c r="T365" s="16" t="str">
        <v>B07</v>
      </c>
      <c r="U365" s="16" t="str">
        <v>黑色镜面PU</v>
      </c>
      <c r="V365" s="16" t="n">
        <v>10</v>
      </c>
      <c r="W365" s="8" t="str">
        <v>2026-10-11 至 2026-10-17</v>
      </c>
      <c r="X365" s="8" t="str">
        <v>2026-10-11、2026-10-12、2026-10-13、2026-10-14、2026-10-15、2026-10-16、2026-10-17</v>
      </c>
      <c r="Y365" s="8" t="str">
        <v>无</v>
      </c>
      <c r="Z365" s="8" t="n">
        <v>0</v>
      </c>
      <c r="AA365" s="8" t="n">
        <v>0</v>
      </c>
      <c r="AB365" s="8" t="n">
        <v>7</v>
      </c>
      <c r="AC365" s="8" t="str">
        <v>2026-10-02 至 2026-10-17</v>
      </c>
      <c r="AD365" s="8" t="str">
        <v>2026-10-02、2026-10-03、2026-10-04、2026-10-05、2026-10-08、2026-10-09、2026-10-10、2026-10-11、2026-10-12、2026-10-13、2026-10-14、2026-10-15、2026-10-16、2026-10-17</v>
      </c>
      <c r="AE365" s="8" t="str">
        <v>2026-10-06 大促；2026-10-07 大促</v>
      </c>
      <c r="AF365" s="8" t="n">
        <v>1</v>
      </c>
      <c r="AG365" s="8" t="n">
        <v>0</v>
      </c>
      <c r="AH365" s="8" t="n">
        <v>14</v>
      </c>
      <c r="AI365" s="8" t="str">
        <v>2026-09-16 至 2026-10-17</v>
      </c>
      <c r="AJ3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65" s="8" t="str">
        <v>2026-10-06 大促；2026-10-07 大促</v>
      </c>
      <c r="AL365" s="8" t="n">
        <v>4</v>
      </c>
      <c r="AM365" s="8" t="n">
        <v>0</v>
      </c>
      <c r="AN365" s="8" t="n">
        <v>30</v>
      </c>
      <c r="AO365" s="8" t="str">
        <v>B07 / 黑色天鹅绒 / 13306</v>
      </c>
      <c r="AP365" s="11" t="n">
        <v>0.7307750238224848</v>
      </c>
      <c r="AQ365" s="11" t="n">
        <v>0.7307750238224848</v>
      </c>
      <c r="AR365" s="11" t="n">
        <v>0.7449809054134506</v>
      </c>
      <c r="AS365" s="11" t="n">
        <f>IF(AND(COUNT(I365:K365,AP365:AR365)=6,MIN(AP365:AR365)&gt;0),I365/7/AP365*0.5+J365/14/AQ365*0.3+K365/30/AR365*0.2,"")</f>
        <v>0.06511817670179255</v>
      </c>
      <c r="AT365" s="8" t="n">
        <v>8</v>
      </c>
      <c r="AU365" s="8" t="n">
        <v>0</v>
      </c>
      <c r="AV365" s="8" t="n">
        <v>88</v>
      </c>
      <c r="AW365" s="11" t="n">
        <f>IF(AND(COUNT(AT365:AV365)=3,AT365&gt;=AU365,AU365&gt;=0,AV365&gt;0),(AT365-AU365)/AV365,"")</f>
        <v>0.09090909090909091</v>
      </c>
      <c r="AX365" s="8" t="n">
        <v>16</v>
      </c>
      <c r="AY365" s="8" t="n">
        <v>0</v>
      </c>
      <c r="AZ365" s="8" t="n">
        <v>178</v>
      </c>
      <c r="BA365" s="11" t="n">
        <f>IF(AND(COUNT(AX365:AZ365)=3,AX365&gt;=AY365,AY365&gt;=0,AZ365&gt;0),(AX365-AY365)/AZ365,"")</f>
        <v>0.0898876404494382</v>
      </c>
      <c r="BB365" s="8" t="n">
        <f>IF(COUNT(AS365,AW365,BA365)=3,1,0)</f>
        <v>1</v>
      </c>
      <c r="BC365" s="11" t="n">
        <f>IF(SUMIF($AO$11:$AO$1309,AO365,$BB$11:$BB$1309)=COUNTIF($AO$11:$AO$1309,AO365),SUMIF($AO$11:$AO$1309,AO365,$AS$11:$AS$1309),"")</f>
        <v>11.92937132043239</v>
      </c>
      <c r="BD365" s="11" t="n">
        <f>IF(SUMIF($AO$11:$AO$1309,AO365,$BB$11:$BB$1309)=COUNTIF($AO$11:$AO$1309,AO365),SUMIF($AO$11:$AO$1309,AO365,$AW$11:$AW$1309),"")</f>
        <v>5.794919786096258</v>
      </c>
      <c r="BE365" s="11" t="n">
        <f>IF(SUMIF($AO$11:$AO$1309,AO365,$BB$11:$BB$1309)=COUNTIF($AO$11:$AO$1309,AO365),SUMIF($AO$11:$AO$1309,AO365,$BA$11:$BA$1309),"")</f>
        <v>5.3098234349919755</v>
      </c>
      <c r="BF365" s="12" t="n">
        <f>IF(COUNT(BD365:BE365)&lt;&gt;2,"",IF(AND(BD365&gt;0,BE365&gt;0),0.7*AW365/BD365+0.3*BA365/BE365,IF(BD365&gt;0,AW365/BD365,IF(BE365&gt;0,BA365/BE365,IF(AND(ISNUMBER(BH365),BH365=0),0,"")))))</f>
        <v>0.016059972070360674</v>
      </c>
      <c r="BG365" s="11" t="n">
        <f>IF(AND(COUNT(BN365:BU365)=8,MIN(BN365:BU365)&gt;=0),SUMPRODUCT(BN365:BQ365,BR365:BU365),"")</f>
        <v>78.35892944347341</v>
      </c>
      <c r="BH365" s="11" t="n">
        <f>IF(COUNT(BC365,BG365)=2,BC365*BG365,"")</f>
        <v>934.7727656027569</v>
      </c>
      <c r="BI365" s="11" t="n">
        <f>IF(ISNUMBER(CI365),CI365,"")</f>
        <v>15.01242450771408</v>
      </c>
      <c r="BJ365" s="8" t="str">
        <v>低销提醒依据不完整</v>
      </c>
      <c r="BK365" s="8" t="str">
        <v>90天：2026-07-20 至 2026-10-17；180天：2026-04-21 至 2026-10-17</v>
      </c>
      <c r="BL365" s="8" t="str">
        <v>90天：2026-10-06、2026-10-07；180天：2026-10-06、2026-10-07</v>
      </c>
      <c r="BM365" s="8" t="str">
        <v>2026-10：12天 × 0.7307750238224848；2026-11：30天 × 0.9523018155490097；2026-12：31天 × 0.5958545198749097；2027-01：17天 × 1.3264167397065354</v>
      </c>
      <c r="BN365" s="11" t="n">
        <v>0.7307750238224848</v>
      </c>
      <c r="BO365" s="11" t="n">
        <v>0.9523018155490097</v>
      </c>
      <c r="BP365" s="11" t="n">
        <v>0.5958545198749097</v>
      </c>
      <c r="BQ365" s="11" t="n">
        <v>1.3264167397065354</v>
      </c>
      <c r="BR365" s="8" t="n">
        <v>12</v>
      </c>
      <c r="BS365" s="8" t="n">
        <v>30</v>
      </c>
      <c r="BT365" s="8" t="n">
        <v>31</v>
      </c>
      <c r="BU365" s="8" t="n">
        <v>17</v>
      </c>
      <c r="BV365" s="11" t="n">
        <f>IF(COUNT(BC365,BF365)=2,BC365*BF365,"")</f>
        <v>0.19158537022310582</v>
      </c>
      <c r="BW365" s="11" t="n">
        <f>IF(ISNUMBER(BN365),BN365,"")</f>
        <v>0.7307750238224848</v>
      </c>
      <c r="BX365" s="14" t="n">
        <f>IF(ISNUMBER(BR365),BR365,"")</f>
        <v>12</v>
      </c>
      <c r="BY365" s="13" t="n">
        <f>IF(AND(COUNT(BV365,BW365,BX365)=3,MIN(BV365,BW365,BX365)&gt;=0),BV365*BW365*BX365,"")</f>
        <v>1.6800696418659569</v>
      </c>
      <c r="BZ365" s="11" t="n">
        <f>IF(ISNUMBER(BO365),BO365,"")</f>
        <v>0.9523018155490097</v>
      </c>
      <c r="CA365" s="14" t="n">
        <f>IF(ISNUMBER(BS365),BS365,"")</f>
        <v>30</v>
      </c>
      <c r="CB365" s="13" t="n">
        <f>IF(AND(COUNT(BV365,BZ365,CA365)=3,MIN(BV365,BZ365,CA365)&gt;=0),BV365*BZ365*CA365,"")</f>
        <v>5.473412876882786</v>
      </c>
      <c r="CC365" s="11" t="n">
        <f>IF(ISNUMBER(BP365),BP365,"")</f>
        <v>0.5958545198749097</v>
      </c>
      <c r="CD365" s="14" t="n">
        <f>IF(ISNUMBER(BT365),BT365,"")</f>
        <v>31</v>
      </c>
      <c r="CE365" s="13" t="n">
        <f>IF(AND(COUNT(BV365,CC365,CD365)=3,MIN(BV365,CC365,CD365)&gt;=0),BV365*CC365*CD365,"")</f>
        <v>3.5388672724697114</v>
      </c>
      <c r="CF365" s="11" t="n">
        <f>IF(ISNUMBER(BQ365),BQ365,"")</f>
        <v>1.3264167397065354</v>
      </c>
      <c r="CG365" s="14" t="n">
        <f>IF(ISNUMBER(BU365),BU365,"")</f>
        <v>17</v>
      </c>
      <c r="CH365" s="13" t="n">
        <f>IF(AND(COUNT(BV365,CF365,CG365)=3,MIN(BV365,CF365,CG365)&gt;=0),BV365*CF365*CG365,"")</f>
        <v>4.320074716495626</v>
      </c>
      <c r="CI365" s="13" t="n">
        <f>IF(COUNT(BY365,CB365,CE365,CH365)=4,SUM(BY365,CB365,CE365,CH365),"")</f>
        <v>15.01242450771408</v>
      </c>
    </row>
    <row r="366" ht="72" customHeight="1">
      <c r="A366" s="16" t="str">
        <v>B07-BK-Z-0-41.5</v>
      </c>
      <c r="B366" s="16" t="str">
        <v>4店-彬郁-US</v>
      </c>
      <c r="C366" s="16" t="str">
        <v>艾年</v>
      </c>
      <c r="D366" s="26" t="n">
        <f>IF(NOT(ISNUMBER(E366)),"",IF(OR(E366&lt;=0,L366=0),0,IF(OR(NOT(ISNUMBER(F366)),F366&lt;0),"",MIN(E366,INT(F366)))))</f>
        <v>0</v>
      </c>
      <c r="E366" s="27" t="n">
        <f>IF(OR(NOT(ISNUMBER(L366)),COUNT(M366:O366)&lt;&gt;3,MIN(M366:O366)&lt;0),"",ROUNDUP(ROUND(BI366-SUM(M366:O366),10),0))</f>
        <v>3</v>
      </c>
      <c r="F366" s="28" t="n">
        <v>0</v>
      </c>
      <c r="G366" s="28" t="n">
        <f>IF(AND(ISNUMBER(D366),ISNUMBER(E366)),IF(OR(E366&lt;=0,L366=0),0,E366-D366),"")</f>
        <v>3</v>
      </c>
      <c r="H366" s="16" t="str">
        <f>IF(NOT(ISNUMBER(E366)),"销量或海外库存待补",IF(OR(E366&lt;=0,L366=0),IF(L366=0,"零日销，本批不发","本批无需补货"),IF(NOT(ISNUMBER(D366)),"国内库存待补",IF(D366=0,"国内无可用库存",IF(G366&gt;0,"先发国内现货","按建议量发货")))))</f>
        <v>国内无可用库存</v>
      </c>
      <c r="I366" s="28" t="n">
        <f>IF(AND(COUNT(Z366,AA366,AB366)=3,Z366&gt;=AA366,AA366&gt;=0,AB366=7),Z366-AA366,"")</f>
        <v>2</v>
      </c>
      <c r="J366" s="28" t="n">
        <f>IF(AND(COUNT(AF366,AG366,AH366)=3,AF366&gt;=AG366,AG366&gt;=0,AH366=14),AF366-AG366,"")</f>
        <v>2</v>
      </c>
      <c r="K366" s="28" t="n">
        <f>IF(AND(COUNT(AL366,AM366,AN366)=3,AL366&gt;=AM366,AM366&gt;=0,AN366=30),AL366-AM366,"")</f>
        <v>2</v>
      </c>
      <c r="L366" s="29" t="n">
        <f>IF(ISNUMBER(BI366),BI366/90,"")</f>
        <v>0.05925502865802985</v>
      </c>
      <c r="M366" s="28" t="n">
        <v>3</v>
      </c>
      <c r="N366" s="28" t="n">
        <v>0</v>
      </c>
      <c r="O366" s="28" t="n">
        <v>0</v>
      </c>
      <c r="P366" s="30" t="n">
        <f>IF(AND(ISNUMBER(L366),L366&gt;0,COUNT(M366:O366)=3,MIN(M366:O366)&gt;=0),SUM(M366:O366)/L366,"")</f>
        <v>50.628614447450104</v>
      </c>
      <c r="Q366" s="16" t="str">
        <v>沿用原计划SKU店铺</v>
      </c>
      <c r="R366" s="16" t="str">
        <v>已匹配</v>
      </c>
      <c r="S366" s="16" t="str">
        <v>在售</v>
      </c>
      <c r="T366" s="16" t="str">
        <v>B07</v>
      </c>
      <c r="U366" s="16" t="str">
        <v>黑色镜面PU</v>
      </c>
      <c r="V366" s="16" t="n">
        <v>10.5</v>
      </c>
      <c r="W366" s="8" t="str">
        <v>2026-10-11 至 2026-10-17</v>
      </c>
      <c r="X366" s="8" t="str">
        <v>2026-10-11、2026-10-12、2026-10-13、2026-10-14、2026-10-15、2026-10-16、2026-10-17</v>
      </c>
      <c r="Y366" s="8" t="str">
        <v>无</v>
      </c>
      <c r="Z366" s="8" t="n">
        <v>2</v>
      </c>
      <c r="AA366" s="8" t="n">
        <v>0</v>
      </c>
      <c r="AB366" s="8" t="n">
        <v>7</v>
      </c>
      <c r="AC366" s="8" t="str">
        <v>2026-10-02 至 2026-10-17</v>
      </c>
      <c r="AD366" s="8" t="str">
        <v>2026-10-02、2026-10-03、2026-10-04、2026-10-05、2026-10-08、2026-10-09、2026-10-10、2026-10-11、2026-10-12、2026-10-13、2026-10-14、2026-10-15、2026-10-16、2026-10-17</v>
      </c>
      <c r="AE366" s="8" t="str">
        <v>2026-10-06 大促；2026-10-07 大促</v>
      </c>
      <c r="AF366" s="8" t="n">
        <v>3</v>
      </c>
      <c r="AG366" s="8" t="n">
        <v>1</v>
      </c>
      <c r="AH366" s="8" t="n">
        <v>14</v>
      </c>
      <c r="AI366" s="8" t="str">
        <v>2026-09-16 至 2026-10-17</v>
      </c>
      <c r="AJ3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66" s="8" t="str">
        <v>2026-10-06 大促；2026-10-07 大促</v>
      </c>
      <c r="AL366" s="8" t="n">
        <v>3</v>
      </c>
      <c r="AM366" s="8" t="n">
        <v>1</v>
      </c>
      <c r="AN366" s="8" t="n">
        <v>30</v>
      </c>
      <c r="AO366" s="8" t="str">
        <v>B07 / 黑色天鹅绒 / 13306</v>
      </c>
      <c r="AP366" s="11" t="n">
        <v>0.7307750238224848</v>
      </c>
      <c r="AQ366" s="11" t="n">
        <v>0.7307750238224848</v>
      </c>
      <c r="AR366" s="11" t="n">
        <v>0.7449809054134506</v>
      </c>
      <c r="AS366" s="11" t="n">
        <f>IF(AND(COUNT(I366:K366,AP366:AR366)=6,MIN(AP366:AR366)&gt;0),I366/7/AP366*0.5+J366/14/AQ366*0.3+K366/30/AR366*0.2,"")</f>
        <v>0.2720308741881061</v>
      </c>
      <c r="AT366" s="8" t="n">
        <v>4</v>
      </c>
      <c r="AU366" s="8" t="n">
        <v>1</v>
      </c>
      <c r="AV366" s="8" t="n">
        <v>88</v>
      </c>
      <c r="AW366" s="11" t="n">
        <f>IF(AND(COUNT(AT366:AV366)=3,AT366&gt;=AU366,AU366&gt;=0,AV366&gt;0),(AT366-AU366)/AV366,"")</f>
        <v>0.03409090909090909</v>
      </c>
      <c r="AX366" s="8" t="n">
        <v>6</v>
      </c>
      <c r="AY366" s="8" t="n">
        <v>1</v>
      </c>
      <c r="AZ366" s="8" t="n">
        <v>178</v>
      </c>
      <c r="BA366" s="11" t="n">
        <f>IF(AND(COUNT(AX366:AZ366)=3,AX366&gt;=AY366,AY366&gt;=0,AZ366&gt;0),(AX366-AY366)/AZ366,"")</f>
        <v>0.028089887640449437</v>
      </c>
      <c r="BB366" s="8" t="n">
        <f>IF(COUNT(AS366,AW366,BA366)=3,1,0)</f>
        <v>1</v>
      </c>
      <c r="BC366" s="11" t="n">
        <f>IF(SUMIF($AO$11:$AO$1309,AO366,$BB$11:$BB$1309)=COUNTIF($AO$11:$AO$1309,AO366),SUMIF($AO$11:$AO$1309,AO366,$AS$11:$AS$1309),"")</f>
        <v>11.92937132043239</v>
      </c>
      <c r="BD366" s="11" t="n">
        <f>IF(SUMIF($AO$11:$AO$1309,AO366,$BB$11:$BB$1309)=COUNTIF($AO$11:$AO$1309,AO366),SUMIF($AO$11:$AO$1309,AO366,$AW$11:$AW$1309),"")</f>
        <v>5.794919786096258</v>
      </c>
      <c r="BE366" s="11" t="n">
        <f>IF(SUMIF($AO$11:$AO$1309,AO366,$BB$11:$BB$1309)=COUNTIF($AO$11:$AO$1309,AO366),SUMIF($AO$11:$AO$1309,AO366,$BA$11:$BA$1309),"")</f>
        <v>5.3098234349919755</v>
      </c>
      <c r="BF366" s="12" t="n">
        <f>IF(COUNT(BD366:BE366)&lt;&gt;2,"",IF(AND(BD366&gt;0,BE366&gt;0),0.7*AW366/BD366+0.3*BA366/BE366,IF(BD366&gt;0,AW366/BD366,IF(BE366&gt;0,BA366/BE366,IF(AND(ISNUMBER(BH366),BH366=0),0,"")))))</f>
        <v>0.005705079111696104</v>
      </c>
      <c r="BG366" s="11" t="n">
        <f>IF(AND(COUNT(BN366:BU366)=8,MIN(BN366:BU366)&gt;=0),SUMPRODUCT(BN366:BQ366,BR366:BU366),"")</f>
        <v>78.35892944347341</v>
      </c>
      <c r="BH366" s="11" t="n">
        <f>IF(COUNT(BC366,BG366)=2,BC366*BG366,"")</f>
        <v>934.7727656027569</v>
      </c>
      <c r="BI366" s="11" t="n">
        <f>IF(ISNUMBER(CI366),CI366,"")</f>
        <v>5.332952579222686</v>
      </c>
      <c r="BJ366" s="8" t="str">
        <v>低销提醒依据不完整</v>
      </c>
      <c r="BK366" s="8" t="str">
        <v>90天：2026-07-20 至 2026-10-17；180天：2026-04-21 至 2026-10-17</v>
      </c>
      <c r="BL366" s="8" t="str">
        <v>90天：2026-10-06、2026-10-07；180天：2026-10-06、2026-10-07</v>
      </c>
      <c r="BM366" s="8" t="str">
        <v>2026-10：12天 × 0.7307750238224848；2026-11：30天 × 0.9523018155490097；2026-12：31天 × 0.5958545198749097；2027-01：17天 × 1.3264167397065354</v>
      </c>
      <c r="BN366" s="11" t="n">
        <v>0.7307750238224848</v>
      </c>
      <c r="BO366" s="11" t="n">
        <v>0.9523018155490097</v>
      </c>
      <c r="BP366" s="11" t="n">
        <v>0.5958545198749097</v>
      </c>
      <c r="BQ366" s="11" t="n">
        <v>1.3264167397065354</v>
      </c>
      <c r="BR366" s="8" t="n">
        <v>12</v>
      </c>
      <c r="BS366" s="8" t="n">
        <v>30</v>
      </c>
      <c r="BT366" s="8" t="n">
        <v>31</v>
      </c>
      <c r="BU366" s="8" t="n">
        <v>17</v>
      </c>
      <c r="BV366" s="11" t="n">
        <f>IF(COUNT(BC366,BF366)=2,BC366*BF366,"")</f>
        <v>0.06805800713586539</v>
      </c>
      <c r="BW366" s="11" t="n">
        <f>IF(ISNUMBER(BN366),BN366,"")</f>
        <v>0.7307750238224848</v>
      </c>
      <c r="BX366" s="14" t="n">
        <f>IF(ISNUMBER(BR366),BR366,"")</f>
        <v>12</v>
      </c>
      <c r="BY366" s="13" t="n">
        <f>IF(AND(COUNT(BV366,BW366,BX366)=3,MIN(BV366,BW366,BX366)&gt;=0),BV366*BW366*BX366,"")</f>
        <v>0.5968211014322745</v>
      </c>
      <c r="BZ366" s="11" t="n">
        <f>IF(ISNUMBER(BO366),BO366,"")</f>
        <v>0.9523018155490097</v>
      </c>
      <c r="CA366" s="14" t="n">
        <f>IF(ISNUMBER(BS366),BS366,"")</f>
        <v>30</v>
      </c>
      <c r="CB366" s="13" t="n">
        <f>IF(AND(COUNT(BV366,BZ366,CA366)=3,MIN(BV366,BZ366,CA366)&gt;=0),BV366*BZ366*CA366,"")</f>
        <v>1.944352912743962</v>
      </c>
      <c r="CC366" s="11" t="n">
        <f>IF(ISNUMBER(BP366),BP366,"")</f>
        <v>0.5958545198749097</v>
      </c>
      <c r="CD366" s="14" t="n">
        <f>IF(ISNUMBER(BT366),BT366,"")</f>
        <v>31</v>
      </c>
      <c r="CE366" s="13" t="n">
        <f>IF(AND(COUNT(BV366,CC366,CD366)=3,MIN(BV366,CC366,CD366)&gt;=0),BV366*CC366*CD366,"")</f>
        <v>1.2571328061331117</v>
      </c>
      <c r="CF366" s="11" t="n">
        <f>IF(ISNUMBER(BQ366),BQ366,"")</f>
        <v>1.3264167397065354</v>
      </c>
      <c r="CG366" s="14" t="n">
        <f>IF(ISNUMBER(BU366),BU366,"")</f>
        <v>17</v>
      </c>
      <c r="CH366" s="13" t="n">
        <f>IF(AND(COUNT(BV366,CF366,CG366)=3,MIN(BV366,CF366,CG366)&gt;=0),BV366*CF366*CG366,"")</f>
        <v>1.5346457589133378</v>
      </c>
      <c r="CI366" s="13" t="n">
        <f>IF(COUNT(BY366,CB366,CE366,CH366)=4,SUM(BY366,CB366,CE366,CH366),"")</f>
        <v>5.332952579222686</v>
      </c>
    </row>
    <row r="367" ht="72" customHeight="1">
      <c r="A367" s="16" t="str">
        <v>B07-RG-39.5</v>
      </c>
      <c r="B367" s="16" t="str">
        <v>4店-彬郁-US</v>
      </c>
      <c r="C367" s="16" t="str">
        <v>艾年</v>
      </c>
      <c r="D367" s="26" t="n">
        <f>IF(NOT(ISNUMBER(E367)),"",IF(OR(E367&lt;=0,L367=0),0,IF(OR(NOT(ISNUMBER(F367)),F367&lt;0),"",MIN(E367,INT(F367)))))</f>
        <v>0</v>
      </c>
      <c r="E367" s="27" t="n">
        <f>IF(OR(NOT(ISNUMBER(L367)),COUNT(M367:O367)&lt;&gt;3,MIN(M367:O367)&lt;0),"",ROUNDUP(ROUND(BI367-SUM(M367:O367),10),0))</f>
        <v>3</v>
      </c>
      <c r="F367" s="28" t="n">
        <v>0</v>
      </c>
      <c r="G367" s="28" t="n">
        <f>IF(AND(ISNUMBER(D367),ISNUMBER(E367)),IF(OR(E367&lt;=0,L367=0),0,E367-D367),"")</f>
        <v>3</v>
      </c>
      <c r="H367" s="16" t="str">
        <f>IF(NOT(ISNUMBER(E367)),"销量或海外库存待补",IF(OR(E367&lt;=0,L367=0),IF(L367=0,"零日销，本批不发","本批无需补货"),IF(NOT(ISNUMBER(D367)),"国内库存待补",IF(D367=0,"国内无可用库存",IF(G367&gt;0,"先发国内现货","按建议量发货")))))</f>
        <v>国内无可用库存</v>
      </c>
      <c r="I367" s="28" t="n">
        <f>IF(AND(COUNT(Z367,AA367,AB367)=3,Z367&gt;=AA367,AA367&gt;=0,AB367=7),Z367-AA367,"")</f>
        <v>0</v>
      </c>
      <c r="J367" s="28" t="n">
        <f>IF(AND(COUNT(AF367,AG367,AH367)=3,AF367&gt;=AG367,AG367&gt;=0,AH367=14),AF367-AG367,"")</f>
        <v>0</v>
      </c>
      <c r="K367" s="28" t="n">
        <f>IF(AND(COUNT(AL367,AM367,AN367)=3,AL367&gt;=AM367,AM367&gt;=0,AN367=30),AL367-AM367,"")</f>
        <v>0</v>
      </c>
      <c r="L367" s="29" t="n">
        <f>IF(ISNUMBER(BI367),BI367/90,"")</f>
        <v>0.031260944679782764</v>
      </c>
      <c r="M367" s="28" t="n">
        <v>0</v>
      </c>
      <c r="N367" s="28" t="n">
        <v>0</v>
      </c>
      <c r="O367" s="28" t="n">
        <v>0</v>
      </c>
      <c r="P367" s="30" t="n">
        <f>IF(AND(ISNUMBER(L367),L367&gt;0,COUNT(M367:O367)=3,MIN(M367:O367)&gt;=0),SUM(M367:O367)/L367,"")</f>
        <v>0</v>
      </c>
      <c r="Q367" s="16" t="str">
        <v>沿用原计划SKU店铺</v>
      </c>
      <c r="R367" s="16" t="str">
        <v>已匹配</v>
      </c>
      <c r="S367" s="16" t="str">
        <v>停售</v>
      </c>
      <c r="T367" s="16" t="str">
        <v>B07</v>
      </c>
      <c r="U367" s="16" t="str">
        <v>玫瑰金PU</v>
      </c>
      <c r="V367" s="16" t="n">
        <v>8.5</v>
      </c>
      <c r="W367" s="8" t="str">
        <v>2026-10-08 至 2026-10-17</v>
      </c>
      <c r="X367" s="8" t="str">
        <v>2026-10-08、2026-10-09、2026-10-10、2026-10-11、2026-10-14、2026-10-15、2026-10-17</v>
      </c>
      <c r="Y367" s="8" t="str">
        <v>2026-10-12 有记录的停售日；2026-10-13 有记录的停售日；2026-10-16 有记录的停售日</v>
      </c>
      <c r="Z367" s="8" t="n">
        <v>0</v>
      </c>
      <c r="AA367" s="8" t="n">
        <v>0</v>
      </c>
      <c r="AB367" s="8" t="n">
        <v>7</v>
      </c>
      <c r="AC367" s="8" t="str">
        <v>2026-09-29 至 2026-10-17</v>
      </c>
      <c r="AD367" s="8" t="str">
        <v>2026-09-29、2026-09-30、2026-10-01、2026-10-02、2026-10-03、2026-10-04、2026-10-05、2026-10-08、2026-10-09、2026-10-10、2026-10-11、2026-10-14、2026-10-15、2026-10-17</v>
      </c>
      <c r="AE367" s="8" t="str">
        <v>2026-10-06 大促；2026-10-07 大促；2026-10-12 有记录的停售日；2026-10-13 有记录的停售日；2026-10-16 有记录的停售日</v>
      </c>
      <c r="AF367" s="8" t="n">
        <v>0</v>
      </c>
      <c r="AG367" s="8" t="n">
        <v>0</v>
      </c>
      <c r="AH367" s="8" t="n">
        <v>14</v>
      </c>
      <c r="AI367" s="8" t="str">
        <v>2026-09-13 至 2026-10-17</v>
      </c>
      <c r="AJ36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7" s="8" t="str">
        <v>2026-10-06 大促；2026-10-07 大促；2026-10-12 有记录的停售日；2026-10-13 有记录的停售日；2026-10-16 有记录的停售日</v>
      </c>
      <c r="AL367" s="8" t="n">
        <v>0</v>
      </c>
      <c r="AM367" s="8" t="n">
        <v>0</v>
      </c>
      <c r="AN367" s="8" t="n">
        <v>30</v>
      </c>
      <c r="AO367" s="8" t="str">
        <v>B07 / 玫瑰金PU / 13306</v>
      </c>
      <c r="AP367" s="11" t="n">
        <v>0.7307750238224848</v>
      </c>
      <c r="AQ367" s="11" t="n">
        <v>0.7348338471341894</v>
      </c>
      <c r="AR367" s="11" t="n">
        <v>0.7478220817316438</v>
      </c>
      <c r="AS367" s="11" t="n">
        <f>IF(AND(COUNT(I367:K367,AP367:AR367)=6,MIN(AP367:AR367)&gt;0),I367/7/AP367*0.5+J367/14/AQ367*0.3+K367/30/AR367*0.2,"")</f>
        <v>0</v>
      </c>
      <c r="AT367" s="8" t="n">
        <v>2</v>
      </c>
      <c r="AU367" s="8" t="n">
        <v>0</v>
      </c>
      <c r="AV367" s="8" t="n">
        <v>85</v>
      </c>
      <c r="AW367" s="11" t="n">
        <f>IF(AND(COUNT(AT367:AV367)=3,AT367&gt;=AU367,AU367&gt;=0,AV367&gt;0),(AT367-AU367)/AV367,"")</f>
        <v>0.023529411764705882</v>
      </c>
      <c r="AX367" s="8" t="n">
        <v>6</v>
      </c>
      <c r="AY367" s="8" t="n">
        <v>0</v>
      </c>
      <c r="AZ367" s="8" t="n">
        <v>175</v>
      </c>
      <c r="BA367" s="11" t="n">
        <f>IF(AND(COUNT(AX367:AZ367)=3,AX367&gt;=AY367,AY367&gt;=0,AZ367&gt;0),(AX367-AY367)/AZ367,"")</f>
        <v>0.03428571428571429</v>
      </c>
      <c r="BB367" s="8" t="n">
        <f>IF(COUNT(AS367,AW367,BA367)=3,1,0)</f>
        <v>1</v>
      </c>
      <c r="BC367" s="11" t="n">
        <f>IF(SUMIF($AO$11:$AO$1309,AO367,$BB$11:$BB$1309)=COUNTIF($AO$11:$AO$1309,AO367),SUMIF($AO$11:$AO$1309,AO367,$AS$11:$AS$1309),"")</f>
        <v>0.21004839022398944</v>
      </c>
      <c r="BD367" s="11" t="n">
        <f>IF(SUMIF($AO$11:$AO$1309,AO367,$BB$11:$BB$1309)=COUNTIF($AO$11:$AO$1309,AO367),SUMIF($AO$11:$AO$1309,AO367,$AW$11:$AW$1309),"")</f>
        <v>0.13836898395721925</v>
      </c>
      <c r="BE367" s="11" t="n">
        <f>IF(SUMIF($AO$11:$AO$1309,AO367,$BB$11:$BB$1309)=COUNTIF($AO$11:$AO$1309,AO367),SUMIF($AO$11:$AO$1309,AO367,$BA$11:$BA$1309),"")</f>
        <v>0.19817014446227932</v>
      </c>
      <c r="BF367" s="12" t="n">
        <f>IF(COUNT(BD367:BE367)&lt;&gt;2,"",IF(AND(BD367&gt;0,BE367&gt;0),0.7*AW367/BD367+0.3*BA367/BE367,IF(BD367&gt;0,AW367/BD367,IF(BE367&gt;0,BA367/BE367,IF(AND(ISNUMBER(BH367),BH367=0),0,"")))))</f>
        <v>0.17093726693540748</v>
      </c>
      <c r="BG367" s="11" t="n">
        <f>IF(AND(COUNT(BN367:BU367)=8,MIN(BN367:BU367)&gt;=0),SUMPRODUCT(BN367:BQ367,BR367:BU367),"")</f>
        <v>78.35892944347341</v>
      </c>
      <c r="BH367" s="11" t="n">
        <f>IF(COUNT(BC367,BG367)=2,BC367*BG367,"")</f>
        <v>16.45916698927676</v>
      </c>
      <c r="BI367" s="11" t="n">
        <f>IF(ISNUMBER(CI367),CI367,"")</f>
        <v>2.8134850211804485</v>
      </c>
      <c r="BJ367" s="8" t="str">
        <v>近180天本色销量10双（＜90），无有效新采购，请运营判断</v>
      </c>
      <c r="BK367" s="8" t="str">
        <v>90天：2026-07-20 至 2026-10-17；180天：2026-04-21 至 2026-10-17</v>
      </c>
      <c r="BL367" s="8" t="str">
        <v>90天：2026-10-06、2026-10-07、2026-10-12、2026-10-13、2026-10-16；180天：2026-10-06、2026-10-07、2026-10-12、2026-10-13、2026-10-16</v>
      </c>
      <c r="BM367" s="8" t="str">
        <v>2026-10：12天 × 0.7307750238224848；2026-11：30天 × 0.9523018155490097；2026-12：31天 × 0.5958545198749097；2027-01：17天 × 1.3264167397065354</v>
      </c>
      <c r="BN367" s="11" t="n">
        <v>0.7307750238224848</v>
      </c>
      <c r="BO367" s="11" t="n">
        <v>0.9523018155490097</v>
      </c>
      <c r="BP367" s="11" t="n">
        <v>0.5958545198749097</v>
      </c>
      <c r="BQ367" s="11" t="n">
        <v>1.3264167397065354</v>
      </c>
      <c r="BR367" s="8" t="n">
        <v>12</v>
      </c>
      <c r="BS367" s="8" t="n">
        <v>30</v>
      </c>
      <c r="BT367" s="8" t="n">
        <v>31</v>
      </c>
      <c r="BU367" s="8" t="n">
        <v>17</v>
      </c>
      <c r="BV367" s="11" t="n">
        <f>IF(COUNT(BC367,BF367)=2,BC367*BF367,"")</f>
        <v>0.03590509774907072</v>
      </c>
      <c r="BW367" s="11" t="n">
        <f>IF(ISNUMBER(BN367),BN367,"")</f>
        <v>0.7307750238224848</v>
      </c>
      <c r="BX367" s="14" t="n">
        <f>IF(ISNUMBER(BR367),BR367,"")</f>
        <v>12</v>
      </c>
      <c r="BY367" s="13" t="n">
        <f>IF(AND(COUNT(BV367,BW367,BX367)=3,MIN(BV367,BW367,BX367)&gt;=0),BV367*BW367*BX367,"")</f>
        <v>0.31486258395510963</v>
      </c>
      <c r="BZ367" s="11" t="n">
        <f>IF(ISNUMBER(BO367),BO367,"")</f>
        <v>0.9523018155490097</v>
      </c>
      <c r="CA367" s="14" t="n">
        <f>IF(ISNUMBER(BS367),BS367,"")</f>
        <v>30</v>
      </c>
      <c r="CB367" s="13" t="n">
        <f>IF(AND(COUNT(BV367,BZ367,CA367)=3,MIN(BV367,BZ367,CA367)&gt;=0),BV367*BZ367*CA367,"")</f>
        <v>1.0257746932171412</v>
      </c>
      <c r="CC367" s="11" t="n">
        <f>IF(ISNUMBER(BP367),BP367,"")</f>
        <v>0.5958545198749097</v>
      </c>
      <c r="CD367" s="14" t="n">
        <f>IF(ISNUMBER(BT367),BT367,"")</f>
        <v>31</v>
      </c>
      <c r="CE367" s="13" t="n">
        <f>IF(AND(COUNT(BV367,CC367,CD367)=3,MIN(BV367,CC367,CD367)&gt;=0),BV367*CC367*CD367,"")</f>
        <v>0.6632206581903612</v>
      </c>
      <c r="CF367" s="11" t="n">
        <f>IF(ISNUMBER(BQ367),BQ367,"")</f>
        <v>1.3264167397065354</v>
      </c>
      <c r="CG367" s="14" t="n">
        <f>IF(ISNUMBER(BU367),BU367,"")</f>
        <v>17</v>
      </c>
      <c r="CH367" s="13" t="n">
        <f>IF(AND(COUNT(BV367,CF367,CG367)=3,MIN(BV367,CF367,CG367)&gt;=0),BV367*CF367*CG367,"")</f>
        <v>0.8096270858178364</v>
      </c>
      <c r="CI367" s="13" t="n">
        <f>IF(COUNT(BY367,CB367,CE367,CH367)=4,SUM(BY367,CB367,CE367,CH367),"")</f>
        <v>2.8134850211804485</v>
      </c>
    </row>
    <row r="368" ht="72" customHeight="1">
      <c r="A368" s="16" t="str">
        <v>B07-WT-37.5</v>
      </c>
      <c r="B368" s="16" t="str">
        <v>4店-彬郁-US</v>
      </c>
      <c r="C368" s="16" t="str">
        <v>艾年</v>
      </c>
      <c r="D368" s="26" t="n">
        <f>IF(NOT(ISNUMBER(E368)),"",IF(OR(E368&lt;=0,L368=0),0,IF(OR(NOT(ISNUMBER(F368)),F368&lt;0),"",MIN(E368,INT(F368)))))</f>
        <v>0</v>
      </c>
      <c r="E368" s="27" t="n">
        <f>IF(OR(NOT(ISNUMBER(L368)),COUNT(M368:O368)&lt;&gt;3,MIN(M368:O368)&lt;0),"",ROUNDUP(ROUND(BI368-SUM(M368:O368),10),0))</f>
        <v>3</v>
      </c>
      <c r="F368" s="28" t="n">
        <v>0</v>
      </c>
      <c r="G368" s="28" t="n">
        <f>IF(AND(ISNUMBER(D368),ISNUMBER(E368)),IF(OR(E368&lt;=0,L368=0),0,E368-D368),"")</f>
        <v>3</v>
      </c>
      <c r="H368" s="16" t="str">
        <f>IF(NOT(ISNUMBER(E368)),"销量或海外库存待补",IF(OR(E368&lt;=0,L368=0),IF(L368=0,"零日销，本批不发","本批无需补货"),IF(NOT(ISNUMBER(D368)),"国内库存待补",IF(D368=0,"国内无可用库存",IF(G368&gt;0,"先发国内现货","按建议量发货")))))</f>
        <v>国内无可用库存</v>
      </c>
      <c r="I368" s="28" t="n">
        <f>IF(AND(COUNT(Z368,AA368,AB368)=3,Z368&gt;=AA368,AA368&gt;=0,AB368=7),Z368-AA368,"")</f>
        <v>1</v>
      </c>
      <c r="J368" s="28" t="n">
        <f>IF(AND(COUNT(AF368,AG368,AH368)=3,AF368&gt;=AG368,AG368&gt;=0,AH368=14),AF368-AG368,"")</f>
        <v>1</v>
      </c>
      <c r="K368" s="28" t="n">
        <f>IF(AND(COUNT(AL368,AM368,AN368)=3,AL368&gt;=AM368,AM368&gt;=0,AN368=30),AL368-AM368,"")</f>
        <v>2</v>
      </c>
      <c r="L368" s="29" t="n">
        <f>IF(ISNUMBER(BI368),BI368/90,"")</f>
        <v>0.02990827302643604</v>
      </c>
      <c r="M368" s="28" t="n">
        <v>0</v>
      </c>
      <c r="N368" s="28" t="n">
        <v>0</v>
      </c>
      <c r="O368" s="28" t="n">
        <v>0</v>
      </c>
      <c r="P368" s="30" t="n">
        <f>IF(AND(ISNUMBER(L368),L368&gt;0,COUNT(M368:O368)=3,MIN(M368:O368)&gt;=0),SUM(M368:O368)/L368,"")</f>
        <v>0</v>
      </c>
      <c r="Q368" s="16" t="str">
        <v>沿用原计划SKU店铺</v>
      </c>
      <c r="R368" s="16" t="str">
        <v>已匹配</v>
      </c>
      <c r="S368" s="16" t="str">
        <v>停售</v>
      </c>
      <c r="T368" s="16" t="str">
        <v>B07</v>
      </c>
      <c r="U368" s="16" t="str">
        <v>白色PU</v>
      </c>
      <c r="V368" s="16" t="n">
        <v>6.5</v>
      </c>
      <c r="W368" s="8" t="str">
        <v>2026-10-08 至 2026-10-17</v>
      </c>
      <c r="X368" s="8" t="str">
        <v>2026-10-08、2026-10-09、2026-10-10、2026-10-11、2026-10-14、2026-10-15、2026-10-17</v>
      </c>
      <c r="Y368" s="8" t="str">
        <v>2026-10-12 有记录的停售日；2026-10-13 有记录的停售日；2026-10-16 有记录的停售日</v>
      </c>
      <c r="Z368" s="8" t="n">
        <v>1</v>
      </c>
      <c r="AA368" s="8" t="n">
        <v>0</v>
      </c>
      <c r="AB368" s="8" t="n">
        <v>7</v>
      </c>
      <c r="AC368" s="8" t="str">
        <v>2026-09-29 至 2026-10-17</v>
      </c>
      <c r="AD368" s="8" t="str">
        <v>2026-09-29、2026-09-30、2026-10-01、2026-10-02、2026-10-03、2026-10-04、2026-10-05、2026-10-08、2026-10-09、2026-10-10、2026-10-11、2026-10-14、2026-10-15、2026-10-17</v>
      </c>
      <c r="AE368" s="8" t="str">
        <v>2026-10-06 大促；2026-10-07 大促；2026-10-12 有记录的停售日；2026-10-13 有记录的停售日；2026-10-16 有记录的停售日</v>
      </c>
      <c r="AF368" s="8" t="n">
        <v>1</v>
      </c>
      <c r="AG368" s="8" t="n">
        <v>0</v>
      </c>
      <c r="AH368" s="8" t="n">
        <v>14</v>
      </c>
      <c r="AI368" s="8" t="str">
        <v>2026-09-13 至 2026-10-17</v>
      </c>
      <c r="AJ36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8" s="8" t="str">
        <v>2026-10-06 大促；2026-10-07 大促；2026-10-12 有记录的停售日；2026-10-13 有记录的停售日；2026-10-16 有记录的停售日</v>
      </c>
      <c r="AL368" s="8" t="n">
        <v>2</v>
      </c>
      <c r="AM368" s="8" t="n">
        <v>0</v>
      </c>
      <c r="AN368" s="8" t="n">
        <v>30</v>
      </c>
      <c r="AO368" s="8" t="str">
        <v>B07 / 白色PU / 13306</v>
      </c>
      <c r="AP368" s="11" t="n">
        <v>0.7307750238224848</v>
      </c>
      <c r="AQ368" s="11" t="n">
        <v>0.7348338471341894</v>
      </c>
      <c r="AR368" s="11" t="n">
        <v>0.7478220817316438</v>
      </c>
      <c r="AS368" s="11" t="n">
        <f>IF(AND(COUNT(I368:K368,AP368:AR368)=6,MIN(AP368:AR368)&gt;0),I368/7/AP368*0.5+J368/14/AQ368*0.3+K368/30/AR368*0.2,"")</f>
        <v>0.14473424997452916</v>
      </c>
      <c r="AT368" s="8" t="n">
        <v>2</v>
      </c>
      <c r="AU368" s="8" t="n">
        <v>0</v>
      </c>
      <c r="AV368" s="8" t="n">
        <v>85</v>
      </c>
      <c r="AW368" s="11" t="n">
        <f>IF(AND(COUNT(AT368:AV368)=3,AT368&gt;=AU368,AU368&gt;=0,AV368&gt;0),(AT368-AU368)/AV368,"")</f>
        <v>0.023529411764705882</v>
      </c>
      <c r="AX368" s="8" t="n">
        <v>7</v>
      </c>
      <c r="AY368" s="8" t="n">
        <v>0</v>
      </c>
      <c r="AZ368" s="8" t="n">
        <v>175</v>
      </c>
      <c r="BA368" s="11" t="n">
        <f>IF(AND(COUNT(AX368:AZ368)=3,AX368&gt;=AY368,AY368&gt;=0,AZ368&gt;0),(AX368-AY368)/AZ368,"")</f>
        <v>0.04</v>
      </c>
      <c r="BB368" s="8" t="n">
        <f>IF(COUNT(AS368,AW368,BA368)=3,1,0)</f>
        <v>1</v>
      </c>
      <c r="BC368" s="11" t="n">
        <f>IF(SUMIF($AO$11:$AO$1309,AO368,$BB$11:$BB$1309)=COUNTIF($AO$11:$AO$1309,AO368),SUMIF($AO$11:$AO$1309,AO368,$AS$11:$AS$1309),"")</f>
        <v>0.16263180041702485</v>
      </c>
      <c r="BD368" s="11" t="n">
        <f>IF(SUMIF($AO$11:$AO$1309,AO368,$BB$11:$BB$1309)=COUNTIF($AO$11:$AO$1309,AO368),SUMIF($AO$11:$AO$1309,AO368,$AW$11:$AW$1309),"")</f>
        <v>0.11524064171122994</v>
      </c>
      <c r="BE368" s="11" t="n">
        <f>IF(SUMIF($AO$11:$AO$1309,AO368,$BB$11:$BB$1309)=COUNTIF($AO$11:$AO$1309,AO368),SUMIF($AO$11:$AO$1309,AO368,$BA$11:$BA$1309),"")</f>
        <v>0.17569823434991974</v>
      </c>
      <c r="BF368" s="12" t="n">
        <f>IF(COUNT(BD368:BE368)&lt;&gt;2,"",IF(AND(BD368&gt;0,BE368&gt;0),0.7*AW368/BD368+0.3*BA368/BE368,IF(BD368&gt;0,AW368/BD368,IF(BE368&gt;0,BA368/BE368,IF(AND(ISNUMBER(BH368),BH368=0),0,"")))))</f>
        <v>0.21122235585534216</v>
      </c>
      <c r="BG368" s="11" t="n">
        <f>IF(AND(COUNT(BN368:BU368)=8,MIN(BN368:BU368)&gt;=0),SUMPRODUCT(BN368:BQ368,BR368:BU368),"")</f>
        <v>78.35892944347341</v>
      </c>
      <c r="BH368" s="11" t="n">
        <f>IF(COUNT(BC368,BG368)=2,BC368*BG368,"")</f>
        <v>12.7436537741427</v>
      </c>
      <c r="BI368" s="11" t="n">
        <f>IF(ISNUMBER(CI368),CI368,"")</f>
        <v>2.6917445723792435</v>
      </c>
      <c r="BJ368" s="8" t="str"/>
      <c r="BK368" s="8" t="str">
        <v>90天：2026-07-20 至 2026-10-17；180天：2026-04-21 至 2026-10-17</v>
      </c>
      <c r="BL368" s="8" t="str">
        <v>90天：2026-10-06、2026-10-07、2026-10-12、2026-10-13、2026-10-16；180天：2026-10-06、2026-10-07、2026-10-12、2026-10-13、2026-10-16</v>
      </c>
      <c r="BM368" s="8" t="str">
        <v>2026-10：12天 × 0.7307750238224848；2026-11：30天 × 0.9523018155490097；2026-12：31天 × 0.5958545198749097；2027-01：17天 × 1.3264167397065354</v>
      </c>
      <c r="BN368" s="11" t="n">
        <v>0.7307750238224848</v>
      </c>
      <c r="BO368" s="11" t="n">
        <v>0.9523018155490097</v>
      </c>
      <c r="BP368" s="11" t="n">
        <v>0.5958545198749097</v>
      </c>
      <c r="BQ368" s="11" t="n">
        <v>1.3264167397065354</v>
      </c>
      <c r="BR368" s="8" t="n">
        <v>12</v>
      </c>
      <c r="BS368" s="8" t="n">
        <v>30</v>
      </c>
      <c r="BT368" s="8" t="n">
        <v>31</v>
      </c>
      <c r="BU368" s="8" t="n">
        <v>17</v>
      </c>
      <c r="BV368" s="11" t="n">
        <f>IF(COUNT(BC368,BF368)=2,BC368*BF368,"")</f>
        <v>0.034351472021079806</v>
      </c>
      <c r="BW368" s="11" t="n">
        <f>IF(ISNUMBER(BN368),BN368,"")</f>
        <v>0.7307750238224848</v>
      </c>
      <c r="BX368" s="14" t="n">
        <f>IF(ISNUMBER(BR368),BR368,"")</f>
        <v>12</v>
      </c>
      <c r="BY368" s="13" t="n">
        <f>IF(AND(COUNT(BV368,BW368,BX368)=3,MIN(BV368,BW368,BX368)&gt;=0),BV368*BW368*BX368,"")</f>
        <v>0.3012383734145042</v>
      </c>
      <c r="BZ368" s="11" t="n">
        <f>IF(ISNUMBER(BO368),BO368,"")</f>
        <v>0.9523018155490097</v>
      </c>
      <c r="CA368" s="14" t="n">
        <f>IF(ISNUMBER(BS368),BS368,"")</f>
        <v>30</v>
      </c>
      <c r="CB368" s="13" t="n">
        <f>IF(AND(COUNT(BV368,BZ368,CA368)=3,MIN(BV368,BZ368,CA368)&gt;=0),BV368*BZ368*CA368,"")</f>
        <v>0.9813890751736593</v>
      </c>
      <c r="CC368" s="11" t="n">
        <f>IF(ISNUMBER(BP368),BP368,"")</f>
        <v>0.5958545198749097</v>
      </c>
      <c r="CD368" s="14" t="n">
        <f>IF(ISNUMBER(BT368),BT368,"")</f>
        <v>31</v>
      </c>
      <c r="CE368" s="13" t="n">
        <f>IF(AND(COUNT(BV368,CC368,CD368)=3,MIN(BV368,CC368,CD368)&gt;=0),BV368*CC368*CD368,"")</f>
        <v>0.6345228759116238</v>
      </c>
      <c r="CF368" s="11" t="n">
        <f>IF(ISNUMBER(BQ368),BQ368,"")</f>
        <v>1.3264167397065354</v>
      </c>
      <c r="CG368" s="14" t="n">
        <f>IF(ISNUMBER(BU368),BU368,"")</f>
        <v>17</v>
      </c>
      <c r="CH368" s="13" t="n">
        <f>IF(AND(COUNT(BV368,CF368,CG368)=3,MIN(BV368,CF368,CG368)&gt;=0),BV368*CF368*CG368,"")</f>
        <v>0.7745942478794561</v>
      </c>
      <c r="CI368" s="13" t="n">
        <f>IF(COUNT(BY368,CB368,CE368,CH368)=4,SUM(BY368,CB368,CE368,CH368),"")</f>
        <v>2.6917445723792435</v>
      </c>
    </row>
    <row r="369" ht="72" customHeight="1">
      <c r="A369" s="16" t="str">
        <v>B07-WT-41-by</v>
      </c>
      <c r="B369" s="16" t="str">
        <v>4店-彬郁-US</v>
      </c>
      <c r="C369" s="16" t="str">
        <v>艾年</v>
      </c>
      <c r="D369" s="26" t="n">
        <f>IF(NOT(ISNUMBER(E369)),"",IF(OR(E369&lt;=0,L369=0),0,IF(OR(NOT(ISNUMBER(F369)),F369&lt;0),"",MIN(E369,INT(F369)))))</f>
        <v>0</v>
      </c>
      <c r="E369" s="27" t="n">
        <f>IF(OR(NOT(ISNUMBER(L369)),COUNT(M369:O369)&lt;&gt;3,MIN(M369:O369)&lt;0),"",ROUNDUP(ROUND(BI369-SUM(M369:O369),10),0))</f>
        <v>3</v>
      </c>
      <c r="F369" s="28" t="n">
        <v>0</v>
      </c>
      <c r="G369" s="28" t="n">
        <f>IF(AND(ISNUMBER(D369),ISNUMBER(E369)),IF(OR(E369&lt;=0,L369=0),0,E369-D369),"")</f>
        <v>3</v>
      </c>
      <c r="H369" s="16" t="str">
        <f>IF(NOT(ISNUMBER(E369)),"销量或海外库存待补",IF(OR(E369&lt;=0,L369=0),IF(L369=0,"零日销，本批不发","本批无需补货"),IF(NOT(ISNUMBER(D369)),"国内库存待补",IF(D369=0,"国内无可用库存",IF(G369&gt;0,"先发国内现货","按建议量发货")))))</f>
        <v>国内无可用库存</v>
      </c>
      <c r="I369" s="28" t="n">
        <f>IF(AND(COUNT(Z369,AA369,AB369)=3,Z369&gt;=AA369,AA369&gt;=0,AB369=7),Z369-AA369,"")</f>
        <v>0</v>
      </c>
      <c r="J369" s="28" t="n">
        <f>IF(AND(COUNT(AF369,AG369,AH369)=3,AF369&gt;=AG369,AG369&gt;=0,AH369=14),AF369-AG369,"")</f>
        <v>0</v>
      </c>
      <c r="K369" s="28" t="n">
        <f>IF(AND(COUNT(AL369,AM369,AN369)=3,AL369&gt;=AM369,AM369&gt;=0,AN369=30),AL369-AM369,"")</f>
        <v>0</v>
      </c>
      <c r="L369" s="29" t="n">
        <f>IF(ISNUMBER(BI369),BI369/90,"")</f>
        <v>0.03267137720062131</v>
      </c>
      <c r="M369" s="28" t="n">
        <v>0</v>
      </c>
      <c r="N369" s="28" t="n">
        <v>0</v>
      </c>
      <c r="O369" s="28" t="n">
        <v>0</v>
      </c>
      <c r="P369" s="30" t="n">
        <f>IF(AND(ISNUMBER(L369),L369&gt;0,COUNT(M369:O369)=3,MIN(M369:O369)&gt;=0),SUM(M369:O369)/L369,"")</f>
        <v>0</v>
      </c>
      <c r="Q369" s="16" t="str">
        <v>沿用原计划SKU店铺</v>
      </c>
      <c r="R369" s="16" t="str">
        <v>已匹配</v>
      </c>
      <c r="S369" s="16" t="str">
        <v>停售</v>
      </c>
      <c r="T369" s="16" t="str">
        <v>B07</v>
      </c>
      <c r="U369" s="16" t="str">
        <v>白色PU</v>
      </c>
      <c r="V369" s="16" t="n">
        <v>10</v>
      </c>
      <c r="W369" s="8" t="str">
        <v>2026-10-08 至 2026-10-17</v>
      </c>
      <c r="X369" s="8" t="str">
        <v>2026-10-08、2026-10-09、2026-10-10、2026-10-11、2026-10-14、2026-10-15、2026-10-17</v>
      </c>
      <c r="Y369" s="8" t="str">
        <v>2026-10-12 有记录的停售日；2026-10-13 有记录的停售日；2026-10-16 有记录的停售日</v>
      </c>
      <c r="Z369" s="8" t="n">
        <v>0</v>
      </c>
      <c r="AA369" s="8" t="n">
        <v>0</v>
      </c>
      <c r="AB369" s="8" t="n">
        <v>7</v>
      </c>
      <c r="AC369" s="8" t="str">
        <v>2026-09-29 至 2026-10-17</v>
      </c>
      <c r="AD369" s="8" t="str">
        <v>2026-09-29、2026-09-30、2026-10-01、2026-10-02、2026-10-03、2026-10-04、2026-10-05、2026-10-08、2026-10-09、2026-10-10、2026-10-11、2026-10-14、2026-10-15、2026-10-17</v>
      </c>
      <c r="AE369" s="8" t="str">
        <v>2026-10-06 大促；2026-10-07 大促；2026-10-12 有记录的停售日；2026-10-13 有记录的停售日；2026-10-16 有记录的停售日</v>
      </c>
      <c r="AF369" s="8" t="n">
        <v>0</v>
      </c>
      <c r="AG369" s="8" t="n">
        <v>0</v>
      </c>
      <c r="AH369" s="8" t="n">
        <v>14</v>
      </c>
      <c r="AI369" s="8" t="str">
        <v>2026-09-13 至 2026-10-17</v>
      </c>
      <c r="AJ36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69" s="8" t="str">
        <v>2026-10-06 大促；2026-10-07 大促；2026-10-12 有记录的停售日；2026-10-13 有记录的停售日；2026-10-16 有记录的停售日</v>
      </c>
      <c r="AL369" s="8" t="n">
        <v>0</v>
      </c>
      <c r="AM369" s="8" t="n">
        <v>0</v>
      </c>
      <c r="AN369" s="8" t="n">
        <v>30</v>
      </c>
      <c r="AO369" s="8" t="str">
        <v>B07 / 白色PU / 13306</v>
      </c>
      <c r="AP369" s="11" t="n">
        <v>0.7307750238224848</v>
      </c>
      <c r="AQ369" s="11" t="n">
        <v>0.7348338471341894</v>
      </c>
      <c r="AR369" s="11" t="n">
        <v>0.7478220817316438</v>
      </c>
      <c r="AS369" s="11" t="n">
        <f>IF(AND(COUNT(I369:K369,AP369:AR369)=6,MIN(AP369:AR369)&gt;0),I369/7/AP369*0.5+J369/14/AQ369*0.3+K369/30/AR369*0.2,"")</f>
        <v>0</v>
      </c>
      <c r="AT369" s="8" t="n">
        <v>2</v>
      </c>
      <c r="AU369" s="8" t="n">
        <v>0</v>
      </c>
      <c r="AV369" s="8" t="n">
        <v>85</v>
      </c>
      <c r="AW369" s="11" t="n">
        <f>IF(AND(COUNT(AT369:AV369)=3,AT369&gt;=AU369,AU369&gt;=0,AV369&gt;0),(AT369-AU369)/AV369,"")</f>
        <v>0.023529411764705882</v>
      </c>
      <c r="AX369" s="8" t="n">
        <v>9</v>
      </c>
      <c r="AY369" s="8" t="n">
        <v>0</v>
      </c>
      <c r="AZ369" s="8" t="n">
        <v>175</v>
      </c>
      <c r="BA369" s="11" t="n">
        <f>IF(AND(COUNT(AX369:AZ369)=3,AX369&gt;=AY369,AY369&gt;=0,AZ369&gt;0),(AX369-AY369)/AZ369,"")</f>
        <v>0.05142857142857143</v>
      </c>
      <c r="BB369" s="8" t="n">
        <f>IF(COUNT(AS369,AW369,BA369)=3,1,0)</f>
        <v>1</v>
      </c>
      <c r="BC369" s="11" t="n">
        <f>IF(SUMIF($AO$11:$AO$1309,AO369,$BB$11:$BB$1309)=COUNTIF($AO$11:$AO$1309,AO369),SUMIF($AO$11:$AO$1309,AO369,$AS$11:$AS$1309),"")</f>
        <v>0.16263180041702485</v>
      </c>
      <c r="BD369" s="11" t="n">
        <f>IF(SUMIF($AO$11:$AO$1309,AO369,$BB$11:$BB$1309)=COUNTIF($AO$11:$AO$1309,AO369),SUMIF($AO$11:$AO$1309,AO369,$AW$11:$AW$1309),"")</f>
        <v>0.11524064171122994</v>
      </c>
      <c r="BE369" s="11" t="n">
        <f>IF(SUMIF($AO$11:$AO$1309,AO369,$BB$11:$BB$1309)=COUNTIF($AO$11:$AO$1309,AO369),SUMIF($AO$11:$AO$1309,AO369,$BA$11:$BA$1309),"")</f>
        <v>0.17569823434991974</v>
      </c>
      <c r="BF369" s="12" t="n">
        <f>IF(COUNT(BD369:BE369)&lt;&gt;2,"",IF(AND(BD369&gt;0,BE369&gt;0),0.7*AW369/BD369+0.3*BA369/BE369,IF(BD369&gt;0,AW369/BD369,IF(BE369&gt;0,BA369/BE369,IF(AND(ISNUMBER(BH369),BH369=0),0,"")))))</f>
        <v>0.2307363335640942</v>
      </c>
      <c r="BG369" s="11" t="n">
        <f>IF(AND(COUNT(BN369:BU369)=8,MIN(BN369:BU369)&gt;=0),SUMPRODUCT(BN369:BQ369,BR369:BU369),"")</f>
        <v>78.35892944347341</v>
      </c>
      <c r="BH369" s="11" t="n">
        <f>IF(COUNT(BC369,BG369)=2,BC369*BG369,"")</f>
        <v>12.7436537741427</v>
      </c>
      <c r="BI369" s="11" t="n">
        <f>IF(ISNUMBER(CI369),CI369,"")</f>
        <v>2.9404239480559182</v>
      </c>
      <c r="BJ369" s="8" t="str"/>
      <c r="BK369" s="8" t="str">
        <v>90天：2026-07-20 至 2026-10-17；180天：2026-04-21 至 2026-10-17</v>
      </c>
      <c r="BL369" s="8" t="str">
        <v>90天：2026-10-06、2026-10-07、2026-10-12、2026-10-13、2026-10-16；180天：2026-10-06、2026-10-07、2026-10-12、2026-10-13、2026-10-16</v>
      </c>
      <c r="BM369" s="8" t="str">
        <v>2026-10：12天 × 0.7307750238224848；2026-11：30天 × 0.9523018155490097；2026-12：31天 × 0.5958545198749097；2027-01：17天 × 1.3264167397065354</v>
      </c>
      <c r="BN369" s="11" t="n">
        <v>0.7307750238224848</v>
      </c>
      <c r="BO369" s="11" t="n">
        <v>0.9523018155490097</v>
      </c>
      <c r="BP369" s="11" t="n">
        <v>0.5958545198749097</v>
      </c>
      <c r="BQ369" s="11" t="n">
        <v>1.3264167397065354</v>
      </c>
      <c r="BR369" s="8" t="n">
        <v>12</v>
      </c>
      <c r="BS369" s="8" t="n">
        <v>30</v>
      </c>
      <c r="BT369" s="8" t="n">
        <v>31</v>
      </c>
      <c r="BU369" s="8" t="n">
        <v>17</v>
      </c>
      <c r="BV369" s="11" t="n">
        <f>IF(COUNT(BC369,BF369)=2,BC369*BF369,"")</f>
        <v>0.03752506534915184</v>
      </c>
      <c r="BW369" s="11" t="n">
        <f>IF(ISNUMBER(BN369),BN369,"")</f>
        <v>0.7307750238224848</v>
      </c>
      <c r="BX369" s="14" t="n">
        <f>IF(ISNUMBER(BR369),BR369,"")</f>
        <v>12</v>
      </c>
      <c r="BY369" s="13" t="n">
        <f>IF(AND(COUNT(BV369,BW369,BX369)=3,MIN(BV369,BW369,BX369)&gt;=0),BV369*BW369*BX369,"")</f>
        <v>0.3290685662936008</v>
      </c>
      <c r="BZ369" s="11" t="n">
        <f>IF(ISNUMBER(BO369),BO369,"")</f>
        <v>0.9523018155490097</v>
      </c>
      <c r="CA369" s="14" t="n">
        <f>IF(ISNUMBER(BS369),BS369,"")</f>
        <v>30</v>
      </c>
      <c r="CB369" s="13" t="n">
        <f>IF(AND(COUNT(BV369,BZ369,CA369)=3,MIN(BV369,BZ369,CA369)&gt;=0),BV369*BZ369*CA369,"")</f>
        <v>1.0720556358177762</v>
      </c>
      <c r="CC369" s="11" t="n">
        <f>IF(ISNUMBER(BP369),BP369,"")</f>
        <v>0.5958545198749097</v>
      </c>
      <c r="CD369" s="14" t="n">
        <f>IF(ISNUMBER(BT369),BT369,"")</f>
        <v>31</v>
      </c>
      <c r="CE369" s="13" t="n">
        <f>IF(AND(COUNT(BV369,CC369,CD369)=3,MIN(BV369,CC369,CD369)&gt;=0),BV369*CC369*CD369,"")</f>
        <v>0.6931438737036979</v>
      </c>
      <c r="CF369" s="11" t="n">
        <f>IF(ISNUMBER(BQ369),BQ369,"")</f>
        <v>1.3264167397065354</v>
      </c>
      <c r="CG369" s="14" t="n">
        <f>IF(ISNUMBER(BU369),BU369,"")</f>
        <v>17</v>
      </c>
      <c r="CH369" s="13" t="n">
        <f>IF(AND(COUNT(BV369,CF369,CG369)=3,MIN(BV369,CF369,CG369)&gt;=0),BV369*CF369*CG369,"")</f>
        <v>0.8461558722408434</v>
      </c>
      <c r="CI369" s="13" t="n">
        <f>IF(COUNT(BY369,CB369,CE369,CH369)=4,SUM(BY369,CB369,CE369,CH369),"")</f>
        <v>2.9404239480559182</v>
      </c>
    </row>
    <row r="370" ht="72" customHeight="1">
      <c r="A370" s="16" t="str">
        <v>1S01-SB-41</v>
      </c>
      <c r="B370" s="16" t="str">
        <v>3店-SANDIEX-US</v>
      </c>
      <c r="C370" s="16" t="str">
        <v>徐新怡</v>
      </c>
      <c r="D370" s="26" t="n">
        <f>IF(NOT(ISNUMBER(E370)),"",IF(OR(E370&lt;=0,L370=0),0,IF(OR(NOT(ISNUMBER(F370)),F370&lt;0),"",MIN(E370,INT(F370)))))</f>
        <v>0</v>
      </c>
      <c r="E370" s="27" t="n">
        <f>IF(OR(NOT(ISNUMBER(L370)),COUNT(M370:O370)&lt;&gt;3,MIN(M370:O370)&lt;0),"",ROUNDUP(ROUND(BI370-SUM(M370:O370),10),0))</f>
        <v>2</v>
      </c>
      <c r="F370" s="28" t="n">
        <v>0</v>
      </c>
      <c r="G370" s="28" t="n">
        <f>IF(AND(ISNUMBER(D370),ISNUMBER(E370)),IF(OR(E370&lt;=0,L370=0),0,E370-D370),"")</f>
        <v>2</v>
      </c>
      <c r="H370" s="16" t="str">
        <f>IF(NOT(ISNUMBER(E370)),"销量或海外库存待补",IF(OR(E370&lt;=0,L370=0),IF(L370=0,"零日销，本批不发","本批无需补货"),IF(NOT(ISNUMBER(D370)),"国内库存待补",IF(D370=0,"国内无可用库存",IF(G370&gt;0,"先发国内现货","按建议量发货")))))</f>
        <v>国内无可用库存</v>
      </c>
      <c r="I370" s="28" t="n">
        <f>IF(AND(COUNT(Z370,AA370,AB370)=3,Z370&gt;=AA370,AA370&gt;=0,AB370=7),Z370-AA370,"")</f>
        <v>0</v>
      </c>
      <c r="J370" s="28" t="n">
        <f>IF(AND(COUNT(AF370,AG370,AH370)=3,AF370&gt;=AG370,AG370&gt;=0,AH370=14),AF370-AG370,"")</f>
        <v>0</v>
      </c>
      <c r="K370" s="28" t="n">
        <f>IF(AND(COUNT(AL370,AM370,AN370)=3,AL370&gt;=AM370,AM370&gt;=0,AN370=30),AL370-AM370,"")</f>
        <v>0</v>
      </c>
      <c r="L370" s="29" t="n">
        <f>IF(ISNUMBER(BI370),BI370/90,"")</f>
        <v>0.015750553153978993</v>
      </c>
      <c r="M370" s="28" t="n">
        <v>0</v>
      </c>
      <c r="N370" s="28" t="n">
        <v>0</v>
      </c>
      <c r="O370" s="28" t="n">
        <v>0</v>
      </c>
      <c r="P370" s="30" t="n">
        <f>IF(AND(ISNUMBER(L370),L370&gt;0,COUNT(M370:O370)=3,MIN(M370:O370)&gt;=0),SUM(M370:O370)/L370,"")</f>
        <v>0</v>
      </c>
      <c r="Q370" s="16" t="str">
        <v>沿用原计划SKU店铺</v>
      </c>
      <c r="R370" s="16" t="str">
        <v>已匹配</v>
      </c>
      <c r="S370" s="16" t="str">
        <v>停售</v>
      </c>
      <c r="T370" s="16" t="str">
        <v>1S01</v>
      </c>
      <c r="U370" s="16" t="str">
        <v>黑色蛇纹</v>
      </c>
      <c r="V370" s="16" t="n">
        <v>10</v>
      </c>
      <c r="W370" s="8" t="str">
        <v>2026-10-08 至 2026-10-17</v>
      </c>
      <c r="X370" s="8" t="str">
        <v>2026-10-08、2026-10-09、2026-10-10、2026-10-11、2026-10-14、2026-10-15、2026-10-17</v>
      </c>
      <c r="Y370" s="8" t="str">
        <v>2026-10-12 有记录的停售日；2026-10-13 有记录的停售日；2026-10-16 有记录的停售日</v>
      </c>
      <c r="Z370" s="8" t="n">
        <v>0</v>
      </c>
      <c r="AA370" s="8" t="n">
        <v>0</v>
      </c>
      <c r="AB370" s="8" t="n">
        <v>7</v>
      </c>
      <c r="AC370" s="8" t="str">
        <v>2026-09-29 至 2026-10-17</v>
      </c>
      <c r="AD370" s="8" t="str">
        <v>2026-09-29、2026-09-30、2026-10-01、2026-10-02、2026-10-03、2026-10-04、2026-10-05、2026-10-08、2026-10-09、2026-10-10、2026-10-11、2026-10-14、2026-10-15、2026-10-17</v>
      </c>
      <c r="AE370" s="8" t="str">
        <v>2026-10-06 大促；2026-10-07 大促；2026-10-12 有记录的停售日；2026-10-13 有记录的停售日；2026-10-16 有记录的停售日</v>
      </c>
      <c r="AF370" s="8" t="n">
        <v>0</v>
      </c>
      <c r="AG370" s="8" t="n">
        <v>0</v>
      </c>
      <c r="AH370" s="8" t="n">
        <v>14</v>
      </c>
      <c r="AI370" s="8" t="str">
        <v>2026-09-13 至 2026-10-17</v>
      </c>
      <c r="AJ37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0" s="8" t="str">
        <v>2026-10-06 大促；2026-10-07 大促；2026-10-12 有记录的停售日；2026-10-13 有记录的停售日；2026-10-16 有记录的停售日</v>
      </c>
      <c r="AL370" s="8" t="n">
        <v>0</v>
      </c>
      <c r="AM370" s="8" t="n">
        <v>0</v>
      </c>
      <c r="AN370" s="8" t="n">
        <v>30</v>
      </c>
      <c r="AO370" s="8" t="str">
        <v>1S01 / 黑色蛇纹PU / 6574</v>
      </c>
      <c r="AP370" s="11" t="n">
        <v>0.8729500662042875</v>
      </c>
      <c r="AQ370" s="11" t="n">
        <v>0.9355747145678367</v>
      </c>
      <c r="AR370" s="11" t="n">
        <v>1.135973589331194</v>
      </c>
      <c r="AS370" s="11" t="n">
        <f>IF(AND(COUNT(I370:K370,AP370:AR370)=6,MIN(AP370:AR370)&gt;0),I370/7/AP370*0.5+J370/14/AQ370*0.3+K370/30/AR370*0.2,"")</f>
        <v>0</v>
      </c>
      <c r="AT370" s="8" t="n">
        <v>1</v>
      </c>
      <c r="AU370" s="8" t="n">
        <v>0</v>
      </c>
      <c r="AV370" s="8" t="n">
        <v>85</v>
      </c>
      <c r="AW370" s="11" t="n">
        <f>IF(AND(COUNT(AT370:AV370)=3,AT370&gt;=AU370,AU370&gt;=0,AV370&gt;0),(AT370-AU370)/AV370,"")</f>
        <v>0.011764705882352941</v>
      </c>
      <c r="AX370" s="8" t="n">
        <v>3</v>
      </c>
      <c r="AY370" s="8" t="n">
        <v>0</v>
      </c>
      <c r="AZ370" s="8" t="n">
        <v>175</v>
      </c>
      <c r="BA370" s="11" t="n">
        <f>IF(AND(COUNT(AX370:AZ370)=3,AX370&gt;=AY370,AY370&gt;=0,AZ370&gt;0),(AX370-AY370)/AZ370,"")</f>
        <v>0.017142857142857144</v>
      </c>
      <c r="BB370" s="8" t="n">
        <f>IF(COUNT(AS370,AW370,BA370)=3,1,0)</f>
        <v>1</v>
      </c>
      <c r="BC370" s="11" t="n">
        <f>IF(SUMIF($AO$11:$AO$1309,AO370,$BB$11:$BB$1309)=COUNTIF($AO$11:$AO$1309,AO370),SUMIF($AO$11:$AO$1309,AO370,$AS$11:$AS$1309),"")</f>
        <v>1.001631473973664</v>
      </c>
      <c r="BD370" s="11" t="n">
        <f>IF(SUMIF($AO$11:$AO$1309,AO370,$BB$11:$BB$1309)=COUNTIF($AO$11:$AO$1309,AO370),SUMIF($AO$11:$AO$1309,AO370,$AW$11:$AW$1309),"")</f>
        <v>0.6254010695187165</v>
      </c>
      <c r="BE370" s="11" t="n">
        <f>IF(SUMIF($AO$11:$AO$1309,AO370,$BB$11:$BB$1309)=COUNTIF($AO$11:$AO$1309,AO370),SUMIF($AO$11:$AO$1309,AO370,$BA$11:$BA$1309),"")</f>
        <v>0.5735152487961477</v>
      </c>
      <c r="BF370" s="12" t="n">
        <f>IF(COUNT(BD370:BE370)&lt;&gt;2,"",IF(AND(BD370&gt;0,BE370&gt;0),0.7*AW370/BD370+0.3*BA370/BE370,IF(BD370&gt;0,AW370/BD370,IF(BE370&gt;0,BA370/BE370,IF(AND(ISNUMBER(BH370),BH370=0),0,"")))))</f>
        <v>0.022135274929650874</v>
      </c>
      <c r="BG370" s="11" t="n">
        <f>IF(AND(COUNT(BN370:BU370)=8,MIN(BN370:BU370)&gt;=0),SUMPRODUCT(BN370:BQ370,BR370:BU370),"")</f>
        <v>63.935996265425516</v>
      </c>
      <c r="BH370" s="11" t="n">
        <f>IF(COUNT(BC370,BG370)=2,BC370*BG370,"")</f>
        <v>64.04030617931284</v>
      </c>
      <c r="BI370" s="11" t="n">
        <f>IF(ISNUMBER(CI370),CI370,"")</f>
        <v>1.4175497838581093</v>
      </c>
      <c r="BJ370" s="8" t="str"/>
      <c r="BK370" s="8" t="str">
        <v>90天：2026-07-20 至 2026-10-17；180天：2026-04-21 至 2026-10-17</v>
      </c>
      <c r="BL370" s="8" t="str">
        <v>90天：2026-10-06、2026-10-07、2026-10-12、2026-10-13、2026-10-16；180天：2026-10-06、2026-10-07、2026-10-12、2026-10-13、2026-10-16</v>
      </c>
      <c r="BM370" s="8" t="str">
        <v>2026-10：12天 × 0.8729500662042875；2026-11：30天 × 0.8057375774163482；2026-12：31天 × 0.532550303142279；2027-01：17天 × 0.7517299265337036</v>
      </c>
      <c r="BN370" s="11" t="n">
        <v>0.8729500662042875</v>
      </c>
      <c r="BO370" s="11" t="n">
        <v>0.8057375774163482</v>
      </c>
      <c r="BP370" s="11" t="n">
        <v>0.532550303142279</v>
      </c>
      <c r="BQ370" s="11" t="n">
        <v>0.7517299265337036</v>
      </c>
      <c r="BR370" s="8" t="n">
        <v>12</v>
      </c>
      <c r="BS370" s="8" t="n">
        <v>30</v>
      </c>
      <c r="BT370" s="8" t="n">
        <v>31</v>
      </c>
      <c r="BU370" s="8" t="n">
        <v>17</v>
      </c>
      <c r="BV370" s="11" t="n">
        <f>IF(COUNT(BC370,BF370)=2,BC370*BF370,"")</f>
        <v>0.022171388054598496</v>
      </c>
      <c r="BW370" s="11" t="n">
        <f>IF(ISNUMBER(BN370),BN370,"")</f>
        <v>0.8729500662042875</v>
      </c>
      <c r="BX370" s="14" t="n">
        <f>IF(ISNUMBER(BR370),BR370,"")</f>
        <v>12</v>
      </c>
      <c r="BY370" s="13" t="n">
        <f>IF(AND(COUNT(BV370,BW370,BX370)=3,MIN(BV370,BW370,BX370)&gt;=0),BV370*BW370*BX370,"")</f>
        <v>0.23225417604123247</v>
      </c>
      <c r="BZ370" s="11" t="n">
        <f>IF(ISNUMBER(BO370),BO370,"")</f>
        <v>0.8057375774163482</v>
      </c>
      <c r="CA370" s="14" t="n">
        <f>IF(ISNUMBER(BS370),BS370,"")</f>
        <v>30</v>
      </c>
      <c r="CB370" s="13" t="n">
        <f>IF(AND(COUNT(BV370,BZ370,CA370)=3,MIN(BV370,BZ370,CA370)&gt;=0),BV370*BZ370*CA370,"")</f>
        <v>0.5359296149720987</v>
      </c>
      <c r="CC370" s="11" t="n">
        <f>IF(ISNUMBER(BP370),BP370,"")</f>
        <v>0.532550303142279</v>
      </c>
      <c r="CD370" s="14" t="n">
        <f>IF(ISNUMBER(BT370),BT370,"")</f>
        <v>31</v>
      </c>
      <c r="CE370" s="13" t="n">
        <f>IF(AND(COUNT(BV370,CC370,CD370)=3,MIN(BV370,CC370,CD370)&gt;=0),BV370*CC370*CD370,"")</f>
        <v>0.3660287623164075</v>
      </c>
      <c r="CF370" s="11" t="n">
        <f>IF(ISNUMBER(BQ370),BQ370,"")</f>
        <v>0.7517299265337036</v>
      </c>
      <c r="CG370" s="14" t="n">
        <f>IF(ISNUMBER(BU370),BU370,"")</f>
        <v>17</v>
      </c>
      <c r="CH370" s="13" t="n">
        <f>IF(AND(COUNT(BV370,CF370,CG370)=3,MIN(BV370,CF370,CG370)&gt;=0),BV370*CF370*CG370,"")</f>
        <v>0.28333723052837056</v>
      </c>
      <c r="CI370" s="13" t="n">
        <f>IF(COUNT(BY370,CB370,CE370,CH370)=4,SUM(BY370,CB370,CE370,CH370),"")</f>
        <v>1.4175497838581093</v>
      </c>
    </row>
    <row r="371" ht="72" customHeight="1">
      <c r="A371" s="16" t="str">
        <v>2302153-BK-S-Z-10.5</v>
      </c>
      <c r="B371" s="16" t="str">
        <v>3店-SANDIEX-US</v>
      </c>
      <c r="C371" s="16" t="str">
        <v>徐新怡</v>
      </c>
      <c r="D371" s="26" t="n">
        <f>IF(NOT(ISNUMBER(E371)),"",IF(OR(E371&lt;=0,L371=0),0,IF(OR(NOT(ISNUMBER(F371)),F371&lt;0),"",MIN(E371,INT(F371)))))</f>
        <v>0</v>
      </c>
      <c r="E371" s="27" t="n">
        <f>IF(OR(NOT(ISNUMBER(L371)),COUNT(M371:O371)&lt;&gt;3,MIN(M371:O371)&lt;0),"",ROUNDUP(ROUND(BI371-SUM(M371:O371),10),0))</f>
        <v>2</v>
      </c>
      <c r="F371" s="28" t="n">
        <v>0</v>
      </c>
      <c r="G371" s="28" t="n">
        <f>IF(AND(ISNUMBER(D371),ISNUMBER(E371)),IF(OR(E371&lt;=0,L371=0),0,E371-D371),"")</f>
        <v>2</v>
      </c>
      <c r="H371" s="16" t="str">
        <f>IF(NOT(ISNUMBER(E371)),"销量或海外库存待补",IF(OR(E371&lt;=0,L371=0),IF(L371=0,"零日销，本批不发","本批无需补货"),IF(NOT(ISNUMBER(D371)),"国内库存待补",IF(D371=0,"国内无可用库存",IF(G371&gt;0,"先发国内现货","按建议量发货")))))</f>
        <v>国内无可用库存</v>
      </c>
      <c r="I371" s="28" t="n">
        <f>IF(AND(COUNT(Z371,AA371,AB371)=3,Z371&gt;=AA371,AA371&gt;=0,AB371=7),Z371-AA371,"")</f>
        <v>1</v>
      </c>
      <c r="J371" s="28" t="n">
        <f>IF(AND(COUNT(AF371,AG371,AH371)=3,AF371&gt;=AG371,AG371&gt;=0,AH371=14),AF371-AG371,"")</f>
        <v>3</v>
      </c>
      <c r="K371" s="28" t="n">
        <f>IF(AND(COUNT(AL371,AM371,AN371)=3,AL371&gt;=AM371,AM371&gt;=0,AN371=30),AL371-AM371,"")</f>
        <v>6</v>
      </c>
      <c r="L371" s="29" t="n">
        <f>IF(ISNUMBER(BI371),BI371/90,"")</f>
        <v>0.24213547463532237</v>
      </c>
      <c r="M371" s="28" t="n">
        <v>10</v>
      </c>
      <c r="N371" s="28" t="n">
        <v>0</v>
      </c>
      <c r="O371" s="28" t="n">
        <v>10</v>
      </c>
      <c r="P371" s="30" t="n">
        <f>IF(AND(ISNUMBER(L371),L371&gt;0,COUNT(M371:O371)=3,MIN(M371:O371)&gt;=0),SUM(M371:O371)/L371,"")</f>
        <v>82.59838848529644</v>
      </c>
      <c r="Q371" s="16" t="str">
        <v>沿用原计划SKU店铺</v>
      </c>
      <c r="R371" s="16" t="str">
        <v>已匹配</v>
      </c>
      <c r="S371" s="16" t="str">
        <v>在售</v>
      </c>
      <c r="T371" s="16" t="str">
        <v>2302153</v>
      </c>
      <c r="U371" s="16" t="str">
        <v>黑色</v>
      </c>
      <c r="V371" s="16" t="n">
        <v>10.5</v>
      </c>
      <c r="W371" s="8" t="str">
        <v>2026-10-11 至 2026-10-17</v>
      </c>
      <c r="X371" s="8" t="str">
        <v>2026-10-11、2026-10-12、2026-10-13、2026-10-14、2026-10-15、2026-10-16、2026-10-17</v>
      </c>
      <c r="Y371" s="8" t="str">
        <v>无</v>
      </c>
      <c r="Z371" s="8" t="n">
        <v>1</v>
      </c>
      <c r="AA371" s="8" t="n">
        <v>0</v>
      </c>
      <c r="AB371" s="8" t="n">
        <v>7</v>
      </c>
      <c r="AC371" s="8" t="str">
        <v>2026-10-02 至 2026-10-17</v>
      </c>
      <c r="AD371" s="8" t="str">
        <v>2026-10-02、2026-10-03、2026-10-04、2026-10-05、2026-10-08、2026-10-09、2026-10-10、2026-10-11、2026-10-12、2026-10-13、2026-10-14、2026-10-15、2026-10-16、2026-10-17</v>
      </c>
      <c r="AE371" s="8" t="str">
        <v>2026-10-06 大促；2026-10-07 大促</v>
      </c>
      <c r="AF371" s="8" t="n">
        <v>3</v>
      </c>
      <c r="AG371" s="8" t="n">
        <v>0</v>
      </c>
      <c r="AH371" s="8" t="n">
        <v>14</v>
      </c>
      <c r="AI371" s="8" t="str">
        <v>2026-09-16 至 2026-10-17</v>
      </c>
      <c r="AJ3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71" s="8" t="str">
        <v>2026-10-06 大促；2026-10-07 大促</v>
      </c>
      <c r="AL371" s="8" t="n">
        <v>6</v>
      </c>
      <c r="AM371" s="8" t="n">
        <v>0</v>
      </c>
      <c r="AN371" s="8" t="n">
        <v>30</v>
      </c>
      <c r="AO371" s="8" t="str">
        <v>2302153 / 黑色羊京绒 / 6574</v>
      </c>
      <c r="AP371" s="11" t="n">
        <v>1.7391279184229513</v>
      </c>
      <c r="AQ371" s="11" t="n">
        <v>1.7391279184229513</v>
      </c>
      <c r="AR371" s="11" t="n">
        <v>1.5731892896917212</v>
      </c>
      <c r="AS371" s="11" t="n">
        <f>IF(AND(COUNT(I371:K371,AP371:AR371)=6,MIN(AP371:AR371)&gt;0),I371/7/AP371*0.5+J371/14/AQ371*0.3+K371/30/AR371*0.2,"")</f>
        <v>0.10346188384572735</v>
      </c>
      <c r="AT371" s="8" t="n">
        <v>14</v>
      </c>
      <c r="AU371" s="8" t="n">
        <v>0</v>
      </c>
      <c r="AV371" s="8" t="n">
        <v>88</v>
      </c>
      <c r="AW371" s="11" t="n">
        <f>IF(AND(COUNT(AT371:AV371)=3,AT371&gt;=AU371,AU371&gt;=0,AV371&gt;0),(AT371-AU371)/AV371,"")</f>
        <v>0.1590909090909091</v>
      </c>
      <c r="AX371" s="8" t="n">
        <v>50</v>
      </c>
      <c r="AY371" s="8" t="n">
        <v>0</v>
      </c>
      <c r="AZ371" s="8" t="n">
        <v>178</v>
      </c>
      <c r="BA371" s="11" t="n">
        <f>IF(AND(COUNT(AX371:AZ371)=3,AX371&gt;=AY371,AY371&gt;=0,AZ371&gt;0),(AX371-AY371)/AZ371,"")</f>
        <v>0.2808988764044944</v>
      </c>
      <c r="BB371" s="8" t="n">
        <f>IF(COUNT(AS371,AW371,BA371)=3,1,0)</f>
        <v>1</v>
      </c>
      <c r="BC371" s="11" t="n">
        <f>IF(SUMIF($AO$11:$AO$1309,AO371,$BB$11:$BB$1309)=COUNTIF($AO$11:$AO$1309,AO371),SUMIF($AO$11:$AO$1309,AO371,$AS$11:$AS$1309),"")</f>
        <v>14.203593194271557</v>
      </c>
      <c r="BD371" s="11" t="n">
        <f>IF(SUMIF($AO$11:$AO$1309,AO371,$BB$11:$BB$1309)=COUNTIF($AO$11:$AO$1309,AO371),SUMIF($AO$11:$AO$1309,AO371,$AW$11:$AW$1309),"")</f>
        <v>15.818181818181818</v>
      </c>
      <c r="BE371" s="11" t="n">
        <f>IF(SUMIF($AO$11:$AO$1309,AO371,$BB$11:$BB$1309)=COUNTIF($AO$11:$AO$1309,AO371),SUMIF($AO$11:$AO$1309,AO371,$BA$11:$BA$1309),"")</f>
        <v>12.07865168539326</v>
      </c>
      <c r="BF371" s="12" t="n">
        <f>IF(COUNT(BD371:BE371)&lt;&gt;2,"",IF(AND(BD371&gt;0,BE371&gt;0),0.7*AW371/BD371+0.3*BA371/BE371,IF(BD371&gt;0,AW371/BD371,IF(BE371&gt;0,BA371/BE371,IF(AND(ISNUMBER(BH371),BH371=0),0,"")))))</f>
        <v>0.014016974071103982</v>
      </c>
      <c r="BG371" s="11" t="n">
        <f>IF(AND(COUNT(BN371:BU371)=8,MIN(BN371:BU371)&gt;=0),SUMPRODUCT(BN371:BQ371,BR371:BU371),"")</f>
        <v>109.4582336985339</v>
      </c>
      <c r="BH371" s="11" t="n">
        <f>IF(COUNT(BC371,BG371)=2,BC371*BG371,"")</f>
        <v>1554.7002232174816</v>
      </c>
      <c r="BI371" s="11" t="n">
        <f>IF(ISNUMBER(CI371),CI371,"")</f>
        <v>21.792192717179013</v>
      </c>
      <c r="BJ371" s="8" t="str"/>
      <c r="BK371" s="8" t="str">
        <v>90天：2026-07-20 至 2026-10-17；180天：2026-04-21 至 2026-10-17</v>
      </c>
      <c r="BL371" s="8" t="str">
        <v>90天：2026-10-06、2026-10-07；180天：2026-10-06、2026-10-07</v>
      </c>
      <c r="BM371" s="8" t="str">
        <v>2026-10：12天 × 1.7391279184229513；2026-11：30天 × 1.4002077845513243；2026-12：31天 × 1.079339935625147；2027-01：17天 × 0.7719368903846591</v>
      </c>
      <c r="BN371" s="11" t="n">
        <v>1.7391279184229513</v>
      </c>
      <c r="BO371" s="11" t="n">
        <v>1.4002077845513243</v>
      </c>
      <c r="BP371" s="11" t="n">
        <v>1.079339935625147</v>
      </c>
      <c r="BQ371" s="11" t="n">
        <v>0.7719368903846591</v>
      </c>
      <c r="BR371" s="8" t="n">
        <v>12</v>
      </c>
      <c r="BS371" s="8" t="n">
        <v>30</v>
      </c>
      <c r="BT371" s="8" t="n">
        <v>31</v>
      </c>
      <c r="BU371" s="8" t="n">
        <v>17</v>
      </c>
      <c r="BV371" s="11" t="n">
        <f>IF(COUNT(BC371,BF371)=2,BC371*BF371,"")</f>
        <v>0.1990913975206134</v>
      </c>
      <c r="BW371" s="11" t="n">
        <f>IF(ISNUMBER(BN371),BN371,"")</f>
        <v>1.7391279184229513</v>
      </c>
      <c r="BX371" s="14" t="n">
        <f>IF(ISNUMBER(BR371),BR371,"")</f>
        <v>12</v>
      </c>
      <c r="BY371" s="13" t="n">
        <f>IF(AND(COUNT(BV371,BW371,BX371)=3,MIN(BV371,BW371,BX371)&gt;=0),BV371*BW371*BX371,"")</f>
        <v>4.154944892951288</v>
      </c>
      <c r="BZ371" s="11" t="n">
        <f>IF(ISNUMBER(BO371),BO371,"")</f>
        <v>1.4002077845513243</v>
      </c>
      <c r="CA371" s="14" t="n">
        <f>IF(ISNUMBER(BS371),BS371,"")</f>
        <v>30</v>
      </c>
      <c r="CB371" s="13" t="n">
        <f>IF(AND(COUNT(BV371,BZ371,CA371)=3,MIN(BV371,BZ371,CA371)&gt;=0),BV371*BZ371*CA371,"")</f>
        <v>8.363079739366952</v>
      </c>
      <c r="CC371" s="11" t="n">
        <f>IF(ISNUMBER(BP371),BP371,"")</f>
        <v>1.079339935625147</v>
      </c>
      <c r="CD371" s="14" t="n">
        <f>IF(ISNUMBER(BT371),BT371,"")</f>
        <v>31</v>
      </c>
      <c r="CE371" s="13" t="n">
        <f>IF(AND(COUNT(BV371,CC371,CD371)=3,MIN(BV371,CC371,CD371)&gt;=0),BV371*CC371*CD371,"")</f>
        <v>6.6615061816860015</v>
      </c>
      <c r="CF371" s="11" t="n">
        <f>IF(ISNUMBER(BQ371),BQ371,"")</f>
        <v>0.7719368903846591</v>
      </c>
      <c r="CG371" s="14" t="n">
        <f>IF(ISNUMBER(BU371),BU371,"")</f>
        <v>17</v>
      </c>
      <c r="CH371" s="13" t="n">
        <f>IF(AND(COUNT(BV371,CF371,CG371)=3,MIN(BV371,CF371,CG371)&gt;=0),BV371*CF371*CG371,"")</f>
        <v>2.6126619031747715</v>
      </c>
      <c r="CI371" s="13" t="n">
        <f>IF(COUNT(BY371,CB371,CE371,CH371)=4,SUM(BY371,CB371,CE371,CH371),"")</f>
        <v>21.792192717179013</v>
      </c>
    </row>
    <row r="372" ht="72" customHeight="1">
      <c r="A372" s="16" t="str">
        <v>2302153-RD-S-Z-11</v>
      </c>
      <c r="B372" s="16" t="str">
        <v>3店-SANDIEX-US</v>
      </c>
      <c r="C372" s="16" t="str">
        <v>徐新怡</v>
      </c>
      <c r="D372" s="26" t="n">
        <f>IF(NOT(ISNUMBER(E372)),"",IF(OR(E372&lt;=0,L372=0),0,IF(OR(NOT(ISNUMBER(F372)),F372&lt;0),"",MIN(E372,INT(F372)))))</f>
        <v>0</v>
      </c>
      <c r="E372" s="27" t="n">
        <f>IF(OR(NOT(ISNUMBER(L372)),COUNT(M372:O372)&lt;&gt;3,MIN(M372:O372)&lt;0),"",ROUNDUP(ROUND(BI372-SUM(M372:O372),10),0))</f>
        <v>2</v>
      </c>
      <c r="F372" s="28" t="n">
        <v>0</v>
      </c>
      <c r="G372" s="28" t="n">
        <f>IF(AND(ISNUMBER(D372),ISNUMBER(E372)),IF(OR(E372&lt;=0,L372=0),0,E372-D372),"")</f>
        <v>2</v>
      </c>
      <c r="H372" s="16" t="str">
        <f>IF(NOT(ISNUMBER(E372)),"销量或海外库存待补",IF(OR(E372&lt;=0,L372=0),IF(L372=0,"零日销，本批不发","本批无需补货"),IF(NOT(ISNUMBER(D372)),"国内库存待补",IF(D372=0,"国内无可用库存",IF(G372&gt;0,"先发国内现货","按建议量发货")))))</f>
        <v>国内无可用库存</v>
      </c>
      <c r="I372" s="28" t="n">
        <f>IF(AND(COUNT(Z372,AA372,AB372)=3,Z372&gt;=AA372,AA372&gt;=0,AB372=7),Z372-AA372,"")</f>
        <v>4</v>
      </c>
      <c r="J372" s="28" t="n">
        <f>IF(AND(COUNT(AF372,AG372,AH372)=3,AF372&gt;=AG372,AG372&gt;=0,AH372=14),AF372-AG372,"")</f>
        <v>4</v>
      </c>
      <c r="K372" s="28" t="n">
        <f>IF(AND(COUNT(AL372,AM372,AN372)=3,AL372&gt;=AM372,AM372&gt;=0,AN372=30),AL372-AM372,"")</f>
        <v>7</v>
      </c>
      <c r="L372" s="29" t="n">
        <f>IF(ISNUMBER(BI372),BI372/90,"")</f>
        <v>0.17708933323892329</v>
      </c>
      <c r="M372" s="28" t="n">
        <v>14</v>
      </c>
      <c r="N372" s="28" t="n">
        <v>0</v>
      </c>
      <c r="O372" s="28" t="n">
        <v>0</v>
      </c>
      <c r="P372" s="30" t="n">
        <f>IF(AND(ISNUMBER(L372),L372&gt;0,COUNT(M372:O372)=3,MIN(M372:O372)&gt;=0),SUM(M372:O372)/L372,"")</f>
        <v>79.05614496335387</v>
      </c>
      <c r="Q372" s="16" t="str">
        <v>沿用原计划SKU店铺</v>
      </c>
      <c r="R372" s="16" t="str">
        <v>已匹配</v>
      </c>
      <c r="S372" s="16" t="str">
        <v>在售</v>
      </c>
      <c r="T372" s="16" t="str">
        <v>2302153</v>
      </c>
      <c r="U372" s="16" t="str">
        <v>红色</v>
      </c>
      <c r="V372" s="16" t="n">
        <v>11</v>
      </c>
      <c r="W372" s="8" t="str">
        <v>2026-10-11 至 2026-10-17</v>
      </c>
      <c r="X372" s="8" t="str">
        <v>2026-10-11、2026-10-12、2026-10-13、2026-10-14、2026-10-15、2026-10-16、2026-10-17</v>
      </c>
      <c r="Y372" s="8" t="str">
        <v>无</v>
      </c>
      <c r="Z372" s="8" t="n">
        <v>4</v>
      </c>
      <c r="AA372" s="8" t="n">
        <v>0</v>
      </c>
      <c r="AB372" s="8" t="n">
        <v>7</v>
      </c>
      <c r="AC372" s="8" t="str">
        <v>2026-10-02 至 2026-10-17</v>
      </c>
      <c r="AD372" s="8" t="str">
        <v>2026-10-02、2026-10-03、2026-10-04、2026-10-05、2026-10-08、2026-10-09、2026-10-10、2026-10-11、2026-10-12、2026-10-13、2026-10-14、2026-10-15、2026-10-16、2026-10-17</v>
      </c>
      <c r="AE372" s="8" t="str">
        <v>2026-10-06 大促；2026-10-07 大促</v>
      </c>
      <c r="AF372" s="8" t="n">
        <v>4</v>
      </c>
      <c r="AG372" s="8" t="n">
        <v>0</v>
      </c>
      <c r="AH372" s="8" t="n">
        <v>14</v>
      </c>
      <c r="AI372" s="8" t="str">
        <v>2026-09-16 至 2026-10-17</v>
      </c>
      <c r="AJ3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72" s="8" t="str">
        <v>2026-10-06 大促；2026-10-07 大促</v>
      </c>
      <c r="AL372" s="8" t="n">
        <v>7</v>
      </c>
      <c r="AM372" s="8" t="n">
        <v>0</v>
      </c>
      <c r="AN372" s="8" t="n">
        <v>30</v>
      </c>
      <c r="AO372" s="8" t="str">
        <v>2302153 / 红色羊京绒 / 6574</v>
      </c>
      <c r="AP372" s="11" t="n">
        <v>1.7391279184229513</v>
      </c>
      <c r="AQ372" s="11" t="n">
        <v>1.7391279184229513</v>
      </c>
      <c r="AR372" s="11" t="n">
        <v>1.5731892896917212</v>
      </c>
      <c r="AS372" s="11" t="n">
        <f>IF(AND(COUNT(I372:K372,AP372:AR372)=6,MIN(AP372:AR372)&gt;0),I372/7/AP372*0.5+J372/14/AQ372*0.3+K372/30/AR372*0.2,"")</f>
        <v>0.24323547034751308</v>
      </c>
      <c r="AT372" s="8" t="n">
        <v>8</v>
      </c>
      <c r="AU372" s="8" t="n">
        <v>0</v>
      </c>
      <c r="AV372" s="8" t="n">
        <v>88</v>
      </c>
      <c r="AW372" s="11" t="n">
        <f>IF(AND(COUNT(AT372:AV372)=3,AT372&gt;=AU372,AU372&gt;=0,AV372&gt;0),(AT372-AU372)/AV372,"")</f>
        <v>0.09090909090909091</v>
      </c>
      <c r="AX372" s="8" t="n">
        <v>17</v>
      </c>
      <c r="AY372" s="8" t="n">
        <v>0</v>
      </c>
      <c r="AZ372" s="8" t="n">
        <v>178</v>
      </c>
      <c r="BA372" s="11" t="n">
        <f>IF(AND(COUNT(AX372:AZ372)=3,AX372&gt;=AY372,AY372&gt;=0,AZ372&gt;0),(AX372-AY372)/AZ372,"")</f>
        <v>0.09550561797752809</v>
      </c>
      <c r="BB372" s="8" t="n">
        <f>IF(COUNT(AS372,AW372,BA372)=3,1,0)</f>
        <v>1</v>
      </c>
      <c r="BC372" s="11" t="n">
        <f>IF(SUMIF($AO$11:$AO$1309,AO372,$BB$11:$BB$1309)=COUNTIF($AO$11:$AO$1309,AO372),SUMIF($AO$11:$AO$1309,AO372,$AS$11:$AS$1309),"")</f>
        <v>0.5532040882147117</v>
      </c>
      <c r="BD372" s="11" t="n">
        <f>IF(SUMIF($AO$11:$AO$1309,AO372,$BB$11:$BB$1309)=COUNTIF($AO$11:$AO$1309,AO372),SUMIF($AO$11:$AO$1309,AO372,$AW$11:$AW$1309),"")</f>
        <v>0.3535973323498679</v>
      </c>
      <c r="BE372" s="11" t="n">
        <f>IF(SUMIF($AO$11:$AO$1309,AO372,$BB$11:$BB$1309)=COUNTIF($AO$11:$AO$1309,AO372),SUMIF($AO$11:$AO$1309,AO372,$BA$11:$BA$1309),"")</f>
        <v>0.34420255552230417</v>
      </c>
      <c r="BF372" s="12" t="n">
        <f>IF(COUNT(BD372:BE372)&lt;&gt;2,"",IF(AND(BD372&gt;0,BE372&gt;0),0.7*AW372/BD372+0.3*BA372/BE372,IF(BD372&gt;0,AW372/BD372,IF(BE372&gt;0,BA372/BE372,IF(AND(ISNUMBER(BH372),BH372=0),0,"")))))</f>
        <v>0.26320921840183026</v>
      </c>
      <c r="BG372" s="11" t="n">
        <f>IF(AND(COUNT(BN372:BU372)=8,MIN(BN372:BU372)&gt;=0),SUMPRODUCT(BN372:BQ372,BR372:BU372),"")</f>
        <v>109.4582336985339</v>
      </c>
      <c r="BH372" s="11" t="n">
        <f>IF(COUNT(BC372,BG372)=2,BC372*BG372,"")</f>
        <v>60.55274237079028</v>
      </c>
      <c r="BI372" s="11" t="n">
        <f>IF(ISNUMBER(CI372),CI372,"")</f>
        <v>15.938039991503096</v>
      </c>
      <c r="BJ372" s="8" t="str">
        <v>近180天本色销量75双（＜90），无有效新采购，请运营判断</v>
      </c>
      <c r="BK372" s="8" t="str">
        <v>90天：2026-07-20 至 2026-10-17；180天：2026-04-21 至 2026-10-17</v>
      </c>
      <c r="BL372" s="8" t="str">
        <v>90天：2026-10-06、2026-10-07；180天：2026-10-06、2026-10-07</v>
      </c>
      <c r="BM372" s="8" t="str">
        <v>2026-10：12天 × 1.7391279184229513；2026-11：30天 × 1.4002077845513243；2026-12：31天 × 1.079339935625147；2027-01：17天 × 0.7719368903846591</v>
      </c>
      <c r="BN372" s="11" t="n">
        <v>1.7391279184229513</v>
      </c>
      <c r="BO372" s="11" t="n">
        <v>1.4002077845513243</v>
      </c>
      <c r="BP372" s="11" t="n">
        <v>1.079339935625147</v>
      </c>
      <c r="BQ372" s="11" t="n">
        <v>0.7719368903846591</v>
      </c>
      <c r="BR372" s="8" t="n">
        <v>12</v>
      </c>
      <c r="BS372" s="8" t="n">
        <v>30</v>
      </c>
      <c r="BT372" s="8" t="n">
        <v>31</v>
      </c>
      <c r="BU372" s="8" t="n">
        <v>17</v>
      </c>
      <c r="BV372" s="11" t="n">
        <f>IF(COUNT(BC372,BF372)=2,BC372*BF372,"")</f>
        <v>0.1456084156756914</v>
      </c>
      <c r="BW372" s="11" t="n">
        <f>IF(ISNUMBER(BN372),BN372,"")</f>
        <v>1.7391279184229513</v>
      </c>
      <c r="BX372" s="14" t="n">
        <f>IF(ISNUMBER(BR372),BR372,"")</f>
        <v>12</v>
      </c>
      <c r="BY372" s="13" t="n">
        <f>IF(AND(COUNT(BV372,BW372,BX372)=3,MIN(BV372,BW372,BX372)&gt;=0),BV372*BW372*BX372,"")</f>
        <v>3.0387799303071485</v>
      </c>
      <c r="BZ372" s="11" t="n">
        <f>IF(ISNUMBER(BO372),BO372,"")</f>
        <v>1.4002077845513243</v>
      </c>
      <c r="CA372" s="14" t="n">
        <f>IF(ISNUMBER(BS372),BS372,"")</f>
        <v>30</v>
      </c>
      <c r="CB372" s="13" t="n">
        <f>IF(AND(COUNT(BV372,BZ372,CA372)=3,MIN(BV372,BZ372,CA372)&gt;=0),BV372*BZ372*CA372,"")</f>
        <v>6.116461113758645</v>
      </c>
      <c r="CC372" s="11" t="n">
        <f>IF(ISNUMBER(BP372),BP372,"")</f>
        <v>1.079339935625147</v>
      </c>
      <c r="CD372" s="14" t="n">
        <f>IF(ISNUMBER(BT372),BT372,"")</f>
        <v>31</v>
      </c>
      <c r="CE372" s="13" t="n">
        <f>IF(AND(COUNT(BV372,CC372,CD372)=3,MIN(BV372,CC372,CD372)&gt;=0),BV372*CC372*CD372,"")</f>
        <v>4.871990318058293</v>
      </c>
      <c r="CF372" s="11" t="n">
        <f>IF(ISNUMBER(BQ372),BQ372,"")</f>
        <v>0.7719368903846591</v>
      </c>
      <c r="CG372" s="14" t="n">
        <f>IF(ISNUMBER(BU372),BU372,"")</f>
        <v>17</v>
      </c>
      <c r="CH372" s="13" t="n">
        <f>IF(AND(COUNT(BV372,CF372,CG372)=3,MIN(BV372,CF372,CG372)&gt;=0),BV372*CF372*CG372,"")</f>
        <v>1.9108086293790112</v>
      </c>
      <c r="CI372" s="13" t="n">
        <f>IF(COUNT(BY372,CB372,CE372,CH372)=4,SUM(BY372,CB372,CE372,CH372),"")</f>
        <v>15.938039991503096</v>
      </c>
    </row>
    <row r="373" ht="72" customHeight="1">
      <c r="A373" s="16" t="str">
        <v>32582-PK-39</v>
      </c>
      <c r="B373" s="16" t="str">
        <v>3店-SANDIEX-US</v>
      </c>
      <c r="C373" s="16" t="str">
        <v>徐新怡</v>
      </c>
      <c r="D373" s="26" t="n">
        <f>IF(NOT(ISNUMBER(E373)),"",IF(OR(E373&lt;=0,L373=0),0,IF(OR(NOT(ISNUMBER(F373)),F373&lt;0),"",MIN(E373,INT(F373)))))</f>
        <v>0</v>
      </c>
      <c r="E373" s="27" t="n">
        <f>IF(OR(NOT(ISNUMBER(L373)),COUNT(M373:O373)&lt;&gt;3,MIN(M373:O373)&lt;0),"",ROUNDUP(ROUND(BI373-SUM(M373:O373),10),0))</f>
        <v>2</v>
      </c>
      <c r="F373" s="28" t="n">
        <v>0</v>
      </c>
      <c r="G373" s="28" t="n">
        <f>IF(AND(ISNUMBER(D373),ISNUMBER(E373)),IF(OR(E373&lt;=0,L373=0),0,E373-D373),"")</f>
        <v>2</v>
      </c>
      <c r="H373" s="16" t="str">
        <f>IF(NOT(ISNUMBER(E373)),"销量或海外库存待补",IF(OR(E373&lt;=0,L373=0),IF(L373=0,"零日销，本批不发","本批无需补货"),IF(NOT(ISNUMBER(D373)),"国内库存待补",IF(D373=0,"国内无可用库存",IF(G373&gt;0,"先发国内现货","按建议量发货")))))</f>
        <v>国内无可用库存</v>
      </c>
      <c r="I373" s="28" t="n">
        <f>IF(AND(COUNT(Z373,AA373,AB373)=3,Z373&gt;=AA373,AA373&gt;=0,AB373=7),Z373-AA373,"")</f>
        <v>0</v>
      </c>
      <c r="J373" s="28" t="n">
        <f>IF(AND(COUNT(AF373,AG373,AH373)=3,AF373&gt;=AG373,AG373&gt;=0,AH373=14),AF373-AG373,"")</f>
        <v>0</v>
      </c>
      <c r="K373" s="28" t="n">
        <f>IF(AND(COUNT(AL373,AM373,AN373)=3,AL373&gt;=AM373,AM373&gt;=0,AN373=30),AL373-AM373,"")</f>
        <v>0</v>
      </c>
      <c r="L373" s="29" t="n">
        <f>IF(ISNUMBER(BI373),BI373/90,"")</f>
        <v>0.017203111164023458</v>
      </c>
      <c r="M373" s="28" t="n">
        <v>0</v>
      </c>
      <c r="N373" s="28" t="n">
        <v>0</v>
      </c>
      <c r="O373" s="28" t="n">
        <v>0</v>
      </c>
      <c r="P373" s="30" t="n">
        <f>IF(AND(ISNUMBER(L373),L373&gt;0,COUNT(M373:O373)=3,MIN(M373:O373)&gt;=0),SUM(M373:O373)/L373,"")</f>
        <v>0</v>
      </c>
      <c r="Q373" s="16" t="str">
        <v>沿用原计划SKU店铺</v>
      </c>
      <c r="R373" s="16" t="str">
        <v>已匹配</v>
      </c>
      <c r="S373" s="16" t="str">
        <v>停售</v>
      </c>
      <c r="T373" s="16" t="str">
        <v>32582</v>
      </c>
      <c r="U373" s="16" t="str">
        <v>粉色</v>
      </c>
      <c r="V373" s="16" t="n">
        <v>8</v>
      </c>
      <c r="W373" s="8" t="str">
        <v>2026-10-08 至 2026-10-17</v>
      </c>
      <c r="X373" s="8" t="str">
        <v>2026-10-08、2026-10-09、2026-10-10、2026-10-11、2026-10-14、2026-10-15、2026-10-17</v>
      </c>
      <c r="Y373" s="8" t="str">
        <v>2026-10-12 有记录的停售日；2026-10-13 有记录的停售日；2026-10-16 有记录的停售日</v>
      </c>
      <c r="Z373" s="8" t="n">
        <v>0</v>
      </c>
      <c r="AA373" s="8" t="n">
        <v>0</v>
      </c>
      <c r="AB373" s="8" t="n">
        <v>7</v>
      </c>
      <c r="AC373" s="8" t="str">
        <v>2026-09-29 至 2026-10-17</v>
      </c>
      <c r="AD373" s="8" t="str">
        <v>2026-09-29、2026-09-30、2026-10-01、2026-10-02、2026-10-03、2026-10-04、2026-10-05、2026-10-08、2026-10-09、2026-10-10、2026-10-11、2026-10-14、2026-10-15、2026-10-17</v>
      </c>
      <c r="AE373" s="8" t="str">
        <v>2026-10-06 大促；2026-10-07 大促；2026-10-12 有记录的停售日；2026-10-13 有记录的停售日；2026-10-16 有记录的停售日</v>
      </c>
      <c r="AF373" s="8" t="n">
        <v>0</v>
      </c>
      <c r="AG373" s="8" t="n">
        <v>0</v>
      </c>
      <c r="AH373" s="8" t="n">
        <v>14</v>
      </c>
      <c r="AI373" s="8" t="str">
        <v>2026-09-13 至 2026-10-17</v>
      </c>
      <c r="AJ37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3" s="8" t="str">
        <v>2026-10-06 大促；2026-10-07 大促；2026-10-12 有记录的停售日；2026-10-13 有记录的停售日；2026-10-16 有记录的停售日</v>
      </c>
      <c r="AL373" s="8" t="n">
        <v>0</v>
      </c>
      <c r="AM373" s="8" t="n">
        <v>0</v>
      </c>
      <c r="AN373" s="8" t="n">
        <v>30</v>
      </c>
      <c r="AO373" s="8" t="str">
        <v>32582 / 粉色羊京绒 / 6574</v>
      </c>
      <c r="AP373" s="11" t="n">
        <v>1.0395067087630607</v>
      </c>
      <c r="AQ373" s="11" t="n">
        <v>1.048428692110265</v>
      </c>
      <c r="AR373" s="11" t="n">
        <v>1.076979038821319</v>
      </c>
      <c r="AS373" s="11" t="n">
        <f>IF(AND(COUNT(I373:K373,AP373:AR373)=6,MIN(AP373:AR373)&gt;0),I373/7/AP373*0.5+J373/14/AQ373*0.3+K373/30/AR373*0.2,"")</f>
        <v>0</v>
      </c>
      <c r="AT373" s="8" t="n">
        <v>2</v>
      </c>
      <c r="AU373" s="8" t="n">
        <v>0</v>
      </c>
      <c r="AV373" s="8" t="n">
        <v>85</v>
      </c>
      <c r="AW373" s="11" t="n">
        <f>IF(AND(COUNT(AT373:AV373)=3,AT373&gt;=AU373,AU373&gt;=0,AV373&gt;0),(AT373-AU373)/AV373,"")</f>
        <v>0.023529411764705882</v>
      </c>
      <c r="AX373" s="8" t="n">
        <v>12</v>
      </c>
      <c r="AY373" s="8" t="n">
        <v>0</v>
      </c>
      <c r="AZ373" s="8" t="n">
        <v>175</v>
      </c>
      <c r="BA373" s="11" t="n">
        <f>IF(AND(COUNT(AX373:AZ373)=3,AX373&gt;=AY373,AY373&gt;=0,AZ373&gt;0),(AX373-AY373)/AZ373,"")</f>
        <v>0.06857142857142857</v>
      </c>
      <c r="BB373" s="8" t="n">
        <f>IF(COUNT(AS373,AW373,BA373)=3,1,0)</f>
        <v>1</v>
      </c>
      <c r="BC373" s="11" t="n">
        <f>IF(SUMIF($AO$11:$AO$1309,AO373,$BB$11:$BB$1309)=COUNTIF($AO$11:$AO$1309,AO373),SUMIF($AO$11:$AO$1309,AO373,$AS$11:$AS$1309),"")</f>
        <v>0.13201914161115513</v>
      </c>
      <c r="BD373" s="11" t="n">
        <f>IF(SUMIF($AO$11:$AO$1309,AO373,$BB$11:$BB$1309)=COUNTIF($AO$11:$AO$1309,AO373),SUMIF($AO$11:$AO$1309,AO373,$AW$11:$AW$1309),"")</f>
        <v>0.2418449197860963</v>
      </c>
      <c r="BE373" s="11" t="n">
        <f>IF(SUMIF($AO$11:$AO$1309,AO373,$BB$11:$BB$1309)=COUNTIF($AO$11:$AO$1309,AO373),SUMIF($AO$11:$AO$1309,AO373,$BA$11:$BA$1309),"")</f>
        <v>0.31768860353130013</v>
      </c>
      <c r="BF373" s="12" t="n">
        <f>IF(COUNT(BD373:BE373)&lt;&gt;2,"",IF(AND(BD373&gt;0,BE373&gt;0),0.7*AW373/BD373+0.3*BA373/BE373,IF(BD373&gt;0,AW373/BD373,IF(BE373&gt;0,BA373/BE373,IF(AND(ISNUMBER(BH373),BH373=0),0,"")))))</f>
        <v>0.13285736055195144</v>
      </c>
      <c r="BG373" s="11" t="n">
        <f>IF(AND(COUNT(BN373:BU373)=8,MIN(BN373:BU373)&gt;=0),SUMPRODUCT(BN373:BQ373,BR373:BU373),"")</f>
        <v>88.27281580841549</v>
      </c>
      <c r="BH373" s="11" t="n">
        <f>IF(COUNT(BC373,BG373)=2,BC373*BG373,"")</f>
        <v>11.653701370626617</v>
      </c>
      <c r="BI373" s="11" t="n">
        <f>IF(ISNUMBER(CI373),CI373,"")</f>
        <v>1.5482800047621113</v>
      </c>
      <c r="BJ373" s="8" t="str">
        <v>近180天本色销量57双（＜90），无有效新采购，请运营判断</v>
      </c>
      <c r="BK373" s="8" t="str">
        <v>90天：2026-07-20 至 2026-10-17；180天：2026-04-21 至 2026-10-17</v>
      </c>
      <c r="BL373" s="8" t="str">
        <v>90天：2026-10-06、2026-10-07、2026-10-12、2026-10-13、2026-10-16；180天：2026-10-06、2026-10-07、2026-10-12、2026-10-13、2026-10-16</v>
      </c>
      <c r="BM373" s="8" t="str">
        <v>2026-10：12天 × 1.0395067087630607；2026-11：30天 × 0.9890368360033146；2026-12：31天 × 0.7800796503018808；2027-01：17天 × 1.2908918272824135</v>
      </c>
      <c r="BN373" s="11" t="n">
        <v>1.0395067087630607</v>
      </c>
      <c r="BO373" s="11" t="n">
        <v>0.9890368360033146</v>
      </c>
      <c r="BP373" s="11" t="n">
        <v>0.7800796503018808</v>
      </c>
      <c r="BQ373" s="11" t="n">
        <v>1.2908918272824135</v>
      </c>
      <c r="BR373" s="8" t="n">
        <v>12</v>
      </c>
      <c r="BS373" s="8" t="n">
        <v>30</v>
      </c>
      <c r="BT373" s="8" t="n">
        <v>31</v>
      </c>
      <c r="BU373" s="8" t="n">
        <v>17</v>
      </c>
      <c r="BV373" s="11" t="n">
        <f>IF(COUNT(BC373,BF373)=2,BC373*BF373,"")</f>
        <v>0.01753971469679237</v>
      </c>
      <c r="BW373" s="11" t="n">
        <f>IF(ISNUMBER(BN373),BN373,"")</f>
        <v>1.0395067087630607</v>
      </c>
      <c r="BX373" s="14" t="n">
        <f>IF(ISNUMBER(BR373),BR373,"")</f>
        <v>12</v>
      </c>
      <c r="BY373" s="13" t="n">
        <f>IF(AND(COUNT(BV373,BW373,BX373)=3,MIN(BV373,BW373,BX373)&gt;=0),BV373*BW373*BX373,"")</f>
        <v>0.2187918131652687</v>
      </c>
      <c r="BZ373" s="11" t="n">
        <f>IF(ISNUMBER(BO373),BO373,"")</f>
        <v>0.9890368360033146</v>
      </c>
      <c r="CA373" s="14" t="n">
        <f>IF(ISNUMBER(BS373),BS373,"")</f>
        <v>30</v>
      </c>
      <c r="CB373" s="13" t="n">
        <f>IF(AND(COUNT(BV373,BZ373,CA373)=3,MIN(BV373,BZ373,CA373)&gt;=0),BV373*BZ373*CA373,"")</f>
        <v>0.5204227178434908</v>
      </c>
      <c r="CC373" s="11" t="n">
        <f>IF(ISNUMBER(BP373),BP373,"")</f>
        <v>0.7800796503018808</v>
      </c>
      <c r="CD373" s="14" t="n">
        <f>IF(ISNUMBER(BT373),BT373,"")</f>
        <v>31</v>
      </c>
      <c r="CE373" s="13" t="n">
        <f>IF(AND(COUNT(BV373,CC373,CD373)=3,MIN(BV373,CC373,CD373)&gt;=0),BV373*CC373*CD373,"")</f>
        <v>0.4241536097191251</v>
      </c>
      <c r="CF373" s="11" t="n">
        <f>IF(ISNUMBER(BQ373),BQ373,"")</f>
        <v>1.2908918272824135</v>
      </c>
      <c r="CG373" s="14" t="n">
        <f>IF(ISNUMBER(BU373),BU373,"")</f>
        <v>17</v>
      </c>
      <c r="CH373" s="13" t="n">
        <f>IF(AND(COUNT(BV373,CF373,CG373)=3,MIN(BV373,CF373,CG373)&gt;=0),BV373*CF373*CG373,"")</f>
        <v>0.3849118640342266</v>
      </c>
      <c r="CI373" s="13" t="n">
        <f>IF(COUNT(BY373,CB373,CE373,CH373)=4,SUM(BY373,CB373,CE373,CH373),"")</f>
        <v>1.5482800047621113</v>
      </c>
    </row>
    <row r="374" ht="72" customHeight="1">
      <c r="A374" s="16" t="str">
        <v>60516-RD-S-K-10.5</v>
      </c>
      <c r="B374" s="16" t="str">
        <v>3店-SANDIEX-US</v>
      </c>
      <c r="C374" s="16" t="str">
        <v>徐新怡</v>
      </c>
      <c r="D374" s="26" t="n">
        <f>IF(NOT(ISNUMBER(E374)),"",IF(OR(E374&lt;=0,L374=0),0,IF(OR(NOT(ISNUMBER(F374)),F374&lt;0),"",MIN(E374,INT(F374)))))</f>
        <v>0</v>
      </c>
      <c r="E374" s="27" t="n">
        <f>IF(OR(NOT(ISNUMBER(L374)),COUNT(M374:O374)&lt;&gt;3,MIN(M374:O374)&lt;0),"",ROUNDUP(ROUND(BI374-SUM(M374:O374),10),0))</f>
        <v>2</v>
      </c>
      <c r="F374" s="28" t="n">
        <v>0</v>
      </c>
      <c r="G374" s="28" t="n">
        <f>IF(AND(ISNUMBER(D374),ISNUMBER(E374)),IF(OR(E374&lt;=0,L374=0),0,E374-D374),"")</f>
        <v>2</v>
      </c>
      <c r="H374" s="16" t="str">
        <f>IF(NOT(ISNUMBER(E374)),"销量或海外库存待补",IF(OR(E374&lt;=0,L374=0),IF(L374=0,"零日销，本批不发","本批无需补货"),IF(NOT(ISNUMBER(D374)),"国内库存待补",IF(D374=0,"国内无可用库存",IF(G374&gt;0,"先发国内现货","按建议量发货")))))</f>
        <v>国内无可用库存</v>
      </c>
      <c r="I374" s="28" t="n">
        <f>IF(AND(COUNT(Z374,AA374,AB374)=3,Z374&gt;=AA374,AA374&gt;=0,AB374=7),Z374-AA374,"")</f>
        <v>0</v>
      </c>
      <c r="J374" s="28" t="n">
        <f>IF(AND(COUNT(AF374,AG374,AH374)=3,AF374&gt;=AG374,AG374&gt;=0,AH374=14),AF374-AG374,"")</f>
        <v>1</v>
      </c>
      <c r="K374" s="28" t="n">
        <f>IF(AND(COUNT(AL374,AM374,AN374)=3,AL374&gt;=AM374,AM374&gt;=0,AN374=30),AL374-AM374,"")</f>
        <v>1</v>
      </c>
      <c r="L374" s="29" t="n">
        <f>IF(ISNUMBER(BI374),BI374/90,"")</f>
        <v>0.012730831315845672</v>
      </c>
      <c r="M374" s="28" t="n">
        <v>0</v>
      </c>
      <c r="N374" s="28" t="n">
        <v>0</v>
      </c>
      <c r="O374" s="28" t="n">
        <v>0</v>
      </c>
      <c r="P374" s="30" t="n">
        <f>IF(AND(ISNUMBER(L374),L374&gt;0,COUNT(M374:O374)=3,MIN(M374:O374)&gt;=0),SUM(M374:O374)/L374,"")</f>
        <v>0</v>
      </c>
      <c r="Q374" s="16" t="str">
        <v>按本SKU唯一未删除Listing店铺核实</v>
      </c>
      <c r="R374" s="16" t="str">
        <v>已匹配</v>
      </c>
      <c r="S374" s="16" t="str">
        <v>停售</v>
      </c>
      <c r="T374" s="16" t="str">
        <v>60516</v>
      </c>
      <c r="U374" s="16" t="str">
        <v>红色</v>
      </c>
      <c r="V374" s="16" t="n">
        <v>10.5</v>
      </c>
      <c r="W374" s="8" t="str">
        <v>2026-10-08 至 2026-10-17</v>
      </c>
      <c r="X374" s="8" t="str">
        <v>2026-10-08、2026-10-09、2026-10-10、2026-10-11、2026-10-14、2026-10-15、2026-10-17</v>
      </c>
      <c r="Y374" s="8" t="str">
        <v>2026-10-12 有记录的停售日；2026-10-13 有记录的停售日；2026-10-16 有记录的停售日</v>
      </c>
      <c r="Z374" s="8" t="n">
        <v>0</v>
      </c>
      <c r="AA374" s="8" t="n">
        <v>0</v>
      </c>
      <c r="AB374" s="8" t="n">
        <v>7</v>
      </c>
      <c r="AC374" s="8" t="str">
        <v>2026-09-29 至 2026-10-17</v>
      </c>
      <c r="AD374" s="8" t="str">
        <v>2026-09-29、2026-09-30、2026-10-01、2026-10-02、2026-10-03、2026-10-04、2026-10-05、2026-10-08、2026-10-09、2026-10-10、2026-10-11、2026-10-14、2026-10-15、2026-10-17</v>
      </c>
      <c r="AE374" s="8" t="str">
        <v>2026-10-06 大促；2026-10-07 大促；2026-10-12 有记录的停售日；2026-10-13 有记录的停售日；2026-10-16 有记录的停售日</v>
      </c>
      <c r="AF374" s="8" t="n">
        <v>1</v>
      </c>
      <c r="AG374" s="8" t="n">
        <v>0</v>
      </c>
      <c r="AH374" s="8" t="n">
        <v>14</v>
      </c>
      <c r="AI374" s="8" t="str">
        <v>2026-09-13 至 2026-10-17</v>
      </c>
      <c r="AJ37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4" s="8" t="str">
        <v>2026-10-06 大促；2026-10-07 大促；2026-10-12 有记录的停售日；2026-10-13 有记录的停售日；2026-10-16 有记录的停售日</v>
      </c>
      <c r="AL374" s="8" t="n">
        <v>1</v>
      </c>
      <c r="AM374" s="8" t="n">
        <v>0</v>
      </c>
      <c r="AN374" s="8" t="n">
        <v>30</v>
      </c>
      <c r="AO374" s="8" t="str">
        <v>60516 / 红色羊京绒 / 6574</v>
      </c>
      <c r="AP374" s="11" t="n">
        <v>1.8609238953732312</v>
      </c>
      <c r="AQ374" s="11" t="n">
        <v>1.832044958686392</v>
      </c>
      <c r="AR374" s="11" t="n">
        <v>1.7396323612885067</v>
      </c>
      <c r="AS374" s="11" t="n">
        <f>IF(AND(COUNT(I374:K374,AP374:AR374)=6,MIN(AP374:AR374)&gt;0),I374/7/AP374*0.5+J374/14/AQ374*0.3+K374/30/AR374*0.2,"")</f>
        <v>0.015528758746380175</v>
      </c>
      <c r="AT374" s="8" t="n">
        <v>1</v>
      </c>
      <c r="AU374" s="8" t="n">
        <v>0</v>
      </c>
      <c r="AV374" s="8" t="n">
        <v>85</v>
      </c>
      <c r="AW374" s="11" t="n">
        <f>IF(AND(COUNT(AT374:AV374)=3,AT374&gt;=AU374,AU374&gt;=0,AV374&gt;0),(AT374-AU374)/AV374,"")</f>
        <v>0.011764705882352941</v>
      </c>
      <c r="AX374" s="8" t="n">
        <v>2</v>
      </c>
      <c r="AY374" s="8" t="n">
        <v>0</v>
      </c>
      <c r="AZ374" s="8" t="n">
        <v>175</v>
      </c>
      <c r="BA374" s="11" t="n">
        <f>IF(AND(COUNT(AX374:AZ374)=3,AX374&gt;=AY374,AY374&gt;=0,AZ374&gt;0),(AX374-AY374)/AZ374,"")</f>
        <v>0.011428571428571429</v>
      </c>
      <c r="BB374" s="8" t="n">
        <f>IF(COUNT(AS374,AW374,BA374)=3,1,0)</f>
        <v>1</v>
      </c>
      <c r="BC374" s="11" t="n">
        <f>IF(SUMIF($AO$11:$AO$1309,AO374,$BB$11:$BB$1309)=COUNTIF($AO$11:$AO$1309,AO374),SUMIF($AO$11:$AO$1309,AO374,$AS$11:$AS$1309),"")</f>
        <v>0.3946219562135558</v>
      </c>
      <c r="BD374" s="11" t="n">
        <f>IF(SUMIF($AO$11:$AO$1309,AO374,$BB$11:$BB$1309)=COUNTIF($AO$11:$AO$1309,AO374),SUMIF($AO$11:$AO$1309,AO374,$AW$11:$AW$1309),"")</f>
        <v>0.4780748663101604</v>
      </c>
      <c r="BE374" s="11" t="n">
        <f>IF(SUMIF($AO$11:$AO$1309,AO374,$BB$11:$BB$1309)=COUNTIF($AO$11:$AO$1309,AO374),SUMIF($AO$11:$AO$1309,AO374,$BA$11:$BA$1309),"")</f>
        <v>0.3713643659711075</v>
      </c>
      <c r="BF374" s="12" t="n">
        <f>IF(COUNT(BD374:BE374)&lt;&gt;2,"",IF(AND(BD374&gt;0,BE374&gt;0),0.7*AW374/BD374+0.3*BA374/BE374,IF(BD374&gt;0,AW374/BD374,IF(BE374&gt;0,BA374/BE374,IF(AND(ISNUMBER(BH374),BH374=0),0,"")))))</f>
        <v>0.02645831592822598</v>
      </c>
      <c r="BG374" s="11" t="n">
        <f>IF(AND(COUNT(BN374:BU374)=8,MIN(BN374:BU374)&gt;=0),SUMPRODUCT(BN374:BQ374,BR374:BU374),"")</f>
        <v>109.73769409574882</v>
      </c>
      <c r="BH374" s="11" t="n">
        <f>IF(COUNT(BC374,BG374)=2,BC374*BG374,"")</f>
        <v>43.30490351442917</v>
      </c>
      <c r="BI374" s="11" t="n">
        <f>IF(ISNUMBER(CI374),CI374,"")</f>
        <v>1.1457748184261105</v>
      </c>
      <c r="BJ374" s="8" t="str">
        <v>近180天本色销量78双（＜90），无有效新采购，请运营判断</v>
      </c>
      <c r="BK374" s="8" t="str">
        <v>90天：2026-07-20 至 2026-10-17；180天：2026-04-21 至 2026-10-17</v>
      </c>
      <c r="BL374" s="8" t="str">
        <v>90天：2026-10-06、2026-10-07、2026-10-12、2026-10-13、2026-10-16；180天：2026-10-06、2026-10-07、2026-10-12、2026-10-13、2026-10-16</v>
      </c>
      <c r="BM374" s="8" t="str">
        <v>2026-10：12天 × 1.8609238953732312；2026-11：30天 × 1.438375649833085；2026-12：31天 × 0.9519742599124907；2027-01：17天 × 0.8673021058229575</v>
      </c>
      <c r="BN374" s="11" t="n">
        <v>1.8609238953732312</v>
      </c>
      <c r="BO374" s="11" t="n">
        <v>1.438375649833085</v>
      </c>
      <c r="BP374" s="11" t="n">
        <v>0.9519742599124907</v>
      </c>
      <c r="BQ374" s="11" t="n">
        <v>0.8673021058229575</v>
      </c>
      <c r="BR374" s="8" t="n">
        <v>12</v>
      </c>
      <c r="BS374" s="8" t="n">
        <v>30</v>
      </c>
      <c r="BT374" s="8" t="n">
        <v>31</v>
      </c>
      <c r="BU374" s="8" t="n">
        <v>17</v>
      </c>
      <c r="BV374" s="11" t="n">
        <f>IF(COUNT(BC374,BF374)=2,BC374*BF374,"")</f>
        <v>0.010441032389712817</v>
      </c>
      <c r="BW374" s="11" t="n">
        <f>IF(ISNUMBER(BN374),BN374,"")</f>
        <v>1.8609238953732312</v>
      </c>
      <c r="BX374" s="14" t="n">
        <f>IF(ISNUMBER(BR374),BR374,"")</f>
        <v>12</v>
      </c>
      <c r="BY374" s="13" t="n">
        <f>IF(AND(COUNT(BV374,BW374,BX374)=3,MIN(BV374,BW374,BX374)&gt;=0),BV374*BW374*BX374,"")</f>
        <v>0.23315959999658942</v>
      </c>
      <c r="BZ374" s="11" t="n">
        <f>IF(ISNUMBER(BO374),BO374,"")</f>
        <v>1.438375649833085</v>
      </c>
      <c r="CA374" s="14" t="n">
        <f>IF(ISNUMBER(BS374),BS374,"")</f>
        <v>30</v>
      </c>
      <c r="CB374" s="13" t="n">
        <f>IF(AND(COUNT(BV374,BZ374,CA374)=3,MIN(BV374,BZ374,CA374)&gt;=0),BV374*BZ374*CA374,"")</f>
        <v>0.45054380245444386</v>
      </c>
      <c r="CC374" s="11" t="n">
        <f>IF(ISNUMBER(BP374),BP374,"")</f>
        <v>0.9519742599124907</v>
      </c>
      <c r="CD374" s="14" t="n">
        <f>IF(ISNUMBER(BT374),BT374,"")</f>
        <v>31</v>
      </c>
      <c r="CE374" s="13" t="n">
        <f>IF(AND(COUNT(BV374,CC374,CD374)=3,MIN(BV374,CC374,CD374)&gt;=0),BV374*CC374*CD374,"")</f>
        <v>0.3081274165394953</v>
      </c>
      <c r="CF374" s="11" t="n">
        <f>IF(ISNUMBER(BQ374),BQ374,"")</f>
        <v>0.8673021058229575</v>
      </c>
      <c r="CG374" s="14" t="n">
        <f>IF(ISNUMBER(BU374),BU374,"")</f>
        <v>17</v>
      </c>
      <c r="CH374" s="13" t="n">
        <f>IF(AND(COUNT(BV374,CF374,CG374)=3,MIN(BV374,CF374,CG374)&gt;=0),BV374*CF374*CG374,"")</f>
        <v>0.15394399943558176</v>
      </c>
      <c r="CI374" s="13" t="n">
        <f>IF(COUNT(BY374,CB374,CE374,CH374)=4,SUM(BY374,CB374,CE374,CH374),"")</f>
        <v>1.1457748184261105</v>
      </c>
    </row>
    <row r="375" ht="72" customHeight="1">
      <c r="A375" s="16" t="str">
        <v>60516-RD-S-K-8.5</v>
      </c>
      <c r="B375" s="16" t="str">
        <v>3店-SANDIEX-US</v>
      </c>
      <c r="C375" s="16" t="str">
        <v>徐新怡</v>
      </c>
      <c r="D375" s="26" t="n">
        <f>IF(NOT(ISNUMBER(E375)),"",IF(OR(E375&lt;=0,L375=0),0,IF(OR(NOT(ISNUMBER(F375)),F375&lt;0),"",MIN(E375,INT(F375)))))</f>
        <v>0</v>
      </c>
      <c r="E375" s="27" t="n">
        <f>IF(OR(NOT(ISNUMBER(L375)),COUNT(M375:O375)&lt;&gt;3,MIN(M375:O375)&lt;0),"",ROUNDUP(ROUND(BI375-SUM(M375:O375),10),0))</f>
        <v>2</v>
      </c>
      <c r="F375" s="28" t="n">
        <v>0</v>
      </c>
      <c r="G375" s="28" t="n">
        <f>IF(AND(ISNUMBER(D375),ISNUMBER(E375)),IF(OR(E375&lt;=0,L375=0),0,E375-D375),"")</f>
        <v>2</v>
      </c>
      <c r="H375" s="16" t="str">
        <f>IF(NOT(ISNUMBER(E375)),"销量或海外库存待补",IF(OR(E375&lt;=0,L375=0),IF(L375=0,"零日销，本批不发","本批无需补货"),IF(NOT(ISNUMBER(D375)),"国内库存待补",IF(D375=0,"国内无可用库存",IF(G375&gt;0,"先发国内现货","按建议量发货")))))</f>
        <v>国内无可用库存</v>
      </c>
      <c r="I375" s="28" t="n">
        <f>IF(AND(COUNT(Z375,AA375,AB375)=3,Z375&gt;=AA375,AA375&gt;=0,AB375=7),Z375-AA375,"")</f>
        <v>0</v>
      </c>
      <c r="J375" s="28" t="n">
        <f>IF(AND(COUNT(AF375,AG375,AH375)=3,AF375&gt;=AG375,AG375&gt;=0,AH375=14),AF375-AG375,"")</f>
        <v>0</v>
      </c>
      <c r="K375" s="28" t="n">
        <f>IF(AND(COUNT(AL375,AM375,AN375)=3,AL375&gt;=AM375,AM375&gt;=0,AN375=30),AL375-AM375,"")</f>
        <v>0</v>
      </c>
      <c r="L375" s="29" t="n">
        <f>IF(ISNUMBER(BI375),BI375/90,"")</f>
        <v>0.017173127780557743</v>
      </c>
      <c r="M375" s="28" t="n">
        <v>0</v>
      </c>
      <c r="N375" s="28" t="n">
        <v>0</v>
      </c>
      <c r="O375" s="28" t="n">
        <v>0</v>
      </c>
      <c r="P375" s="30" t="n">
        <f>IF(AND(ISNUMBER(L375),L375&gt;0,COUNT(M375:O375)=3,MIN(M375:O375)&gt;=0),SUM(M375:O375)/L375,"")</f>
        <v>0</v>
      </c>
      <c r="Q375" s="16" t="str">
        <v>沿用原计划SKU店铺</v>
      </c>
      <c r="R375" s="16" t="str">
        <v>已匹配</v>
      </c>
      <c r="S375" s="16" t="str">
        <v>停售</v>
      </c>
      <c r="T375" s="16" t="str">
        <v>60516</v>
      </c>
      <c r="U375" s="16" t="str">
        <v>红色</v>
      </c>
      <c r="V375" s="16" t="n">
        <v>8.5</v>
      </c>
      <c r="W375" s="8" t="str">
        <v>2026-10-08 至 2026-10-17</v>
      </c>
      <c r="X375" s="8" t="str">
        <v>2026-10-08、2026-10-09、2026-10-10、2026-10-11、2026-10-14、2026-10-15、2026-10-17</v>
      </c>
      <c r="Y375" s="8" t="str">
        <v>2026-10-12 有记录的停售日；2026-10-13 有记录的停售日；2026-10-16 有记录的停售日</v>
      </c>
      <c r="Z375" s="8" t="n">
        <v>0</v>
      </c>
      <c r="AA375" s="8" t="n">
        <v>0</v>
      </c>
      <c r="AB375" s="8" t="n">
        <v>7</v>
      </c>
      <c r="AC375" s="8" t="str">
        <v>2026-09-29 至 2026-10-17</v>
      </c>
      <c r="AD375" s="8" t="str">
        <v>2026-09-29、2026-09-30、2026-10-01、2026-10-02、2026-10-03、2026-10-04、2026-10-05、2026-10-08、2026-10-09、2026-10-10、2026-10-11、2026-10-14、2026-10-15、2026-10-17</v>
      </c>
      <c r="AE375" s="8" t="str">
        <v>2026-10-06 大促；2026-10-07 大促；2026-10-12 有记录的停售日；2026-10-13 有记录的停售日；2026-10-16 有记录的停售日</v>
      </c>
      <c r="AF375" s="8" t="n">
        <v>0</v>
      </c>
      <c r="AG375" s="8" t="n">
        <v>0</v>
      </c>
      <c r="AH375" s="8" t="n">
        <v>14</v>
      </c>
      <c r="AI375" s="8" t="str">
        <v>2026-09-13 至 2026-10-17</v>
      </c>
      <c r="AJ37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5" s="8" t="str">
        <v>2026-10-06 大促；2026-10-07 大促；2026-10-12 有记录的停售日；2026-10-13 有记录的停售日；2026-10-16 有记录的停售日</v>
      </c>
      <c r="AL375" s="8" t="n">
        <v>0</v>
      </c>
      <c r="AM375" s="8" t="n">
        <v>0</v>
      </c>
      <c r="AN375" s="8" t="n">
        <v>30</v>
      </c>
      <c r="AO375" s="8" t="str">
        <v>60516 / 红色羊京绒 / 6574</v>
      </c>
      <c r="AP375" s="11" t="n">
        <v>1.8609238953732312</v>
      </c>
      <c r="AQ375" s="11" t="n">
        <v>1.832044958686392</v>
      </c>
      <c r="AR375" s="11" t="n">
        <v>1.7396323612885067</v>
      </c>
      <c r="AS375" s="11" t="n">
        <f>IF(AND(COUNT(I375:K375,AP375:AR375)=6,MIN(AP375:AR375)&gt;0),I375/7/AP375*0.5+J375/14/AQ375*0.3+K375/30/AR375*0.2,"")</f>
        <v>0</v>
      </c>
      <c r="AT375" s="8" t="n">
        <v>1</v>
      </c>
      <c r="AU375" s="8" t="n">
        <v>0</v>
      </c>
      <c r="AV375" s="8" t="n">
        <v>85</v>
      </c>
      <c r="AW375" s="11" t="n">
        <f>IF(AND(COUNT(AT375:AV375)=3,AT375&gt;=AU375,AU375&gt;=0,AV375&gt;0),(AT375-AU375)/AV375,"")</f>
        <v>0.011764705882352941</v>
      </c>
      <c r="AX375" s="8" t="n">
        <v>4</v>
      </c>
      <c r="AY375" s="8" t="n">
        <v>0</v>
      </c>
      <c r="AZ375" s="8" t="n">
        <v>175</v>
      </c>
      <c r="BA375" s="11" t="n">
        <f>IF(AND(COUNT(AX375:AZ375)=3,AX375&gt;=AY375,AY375&gt;=0,AZ375&gt;0),(AX375-AY375)/AZ375,"")</f>
        <v>0.022857142857142857</v>
      </c>
      <c r="BB375" s="8" t="n">
        <f>IF(COUNT(AS375,AW375,BA375)=3,1,0)</f>
        <v>1</v>
      </c>
      <c r="BC375" s="11" t="n">
        <f>IF(SUMIF($AO$11:$AO$1309,AO375,$BB$11:$BB$1309)=COUNTIF($AO$11:$AO$1309,AO375),SUMIF($AO$11:$AO$1309,AO375,$AS$11:$AS$1309),"")</f>
        <v>0.3946219562135558</v>
      </c>
      <c r="BD375" s="11" t="n">
        <f>IF(SUMIF($AO$11:$AO$1309,AO375,$BB$11:$BB$1309)=COUNTIF($AO$11:$AO$1309,AO375),SUMIF($AO$11:$AO$1309,AO375,$AW$11:$AW$1309),"")</f>
        <v>0.4780748663101604</v>
      </c>
      <c r="BE375" s="11" t="n">
        <f>IF(SUMIF($AO$11:$AO$1309,AO375,$BB$11:$BB$1309)=COUNTIF($AO$11:$AO$1309,AO375),SUMIF($AO$11:$AO$1309,AO375,$BA$11:$BA$1309),"")</f>
        <v>0.3713643659711075</v>
      </c>
      <c r="BF375" s="12" t="n">
        <f>IF(COUNT(BD375:BE375)&lt;&gt;2,"",IF(AND(BD375&gt;0,BE375&gt;0),0.7*AW375/BD375+0.3*BA375/BE375,IF(BD375&gt;0,AW375/BD375,IF(BE375&gt;0,BA375/BE375,IF(AND(ISNUMBER(BH375),BH375=0),0,"")))))</f>
        <v>0.03569068107345419</v>
      </c>
      <c r="BG375" s="11" t="n">
        <f>IF(AND(COUNT(BN375:BU375)=8,MIN(BN375:BU375)&gt;=0),SUMPRODUCT(BN375:BQ375,BR375:BU375),"")</f>
        <v>109.73769409574882</v>
      </c>
      <c r="BH375" s="11" t="n">
        <f>IF(COUNT(BC375,BG375)=2,BC375*BG375,"")</f>
        <v>43.30490351442917</v>
      </c>
      <c r="BI375" s="11" t="n">
        <f>IF(ISNUMBER(CI375),CI375,"")</f>
        <v>1.545581500250197</v>
      </c>
      <c r="BJ375" s="8" t="str">
        <v>近180天本色销量78双（＜90），无有效新采购，请运营判断</v>
      </c>
      <c r="BK375" s="8" t="str">
        <v>90天：2026-07-20 至 2026-10-17；180天：2026-04-21 至 2026-10-17</v>
      </c>
      <c r="BL375" s="8" t="str">
        <v>90天：2026-10-06、2026-10-07、2026-10-12、2026-10-13、2026-10-16；180天：2026-10-06、2026-10-07、2026-10-12、2026-10-13、2026-10-16</v>
      </c>
      <c r="BM375" s="8" t="str">
        <v>2026-10：12天 × 1.8609238953732312；2026-11：30天 × 1.438375649833085；2026-12：31天 × 0.9519742599124907；2027-01：17天 × 0.8673021058229575</v>
      </c>
      <c r="BN375" s="11" t="n">
        <v>1.8609238953732312</v>
      </c>
      <c r="BO375" s="11" t="n">
        <v>1.438375649833085</v>
      </c>
      <c r="BP375" s="11" t="n">
        <v>0.9519742599124907</v>
      </c>
      <c r="BQ375" s="11" t="n">
        <v>0.8673021058229575</v>
      </c>
      <c r="BR375" s="8" t="n">
        <v>12</v>
      </c>
      <c r="BS375" s="8" t="n">
        <v>30</v>
      </c>
      <c r="BT375" s="8" t="n">
        <v>31</v>
      </c>
      <c r="BU375" s="8" t="n">
        <v>17</v>
      </c>
      <c r="BV375" s="11" t="n">
        <f>IF(COUNT(BC375,BF375)=2,BC375*BF375,"")</f>
        <v>0.014084326383800623</v>
      </c>
      <c r="BW375" s="11" t="n">
        <f>IF(ISNUMBER(BN375),BN375,"")</f>
        <v>1.8609238953732312</v>
      </c>
      <c r="BX375" s="14" t="n">
        <f>IF(ISNUMBER(BR375),BR375,"")</f>
        <v>12</v>
      </c>
      <c r="BY375" s="13" t="n">
        <f>IF(AND(COUNT(BV375,BW375,BX375)=3,MIN(BV375,BW375,BX375)&gt;=0),BV375*BW375*BX375,"")</f>
        <v>0.31451831421420273</v>
      </c>
      <c r="BZ375" s="11" t="n">
        <f>IF(ISNUMBER(BO375),BO375,"")</f>
        <v>1.438375649833085</v>
      </c>
      <c r="CA375" s="14" t="n">
        <f>IF(ISNUMBER(BS375),BS375,"")</f>
        <v>30</v>
      </c>
      <c r="CB375" s="13" t="n">
        <f>IF(AND(COUNT(BV375,BZ375,CA375)=3,MIN(BV375,BZ375,CA375)&gt;=0),BV375*BZ375*CA375,"")</f>
        <v>0.6077565634428146</v>
      </c>
      <c r="CC375" s="11" t="n">
        <f>IF(ISNUMBER(BP375),BP375,"")</f>
        <v>0.9519742599124907</v>
      </c>
      <c r="CD375" s="14" t="n">
        <f>IF(ISNUMBER(BT375),BT375,"")</f>
        <v>31</v>
      </c>
      <c r="CE375" s="13" t="n">
        <f>IF(AND(COUNT(BV375,CC375,CD375)=3,MIN(BV375,CC375,CD375)&gt;=0),BV375*CC375*CD375,"")</f>
        <v>0.4156454017531215</v>
      </c>
      <c r="CF375" s="11" t="n">
        <f>IF(ISNUMBER(BQ375),BQ375,"")</f>
        <v>0.8673021058229575</v>
      </c>
      <c r="CG375" s="14" t="n">
        <f>IF(ISNUMBER(BU375),BU375,"")</f>
        <v>17</v>
      </c>
      <c r="CH375" s="13" t="n">
        <f>IF(AND(COUNT(BV375,CF375,CG375)=3,MIN(BV375,CF375,CG375)&gt;=0),BV375*CF375*CG375,"")</f>
        <v>0.20766122084005803</v>
      </c>
      <c r="CI375" s="13" t="n">
        <f>IF(COUNT(BY375,CB375,CE375,CH375)=4,SUM(BY375,CB375,CE375,CH375),"")</f>
        <v>1.545581500250197</v>
      </c>
    </row>
    <row r="376" ht="72" customHeight="1">
      <c r="A376" s="16" t="str">
        <v>8392-NY-S-K-4K</v>
      </c>
      <c r="B376" s="16" t="str">
        <v>3店-SANDIEX-US</v>
      </c>
      <c r="C376" s="16" t="str">
        <v>徐新怡</v>
      </c>
      <c r="D376" s="26" t="n">
        <f>IF(NOT(ISNUMBER(E376)),"",IF(OR(E376&lt;=0,L376=0),0,IF(OR(NOT(ISNUMBER(F376)),F376&lt;0),"",MIN(E376,INT(F376)))))</f>
        <v>0</v>
      </c>
      <c r="E376" s="27" t="n">
        <f>IF(OR(NOT(ISNUMBER(L376)),COUNT(M376:O376)&lt;&gt;3,MIN(M376:O376)&lt;0),"",ROUNDUP(ROUND(BI376-SUM(M376:O376),10),0))</f>
        <v>2</v>
      </c>
      <c r="F376" s="28" t="n">
        <v>0</v>
      </c>
      <c r="G376" s="28" t="n">
        <f>IF(AND(ISNUMBER(D376),ISNUMBER(E376)),IF(OR(E376&lt;=0,L376=0),0,E376-D376),"")</f>
        <v>2</v>
      </c>
      <c r="H376" s="16" t="str">
        <f>IF(NOT(ISNUMBER(E376)),"销量或海外库存待补",IF(OR(E376&lt;=0,L376=0),IF(L376=0,"零日销，本批不发","本批无需补货"),IF(NOT(ISNUMBER(D376)),"国内库存待补",IF(D376=0,"国内无可用库存",IF(G376&gt;0,"先发国内现货","按建议量发货")))))</f>
        <v>国内无可用库存</v>
      </c>
      <c r="I376" s="28" t="n">
        <f>IF(AND(COUNT(Z376,AA376,AB376)=3,Z376&gt;=AA376,AA376&gt;=0,AB376=7),Z376-AA376,"")</f>
        <v>0</v>
      </c>
      <c r="J376" s="28" t="n">
        <f>IF(AND(COUNT(AF376,AG376,AH376)=3,AF376&gt;=AG376,AG376&gt;=0,AH376=14),AF376-AG376,"")</f>
        <v>0</v>
      </c>
      <c r="K376" s="28" t="n">
        <f>IF(AND(COUNT(AL376,AM376,AN376)=3,AL376&gt;=AM376,AM376&gt;=0,AN376=30),AL376-AM376,"")</f>
        <v>0</v>
      </c>
      <c r="L376" s="29" t="n">
        <f>IF(ISNUMBER(BI376),BI376/90,"")</f>
        <v>0.018392349134863293</v>
      </c>
      <c r="M376" s="28" t="n">
        <v>0</v>
      </c>
      <c r="N376" s="28" t="n">
        <v>0</v>
      </c>
      <c r="O376" s="28" t="n">
        <v>0</v>
      </c>
      <c r="P376" s="30" t="n">
        <f>IF(AND(ISNUMBER(L376),L376&gt;0,COUNT(M376:O376)=3,MIN(M376:O376)&gt;=0),SUM(M376:O376)/L376,"")</f>
        <v>0</v>
      </c>
      <c r="Q376" s="16" t="str">
        <v>按本SKU唯一未删除Listing店铺核实</v>
      </c>
      <c r="R376" s="16" t="str">
        <v>已匹配</v>
      </c>
      <c r="S376" s="16" t="str">
        <v>停售</v>
      </c>
      <c r="T376" s="16" t="str">
        <v>8392</v>
      </c>
      <c r="U376" s="16" t="str">
        <v>藏青色</v>
      </c>
      <c r="V376" s="16" t="n">
        <v>9</v>
      </c>
      <c r="W376" s="8" t="str">
        <v>2026-10-08 至 2026-10-17</v>
      </c>
      <c r="X376" s="8" t="str">
        <v>2026-10-08、2026-10-09、2026-10-10、2026-10-11、2026-10-14、2026-10-15、2026-10-17</v>
      </c>
      <c r="Y376" s="8" t="str">
        <v>2026-10-12 有记录的停售日；2026-10-13 有记录的停售日；2026-10-16 有记录的停售日</v>
      </c>
      <c r="Z376" s="8" t="n">
        <v>0</v>
      </c>
      <c r="AA376" s="8" t="n">
        <v>0</v>
      </c>
      <c r="AB376" s="8" t="n">
        <v>7</v>
      </c>
      <c r="AC376" s="8" t="str">
        <v>2026-09-29 至 2026-10-17</v>
      </c>
      <c r="AD376" s="8" t="str">
        <v>2026-09-29、2026-09-30、2026-10-01、2026-10-02、2026-10-03、2026-10-04、2026-10-05、2026-10-08、2026-10-09、2026-10-10、2026-10-11、2026-10-14、2026-10-15、2026-10-17</v>
      </c>
      <c r="AE376" s="8" t="str">
        <v>2026-10-06 大促；2026-10-07 大促；2026-10-12 有记录的停售日；2026-10-13 有记录的停售日；2026-10-16 有记录的停售日</v>
      </c>
      <c r="AF376" s="8" t="n">
        <v>0</v>
      </c>
      <c r="AG376" s="8" t="n">
        <v>0</v>
      </c>
      <c r="AH376" s="8" t="n">
        <v>14</v>
      </c>
      <c r="AI376" s="8" t="str">
        <v>2026-09-13 至 2026-10-17</v>
      </c>
      <c r="AJ37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6" s="8" t="str">
        <v>2026-10-06 大促；2026-10-07 大促；2026-10-12 有记录的停售日；2026-10-13 有记录的停售日；2026-10-16 有记录的停售日</v>
      </c>
      <c r="AL376" s="8" t="n">
        <v>0</v>
      </c>
      <c r="AM376" s="8" t="n">
        <v>0</v>
      </c>
      <c r="AN376" s="8" t="n">
        <v>30</v>
      </c>
      <c r="AO376" s="8" t="str">
        <v>8392 / 藏青色羊京绒 / 6574</v>
      </c>
      <c r="AP376" s="11" t="n">
        <v>1.1743420411079069</v>
      </c>
      <c r="AQ376" s="11" t="n">
        <v>1.1657675792110538</v>
      </c>
      <c r="AR376" s="11" t="n">
        <v>1.138329301141124</v>
      </c>
      <c r="AS376" s="11" t="n">
        <f>IF(AND(COUNT(I376:K376,AP376:AR376)=6,MIN(AP376:AR376)&gt;0),I376/7/AP376*0.5+J376/14/AQ376*0.3+K376/30/AR376*0.2,"")</f>
        <v>0</v>
      </c>
      <c r="AT376" s="8" t="n">
        <v>0</v>
      </c>
      <c r="AU376" s="8" t="n">
        <v>0</v>
      </c>
      <c r="AV376" s="8" t="n">
        <v>85</v>
      </c>
      <c r="AW376" s="11" t="n">
        <f>IF(AND(COUNT(AT376:AV376)=3,AT376&gt;=AU376,AU376&gt;=0,AV376&gt;0),(AT376-AU376)/AV376,"")</f>
        <v>0</v>
      </c>
      <c r="AX376" s="8" t="n">
        <v>10</v>
      </c>
      <c r="AY376" s="8" t="n">
        <v>0</v>
      </c>
      <c r="AZ376" s="8" t="n">
        <v>175</v>
      </c>
      <c r="BA376" s="11" t="n">
        <f>IF(AND(COUNT(AX376:AZ376)=3,AX376&gt;=AY376,AY376&gt;=0,AZ376&gt;0),(AX376-AY376)/AZ376,"")</f>
        <v>0.05714285714285714</v>
      </c>
      <c r="BB376" s="8" t="n">
        <f>IF(COUNT(AS376,AW376,BA376)=3,1,0)</f>
        <v>1</v>
      </c>
      <c r="BC376" s="11" t="n">
        <f>IF(SUMIF($AO$11:$AO$1309,AO376,$BB$11:$BB$1309)=COUNTIF($AO$11:$AO$1309,AO376),SUMIF($AO$11:$AO$1309,AO376,$AS$11:$AS$1309),"")</f>
        <v>0.6185202058446071</v>
      </c>
      <c r="BD376" s="11" t="n">
        <f>IF(SUMIF($AO$11:$AO$1309,AO376,$BB$11:$BB$1309)=COUNTIF($AO$11:$AO$1309,AO376),SUMIF($AO$11:$AO$1309,AO376,$AW$11:$AW$1309),"")</f>
        <v>0.20655080213903745</v>
      </c>
      <c r="BE376" s="11" t="n">
        <f>IF(SUMIF($AO$11:$AO$1309,AO376,$BB$11:$BB$1309)=COUNTIF($AO$11:$AO$1309,AO376),SUMIF($AO$11:$AO$1309,AO376,$BA$11:$BA$1309),"")</f>
        <v>0.6192937399678973</v>
      </c>
      <c r="BF376" s="12" t="n">
        <f>IF(COUNT(BD376:BE376)&lt;&gt;2,"",IF(AND(BD376&gt;0,BE376&gt;0),0.7*AW376/BD376+0.3*BA376/BE376,IF(BD376&gt;0,AW376/BD376,IF(BE376&gt;0,BA376/BE376,IF(AND(ISNUMBER(BH376),BH376=0),0,"")))))</f>
        <v>0.02768130216162977</v>
      </c>
      <c r="BG376" s="11" t="n">
        <f>IF(AND(COUNT(BN376:BU376)=8,MIN(BN376:BU376)&gt;=0),SUMPRODUCT(BN376:BQ376,BR376:BU376),"")</f>
        <v>96.68059267618935</v>
      </c>
      <c r="BH376" s="11" t="n">
        <f>IF(COUNT(BC376,BG376)=2,BC376*BG376,"")</f>
        <v>59.79890008325525</v>
      </c>
      <c r="BI376" s="11" t="n">
        <f>IF(ISNUMBER(CI376),CI376,"")</f>
        <v>1.6553114221376963</v>
      </c>
      <c r="BJ376" s="8" t="str"/>
      <c r="BK376" s="8" t="str">
        <v>90天：2026-07-20 至 2026-10-17；180天：2026-04-21 至 2026-10-17</v>
      </c>
      <c r="BL376" s="8" t="str">
        <v>90天：2026-10-06、2026-10-07、2026-10-12、2026-10-13、2026-10-16；180天：2026-10-06、2026-10-07、2026-10-12、2026-10-13、2026-10-16</v>
      </c>
      <c r="BM376" s="8" t="str">
        <v>2026-10：12天 × 1.1743420411079069；2026-11：30天 × 1.281694931279211；2026-12：31天 × 0.9007634642750235；2027-01：17天 × 0.9537631089407297</v>
      </c>
      <c r="BN376" s="11" t="n">
        <v>1.1743420411079069</v>
      </c>
      <c r="BO376" s="11" t="n">
        <v>1.281694931279211</v>
      </c>
      <c r="BP376" s="11" t="n">
        <v>0.9007634642750235</v>
      </c>
      <c r="BQ376" s="11" t="n">
        <v>0.9537631089407297</v>
      </c>
      <c r="BR376" s="8" t="n">
        <v>12</v>
      </c>
      <c r="BS376" s="8" t="n">
        <v>30</v>
      </c>
      <c r="BT376" s="8" t="n">
        <v>31</v>
      </c>
      <c r="BU376" s="8" t="n">
        <v>17</v>
      </c>
      <c r="BV376" s="11" t="n">
        <f>IF(COUNT(BC376,BF376)=2,BC376*BF376,"")</f>
        <v>0.017121444711058014</v>
      </c>
      <c r="BW376" s="11" t="n">
        <f>IF(ISNUMBER(BN376),BN376,"")</f>
        <v>1.1743420411079069</v>
      </c>
      <c r="BX376" s="14" t="n">
        <f>IF(ISNUMBER(BR376),BR376,"")</f>
        <v>12</v>
      </c>
      <c r="BY376" s="13" t="n">
        <f>IF(AND(COUNT(BV376,BW376,BX376)=3,MIN(BV376,BW376,BX376)&gt;=0),BV376*BW376*BX376,"")</f>
        <v>0.2412771879444005</v>
      </c>
      <c r="BZ376" s="11" t="n">
        <f>IF(ISNUMBER(BO376),BO376,"")</f>
        <v>1.281694931279211</v>
      </c>
      <c r="CA376" s="14" t="n">
        <f>IF(ISNUMBER(BS376),BS376,"")</f>
        <v>30</v>
      </c>
      <c r="CB376" s="13" t="n">
        <f>IF(AND(COUNT(BV376,BZ376,CA376)=3,MIN(BV376,BZ376,CA376)&gt;=0),BV376*BZ376*CA376,"")</f>
        <v>0.6583340670702094</v>
      </c>
      <c r="CC376" s="11" t="n">
        <f>IF(ISNUMBER(BP376),BP376,"")</f>
        <v>0.9007634642750235</v>
      </c>
      <c r="CD376" s="14" t="n">
        <f>IF(ISNUMBER(BT376),BT376,"")</f>
        <v>31</v>
      </c>
      <c r="CE376" s="13" t="n">
        <f>IF(AND(COUNT(BV376,CC376,CD376)=3,MIN(BV376,CC376,CD376)&gt;=0),BV376*CC376*CD376,"")</f>
        <v>0.4780935273911028</v>
      </c>
      <c r="CF376" s="11" t="n">
        <f>IF(ISNUMBER(BQ376),BQ376,"")</f>
        <v>0.9537631089407297</v>
      </c>
      <c r="CG376" s="14" t="n">
        <f>IF(ISNUMBER(BU376),BU376,"")</f>
        <v>17</v>
      </c>
      <c r="CH376" s="13" t="n">
        <f>IF(AND(COUNT(BV376,CF376,CG376)=3,MIN(BV376,CF376,CG376)&gt;=0),BV376*CF376*CG376,"")</f>
        <v>0.2776066397319836</v>
      </c>
      <c r="CI376" s="13" t="n">
        <f>IF(COUNT(BY376,CB376,CE376,CH376)=4,SUM(BY376,CB376,CE376,CH376),"")</f>
        <v>1.6553114221376963</v>
      </c>
    </row>
    <row r="377" ht="72" customHeight="1">
      <c r="A377" s="16" t="str">
        <v>8392-NY-S-K-4K.5</v>
      </c>
      <c r="B377" s="16" t="str">
        <v>3店-SANDIEX-US</v>
      </c>
      <c r="C377" s="16" t="str">
        <v>徐新怡</v>
      </c>
      <c r="D377" s="26" t="n">
        <f>IF(NOT(ISNUMBER(E377)),"",IF(OR(E377&lt;=0,L377=0),0,IF(OR(NOT(ISNUMBER(F377)),F377&lt;0),"",MIN(E377,INT(F377)))))</f>
        <v>0</v>
      </c>
      <c r="E377" s="27" t="n">
        <f>IF(OR(NOT(ISNUMBER(L377)),COUNT(M377:O377)&lt;&gt;3,MIN(M377:O377)&lt;0),"",ROUNDUP(ROUND(BI377-SUM(M377:O377),10),0))</f>
        <v>2</v>
      </c>
      <c r="F377" s="28" t="n">
        <v>0</v>
      </c>
      <c r="G377" s="28" t="n">
        <f>IF(AND(ISNUMBER(D377),ISNUMBER(E377)),IF(OR(E377&lt;=0,L377=0),0,E377-D377),"")</f>
        <v>2</v>
      </c>
      <c r="H377" s="16" t="str">
        <f>IF(NOT(ISNUMBER(E377)),"销量或海外库存待补",IF(OR(E377&lt;=0,L377=0),IF(L377=0,"零日销，本批不发","本批无需补货"),IF(NOT(ISNUMBER(D377)),"国内库存待补",IF(D377=0,"国内无可用库存",IF(G377&gt;0,"先发国内现货","按建议量发货")))))</f>
        <v>国内无可用库存</v>
      </c>
      <c r="I377" s="28" t="n">
        <f>IF(AND(COUNT(Z377,AA377,AB377)=3,Z377&gt;=AA377,AA377&gt;=0,AB377=7),Z377-AA377,"")</f>
        <v>0</v>
      </c>
      <c r="J377" s="28" t="n">
        <f>IF(AND(COUNT(AF377,AG377,AH377)=3,AF377&gt;=AG377,AG377&gt;=0,AH377=14),AF377-AG377,"")</f>
        <v>0</v>
      </c>
      <c r="K377" s="28" t="n">
        <f>IF(AND(COUNT(AL377,AM377,AN377)=3,AL377&gt;=AM377,AM377&gt;=0,AN377=30),AL377-AM377,"")</f>
        <v>0</v>
      </c>
      <c r="L377" s="29" t="n">
        <f>IF(ISNUMBER(BI377),BI377/90,"")</f>
        <v>0.016553114221376963</v>
      </c>
      <c r="M377" s="28" t="n">
        <v>0</v>
      </c>
      <c r="N377" s="28" t="n">
        <v>0</v>
      </c>
      <c r="O377" s="28" t="n">
        <v>0</v>
      </c>
      <c r="P377" s="30" t="n">
        <f>IF(AND(ISNUMBER(L377),L377&gt;0,COUNT(M377:O377)=3,MIN(M377:O377)&gt;=0),SUM(M377:O377)/L377,"")</f>
        <v>0</v>
      </c>
      <c r="Q377" s="16" t="str">
        <v>按本SKU唯一未删除Listing店铺核实</v>
      </c>
      <c r="R377" s="16" t="str">
        <v>已匹配</v>
      </c>
      <c r="S377" s="16" t="str">
        <v>停售</v>
      </c>
      <c r="T377" s="16" t="str">
        <v>8392</v>
      </c>
      <c r="U377" s="16" t="str">
        <v>藏青色</v>
      </c>
      <c r="V377" s="16" t="n">
        <v>9.5</v>
      </c>
      <c r="W377" s="8" t="str">
        <v>2026-10-08 至 2026-10-17</v>
      </c>
      <c r="X377" s="8" t="str">
        <v>2026-10-08、2026-10-09、2026-10-10、2026-10-11、2026-10-14、2026-10-15、2026-10-17</v>
      </c>
      <c r="Y377" s="8" t="str">
        <v>2026-10-12 有记录的停售日；2026-10-13 有记录的停售日；2026-10-16 有记录的停售日</v>
      </c>
      <c r="Z377" s="8" t="n">
        <v>0</v>
      </c>
      <c r="AA377" s="8" t="n">
        <v>0</v>
      </c>
      <c r="AB377" s="8" t="n">
        <v>7</v>
      </c>
      <c r="AC377" s="8" t="str">
        <v>2026-09-29 至 2026-10-17</v>
      </c>
      <c r="AD377" s="8" t="str">
        <v>2026-09-29、2026-09-30、2026-10-01、2026-10-02、2026-10-03、2026-10-04、2026-10-05、2026-10-08、2026-10-09、2026-10-10、2026-10-11、2026-10-14、2026-10-15、2026-10-17</v>
      </c>
      <c r="AE377" s="8" t="str">
        <v>2026-10-06 大促；2026-10-07 大促；2026-10-12 有记录的停售日；2026-10-13 有记录的停售日；2026-10-16 有记录的停售日</v>
      </c>
      <c r="AF377" s="8" t="n">
        <v>0</v>
      </c>
      <c r="AG377" s="8" t="n">
        <v>0</v>
      </c>
      <c r="AH377" s="8" t="n">
        <v>14</v>
      </c>
      <c r="AI377" s="8" t="str">
        <v>2026-09-13 至 2026-10-17</v>
      </c>
      <c r="AJ37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7" s="8" t="str">
        <v>2026-10-06 大促；2026-10-07 大促；2026-10-12 有记录的停售日；2026-10-13 有记录的停售日；2026-10-16 有记录的停售日</v>
      </c>
      <c r="AL377" s="8" t="n">
        <v>0</v>
      </c>
      <c r="AM377" s="8" t="n">
        <v>0</v>
      </c>
      <c r="AN377" s="8" t="n">
        <v>30</v>
      </c>
      <c r="AO377" s="8" t="str">
        <v>8392 / 藏青色羊京绒 / 6574</v>
      </c>
      <c r="AP377" s="11" t="n">
        <v>1.1743420411079069</v>
      </c>
      <c r="AQ377" s="11" t="n">
        <v>1.1657675792110538</v>
      </c>
      <c r="AR377" s="11" t="n">
        <v>1.138329301141124</v>
      </c>
      <c r="AS377" s="11" t="n">
        <f>IF(AND(COUNT(I377:K377,AP377:AR377)=6,MIN(AP377:AR377)&gt;0),I377/7/AP377*0.5+J377/14/AQ377*0.3+K377/30/AR377*0.2,"")</f>
        <v>0</v>
      </c>
      <c r="AT377" s="8" t="n">
        <v>0</v>
      </c>
      <c r="AU377" s="8" t="n">
        <v>0</v>
      </c>
      <c r="AV377" s="8" t="n">
        <v>85</v>
      </c>
      <c r="AW377" s="11" t="n">
        <f>IF(AND(COUNT(AT377:AV377)=3,AT377&gt;=AU377,AU377&gt;=0,AV377&gt;0),(AT377-AU377)/AV377,"")</f>
        <v>0</v>
      </c>
      <c r="AX377" s="8" t="n">
        <v>9</v>
      </c>
      <c r="AY377" s="8" t="n">
        <v>0</v>
      </c>
      <c r="AZ377" s="8" t="n">
        <v>175</v>
      </c>
      <c r="BA377" s="11" t="n">
        <f>IF(AND(COUNT(AX377:AZ377)=3,AX377&gt;=AY377,AY377&gt;=0,AZ377&gt;0),(AX377-AY377)/AZ377,"")</f>
        <v>0.05142857142857143</v>
      </c>
      <c r="BB377" s="8" t="n">
        <f>IF(COUNT(AS377,AW377,BA377)=3,1,0)</f>
        <v>1</v>
      </c>
      <c r="BC377" s="11" t="n">
        <f>IF(SUMIF($AO$11:$AO$1309,AO377,$BB$11:$BB$1309)=COUNTIF($AO$11:$AO$1309,AO377),SUMIF($AO$11:$AO$1309,AO377,$AS$11:$AS$1309),"")</f>
        <v>0.6185202058446071</v>
      </c>
      <c r="BD377" s="11" t="n">
        <f>IF(SUMIF($AO$11:$AO$1309,AO377,$BB$11:$BB$1309)=COUNTIF($AO$11:$AO$1309,AO377),SUMIF($AO$11:$AO$1309,AO377,$AW$11:$AW$1309),"")</f>
        <v>0.20655080213903745</v>
      </c>
      <c r="BE377" s="11" t="n">
        <f>IF(SUMIF($AO$11:$AO$1309,AO377,$BB$11:$BB$1309)=COUNTIF($AO$11:$AO$1309,AO377),SUMIF($AO$11:$AO$1309,AO377,$BA$11:$BA$1309),"")</f>
        <v>0.6192937399678973</v>
      </c>
      <c r="BF377" s="12" t="n">
        <f>IF(COUNT(BD377:BE377)&lt;&gt;2,"",IF(AND(BD377&gt;0,BE377&gt;0),0.7*AW377/BD377+0.3*BA377/BE377,IF(BD377&gt;0,AW377/BD377,IF(BE377&gt;0,BA377/BE377,IF(AND(ISNUMBER(BH377),BH377=0),0,"")))))</f>
        <v>0.024913171945466796</v>
      </c>
      <c r="BG377" s="11" t="n">
        <f>IF(AND(COUNT(BN377:BU377)=8,MIN(BN377:BU377)&gt;=0),SUMPRODUCT(BN377:BQ377,BR377:BU377),"")</f>
        <v>96.68059267618935</v>
      </c>
      <c r="BH377" s="11" t="n">
        <f>IF(COUNT(BC377,BG377)=2,BC377*BG377,"")</f>
        <v>59.79890008325525</v>
      </c>
      <c r="BI377" s="11" t="n">
        <f>IF(ISNUMBER(CI377),CI377,"")</f>
        <v>1.4897802799239266</v>
      </c>
      <c r="BJ377" s="8" t="str"/>
      <c r="BK377" s="8" t="str">
        <v>90天：2026-07-20 至 2026-10-17；180天：2026-04-21 至 2026-10-17</v>
      </c>
      <c r="BL377" s="8" t="str">
        <v>90天：2026-10-06、2026-10-07、2026-10-12、2026-10-13、2026-10-16；180天：2026-10-06、2026-10-07、2026-10-12、2026-10-13、2026-10-16</v>
      </c>
      <c r="BM377" s="8" t="str">
        <v>2026-10：12天 × 1.1743420411079069；2026-11：30天 × 1.281694931279211；2026-12：31天 × 0.9007634642750235；2027-01：17天 × 0.9537631089407297</v>
      </c>
      <c r="BN377" s="11" t="n">
        <v>1.1743420411079069</v>
      </c>
      <c r="BO377" s="11" t="n">
        <v>1.281694931279211</v>
      </c>
      <c r="BP377" s="11" t="n">
        <v>0.9007634642750235</v>
      </c>
      <c r="BQ377" s="11" t="n">
        <v>0.9537631089407297</v>
      </c>
      <c r="BR377" s="8" t="n">
        <v>12</v>
      </c>
      <c r="BS377" s="8" t="n">
        <v>30</v>
      </c>
      <c r="BT377" s="8" t="n">
        <v>31</v>
      </c>
      <c r="BU377" s="8" t="n">
        <v>17</v>
      </c>
      <c r="BV377" s="11" t="n">
        <f>IF(COUNT(BC377,BF377)=2,BC377*BF377,"")</f>
        <v>0.015409300239952213</v>
      </c>
      <c r="BW377" s="11" t="n">
        <f>IF(ISNUMBER(BN377),BN377,"")</f>
        <v>1.1743420411079069</v>
      </c>
      <c r="BX377" s="14" t="n">
        <f>IF(ISNUMBER(BR377),BR377,"")</f>
        <v>12</v>
      </c>
      <c r="BY377" s="13" t="n">
        <f>IF(AND(COUNT(BV377,BW377,BX377)=3,MIN(BV377,BW377,BX377)&gt;=0),BV377*BW377*BX377,"")</f>
        <v>0.21714946914996053</v>
      </c>
      <c r="BZ377" s="11" t="n">
        <f>IF(ISNUMBER(BO377),BO377,"")</f>
        <v>1.281694931279211</v>
      </c>
      <c r="CA377" s="14" t="n">
        <f>IF(ISNUMBER(BS377),BS377,"")</f>
        <v>30</v>
      </c>
      <c r="CB377" s="13" t="n">
        <f>IF(AND(COUNT(BV377,BZ377,CA377)=3,MIN(BV377,BZ377,CA377)&gt;=0),BV377*BZ377*CA377,"")</f>
        <v>0.5925006603631884</v>
      </c>
      <c r="CC377" s="11" t="n">
        <f>IF(ISNUMBER(BP377),BP377,"")</f>
        <v>0.9007634642750235</v>
      </c>
      <c r="CD377" s="14" t="n">
        <f>IF(ISNUMBER(BT377),BT377,"")</f>
        <v>31</v>
      </c>
      <c r="CE377" s="13" t="n">
        <f>IF(AND(COUNT(BV377,CC377,CD377)=3,MIN(BV377,CC377,CD377)&gt;=0),BV377*CC377*CD377,"")</f>
        <v>0.43028417465199253</v>
      </c>
      <c r="CF377" s="11" t="n">
        <f>IF(ISNUMBER(BQ377),BQ377,"")</f>
        <v>0.9537631089407297</v>
      </c>
      <c r="CG377" s="14" t="n">
        <f>IF(ISNUMBER(BU377),BU377,"")</f>
        <v>17</v>
      </c>
      <c r="CH377" s="13" t="n">
        <f>IF(AND(COUNT(BV377,CF377,CG377)=3,MIN(BV377,CF377,CG377)&gt;=0),BV377*CF377*CG377,"")</f>
        <v>0.24984597575878525</v>
      </c>
      <c r="CI377" s="13" t="n">
        <f>IF(COUNT(BY377,CB377,CE377,CH377)=4,SUM(BY377,CB377,CE377,CH377),"")</f>
        <v>1.4897802799239266</v>
      </c>
    </row>
    <row r="378" ht="72" customHeight="1">
      <c r="A378" s="16" t="str">
        <v>B06-NY-39-NEW</v>
      </c>
      <c r="B378" s="16" t="str">
        <v>1店-MUSSHOE-US</v>
      </c>
      <c r="C378" s="16" t="str">
        <v>艾年</v>
      </c>
      <c r="D378" s="26" t="n">
        <f>IF(NOT(ISNUMBER(E378)),"",IF(OR(E378&lt;=0,L378=0),0,IF(OR(NOT(ISNUMBER(F378)),F378&lt;0),"",MIN(E378,INT(F378)))))</f>
        <v>0</v>
      </c>
      <c r="E378" s="27" t="n">
        <f>IF(OR(NOT(ISNUMBER(L378)),COUNT(M378:O378)&lt;&gt;3,MIN(M378:O378)&lt;0),"",ROUNDUP(ROUND(BI378-SUM(M378:O378),10),0))</f>
        <v>2</v>
      </c>
      <c r="F378" s="28" t="n">
        <v>0</v>
      </c>
      <c r="G378" s="28" t="n">
        <f>IF(AND(ISNUMBER(D378),ISNUMBER(E378)),IF(OR(E378&lt;=0,L378=0),0,E378-D378),"")</f>
        <v>2</v>
      </c>
      <c r="H378" s="16" t="str">
        <f>IF(NOT(ISNUMBER(E378)),"销量或海外库存待补",IF(OR(E378&lt;=0,L378=0),IF(L378=0,"零日销，本批不发","本批无需补货"),IF(NOT(ISNUMBER(D378)),"国内库存待补",IF(D378=0,"国内无可用库存",IF(G378&gt;0,"先发国内现货","按建议量发货")))))</f>
        <v>国内无可用库存</v>
      </c>
      <c r="I378" s="28" t="n">
        <f>IF(AND(COUNT(Z378,AA378,AB378)=3,Z378&gt;=AA378,AA378&gt;=0,AB378=7),Z378-AA378,"")</f>
        <v>3</v>
      </c>
      <c r="J378" s="28" t="n">
        <f>IF(AND(COUNT(AF378,AG378,AH378)=3,AF378&gt;=AG378,AG378&gt;=0,AH378=14),AF378-AG378,"")</f>
        <v>5</v>
      </c>
      <c r="K378" s="28" t="n">
        <f>IF(AND(COUNT(AL378,AM378,AN378)=3,AL378&gt;=AM378,AM378&gt;=0,AN378=30),AL378-AM378,"")</f>
        <v>9</v>
      </c>
      <c r="L378" s="29" t="n">
        <f>IF(ISNUMBER(BI378),BI378/90,"")</f>
        <v>0.27583999632101547</v>
      </c>
      <c r="M378" s="28" t="n">
        <v>23</v>
      </c>
      <c r="N378" s="28" t="n">
        <v>0</v>
      </c>
      <c r="O378" s="28" t="n">
        <v>0</v>
      </c>
      <c r="P378" s="30" t="n">
        <f>IF(AND(ISNUMBER(L378),L378&gt;0,COUNT(M378:O378)=3,MIN(M378:O378)&gt;=0),SUM(M378:O378)/L378,"")</f>
        <v>83.38167164573622</v>
      </c>
      <c r="Q378" s="16" t="str">
        <v>沿用原计划SKU店铺</v>
      </c>
      <c r="R378" s="16" t="str">
        <v>已匹配</v>
      </c>
      <c r="S378" s="16" t="str">
        <v>在售</v>
      </c>
      <c r="T378" s="16" t="str">
        <v>B06</v>
      </c>
      <c r="U378" s="16" t="str">
        <v>藏青色羊京绒</v>
      </c>
      <c r="V378" s="16" t="n">
        <v>8</v>
      </c>
      <c r="W378" s="8" t="str">
        <v>2026-10-11 至 2026-10-17</v>
      </c>
      <c r="X378" s="8" t="str">
        <v>2026-10-11、2026-10-12、2026-10-13、2026-10-14、2026-10-15、2026-10-16、2026-10-17</v>
      </c>
      <c r="Y378" s="8" t="str">
        <v>无</v>
      </c>
      <c r="Z378" s="8" t="n">
        <v>3</v>
      </c>
      <c r="AA378" s="8" t="n">
        <v>0</v>
      </c>
      <c r="AB378" s="8" t="n">
        <v>7</v>
      </c>
      <c r="AC378" s="8" t="str">
        <v>2026-10-02 至 2026-10-17</v>
      </c>
      <c r="AD378" s="8" t="str">
        <v>2026-10-02、2026-10-03、2026-10-04、2026-10-05、2026-10-08、2026-10-09、2026-10-10、2026-10-11、2026-10-12、2026-10-13、2026-10-14、2026-10-15、2026-10-16、2026-10-17</v>
      </c>
      <c r="AE378" s="8" t="str">
        <v>2026-10-06 大促；2026-10-07 大促</v>
      </c>
      <c r="AF378" s="8" t="n">
        <v>7</v>
      </c>
      <c r="AG378" s="8" t="n">
        <v>2</v>
      </c>
      <c r="AH378" s="8" t="n">
        <v>14</v>
      </c>
      <c r="AI378" s="8" t="str">
        <v>2026-09-16 至 2026-10-17</v>
      </c>
      <c r="AJ3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78" s="8" t="str">
        <v>2026-10-06 大促；2026-10-07 大促</v>
      </c>
      <c r="AL378" s="8" t="n">
        <v>11</v>
      </c>
      <c r="AM378" s="8" t="n">
        <v>2</v>
      </c>
      <c r="AN378" s="8" t="n">
        <v>30</v>
      </c>
      <c r="AO378" s="8" t="str">
        <v>B06 / 藏青色羊京绒 / 13120</v>
      </c>
      <c r="AP378" s="11" t="n">
        <v>1.2247029157699902</v>
      </c>
      <c r="AQ378" s="11" t="n">
        <v>1.2247029157699902</v>
      </c>
      <c r="AR378" s="11" t="n">
        <v>1.1136940657346173</v>
      </c>
      <c r="AS378" s="11" t="n">
        <f>IF(AND(COUNT(I378:K378,AP378:AR378)=6,MIN(AP378:AR378)&gt;0),I378/7/AP378*0.5+J378/14/AQ378*0.3+K378/30/AR378*0.2,"")</f>
        <v>0.31632907992891374</v>
      </c>
      <c r="AT378" s="8" t="n">
        <v>27</v>
      </c>
      <c r="AU378" s="8" t="n">
        <v>2</v>
      </c>
      <c r="AV378" s="8" t="n">
        <v>88</v>
      </c>
      <c r="AW378" s="11" t="n">
        <f>IF(AND(COUNT(AT378:AV378)=3,AT378&gt;=AU378,AU378&gt;=0,AV378&gt;0),(AT378-AU378)/AV378,"")</f>
        <v>0.2840909090909091</v>
      </c>
      <c r="AX378" s="8" t="n">
        <v>51</v>
      </c>
      <c r="AY378" s="8" t="n">
        <v>2</v>
      </c>
      <c r="AZ378" s="8" t="n">
        <v>178</v>
      </c>
      <c r="BA378" s="11" t="n">
        <f>IF(AND(COUNT(AX378:AZ378)=3,AX378&gt;=AY378,AY378&gt;=0,AZ378&gt;0),(AX378-AY378)/AZ378,"")</f>
        <v>0.2752808988764045</v>
      </c>
      <c r="BB378" s="8" t="n">
        <f>IF(COUNT(AS378,AW378,BA378)=3,1,0)</f>
        <v>1</v>
      </c>
      <c r="BC378" s="11" t="n">
        <f>IF(SUMIF($AO$11:$AO$1309,AO378,$BB$11:$BB$1309)=COUNTIF($AO$11:$AO$1309,AO378),SUMIF($AO$11:$AO$1309,AO378,$AS$11:$AS$1309),"")</f>
        <v>1.8232025777957794</v>
      </c>
      <c r="BD378" s="11" t="n">
        <f>IF(SUMIF($AO$11:$AO$1309,AO378,$BB$11:$BB$1309)=COUNTIF($AO$11:$AO$1309,AO378),SUMIF($AO$11:$AO$1309,AO378,$AW$11:$AW$1309),"")</f>
        <v>1.5588235294117647</v>
      </c>
      <c r="BE378" s="11" t="n">
        <f>IF(SUMIF($AO$11:$AO$1309,AO378,$BB$11:$BB$1309)=COUNTIF($AO$11:$AO$1309,AO378),SUMIF($AO$11:$AO$1309,AO378,$BA$11:$BA$1309),"")</f>
        <v>1.4510754414125202</v>
      </c>
      <c r="BF378" s="12" t="n">
        <f>IF(COUNT(BD378:BE378)&lt;&gt;2,"",IF(AND(BD378&gt;0,BE378&gt;0),0.7*AW378/BD378+0.3*BA378/BE378,IF(BD378&gt;0,AW378/BD378,IF(BE378&gt;0,BA378/BE378,IF(AND(ISNUMBER(BH378),BH378=0),0,"")))))</f>
        <v>0.18448535648830308</v>
      </c>
      <c r="BG378" s="11" t="n">
        <f>IF(AND(COUNT(BN378:BU378)=8,MIN(BN378:BU378)&gt;=0),SUMPRODUCT(BN378:BQ378,BR378:BU378),"")</f>
        <v>73.80791239847399</v>
      </c>
      <c r="BH378" s="11" t="n">
        <f>IF(COUNT(BC378,BG378)=2,BC378*BG378,"")</f>
        <v>134.56677614662286</v>
      </c>
      <c r="BI378" s="11" t="n">
        <f>IF(ISNUMBER(CI378),CI378,"")</f>
        <v>24.825599668891392</v>
      </c>
      <c r="BJ378" s="8" t="str">
        <v>低销提醒依据不完整</v>
      </c>
      <c r="BK378" s="8" t="str">
        <v>90天：2026-07-20 至 2026-10-17；180天：2026-04-21 至 2026-10-17</v>
      </c>
      <c r="BL378" s="8" t="str">
        <v>90天：2026-10-06、2026-10-07；180天：2026-10-06、2026-10-07</v>
      </c>
      <c r="BM378" s="8" t="str">
        <v>2026-10：12天 × 1.2247029157699902；2026-11：30天 × 0.8332682139098497；2026-12：31天 × 0.5511018253564084；2027-01：17天 × 1.0017220238758797</v>
      </c>
      <c r="BN378" s="11" t="n">
        <v>1.2247029157699902</v>
      </c>
      <c r="BO378" s="11" t="n">
        <v>0.8332682139098497</v>
      </c>
      <c r="BP378" s="11" t="n">
        <v>0.5511018253564084</v>
      </c>
      <c r="BQ378" s="11" t="n">
        <v>1.0017220238758797</v>
      </c>
      <c r="BR378" s="8" t="n">
        <v>12</v>
      </c>
      <c r="BS378" s="8" t="n">
        <v>30</v>
      </c>
      <c r="BT378" s="8" t="n">
        <v>31</v>
      </c>
      <c r="BU378" s="8" t="n">
        <v>17</v>
      </c>
      <c r="BV378" s="11" t="n">
        <f>IF(COUNT(BC378,BF378)=2,BC378*BF378,"")</f>
        <v>0.3363541775150475</v>
      </c>
      <c r="BW378" s="11" t="n">
        <f>IF(ISNUMBER(BN378),BN378,"")</f>
        <v>1.2247029157699902</v>
      </c>
      <c r="BX378" s="14" t="n">
        <f>IF(ISNUMBER(BR378),BR378,"")</f>
        <v>12</v>
      </c>
      <c r="BY378" s="13" t="n">
        <f>IF(AND(COUNT(BV378,BW378,BX378)=3,MIN(BV378,BW378,BX378)&gt;=0),BV378*BW378*BX378,"")</f>
        <v>4.943207303209147</v>
      </c>
      <c r="BZ378" s="11" t="n">
        <f>IF(ISNUMBER(BO378),BO378,"")</f>
        <v>0.8332682139098497</v>
      </c>
      <c r="CA378" s="14" t="n">
        <f>IF(ISNUMBER(BS378),BS378,"")</f>
        <v>30</v>
      </c>
      <c r="CB378" s="13" t="n">
        <f>IF(AND(COUNT(BV378,BZ378,CA378)=3,MIN(BV378,BZ378,CA378)&gt;=0),BV378*BZ378*CA378,"")</f>
        <v>8.408197342172405</v>
      </c>
      <c r="CC378" s="11" t="n">
        <f>IF(ISNUMBER(BP378),BP378,"")</f>
        <v>0.5511018253564084</v>
      </c>
      <c r="CD378" s="14" t="n">
        <f>IF(ISNUMBER(BT378),BT378,"")</f>
        <v>31</v>
      </c>
      <c r="CE378" s="13" t="n">
        <f>IF(AND(COUNT(BV378,CC378,CD378)=3,MIN(BV378,CC378,CD378)&gt;=0),BV378*CC378*CD378,"")</f>
        <v>5.746327437038678</v>
      </c>
      <c r="CF378" s="11" t="n">
        <f>IF(ISNUMBER(BQ378),BQ378,"")</f>
        <v>1.0017220238758797</v>
      </c>
      <c r="CG378" s="14" t="n">
        <f>IF(ISNUMBER(BU378),BU378,"")</f>
        <v>17</v>
      </c>
      <c r="CH378" s="13" t="n">
        <f>IF(AND(COUNT(BV378,CF378,CG378)=3,MIN(BV378,CF378,CG378)&gt;=0),BV378*CF378*CG378,"")</f>
        <v>5.727867586471165</v>
      </c>
      <c r="CI378" s="13" t="n">
        <f>IF(COUNT(BY378,CB378,CE378,CH378)=4,SUM(BY378,CB378,CE378,CH378),"")</f>
        <v>24.825599668891392</v>
      </c>
    </row>
    <row r="379" ht="72" customHeight="1">
      <c r="A379" s="16" t="str">
        <v>B06-PK-39.5</v>
      </c>
      <c r="B379" s="16" t="str">
        <v>1店-MUSSHOE-US</v>
      </c>
      <c r="C379" s="16" t="str">
        <v>艾年</v>
      </c>
      <c r="D379" s="26" t="n">
        <f>IF(NOT(ISNUMBER(E379)),"",IF(OR(E379&lt;=0,L379=0),0,IF(OR(NOT(ISNUMBER(F379)),F379&lt;0),"",MIN(E379,INT(F379)))))</f>
        <v>0</v>
      </c>
      <c r="E379" s="27" t="n">
        <f>IF(OR(NOT(ISNUMBER(L379)),COUNT(M379:O379)&lt;&gt;3,MIN(M379:O379)&lt;0),"",ROUNDUP(ROUND(BI379-SUM(M379:O379),10),0))</f>
        <v>2</v>
      </c>
      <c r="F379" s="28" t="n">
        <v>0</v>
      </c>
      <c r="G379" s="28" t="n">
        <f>IF(AND(ISNUMBER(D379),ISNUMBER(E379)),IF(OR(E379&lt;=0,L379=0),0,E379-D379),"")</f>
        <v>2</v>
      </c>
      <c r="H379" s="16" t="str">
        <f>IF(NOT(ISNUMBER(E379)),"销量或海外库存待补",IF(OR(E379&lt;=0,L379=0),IF(L379=0,"零日销，本批不发","本批无需补货"),IF(NOT(ISNUMBER(D379)),"国内库存待补",IF(D379=0,"国内无可用库存",IF(G379&gt;0,"先发国内现货","按建议量发货")))))</f>
        <v>国内无可用库存</v>
      </c>
      <c r="I379" s="28" t="n">
        <f>IF(AND(COUNT(Z379,AA379,AB379)=3,Z379&gt;=AA379,AA379&gt;=0,AB379=7),Z379-AA379,"")</f>
        <v>0</v>
      </c>
      <c r="J379" s="28" t="n">
        <f>IF(AND(COUNT(AF379,AG379,AH379)=3,AF379&gt;=AG379,AG379&gt;=0,AH379=14),AF379-AG379,"")</f>
        <v>0</v>
      </c>
      <c r="K379" s="28" t="n">
        <f>IF(AND(COUNT(AL379,AM379,AN379)=3,AL379&gt;=AM379,AM379&gt;=0,AN379=30),AL379-AM379,"")</f>
        <v>2</v>
      </c>
      <c r="L379" s="29" t="n">
        <f>IF(ISNUMBER(BI379),BI379/90,"")</f>
        <v>0.020989727109961366</v>
      </c>
      <c r="M379" s="28" t="n">
        <v>0</v>
      </c>
      <c r="N379" s="28" t="n">
        <v>0</v>
      </c>
      <c r="O379" s="28" t="n">
        <v>0</v>
      </c>
      <c r="P379" s="30" t="n">
        <f>IF(AND(ISNUMBER(L379),L379&gt;0,COUNT(M379:O379)=3,MIN(M379:O379)&gt;=0),SUM(M379:O379)/L379,"")</f>
        <v>0</v>
      </c>
      <c r="Q379" s="16" t="str">
        <v>沿用原计划SKU店铺</v>
      </c>
      <c r="R379" s="16" t="str">
        <v>已匹配</v>
      </c>
      <c r="S379" s="16" t="str">
        <v>停售</v>
      </c>
      <c r="T379" s="16" t="str">
        <v>B06</v>
      </c>
      <c r="U379" s="16" t="str">
        <v>粉色羊京绒</v>
      </c>
      <c r="V379" s="16" t="n">
        <v>8.5</v>
      </c>
      <c r="W379" s="8" t="str">
        <v>2026-10-08 至 2026-10-17</v>
      </c>
      <c r="X379" s="8" t="str">
        <v>2026-10-08、2026-10-09、2026-10-10、2026-10-11、2026-10-14、2026-10-15、2026-10-17</v>
      </c>
      <c r="Y379" s="8" t="str">
        <v>2026-10-12 有记录的停售日；2026-10-13 有记录的停售日；2026-10-16 有记录的停售日</v>
      </c>
      <c r="Z379" s="8" t="n">
        <v>0</v>
      </c>
      <c r="AA379" s="8" t="n">
        <v>0</v>
      </c>
      <c r="AB379" s="8" t="n">
        <v>7</v>
      </c>
      <c r="AC379" s="8" t="str">
        <v>2026-09-29 至 2026-10-17</v>
      </c>
      <c r="AD379" s="8" t="str">
        <v>2026-09-29、2026-09-30、2026-10-01、2026-10-02、2026-10-03、2026-10-04、2026-10-05、2026-10-08、2026-10-09、2026-10-10、2026-10-11、2026-10-14、2026-10-15、2026-10-17</v>
      </c>
      <c r="AE379" s="8" t="str">
        <v>2026-10-06 大促；2026-10-07 大促；2026-10-12 有记录的停售日；2026-10-13 有记录的停售日；2026-10-16 有记录的停售日</v>
      </c>
      <c r="AF379" s="8" t="n">
        <v>0</v>
      </c>
      <c r="AG379" s="8" t="n">
        <v>0</v>
      </c>
      <c r="AH379" s="8" t="n">
        <v>14</v>
      </c>
      <c r="AI379" s="8" t="str">
        <v>2026-09-13 至 2026-10-17</v>
      </c>
      <c r="AJ37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79" s="8" t="str">
        <v>2026-10-06 大促；2026-10-07 大促；2026-10-12 有记录的停售日；2026-10-13 有记录的停售日；2026-10-16 有记录的停售日</v>
      </c>
      <c r="AL379" s="8" t="n">
        <v>2</v>
      </c>
      <c r="AM379" s="8" t="n">
        <v>0</v>
      </c>
      <c r="AN379" s="8" t="n">
        <v>30</v>
      </c>
      <c r="AO379" s="8" t="str">
        <v>B06 / 粉色羊京绒 / 13120</v>
      </c>
      <c r="AP379" s="11" t="n">
        <v>1.2247029157699902</v>
      </c>
      <c r="AQ379" s="11" t="n">
        <v>1.1929861014741694</v>
      </c>
      <c r="AR379" s="11" t="n">
        <v>1.0914922957275428</v>
      </c>
      <c r="AS379" s="11" t="n">
        <f>IF(AND(COUNT(I379:K379,AP379:AR379)=6,MIN(AP379:AR379)&gt;0),I379/7/AP379*0.5+J379/14/AQ379*0.3+K379/30/AR379*0.2,"")</f>
        <v>0.012215691659505389</v>
      </c>
      <c r="AT379" s="8" t="n">
        <v>5</v>
      </c>
      <c r="AU379" s="8" t="n">
        <v>0</v>
      </c>
      <c r="AV379" s="8" t="n">
        <v>85</v>
      </c>
      <c r="AW379" s="11" t="n">
        <f>IF(AND(COUNT(AT379:AV379)=3,AT379&gt;=AU379,AU379&gt;=0,AV379&gt;0),(AT379-AU379)/AV379,"")</f>
        <v>0.058823529411764705</v>
      </c>
      <c r="AX379" s="8" t="n">
        <v>6</v>
      </c>
      <c r="AY379" s="8" t="n">
        <v>0</v>
      </c>
      <c r="AZ379" s="8" t="n">
        <v>175</v>
      </c>
      <c r="BA379" s="11" t="n">
        <f>IF(AND(COUNT(AX379:AZ379)=3,AX379&gt;=AY379,AY379&gt;=0,AZ379&gt;0),(AX379-AY379)/AZ379,"")</f>
        <v>0.03428571428571429</v>
      </c>
      <c r="BB379" s="8" t="n">
        <f>IF(COUNT(AS379,AW379,BA379)=3,1,0)</f>
        <v>1</v>
      </c>
      <c r="BC379" s="11" t="n">
        <f>IF(SUMIF($AO$11:$AO$1309,AO379,$BB$11:$BB$1309)=COUNTIF($AO$11:$AO$1309,AO379),SUMIF($AO$11:$AO$1309,AO379,$AS$11:$AS$1309),"")</f>
        <v>0.14161497208377494</v>
      </c>
      <c r="BD379" s="11" t="n">
        <f>IF(SUMIF($AO$11:$AO$1309,AO379,$BB$11:$BB$1309)=COUNTIF($AO$11:$AO$1309,AO379),SUMIF($AO$11:$AO$1309,AO379,$AW$11:$AW$1309),"")</f>
        <v>0.27671030794763046</v>
      </c>
      <c r="BE379" s="11" t="n">
        <f>IF(SUMIF($AO$11:$AO$1309,AO379,$BB$11:$BB$1309)=COUNTIF($AO$11:$AO$1309,AO379),SUMIF($AO$11:$AO$1309,AO379,$BA$11:$BA$1309),"")</f>
        <v>0.32217609344251885</v>
      </c>
      <c r="BF379" s="12" t="n">
        <f>IF(COUNT(BD379:BE379)&lt;&gt;2,"",IF(AND(BD379&gt;0,BE379&gt;0),0.7*AW379/BD379+0.3*BA379/BE379,IF(BD379&gt;0,AW379/BD379,IF(BE379&gt;0,BA379/BE379,IF(AND(ISNUMBER(BH379),BH379=0),0,"")))))</f>
        <v>0.18073289651105606</v>
      </c>
      <c r="BG379" s="11" t="n">
        <f>IF(AND(COUNT(BN379:BU379)=8,MIN(BN379:BU379)&gt;=0),SUMPRODUCT(BN379:BQ379,BR379:BU379),"")</f>
        <v>73.80791239847399</v>
      </c>
      <c r="BH379" s="11" t="n">
        <f>IF(COUNT(BC379,BG379)=2,BC379*BG379,"")</f>
        <v>10.4523054538716</v>
      </c>
      <c r="BI379" s="11" t="n">
        <f>IF(ISNUMBER(CI379),CI379,"")</f>
        <v>1.8890754398965228</v>
      </c>
      <c r="BJ379" s="8" t="str">
        <v>近180天本色销量61双（＜90），无有效新采购，请运营判断</v>
      </c>
      <c r="BK379" s="8" t="str">
        <v>90天：2026-07-20 至 2026-10-17；180天：2026-04-21 至 2026-10-17</v>
      </c>
      <c r="BL379" s="8" t="str">
        <v>90天：2026-10-06、2026-10-07、2026-10-12、2026-10-13、2026-10-16；180天：2026-10-06、2026-10-07、2026-10-12、2026-10-13、2026-10-16</v>
      </c>
      <c r="BM379" s="8" t="str">
        <v>2026-10：12天 × 1.2247029157699902；2026-11：30天 × 0.8332682139098497；2026-12：31天 × 0.5511018253564084；2027-01：17天 × 1.0017220238758797</v>
      </c>
      <c r="BN379" s="11" t="n">
        <v>1.2247029157699902</v>
      </c>
      <c r="BO379" s="11" t="n">
        <v>0.8332682139098497</v>
      </c>
      <c r="BP379" s="11" t="n">
        <v>0.5511018253564084</v>
      </c>
      <c r="BQ379" s="11" t="n">
        <v>1.0017220238758797</v>
      </c>
      <c r="BR379" s="8" t="n">
        <v>12</v>
      </c>
      <c r="BS379" s="8" t="n">
        <v>30</v>
      </c>
      <c r="BT379" s="8" t="n">
        <v>31</v>
      </c>
      <c r="BU379" s="8" t="n">
        <v>17</v>
      </c>
      <c r="BV379" s="11" t="n">
        <f>IF(COUNT(BC379,BF379)=2,BC379*BF379,"")</f>
        <v>0.02559448409403299</v>
      </c>
      <c r="BW379" s="11" t="n">
        <f>IF(ISNUMBER(BN379),BN379,"")</f>
        <v>1.2247029157699902</v>
      </c>
      <c r="BX379" s="14" t="n">
        <f>IF(ISNUMBER(BR379),BR379,"")</f>
        <v>12</v>
      </c>
      <c r="BY379" s="13" t="n">
        <f>IF(AND(COUNT(BV379,BW379,BX379)=3,MIN(BV379,BW379,BX379)&gt;=0),BV379*BW379*BX379,"")</f>
        <v>0.3761476715710901</v>
      </c>
      <c r="BZ379" s="11" t="n">
        <f>IF(ISNUMBER(BO379),BO379,"")</f>
        <v>0.8332682139098497</v>
      </c>
      <c r="CA379" s="14" t="n">
        <f>IF(ISNUMBER(BS379),BS379,"")</f>
        <v>30</v>
      </c>
      <c r="CB379" s="13" t="n">
        <f>IF(AND(COUNT(BV379,BZ379,CA379)=3,MIN(BV379,BZ379,CA379)&gt;=0),BV379*BZ379*CA379,"")</f>
        <v>0.6398121014093678</v>
      </c>
      <c r="CC379" s="11" t="n">
        <f>IF(ISNUMBER(BP379),BP379,"")</f>
        <v>0.5511018253564084</v>
      </c>
      <c r="CD379" s="14" t="n">
        <f>IF(ISNUMBER(BT379),BT379,"")</f>
        <v>31</v>
      </c>
      <c r="CE379" s="13" t="n">
        <f>IF(AND(COUNT(BV379,CC379,CD379)=3,MIN(BV379,CC379,CD379)&gt;=0),BV379*CC379*CD379,"")</f>
        <v>0.4372601740015914</v>
      </c>
      <c r="CF379" s="11" t="n">
        <f>IF(ISNUMBER(BQ379),BQ379,"")</f>
        <v>1.0017220238758797</v>
      </c>
      <c r="CG379" s="14" t="n">
        <f>IF(ISNUMBER(BU379),BU379,"")</f>
        <v>17</v>
      </c>
      <c r="CH379" s="13" t="n">
        <f>IF(AND(COUNT(BV379,CF379,CG379)=3,MIN(BV379,CF379,CG379)&gt;=0),BV379*CF379*CG379,"")</f>
        <v>0.43585549291447356</v>
      </c>
      <c r="CI379" s="13" t="n">
        <f>IF(COUNT(BY379,CB379,CE379,CH379)=4,SUM(BY379,CB379,CE379,CH379),"")</f>
        <v>1.8890754398965228</v>
      </c>
    </row>
    <row r="380" ht="72" customHeight="1">
      <c r="A380" s="16" t="str">
        <v>B06b-NDP0-11</v>
      </c>
      <c r="B380" s="16" t="str">
        <v>1店-MUSSHOE-US</v>
      </c>
      <c r="C380" s="16" t="str">
        <v>艾年</v>
      </c>
      <c r="D380" s="26" t="n">
        <f>IF(NOT(ISNUMBER(E380)),"",IF(OR(E380&lt;=0,L380=0),0,IF(OR(NOT(ISNUMBER(F380)),F380&lt;0),"",MIN(E380,INT(F380)))))</f>
        <v>0</v>
      </c>
      <c r="E380" s="27" t="n">
        <f>IF(OR(NOT(ISNUMBER(L380)),COUNT(M380:O380)&lt;&gt;3,MIN(M380:O380)&lt;0),"",ROUNDUP(ROUND(BI380-SUM(M380:O380),10),0))</f>
        <v>2</v>
      </c>
      <c r="F380" s="28" t="n">
        <v>0</v>
      </c>
      <c r="G380" s="28" t="n">
        <f>IF(AND(ISNUMBER(D380),ISNUMBER(E380)),IF(OR(E380&lt;=0,L380=0),0,E380-D380),"")</f>
        <v>2</v>
      </c>
      <c r="H380" s="16" t="str">
        <f>IF(NOT(ISNUMBER(E380)),"销量或海外库存待补",IF(OR(E380&lt;=0,L380=0),IF(L380=0,"零日销，本批不发","本批无需补货"),IF(NOT(ISNUMBER(D380)),"国内库存待补",IF(D380=0,"国内无可用库存",IF(G380&gt;0,"先发国内现货","按建议量发货")))))</f>
        <v>国内无可用库存</v>
      </c>
      <c r="I380" s="28" t="n">
        <f>IF(AND(COUNT(Z380,AA380,AB380)=3,Z380&gt;=AA380,AA380&gt;=0,AB380=7),Z380-AA380,"")</f>
        <v>0</v>
      </c>
      <c r="J380" s="28" t="n">
        <f>IF(AND(COUNT(AF380,AG380,AH380)=3,AF380&gt;=AG380,AG380&gt;=0,AH380=14),AF380-AG380,"")</f>
        <v>0</v>
      </c>
      <c r="K380" s="28" t="n">
        <f>IF(AND(COUNT(AL380,AM380,AN380)=3,AL380&gt;=AM380,AM380&gt;=0,AN380=30),AL380-AM380,"")</f>
        <v>0</v>
      </c>
      <c r="L380" s="29" t="n">
        <f>IF(ISNUMBER(BI380),BI380/90,"")</f>
        <v>0.012428220477221936</v>
      </c>
      <c r="M380" s="28" t="n">
        <v>0</v>
      </c>
      <c r="N380" s="28" t="n">
        <v>0</v>
      </c>
      <c r="O380" s="28" t="n">
        <v>0</v>
      </c>
      <c r="P380" s="30" t="n">
        <f>IF(AND(ISNUMBER(L380),L380&gt;0,COUNT(M380:O380)=3,MIN(M380:O380)&gt;=0),SUM(M380:O380)/L380,"")</f>
        <v>0</v>
      </c>
      <c r="Q380" s="16" t="str">
        <v>沿用原计划SKU店铺</v>
      </c>
      <c r="R380" s="16" t="str">
        <v>已匹配</v>
      </c>
      <c r="S380" s="16" t="str">
        <v>停售</v>
      </c>
      <c r="T380" s="16" t="str">
        <v>B06b</v>
      </c>
      <c r="U380" s="16" t="str">
        <v>裸色PU</v>
      </c>
      <c r="V380" s="16" t="n">
        <v>11</v>
      </c>
      <c r="W380" s="8" t="str">
        <v>2026-10-08 至 2026-10-17</v>
      </c>
      <c r="X380" s="8" t="str">
        <v>2026-10-08、2026-10-09、2026-10-10、2026-10-11、2026-10-14、2026-10-15、2026-10-17</v>
      </c>
      <c r="Y380" s="8" t="str">
        <v>2026-10-12 有记录的停售日；2026-10-13 有记录的停售日；2026-10-16 有记录的停售日</v>
      </c>
      <c r="Z380" s="8" t="n">
        <v>0</v>
      </c>
      <c r="AA380" s="8" t="n">
        <v>0</v>
      </c>
      <c r="AB380" s="8" t="n">
        <v>7</v>
      </c>
      <c r="AC380" s="8" t="str">
        <v>2026-09-29 至 2026-10-17</v>
      </c>
      <c r="AD380" s="8" t="str">
        <v>2026-09-29、2026-09-30、2026-10-01、2026-10-02、2026-10-03、2026-10-04、2026-10-05、2026-10-08、2026-10-09、2026-10-10、2026-10-11、2026-10-14、2026-10-15、2026-10-17</v>
      </c>
      <c r="AE380" s="8" t="str">
        <v>2026-10-06 大促；2026-10-07 大促；2026-10-12 有记录的停售日；2026-10-13 有记录的停售日；2026-10-16 有记录的停售日</v>
      </c>
      <c r="AF380" s="8" t="n">
        <v>0</v>
      </c>
      <c r="AG380" s="8" t="n">
        <v>0</v>
      </c>
      <c r="AH380" s="8" t="n">
        <v>14</v>
      </c>
      <c r="AI380" s="8" t="str">
        <v>2026-09-13 至 2026-10-17</v>
      </c>
      <c r="AJ38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80" s="8" t="str">
        <v>2026-10-06 大促；2026-10-07 大促；2026-10-12 有记录的停售日；2026-10-13 有记录的停售日；2026-10-16 有记录的停售日</v>
      </c>
      <c r="AL380" s="8" t="n">
        <v>0</v>
      </c>
      <c r="AM380" s="8" t="n">
        <v>0</v>
      </c>
      <c r="AN380" s="8" t="n">
        <v>30</v>
      </c>
      <c r="AO380" s="8" t="str">
        <v>B06b / 裸色PU / 13120</v>
      </c>
      <c r="AP380" s="11" t="n">
        <v>1.1090677182221615</v>
      </c>
      <c r="AQ380" s="11" t="n">
        <v>1.0637680334742425</v>
      </c>
      <c r="AR380" s="11" t="n">
        <v>0.9188090422809019</v>
      </c>
      <c r="AS380" s="11" t="n">
        <f>IF(AND(COUNT(I380:K380,AP380:AR380)=6,MIN(AP380:AR380)&gt;0),I380/7/AP380*0.5+J380/14/AQ380*0.3+K380/30/AR380*0.2,"")</f>
        <v>0</v>
      </c>
      <c r="AT380" s="8" t="n">
        <v>0</v>
      </c>
      <c r="AU380" s="8" t="n">
        <v>0</v>
      </c>
      <c r="AV380" s="8" t="n">
        <v>85</v>
      </c>
      <c r="AW380" s="11" t="n">
        <f>IF(AND(COUNT(AT380:AV380)=3,AT380&gt;=AU380,AU380&gt;=0,AV380&gt;0),(AT380-AU380)/AV380,"")</f>
        <v>0</v>
      </c>
      <c r="AX380" s="8" t="n">
        <v>6</v>
      </c>
      <c r="AY380" s="8" t="n">
        <v>0</v>
      </c>
      <c r="AZ380" s="8" t="n">
        <v>175</v>
      </c>
      <c r="BA380" s="11" t="n">
        <f>IF(AND(COUNT(AX380:AZ380)=3,AX380&gt;=AY380,AY380&gt;=0,AZ380&gt;0),(AX380-AY380)/AZ380,"")</f>
        <v>0.03428571428571429</v>
      </c>
      <c r="BB380" s="8" t="n">
        <f>IF(COUNT(AS380,AW380,BA380)=3,1,0)</f>
        <v>1</v>
      </c>
      <c r="BC380" s="11" t="n">
        <f>IF(SUMIF($AO$11:$AO$1309,AO380,$BB$11:$BB$1309)=COUNTIF($AO$11:$AO$1309,AO380),SUMIF($AO$11:$AO$1309,AO380,$AS$11:$AS$1309),"")</f>
        <v>0.949812540451568</v>
      </c>
      <c r="BD380" s="11" t="n">
        <f>IF(SUMIF($AO$11:$AO$1309,AO380,$BB$11:$BB$1309)=COUNTIF($AO$11:$AO$1309,AO380),SUMIF($AO$11:$AO$1309,AO380,$AW$11:$AW$1309),"")</f>
        <v>0.9247833302600036</v>
      </c>
      <c r="BE380" s="11" t="n">
        <f>IF(SUMIF($AO$11:$AO$1309,AO380,$BB$11:$BB$1309)=COUNTIF($AO$11:$AO$1309,AO380),SUMIF($AO$11:$AO$1309,AO380,$BA$11:$BA$1309),"")</f>
        <v>0.8251835931477904</v>
      </c>
      <c r="BF380" s="12" t="n">
        <f>IF(COUNT(BD380:BE380)&lt;&gt;2,"",IF(AND(BD380&gt;0,BE380&gt;0),0.7*AW380/BD380+0.3*BA380/BE380,IF(BD380&gt;0,AW380/BD380,IF(BE380&gt;0,BA380/BE380,IF(AND(ISNUMBER(BH380),BH380=0),0,"")))))</f>
        <v>0.012464758595693641</v>
      </c>
      <c r="BG380" s="11" t="n">
        <f>IF(AND(COUNT(BN380:BU380)=8,MIN(BN380:BU380)&gt;=0),SUMPRODUCT(BN380:BQ380,BR380:BU380),"")</f>
        <v>94.47778160343367</v>
      </c>
      <c r="BH380" s="11" t="n">
        <f>IF(COUNT(BC380,BG380)=2,BC380*BG380,"")</f>
        <v>89.73618176098576</v>
      </c>
      <c r="BI380" s="11" t="n">
        <f>IF(ISNUMBER(CI380),CI380,"")</f>
        <v>1.1185398429499742</v>
      </c>
      <c r="BJ380" s="8" t="str"/>
      <c r="BK380" s="8" t="str">
        <v>90天：2026-07-20 至 2026-10-17；180天：2026-04-21 至 2026-10-17</v>
      </c>
      <c r="BL380" s="8" t="str">
        <v>90天：2026-10-06、2026-10-07、2026-10-12、2026-10-13、2026-10-16；180天：2026-10-06、2026-10-07、2026-10-12、2026-10-13、2026-10-16</v>
      </c>
      <c r="BM380" s="8" t="str">
        <v>2026-10：12天 × 1.1090677182221615；2026-11：30天 × 1.0372741535934282；2026-12：31天 × 0.979949351738161；2027-01：17天 × 1.1571949690048173</v>
      </c>
      <c r="BN380" s="11" t="n">
        <v>1.1090677182221615</v>
      </c>
      <c r="BO380" s="11" t="n">
        <v>1.0372741535934282</v>
      </c>
      <c r="BP380" s="11" t="n">
        <v>0.979949351738161</v>
      </c>
      <c r="BQ380" s="11" t="n">
        <v>1.1571949690048173</v>
      </c>
      <c r="BR380" s="8" t="n">
        <v>12</v>
      </c>
      <c r="BS380" s="8" t="n">
        <v>30</v>
      </c>
      <c r="BT380" s="8" t="n">
        <v>31</v>
      </c>
      <c r="BU380" s="8" t="n">
        <v>17</v>
      </c>
      <c r="BV380" s="11" t="n">
        <f>IF(COUNT(BC380,BF380)=2,BC380*BF380,"")</f>
        <v>0.011839184027891298</v>
      </c>
      <c r="BW380" s="11" t="n">
        <f>IF(ISNUMBER(BN380),BN380,"")</f>
        <v>1.1090677182221615</v>
      </c>
      <c r="BX380" s="14" t="n">
        <f>IF(ISNUMBER(BR380),BR380,"")</f>
        <v>12</v>
      </c>
      <c r="BY380" s="13" t="n">
        <f>IF(AND(COUNT(BV380,BW380,BX380)=3,MIN(BV380,BW380,BX380)&gt;=0),BV380*BW380*BX380,"")</f>
        <v>0.15756548178510793</v>
      </c>
      <c r="BZ380" s="11" t="n">
        <f>IF(ISNUMBER(BO380),BO380,"")</f>
        <v>1.0372741535934282</v>
      </c>
      <c r="CA380" s="14" t="n">
        <f>IF(ISNUMBER(BS380),BS380,"")</f>
        <v>30</v>
      </c>
      <c r="CB380" s="13" t="n">
        <f>IF(AND(COUNT(BV380,BZ380,CA380)=3,MIN(BV380,BZ380,CA380)&gt;=0),BV380*BZ380*CA380,"")</f>
        <v>0.3684143877530334</v>
      </c>
      <c r="CC380" s="11" t="n">
        <f>IF(ISNUMBER(BP380),BP380,"")</f>
        <v>0.979949351738161</v>
      </c>
      <c r="CD380" s="14" t="n">
        <f>IF(ISNUMBER(BT380),BT380,"")</f>
        <v>31</v>
      </c>
      <c r="CE380" s="13" t="n">
        <f>IF(AND(COUNT(BV380,CC380,CD380)=3,MIN(BV380,CC380,CD380)&gt;=0),BV380*CC380*CD380,"")</f>
        <v>0.35965582211046687</v>
      </c>
      <c r="CF380" s="11" t="n">
        <f>IF(ISNUMBER(BQ380),BQ380,"")</f>
        <v>1.1571949690048173</v>
      </c>
      <c r="CG380" s="14" t="n">
        <f>IF(ISNUMBER(BU380),BU380,"")</f>
        <v>17</v>
      </c>
      <c r="CH380" s="13" t="n">
        <f>IF(AND(COUNT(BV380,CF380,CG380)=3,MIN(BV380,CF380,CG380)&gt;=0),BV380*CF380*CG380,"")</f>
        <v>0.23290415130136596</v>
      </c>
      <c r="CI380" s="13" t="n">
        <f>IF(COUNT(BY380,CB380,CE380,CH380)=4,SUM(BY380,CB380,CE380,CH380),"")</f>
        <v>1.1185398429499742</v>
      </c>
    </row>
    <row r="381" ht="72" customHeight="1">
      <c r="A381" s="16" t="str">
        <v>B06b-RD-38-N</v>
      </c>
      <c r="B381" s="16" t="str">
        <v>1店-MUSSHOE-US</v>
      </c>
      <c r="C381" s="16" t="str">
        <v>艾年</v>
      </c>
      <c r="D381" s="26" t="n">
        <f>IF(NOT(ISNUMBER(E381)),"",IF(OR(E381&lt;=0,L381=0),0,IF(OR(NOT(ISNUMBER(F381)),F381&lt;0),"",MIN(E381,INT(F381)))))</f>
        <v>0</v>
      </c>
      <c r="E381" s="27" t="n">
        <f>IF(OR(NOT(ISNUMBER(L381)),COUNT(M381:O381)&lt;&gt;3,MIN(M381:O381)&lt;0),"",ROUNDUP(ROUND(BI381-SUM(M381:O381),10),0))</f>
        <v>2</v>
      </c>
      <c r="F381" s="28" t="n">
        <v>0</v>
      </c>
      <c r="G381" s="28" t="n">
        <f>IF(AND(ISNUMBER(D381),ISNUMBER(E381)),IF(OR(E381&lt;=0,L381=0),0,E381-D381),"")</f>
        <v>2</v>
      </c>
      <c r="H381" s="16" t="str">
        <f>IF(NOT(ISNUMBER(E381)),"销量或海外库存待补",IF(OR(E381&lt;=0,L381=0),IF(L381=0,"零日销，本批不发","本批无需补货"),IF(NOT(ISNUMBER(D381)),"国内库存待补",IF(D381=0,"国内无可用库存",IF(G381&gt;0,"先发国内现货","按建议量发货")))))</f>
        <v>国内无可用库存</v>
      </c>
      <c r="I381" s="28" t="n">
        <f>IF(AND(COUNT(Z381,AA381,AB381)=3,Z381&gt;=AA381,AA381&gt;=0,AB381=7),Z381-AA381,"")</f>
        <v>0</v>
      </c>
      <c r="J381" s="28" t="n">
        <f>IF(AND(COUNT(AF381,AG381,AH381)=3,AF381&gt;=AG381,AG381&gt;=0,AH381=14),AF381-AG381,"")</f>
        <v>0</v>
      </c>
      <c r="K381" s="28" t="n">
        <f>IF(AND(COUNT(AL381,AM381,AN381)=3,AL381&gt;=AM381,AM381&gt;=0,AN381=30),AL381-AM381,"")</f>
        <v>0</v>
      </c>
      <c r="L381" s="29" t="n">
        <f>IF(ISNUMBER(BI381),BI381/90,"")</f>
        <v>0.017086541027204367</v>
      </c>
      <c r="M381" s="28" t="n">
        <v>0</v>
      </c>
      <c r="N381" s="28" t="n">
        <v>0</v>
      </c>
      <c r="O381" s="28" t="n">
        <v>0</v>
      </c>
      <c r="P381" s="30" t="n">
        <f>IF(AND(ISNUMBER(L381),L381&gt;0,COUNT(M381:O381)=3,MIN(M381:O381)&gt;=0),SUM(M381:O381)/L381,"")</f>
        <v>0</v>
      </c>
      <c r="Q381" s="16" t="str">
        <v>沿用原计划SKU店铺</v>
      </c>
      <c r="R381" s="16" t="str">
        <v>已匹配</v>
      </c>
      <c r="S381" s="16" t="str">
        <v>停售</v>
      </c>
      <c r="T381" s="16" t="str">
        <v>B06b</v>
      </c>
      <c r="U381" s="16" t="str">
        <v>大红色羊京绒</v>
      </c>
      <c r="V381" s="16" t="n">
        <v>7</v>
      </c>
      <c r="W381" s="8" t="str">
        <v>2026-10-08 至 2026-10-17</v>
      </c>
      <c r="X381" s="8" t="str">
        <v>2026-10-08、2026-10-09、2026-10-10、2026-10-11、2026-10-14、2026-10-15、2026-10-17</v>
      </c>
      <c r="Y381" s="8" t="str">
        <v>2026-10-12 有记录的停售日；2026-10-13 有记录的停售日；2026-10-16 有记录的停售日</v>
      </c>
      <c r="Z381" s="8" t="n">
        <v>0</v>
      </c>
      <c r="AA381" s="8" t="n">
        <v>0</v>
      </c>
      <c r="AB381" s="8" t="n">
        <v>7</v>
      </c>
      <c r="AC381" s="8" t="str">
        <v>2026-09-29 至 2026-10-17</v>
      </c>
      <c r="AD381" s="8" t="str">
        <v>2026-09-29、2026-09-30、2026-10-01、2026-10-02、2026-10-03、2026-10-04、2026-10-05、2026-10-08、2026-10-09、2026-10-10、2026-10-11、2026-10-14、2026-10-15、2026-10-17</v>
      </c>
      <c r="AE381" s="8" t="str">
        <v>2026-10-06 大促；2026-10-07 大促；2026-10-12 有记录的停售日；2026-10-13 有记录的停售日；2026-10-16 有记录的停售日</v>
      </c>
      <c r="AF381" s="8" t="n">
        <v>0</v>
      </c>
      <c r="AG381" s="8" t="n">
        <v>0</v>
      </c>
      <c r="AH381" s="8" t="n">
        <v>14</v>
      </c>
      <c r="AI381" s="8" t="str">
        <v>2026-09-13 至 2026-10-17</v>
      </c>
      <c r="AJ38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81" s="8" t="str">
        <v>2026-10-06 大促；2026-10-07 大促；2026-10-12 有记录的停售日；2026-10-13 有记录的停售日；2026-10-16 有记录的停售日</v>
      </c>
      <c r="AL381" s="8" t="n">
        <v>0</v>
      </c>
      <c r="AM381" s="8" t="n">
        <v>0</v>
      </c>
      <c r="AN381" s="8" t="n">
        <v>30</v>
      </c>
      <c r="AO381" s="8" t="str">
        <v>B06b / 大红色羊京绒 / 13120</v>
      </c>
      <c r="AP381" s="11" t="n">
        <v>1.1090677182221615</v>
      </c>
      <c r="AQ381" s="11" t="n">
        <v>1.0637680334742425</v>
      </c>
      <c r="AR381" s="11" t="n">
        <v>0.9188090422809019</v>
      </c>
      <c r="AS381" s="11" t="n">
        <f>IF(AND(COUNT(I381:K381,AP381:AR381)=6,MIN(AP381:AR381)&gt;0),I381/7/AP381*0.5+J381/14/AQ381*0.3+K381/30/AR381*0.2,"")</f>
        <v>0</v>
      </c>
      <c r="AT381" s="8" t="n">
        <v>4</v>
      </c>
      <c r="AU381" s="8" t="n">
        <v>0</v>
      </c>
      <c r="AV381" s="8" t="n">
        <v>85</v>
      </c>
      <c r="AW381" s="11" t="n">
        <f>IF(AND(COUNT(AT381:AV381)=3,AT381&gt;=AU381,AU381&gt;=0,AV381&gt;0),(AT381-AU381)/AV381,"")</f>
        <v>0.047058823529411764</v>
      </c>
      <c r="AX381" s="8" t="n">
        <v>5</v>
      </c>
      <c r="AY381" s="8" t="n">
        <v>0</v>
      </c>
      <c r="AZ381" s="8" t="n">
        <v>175</v>
      </c>
      <c r="BA381" s="11" t="n">
        <f>IF(AND(COUNT(AX381:AZ381)=3,AX381&gt;=AY381,AY381&gt;=0,AZ381&gt;0),(AX381-AY381)/AZ381,"")</f>
        <v>0.02857142857142857</v>
      </c>
      <c r="BB381" s="8" t="n">
        <f>IF(COUNT(AS381,AW381,BA381)=3,1,0)</f>
        <v>1</v>
      </c>
      <c r="BC381" s="11" t="n">
        <f>IF(SUMIF($AO$11:$AO$1309,AO381,$BB$11:$BB$1309)=COUNTIF($AO$11:$AO$1309,AO381),SUMIF($AO$11:$AO$1309,AO381,$AS$11:$AS$1309),"")</f>
        <v>0.1047665445001248</v>
      </c>
      <c r="BD381" s="11" t="n">
        <f>IF(SUMIF($AO$11:$AO$1309,AO381,$BB$11:$BB$1309)=COUNTIF($AO$11:$AO$1309,AO381),SUMIF($AO$11:$AO$1309,AO381,$AW$11:$AW$1309),"")</f>
        <v>0.28569518716577535</v>
      </c>
      <c r="BE381" s="11" t="n">
        <f>IF(SUMIF($AO$11:$AO$1309,AO381,$BB$11:$BB$1309)=COUNTIF($AO$11:$AO$1309,AO381),SUMIF($AO$11:$AO$1309,AO381,$BA$11:$BA$1309),"")</f>
        <v>0.21396468699839485</v>
      </c>
      <c r="BF381" s="12" t="n">
        <f>IF(COUNT(BD381:BE381)&lt;&gt;2,"",IF(AND(BD381&gt;0,BE381&gt;0),0.7*AW381/BD381+0.3*BA381/BE381,IF(BD381&gt;0,AW381/BD381,IF(BE381&gt;0,BA381/BE381,IF(AND(ISNUMBER(BH381),BH381=0),0,"")))))</f>
        <v>0.15536183999205228</v>
      </c>
      <c r="BG381" s="11" t="n">
        <f>IF(AND(COUNT(BN381:BU381)=8,MIN(BN381:BU381)&gt;=0),SUMPRODUCT(BN381:BQ381,BR381:BU381),"")</f>
        <v>94.47778160343367</v>
      </c>
      <c r="BH381" s="11" t="n">
        <f>IF(COUNT(BC381,BG381)=2,BC381*BG381,"")</f>
        <v>9.898110710629206</v>
      </c>
      <c r="BI381" s="11" t="n">
        <f>IF(ISNUMBER(CI381),CI381,"")</f>
        <v>1.5377886924483932</v>
      </c>
      <c r="BJ381" s="8" t="str">
        <v>近180天本色销量49双（＜90），无有效新采购，请运营判断</v>
      </c>
      <c r="BK381" s="8" t="str">
        <v>90天：2026-07-20 至 2026-10-17；180天：2026-04-21 至 2026-10-17</v>
      </c>
      <c r="BL381" s="8" t="str">
        <v>90天：2026-10-06、2026-10-07、2026-10-12、2026-10-13、2026-10-16；180天：2026-10-06、2026-10-07、2026-10-12、2026-10-13、2026-10-16</v>
      </c>
      <c r="BM381" s="8" t="str">
        <v>2026-10：12天 × 1.1090677182221615；2026-11：30天 × 1.0372741535934282；2026-12：31天 × 0.979949351738161；2027-01：17天 × 1.1571949690048173</v>
      </c>
      <c r="BN381" s="11" t="n">
        <v>1.1090677182221615</v>
      </c>
      <c r="BO381" s="11" t="n">
        <v>1.0372741535934282</v>
      </c>
      <c r="BP381" s="11" t="n">
        <v>0.979949351738161</v>
      </c>
      <c r="BQ381" s="11" t="n">
        <v>1.1571949690048173</v>
      </c>
      <c r="BR381" s="8" t="n">
        <v>12</v>
      </c>
      <c r="BS381" s="8" t="n">
        <v>30</v>
      </c>
      <c r="BT381" s="8" t="n">
        <v>31</v>
      </c>
      <c r="BU381" s="8" t="n">
        <v>17</v>
      </c>
      <c r="BV381" s="11" t="n">
        <f>IF(COUNT(BC381,BF381)=2,BC381*BF381,"")</f>
        <v>0.016276723123148613</v>
      </c>
      <c r="BW381" s="11" t="n">
        <f>IF(ISNUMBER(BN381),BN381,"")</f>
        <v>1.1090677182221615</v>
      </c>
      <c r="BX381" s="14" t="n">
        <f>IF(ISNUMBER(BR381),BR381,"")</f>
        <v>12</v>
      </c>
      <c r="BY381" s="13" t="n">
        <f>IF(AND(COUNT(BV381,BW381,BX381)=3,MIN(BV381,BW381,BX381)&gt;=0),BV381*BW381*BX381,"")</f>
        <v>0.21662385809189194</v>
      </c>
      <c r="BZ381" s="11" t="n">
        <f>IF(ISNUMBER(BO381),BO381,"")</f>
        <v>1.0372741535934282</v>
      </c>
      <c r="CA381" s="14" t="n">
        <f>IF(ISNUMBER(BS381),BS381,"")</f>
        <v>30</v>
      </c>
      <c r="CB381" s="13" t="n">
        <f>IF(AND(COUNT(BV381,BZ381,CA381)=3,MIN(BV381,BZ381,CA381)&gt;=0),BV381*BZ381*CA381,"")</f>
        <v>0.5065027260251568</v>
      </c>
      <c r="CC381" s="11" t="n">
        <f>IF(ISNUMBER(BP381),BP381,"")</f>
        <v>0.979949351738161</v>
      </c>
      <c r="CD381" s="14" t="n">
        <f>IF(ISNUMBER(BT381),BT381,"")</f>
        <v>31</v>
      </c>
      <c r="CE381" s="13" t="n">
        <f>IF(AND(COUNT(BV381,CC381,CD381)=3,MIN(BV381,CC381,CD381)&gt;=0),BV381*CC381*CD381,"")</f>
        <v>0.4944612924614815</v>
      </c>
      <c r="CF381" s="11" t="n">
        <f>IF(ISNUMBER(BQ381),BQ381,"")</f>
        <v>1.1571949690048173</v>
      </c>
      <c r="CG381" s="14" t="n">
        <f>IF(ISNUMBER(BU381),BU381,"")</f>
        <v>17</v>
      </c>
      <c r="CH381" s="13" t="n">
        <f>IF(AND(COUNT(BV381,CF381,CG381)=3,MIN(BV381,CF381,CG381)&gt;=0),BV381*CF381*CG381,"")</f>
        <v>0.32020081586986315</v>
      </c>
      <c r="CI381" s="13" t="n">
        <f>IF(COUNT(BY381,CB381,CE381,CH381)=4,SUM(BY381,CB381,CE381,CH381),"")</f>
        <v>1.5377886924483932</v>
      </c>
    </row>
    <row r="382" ht="72" customHeight="1">
      <c r="A382" s="16" t="str">
        <v>B07-BG-38-by</v>
      </c>
      <c r="B382" s="16" t="str">
        <v>4店-彬郁-US</v>
      </c>
      <c r="C382" s="16" t="str">
        <v>艾年</v>
      </c>
      <c r="D382" s="26" t="n">
        <f>IF(NOT(ISNUMBER(E382)),"",IF(OR(E382&lt;=0,L382=0),0,IF(OR(NOT(ISNUMBER(F382)),F382&lt;0),"",MIN(E382,INT(F382)))))</f>
        <v>0</v>
      </c>
      <c r="E382" s="27" t="n">
        <f>IF(OR(NOT(ISNUMBER(L382)),COUNT(M382:O382)&lt;&gt;3,MIN(M382:O382)&lt;0),"",ROUNDUP(ROUND(BI382-SUM(M382:O382),10),0))</f>
        <v>2</v>
      </c>
      <c r="F382" s="28" t="n">
        <v>0</v>
      </c>
      <c r="G382" s="28" t="n">
        <f>IF(AND(ISNUMBER(D382),ISNUMBER(E382)),IF(OR(E382&lt;=0,L382=0),0,E382-D382),"")</f>
        <v>2</v>
      </c>
      <c r="H382" s="16" t="str">
        <f>IF(NOT(ISNUMBER(E382)),"销量或海外库存待补",IF(OR(E382&lt;=0,L382=0),IF(L382=0,"零日销，本批不发","本批无需补货"),IF(NOT(ISNUMBER(D382)),"国内库存待补",IF(D382=0,"国内无可用库存",IF(G382&gt;0,"先发国内现货","按建议量发货")))))</f>
        <v>国内无可用库存</v>
      </c>
      <c r="I382" s="28" t="n">
        <f>IF(AND(COUNT(Z382,AA382,AB382)=3,Z382&gt;=AA382,AA382&gt;=0,AB382=7),Z382-AA382,"")</f>
        <v>0</v>
      </c>
      <c r="J382" s="28" t="n">
        <f>IF(AND(COUNT(AF382,AG382,AH382)=3,AF382&gt;=AG382,AG382&gt;=0,AH382=14),AF382-AG382,"")</f>
        <v>0</v>
      </c>
      <c r="K382" s="28" t="n">
        <f>IF(AND(COUNT(AL382,AM382,AN382)=3,AL382&gt;=AM382,AM382&gt;=0,AN382=30),AL382-AM382,"")</f>
        <v>0</v>
      </c>
      <c r="L382" s="29" t="n">
        <f>IF(ISNUMBER(BI382),BI382/90,"")</f>
        <v>0.10209486665439035</v>
      </c>
      <c r="M382" s="28" t="n">
        <v>0</v>
      </c>
      <c r="N382" s="28" t="n">
        <v>0</v>
      </c>
      <c r="O382" s="28" t="n">
        <v>8</v>
      </c>
      <c r="P382" s="30" t="n">
        <f>IF(AND(ISNUMBER(L382),L382&gt;0,COUNT(M382:O382)=3,MIN(M382:O382)&gt;=0),SUM(M382:O382)/L382,"")</f>
        <v>78.35849403752543</v>
      </c>
      <c r="Q382" s="16" t="str">
        <v>沿用原计划SKU店铺</v>
      </c>
      <c r="R382" s="16" t="str">
        <v>已匹配</v>
      </c>
      <c r="S382" s="16" t="str">
        <v>在售</v>
      </c>
      <c r="T382" s="16" t="str">
        <v>B07</v>
      </c>
      <c r="U382" s="16" t="str">
        <v>米色羊京绒</v>
      </c>
      <c r="V382" s="16" t="n">
        <v>7</v>
      </c>
      <c r="W382" s="8" t="str">
        <v>2026-10-09 至 2026-10-17</v>
      </c>
      <c r="X382" s="8" t="str">
        <v>2026-10-09、2026-10-10、2026-10-11、2026-10-14、2026-10-15、2026-10-16、2026-10-17</v>
      </c>
      <c r="Y382" s="8" t="str">
        <v>2026-10-12 有记录的停售日；2026-10-13 有记录的停售日</v>
      </c>
      <c r="Z382" s="8" t="n">
        <v>0</v>
      </c>
      <c r="AA382" s="8" t="n">
        <v>0</v>
      </c>
      <c r="AB382" s="8" t="n">
        <v>7</v>
      </c>
      <c r="AC382" s="8" t="str">
        <v>2026-09-30 至 2026-10-17</v>
      </c>
      <c r="AD382" s="8" t="str">
        <v>2026-09-30、2026-10-01、2026-10-02、2026-10-03、2026-10-04、2026-10-05、2026-10-08、2026-10-09、2026-10-10、2026-10-11、2026-10-14、2026-10-15、2026-10-16、2026-10-17</v>
      </c>
      <c r="AE382" s="8" t="str">
        <v>2026-10-06 大促；2026-10-07 大促；2026-10-12 有记录的停售日；2026-10-13 有记录的停售日</v>
      </c>
      <c r="AF382" s="8" t="n">
        <v>0</v>
      </c>
      <c r="AG382" s="8" t="n">
        <v>0</v>
      </c>
      <c r="AH382" s="8" t="n">
        <v>14</v>
      </c>
      <c r="AI382" s="8" t="str">
        <v>2026-09-14 至 2026-10-17</v>
      </c>
      <c r="AJ382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382" s="8" t="str">
        <v>2026-10-06 大促；2026-10-07 大促；2026-10-12 有记录的停售日；2026-10-13 有记录的停售日</v>
      </c>
      <c r="AL382" s="8" t="n">
        <v>0</v>
      </c>
      <c r="AM382" s="8" t="n">
        <v>0</v>
      </c>
      <c r="AN382" s="8" t="n">
        <v>30</v>
      </c>
      <c r="AO382" s="8" t="str">
        <v>B07 / 米色羊京绒 / 13306</v>
      </c>
      <c r="AP382" s="11" t="n">
        <v>0.7307750238224848</v>
      </c>
      <c r="AQ382" s="11" t="n">
        <v>0.7328044354783371</v>
      </c>
      <c r="AR382" s="11" t="n">
        <v>0.7468750229589127</v>
      </c>
      <c r="AS382" s="11" t="n">
        <f>IF(AND(COUNT(I382:K382,AP382:AR382)=6,MIN(AP382:AR382)&gt;0),I382/7/AP382*0.5+J382/14/AQ382*0.3+K382/30/AR382*0.2,"")</f>
        <v>0</v>
      </c>
      <c r="AT382" s="8" t="n">
        <v>3</v>
      </c>
      <c r="AU382" s="8" t="n">
        <v>0</v>
      </c>
      <c r="AV382" s="8" t="n">
        <v>86</v>
      </c>
      <c r="AW382" s="11" t="n">
        <f>IF(AND(COUNT(AT382:AV382)=3,AT382&gt;=AU382,AU382&gt;=0,AV382&gt;0),(AT382-AU382)/AV382,"")</f>
        <v>0.03488372093023256</v>
      </c>
      <c r="AX382" s="8" t="n">
        <v>15</v>
      </c>
      <c r="AY382" s="8" t="n">
        <v>0</v>
      </c>
      <c r="AZ382" s="8" t="n">
        <v>176</v>
      </c>
      <c r="BA382" s="11" t="n">
        <f>IF(AND(COUNT(AX382:AZ382)=3,AX382&gt;=AY382,AY382&gt;=0,AZ382&gt;0),(AX382-AY382)/AZ382,"")</f>
        <v>0.08522727272727272</v>
      </c>
      <c r="BB382" s="8" t="n">
        <f>IF(COUNT(AS382,AW382,BA382)=3,1,0)</f>
        <v>1</v>
      </c>
      <c r="BC382" s="11" t="n">
        <f>IF(SUMIF($AO$11:$AO$1309,AO382,$BB$11:$BB$1309)=COUNTIF($AO$11:$AO$1309,AO382),SUMIF($AO$11:$AO$1309,AO382,$AS$11:$AS$1309),"")</f>
        <v>3.1019363848639383</v>
      </c>
      <c r="BD382" s="11" t="n">
        <f>IF(SUMIF($AO$11:$AO$1309,AO382,$BB$11:$BB$1309)=COUNTIF($AO$11:$AO$1309,AO382),SUMIF($AO$11:$AO$1309,AO382,$AW$11:$AW$1309),"")</f>
        <v>1.4098837209302328</v>
      </c>
      <c r="BE382" s="11" t="n">
        <f>IF(SUMIF($AO$11:$AO$1309,AO382,$BB$11:$BB$1309)=COUNTIF($AO$11:$AO$1309,AO382),SUMIF($AO$11:$AO$1309,AO382,$BA$11:$BA$1309),"")</f>
        <v>1.2482449292280753</v>
      </c>
      <c r="BF382" s="12" t="n">
        <f>IF(COUNT(BD382:BE382)&lt;&gt;2,"",IF(AND(BD382&gt;0,BE382&gt;0),0.7*AW382/BD382+0.3*BA382/BE382,IF(BD382&gt;0,AW382/BD382,IF(BE382&gt;0,BA382/BE382,IF(AND(ISNUMBER(BH382),BH382=0),0,"")))))</f>
        <v>0.03780289280359109</v>
      </c>
      <c r="BG382" s="11" t="n">
        <f>IF(AND(COUNT(BN382:BU382)=8,MIN(BN382:BU382)&gt;=0),SUMPRODUCT(BN382:BQ382,BR382:BU382),"")</f>
        <v>78.35892944347341</v>
      </c>
      <c r="BH382" s="11" t="n">
        <f>IF(COUNT(BC382,BG382)=2,BC382*BG382,"")</f>
        <v>243.06441431969634</v>
      </c>
      <c r="BI382" s="11" t="n">
        <f>IF(ISNUMBER(CI382),CI382,"")</f>
        <v>9.188537998895132</v>
      </c>
      <c r="BJ382" s="8" t="str"/>
      <c r="BK382" s="8" t="str">
        <v>90天：2026-07-20 至 2026-10-17；180天：2026-04-21 至 2026-10-17</v>
      </c>
      <c r="BL382" s="8" t="str">
        <v>90天：2026-10-06、2026-10-07、2026-10-12、2026-10-13；180天：2026-10-06、2026-10-07、2026-10-12、2026-10-13</v>
      </c>
      <c r="BM382" s="8" t="str">
        <v>2026-10：12天 × 0.7307750238224848；2026-11：30天 × 0.9523018155490097；2026-12：31天 × 0.5958545198749097；2027-01：17天 × 1.3264167397065354</v>
      </c>
      <c r="BN382" s="11" t="n">
        <v>0.7307750238224848</v>
      </c>
      <c r="BO382" s="11" t="n">
        <v>0.9523018155490097</v>
      </c>
      <c r="BP382" s="11" t="n">
        <v>0.5958545198749097</v>
      </c>
      <c r="BQ382" s="11" t="n">
        <v>1.3264167397065354</v>
      </c>
      <c r="BR382" s="8" t="n">
        <v>12</v>
      </c>
      <c r="BS382" s="8" t="n">
        <v>30</v>
      </c>
      <c r="BT382" s="8" t="n">
        <v>31</v>
      </c>
      <c r="BU382" s="8" t="n">
        <v>17</v>
      </c>
      <c r="BV382" s="11" t="n">
        <f>IF(COUNT(BC382,BF382)=2,BC382*BF382,"")</f>
        <v>0.11726216864057033</v>
      </c>
      <c r="BW382" s="11" t="n">
        <f>IF(ISNUMBER(BN382),BN382,"")</f>
        <v>0.7307750238224848</v>
      </c>
      <c r="BX382" s="14" t="n">
        <f>IF(ISNUMBER(BR382),BR382,"")</f>
        <v>12</v>
      </c>
      <c r="BY382" s="13" t="n">
        <f>IF(AND(COUNT(BV382,BW382,BX382)=3,MIN(BV382,BW382,BX382)&gt;=0),BV382*BW382*BX382,"")</f>
        <v>1.0283071689814682</v>
      </c>
      <c r="BZ382" s="11" t="n">
        <f>IF(ISNUMBER(BO382),BO382,"")</f>
        <v>0.9523018155490097</v>
      </c>
      <c r="CA382" s="14" t="n">
        <f>IF(ISNUMBER(BS382),BS382,"")</f>
        <v>30</v>
      </c>
      <c r="CB382" s="13" t="n">
        <f>IF(AND(COUNT(BV382,BZ382,CA382)=3,MIN(BV382,BZ382,CA382)&gt;=0),BV382*BZ382*CA382,"")</f>
        <v>3.3500692827488785</v>
      </c>
      <c r="CC382" s="11" t="n">
        <f>IF(ISNUMBER(BP382),BP382,"")</f>
        <v>0.5958545198749097</v>
      </c>
      <c r="CD382" s="14" t="n">
        <f>IF(ISNUMBER(BT382),BT382,"")</f>
        <v>31</v>
      </c>
      <c r="CE382" s="13" t="n">
        <f>IF(AND(COUNT(BV382,CC382,CD382)=3,MIN(BV382,CC382,CD382)&gt;=0),BV382*CC382*CD382,"")</f>
        <v>2.1660069890393494</v>
      </c>
      <c r="CF382" s="11" t="n">
        <f>IF(ISNUMBER(BQ382),BQ382,"")</f>
        <v>1.3264167397065354</v>
      </c>
      <c r="CG382" s="14" t="n">
        <f>IF(ISNUMBER(BU382),BU382,"")</f>
        <v>17</v>
      </c>
      <c r="CH382" s="13" t="n">
        <f>IF(AND(COUNT(BV382,CF382,CG382)=3,MIN(BV382,CF382,CG382)&gt;=0),BV382*CF382*CG382,"")</f>
        <v>2.644154558125435</v>
      </c>
      <c r="CI382" s="13" t="n">
        <f>IF(COUNT(BY382,CB382,CE382,CH382)=4,SUM(BY382,CB382,CE382,CH382),"")</f>
        <v>9.188537998895132</v>
      </c>
    </row>
    <row r="383" ht="72" customHeight="1">
      <c r="A383" s="16" t="str">
        <v>B07-BG-40.5</v>
      </c>
      <c r="B383" s="16" t="str">
        <v>4店-彬郁-US</v>
      </c>
      <c r="C383" s="16" t="str">
        <v>艾年</v>
      </c>
      <c r="D383" s="26" t="n">
        <f>IF(NOT(ISNUMBER(E383)),"",IF(OR(E383&lt;=0,L383=0),0,IF(OR(NOT(ISNUMBER(F383)),F383&lt;0),"",MIN(E383,INT(F383)))))</f>
        <v>0</v>
      </c>
      <c r="E383" s="27" t="n">
        <f>IF(OR(NOT(ISNUMBER(L383)),COUNT(M383:O383)&lt;&gt;3,MIN(M383:O383)&lt;0),"",ROUNDUP(ROUND(BI383-SUM(M383:O383),10),0))</f>
        <v>2</v>
      </c>
      <c r="F383" s="28" t="n">
        <v>0</v>
      </c>
      <c r="G383" s="28" t="n">
        <f>IF(AND(ISNUMBER(D383),ISNUMBER(E383)),IF(OR(E383&lt;=0,L383=0),0,E383-D383),"")</f>
        <v>2</v>
      </c>
      <c r="H383" s="16" t="str">
        <f>IF(NOT(ISNUMBER(E383)),"销量或海外库存待补",IF(OR(E383&lt;=0,L383=0),IF(L383=0,"零日销，本批不发","本批无需补货"),IF(NOT(ISNUMBER(D383)),"国内库存待补",IF(D383=0,"国内无可用库存",IF(G383&gt;0,"先发国内现货","按建议量发货")))))</f>
        <v>国内无可用库存</v>
      </c>
      <c r="I383" s="28" t="n">
        <f>IF(AND(COUNT(Z383,AA383,AB383)=3,Z383&gt;=AA383,AA383&gt;=0,AB383=7),Z383-AA383,"")</f>
        <v>0</v>
      </c>
      <c r="J383" s="28" t="n">
        <f>IF(AND(COUNT(AF383,AG383,AH383)=3,AF383&gt;=AG383,AG383&gt;=0,AH383=14),AF383-AG383,"")</f>
        <v>4</v>
      </c>
      <c r="K383" s="28" t="n">
        <f>IF(AND(COUNT(AL383,AM383,AN383)=3,AL383&gt;=AM383,AM383&gt;=0,AN383=30),AL383-AM383,"")</f>
        <v>9</v>
      </c>
      <c r="L383" s="29" t="n">
        <f>IF(ISNUMBER(BI383),BI383/90,"")</f>
        <v>0.2710169218915299</v>
      </c>
      <c r="M383" s="28" t="n">
        <v>23</v>
      </c>
      <c r="N383" s="28" t="n">
        <v>0</v>
      </c>
      <c r="O383" s="28" t="n">
        <v>0</v>
      </c>
      <c r="P383" s="30" t="n">
        <f>IF(AND(ISNUMBER(L383),L383&gt;0,COUNT(M383:O383)=3,MIN(M383:O383)&gt;=0),SUM(M383:O383)/L383,"")</f>
        <v>84.86554949954517</v>
      </c>
      <c r="Q383" s="16" t="str">
        <v>沿用原计划SKU店铺</v>
      </c>
      <c r="R383" s="16" t="str">
        <v>已匹配</v>
      </c>
      <c r="S383" s="16" t="str">
        <v>在售</v>
      </c>
      <c r="T383" s="16" t="str">
        <v>B07</v>
      </c>
      <c r="U383" s="16" t="str">
        <v>米色羊京绒</v>
      </c>
      <c r="V383" s="16" t="n">
        <v>9.5</v>
      </c>
      <c r="W383" s="8" t="str">
        <v>2026-10-11 至 2026-10-17</v>
      </c>
      <c r="X383" s="8" t="str">
        <v>2026-10-11、2026-10-12、2026-10-13、2026-10-14、2026-10-15、2026-10-16、2026-10-17</v>
      </c>
      <c r="Y383" s="8" t="str">
        <v>无</v>
      </c>
      <c r="Z383" s="8" t="n">
        <v>0</v>
      </c>
      <c r="AA383" s="8" t="n">
        <v>0</v>
      </c>
      <c r="AB383" s="8" t="n">
        <v>7</v>
      </c>
      <c r="AC383" s="8" t="str">
        <v>2026-10-02 至 2026-10-17</v>
      </c>
      <c r="AD383" s="8" t="str">
        <v>2026-10-02、2026-10-03、2026-10-04、2026-10-05、2026-10-08、2026-10-09、2026-10-10、2026-10-11、2026-10-12、2026-10-13、2026-10-14、2026-10-15、2026-10-16、2026-10-17</v>
      </c>
      <c r="AE383" s="8" t="str">
        <v>2026-10-06 大促；2026-10-07 大促</v>
      </c>
      <c r="AF383" s="8" t="n">
        <v>4</v>
      </c>
      <c r="AG383" s="8" t="n">
        <v>0</v>
      </c>
      <c r="AH383" s="8" t="n">
        <v>14</v>
      </c>
      <c r="AI383" s="8" t="str">
        <v>2026-09-16 至 2026-10-17</v>
      </c>
      <c r="AJ3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3" s="8" t="str">
        <v>2026-10-06 大促；2026-10-07 大促</v>
      </c>
      <c r="AL383" s="8" t="n">
        <v>9</v>
      </c>
      <c r="AM383" s="8" t="n">
        <v>0</v>
      </c>
      <c r="AN383" s="8" t="n">
        <v>30</v>
      </c>
      <c r="AO383" s="8" t="str">
        <v>B07 / 米色羊京绒 / 13306</v>
      </c>
      <c r="AP383" s="11" t="n">
        <v>0.7307750238224848</v>
      </c>
      <c r="AQ383" s="11" t="n">
        <v>0.7307750238224848</v>
      </c>
      <c r="AR383" s="11" t="n">
        <v>0.7449809054134506</v>
      </c>
      <c r="AS383" s="11" t="n">
        <f>IF(AND(COUNT(I383:K383,AP383:AR383)=6,MIN(AP383:AR383)&gt;0),I383/7/AP383*0.5+J383/14/AQ383*0.3+K383/30/AR383*0.2,"")</f>
        <v>0.19783128025843535</v>
      </c>
      <c r="AT383" s="8" t="n">
        <v>13</v>
      </c>
      <c r="AU383" s="8" t="n">
        <v>0</v>
      </c>
      <c r="AV383" s="8" t="n">
        <v>88</v>
      </c>
      <c r="AW383" s="11" t="n">
        <f>IF(AND(COUNT(AT383:AV383)=3,AT383&gt;=AU383,AU383&gt;=0,AV383&gt;0),(AT383-AU383)/AV383,"")</f>
        <v>0.14772727272727273</v>
      </c>
      <c r="AX383" s="8" t="n">
        <v>20</v>
      </c>
      <c r="AY383" s="8" t="n">
        <v>0</v>
      </c>
      <c r="AZ383" s="8" t="n">
        <v>178</v>
      </c>
      <c r="BA383" s="11" t="n">
        <f>IF(AND(COUNT(AX383:AZ383)=3,AX383&gt;=AY383,AY383&gt;=0,AZ383&gt;0),(AX383-AY383)/AZ383,"")</f>
        <v>0.11235955056179775</v>
      </c>
      <c r="BB383" s="8" t="n">
        <f>IF(COUNT(AS383,AW383,BA383)=3,1,0)</f>
        <v>1</v>
      </c>
      <c r="BC383" s="11" t="n">
        <f>IF(SUMIF($AO$11:$AO$1309,AO383,$BB$11:$BB$1309)=COUNTIF($AO$11:$AO$1309,AO383),SUMIF($AO$11:$AO$1309,AO383,$AS$11:$AS$1309),"")</f>
        <v>3.1019363848639383</v>
      </c>
      <c r="BD383" s="11" t="n">
        <f>IF(SUMIF($AO$11:$AO$1309,AO383,$BB$11:$BB$1309)=COUNTIF($AO$11:$AO$1309,AO383),SUMIF($AO$11:$AO$1309,AO383,$AW$11:$AW$1309),"")</f>
        <v>1.4098837209302328</v>
      </c>
      <c r="BE383" s="11" t="n">
        <f>IF(SUMIF($AO$11:$AO$1309,AO383,$BB$11:$BB$1309)=COUNTIF($AO$11:$AO$1309,AO383),SUMIF($AO$11:$AO$1309,AO383,$BA$11:$BA$1309),"")</f>
        <v>1.2482449292280753</v>
      </c>
      <c r="BF383" s="12" t="n">
        <f>IF(COUNT(BD383:BE383)&lt;&gt;2,"",IF(AND(BD383&gt;0,BE383&gt;0),0.7*AW383/BD383+0.3*BA383/BE383,IF(BD383&gt;0,AW383/BD383,IF(BE383&gt;0,BA383/BE383,IF(AND(ISNUMBER(BH383),BH383=0),0,"")))))</f>
        <v>0.10035003699947682</v>
      </c>
      <c r="BG383" s="11" t="n">
        <f>IF(AND(COUNT(BN383:BU383)=8,MIN(BN383:BU383)&gt;=0),SUMPRODUCT(BN383:BQ383,BR383:BU383),"")</f>
        <v>78.35892944347341</v>
      </c>
      <c r="BH383" s="11" t="n">
        <f>IF(COUNT(BC383,BG383)=2,BC383*BG383,"")</f>
        <v>243.06441431969634</v>
      </c>
      <c r="BI383" s="11" t="n">
        <f>IF(ISNUMBER(CI383),CI383,"")</f>
        <v>24.39152297023769</v>
      </c>
      <c r="BJ383" s="8" t="str"/>
      <c r="BK383" s="8" t="str">
        <v>90天：2026-07-20 至 2026-10-17；180天：2026-04-21 至 2026-10-17</v>
      </c>
      <c r="BL383" s="8" t="str">
        <v>90天：2026-10-06、2026-10-07；180天：2026-10-06、2026-10-07</v>
      </c>
      <c r="BM383" s="8" t="str">
        <v>2026-10：12天 × 0.7307750238224848；2026-11：30天 × 0.9523018155490097；2026-12：31天 × 0.5958545198749097；2027-01：17天 × 1.3264167397065354</v>
      </c>
      <c r="BN383" s="11" t="n">
        <v>0.7307750238224848</v>
      </c>
      <c r="BO383" s="11" t="n">
        <v>0.9523018155490097</v>
      </c>
      <c r="BP383" s="11" t="n">
        <v>0.5958545198749097</v>
      </c>
      <c r="BQ383" s="11" t="n">
        <v>1.3264167397065354</v>
      </c>
      <c r="BR383" s="8" t="n">
        <v>12</v>
      </c>
      <c r="BS383" s="8" t="n">
        <v>30</v>
      </c>
      <c r="BT383" s="8" t="n">
        <v>31</v>
      </c>
      <c r="BU383" s="8" t="n">
        <v>17</v>
      </c>
      <c r="BV383" s="11" t="n">
        <f>IF(COUNT(BC383,BF383)=2,BC383*BF383,"")</f>
        <v>0.3112794309911196</v>
      </c>
      <c r="BW383" s="11" t="n">
        <f>IF(ISNUMBER(BN383),BN383,"")</f>
        <v>0.7307750238224848</v>
      </c>
      <c r="BX383" s="14" t="n">
        <f>IF(ISNUMBER(BR383),BR383,"")</f>
        <v>12</v>
      </c>
      <c r="BY383" s="13" t="n">
        <f>IF(AND(COUNT(BV383,BW383,BX383)=3,MIN(BV383,BW383,BX383)&gt;=0),BV383*BW383*BX383,"")</f>
        <v>2.7297028031758193</v>
      </c>
      <c r="BZ383" s="11" t="n">
        <f>IF(ISNUMBER(BO383),BO383,"")</f>
        <v>0.9523018155490097</v>
      </c>
      <c r="CA383" s="14" t="n">
        <f>IF(ISNUMBER(BS383),BS383,"")</f>
        <v>30</v>
      </c>
      <c r="CB383" s="13" t="n">
        <f>IF(AND(COUNT(BV383,BZ383,CA383)=3,MIN(BV383,BZ383,CA383)&gt;=0),BV383*BZ383*CA383,"")</f>
        <v>8.892959018277176</v>
      </c>
      <c r="CC383" s="11" t="n">
        <f>IF(ISNUMBER(BP383),BP383,"")</f>
        <v>0.5958545198749097</v>
      </c>
      <c r="CD383" s="14" t="n">
        <f>IF(ISNUMBER(BT383),BT383,"")</f>
        <v>31</v>
      </c>
      <c r="CE383" s="13" t="n">
        <f>IF(AND(COUNT(BV383,CC383,CD383)=3,MIN(BV383,CC383,CD383)&gt;=0),BV383*CC383*CD383,"")</f>
        <v>5.749794932904608</v>
      </c>
      <c r="CF383" s="11" t="n">
        <f>IF(ISNUMBER(BQ383),BQ383,"")</f>
        <v>1.3264167397065354</v>
      </c>
      <c r="CG383" s="14" t="n">
        <f>IF(ISNUMBER(BU383),BU383,"")</f>
        <v>17</v>
      </c>
      <c r="CH383" s="13" t="n">
        <f>IF(AND(COUNT(BV383,CF383,CG383)=3,MIN(BV383,CF383,CG383)&gt;=0),BV383*CF383*CG383,"")</f>
        <v>7.019066215880088</v>
      </c>
      <c r="CI383" s="13" t="n">
        <f>IF(COUNT(BY383,CB383,CE383,CH383)=4,SUM(BY383,CB383,CE383,CH383),"")</f>
        <v>24.39152297023769</v>
      </c>
    </row>
    <row r="384" ht="72" customHeight="1">
      <c r="A384" s="16" t="str">
        <v>B07-BK-V-0-38</v>
      </c>
      <c r="B384" s="16" t="str">
        <v>4店-彬郁-US</v>
      </c>
      <c r="C384" s="16" t="str">
        <v>艾年</v>
      </c>
      <c r="D384" s="26" t="n">
        <f>IF(NOT(ISNUMBER(E384)),"",IF(OR(E384&lt;=0,L384=0),0,IF(OR(NOT(ISNUMBER(F384)),F384&lt;0),"",MIN(E384,INT(F384)))))</f>
        <v>0</v>
      </c>
      <c r="E384" s="27" t="n">
        <f>IF(OR(NOT(ISNUMBER(L384)),COUNT(M384:O384)&lt;&gt;3,MIN(M384:O384)&lt;0),"",ROUNDUP(ROUND(BI384-SUM(M384:O384),10),0))</f>
        <v>2</v>
      </c>
      <c r="F384" s="28" t="n">
        <v>0</v>
      </c>
      <c r="G384" s="28" t="n">
        <f>IF(AND(ISNUMBER(D384),ISNUMBER(E384)),IF(OR(E384&lt;=0,L384=0),0,E384-D384),"")</f>
        <v>2</v>
      </c>
      <c r="H384" s="16" t="str">
        <f>IF(NOT(ISNUMBER(E384)),"销量或海外库存待补",IF(OR(E384&lt;=0,L384=0),IF(L384=0,"零日销，本批不发","本批无需补货"),IF(NOT(ISNUMBER(D384)),"国内库存待补",IF(D384=0,"国内无可用库存",IF(G384&gt;0,"先发国内现货","按建议量发货")))))</f>
        <v>国内无可用库存</v>
      </c>
      <c r="I384" s="28" t="n">
        <f>IF(AND(COUNT(Z384,AA384,AB384)=3,Z384&gt;=AA384,AA384&gt;=0,AB384=7),Z384-AA384,"")</f>
        <v>1</v>
      </c>
      <c r="J384" s="28" t="n">
        <f>IF(AND(COUNT(AF384,AG384,AH384)=3,AF384&gt;=AG384,AG384&gt;=0,AH384=14),AF384-AG384,"")</f>
        <v>3</v>
      </c>
      <c r="K384" s="28" t="n">
        <f>IF(AND(COUNT(AL384,AM384,AN384)=3,AL384&gt;=AM384,AM384&gt;=0,AN384=30),AL384-AM384,"")</f>
        <v>5</v>
      </c>
      <c r="L384" s="29" t="n">
        <f>IF(ISNUMBER(BI384),BI384/90,"")</f>
        <v>0.18542871507168823</v>
      </c>
      <c r="M384" s="28" t="n">
        <v>15</v>
      </c>
      <c r="N384" s="28" t="n">
        <v>0</v>
      </c>
      <c r="O384" s="28" t="n">
        <v>0</v>
      </c>
      <c r="P384" s="30" t="n">
        <f>IF(AND(ISNUMBER(L384),L384&gt;0,COUNT(M384:O384)=3,MIN(M384:O384)&gt;=0),SUM(M384:O384)/L384,"")</f>
        <v>80.8936199239739</v>
      </c>
      <c r="Q384" s="16" t="str">
        <v>沿用原计划SKU店铺</v>
      </c>
      <c r="R384" s="16" t="str">
        <v>已匹配</v>
      </c>
      <c r="S384" s="16" t="str">
        <v>在售</v>
      </c>
      <c r="T384" s="16" t="str">
        <v>B07</v>
      </c>
      <c r="U384" s="16" t="str">
        <v>黑色天鹅绒</v>
      </c>
      <c r="V384" s="16" t="n">
        <v>7</v>
      </c>
      <c r="W384" s="8" t="str">
        <v>2026-10-11 至 2026-10-17</v>
      </c>
      <c r="X384" s="8" t="str">
        <v>2026-10-11、2026-10-12、2026-10-13、2026-10-14、2026-10-15、2026-10-16、2026-10-17</v>
      </c>
      <c r="Y384" s="8" t="str">
        <v>无</v>
      </c>
      <c r="Z384" s="8" t="n">
        <v>1</v>
      </c>
      <c r="AA384" s="8" t="n">
        <v>0</v>
      </c>
      <c r="AB384" s="8" t="n">
        <v>7</v>
      </c>
      <c r="AC384" s="8" t="str">
        <v>2026-10-02 至 2026-10-17</v>
      </c>
      <c r="AD384" s="8" t="str">
        <v>2026-10-02、2026-10-03、2026-10-04、2026-10-05、2026-10-08、2026-10-09、2026-10-10、2026-10-11、2026-10-12、2026-10-13、2026-10-14、2026-10-15、2026-10-16、2026-10-17</v>
      </c>
      <c r="AE384" s="8" t="str">
        <v>2026-10-06 大促；2026-10-07 大促</v>
      </c>
      <c r="AF384" s="8" t="n">
        <v>3</v>
      </c>
      <c r="AG384" s="8" t="n">
        <v>0</v>
      </c>
      <c r="AH384" s="8" t="n">
        <v>14</v>
      </c>
      <c r="AI384" s="8" t="str">
        <v>2026-09-16 至 2026-10-17</v>
      </c>
      <c r="AJ3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4" s="8" t="str">
        <v>2026-10-06 大促；2026-10-07 大促</v>
      </c>
      <c r="AL384" s="8" t="n">
        <v>5</v>
      </c>
      <c r="AM384" s="8" t="n">
        <v>0</v>
      </c>
      <c r="AN384" s="8" t="n">
        <v>30</v>
      </c>
      <c r="AO384" s="8" t="str">
        <v>B07 / 黑色天鹅绒 / 13306</v>
      </c>
      <c r="AP384" s="11" t="n">
        <v>0.7307750238224848</v>
      </c>
      <c r="AQ384" s="11" t="n">
        <v>0.7307750238224848</v>
      </c>
      <c r="AR384" s="11" t="n">
        <v>0.7449809054134506</v>
      </c>
      <c r="AS384" s="11" t="n">
        <f>IF(AND(COUNT(I384:K384,AP384:AR384)=6,MIN(AP384:AR384)&gt;0),I384/7/AP384*0.5+J384/14/AQ384*0.3+K384/30/AR384*0.2,"")</f>
        <v>0.23045668961264681</v>
      </c>
      <c r="AT384" s="8" t="n">
        <v>10</v>
      </c>
      <c r="AU384" s="8" t="n">
        <v>0</v>
      </c>
      <c r="AV384" s="8" t="n">
        <v>88</v>
      </c>
      <c r="AW384" s="11" t="n">
        <f>IF(AND(COUNT(AT384:AV384)=3,AT384&gt;=AU384,AU384&gt;=0,AV384&gt;0),(AT384-AU384)/AV384,"")</f>
        <v>0.11363636363636363</v>
      </c>
      <c r="AX384" s="8" t="n">
        <v>13</v>
      </c>
      <c r="AY384" s="8" t="n">
        <v>0</v>
      </c>
      <c r="AZ384" s="8" t="n">
        <v>178</v>
      </c>
      <c r="BA384" s="11" t="n">
        <f>IF(AND(COUNT(AX384:AZ384)=3,AX384&gt;=AY384,AY384&gt;=0,AZ384&gt;0),(AX384-AY384)/AZ384,"")</f>
        <v>0.07303370786516854</v>
      </c>
      <c r="BB384" s="8" t="n">
        <f>IF(COUNT(AS384,AW384,BA384)=3,1,0)</f>
        <v>1</v>
      </c>
      <c r="BC384" s="11" t="n">
        <f>IF(SUMIF($AO$11:$AO$1309,AO384,$BB$11:$BB$1309)=COUNTIF($AO$11:$AO$1309,AO384),SUMIF($AO$11:$AO$1309,AO384,$AS$11:$AS$1309),"")</f>
        <v>11.92937132043239</v>
      </c>
      <c r="BD384" s="11" t="n">
        <f>IF(SUMIF($AO$11:$AO$1309,AO384,$BB$11:$BB$1309)=COUNTIF($AO$11:$AO$1309,AO384),SUMIF($AO$11:$AO$1309,AO384,$AW$11:$AW$1309),"")</f>
        <v>5.794919786096258</v>
      </c>
      <c r="BE384" s="11" t="n">
        <f>IF(SUMIF($AO$11:$AO$1309,AO384,$BB$11:$BB$1309)=COUNTIF($AO$11:$AO$1309,AO384),SUMIF($AO$11:$AO$1309,AO384,$BA$11:$BA$1309),"")</f>
        <v>5.3098234349919755</v>
      </c>
      <c r="BF384" s="12" t="n">
        <f>IF(COUNT(BD384:BE384)&lt;&gt;2,"",IF(AND(BD384&gt;0,BE384&gt;0),0.7*AW384/BD384+0.3*BA384/BE384,IF(BD384&gt;0,AW384/BD384,IF(BE384&gt;0,BA384/BE384,IF(AND(ISNUMBER(BH384),BH384=0),0,"")))))</f>
        <v>0.017853092185126797</v>
      </c>
      <c r="BG384" s="11" t="n">
        <f>IF(AND(COUNT(BN384:BU384)=8,MIN(BN384:BU384)&gt;=0),SUMPRODUCT(BN384:BQ384,BR384:BU384),"")</f>
        <v>78.35892944347341</v>
      </c>
      <c r="BH384" s="11" t="n">
        <f>IF(COUNT(BC384,BG384)=2,BC384*BG384,"")</f>
        <v>934.7727656027569</v>
      </c>
      <c r="BI384" s="11" t="n">
        <f>IF(ISNUMBER(CI384),CI384,"")</f>
        <v>16.68858435645194</v>
      </c>
      <c r="BJ384" s="8" t="str">
        <v>低销提醒依据不完整</v>
      </c>
      <c r="BK384" s="8" t="str">
        <v>90天：2026-07-20 至 2026-10-17；180天：2026-04-21 至 2026-10-17</v>
      </c>
      <c r="BL384" s="8" t="str">
        <v>90天：2026-10-06、2026-10-07；180天：2026-10-06、2026-10-07</v>
      </c>
      <c r="BM384" s="8" t="str">
        <v>2026-10：12天 × 0.7307750238224848；2026-11：30天 × 0.9523018155490097；2026-12：31天 × 0.5958545198749097；2027-01：17天 × 1.3264167397065354</v>
      </c>
      <c r="BN384" s="11" t="n">
        <v>0.7307750238224848</v>
      </c>
      <c r="BO384" s="11" t="n">
        <v>0.9523018155490097</v>
      </c>
      <c r="BP384" s="11" t="n">
        <v>0.5958545198749097</v>
      </c>
      <c r="BQ384" s="11" t="n">
        <v>1.3264167397065354</v>
      </c>
      <c r="BR384" s="8" t="n">
        <v>12</v>
      </c>
      <c r="BS384" s="8" t="n">
        <v>30</v>
      </c>
      <c r="BT384" s="8" t="n">
        <v>31</v>
      </c>
      <c r="BU384" s="8" t="n">
        <v>17</v>
      </c>
      <c r="BV384" s="11" t="n">
        <f>IF(COUNT(BC384,BF384)=2,BC384*BF384,"")</f>
        <v>0.21297616589428722</v>
      </c>
      <c r="BW384" s="11" t="n">
        <f>IF(ISNUMBER(BN384),BN384,"")</f>
        <v>0.7307750238224848</v>
      </c>
      <c r="BX384" s="14" t="n">
        <f>IF(ISNUMBER(BR384),BR384,"")</f>
        <v>12</v>
      </c>
      <c r="BY384" s="13" t="n">
        <f>IF(AND(COUNT(BV384,BW384,BX384)=3,MIN(BV384,BW384,BX384)&gt;=0),BV384*BW384*BX384,"")</f>
        <v>1.8676519524602306</v>
      </c>
      <c r="BZ384" s="11" t="n">
        <f>IF(ISNUMBER(BO384),BO384,"")</f>
        <v>0.9523018155490097</v>
      </c>
      <c r="CA384" s="14" t="n">
        <f>IF(ISNUMBER(BS384),BS384,"")</f>
        <v>30</v>
      </c>
      <c r="CB384" s="13" t="n">
        <f>IF(AND(COUNT(BV384,BZ384,CA384)=3,MIN(BV384,BZ384,CA384)&gt;=0),BV384*BZ384*CA384,"")</f>
        <v>6.084527683493904</v>
      </c>
      <c r="CC384" s="11" t="n">
        <f>IF(ISNUMBER(BP384),BP384,"")</f>
        <v>0.5958545198749097</v>
      </c>
      <c r="CD384" s="14" t="n">
        <f>IF(ISNUMBER(BT384),BT384,"")</f>
        <v>31</v>
      </c>
      <c r="CE384" s="13" t="n">
        <f>IF(AND(COUNT(BV384,CC384,CD384)=3,MIN(BV384,CC384,CD384)&gt;=0),BV384*CC384*CD384,"")</f>
        <v>3.9339871432859286</v>
      </c>
      <c r="CF384" s="11" t="n">
        <f>IF(ISNUMBER(BQ384),BQ384,"")</f>
        <v>1.3264167397065354</v>
      </c>
      <c r="CG384" s="14" t="n">
        <f>IF(ISNUMBER(BU384),BU384,"")</f>
        <v>17</v>
      </c>
      <c r="CH384" s="13" t="n">
        <f>IF(AND(COUNT(BV384,CF384,CG384)=3,MIN(BV384,CF384,CG384)&gt;=0),BV384*CF384*CG384,"")</f>
        <v>4.802417577211878</v>
      </c>
      <c r="CI384" s="13" t="n">
        <f>IF(COUNT(BY384,CB384,CE384,CH384)=4,SUM(BY384,CB384,CE384,CH384),"")</f>
        <v>16.68858435645194</v>
      </c>
    </row>
    <row r="385" ht="72" customHeight="1">
      <c r="A385" s="16" t="str">
        <v>B07-BK-Z-0-39</v>
      </c>
      <c r="B385" s="16" t="str">
        <v>4店-彬郁-US</v>
      </c>
      <c r="C385" s="16" t="str">
        <v>艾年</v>
      </c>
      <c r="D385" s="26" t="n">
        <f>IF(NOT(ISNUMBER(E385)),"",IF(OR(E385&lt;=0,L385=0),0,IF(OR(NOT(ISNUMBER(F385)),F385&lt;0),"",MIN(E385,INT(F385)))))</f>
        <v>0</v>
      </c>
      <c r="E385" s="27" t="n">
        <f>IF(OR(NOT(ISNUMBER(L385)),COUNT(M385:O385)&lt;&gt;3,MIN(M385:O385)&lt;0),"",ROUNDUP(ROUND(BI385-SUM(M385:O385),10),0))</f>
        <v>2</v>
      </c>
      <c r="F385" s="28" t="n">
        <v>0</v>
      </c>
      <c r="G385" s="28" t="n">
        <f>IF(AND(ISNUMBER(D385),ISNUMBER(E385)),IF(OR(E385&lt;=0,L385=0),0,E385-D385),"")</f>
        <v>2</v>
      </c>
      <c r="H385" s="16" t="str">
        <f>IF(NOT(ISNUMBER(E385)),"销量或海外库存待补",IF(OR(E385&lt;=0,L385=0),IF(L385=0,"零日销，本批不发","本批无需补货"),IF(NOT(ISNUMBER(D385)),"国内库存待补",IF(D385=0,"国内无可用库存",IF(G385&gt;0,"先发国内现货","按建议量发货")))))</f>
        <v>国内无可用库存</v>
      </c>
      <c r="I385" s="28" t="n">
        <f>IF(AND(COUNT(Z385,AA385,AB385)=3,Z385&gt;=AA385,AA385&gt;=0,AB385=7),Z385-AA385,"")</f>
        <v>1</v>
      </c>
      <c r="J385" s="28" t="n">
        <f>IF(AND(COUNT(AF385,AG385,AH385)=3,AF385&gt;=AG385,AG385&gt;=0,AH385=14),AF385-AG385,"")</f>
        <v>1</v>
      </c>
      <c r="K385" s="28" t="n">
        <f>IF(AND(COUNT(AL385,AM385,AN385)=3,AL385&gt;=AM385,AM385&gt;=0,AN385=30),AL385-AM385,"")</f>
        <v>3</v>
      </c>
      <c r="L385" s="29" t="n">
        <f>IF(ISNUMBER(BI385),BI385/90,"")</f>
        <v>0.16021123650415434</v>
      </c>
      <c r="M385" s="28" t="n">
        <v>12</v>
      </c>
      <c r="N385" s="28" t="n">
        <v>1</v>
      </c>
      <c r="O385" s="28" t="n">
        <v>0</v>
      </c>
      <c r="P385" s="30" t="n">
        <f>IF(AND(ISNUMBER(L385),L385&gt;0,COUNT(M385:O385)=3,MIN(M385:O385)&gt;=0),SUM(M385:O385)/L385,"")</f>
        <v>81.14287289495394</v>
      </c>
      <c r="Q385" s="16" t="str">
        <v>沿用原计划SKU店铺</v>
      </c>
      <c r="R385" s="16" t="str">
        <v>已匹配</v>
      </c>
      <c r="S385" s="16" t="str">
        <v>在售</v>
      </c>
      <c r="T385" s="16" t="str">
        <v>B07</v>
      </c>
      <c r="U385" s="16" t="str">
        <v>黑色镜面PU</v>
      </c>
      <c r="V385" s="16" t="n">
        <v>8</v>
      </c>
      <c r="W385" s="8" t="str">
        <v>2026-10-11 至 2026-10-17</v>
      </c>
      <c r="X385" s="8" t="str">
        <v>2026-10-11、2026-10-12、2026-10-13、2026-10-14、2026-10-15、2026-10-16、2026-10-17</v>
      </c>
      <c r="Y385" s="8" t="str">
        <v>无</v>
      </c>
      <c r="Z385" s="8" t="n">
        <v>1</v>
      </c>
      <c r="AA385" s="8" t="n">
        <v>0</v>
      </c>
      <c r="AB385" s="8" t="n">
        <v>7</v>
      </c>
      <c r="AC385" s="8" t="str">
        <v>2026-10-02 至 2026-10-17</v>
      </c>
      <c r="AD385" s="8" t="str">
        <v>2026-10-02、2026-10-03、2026-10-04、2026-10-05、2026-10-08、2026-10-09、2026-10-10、2026-10-11、2026-10-12、2026-10-13、2026-10-14、2026-10-15、2026-10-16、2026-10-17</v>
      </c>
      <c r="AE385" s="8" t="str">
        <v>2026-10-06 大促；2026-10-07 大促</v>
      </c>
      <c r="AF385" s="8" t="n">
        <v>2</v>
      </c>
      <c r="AG385" s="8" t="n">
        <v>1</v>
      </c>
      <c r="AH385" s="8" t="n">
        <v>14</v>
      </c>
      <c r="AI385" s="8" t="str">
        <v>2026-09-16 至 2026-10-17</v>
      </c>
      <c r="AJ3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5" s="8" t="str">
        <v>2026-10-06 大促；2026-10-07 大促</v>
      </c>
      <c r="AL385" s="8" t="n">
        <v>4</v>
      </c>
      <c r="AM385" s="8" t="n">
        <v>1</v>
      </c>
      <c r="AN385" s="8" t="n">
        <v>30</v>
      </c>
      <c r="AO385" s="8" t="str">
        <v>B07 / 黑色天鹅绒 / 13306</v>
      </c>
      <c r="AP385" s="11" t="n">
        <v>0.7307750238224848</v>
      </c>
      <c r="AQ385" s="11" t="n">
        <v>0.7307750238224848</v>
      </c>
      <c r="AR385" s="11" t="n">
        <v>0.7449809054134506</v>
      </c>
      <c r="AS385" s="11" t="n">
        <f>IF(AND(COUNT(I385:K385,AP385:AR385)=6,MIN(AP385:AR385)&gt;0),I385/7/AP385*0.5+J385/14/AQ385*0.3+K385/30/AR385*0.2,"")</f>
        <v>0.15391298753654872</v>
      </c>
      <c r="AT385" s="8" t="n">
        <v>9</v>
      </c>
      <c r="AU385" s="8" t="n">
        <v>1</v>
      </c>
      <c r="AV385" s="8" t="n">
        <v>88</v>
      </c>
      <c r="AW385" s="11" t="n">
        <f>IF(AND(COUNT(AT385:AV385)=3,AT385&gt;=AU385,AU385&gt;=0,AV385&gt;0),(AT385-AU385)/AV385,"")</f>
        <v>0.09090909090909091</v>
      </c>
      <c r="AX385" s="8" t="n">
        <v>15</v>
      </c>
      <c r="AY385" s="8" t="n">
        <v>1</v>
      </c>
      <c r="AZ385" s="8" t="n">
        <v>178</v>
      </c>
      <c r="BA385" s="11" t="n">
        <f>IF(AND(COUNT(AX385:AZ385)=3,AX385&gt;=AY385,AY385&gt;=0,AZ385&gt;0),(AX385-AY385)/AZ385,"")</f>
        <v>0.07865168539325842</v>
      </c>
      <c r="BB385" s="8" t="n">
        <f>IF(COUNT(AS385,AW385,BA385)=3,1,0)</f>
        <v>1</v>
      </c>
      <c r="BC385" s="11" t="n">
        <f>IF(SUMIF($AO$11:$AO$1309,AO385,$BB$11:$BB$1309)=COUNTIF($AO$11:$AO$1309,AO385),SUMIF($AO$11:$AO$1309,AO385,$AS$11:$AS$1309),"")</f>
        <v>11.92937132043239</v>
      </c>
      <c r="BD385" s="11" t="n">
        <f>IF(SUMIF($AO$11:$AO$1309,AO385,$BB$11:$BB$1309)=COUNTIF($AO$11:$AO$1309,AO385),SUMIF($AO$11:$AO$1309,AO385,$AW$11:$AW$1309),"")</f>
        <v>5.794919786096258</v>
      </c>
      <c r="BE385" s="11" t="n">
        <f>IF(SUMIF($AO$11:$AO$1309,AO385,$BB$11:$BB$1309)=COUNTIF($AO$11:$AO$1309,AO385),SUMIF($AO$11:$AO$1309,AO385,$BA$11:$BA$1309),"")</f>
        <v>5.3098234349919755</v>
      </c>
      <c r="BF385" s="12" t="n">
        <f>IF(COUNT(BD385:BE385)&lt;&gt;2,"",IF(AND(BD385&gt;0,BE385&gt;0),0.7*AW385/BD385+0.3*BA385/BE385,IF(BD385&gt;0,AW385/BD385,IF(BE385&gt;0,BA385/BE385,IF(AND(ISNUMBER(BH385),BH385=0),0,"")))))</f>
        <v>0.015425151240982374</v>
      </c>
      <c r="BG385" s="11" t="n">
        <f>IF(AND(COUNT(BN385:BU385)=8,MIN(BN385:BU385)&gt;=0),SUMPRODUCT(BN385:BQ385,BR385:BU385),"")</f>
        <v>78.35892944347341</v>
      </c>
      <c r="BH385" s="11" t="n">
        <f>IF(COUNT(BC385,BG385)=2,BC385*BG385,"")</f>
        <v>934.7727656027569</v>
      </c>
      <c r="BI385" s="11" t="n">
        <f>IF(ISNUMBER(CI385),CI385,"")</f>
        <v>14.419011285373891</v>
      </c>
      <c r="BJ385" s="8" t="str">
        <v>低销提醒依据不完整</v>
      </c>
      <c r="BK385" s="8" t="str">
        <v>90天：2026-07-20 至 2026-10-17；180天：2026-04-21 至 2026-10-17</v>
      </c>
      <c r="BL385" s="8" t="str">
        <v>90天：2026-10-06、2026-10-07；180天：2026-10-06、2026-10-07</v>
      </c>
      <c r="BM385" s="8" t="str">
        <v>2026-10：12天 × 0.7307750238224848；2026-11：30天 × 0.9523018155490097；2026-12：31天 × 0.5958545198749097；2027-01：17天 × 1.3264167397065354</v>
      </c>
      <c r="BN385" s="11" t="n">
        <v>0.7307750238224848</v>
      </c>
      <c r="BO385" s="11" t="n">
        <v>0.9523018155490097</v>
      </c>
      <c r="BP385" s="11" t="n">
        <v>0.5958545198749097</v>
      </c>
      <c r="BQ385" s="11" t="n">
        <v>1.3264167397065354</v>
      </c>
      <c r="BR385" s="8" t="n">
        <v>12</v>
      </c>
      <c r="BS385" s="8" t="n">
        <v>30</v>
      </c>
      <c r="BT385" s="8" t="n">
        <v>31</v>
      </c>
      <c r="BU385" s="8" t="n">
        <v>17</v>
      </c>
      <c r="BV385" s="11" t="n">
        <f>IF(COUNT(BC385,BF385)=2,BC385*BF385,"")</f>
        <v>0.18401235682750722</v>
      </c>
      <c r="BW385" s="11" t="n">
        <f>IF(ISNUMBER(BN385),BN385,"")</f>
        <v>0.7307750238224848</v>
      </c>
      <c r="BX385" s="14" t="n">
        <f>IF(ISNUMBER(BR385),BR385,"")</f>
        <v>12</v>
      </c>
      <c r="BY385" s="13" t="n">
        <f>IF(AND(COUNT(BV385,BW385,BX385)=3,MIN(BV385,BW385,BX385)&gt;=0),BV385*BW385*BX385,"")</f>
        <v>1.6136596133310381</v>
      </c>
      <c r="BZ385" s="11" t="n">
        <f>IF(ISNUMBER(BO385),BO385,"")</f>
        <v>0.9523018155490097</v>
      </c>
      <c r="CA385" s="14" t="n">
        <f>IF(ISNUMBER(BS385),BS385,"")</f>
        <v>30</v>
      </c>
      <c r="CB385" s="13" t="n">
        <f>IF(AND(COUNT(BV385,BZ385,CA385)=3,MIN(BV385,BZ385,CA385)&gt;=0),BV385*BZ385*CA385,"")</f>
        <v>5.257059044708621</v>
      </c>
      <c r="CC385" s="11" t="n">
        <f>IF(ISNUMBER(BP385),BP385,"")</f>
        <v>0.5958545198749097</v>
      </c>
      <c r="CD385" s="14" t="n">
        <f>IF(ISNUMBER(BT385),BT385,"")</f>
        <v>31</v>
      </c>
      <c r="CE385" s="13" t="n">
        <f>IF(AND(COUNT(BV385,CC385,CD385)=3,MIN(BV385,CC385,CD385)&gt;=0),BV385*CC385*CD385,"")</f>
        <v>3.3989824303836507</v>
      </c>
      <c r="CF385" s="11" t="n">
        <f>IF(ISNUMBER(BQ385),BQ385,"")</f>
        <v>1.3264167397065354</v>
      </c>
      <c r="CG385" s="14" t="n">
        <f>IF(ISNUMBER(BU385),BU385,"")</f>
        <v>17</v>
      </c>
      <c r="CH385" s="13" t="n">
        <f>IF(AND(COUNT(BV385,CF385,CG385)=3,MIN(BV385,CF385,CG385)&gt;=0),BV385*CF385*CG385,"")</f>
        <v>4.149310196950582</v>
      </c>
      <c r="CI385" s="13" t="n">
        <f>IF(COUNT(BY385,CB385,CE385,CH385)=4,SUM(BY385,CB385,CE385,CH385),"")</f>
        <v>14.419011285373891</v>
      </c>
    </row>
    <row r="386" ht="72" customHeight="1">
      <c r="A386" s="16" t="str">
        <v>B07-CF-37.5</v>
      </c>
      <c r="B386" s="16" t="str">
        <v>4店-彬郁-US</v>
      </c>
      <c r="C386" s="16" t="str">
        <v>艾年</v>
      </c>
      <c r="D386" s="26" t="n">
        <f>IF(NOT(ISNUMBER(E386)),"",IF(OR(E386&lt;=0,L386=0),0,IF(OR(NOT(ISNUMBER(F386)),F386&lt;0),"",MIN(E386,INT(F386)))))</f>
        <v>0</v>
      </c>
      <c r="E386" s="27" t="n">
        <f>IF(OR(NOT(ISNUMBER(L386)),COUNT(M386:O386)&lt;&gt;3,MIN(M386:O386)&lt;0),"",ROUNDUP(ROUND(BI386-SUM(M386:O386),10),0))</f>
        <v>2</v>
      </c>
      <c r="F386" s="28" t="n">
        <v>0</v>
      </c>
      <c r="G386" s="28" t="n">
        <f>IF(AND(ISNUMBER(D386),ISNUMBER(E386)),IF(OR(E386&lt;=0,L386=0),0,E386-D386),"")</f>
        <v>2</v>
      </c>
      <c r="H386" s="16" t="str">
        <f>IF(NOT(ISNUMBER(E386)),"销量或海外库存待补",IF(OR(E386&lt;=0,L386=0),IF(L386=0,"零日销，本批不发","本批无需补货"),IF(NOT(ISNUMBER(D386)),"国内库存待补",IF(D386=0,"国内无可用库存",IF(G386&gt;0,"先发国内现货","按建议量发货")))))</f>
        <v>国内无可用库存</v>
      </c>
      <c r="I386" s="28" t="n">
        <f>IF(AND(COUNT(Z386,AA386,AB386)=3,Z386&gt;=AA386,AA386&gt;=0,AB386=7),Z386-AA386,"")</f>
        <v>0</v>
      </c>
      <c r="J386" s="28" t="n">
        <f>IF(AND(COUNT(AF386,AG386,AH386)=3,AF386&gt;=AG386,AG386&gt;=0,AH386=14),AF386-AG386,"")</f>
        <v>1</v>
      </c>
      <c r="K386" s="28" t="n">
        <f>IF(AND(COUNT(AL386,AM386,AN386)=3,AL386&gt;=AM386,AM386&gt;=0,AN386=30),AL386-AM386,"")</f>
        <v>1</v>
      </c>
      <c r="L386" s="29" t="n">
        <f>IF(ISNUMBER(BI386),BI386/90,"")</f>
        <v>0.02927748014839285</v>
      </c>
      <c r="M386" s="28" t="n">
        <v>1</v>
      </c>
      <c r="N386" s="28" t="n">
        <v>0</v>
      </c>
      <c r="O386" s="28" t="n">
        <v>0</v>
      </c>
      <c r="P386" s="30" t="n">
        <f>IF(AND(ISNUMBER(L386),L386&gt;0,COUNT(M386:O386)=3,MIN(M386:O386)&gt;=0),SUM(M386:O386)/L386,"")</f>
        <v>34.15594494237557</v>
      </c>
      <c r="Q386" s="16" t="str">
        <v>沿用原计划SKU店铺</v>
      </c>
      <c r="R386" s="16" t="str">
        <v>已匹配</v>
      </c>
      <c r="S386" s="16" t="str">
        <v>在售</v>
      </c>
      <c r="T386" s="16" t="str">
        <v>B07</v>
      </c>
      <c r="U386" s="16" t="str">
        <v>咖色PU</v>
      </c>
      <c r="V386" s="16" t="n">
        <v>6.5</v>
      </c>
      <c r="W386" s="8" t="str">
        <v>2026-10-11 至 2026-10-17</v>
      </c>
      <c r="X386" s="8" t="str">
        <v>2026-10-11、2026-10-12、2026-10-13、2026-10-14、2026-10-15、2026-10-16、2026-10-17</v>
      </c>
      <c r="Y386" s="8" t="str">
        <v>无</v>
      </c>
      <c r="Z386" s="8" t="n">
        <v>0</v>
      </c>
      <c r="AA386" s="8" t="n">
        <v>0</v>
      </c>
      <c r="AB386" s="8" t="n">
        <v>7</v>
      </c>
      <c r="AC386" s="8" t="str">
        <v>2026-10-02 至 2026-10-17</v>
      </c>
      <c r="AD386" s="8" t="str">
        <v>2026-10-02、2026-10-03、2026-10-04、2026-10-05、2026-10-08、2026-10-09、2026-10-10、2026-10-11、2026-10-12、2026-10-13、2026-10-14、2026-10-15、2026-10-16、2026-10-17</v>
      </c>
      <c r="AE386" s="8" t="str">
        <v>2026-10-06 大促；2026-10-07 大促</v>
      </c>
      <c r="AF386" s="8" t="n">
        <v>1</v>
      </c>
      <c r="AG386" s="8" t="n">
        <v>0</v>
      </c>
      <c r="AH386" s="8" t="n">
        <v>14</v>
      </c>
      <c r="AI386" s="8" t="str">
        <v>2026-09-16 至 2026-10-17</v>
      </c>
      <c r="AJ3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6" s="8" t="str">
        <v>2026-10-06 大促；2026-10-07 大促</v>
      </c>
      <c r="AL386" s="8" t="n">
        <v>1</v>
      </c>
      <c r="AM386" s="8" t="n">
        <v>0</v>
      </c>
      <c r="AN386" s="8" t="n">
        <v>30</v>
      </c>
      <c r="AO386" s="8" t="str">
        <v>B07 / 咖色PU / 13306</v>
      </c>
      <c r="AP386" s="11" t="n">
        <v>0.7307750238224848</v>
      </c>
      <c r="AQ386" s="11" t="n">
        <v>0.7307750238224848</v>
      </c>
      <c r="AR386" s="11" t="n">
        <v>0.7449809054134506</v>
      </c>
      <c r="AS386" s="11" t="n">
        <f>IF(AND(COUNT(I386:K386,AP386:AR386)=6,MIN(AP386:AR386)&gt;0),I386/7/AP386*0.5+J386/14/AQ386*0.3+K386/30/AR386*0.2,"")</f>
        <v>0.038271851038049046</v>
      </c>
      <c r="AT386" s="8" t="n">
        <v>4</v>
      </c>
      <c r="AU386" s="8" t="n">
        <v>0</v>
      </c>
      <c r="AV386" s="8" t="n">
        <v>88</v>
      </c>
      <c r="AW386" s="11" t="n">
        <f>IF(AND(COUNT(AT386:AV386)=3,AT386&gt;=AU386,AU386&gt;=0,AV386&gt;0),(AT386-AU386)/AV386,"")</f>
        <v>0.045454545454545456</v>
      </c>
      <c r="AX386" s="8" t="n">
        <v>4</v>
      </c>
      <c r="AY386" s="8" t="n">
        <v>0</v>
      </c>
      <c r="AZ386" s="8" t="n">
        <v>178</v>
      </c>
      <c r="BA386" s="11" t="n">
        <f>IF(AND(COUNT(AX386:AZ386)=3,AX386&gt;=AY386,AY386&gt;=0,AZ386&gt;0),(AX386-AY386)/AZ386,"")</f>
        <v>0.02247191011235955</v>
      </c>
      <c r="BB386" s="8" t="n">
        <f>IF(COUNT(AS386,AW386,BA386)=3,1,0)</f>
        <v>1</v>
      </c>
      <c r="BC386" s="11" t="n">
        <f>IF(SUMIF($AO$11:$AO$1309,AO386,$BB$11:$BB$1309)=COUNTIF($AO$11:$AO$1309,AO386),SUMIF($AO$11:$AO$1309,AO386,$AS$11:$AS$1309),"")</f>
        <v>0.6473191341094234</v>
      </c>
      <c r="BD386" s="11" t="n">
        <f>IF(SUMIF($AO$11:$AO$1309,AO386,$BB$11:$BB$1309)=COUNTIF($AO$11:$AO$1309,AO386),SUMIF($AO$11:$AO$1309,AO386,$AW$11:$AW$1309),"")</f>
        <v>0.7499999999999999</v>
      </c>
      <c r="BE386" s="11" t="n">
        <f>IF(SUMIF($AO$11:$AO$1309,AO386,$BB$11:$BB$1309)=COUNTIF($AO$11:$AO$1309,AO386),SUMIF($AO$11:$AO$1309,AO386,$BA$11:$BA$1309),"")</f>
        <v>0.7078651685393257</v>
      </c>
      <c r="BF386" s="12" t="n">
        <f>IF(COUNT(BD386:BE386)&lt;&gt;2,"",IF(AND(BD386&gt;0,BE386&gt;0),0.7*AW386/BD386+0.3*BA386/BE386,IF(BD386&gt;0,AW386/BD386,IF(BE386&gt;0,BA386/BE386,IF(AND(ISNUMBER(BH386),BH386=0),0,"")))))</f>
        <v>0.05194805194805195</v>
      </c>
      <c r="BG386" s="11" t="n">
        <f>IF(AND(COUNT(BN386:BU386)=8,MIN(BN386:BU386)&gt;=0),SUMPRODUCT(BN386:BQ386,BR386:BU386),"")</f>
        <v>78.35892944347341</v>
      </c>
      <c r="BH386" s="11" t="n">
        <f>IF(COUNT(BC386,BG386)=2,BC386*BG386,"")</f>
        <v>50.72323435709062</v>
      </c>
      <c r="BI386" s="11" t="n">
        <f>IF(ISNUMBER(CI386),CI386,"")</f>
        <v>2.6349732133553565</v>
      </c>
      <c r="BJ386" s="8" t="str">
        <v>低销提醒依据不完整</v>
      </c>
      <c r="BK386" s="8" t="str">
        <v>90天：2026-07-20 至 2026-10-17；180天：2026-04-21 至 2026-10-17</v>
      </c>
      <c r="BL386" s="8" t="str">
        <v>90天：2026-10-06、2026-10-07；180天：2026-10-06、2026-10-07</v>
      </c>
      <c r="BM386" s="8" t="str">
        <v>2026-10：12天 × 0.7307750238224848；2026-11：30天 × 0.9523018155490097；2026-12：31天 × 0.5958545198749097；2027-01：17天 × 1.3264167397065354</v>
      </c>
      <c r="BN386" s="11" t="n">
        <v>0.7307750238224848</v>
      </c>
      <c r="BO386" s="11" t="n">
        <v>0.9523018155490097</v>
      </c>
      <c r="BP386" s="11" t="n">
        <v>0.5958545198749097</v>
      </c>
      <c r="BQ386" s="11" t="n">
        <v>1.3264167397065354</v>
      </c>
      <c r="BR386" s="8" t="n">
        <v>12</v>
      </c>
      <c r="BS386" s="8" t="n">
        <v>30</v>
      </c>
      <c r="BT386" s="8" t="n">
        <v>31</v>
      </c>
      <c r="BU386" s="8" t="n">
        <v>17</v>
      </c>
      <c r="BV386" s="11" t="n">
        <f>IF(COUNT(BC386,BF386)=2,BC386*BF386,"")</f>
        <v>0.033626968005684335</v>
      </c>
      <c r="BW386" s="11" t="n">
        <f>IF(ISNUMBER(BN386),BN386,"")</f>
        <v>0.7307750238224848</v>
      </c>
      <c r="BX386" s="14" t="n">
        <f>IF(ISNUMBER(BR386),BR386,"")</f>
        <v>12</v>
      </c>
      <c r="BY386" s="13" t="n">
        <f>IF(AND(COUNT(BV386,BW386,BX386)=3,MIN(BV386,BW386,BX386)&gt;=0),BV386*BW386*BX386,"")</f>
        <v>0.29488498014518283</v>
      </c>
      <c r="BZ386" s="11" t="n">
        <f>IF(ISNUMBER(BO386),BO386,"")</f>
        <v>0.9523018155490097</v>
      </c>
      <c r="CA386" s="14" t="n">
        <f>IF(ISNUMBER(BS386),BS386,"")</f>
        <v>30</v>
      </c>
      <c r="CB386" s="13" t="n">
        <f>IF(AND(COUNT(BV386,BZ386,CA386)=3,MIN(BV386,BZ386,CA386)&gt;=0),BV386*BZ386*CA386,"")</f>
        <v>0.9606906804966497</v>
      </c>
      <c r="CC386" s="11" t="n">
        <f>IF(ISNUMBER(BP386),BP386,"")</f>
        <v>0.5958545198749097</v>
      </c>
      <c r="CD386" s="14" t="n">
        <f>IF(ISNUMBER(BT386),BT386,"")</f>
        <v>31</v>
      </c>
      <c r="CE386" s="13" t="n">
        <f>IF(AND(COUNT(BV386,CC386,CD386)=3,MIN(BV386,CC386,CD386)&gt;=0),BV386*CC386*CD386,"")</f>
        <v>0.6211402071521556</v>
      </c>
      <c r="CF386" s="11" t="n">
        <f>IF(ISNUMBER(BQ386),BQ386,"")</f>
        <v>1.3264167397065354</v>
      </c>
      <c r="CG386" s="14" t="n">
        <f>IF(ISNUMBER(BU386),BU386,"")</f>
        <v>17</v>
      </c>
      <c r="CH386" s="13" t="n">
        <f>IF(AND(COUNT(BV386,CF386,CG386)=3,MIN(BV386,CF386,CG386)&gt;=0),BV386*CF386*CG386,"")</f>
        <v>0.7582573455613685</v>
      </c>
      <c r="CI386" s="13" t="n">
        <f>IF(COUNT(BY386,CB386,CE386,CH386)=4,SUM(BY386,CB386,CE386,CH386),"")</f>
        <v>2.6349732133553565</v>
      </c>
    </row>
    <row r="387" ht="72" customHeight="1">
      <c r="A387" s="16" t="str">
        <v>B07-ND-Z-0-39</v>
      </c>
      <c r="B387" s="16" t="str">
        <v>4店-彬郁-US</v>
      </c>
      <c r="C387" s="16" t="str">
        <v>艾年</v>
      </c>
      <c r="D387" s="26" t="n">
        <f>IF(NOT(ISNUMBER(E387)),"",IF(OR(E387&lt;=0,L387=0),0,IF(OR(NOT(ISNUMBER(F387)),F387&lt;0),"",MIN(E387,INT(F387)))))</f>
        <v>0</v>
      </c>
      <c r="E387" s="27" t="n">
        <f>IF(OR(NOT(ISNUMBER(L387)),COUNT(M387:O387)&lt;&gt;3,MIN(M387:O387)&lt;0),"",ROUNDUP(ROUND(BI387-SUM(M387:O387),10),0))</f>
        <v>2</v>
      </c>
      <c r="F387" s="28" t="n">
        <v>0</v>
      </c>
      <c r="G387" s="28" t="n">
        <f>IF(AND(ISNUMBER(D387),ISNUMBER(E387)),IF(OR(E387&lt;=0,L387=0),0,E387-D387),"")</f>
        <v>2</v>
      </c>
      <c r="H387" s="16" t="str">
        <f>IF(NOT(ISNUMBER(E387)),"销量或海外库存待补",IF(OR(E387&lt;=0,L387=0),IF(L387=0,"零日销，本批不发","本批无需补货"),IF(NOT(ISNUMBER(D387)),"国内库存待补",IF(D387=0,"国内无可用库存",IF(G387&gt;0,"先发国内现货","按建议量发货")))))</f>
        <v>国内无可用库存</v>
      </c>
      <c r="I387" s="28" t="n">
        <f>IF(AND(COUNT(Z387,AA387,AB387)=3,Z387&gt;=AA387,AA387&gt;=0,AB387=7),Z387-AA387,"")</f>
        <v>0</v>
      </c>
      <c r="J387" s="28" t="n">
        <f>IF(AND(COUNT(AF387,AG387,AH387)=3,AF387&gt;=AG387,AG387&gt;=0,AH387=14),AF387-AG387,"")</f>
        <v>0</v>
      </c>
      <c r="K387" s="28" t="n">
        <f>IF(AND(COUNT(AL387,AM387,AN387)=3,AL387&gt;=AM387,AM387&gt;=0,AN387=30),AL387-AM387,"")</f>
        <v>0</v>
      </c>
      <c r="L387" s="29" t="n">
        <f>IF(ISNUMBER(BI387),BI387/90,"")</f>
        <v>0.022554103368426965</v>
      </c>
      <c r="M387" s="28" t="n">
        <v>1</v>
      </c>
      <c r="N387" s="28" t="n">
        <v>0</v>
      </c>
      <c r="O387" s="28" t="n">
        <v>0</v>
      </c>
      <c r="P387" s="30" t="n">
        <f>IF(AND(ISNUMBER(L387),L387&gt;0,COUNT(M387:O387)=3,MIN(M387:O387)&gt;=0),SUM(M387:O387)/L387,"")</f>
        <v>44.337829957801816</v>
      </c>
      <c r="Q387" s="16" t="str">
        <v>沿用原计划SKU店铺</v>
      </c>
      <c r="R387" s="16" t="str">
        <v>已匹配</v>
      </c>
      <c r="S387" s="16" t="str">
        <v>在售</v>
      </c>
      <c r="T387" s="16" t="str">
        <v>B07</v>
      </c>
      <c r="U387" s="16" t="str">
        <v>裸色镜面PU</v>
      </c>
      <c r="V387" s="16" t="n">
        <v>8</v>
      </c>
      <c r="W387" s="8" t="str">
        <v>2026-10-09 至 2026-10-17</v>
      </c>
      <c r="X387" s="8" t="str">
        <v>2026-10-09、2026-10-10、2026-10-11、2026-10-14、2026-10-15、2026-10-16、2026-10-17</v>
      </c>
      <c r="Y387" s="8" t="str">
        <v>2026-10-12 有记录的停售日；2026-10-13 有记录的停售日</v>
      </c>
      <c r="Z387" s="8" t="n">
        <v>0</v>
      </c>
      <c r="AA387" s="8" t="n">
        <v>0</v>
      </c>
      <c r="AB387" s="8" t="n">
        <v>7</v>
      </c>
      <c r="AC387" s="8" t="str">
        <v>2026-09-30 至 2026-10-17</v>
      </c>
      <c r="AD387" s="8" t="str">
        <v>2026-09-30、2026-10-01、2026-10-02、2026-10-03、2026-10-04、2026-10-05、2026-10-08、2026-10-09、2026-10-10、2026-10-11、2026-10-14、2026-10-15、2026-10-16、2026-10-17</v>
      </c>
      <c r="AE387" s="8" t="str">
        <v>2026-10-06 大促；2026-10-07 大促；2026-10-12 有记录的停售日；2026-10-13 有记录的停售日</v>
      </c>
      <c r="AF387" s="8" t="n">
        <v>3</v>
      </c>
      <c r="AG387" s="8" t="n">
        <v>3</v>
      </c>
      <c r="AH387" s="8" t="n">
        <v>14</v>
      </c>
      <c r="AI387" s="8" t="str">
        <v>2026-09-14 至 2026-10-17</v>
      </c>
      <c r="AJ387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387" s="8" t="str">
        <v>2026-10-06 大促；2026-10-07 大促；2026-10-12 有记录的停售日；2026-10-13 有记录的停售日</v>
      </c>
      <c r="AL387" s="8" t="n">
        <v>3</v>
      </c>
      <c r="AM387" s="8" t="n">
        <v>3</v>
      </c>
      <c r="AN387" s="8" t="n">
        <v>30</v>
      </c>
      <c r="AO387" s="8" t="str">
        <v>B07 / 裸色镜面PU / 13306</v>
      </c>
      <c r="AP387" s="11" t="n">
        <v>0.7307750238224848</v>
      </c>
      <c r="AQ387" s="11" t="n">
        <v>0.7328044354783371</v>
      </c>
      <c r="AR387" s="11" t="n">
        <v>0.7468750229589127</v>
      </c>
      <c r="AS387" s="11" t="n">
        <f>IF(AND(COUNT(I387:K387,AP387:AR387)=6,MIN(AP387:AR387)&gt;0),I387/7/AP387*0.5+J387/14/AQ387*0.3+K387/30/AR387*0.2,"")</f>
        <v>0</v>
      </c>
      <c r="AT387" s="8" t="n">
        <v>4</v>
      </c>
      <c r="AU387" s="8" t="n">
        <v>3</v>
      </c>
      <c r="AV387" s="8" t="n">
        <v>86</v>
      </c>
      <c r="AW387" s="11" t="n">
        <f>IF(AND(COUNT(AT387:AV387)=3,AT387&gt;=AU387,AU387&gt;=0,AV387&gt;0),(AT387-AU387)/AV387,"")</f>
        <v>0.011627906976744186</v>
      </c>
      <c r="AX387" s="8" t="n">
        <v>7</v>
      </c>
      <c r="AY387" s="8" t="n">
        <v>3</v>
      </c>
      <c r="AZ387" s="8" t="n">
        <v>176</v>
      </c>
      <c r="BA387" s="11" t="n">
        <f>IF(AND(COUNT(AX387:AZ387)=3,AX387&gt;=AY387,AY387&gt;=0,AZ387&gt;0),(AX387-AY387)/AZ387,"")</f>
        <v>0.022727272727272728</v>
      </c>
      <c r="BB387" s="8" t="n">
        <f>IF(COUNT(AS387,AW387,BA387)=3,1,0)</f>
        <v>1</v>
      </c>
      <c r="BC387" s="11" t="n">
        <f>IF(SUMIF($AO$11:$AO$1309,AO387,$BB$11:$BB$1309)=COUNTIF($AO$11:$AO$1309,AO387),SUMIF($AO$11:$AO$1309,AO387,$AS$11:$AS$1309),"")</f>
        <v>0.683212878207941</v>
      </c>
      <c r="BD387" s="11" t="n">
        <f>IF(SUMIF($AO$11:$AO$1309,AO387,$BB$11:$BB$1309)=COUNTIF($AO$11:$AO$1309,AO387),SUMIF($AO$11:$AO$1309,AO387,$AW$11:$AW$1309),"")</f>
        <v>0.3772696182066906</v>
      </c>
      <c r="BE387" s="11" t="n">
        <f>IF(SUMIF($AO$11:$AO$1309,AO387,$BB$11:$BB$1309)=COUNTIF($AO$11:$AO$1309,AO387),SUMIF($AO$11:$AO$1309,AO387,$BA$11:$BA$1309),"")</f>
        <v>0.41723770611411054</v>
      </c>
      <c r="BF387" s="12" t="n">
        <f>IF(COUNT(BD387:BE387)&lt;&gt;2,"",IF(AND(BD387&gt;0,BE387&gt;0),0.7*AW387/BD387+0.3*BA387/BE387,IF(BD387&gt;0,AW387/BD387,IF(BE387&gt;0,BA387/BE387,IF(AND(ISNUMBER(BH387),BH387=0),0,"")))))</f>
        <v>0.03791608935243545</v>
      </c>
      <c r="BG387" s="11" t="n">
        <f>IF(AND(COUNT(BN387:BU387)=8,MIN(BN387:BU387)&gt;=0),SUMPRODUCT(BN387:BQ387,BR387:BU387),"")</f>
        <v>78.35892944347341</v>
      </c>
      <c r="BH387" s="11" t="n">
        <f>IF(COUNT(BC387,BG387)=2,BC387*BG387,"")</f>
        <v>53.53582971836844</v>
      </c>
      <c r="BI387" s="11" t="n">
        <f>IF(ISNUMBER(CI387),CI387,"")</f>
        <v>2.029869303158427</v>
      </c>
      <c r="BJ387" s="8" t="str"/>
      <c r="BK387" s="8" t="str">
        <v>90天：2026-07-20 至 2026-10-17；180天：2026-04-21 至 2026-10-17</v>
      </c>
      <c r="BL387" s="8" t="str">
        <v>90天：2026-10-06、2026-10-07、2026-10-12、2026-10-13；180天：2026-10-06、2026-10-07、2026-10-12、2026-10-13</v>
      </c>
      <c r="BM387" s="8" t="str">
        <v>2026-10：12天 × 0.7307750238224848；2026-11：30天 × 0.9523018155490097；2026-12：31天 × 0.5958545198749097；2027-01：17天 × 1.3264167397065354</v>
      </c>
      <c r="BN387" s="11" t="n">
        <v>0.7307750238224848</v>
      </c>
      <c r="BO387" s="11" t="n">
        <v>0.9523018155490097</v>
      </c>
      <c r="BP387" s="11" t="n">
        <v>0.5958545198749097</v>
      </c>
      <c r="BQ387" s="11" t="n">
        <v>1.3264167397065354</v>
      </c>
      <c r="BR387" s="8" t="n">
        <v>12</v>
      </c>
      <c r="BS387" s="8" t="n">
        <v>30</v>
      </c>
      <c r="BT387" s="8" t="n">
        <v>31</v>
      </c>
      <c r="BU387" s="8" t="n">
        <v>17</v>
      </c>
      <c r="BV387" s="11" t="n">
        <f>IF(COUNT(BC387,BF387)=2,BC387*BF387,"")</f>
        <v>0.025904760536866887</v>
      </c>
      <c r="BW387" s="11" t="n">
        <f>IF(ISNUMBER(BN387),BN387,"")</f>
        <v>0.7307750238224848</v>
      </c>
      <c r="BX387" s="14" t="n">
        <f>IF(ISNUMBER(BR387),BR387,"")</f>
        <v>12</v>
      </c>
      <c r="BY387" s="13" t="n">
        <f>IF(AND(COUNT(BV387,BW387,BX387)=3,MIN(BV387,BW387,BX387)&gt;=0),BV387*BW387*BX387,"")</f>
        <v>0.22716662398133597</v>
      </c>
      <c r="BZ387" s="11" t="n">
        <f>IF(ISNUMBER(BO387),BO387,"")</f>
        <v>0.9523018155490097</v>
      </c>
      <c r="CA387" s="14" t="n">
        <f>IF(ISNUMBER(BS387),BS387,"")</f>
        <v>30</v>
      </c>
      <c r="CB387" s="13" t="n">
        <f>IF(AND(COUNT(BV387,BZ387,CA387)=3,MIN(BV387,BZ387,CA387)&gt;=0),BV387*BZ387*CA387,"")</f>
        <v>0.7400745147186203</v>
      </c>
      <c r="CC387" s="11" t="n">
        <f>IF(ISNUMBER(BP387),BP387,"")</f>
        <v>0.5958545198749097</v>
      </c>
      <c r="CD387" s="14" t="n">
        <f>IF(ISNUMBER(BT387),BT387,"")</f>
        <v>31</v>
      </c>
      <c r="CE387" s="13" t="n">
        <f>IF(AND(COUNT(BV387,CC387,CD387)=3,MIN(BV387,CC387,CD387)&gt;=0),BV387*CC387*CD387,"")</f>
        <v>0.4784995282172491</v>
      </c>
      <c r="CF387" s="11" t="n">
        <f>IF(ISNUMBER(BQ387),BQ387,"")</f>
        <v>1.3264167397065354</v>
      </c>
      <c r="CG387" s="14" t="n">
        <f>IF(ISNUMBER(BU387),BU387,"")</f>
        <v>17</v>
      </c>
      <c r="CH387" s="13" t="n">
        <f>IF(AND(COUNT(BV387,CF387,CG387)=3,MIN(BV387,CF387,CG387)&gt;=0),BV387*CF387*CG387,"")</f>
        <v>0.5841286362412215</v>
      </c>
      <c r="CI387" s="13" t="n">
        <f>IF(COUNT(BY387,CB387,CE387,CH387)=4,SUM(BY387,CB387,CE387,CH387),"")</f>
        <v>2.029869303158427</v>
      </c>
    </row>
    <row r="388" ht="72" customHeight="1">
      <c r="A388" s="16" t="str">
        <v>B07-NY-41.5-by</v>
      </c>
      <c r="B388" s="16" t="str">
        <v>4店-彬郁-US</v>
      </c>
      <c r="C388" s="16" t="str">
        <v>艾年</v>
      </c>
      <c r="D388" s="26" t="n">
        <f>IF(NOT(ISNUMBER(E388)),"",IF(OR(E388&lt;=0,L388=0),0,IF(OR(NOT(ISNUMBER(F388)),F388&lt;0),"",MIN(E388,INT(F388)))))</f>
        <v>0</v>
      </c>
      <c r="E388" s="27" t="n">
        <f>IF(OR(NOT(ISNUMBER(L388)),COUNT(M388:O388)&lt;&gt;3,MIN(M388:O388)&lt;0),"",ROUNDUP(ROUND(BI388-SUM(M388:O388),10),0))</f>
        <v>2</v>
      </c>
      <c r="F388" s="28" t="n">
        <v>0</v>
      </c>
      <c r="G388" s="28" t="n">
        <f>IF(AND(ISNUMBER(D388),ISNUMBER(E388)),IF(OR(E388&lt;=0,L388=0),0,E388-D388),"")</f>
        <v>2</v>
      </c>
      <c r="H388" s="16" t="str">
        <f>IF(NOT(ISNUMBER(E388)),"销量或海外库存待补",IF(OR(E388&lt;=0,L388=0),IF(L388=0,"零日销，本批不发","本批无需补货"),IF(NOT(ISNUMBER(D388)),"国内库存待补",IF(D388=0,"国内无可用库存",IF(G388&gt;0,"先发国内现货","按建议量发货")))))</f>
        <v>国内无可用库存</v>
      </c>
      <c r="I388" s="28" t="n">
        <f>IF(AND(COUNT(Z388,AA388,AB388)=3,Z388&gt;=AA388,AA388&gt;=0,AB388=7),Z388-AA388,"")</f>
        <v>0</v>
      </c>
      <c r="J388" s="28" t="n">
        <f>IF(AND(COUNT(AF388,AG388,AH388)=3,AF388&gt;=AG388,AG388&gt;=0,AH388=14),AF388-AG388,"")</f>
        <v>1</v>
      </c>
      <c r="K388" s="28" t="n">
        <f>IF(AND(COUNT(AL388,AM388,AN388)=3,AL388&gt;=AM388,AM388&gt;=0,AN388=30),AL388-AM388,"")</f>
        <v>1</v>
      </c>
      <c r="L388" s="29" t="n">
        <f>IF(ISNUMBER(BI388),BI388/90,"")</f>
        <v>0.03469045583159916</v>
      </c>
      <c r="M388" s="28" t="n">
        <v>2</v>
      </c>
      <c r="N388" s="28" t="n">
        <v>0</v>
      </c>
      <c r="O388" s="28" t="n">
        <v>0</v>
      </c>
      <c r="P388" s="30" t="n">
        <f>IF(AND(ISNUMBER(L388),L388&gt;0,COUNT(M388:O388)=3,MIN(M388:O388)&gt;=0),SUM(M388:O388)/L388,"")</f>
        <v>57.65274488489776</v>
      </c>
      <c r="Q388" s="16" t="str">
        <v>沿用原计划SKU店铺</v>
      </c>
      <c r="R388" s="16" t="str">
        <v>已匹配</v>
      </c>
      <c r="S388" s="16" t="str">
        <v>在售</v>
      </c>
      <c r="T388" s="16" t="str">
        <v>B07</v>
      </c>
      <c r="U388" s="16" t="str">
        <v>藏青色羊京绒</v>
      </c>
      <c r="V388" s="16" t="n">
        <v>10.5</v>
      </c>
      <c r="W388" s="8" t="str">
        <v>2026-10-11 至 2026-10-17</v>
      </c>
      <c r="X388" s="8" t="str">
        <v>2026-10-11、2026-10-12、2026-10-13、2026-10-14、2026-10-15、2026-10-16、2026-10-17</v>
      </c>
      <c r="Y388" s="8" t="str">
        <v>无</v>
      </c>
      <c r="Z388" s="8" t="n">
        <v>0</v>
      </c>
      <c r="AA388" s="8" t="n">
        <v>0</v>
      </c>
      <c r="AB388" s="8" t="n">
        <v>7</v>
      </c>
      <c r="AC388" s="8" t="str">
        <v>2026-10-02 至 2026-10-17</v>
      </c>
      <c r="AD388" s="8" t="str">
        <v>2026-10-02、2026-10-03、2026-10-04、2026-10-05、2026-10-08、2026-10-09、2026-10-10、2026-10-11、2026-10-12、2026-10-13、2026-10-14、2026-10-15、2026-10-16、2026-10-17</v>
      </c>
      <c r="AE388" s="8" t="str">
        <v>2026-10-06 大促；2026-10-07 大促</v>
      </c>
      <c r="AF388" s="8" t="n">
        <v>1</v>
      </c>
      <c r="AG388" s="8" t="n">
        <v>0</v>
      </c>
      <c r="AH388" s="8" t="n">
        <v>14</v>
      </c>
      <c r="AI388" s="8" t="str">
        <v>2026-09-16 至 2026-10-17</v>
      </c>
      <c r="AJ3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88" s="8" t="str">
        <v>2026-10-06 大促；2026-10-07 大促</v>
      </c>
      <c r="AL388" s="8" t="n">
        <v>1</v>
      </c>
      <c r="AM388" s="8" t="n">
        <v>0</v>
      </c>
      <c r="AN388" s="8" t="n">
        <v>30</v>
      </c>
      <c r="AO388" s="8" t="str">
        <v>B07 / 藏青色羊京绒 / 13306</v>
      </c>
      <c r="AP388" s="11" t="n">
        <v>0.7307750238224848</v>
      </c>
      <c r="AQ388" s="11" t="n">
        <v>0.7307750238224848</v>
      </c>
      <c r="AR388" s="11" t="n">
        <v>0.7449809054134506</v>
      </c>
      <c r="AS388" s="11" t="n">
        <f>IF(AND(COUNT(I388:K388,AP388:AR388)=6,MIN(AP388:AR388)&gt;0),I388/7/AP388*0.5+J388/14/AQ388*0.3+K388/30/AR388*0.2,"")</f>
        <v>0.038271851038049046</v>
      </c>
      <c r="AT388" s="8" t="n">
        <v>2</v>
      </c>
      <c r="AU388" s="8" t="n">
        <v>0</v>
      </c>
      <c r="AV388" s="8" t="n">
        <v>88</v>
      </c>
      <c r="AW388" s="11" t="n">
        <f>IF(AND(COUNT(AT388:AV388)=3,AT388&gt;=AU388,AU388&gt;=0,AV388&gt;0),(AT388-AU388)/AV388,"")</f>
        <v>0.022727272727272728</v>
      </c>
      <c r="AX388" s="8" t="n">
        <v>5</v>
      </c>
      <c r="AY388" s="8" t="n">
        <v>0</v>
      </c>
      <c r="AZ388" s="8" t="n">
        <v>178</v>
      </c>
      <c r="BA388" s="11" t="n">
        <f>IF(AND(COUNT(AX388:AZ388)=3,AX388&gt;=AY388,AY388&gt;=0,AZ388&gt;0),(AX388-AY388)/AZ388,"")</f>
        <v>0.028089887640449437</v>
      </c>
      <c r="BB388" s="8" t="n">
        <f>IF(COUNT(AS388,AW388,BA388)=3,1,0)</f>
        <v>1</v>
      </c>
      <c r="BC388" s="11" t="n">
        <f>IF(SUMIF($AO$11:$AO$1309,AO388,$BB$11:$BB$1309)=COUNTIF($AO$11:$AO$1309,AO388),SUMIF($AO$11:$AO$1309,AO388,$AS$11:$AS$1309),"")</f>
        <v>0.6888933186848828</v>
      </c>
      <c r="BD388" s="11" t="n">
        <f>IF(SUMIF($AO$11:$AO$1309,AO388,$BB$11:$BB$1309)=COUNTIF($AO$11:$AO$1309,AO388),SUMIF($AO$11:$AO$1309,AO388,$AW$11:$AW$1309),"")</f>
        <v>0.42045454545454547</v>
      </c>
      <c r="BE388" s="11" t="n">
        <f>IF(SUMIF($AO$11:$AO$1309,AO388,$BB$11:$BB$1309)=COUNTIF($AO$11:$AO$1309,AO388),SUMIF($AO$11:$AO$1309,AO388,$BA$11:$BA$1309),"")</f>
        <v>0.4213483146067416</v>
      </c>
      <c r="BF388" s="12" t="n">
        <f>IF(COUNT(BD388:BE388)&lt;&gt;2,"",IF(AND(BD388&gt;0,BE388&gt;0),0.7*AW388/BD388+0.3*BA388/BE388,IF(BD388&gt;0,AW388/BD388,IF(BE388&gt;0,BA388/BE388,IF(AND(ISNUMBER(BH388),BH388=0),0,"")))))</f>
        <v>0.05783783783783783</v>
      </c>
      <c r="BG388" s="11" t="n">
        <f>IF(AND(COUNT(BN388:BU388)=8,MIN(BN388:BU388)&gt;=0),SUMPRODUCT(BN388:BQ388,BR388:BU388),"")</f>
        <v>78.35892944347341</v>
      </c>
      <c r="BH388" s="11" t="n">
        <f>IF(COUNT(BC388,BG388)=2,BC388*BG388,"")</f>
        <v>53.980942952908975</v>
      </c>
      <c r="BI388" s="11" t="n">
        <f>IF(ISNUMBER(CI388),CI388,"")</f>
        <v>3.1221410248439243</v>
      </c>
      <c r="BJ388" s="8" t="str"/>
      <c r="BK388" s="8" t="str">
        <v>90天：2026-07-20 至 2026-10-17；180天：2026-04-21 至 2026-10-17</v>
      </c>
      <c r="BL388" s="8" t="str">
        <v>90天：2026-10-06、2026-10-07；180天：2026-10-06、2026-10-07</v>
      </c>
      <c r="BM388" s="8" t="str">
        <v>2026-10：12天 × 0.7307750238224848；2026-11：30天 × 0.9523018155490097；2026-12：31天 × 0.5958545198749097；2027-01：17天 × 1.3264167397065354</v>
      </c>
      <c r="BN388" s="11" t="n">
        <v>0.7307750238224848</v>
      </c>
      <c r="BO388" s="11" t="n">
        <v>0.9523018155490097</v>
      </c>
      <c r="BP388" s="11" t="n">
        <v>0.5958545198749097</v>
      </c>
      <c r="BQ388" s="11" t="n">
        <v>1.3264167397065354</v>
      </c>
      <c r="BR388" s="8" t="n">
        <v>12</v>
      </c>
      <c r="BS388" s="8" t="n">
        <v>30</v>
      </c>
      <c r="BT388" s="8" t="n">
        <v>31</v>
      </c>
      <c r="BU388" s="8" t="n">
        <v>17</v>
      </c>
      <c r="BV388" s="11" t="n">
        <f>IF(COUNT(BC388,BF388)=2,BC388*BF388,"")</f>
        <v>0.03984410005366619</v>
      </c>
      <c r="BW388" s="11" t="n">
        <f>IF(ISNUMBER(BN388),BN388,"")</f>
        <v>0.7307750238224848</v>
      </c>
      <c r="BX388" s="14" t="n">
        <f>IF(ISNUMBER(BR388),BR388,"")</f>
        <v>12</v>
      </c>
      <c r="BY388" s="13" t="n">
        <f>IF(AND(COUNT(BV388,BW388,BX388)=3,MIN(BV388,BW388,BX388)&gt;=0),BV388*BW388*BX388,"")</f>
        <v>0.3494048779908405</v>
      </c>
      <c r="BZ388" s="11" t="n">
        <f>IF(ISNUMBER(BO388),BO388,"")</f>
        <v>0.9523018155490097</v>
      </c>
      <c r="CA388" s="14" t="n">
        <f>IF(ISNUMBER(BS388),BS388,"")</f>
        <v>30</v>
      </c>
      <c r="CB388" s="13" t="n">
        <f>IF(AND(COUNT(BV388,BZ388,CA388)=3,MIN(BV388,BZ388,CA388)&gt;=0),BV388*BZ388*CA388,"")</f>
        <v>1.1383082646006812</v>
      </c>
      <c r="CC388" s="11" t="n">
        <f>IF(ISNUMBER(BP388),BP388,"")</f>
        <v>0.5958545198749097</v>
      </c>
      <c r="CD388" s="14" t="n">
        <f>IF(ISNUMBER(BT388),BT388,"")</f>
        <v>31</v>
      </c>
      <c r="CE388" s="13" t="n">
        <f>IF(AND(COUNT(BV388,CC388,CD388)=3,MIN(BV388,CC388,CD388)&gt;=0),BV388*CC388*CD388,"")</f>
        <v>0.735979900327079</v>
      </c>
      <c r="CF388" s="11" t="n">
        <f>IF(ISNUMBER(BQ388),BQ388,"")</f>
        <v>1.3264167397065354</v>
      </c>
      <c r="CG388" s="14" t="n">
        <f>IF(ISNUMBER(BU388),BU388,"")</f>
        <v>17</v>
      </c>
      <c r="CH388" s="13" t="n">
        <f>IF(AND(COUNT(BV388,CF388,CG388)=3,MIN(BV388,CF388,CG388)&gt;=0),BV388*CF388*CG388,"")</f>
        <v>0.8984479819253233</v>
      </c>
      <c r="CI388" s="13" t="n">
        <f>IF(COUNT(BY388,CB388,CE388,CH388)=4,SUM(BY388,CB388,CE388,CH388),"")</f>
        <v>3.1221410248439243</v>
      </c>
    </row>
    <row r="389" ht="72" customHeight="1">
      <c r="A389" s="16" t="str">
        <v>B07-RD-I-0-41</v>
      </c>
      <c r="B389" s="16" t="str">
        <v>4店-彬郁-US</v>
      </c>
      <c r="C389" s="16" t="str">
        <v>艾年</v>
      </c>
      <c r="D389" s="26" t="n">
        <f>IF(NOT(ISNUMBER(E389)),"",IF(OR(E389&lt;=0,L389=0),0,IF(OR(NOT(ISNUMBER(F389)),F389&lt;0),"",MIN(E389,INT(F389)))))</f>
        <v>0</v>
      </c>
      <c r="E389" s="27" t="n">
        <f>IF(OR(NOT(ISNUMBER(L389)),COUNT(M389:O389)&lt;&gt;3,MIN(M389:O389)&lt;0),"",ROUNDUP(ROUND(BI389-SUM(M389:O389),10),0))</f>
        <v>2</v>
      </c>
      <c r="F389" s="28" t="n">
        <v>0</v>
      </c>
      <c r="G389" s="28" t="n">
        <f>IF(AND(ISNUMBER(D389),ISNUMBER(E389)),IF(OR(E389&lt;=0,L389=0),0,E389-D389),"")</f>
        <v>2</v>
      </c>
      <c r="H389" s="16" t="str">
        <f>IF(NOT(ISNUMBER(E389)),"销量或海外库存待补",IF(OR(E389&lt;=0,L389=0),IF(L389=0,"零日销，本批不发","本批无需补货"),IF(NOT(ISNUMBER(D389)),"国内库存待补",IF(D389=0,"国内无可用库存",IF(G389&gt;0,"先发国内现货","按建议量发货")))))</f>
        <v>国内无可用库存</v>
      </c>
      <c r="I389" s="28" t="n">
        <f>IF(AND(COUNT(Z389,AA389,AB389)=3,Z389&gt;=AA389,AA389&gt;=0,AB389=7),Z389-AA389,"")</f>
        <v>0</v>
      </c>
      <c r="J389" s="28" t="n">
        <f>IF(AND(COUNT(AF389,AG389,AH389)=3,AF389&gt;=AG389,AG389&gt;=0,AH389=14),AF389-AG389,"")</f>
        <v>1</v>
      </c>
      <c r="K389" s="28" t="n">
        <f>IF(AND(COUNT(AL389,AM389,AN389)=3,AL389&gt;=AM389,AM389&gt;=0,AN389=30),AL389-AM389,"")</f>
        <v>1</v>
      </c>
      <c r="L389" s="29" t="n">
        <f>IF(ISNUMBER(BI389),BI389/90,"")</f>
        <v>0.013797802454959002</v>
      </c>
      <c r="M389" s="28" t="n">
        <v>0</v>
      </c>
      <c r="N389" s="28" t="n">
        <v>0</v>
      </c>
      <c r="O389" s="28" t="n">
        <v>0</v>
      </c>
      <c r="P389" s="30" t="n">
        <f>IF(AND(ISNUMBER(L389),L389&gt;0,COUNT(M389:O389)=3,MIN(M389:O389)&gt;=0),SUM(M389:O389)/L389,"")</f>
        <v>0</v>
      </c>
      <c r="Q389" s="16" t="str">
        <v>沿用原计划SKU店铺</v>
      </c>
      <c r="R389" s="16" t="str">
        <v>已匹配</v>
      </c>
      <c r="S389" s="16" t="str">
        <v>停售</v>
      </c>
      <c r="T389" s="16" t="str">
        <v>B07</v>
      </c>
      <c r="U389" s="16" t="str">
        <v>红色色织提花</v>
      </c>
      <c r="V389" s="16" t="n">
        <v>10</v>
      </c>
      <c r="W389" s="8" t="str">
        <v>2026-10-08 至 2026-10-17</v>
      </c>
      <c r="X389" s="8" t="str">
        <v>2026-10-08、2026-10-09、2026-10-10、2026-10-11、2026-10-14、2026-10-15、2026-10-17</v>
      </c>
      <c r="Y389" s="8" t="str">
        <v>2026-10-12 有记录的停售日；2026-10-13 有记录的停售日；2026-10-16 有记录的停售日</v>
      </c>
      <c r="Z389" s="8" t="n">
        <v>0</v>
      </c>
      <c r="AA389" s="8" t="n">
        <v>0</v>
      </c>
      <c r="AB389" s="8" t="n">
        <v>7</v>
      </c>
      <c r="AC389" s="8" t="str">
        <v>2026-09-29 至 2026-10-17</v>
      </c>
      <c r="AD389" s="8" t="str">
        <v>2026-09-29、2026-09-30、2026-10-01、2026-10-02、2026-10-03、2026-10-04、2026-10-05、2026-10-08、2026-10-09、2026-10-10、2026-10-11、2026-10-14、2026-10-15、2026-10-17</v>
      </c>
      <c r="AE389" s="8" t="str">
        <v>2026-10-06 大促；2026-10-07 大促；2026-10-12 有记录的停售日；2026-10-13 有记录的停售日；2026-10-16 有记录的停售日</v>
      </c>
      <c r="AF389" s="8" t="n">
        <v>1</v>
      </c>
      <c r="AG389" s="8" t="n">
        <v>0</v>
      </c>
      <c r="AH389" s="8" t="n">
        <v>14</v>
      </c>
      <c r="AI389" s="8" t="str">
        <v>2026-09-13 至 2026-10-17</v>
      </c>
      <c r="AJ38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89" s="8" t="str">
        <v>2026-10-06 大促；2026-10-07 大促；2026-10-12 有记录的停售日；2026-10-13 有记录的停售日；2026-10-16 有记录的停售日</v>
      </c>
      <c r="AL389" s="8" t="n">
        <v>1</v>
      </c>
      <c r="AM389" s="8" t="n">
        <v>0</v>
      </c>
      <c r="AN389" s="8" t="n">
        <v>30</v>
      </c>
      <c r="AO389" s="8" t="str">
        <v>B07 / 红色羊京绒 / 13306</v>
      </c>
      <c r="AP389" s="11" t="n">
        <v>0.7307750238224848</v>
      </c>
      <c r="AQ389" s="11" t="n">
        <v>0.7348338471341894</v>
      </c>
      <c r="AR389" s="11" t="n">
        <v>0.7478220817316438</v>
      </c>
      <c r="AS389" s="11" t="n">
        <f>IF(AND(COUNT(I389:K389,AP389:AR389)=6,MIN(AP389:AR389)&gt;0),I389/7/AP389*0.5+J389/14/AQ389*0.3+K389/30/AR389*0.2,"")</f>
        <v>0.03807588749038138</v>
      </c>
      <c r="AT389" s="8" t="n">
        <v>1</v>
      </c>
      <c r="AU389" s="8" t="n">
        <v>0</v>
      </c>
      <c r="AV389" s="8" t="n">
        <v>85</v>
      </c>
      <c r="AW389" s="11" t="n">
        <f>IF(AND(COUNT(AT389:AV389)=3,AT389&gt;=AU389,AU389&gt;=0,AV389&gt;0),(AT389-AU389)/AV389,"")</f>
        <v>0.011764705882352941</v>
      </c>
      <c r="AX389" s="8" t="n">
        <v>1</v>
      </c>
      <c r="AY389" s="8" t="n">
        <v>0</v>
      </c>
      <c r="AZ389" s="8" t="n">
        <v>175</v>
      </c>
      <c r="BA389" s="11" t="n">
        <f>IF(AND(COUNT(AX389:AZ389)=3,AX389&gt;=AY389,AY389&gt;=0,AZ389&gt;0),(AX389-AY389)/AZ389,"")</f>
        <v>0.005714285714285714</v>
      </c>
      <c r="BB389" s="8" t="n">
        <f>IF(COUNT(AS389,AW389,BA389)=3,1,0)</f>
        <v>1</v>
      </c>
      <c r="BC389" s="11" t="n">
        <f>IF(SUMIF($AO$11:$AO$1309,AO389,$BB$11:$BB$1309)=COUNTIF($AO$11:$AO$1309,AO389),SUMIF($AO$11:$AO$1309,AO389,$AS$11:$AS$1309),"")</f>
        <v>0.5380867011380766</v>
      </c>
      <c r="BD389" s="11" t="n">
        <f>IF(SUMIF($AO$11:$AO$1309,AO389,$BB$11:$BB$1309)=COUNTIF($AO$11:$AO$1309,AO389),SUMIF($AO$11:$AO$1309,AO389,$AW$11:$AW$1309),"")</f>
        <v>0.35267379679144384</v>
      </c>
      <c r="BE389" s="11" t="n">
        <f>IF(SUMIF($AO$11:$AO$1309,AO389,$BB$11:$BB$1309)=COUNTIF($AO$11:$AO$1309,AO389),SUMIF($AO$11:$AO$1309,AO389,$BA$11:$BA$1309),"")</f>
        <v>0.28099518459069023</v>
      </c>
      <c r="BF389" s="12" t="n">
        <f>IF(COUNT(BD389:BE389)&lt;&gt;2,"",IF(AND(BD389&gt;0,BE389&gt;0),0.7*AW389/BD389+0.3*BA389/BE389,IF(BD389&gt;0,AW389/BD389,IF(BE389&gt;0,BA389/BE389,IF(AND(ISNUMBER(BH389),BH389=0),0,"")))))</f>
        <v>0.0294517889544986</v>
      </c>
      <c r="BG389" s="11" t="n">
        <f>IF(AND(COUNT(BN389:BU389)=8,MIN(BN389:BU389)&gt;=0),SUMPRODUCT(BN389:BQ389,BR389:BU389),"")</f>
        <v>78.35892944347341</v>
      </c>
      <c r="BH389" s="11" t="n">
        <f>IF(COUNT(BC389,BG389)=2,BC389*BG389,"")</f>
        <v>42.16389784894991</v>
      </c>
      <c r="BI389" s="11" t="n">
        <f>IF(ISNUMBER(CI389),CI389,"")</f>
        <v>1.2418022209463102</v>
      </c>
      <c r="BJ389" s="8" t="str">
        <v>低销提醒依据不完整</v>
      </c>
      <c r="BK389" s="8" t="str">
        <v>90天：2026-07-20 至 2026-10-17；180天：2026-04-21 至 2026-10-17</v>
      </c>
      <c r="BL389" s="8" t="str">
        <v>90天：2026-10-06、2026-10-07、2026-10-12、2026-10-13、2026-10-16；180天：2026-10-06、2026-10-07、2026-10-12、2026-10-13、2026-10-16</v>
      </c>
      <c r="BM389" s="8" t="str">
        <v>2026-10：12天 × 0.7307750238224848；2026-11：30天 × 0.9523018155490097；2026-12：31天 × 0.5958545198749097；2027-01：17天 × 1.3264167397065354</v>
      </c>
      <c r="BN389" s="11" t="n">
        <v>0.7307750238224848</v>
      </c>
      <c r="BO389" s="11" t="n">
        <v>0.9523018155490097</v>
      </c>
      <c r="BP389" s="11" t="n">
        <v>0.5958545198749097</v>
      </c>
      <c r="BQ389" s="11" t="n">
        <v>1.3264167397065354</v>
      </c>
      <c r="BR389" s="8" t="n">
        <v>12</v>
      </c>
      <c r="BS389" s="8" t="n">
        <v>30</v>
      </c>
      <c r="BT389" s="8" t="n">
        <v>31</v>
      </c>
      <c r="BU389" s="8" t="n">
        <v>17</v>
      </c>
      <c r="BV389" s="11" t="n">
        <f>IF(COUNT(BC389,BF389)=2,BC389*BF389,"")</f>
        <v>0.015847615961140992</v>
      </c>
      <c r="BW389" s="11" t="n">
        <f>IF(ISNUMBER(BN389),BN389,"")</f>
        <v>0.7307750238224848</v>
      </c>
      <c r="BX389" s="14" t="n">
        <f>IF(ISNUMBER(BR389),BR389,"")</f>
        <v>12</v>
      </c>
      <c r="BY389" s="13" t="n">
        <f>IF(AND(COUNT(BV389,BW389,BX389)=3,MIN(BV389,BW389,BX389)&gt;=0),BV389*BW389*BX389,"")</f>
        <v>0.1389725031783888</v>
      </c>
      <c r="BZ389" s="11" t="n">
        <f>IF(ISNUMBER(BO389),BO389,"")</f>
        <v>0.9523018155490097</v>
      </c>
      <c r="CA389" s="14" t="n">
        <f>IF(ISNUMBER(BS389),BS389,"")</f>
        <v>30</v>
      </c>
      <c r="CB389" s="13" t="n">
        <f>IF(AND(COUNT(BV389,BZ389,CA389)=3,MIN(BV389,BZ389,CA389)&gt;=0),BV389*BZ389*CA389,"")</f>
        <v>0.45275140355754095</v>
      </c>
      <c r="CC389" s="11" t="n">
        <f>IF(ISNUMBER(BP389),BP389,"")</f>
        <v>0.5958545198749097</v>
      </c>
      <c r="CD389" s="14" t="n">
        <f>IF(ISNUMBER(BT389),BT389,"")</f>
        <v>31</v>
      </c>
      <c r="CE389" s="13" t="n">
        <f>IF(AND(COUNT(BV389,CC389,CD389)=3,MIN(BV389,CC389,CD389)&gt;=0),BV389*CC389*CD389,"")</f>
        <v>0.2927290815903163</v>
      </c>
      <c r="CF389" s="11" t="n">
        <f>IF(ISNUMBER(BQ389),BQ389,"")</f>
        <v>1.3264167397065354</v>
      </c>
      <c r="CG389" s="14" t="n">
        <f>IF(ISNUMBER(BU389),BU389,"")</f>
        <v>17</v>
      </c>
      <c r="CH389" s="13" t="n">
        <f>IF(AND(COUNT(BV389,CF389,CG389)=3,MIN(BV389,CF389,CG389)&gt;=0),BV389*CF389*CG389,"")</f>
        <v>0.3573492326200641</v>
      </c>
      <c r="CI389" s="13" t="n">
        <f>IF(COUNT(BY389,CB389,CE389,CH389)=4,SUM(BY389,CB389,CE389,CH389),"")</f>
        <v>1.2418022209463102</v>
      </c>
    </row>
    <row r="390" ht="72" customHeight="1">
      <c r="A390" s="16" t="str">
        <v>B07-TN-38.5</v>
      </c>
      <c r="B390" s="16" t="str">
        <v>4店-彬郁-US</v>
      </c>
      <c r="C390" s="16" t="str">
        <v>艾年</v>
      </c>
      <c r="D390" s="26" t="n">
        <f>IF(NOT(ISNUMBER(E390)),"",IF(OR(E390&lt;=0,L390=0),0,IF(OR(NOT(ISNUMBER(F390)),F390&lt;0),"",MIN(E390,INT(F390)))))</f>
        <v>0</v>
      </c>
      <c r="E390" s="27" t="n">
        <f>IF(OR(NOT(ISNUMBER(L390)),COUNT(M390:O390)&lt;&gt;3,MIN(M390:O390)&lt;0),"",ROUNDUP(ROUND(BI390-SUM(M390:O390),10),0))</f>
        <v>2</v>
      </c>
      <c r="F390" s="28" t="n">
        <v>0</v>
      </c>
      <c r="G390" s="28" t="n">
        <f>IF(AND(ISNUMBER(D390),ISNUMBER(E390)),IF(OR(E390&lt;=0,L390=0),0,E390-D390),"")</f>
        <v>2</v>
      </c>
      <c r="H390" s="16" t="str">
        <f>IF(NOT(ISNUMBER(E390)),"销量或海外库存待补",IF(OR(E390&lt;=0,L390=0),IF(L390=0,"零日销，本批不发","本批无需补货"),IF(NOT(ISNUMBER(D390)),"国内库存待补",IF(D390=0,"国内无可用库存",IF(G390&gt;0,"先发国内现货","按建议量发货")))))</f>
        <v>国内无可用库存</v>
      </c>
      <c r="I390" s="28" t="n">
        <f>IF(AND(COUNT(Z390,AA390,AB390)=3,Z390&gt;=AA390,AA390&gt;=0,AB390=7),Z390-AA390,"")</f>
        <v>0</v>
      </c>
      <c r="J390" s="28" t="n">
        <f>IF(AND(COUNT(AF390,AG390,AH390)=3,AF390&gt;=AG390,AG390&gt;=0,AH390=14),AF390-AG390,"")</f>
        <v>1</v>
      </c>
      <c r="K390" s="28" t="n">
        <f>IF(AND(COUNT(AL390,AM390,AN390)=3,AL390&gt;=AM390,AM390&gt;=0,AN390=30),AL390-AM390,"")</f>
        <v>2</v>
      </c>
      <c r="L390" s="29" t="n">
        <f>IF(ISNUMBER(BI390),BI390/90,"")</f>
        <v>0.0873213851234201</v>
      </c>
      <c r="M390" s="28" t="n">
        <v>6</v>
      </c>
      <c r="N390" s="28" t="n">
        <v>0</v>
      </c>
      <c r="O390" s="28" t="n">
        <v>0</v>
      </c>
      <c r="P390" s="30" t="n">
        <f>IF(AND(ISNUMBER(L390),L390&gt;0,COUNT(M390:O390)=3,MIN(M390:O390)&gt;=0),SUM(M390:O390)/L390,"")</f>
        <v>68.71169063018866</v>
      </c>
      <c r="Q390" s="16" t="str">
        <v>沿用原计划SKU店铺</v>
      </c>
      <c r="R390" s="16" t="str">
        <v>已匹配</v>
      </c>
      <c r="S390" s="16" t="str">
        <v>在售</v>
      </c>
      <c r="T390" s="16" t="str">
        <v>B07</v>
      </c>
      <c r="U390" s="16" t="str">
        <v>驼色羊京绒</v>
      </c>
      <c r="V390" s="16" t="n">
        <v>7.5</v>
      </c>
      <c r="W390" s="8" t="str">
        <v>2026-10-11 至 2026-10-17</v>
      </c>
      <c r="X390" s="8" t="str">
        <v>2026-10-11、2026-10-12、2026-10-13、2026-10-14、2026-10-15、2026-10-16、2026-10-17</v>
      </c>
      <c r="Y390" s="8" t="str">
        <v>无</v>
      </c>
      <c r="Z390" s="8" t="n">
        <v>0</v>
      </c>
      <c r="AA390" s="8" t="n">
        <v>0</v>
      </c>
      <c r="AB390" s="8" t="n">
        <v>7</v>
      </c>
      <c r="AC390" s="8" t="str">
        <v>2026-10-02 至 2026-10-17</v>
      </c>
      <c r="AD390" s="8" t="str">
        <v>2026-10-02、2026-10-03、2026-10-04、2026-10-05、2026-10-08、2026-10-09、2026-10-10、2026-10-11、2026-10-12、2026-10-13、2026-10-14、2026-10-15、2026-10-16、2026-10-17</v>
      </c>
      <c r="AE390" s="8" t="str">
        <v>2026-10-06 大促；2026-10-07 大促</v>
      </c>
      <c r="AF390" s="8" t="n">
        <v>3</v>
      </c>
      <c r="AG390" s="8" t="n">
        <v>2</v>
      </c>
      <c r="AH390" s="8" t="n">
        <v>14</v>
      </c>
      <c r="AI390" s="8" t="str">
        <v>2026-09-16 至 2026-10-17</v>
      </c>
      <c r="AJ3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90" s="8" t="str">
        <v>2026-10-06 大促；2026-10-07 大促</v>
      </c>
      <c r="AL390" s="8" t="n">
        <v>4</v>
      </c>
      <c r="AM390" s="8" t="n">
        <v>2</v>
      </c>
      <c r="AN390" s="8" t="n">
        <v>30</v>
      </c>
      <c r="AO390" s="8" t="str">
        <v>B07 / 驼色羊京绒 / 13306</v>
      </c>
      <c r="AP390" s="11" t="n">
        <v>0.7307750238224848</v>
      </c>
      <c r="AQ390" s="11" t="n">
        <v>0.7307750238224848</v>
      </c>
      <c r="AR390" s="11" t="n">
        <v>0.7449809054134506</v>
      </c>
      <c r="AS390" s="11" t="n">
        <f>IF(AND(COUNT(I390:K390,AP390:AR390)=6,MIN(AP390:AR390)&gt;0),I390/7/AP390*0.5+J390/14/AQ390*0.3+K390/30/AR390*0.2,"")</f>
        <v>0.04722062625929688</v>
      </c>
      <c r="AT390" s="8" t="n">
        <v>7</v>
      </c>
      <c r="AU390" s="8" t="n">
        <v>2</v>
      </c>
      <c r="AV390" s="8" t="n">
        <v>88</v>
      </c>
      <c r="AW390" s="11" t="n">
        <f>IF(AND(COUNT(AT390:AV390)=3,AT390&gt;=AU390,AU390&gt;=0,AV390&gt;0),(AT390-AU390)/AV390,"")</f>
        <v>0.056818181818181816</v>
      </c>
      <c r="AX390" s="8" t="n">
        <v>12</v>
      </c>
      <c r="AY390" s="8" t="n">
        <v>2</v>
      </c>
      <c r="AZ390" s="8" t="n">
        <v>178</v>
      </c>
      <c r="BA390" s="11" t="n">
        <f>IF(AND(COUNT(AX390:AZ390)=3,AX390&gt;=AY390,AY390&gt;=0,AZ390&gt;0),(AX390-AY390)/AZ390,"")</f>
        <v>0.056179775280898875</v>
      </c>
      <c r="BB390" s="8" t="n">
        <f>IF(COUNT(AS390,AW390,BA390)=3,1,0)</f>
        <v>1</v>
      </c>
      <c r="BC390" s="11" t="n">
        <f>IF(SUMIF($AO$11:$AO$1309,AO390,$BB$11:$BB$1309)=COUNTIF($AO$11:$AO$1309,AO390),SUMIF($AO$11:$AO$1309,AO390,$AS$11:$AS$1309),"")</f>
        <v>0.5846777075606887</v>
      </c>
      <c r="BD390" s="11" t="n">
        <f>IF(SUMIF($AO$11:$AO$1309,AO390,$BB$11:$BB$1309)=COUNTIF($AO$11:$AO$1309,AO390),SUMIF($AO$11:$AO$1309,AO390,$AW$11:$AW$1309),"")</f>
        <v>0.32954545454545453</v>
      </c>
      <c r="BE390" s="11" t="n">
        <f>IF(SUMIF($AO$11:$AO$1309,AO390,$BB$11:$BB$1309)=COUNTIF($AO$11:$AO$1309,AO390),SUMIF($AO$11:$AO$1309,AO390,$BA$11:$BA$1309),"")</f>
        <v>0.3314606741573033</v>
      </c>
      <c r="BF390" s="12" t="n">
        <f>IF(COUNT(BD390:BE390)&lt;&gt;2,"",IF(AND(BD390&gt;0,BE390&gt;0),0.7*AW390/BD390+0.3*BA390/BE390,IF(BD390&gt;0,AW390/BD390,IF(BE390&gt;0,BA390/BE390,IF(AND(ISNUMBER(BH390),BH390=0),0,"")))))</f>
        <v>0.17153711279953246</v>
      </c>
      <c r="BG390" s="11" t="n">
        <f>IF(AND(COUNT(BN390:BU390)=8,MIN(BN390:BU390)&gt;=0),SUMPRODUCT(BN390:BQ390,BR390:BU390),"")</f>
        <v>78.35892944347341</v>
      </c>
      <c r="BH390" s="11" t="n">
        <f>IF(COUNT(BC390,BG390)=2,BC390*BG390,"")</f>
        <v>45.81471923391979</v>
      </c>
      <c r="BI390" s="11" t="n">
        <f>IF(ISNUMBER(CI390),CI390,"")</f>
        <v>7.8589246611078085</v>
      </c>
      <c r="BJ390" s="8" t="str">
        <v>低销提醒依据不完整</v>
      </c>
      <c r="BK390" s="8" t="str">
        <v>90天：2026-07-20 至 2026-10-17；180天：2026-04-21 至 2026-10-17</v>
      </c>
      <c r="BL390" s="8" t="str">
        <v>90天：2026-10-06、2026-10-07；180天：2026-10-06、2026-10-07</v>
      </c>
      <c r="BM390" s="8" t="str">
        <v>2026-10：12天 × 0.7307750238224848；2026-11：30天 × 0.9523018155490097；2026-12：31天 × 0.5958545198749097；2027-01：17天 × 1.3264167397065354</v>
      </c>
      <c r="BN390" s="11" t="n">
        <v>0.7307750238224848</v>
      </c>
      <c r="BO390" s="11" t="n">
        <v>0.9523018155490097</v>
      </c>
      <c r="BP390" s="11" t="n">
        <v>0.5958545198749097</v>
      </c>
      <c r="BQ390" s="11" t="n">
        <v>1.3264167397065354</v>
      </c>
      <c r="BR390" s="8" t="n">
        <v>12</v>
      </c>
      <c r="BS390" s="8" t="n">
        <v>30</v>
      </c>
      <c r="BT390" s="8" t="n">
        <v>31</v>
      </c>
      <c r="BU390" s="8" t="n">
        <v>17</v>
      </c>
      <c r="BV390" s="11" t="n">
        <f>IF(COUNT(BC390,BF390)=2,BC390*BF390,"")</f>
        <v>0.10029392587320991</v>
      </c>
      <c r="BW390" s="11" t="n">
        <f>IF(ISNUMBER(BN390),BN390,"")</f>
        <v>0.7307750238224848</v>
      </c>
      <c r="BX390" s="14" t="n">
        <f>IF(ISNUMBER(BR390),BR390,"")</f>
        <v>12</v>
      </c>
      <c r="BY390" s="13" t="n">
        <f>IF(AND(COUNT(BV390,BW390,BX390)=3,MIN(BV390,BW390,BX390)&gt;=0),BV390*BW390*BX390,"")</f>
        <v>0.8795075528309461</v>
      </c>
      <c r="BZ390" s="11" t="n">
        <f>IF(ISNUMBER(BO390),BO390,"")</f>
        <v>0.9523018155490097</v>
      </c>
      <c r="CA390" s="14" t="n">
        <f>IF(ISNUMBER(BS390),BS390,"")</f>
        <v>30</v>
      </c>
      <c r="CB390" s="13" t="n">
        <f>IF(AND(COUNT(BV390,BZ390,CA390)=3,MIN(BV390,BZ390,CA390)&gt;=0),BV390*BZ390*CA390,"")</f>
        <v>2.865302630927868</v>
      </c>
      <c r="CC390" s="11" t="n">
        <f>IF(ISNUMBER(BP390),BP390,"")</f>
        <v>0.5958545198749097</v>
      </c>
      <c r="CD390" s="14" t="n">
        <f>IF(ISNUMBER(BT390),BT390,"")</f>
        <v>31</v>
      </c>
      <c r="CE390" s="13" t="n">
        <f>IF(AND(COUNT(BV390,CC390,CD390)=3,MIN(BV390,CC390,CD390)&gt;=0),BV390*CC390*CD390,"")</f>
        <v>1.8525782604740895</v>
      </c>
      <c r="CF390" s="11" t="n">
        <f>IF(ISNUMBER(BQ390),BQ390,"")</f>
        <v>1.3264167397065354</v>
      </c>
      <c r="CG390" s="14" t="n">
        <f>IF(ISNUMBER(BU390),BU390,"")</f>
        <v>17</v>
      </c>
      <c r="CH390" s="13" t="n">
        <f>IF(AND(COUNT(BV390,CF390,CG390)=3,MIN(BV390,CF390,CG390)&gt;=0),BV390*CF390*CG390,"")</f>
        <v>2.2615362168749047</v>
      </c>
      <c r="CI390" s="13" t="n">
        <f>IF(COUNT(BY390,CB390,CE390,CH390)=4,SUM(BY390,CB390,CE390,CH390),"")</f>
        <v>7.8589246611078085</v>
      </c>
    </row>
    <row r="391" ht="72" customHeight="1">
      <c r="A391" s="16" t="str">
        <v>S02-RG1-42</v>
      </c>
      <c r="B391" s="16" t="str">
        <v>3店-SANDIEX-US</v>
      </c>
      <c r="C391" s="16" t="str">
        <v>陈晨</v>
      </c>
      <c r="D391" s="26" t="n">
        <f>IF(NOT(ISNUMBER(E391)),"",IF(OR(E391&lt;=0,L391=0),0,IF(OR(NOT(ISNUMBER(F391)),F391&lt;0),"",MIN(E391,INT(F391)))))</f>
        <v>0</v>
      </c>
      <c r="E391" s="27" t="n">
        <f>IF(OR(NOT(ISNUMBER(L391)),COUNT(M391:O391)&lt;&gt;3,MIN(M391:O391)&lt;0),"",ROUNDUP(ROUND(BI391-SUM(M391:O391),10),0))</f>
        <v>2</v>
      </c>
      <c r="F391" s="28" t="n">
        <v>0</v>
      </c>
      <c r="G391" s="28" t="n">
        <f>IF(AND(ISNUMBER(D391),ISNUMBER(E391)),IF(OR(E391&lt;=0,L391=0),0,E391-D391),"")</f>
        <v>2</v>
      </c>
      <c r="H391" s="16" t="str">
        <f>IF(NOT(ISNUMBER(E391)),"销量或海外库存待补",IF(OR(E391&lt;=0,L391=0),IF(L391=0,"零日销，本批不发","本批无需补货"),IF(NOT(ISNUMBER(D391)),"国内库存待补",IF(D391=0,"国内无可用库存",IF(G391&gt;0,"先发国内现货","按建议量发货")))))</f>
        <v>国内无可用库存</v>
      </c>
      <c r="I391" s="28" t="n">
        <f>IF(AND(COUNT(Z391,AA391,AB391)=3,Z391&gt;=AA391,AA391&gt;=0,AB391=7),Z391-AA391,"")</f>
        <v>1</v>
      </c>
      <c r="J391" s="28" t="n">
        <f>IF(AND(COUNT(AF391,AG391,AH391)=3,AF391&gt;=AG391,AG391&gt;=0,AH391=14),AF391-AG391,"")</f>
        <v>1</v>
      </c>
      <c r="K391" s="28" t="n">
        <f>IF(AND(COUNT(AL391,AM391,AN391)=3,AL391&gt;=AM391,AM391&gt;=0,AN391=30),AL391-AM391,"")</f>
        <v>3</v>
      </c>
      <c r="L391" s="29" t="n">
        <f>IF(ISNUMBER(BI391),BI391/90,"")</f>
        <v>0.0819919779141643</v>
      </c>
      <c r="M391" s="28" t="n">
        <v>6</v>
      </c>
      <c r="N391" s="28" t="n">
        <v>0</v>
      </c>
      <c r="O391" s="28" t="n">
        <v>0</v>
      </c>
      <c r="P391" s="30" t="n">
        <f>IF(AND(ISNUMBER(L391),L391&gt;0,COUNT(M391:O391)=3,MIN(M391:O391)&gt;=0),SUM(M391:O391)/L391,"")</f>
        <v>73.17789072342268</v>
      </c>
      <c r="Q391" s="16" t="str">
        <v>沿用原计划SKU店铺</v>
      </c>
      <c r="R391" s="16" t="str">
        <v>已匹配</v>
      </c>
      <c r="S391" s="16" t="str">
        <v>在售</v>
      </c>
      <c r="T391" s="16" t="str">
        <v>S02</v>
      </c>
      <c r="U391" s="16" t="str">
        <v>玫瑰金</v>
      </c>
      <c r="V391" s="16" t="n">
        <v>10.5</v>
      </c>
      <c r="W391" s="8" t="str">
        <v>2026-10-11 至 2026-10-17</v>
      </c>
      <c r="X391" s="8" t="str">
        <v>2026-10-11、2026-10-12、2026-10-13、2026-10-14、2026-10-15、2026-10-16、2026-10-17</v>
      </c>
      <c r="Y391" s="8" t="str">
        <v>无</v>
      </c>
      <c r="Z391" s="8" t="n">
        <v>1</v>
      </c>
      <c r="AA391" s="8" t="n">
        <v>0</v>
      </c>
      <c r="AB391" s="8" t="n">
        <v>7</v>
      </c>
      <c r="AC391" s="8" t="str">
        <v>2026-10-02 至 2026-10-17</v>
      </c>
      <c r="AD391" s="8" t="str">
        <v>2026-10-02、2026-10-03、2026-10-04、2026-10-05、2026-10-08、2026-10-09、2026-10-10、2026-10-11、2026-10-12、2026-10-13、2026-10-14、2026-10-15、2026-10-16、2026-10-17</v>
      </c>
      <c r="AE391" s="8" t="str">
        <v>2026-10-06 大促；2026-10-07 大促</v>
      </c>
      <c r="AF391" s="8" t="n">
        <v>1</v>
      </c>
      <c r="AG391" s="8" t="n">
        <v>0</v>
      </c>
      <c r="AH391" s="8" t="n">
        <v>14</v>
      </c>
      <c r="AI391" s="8" t="str">
        <v>2026-09-16 至 2026-10-17</v>
      </c>
      <c r="AJ3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91" s="8" t="str">
        <v>2026-10-06 大促；2026-10-07 大促</v>
      </c>
      <c r="AL391" s="8" t="n">
        <v>3</v>
      </c>
      <c r="AM391" s="8" t="n">
        <v>0</v>
      </c>
      <c r="AN391" s="8" t="n">
        <v>30</v>
      </c>
      <c r="AO391" s="8" t="str">
        <v>S02 / 玫瑰金 / 6574</v>
      </c>
      <c r="AP391" s="11" t="n">
        <v>0.9634503791704667</v>
      </c>
      <c r="AQ391" s="11" t="n">
        <v>0.9634503791704667</v>
      </c>
      <c r="AR391" s="11" t="n">
        <v>0.902244307144596</v>
      </c>
      <c r="AS391" s="11" t="n">
        <f>IF(AND(COUNT(I391:K391,AP391:AR391)=6,MIN(AP391:AR391)&gt;0),I391/7/AP391*0.5+J391/14/AQ391*0.3+K391/30/AR391*0.2,"")</f>
        <v>0.11854673262185791</v>
      </c>
      <c r="AT391" s="8" t="n">
        <v>6</v>
      </c>
      <c r="AU391" s="8" t="n">
        <v>0</v>
      </c>
      <c r="AV391" s="8" t="n">
        <v>88</v>
      </c>
      <c r="AW391" s="11" t="n">
        <f>IF(AND(COUNT(AT391:AV391)=3,AT391&gt;=AU391,AU391&gt;=0,AV391&gt;0),(AT391-AU391)/AV391,"")</f>
        <v>0.06818181818181818</v>
      </c>
      <c r="AX391" s="8" t="n">
        <v>12</v>
      </c>
      <c r="AY391" s="8" t="n">
        <v>0</v>
      </c>
      <c r="AZ391" s="8" t="n">
        <v>178</v>
      </c>
      <c r="BA391" s="11" t="n">
        <f>IF(AND(COUNT(AX391:AZ391)=3,AX391&gt;=AY391,AY391&gt;=0,AZ391&gt;0),(AX391-AY391)/AZ391,"")</f>
        <v>0.06741573033707865</v>
      </c>
      <c r="BB391" s="8" t="n">
        <f>IF(COUNT(AS391,AW391,BA391)=3,1,0)</f>
        <v>1</v>
      </c>
      <c r="BC391" s="11" t="n">
        <f>IF(SUMIF($AO$11:$AO$1309,AO391,$BB$11:$BB$1309)=COUNTIF($AO$11:$AO$1309,AO391),SUMIF($AO$11:$AO$1309,AO391,$AS$11:$AS$1309),"")</f>
        <v>0.11854673262185791</v>
      </c>
      <c r="BD391" s="11" t="n">
        <f>IF(SUMIF($AO$11:$AO$1309,AO391,$BB$11:$BB$1309)=COUNTIF($AO$11:$AO$1309,AO391),SUMIF($AO$11:$AO$1309,AO391,$AW$11:$AW$1309),"")</f>
        <v>0.07954545454545454</v>
      </c>
      <c r="BE391" s="11" t="n">
        <f>IF(SUMIF($AO$11:$AO$1309,AO391,$BB$11:$BB$1309)=COUNTIF($AO$11:$AO$1309,AO391),SUMIF($AO$11:$AO$1309,AO391,$BA$11:$BA$1309),"")</f>
        <v>0.10674157303370786</v>
      </c>
      <c r="BF391" s="12" t="n">
        <f>IF(COUNT(BD391:BE391)&lt;&gt;2,"",IF(AND(BD391&gt;0,BE391&gt;0),0.7*AW391/BD391+0.3*BA391/BE391,IF(BD391&gt;0,AW391/BD391,IF(BE391&gt;0,BA391/BE391,IF(AND(ISNUMBER(BH391),BH391=0),0,"")))))</f>
        <v>0.7894736842105263</v>
      </c>
      <c r="BG391" s="11" t="n">
        <f>IF(AND(COUNT(BN391:BU391)=8,MIN(BN391:BU391)&gt;=0),SUMPRODUCT(BN391:BQ391,BR391:BU391),"")</f>
        <v>78.84726365280937</v>
      </c>
      <c r="BH391" s="11" t="n">
        <f>IF(COUNT(BC391,BG391)=2,BC391*BG391,"")</f>
        <v>9.347085482214728</v>
      </c>
      <c r="BI391" s="11" t="n">
        <f>IF(ISNUMBER(CI391),CI391,"")</f>
        <v>7.379278012274787</v>
      </c>
      <c r="BJ391" s="8" t="str">
        <v>近180天本色销量55双（＜90），无有效新采购，请运营判断</v>
      </c>
      <c r="BK391" s="8" t="str">
        <v>90天：2026-07-20 至 2026-10-17；180天：2026-04-21 至 2026-10-17</v>
      </c>
      <c r="BL391" s="8" t="str">
        <v>90天：2026-10-06、2026-10-07；180天：2026-10-06、2026-10-07</v>
      </c>
      <c r="BM391" s="8" t="str">
        <v>2026-10：12天 × 0.9634503791704667；2026-11：30天 × 0.8585031562320637；2026-12：31天 × 0.7896606554092485；2027-01：17天 × 1.0030167116538329</v>
      </c>
      <c r="BN391" s="11" t="n">
        <v>0.9634503791704667</v>
      </c>
      <c r="BO391" s="11" t="n">
        <v>0.8585031562320637</v>
      </c>
      <c r="BP391" s="11" t="n">
        <v>0.7896606554092485</v>
      </c>
      <c r="BQ391" s="11" t="n">
        <v>1.0030167116538329</v>
      </c>
      <c r="BR391" s="8" t="n">
        <v>12</v>
      </c>
      <c r="BS391" s="8" t="n">
        <v>30</v>
      </c>
      <c r="BT391" s="8" t="n">
        <v>31</v>
      </c>
      <c r="BU391" s="8" t="n">
        <v>17</v>
      </c>
      <c r="BV391" s="11" t="n">
        <f>IF(COUNT(BC391,BF391)=2,BC391*BF391,"")</f>
        <v>0.09358952575409836</v>
      </c>
      <c r="BW391" s="11" t="n">
        <f>IF(ISNUMBER(BN391),BN391,"")</f>
        <v>0.9634503791704667</v>
      </c>
      <c r="BX391" s="14" t="n">
        <f>IF(ISNUMBER(BR391),BR391,"")</f>
        <v>12</v>
      </c>
      <c r="BY391" s="13" t="n">
        <f>IF(AND(COUNT(BV391,BW391,BX391)=3,MIN(BV391,BW391,BX391)&gt;=0),BV391*BW391*BX391,"")</f>
        <v>1.0820263688900427</v>
      </c>
      <c r="BZ391" s="11" t="n">
        <f>IF(ISNUMBER(BO391),BO391,"")</f>
        <v>0.8585031562320637</v>
      </c>
      <c r="CA391" s="14" t="n">
        <f>IF(ISNUMBER(BS391),BS391,"")</f>
        <v>30</v>
      </c>
      <c r="CB391" s="13" t="n">
        <f>IF(AND(COUNT(BV391,BZ391,CA391)=3,MIN(BV391,BZ391,CA391)&gt;=0),BV391*BZ391*CA391,"")</f>
        <v>2.410407097504664</v>
      </c>
      <c r="CC391" s="11" t="n">
        <f>IF(ISNUMBER(BP391),BP391,"")</f>
        <v>0.7896606554092485</v>
      </c>
      <c r="CD391" s="14" t="n">
        <f>IF(ISNUMBER(BT391),BT391,"")</f>
        <v>31</v>
      </c>
      <c r="CE391" s="13" t="n">
        <f>IF(AND(COUNT(BV391,CC391,CD391)=3,MIN(BV391,CC391,CD391)&gt;=0),BV391*CC391*CD391,"")</f>
        <v>2.2910229536390836</v>
      </c>
      <c r="CF391" s="11" t="n">
        <f>IF(ISNUMBER(BQ391),BQ391,"")</f>
        <v>1.0030167116538329</v>
      </c>
      <c r="CG391" s="14" t="n">
        <f>IF(ISNUMBER(BU391),BU391,"")</f>
        <v>17</v>
      </c>
      <c r="CH391" s="13" t="n">
        <f>IF(AND(COUNT(BV391,CF391,CG391)=3,MIN(BV391,CF391,CG391)&gt;=0),BV391*CF391*CG391,"")</f>
        <v>1.5958215922409964</v>
      </c>
      <c r="CI391" s="13" t="n">
        <f>IF(COUNT(BY391,CB391,CE391,CH391)=4,SUM(BY391,CB391,CE391,CH391),"")</f>
        <v>7.379278012274787</v>
      </c>
    </row>
    <row r="392" ht="72" customHeight="1">
      <c r="A392" s="16" t="str">
        <v>S02b-ND1-37</v>
      </c>
      <c r="B392" s="16" t="str">
        <v>3店-SANDIEX-US</v>
      </c>
      <c r="C392" s="16" t="str">
        <v>陈晨</v>
      </c>
      <c r="D392" s="26" t="n">
        <f>IF(NOT(ISNUMBER(E392)),"",IF(OR(E392&lt;=0,L392=0),0,IF(OR(NOT(ISNUMBER(F392)),F392&lt;0),"",MIN(E392,INT(F392)))))</f>
        <v>0</v>
      </c>
      <c r="E392" s="27" t="n">
        <f>IF(OR(NOT(ISNUMBER(L392)),COUNT(M392:O392)&lt;&gt;3,MIN(M392:O392)&lt;0),"",ROUNDUP(ROUND(BI392-SUM(M392:O392),10),0))</f>
        <v>2</v>
      </c>
      <c r="F392" s="28" t="n">
        <v>0</v>
      </c>
      <c r="G392" s="28" t="n">
        <f>IF(AND(ISNUMBER(D392),ISNUMBER(E392)),IF(OR(E392&lt;=0,L392=0),0,E392-D392),"")</f>
        <v>2</v>
      </c>
      <c r="H392" s="16" t="str">
        <f>IF(NOT(ISNUMBER(E392)),"销量或海外库存待补",IF(OR(E392&lt;=0,L392=0),IF(L392=0,"零日销，本批不发","本批无需补货"),IF(NOT(ISNUMBER(D392)),"国内库存待补",IF(D392=0,"国内无可用库存",IF(G392&gt;0,"先发国内现货","按建议量发货")))))</f>
        <v>国内无可用库存</v>
      </c>
      <c r="I392" s="28" t="n">
        <f>IF(AND(COUNT(Z392,AA392,AB392)=3,Z392&gt;=AA392,AA392&gt;=0,AB392=7),Z392-AA392,"")</f>
        <v>1</v>
      </c>
      <c r="J392" s="28" t="n">
        <f>IF(AND(COUNT(AF392,AG392,AH392)=3,AF392&gt;=AG392,AG392&gt;=0,AH392=14),AF392-AG392,"")</f>
        <v>1</v>
      </c>
      <c r="K392" s="28" t="n">
        <f>IF(AND(COUNT(AL392,AM392,AN392)=3,AL392&gt;=AM392,AM392&gt;=0,AN392=30),AL392-AM392,"")</f>
        <v>2</v>
      </c>
      <c r="L392" s="29" t="n">
        <f>IF(ISNUMBER(BI392),BI392/90,"")</f>
        <v>0.06121004555789697</v>
      </c>
      <c r="M392" s="28" t="n">
        <v>4</v>
      </c>
      <c r="N392" s="28" t="n">
        <v>0</v>
      </c>
      <c r="O392" s="28" t="n">
        <v>0</v>
      </c>
      <c r="P392" s="30" t="n">
        <f>IF(AND(ISNUMBER(L392),L392&gt;0,COUNT(M392:O392)=3,MIN(M392:O392)&gt;=0),SUM(M392:O392)/L392,"")</f>
        <v>65.34875057749312</v>
      </c>
      <c r="Q392" s="16" t="str">
        <v>沿用同SPU原计划店铺</v>
      </c>
      <c r="R392" s="16" t="str">
        <v>已匹配</v>
      </c>
      <c r="S392" s="16" t="str">
        <v>在售</v>
      </c>
      <c r="T392" s="16" t="str">
        <v>S02b</v>
      </c>
      <c r="U392" s="16" t="str">
        <v>裸色</v>
      </c>
      <c r="V392" s="16" t="n">
        <v>6.5</v>
      </c>
      <c r="W392" s="8" t="str">
        <v>2026-10-11 至 2026-10-17</v>
      </c>
      <c r="X392" s="8" t="str">
        <v>2026-10-11、2026-10-12、2026-10-13、2026-10-14、2026-10-15、2026-10-16、2026-10-17</v>
      </c>
      <c r="Y392" s="8" t="str">
        <v>无</v>
      </c>
      <c r="Z392" s="8" t="n">
        <v>1</v>
      </c>
      <c r="AA392" s="8" t="n">
        <v>0</v>
      </c>
      <c r="AB392" s="8" t="n">
        <v>7</v>
      </c>
      <c r="AC392" s="8" t="str">
        <v>2026-10-02 至 2026-10-17</v>
      </c>
      <c r="AD392" s="8" t="str">
        <v>2026-10-02、2026-10-03、2026-10-04、2026-10-05、2026-10-08、2026-10-09、2026-10-10、2026-10-11、2026-10-12、2026-10-13、2026-10-14、2026-10-15、2026-10-16、2026-10-17</v>
      </c>
      <c r="AE392" s="8" t="str">
        <v>2026-10-06 大促；2026-10-07 大促</v>
      </c>
      <c r="AF392" s="8" t="n">
        <v>1</v>
      </c>
      <c r="AG392" s="8" t="n">
        <v>0</v>
      </c>
      <c r="AH392" s="8" t="n">
        <v>14</v>
      </c>
      <c r="AI392" s="8" t="str">
        <v>2026-09-16 至 2026-10-17</v>
      </c>
      <c r="AJ3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92" s="8" t="str">
        <v>2026-10-06 大促；2026-10-07 大促</v>
      </c>
      <c r="AL392" s="8" t="n">
        <v>2</v>
      </c>
      <c r="AM392" s="8" t="n">
        <v>0</v>
      </c>
      <c r="AN392" s="8" t="n">
        <v>30</v>
      </c>
      <c r="AO392" s="8" t="str">
        <v>S02b / 裸色 / 6574</v>
      </c>
      <c r="AP392" s="11" t="n">
        <v>0.9658602967882928</v>
      </c>
      <c r="AQ392" s="11" t="n">
        <v>0.9658602967882928</v>
      </c>
      <c r="AR392" s="11" t="n">
        <v>0.9166270540270348</v>
      </c>
      <c r="AS392" s="11" t="n">
        <f>IF(AND(COUNT(I392:K392,AP392:AR392)=6,MIN(AP392:AR392)&gt;0),I392/7/AP392*0.5+J392/14/AQ392*0.3+K392/30/AR392*0.2,"")</f>
        <v>0.1106853935173292</v>
      </c>
      <c r="AT392" s="8" t="n">
        <v>4</v>
      </c>
      <c r="AU392" s="8" t="n">
        <v>0</v>
      </c>
      <c r="AV392" s="8" t="n">
        <v>88</v>
      </c>
      <c r="AW392" s="11" t="n">
        <f>IF(AND(COUNT(AT392:AV392)=3,AT392&gt;=AU392,AU392&gt;=0,AV392&gt;0),(AT392-AU392)/AV392,"")</f>
        <v>0.045454545454545456</v>
      </c>
      <c r="AX392" s="8" t="n">
        <v>11</v>
      </c>
      <c r="AY392" s="8" t="n">
        <v>0</v>
      </c>
      <c r="AZ392" s="8" t="n">
        <v>178</v>
      </c>
      <c r="BA392" s="11" t="n">
        <f>IF(AND(COUNT(AX392:AZ392)=3,AX392&gt;=AY392,AY392&gt;=0,AZ392&gt;0),(AX392-AY392)/AZ392,"")</f>
        <v>0.06179775280898876</v>
      </c>
      <c r="BB392" s="8" t="n">
        <f>IF(COUNT(AS392,AW392,BA392)=3,1,0)</f>
        <v>1</v>
      </c>
      <c r="BC392" s="11" t="n">
        <f>IF(SUMIF($AO$11:$AO$1309,AO392,$BB$11:$BB$1309)=COUNTIF($AO$11:$AO$1309,AO392),SUMIF($AO$11:$AO$1309,AO392,$AS$11:$AS$1309),"")</f>
        <v>1.2832412828049458</v>
      </c>
      <c r="BD392" s="11" t="n">
        <f>IF(SUMIF($AO$11:$AO$1309,AO392,$BB$11:$BB$1309)=COUNTIF($AO$11:$AO$1309,AO392),SUMIF($AO$11:$AO$1309,AO392,$AW$11:$AW$1309),"")</f>
        <v>1.0795454545454544</v>
      </c>
      <c r="BE392" s="11" t="n">
        <f>IF(SUMIF($AO$11:$AO$1309,AO392,$BB$11:$BB$1309)=COUNTIF($AO$11:$AO$1309,AO392),SUMIF($AO$11:$AO$1309,AO392,$BA$11:$BA$1309),"")</f>
        <v>1.1685393258426966</v>
      </c>
      <c r="BF392" s="12" t="n">
        <f>IF(COUNT(BD392:BE392)&lt;&gt;2,"",IF(AND(BD392&gt;0,BE392&gt;0),0.7*AW392/BD392+0.3*BA392/BE392,IF(BD392&gt;0,AW392/BD392,IF(BE392&gt;0,BA392/BE392,IF(AND(ISNUMBER(BH392),BH392=0),0,"")))))</f>
        <v>0.04533906882591093</v>
      </c>
      <c r="BG392" s="11" t="n">
        <f>IF(AND(COUNT(BN392:BU392)=8,MIN(BN392:BU392)&gt;=0),SUMPRODUCT(BN392:BQ392,BR392:BU392),"")</f>
        <v>94.68567795727022</v>
      </c>
      <c r="BH392" s="11" t="n">
        <f>IF(COUNT(BC392,BG392)=2,BC392*BG392,"")</f>
        <v>121.5045708451434</v>
      </c>
      <c r="BI392" s="11" t="n">
        <f>IF(ISNUMBER(CI392),CI392,"")</f>
        <v>5.508904100210727</v>
      </c>
      <c r="BJ392" s="8" t="str"/>
      <c r="BK392" s="8" t="str">
        <v>90天：2026-07-20 至 2026-10-17；180天：2026-04-21 至 2026-10-17</v>
      </c>
      <c r="BL392" s="8" t="str">
        <v>90天：2026-10-06、2026-10-07；180天：2026-10-06、2026-10-07</v>
      </c>
      <c r="BM392" s="8" t="str">
        <v>2026-10：12天 × 0.9658602967882928；2026-11：30天 × 1.1727174450092641；2026-12：31天 × 0.8763339075184018；2027-01：17天 × 1.2204399948507247</v>
      </c>
      <c r="BN392" s="11" t="n">
        <v>0.9658602967882928</v>
      </c>
      <c r="BO392" s="11" t="n">
        <v>1.1727174450092641</v>
      </c>
      <c r="BP392" s="11" t="n">
        <v>0.8763339075184018</v>
      </c>
      <c r="BQ392" s="11" t="n">
        <v>1.2204399948507247</v>
      </c>
      <c r="BR392" s="8" t="n">
        <v>12</v>
      </c>
      <c r="BS392" s="8" t="n">
        <v>30</v>
      </c>
      <c r="BT392" s="8" t="n">
        <v>31</v>
      </c>
      <c r="BU392" s="8" t="n">
        <v>17</v>
      </c>
      <c r="BV392" s="11" t="n">
        <f>IF(COUNT(BC392,BF392)=2,BC392*BF392,"")</f>
        <v>0.05818096484134367</v>
      </c>
      <c r="BW392" s="11" t="n">
        <f>IF(ISNUMBER(BN392),BN392,"")</f>
        <v>0.9658602967882928</v>
      </c>
      <c r="BX392" s="14" t="n">
        <f>IF(ISNUMBER(BR392),BR392,"")</f>
        <v>12</v>
      </c>
      <c r="BY392" s="13" t="n">
        <f>IF(AND(COUNT(BV392,BW392,BX392)=3,MIN(BV392,BW392,BX392)&gt;=0),BV392*BW392*BX392,"")</f>
        <v>0.6743362076290731</v>
      </c>
      <c r="BZ392" s="11" t="n">
        <f>IF(ISNUMBER(BO392),BO392,"")</f>
        <v>1.1727174450092641</v>
      </c>
      <c r="CA392" s="14" t="n">
        <f>IF(ISNUMBER(BS392),BS392,"")</f>
        <v>30</v>
      </c>
      <c r="CB392" s="13" t="n">
        <f>IF(AND(COUNT(BV392,BZ392,CA392)=3,MIN(BV392,BZ392,CA392)&gt;=0),BV392*BZ392*CA392,"")</f>
        <v>2.046894973107431</v>
      </c>
      <c r="CC392" s="11" t="n">
        <f>IF(ISNUMBER(BP392),BP392,"")</f>
        <v>0.8763339075184018</v>
      </c>
      <c r="CD392" s="14" t="n">
        <f>IF(ISNUMBER(BT392),BT392,"")</f>
        <v>31</v>
      </c>
      <c r="CE392" s="13" t="n">
        <f>IF(AND(COUNT(BV392,CC392,CD392)=3,MIN(BV392,CC392,CD392)&gt;=0),BV392*CC392*CD392,"")</f>
        <v>1.580564520140769</v>
      </c>
      <c r="CF392" s="11" t="n">
        <f>IF(ISNUMBER(BQ392),BQ392,"")</f>
        <v>1.2204399948507247</v>
      </c>
      <c r="CG392" s="14" t="n">
        <f>IF(ISNUMBER(BU392),BU392,"")</f>
        <v>17</v>
      </c>
      <c r="CH392" s="13" t="n">
        <f>IF(AND(COUNT(BV392,CF392,CG392)=3,MIN(BV392,CF392,CG392)&gt;=0),BV392*CF392*CG392,"")</f>
        <v>1.2071083993334544</v>
      </c>
      <c r="CI392" s="13" t="n">
        <f>IF(COUNT(BY392,CB392,CE392,CH392)=4,SUM(BY392,CB392,CE392,CH392),"")</f>
        <v>5.508904100210727</v>
      </c>
    </row>
    <row r="393" ht="72" customHeight="1">
      <c r="A393" s="16" t="str">
        <v>1S01-BG-39.5</v>
      </c>
      <c r="B393" s="16" t="str">
        <v>3店-SANDIEX-US</v>
      </c>
      <c r="C393" s="16" t="str">
        <v>徐新怡</v>
      </c>
      <c r="D393" s="26" t="n">
        <f>IF(NOT(ISNUMBER(E393)),"",IF(OR(E393&lt;=0,L393=0),0,IF(OR(NOT(ISNUMBER(F393)),F393&lt;0),"",MIN(E393,INT(F393)))))</f>
        <v>0</v>
      </c>
      <c r="E393" s="27" t="n">
        <f>IF(OR(NOT(ISNUMBER(L393)),COUNT(M393:O393)&lt;&gt;3,MIN(M393:O393)&lt;0),"",ROUNDUP(ROUND(BI393-SUM(M393:O393),10),0))</f>
        <v>1</v>
      </c>
      <c r="F393" s="28" t="n">
        <v>0</v>
      </c>
      <c r="G393" s="28" t="n">
        <f>IF(AND(ISNUMBER(D393),ISNUMBER(E393)),IF(OR(E393&lt;=0,L393=0),0,E393-D393),"")</f>
        <v>1</v>
      </c>
      <c r="H393" s="16" t="str">
        <f>IF(NOT(ISNUMBER(E393)),"销量或海外库存待补",IF(OR(E393&lt;=0,L393=0),IF(L393=0,"零日销，本批不发","本批无需补货"),IF(NOT(ISNUMBER(D393)),"国内库存待补",IF(D393=0,"国内无可用库存",IF(G393&gt;0,"先发国内现货","按建议量发货")))))</f>
        <v>国内无可用库存</v>
      </c>
      <c r="I393" s="28" t="n">
        <f>IF(AND(COUNT(Z393,AA393,AB393)=3,Z393&gt;=AA393,AA393&gt;=0,AB393=7),Z393-AA393,"")</f>
        <v>0</v>
      </c>
      <c r="J393" s="28" t="n">
        <f>IF(AND(COUNT(AF393,AG393,AH393)=3,AF393&gt;=AG393,AG393&gt;=0,AH393=14),AF393-AG393,"")</f>
        <v>0</v>
      </c>
      <c r="K393" s="28" t="n">
        <f>IF(AND(COUNT(AL393,AM393,AN393)=3,AL393&gt;=AM393,AM393&gt;=0,AN393=30),AL393-AM393,"")</f>
        <v>0</v>
      </c>
      <c r="L393" s="29" t="n">
        <f>IF(ISNUMBER(BI393),BI393/90,"")</f>
        <v>0.001722647502104533</v>
      </c>
      <c r="M393" s="28" t="n">
        <v>0</v>
      </c>
      <c r="N393" s="28" t="n">
        <v>0</v>
      </c>
      <c r="O393" s="28" t="n">
        <v>0</v>
      </c>
      <c r="P393" s="30" t="n">
        <f>IF(AND(ISNUMBER(L393),L393&gt;0,COUNT(M393:O393)=3,MIN(M393:O393)&gt;=0),SUM(M393:O393)/L393,"")</f>
        <v>0</v>
      </c>
      <c r="Q393" s="16" t="str">
        <v>沿用同SPU原计划店铺</v>
      </c>
      <c r="R393" s="16" t="str">
        <v>已匹配</v>
      </c>
      <c r="S393" s="16" t="str">
        <v>停售</v>
      </c>
      <c r="T393" s="16" t="str">
        <v>1S01</v>
      </c>
      <c r="U393" s="16" t="str">
        <v>米色</v>
      </c>
      <c r="V393" s="16" t="n">
        <v>8.5</v>
      </c>
      <c r="W393" s="8" t="str">
        <v>2026-10-08 至 2026-10-17</v>
      </c>
      <c r="X393" s="8" t="str">
        <v>2026-10-08、2026-10-09、2026-10-10、2026-10-11、2026-10-14、2026-10-15、2026-10-17</v>
      </c>
      <c r="Y393" s="8" t="str">
        <v>2026-10-12 有记录的停售日；2026-10-13 有记录的停售日；2026-10-16 有记录的停售日</v>
      </c>
      <c r="Z393" s="8" t="n">
        <v>0</v>
      </c>
      <c r="AA393" s="8" t="n">
        <v>0</v>
      </c>
      <c r="AB393" s="8" t="n">
        <v>7</v>
      </c>
      <c r="AC393" s="8" t="str">
        <v>2026-09-29 至 2026-10-17</v>
      </c>
      <c r="AD393" s="8" t="str">
        <v>2026-09-29、2026-09-30、2026-10-01、2026-10-02、2026-10-03、2026-10-04、2026-10-05、2026-10-08、2026-10-09、2026-10-10、2026-10-11、2026-10-14、2026-10-15、2026-10-17</v>
      </c>
      <c r="AE393" s="8" t="str">
        <v>2026-10-06 大促；2026-10-07 大促；2026-10-12 有记录的停售日；2026-10-13 有记录的停售日；2026-10-16 有记录的停售日</v>
      </c>
      <c r="AF393" s="8" t="n">
        <v>0</v>
      </c>
      <c r="AG393" s="8" t="n">
        <v>0</v>
      </c>
      <c r="AH393" s="8" t="n">
        <v>14</v>
      </c>
      <c r="AI393" s="8" t="str">
        <v>2026-09-13 至 2026-10-17</v>
      </c>
      <c r="AJ39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3" s="8" t="str">
        <v>2026-10-06 大促；2026-10-07 大促；2026-10-12 有记录的停售日；2026-10-13 有记录的停售日；2026-10-16 有记录的停售日</v>
      </c>
      <c r="AL393" s="8" t="n">
        <v>0</v>
      </c>
      <c r="AM393" s="8" t="n">
        <v>0</v>
      </c>
      <c r="AN393" s="8" t="n">
        <v>30</v>
      </c>
      <c r="AO393" s="8" t="str">
        <v>1S01 / 米色羊京绒 / 6574</v>
      </c>
      <c r="AP393" s="11" t="n">
        <v>0.8729500662042875</v>
      </c>
      <c r="AQ393" s="11" t="n">
        <v>0.9355747145678367</v>
      </c>
      <c r="AR393" s="11" t="n">
        <v>1.135973589331194</v>
      </c>
      <c r="AS393" s="11" t="n">
        <f>IF(AND(COUNT(I393:K393,AP393:AR393)=6,MIN(AP393:AR393)&gt;0),I393/7/AP393*0.5+J393/14/AQ393*0.3+K393/30/AR393*0.2,"")</f>
        <v>0</v>
      </c>
      <c r="AT393" s="8" t="n">
        <v>0</v>
      </c>
      <c r="AU393" s="8" t="n">
        <v>0</v>
      </c>
      <c r="AV393" s="8" t="n">
        <v>85</v>
      </c>
      <c r="AW393" s="11" t="n">
        <f>IF(AND(COUNT(AT393:AV393)=3,AT393&gt;=AU393,AU393&gt;=0,AV393&gt;0),(AT393-AU393)/AV393,"")</f>
        <v>0</v>
      </c>
      <c r="AX393" s="8" t="n">
        <v>1</v>
      </c>
      <c r="AY393" s="8" t="n">
        <v>0</v>
      </c>
      <c r="AZ393" s="8" t="n">
        <v>175</v>
      </c>
      <c r="BA393" s="11" t="n">
        <f>IF(AND(COUNT(AX393:AZ393)=3,AX393&gt;=AY393,AY393&gt;=0,AZ393&gt;0),(AX393-AY393)/AZ393,"")</f>
        <v>0.005714285714285714</v>
      </c>
      <c r="BB393" s="8" t="n">
        <f>IF(COUNT(AS393,AW393,BA393)=3,1,0)</f>
        <v>1</v>
      </c>
      <c r="BC393" s="11" t="n">
        <f>IF(SUMIF($AO$11:$AO$1309,AO393,$BB$11:$BB$1309)=COUNTIF($AO$11:$AO$1309,AO393),SUMIF($AO$11:$AO$1309,AO393,$AS$11:$AS$1309),"")</f>
        <v>7.573401752019576</v>
      </c>
      <c r="BD393" s="11" t="n">
        <f>IF(SUMIF($AO$11:$AO$1309,AO393,$BB$11:$BB$1309)=COUNTIF($AO$11:$AO$1309,AO393),SUMIF($AO$11:$AO$1309,AO393,$AW$11:$AW$1309),"")</f>
        <v>7.579545454545455</v>
      </c>
      <c r="BE393" s="11" t="n">
        <f>IF(SUMIF($AO$11:$AO$1309,AO393,$BB$11:$BB$1309)=COUNTIF($AO$11:$AO$1309,AO393),SUMIF($AO$11:$AO$1309,AO393,$BA$11:$BA$1309),"")</f>
        <v>5.354028892455858</v>
      </c>
      <c r="BF393" s="12" t="n">
        <f>IF(COUNT(BD393:BE393)&lt;&gt;2,"",IF(AND(BD393&gt;0,BE393&gt;0),0.7*AW393/BD393+0.3*BA393/BE393,IF(BD393&gt;0,AW393/BD393,IF(BE393&gt;0,BA393/BE393,IF(AND(ISNUMBER(BH393),BH393=0),0,"")))))</f>
        <v>0.0003201861156747293</v>
      </c>
      <c r="BG393" s="11" t="n">
        <f>IF(AND(COUNT(BN393:BU393)=8,MIN(BN393:BU393)&gt;=0),SUMPRODUCT(BN393:BQ393,BR393:BU393),"")</f>
        <v>63.935996265425516</v>
      </c>
      <c r="BH393" s="11" t="n">
        <f>IF(COUNT(BC393,BG393)=2,BC393*BG393,"")</f>
        <v>484.21298613369066</v>
      </c>
      <c r="BI393" s="11" t="n">
        <f>IF(ISNUMBER(CI393),CI393,"")</f>
        <v>0.15503827518940796</v>
      </c>
      <c r="BJ393" s="8" t="str"/>
      <c r="BK393" s="8" t="str">
        <v>90天：2026-07-20 至 2026-10-17；180天：2026-04-21 至 2026-10-17</v>
      </c>
      <c r="BL393" s="8" t="str">
        <v>90天：2026-10-06、2026-10-07、2026-10-12、2026-10-13、2026-10-16；180天：2026-10-06、2026-10-07、2026-10-12、2026-10-13、2026-10-16</v>
      </c>
      <c r="BM393" s="8" t="str">
        <v>2026-10：12天 × 0.8729500662042875；2026-11：30天 × 0.8057375774163482；2026-12：31天 × 0.532550303142279；2027-01：17天 × 0.7517299265337036</v>
      </c>
      <c r="BN393" s="11" t="n">
        <v>0.8729500662042875</v>
      </c>
      <c r="BO393" s="11" t="n">
        <v>0.8057375774163482</v>
      </c>
      <c r="BP393" s="11" t="n">
        <v>0.532550303142279</v>
      </c>
      <c r="BQ393" s="11" t="n">
        <v>0.7517299265337036</v>
      </c>
      <c r="BR393" s="8" t="n">
        <v>12</v>
      </c>
      <c r="BS393" s="8" t="n">
        <v>30</v>
      </c>
      <c r="BT393" s="8" t="n">
        <v>31</v>
      </c>
      <c r="BU393" s="8" t="n">
        <v>17</v>
      </c>
      <c r="BV393" s="11" t="n">
        <f>IF(COUNT(BC393,BF393)=2,BC393*BF393,"")</f>
        <v>0.0024248980894233376</v>
      </c>
      <c r="BW393" s="11" t="n">
        <f>IF(ISNUMBER(BN393),BN393,"")</f>
        <v>0.8729500662042875</v>
      </c>
      <c r="BX393" s="14" t="n">
        <f>IF(ISNUMBER(BR393),BR393,"")</f>
        <v>12</v>
      </c>
      <c r="BY393" s="13" t="n">
        <f>IF(AND(COUNT(BV393,BW393,BX393)=3,MIN(BV393,BW393,BX393)&gt;=0),BV393*BW393*BX393,"")</f>
        <v>0.025401779372409033</v>
      </c>
      <c r="BZ393" s="11" t="n">
        <f>IF(ISNUMBER(BO393),BO393,"")</f>
        <v>0.8057375774163482</v>
      </c>
      <c r="CA393" s="14" t="n">
        <f>IF(ISNUMBER(BS393),BS393,"")</f>
        <v>30</v>
      </c>
      <c r="CB393" s="13" t="n">
        <f>IF(AND(COUNT(BV393,BZ393,CA393)=3,MIN(BV393,BZ393,CA393)&gt;=0),BV393*BZ393*CA393,"")</f>
        <v>0.058614945361604734</v>
      </c>
      <c r="CC393" s="11" t="n">
        <f>IF(ISNUMBER(BP393),BP393,"")</f>
        <v>0.532550303142279</v>
      </c>
      <c r="CD393" s="14" t="n">
        <f>IF(ISNUMBER(BT393),BT393,"")</f>
        <v>31</v>
      </c>
      <c r="CE393" s="13" t="n">
        <f>IF(AND(COUNT(BV393,CC393,CD393)=3,MIN(BV393,CC393,CD393)&gt;=0),BV393*CC393*CD393,"")</f>
        <v>0.04003278659095748</v>
      </c>
      <c r="CF393" s="11" t="n">
        <f>IF(ISNUMBER(BQ393),BQ393,"")</f>
        <v>0.7517299265337036</v>
      </c>
      <c r="CG393" s="14" t="n">
        <f>IF(ISNUMBER(BU393),BU393,"")</f>
        <v>17</v>
      </c>
      <c r="CH393" s="13" t="n">
        <f>IF(AND(COUNT(BV393,CF393,CG393)=3,MIN(BV393,CF393,CG393)&gt;=0),BV393*CF393*CG393,"")</f>
        <v>0.03098876386443671</v>
      </c>
      <c r="CI393" s="13" t="n">
        <f>IF(COUNT(BY393,CB393,CE393,CH393)=4,SUM(BY393,CB393,CE393,CH393),"")</f>
        <v>0.15503827518940796</v>
      </c>
    </row>
    <row r="394" ht="72" customHeight="1">
      <c r="A394" s="16" t="str">
        <v>1S01-DPB-37.5</v>
      </c>
      <c r="B394" s="16" t="str">
        <v>3店-SANDIEX-US</v>
      </c>
      <c r="C394" s="16" t="str">
        <v>徐新怡</v>
      </c>
      <c r="D394" s="26" t="n">
        <f>IF(NOT(ISNUMBER(E394)),"",IF(OR(E394&lt;=0,L394=0),0,IF(OR(NOT(ISNUMBER(F394)),F394&lt;0),"",MIN(E394,INT(F394)))))</f>
        <v>0</v>
      </c>
      <c r="E394" s="27" t="n">
        <f>IF(OR(NOT(ISNUMBER(L394)),COUNT(M394:O394)&lt;&gt;3,MIN(M394:O394)&lt;0),"",ROUNDUP(ROUND(BI394-SUM(M394:O394),10),0))</f>
        <v>1</v>
      </c>
      <c r="F394" s="28" t="n">
        <v>0</v>
      </c>
      <c r="G394" s="28" t="n">
        <f>IF(AND(ISNUMBER(D394),ISNUMBER(E394)),IF(OR(E394&lt;=0,L394=0),0,E394-D394),"")</f>
        <v>1</v>
      </c>
      <c r="H394" s="16" t="str">
        <f>IF(NOT(ISNUMBER(E394)),"销量或海外库存待补",IF(OR(E394&lt;=0,L394=0),IF(L394=0,"零日销，本批不发","本批无需补货"),IF(NOT(ISNUMBER(D394)),"国内库存待补",IF(D394=0,"国内无可用库存",IF(G394&gt;0,"先发国内现货","按建议量发货")))))</f>
        <v>国内无可用库存</v>
      </c>
      <c r="I394" s="28" t="n">
        <f>IF(AND(COUNT(Z394,AA394,AB394)=3,Z394&gt;=AA394,AA394&gt;=0,AB394=7),Z394-AA394,"")</f>
        <v>1</v>
      </c>
      <c r="J394" s="28" t="n">
        <f>IF(AND(COUNT(AF394,AG394,AH394)=3,AF394&gt;=AG394,AG394&gt;=0,AH394=14),AF394-AG394,"")</f>
        <v>2</v>
      </c>
      <c r="K394" s="28" t="n">
        <f>IF(AND(COUNT(AL394,AM394,AN394)=3,AL394&gt;=AM394,AM394&gt;=0,AN394=30),AL394-AM394,"")</f>
        <v>5</v>
      </c>
      <c r="L394" s="29" t="n">
        <f>IF(ISNUMBER(BI394),BI394/90,"")</f>
        <v>0.08461919992430861</v>
      </c>
      <c r="M394" s="28" t="n">
        <v>7</v>
      </c>
      <c r="N394" s="28" t="n">
        <v>0</v>
      </c>
      <c r="O394" s="28" t="n">
        <v>0</v>
      </c>
      <c r="P394" s="30" t="n">
        <f>IF(AND(ISNUMBER(L394),L394&gt;0,COUNT(M394:O394)=3,MIN(M394:O394)&gt;=0),SUM(M394:O394)/L394,"")</f>
        <v>82.72354272152727</v>
      </c>
      <c r="Q394" s="16" t="str">
        <v>沿用原计划SKU店铺</v>
      </c>
      <c r="R394" s="16" t="str">
        <v>已匹配</v>
      </c>
      <c r="S394" s="16" t="str">
        <v>在售</v>
      </c>
      <c r="T394" s="16" t="str">
        <v>1S01</v>
      </c>
      <c r="U394" s="16" t="str">
        <v>米色</v>
      </c>
      <c r="V394" s="16" t="n">
        <v>6.5</v>
      </c>
      <c r="W394" s="8" t="str">
        <v>2026-10-11 至 2026-10-17</v>
      </c>
      <c r="X394" s="8" t="str">
        <v>2026-10-11、2026-10-12、2026-10-13、2026-10-14、2026-10-15、2026-10-16、2026-10-17</v>
      </c>
      <c r="Y394" s="8" t="str">
        <v>无</v>
      </c>
      <c r="Z394" s="8" t="n">
        <v>1</v>
      </c>
      <c r="AA394" s="8" t="n">
        <v>0</v>
      </c>
      <c r="AB394" s="8" t="n">
        <v>7</v>
      </c>
      <c r="AC394" s="8" t="str">
        <v>2026-10-02 至 2026-10-17</v>
      </c>
      <c r="AD394" s="8" t="str">
        <v>2026-10-02、2026-10-03、2026-10-04、2026-10-05、2026-10-08、2026-10-09、2026-10-10、2026-10-11、2026-10-12、2026-10-13、2026-10-14、2026-10-15、2026-10-16、2026-10-17</v>
      </c>
      <c r="AE394" s="8" t="str">
        <v>2026-10-06 大促；2026-10-07 大促</v>
      </c>
      <c r="AF394" s="8" t="n">
        <v>3</v>
      </c>
      <c r="AG394" s="8" t="n">
        <v>1</v>
      </c>
      <c r="AH394" s="8" t="n">
        <v>14</v>
      </c>
      <c r="AI394" s="8" t="str">
        <v>2026-09-16 至 2026-10-17</v>
      </c>
      <c r="AJ3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394" s="8" t="str">
        <v>2026-10-06 大促；2026-10-07 大促</v>
      </c>
      <c r="AL394" s="8" t="n">
        <v>6</v>
      </c>
      <c r="AM394" s="8" t="n">
        <v>1</v>
      </c>
      <c r="AN394" s="8" t="n">
        <v>30</v>
      </c>
      <c r="AO394" s="8" t="str">
        <v>1S01 / 米色PU / 6574</v>
      </c>
      <c r="AP394" s="11" t="n">
        <v>0.8729500662042875</v>
      </c>
      <c r="AQ394" s="11" t="n">
        <v>0.8729500662042875</v>
      </c>
      <c r="AR394" s="11" t="n">
        <v>1.0921363354767095</v>
      </c>
      <c r="AS394" s="11" t="n">
        <f>IF(AND(COUNT(I394:K394,AP394:AR394)=6,MIN(AP394:AR394)&gt;0),I394/7/AP394*0.5+J394/14/AQ394*0.3+K394/30/AR394*0.2,"")</f>
        <v>0.16144017938248906</v>
      </c>
      <c r="AT394" s="8" t="n">
        <v>8</v>
      </c>
      <c r="AU394" s="8" t="n">
        <v>1</v>
      </c>
      <c r="AV394" s="8" t="n">
        <v>88</v>
      </c>
      <c r="AW394" s="11" t="n">
        <f>IF(AND(COUNT(AT394:AV394)=3,AT394&gt;=AU394,AU394&gt;=0,AV394&gt;0),(AT394-AU394)/AV394,"")</f>
        <v>0.07954545454545454</v>
      </c>
      <c r="AX394" s="8" t="n">
        <v>19</v>
      </c>
      <c r="AY394" s="8" t="n">
        <v>1</v>
      </c>
      <c r="AZ394" s="8" t="n">
        <v>178</v>
      </c>
      <c r="BA394" s="11" t="n">
        <f>IF(AND(COUNT(AX394:AZ394)=3,AX394&gt;=AY394,AY394&gt;=0,AZ394&gt;0),(AX394-AY394)/AZ394,"")</f>
        <v>0.10112359550561797</v>
      </c>
      <c r="BB394" s="8" t="n">
        <f>IF(COUNT(AS394,AW394,BA394)=3,1,0)</f>
        <v>1</v>
      </c>
      <c r="BC394" s="11" t="n">
        <f>IF(SUMIF($AO$11:$AO$1309,AO394,$BB$11:$BB$1309)=COUNTIF($AO$11:$AO$1309,AO394),SUMIF($AO$11:$AO$1309,AO394,$AS$11:$AS$1309),"")</f>
        <v>0.8134354698195524</v>
      </c>
      <c r="BD394" s="11" t="n">
        <f>IF(SUMIF($AO$11:$AO$1309,AO394,$BB$11:$BB$1309)=COUNTIF($AO$11:$AO$1309,AO394),SUMIF($AO$11:$AO$1309,AO394,$AW$11:$AW$1309),"")</f>
        <v>0.6022727272727273</v>
      </c>
      <c r="BE394" s="11" t="n">
        <f>IF(SUMIF($AO$11:$AO$1309,AO394,$BB$11:$BB$1309)=COUNTIF($AO$11:$AO$1309,AO394),SUMIF($AO$11:$AO$1309,AO394,$BA$11:$BA$1309),"")</f>
        <v>0.5619903691813805</v>
      </c>
      <c r="BF394" s="12" t="n">
        <f>IF(COUNT(BD394:BE394)&lt;&gt;2,"",IF(AND(BD394&gt;0,BE394&gt;0),0.7*AW394/BD394+0.3*BA394/BE394,IF(BD394&gt;0,AW394/BD394,IF(BE394&gt;0,BA394/BE394,IF(AND(ISNUMBER(BH394),BH394=0),0,"")))))</f>
        <v>0.1464343222485444</v>
      </c>
      <c r="BG394" s="11" t="n">
        <f>IF(AND(COUNT(BN394:BU394)=8,MIN(BN394:BU394)&gt;=0),SUMPRODUCT(BN394:BQ394,BR394:BU394),"")</f>
        <v>63.935996265425516</v>
      </c>
      <c r="BH394" s="11" t="n">
        <f>IF(COUNT(BC394,BG394)=2,BC394*BG394,"")</f>
        <v>52.00780716054755</v>
      </c>
      <c r="BI394" s="11" t="n">
        <f>IF(ISNUMBER(CI394),CI394,"")</f>
        <v>7.615727993187775</v>
      </c>
      <c r="BJ394" s="8" t="str"/>
      <c r="BK394" s="8" t="str">
        <v>90天：2026-07-20 至 2026-10-17；180天：2026-04-21 至 2026-10-17</v>
      </c>
      <c r="BL394" s="8" t="str">
        <v>90天：2026-10-06、2026-10-07；180天：2026-10-06、2026-10-07</v>
      </c>
      <c r="BM394" s="8" t="str">
        <v>2026-10：12天 × 0.8729500662042875；2026-11：30天 × 0.8057375774163482；2026-12：31天 × 0.532550303142279；2027-01：17天 × 0.7517299265337036</v>
      </c>
      <c r="BN394" s="11" t="n">
        <v>0.8729500662042875</v>
      </c>
      <c r="BO394" s="11" t="n">
        <v>0.8057375774163482</v>
      </c>
      <c r="BP394" s="11" t="n">
        <v>0.532550303142279</v>
      </c>
      <c r="BQ394" s="11" t="n">
        <v>0.7517299265337036</v>
      </c>
      <c r="BR394" s="8" t="n">
        <v>12</v>
      </c>
      <c r="BS394" s="8" t="n">
        <v>30</v>
      </c>
      <c r="BT394" s="8" t="n">
        <v>31</v>
      </c>
      <c r="BU394" s="8" t="n">
        <v>17</v>
      </c>
      <c r="BV394" s="11" t="n">
        <f>IF(COUNT(BC394,BF394)=2,BC394*BF394,"")</f>
        <v>0.11911487171595246</v>
      </c>
      <c r="BW394" s="11" t="n">
        <f>IF(ISNUMBER(BN394),BN394,"")</f>
        <v>0.8729500662042875</v>
      </c>
      <c r="BX394" s="14" t="n">
        <f>IF(ISNUMBER(BR394),BR394,"")</f>
        <v>12</v>
      </c>
      <c r="BY394" s="13" t="n">
        <f>IF(AND(COUNT(BV394,BW394,BX394)=3,MIN(BV394,BW394,BX394)&gt;=0),BV394*BW394*BX394,"")</f>
        <v>1.247776021804271</v>
      </c>
      <c r="BZ394" s="11" t="n">
        <f>IF(ISNUMBER(BO394),BO394,"")</f>
        <v>0.8057375774163482</v>
      </c>
      <c r="CA394" s="14" t="n">
        <f>IF(ISNUMBER(BS394),BS394,"")</f>
        <v>30</v>
      </c>
      <c r="CB394" s="13" t="n">
        <f>IF(AND(COUNT(BV394,BZ394,CA394)=3,MIN(BV394,BZ394,CA394)&gt;=0),BV394*BZ394*CA394,"")</f>
        <v>2.879259845120119</v>
      </c>
      <c r="CC394" s="11" t="n">
        <f>IF(ISNUMBER(BP394),BP394,"")</f>
        <v>0.532550303142279</v>
      </c>
      <c r="CD394" s="14" t="n">
        <f>IF(ISNUMBER(BT394),BT394,"")</f>
        <v>31</v>
      </c>
      <c r="CE394" s="13" t="n">
        <f>IF(AND(COUNT(BV394,CC394,CD394)=3,MIN(BV394,CC394,CD394)&gt;=0),BV394*CC394*CD394,"")</f>
        <v>1.9664744922736093</v>
      </c>
      <c r="CF394" s="11" t="n">
        <f>IF(ISNUMBER(BQ394),BQ394,"")</f>
        <v>0.7517299265337036</v>
      </c>
      <c r="CG394" s="14" t="n">
        <f>IF(ISNUMBER(BU394),BU394,"")</f>
        <v>17</v>
      </c>
      <c r="CH394" s="13" t="n">
        <f>IF(AND(COUNT(BV394,CF394,CG394)=3,MIN(BV394,CF394,CG394)&gt;=0),BV394*CF394*CG394,"")</f>
        <v>1.522217633989776</v>
      </c>
      <c r="CI394" s="13" t="n">
        <f>IF(COUNT(BY394,CB394,CE394,CH394)=4,SUM(BY394,CB394,CE394,CH394),"")</f>
        <v>7.615727993187775</v>
      </c>
    </row>
    <row r="395" ht="72" customHeight="1">
      <c r="A395" s="16" t="str">
        <v>1S01-SB-38.5</v>
      </c>
      <c r="B395" s="16" t="str">
        <v>3店-SANDIEX-US</v>
      </c>
      <c r="C395" s="16" t="str">
        <v>徐新怡</v>
      </c>
      <c r="D395" s="26" t="n">
        <f>IF(NOT(ISNUMBER(E395)),"",IF(OR(E395&lt;=0,L395=0),0,IF(OR(NOT(ISNUMBER(F395)),F395&lt;0),"",MIN(E395,INT(F395)))))</f>
        <v>0</v>
      </c>
      <c r="E395" s="27" t="n">
        <f>IF(OR(NOT(ISNUMBER(L395)),COUNT(M395:O395)&lt;&gt;3,MIN(M395:O395)&lt;0),"",ROUNDUP(ROUND(BI395-SUM(M395:O395),10),0))</f>
        <v>1</v>
      </c>
      <c r="F395" s="28" t="n">
        <v>0</v>
      </c>
      <c r="G395" s="28" t="n">
        <f>IF(AND(ISNUMBER(D395),ISNUMBER(E395)),IF(OR(E395&lt;=0,L395=0),0,E395-D395),"")</f>
        <v>1</v>
      </c>
      <c r="H395" s="16" t="str">
        <f>IF(NOT(ISNUMBER(E395)),"销量或海外库存待补",IF(OR(E395&lt;=0,L395=0),IF(L395=0,"零日销，本批不发","本批无需补货"),IF(NOT(ISNUMBER(D395)),"国内库存待补",IF(D395=0,"国内无可用库存",IF(G395&gt;0,"先发国内现货","按建议量发货")))))</f>
        <v>国内无可用库存</v>
      </c>
      <c r="I395" s="28" t="n">
        <f>IF(AND(COUNT(Z395,AA395,AB395)=3,Z395&gt;=AA395,AA395&gt;=0,AB395=7),Z395-AA395,"")</f>
        <v>0</v>
      </c>
      <c r="J395" s="28" t="n">
        <f>IF(AND(COUNT(AF395,AG395,AH395)=3,AF395&gt;=AG395,AG395&gt;=0,AH395=14),AF395-AG395,"")</f>
        <v>0</v>
      </c>
      <c r="K395" s="28" t="n">
        <f>IF(AND(COUNT(AL395,AM395,AN395)=3,AL395&gt;=AM395,AM395&gt;=0,AN395=30),AL395-AM395,"")</f>
        <v>0</v>
      </c>
      <c r="L395" s="29" t="n">
        <f>IF(ISNUMBER(BI395),BI395/90,"")</f>
        <v>0.0042538201324443265</v>
      </c>
      <c r="M395" s="28" t="n">
        <v>0</v>
      </c>
      <c r="N395" s="28" t="n">
        <v>0</v>
      </c>
      <c r="O395" s="28" t="n">
        <v>0</v>
      </c>
      <c r="P395" s="30" t="n">
        <f>IF(AND(ISNUMBER(L395),L395&gt;0,COUNT(M395:O395)=3,MIN(M395:O395)&gt;=0),SUM(M395:O395)/L395,"")</f>
        <v>0</v>
      </c>
      <c r="Q395" s="16" t="str">
        <v>沿用同SPU原计划店铺</v>
      </c>
      <c r="R395" s="16" t="str">
        <v>已匹配</v>
      </c>
      <c r="S395" s="16" t="str">
        <v>停售</v>
      </c>
      <c r="T395" s="16" t="str">
        <v>1S01</v>
      </c>
      <c r="U395" s="16" t="str">
        <v>黑色蛇纹</v>
      </c>
      <c r="V395" s="16" t="n">
        <v>7.5</v>
      </c>
      <c r="W395" s="8" t="str">
        <v>2026-10-08 至 2026-10-17</v>
      </c>
      <c r="X395" s="8" t="str">
        <v>2026-10-08、2026-10-09、2026-10-10、2026-10-11、2026-10-14、2026-10-15、2026-10-17</v>
      </c>
      <c r="Y395" s="8" t="str">
        <v>2026-10-12 有记录的停售日；2026-10-13 有记录的停售日；2026-10-16 有记录的停售日</v>
      </c>
      <c r="Z395" s="8" t="n">
        <v>0</v>
      </c>
      <c r="AA395" s="8" t="n">
        <v>0</v>
      </c>
      <c r="AB395" s="8" t="n">
        <v>7</v>
      </c>
      <c r="AC395" s="8" t="str">
        <v>2026-09-29 至 2026-10-17</v>
      </c>
      <c r="AD395" s="8" t="str">
        <v>2026-09-29、2026-09-30、2026-10-01、2026-10-02、2026-10-03、2026-10-04、2026-10-05、2026-10-08、2026-10-09、2026-10-10、2026-10-11、2026-10-14、2026-10-15、2026-10-17</v>
      </c>
      <c r="AE395" s="8" t="str">
        <v>2026-10-06 大促；2026-10-07 大促；2026-10-12 有记录的停售日；2026-10-13 有记录的停售日；2026-10-16 有记录的停售日</v>
      </c>
      <c r="AF395" s="8" t="n">
        <v>0</v>
      </c>
      <c r="AG395" s="8" t="n">
        <v>0</v>
      </c>
      <c r="AH395" s="8" t="n">
        <v>14</v>
      </c>
      <c r="AI395" s="8" t="str">
        <v>2026-09-13 至 2026-10-17</v>
      </c>
      <c r="AJ39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5" s="8" t="str">
        <v>2026-10-06 大促；2026-10-07 大促；2026-10-12 有记录的停售日；2026-10-13 有记录的停售日；2026-10-16 有记录的停售日</v>
      </c>
      <c r="AL395" s="8" t="n">
        <v>0</v>
      </c>
      <c r="AM395" s="8" t="n">
        <v>0</v>
      </c>
      <c r="AN395" s="8" t="n">
        <v>30</v>
      </c>
      <c r="AO395" s="8" t="str">
        <v>1S01 / 黑色蛇纹PU / 6574</v>
      </c>
      <c r="AP395" s="11" t="n">
        <v>0.8729500662042875</v>
      </c>
      <c r="AQ395" s="11" t="n">
        <v>0.9355747145678367</v>
      </c>
      <c r="AR395" s="11" t="n">
        <v>1.135973589331194</v>
      </c>
      <c r="AS395" s="11" t="n">
        <f>IF(AND(COUNT(I395:K395,AP395:AR395)=6,MIN(AP395:AR395)&gt;0),I395/7/AP395*0.5+J395/14/AQ395*0.3+K395/30/AR395*0.2,"")</f>
        <v>0</v>
      </c>
      <c r="AT395" s="8" t="n">
        <v>0</v>
      </c>
      <c r="AU395" s="8" t="n">
        <v>0</v>
      </c>
      <c r="AV395" s="8" t="n">
        <v>85</v>
      </c>
      <c r="AW395" s="11" t="n">
        <f>IF(AND(COUNT(AT395:AV395)=3,AT395&gt;=AU395,AU395&gt;=0,AV395&gt;0),(AT395-AU395)/AV395,"")</f>
        <v>0</v>
      </c>
      <c r="AX395" s="8" t="n">
        <v>2</v>
      </c>
      <c r="AY395" s="8" t="n">
        <v>0</v>
      </c>
      <c r="AZ395" s="8" t="n">
        <v>175</v>
      </c>
      <c r="BA395" s="11" t="n">
        <f>IF(AND(COUNT(AX395:AZ395)=3,AX395&gt;=AY395,AY395&gt;=0,AZ395&gt;0),(AX395-AY395)/AZ395,"")</f>
        <v>0.011428571428571429</v>
      </c>
      <c r="BB395" s="8" t="n">
        <f>IF(COUNT(AS395,AW395,BA395)=3,1,0)</f>
        <v>1</v>
      </c>
      <c r="BC395" s="11" t="n">
        <f>IF(SUMIF($AO$11:$AO$1309,AO395,$BB$11:$BB$1309)=COUNTIF($AO$11:$AO$1309,AO395),SUMIF($AO$11:$AO$1309,AO395,$AS$11:$AS$1309),"")</f>
        <v>1.001631473973664</v>
      </c>
      <c r="BD395" s="11" t="n">
        <f>IF(SUMIF($AO$11:$AO$1309,AO395,$BB$11:$BB$1309)=COUNTIF($AO$11:$AO$1309,AO395),SUMIF($AO$11:$AO$1309,AO395,$AW$11:$AW$1309),"")</f>
        <v>0.6254010695187165</v>
      </c>
      <c r="BE395" s="11" t="n">
        <f>IF(SUMIF($AO$11:$AO$1309,AO395,$BB$11:$BB$1309)=COUNTIF($AO$11:$AO$1309,AO395),SUMIF($AO$11:$AO$1309,AO395,$BA$11:$BA$1309),"")</f>
        <v>0.5735152487961477</v>
      </c>
      <c r="BF395" s="12" t="n">
        <f>IF(COUNT(BD395:BE395)&lt;&gt;2,"",IF(AND(BD395&gt;0,BE395&gt;0),0.7*AW395/BD395+0.3*BA395/BE395,IF(BD395&gt;0,AW395/BD395,IF(BE395&gt;0,BA395/BE395,IF(AND(ISNUMBER(BH395),BH395=0),0,"")))))</f>
        <v>0.005978169605373635</v>
      </c>
      <c r="BG395" s="11" t="n">
        <f>IF(AND(COUNT(BN395:BU395)=8,MIN(BN395:BU395)&gt;=0),SUMPRODUCT(BN395:BQ395,BR395:BU395),"")</f>
        <v>63.935996265425516</v>
      </c>
      <c r="BH395" s="11" t="n">
        <f>IF(COUNT(BC395,BG395)=2,BC395*BG395,"")</f>
        <v>64.04030617931284</v>
      </c>
      <c r="BI395" s="11" t="n">
        <f>IF(ISNUMBER(CI395),CI395,"")</f>
        <v>0.3828438119199894</v>
      </c>
      <c r="BJ395" s="8" t="str"/>
      <c r="BK395" s="8" t="str">
        <v>90天：2026-07-20 至 2026-10-17；180天：2026-04-21 至 2026-10-17</v>
      </c>
      <c r="BL395" s="8" t="str">
        <v>90天：2026-10-06、2026-10-07、2026-10-12、2026-10-13、2026-10-16；180天：2026-10-06、2026-10-07、2026-10-12、2026-10-13、2026-10-16</v>
      </c>
      <c r="BM395" s="8" t="str">
        <v>2026-10：12天 × 0.8729500662042875；2026-11：30天 × 0.8057375774163482；2026-12：31天 × 0.532550303142279；2027-01：17天 × 0.7517299265337036</v>
      </c>
      <c r="BN395" s="11" t="n">
        <v>0.8729500662042875</v>
      </c>
      <c r="BO395" s="11" t="n">
        <v>0.8057375774163482</v>
      </c>
      <c r="BP395" s="11" t="n">
        <v>0.532550303142279</v>
      </c>
      <c r="BQ395" s="11" t="n">
        <v>0.7517299265337036</v>
      </c>
      <c r="BR395" s="8" t="n">
        <v>12</v>
      </c>
      <c r="BS395" s="8" t="n">
        <v>30</v>
      </c>
      <c r="BT395" s="8" t="n">
        <v>31</v>
      </c>
      <c r="BU395" s="8" t="n">
        <v>17</v>
      </c>
      <c r="BV395" s="11" t="n">
        <f>IF(COUNT(BC395,BF395)=2,BC395*BF395,"")</f>
        <v>0.0059879228334949516</v>
      </c>
      <c r="BW395" s="11" t="n">
        <f>IF(ISNUMBER(BN395),BN395,"")</f>
        <v>0.8729500662042875</v>
      </c>
      <c r="BX395" s="14" t="n">
        <f>IF(ISNUMBER(BR395),BR395,"")</f>
        <v>12</v>
      </c>
      <c r="BY395" s="13" t="n">
        <f>IF(AND(COUNT(BV395,BW395,BX395)=3,MIN(BV395,BW395,BX395)&gt;=0),BV395*BW395*BX395,"")</f>
        <v>0.062725891607107</v>
      </c>
      <c r="BZ395" s="11" t="n">
        <f>IF(ISNUMBER(BO395),BO395,"")</f>
        <v>0.8057375774163482</v>
      </c>
      <c r="CA395" s="14" t="n">
        <f>IF(ISNUMBER(BS395),BS395,"")</f>
        <v>30</v>
      </c>
      <c r="CB395" s="13" t="n">
        <f>IF(AND(COUNT(BV395,BZ395,CA395)=3,MIN(BV395,BZ395,CA395)&gt;=0),BV395*BZ395*CA395,"")</f>
        <v>0.14474083312848773</v>
      </c>
      <c r="CC395" s="11" t="n">
        <f>IF(ISNUMBER(BP395),BP395,"")</f>
        <v>0.532550303142279</v>
      </c>
      <c r="CD395" s="14" t="n">
        <f>IF(ISNUMBER(BT395),BT395,"")</f>
        <v>31</v>
      </c>
      <c r="CE395" s="13" t="n">
        <f>IF(AND(COUNT(BV395,CC395,CD395)=3,MIN(BV395,CC395,CD395)&gt;=0),BV395*CC395*CD395,"")</f>
        <v>0.09885497372527963</v>
      </c>
      <c r="CF395" s="11" t="n">
        <f>IF(ISNUMBER(BQ395),BQ395,"")</f>
        <v>0.7517299265337036</v>
      </c>
      <c r="CG395" s="14" t="n">
        <f>IF(ISNUMBER(BU395),BU395,"")</f>
        <v>17</v>
      </c>
      <c r="CH395" s="13" t="n">
        <f>IF(AND(COUNT(BV395,CF395,CG395)=3,MIN(BV395,CF395,CG395)&gt;=0),BV395*CF395*CG395,"")</f>
        <v>0.076522113459115</v>
      </c>
      <c r="CI395" s="13" t="n">
        <f>IF(COUNT(BY395,CB395,CE395,CH395)=4,SUM(BY395,CB395,CE395,CH395),"")</f>
        <v>0.3828438119199894</v>
      </c>
    </row>
    <row r="396" ht="72" customHeight="1">
      <c r="A396" s="16" t="str">
        <v>1S01-SP-38</v>
      </c>
      <c r="B396" s="16" t="str">
        <v>3店-SANDIEX-US</v>
      </c>
      <c r="C396" s="16" t="str">
        <v>徐新怡</v>
      </c>
      <c r="D396" s="26" t="n">
        <f>IF(NOT(ISNUMBER(E396)),"",IF(OR(E396&lt;=0,L396=0),0,IF(OR(NOT(ISNUMBER(F396)),F396&lt;0),"",MIN(E396,INT(F396)))))</f>
        <v>0</v>
      </c>
      <c r="E396" s="27" t="n">
        <f>IF(OR(NOT(ISNUMBER(L396)),COUNT(M396:O396)&lt;&gt;3,MIN(M396:O396)&lt;0),"",ROUNDUP(ROUND(BI396-SUM(M396:O396),10),0))</f>
        <v>1</v>
      </c>
      <c r="F396" s="28" t="n">
        <v>0</v>
      </c>
      <c r="G396" s="28" t="n">
        <f>IF(AND(ISNUMBER(D396),ISNUMBER(E396)),IF(OR(E396&lt;=0,L396=0),0,E396-D396),"")</f>
        <v>1</v>
      </c>
      <c r="H396" s="16" t="str">
        <f>IF(NOT(ISNUMBER(E396)),"销量或海外库存待补",IF(OR(E396&lt;=0,L396=0),IF(L396=0,"零日销，本批不发","本批无需补货"),IF(NOT(ISNUMBER(D396)),"国内库存待补",IF(D396=0,"国内无可用库存",IF(G396&gt;0,"先发国内现货","按建议量发货")))))</f>
        <v>国内无可用库存</v>
      </c>
      <c r="I396" s="28" t="n">
        <f>IF(AND(COUNT(Z396,AA396,AB396)=3,Z396&gt;=AA396,AA396&gt;=0,AB396=7),Z396-AA396,"")</f>
        <v>0</v>
      </c>
      <c r="J396" s="28" t="n">
        <f>IF(AND(COUNT(AF396,AG396,AH396)=3,AF396&gt;=AG396,AG396&gt;=0,AH396=14),AF396-AG396,"")</f>
        <v>0</v>
      </c>
      <c r="K396" s="28" t="n">
        <f>IF(AND(COUNT(AL396,AM396,AN396)=3,AL396&gt;=AM396,AM396&gt;=0,AN396=30),AL396-AM396,"")</f>
        <v>0</v>
      </c>
      <c r="L396" s="29" t="n">
        <f>IF(ISNUMBER(BI396),BI396/90,"")</f>
        <v>0.009893502027180217</v>
      </c>
      <c r="M396" s="28" t="n">
        <v>0</v>
      </c>
      <c r="N396" s="28" t="n">
        <v>0</v>
      </c>
      <c r="O396" s="28" t="n">
        <v>0</v>
      </c>
      <c r="P396" s="30" t="n">
        <f>IF(AND(ISNUMBER(L396),L396&gt;0,COUNT(M396:O396)=3,MIN(M396:O396)&gt;=0),SUM(M396:O396)/L396,"")</f>
        <v>0</v>
      </c>
      <c r="Q396" s="16" t="str">
        <v>沿用原计划SKU店铺</v>
      </c>
      <c r="R396" s="16" t="str">
        <v>已匹配</v>
      </c>
      <c r="S396" s="16" t="str">
        <v>停售</v>
      </c>
      <c r="T396" s="16" t="str">
        <v>1S01</v>
      </c>
      <c r="U396" s="16" t="str">
        <v>黑白蛇纹</v>
      </c>
      <c r="V396" s="16" t="n">
        <v>7</v>
      </c>
      <c r="W396" s="8" t="str">
        <v>2026-10-08 至 2026-10-17</v>
      </c>
      <c r="X396" s="8" t="str">
        <v>2026-10-08、2026-10-09、2026-10-10、2026-10-11、2026-10-14、2026-10-15、2026-10-17</v>
      </c>
      <c r="Y396" s="8" t="str">
        <v>2026-10-12 有记录的停售日；2026-10-13 有记录的停售日；2026-10-16 有记录的停售日</v>
      </c>
      <c r="Z396" s="8" t="n">
        <v>0</v>
      </c>
      <c r="AA396" s="8" t="n">
        <v>0</v>
      </c>
      <c r="AB396" s="8" t="n">
        <v>7</v>
      </c>
      <c r="AC396" s="8" t="str">
        <v>2026-09-29 至 2026-10-17</v>
      </c>
      <c r="AD396" s="8" t="str">
        <v>2026-09-29、2026-09-30、2026-10-01、2026-10-02、2026-10-03、2026-10-04、2026-10-05、2026-10-08、2026-10-09、2026-10-10、2026-10-11、2026-10-14、2026-10-15、2026-10-17</v>
      </c>
      <c r="AE396" s="8" t="str">
        <v>2026-10-06 大促；2026-10-07 大促；2026-10-12 有记录的停售日；2026-10-13 有记录的停售日；2026-10-16 有记录的停售日</v>
      </c>
      <c r="AF396" s="8" t="n">
        <v>0</v>
      </c>
      <c r="AG396" s="8" t="n">
        <v>0</v>
      </c>
      <c r="AH396" s="8" t="n">
        <v>14</v>
      </c>
      <c r="AI396" s="8" t="str">
        <v>2026-09-13 至 2026-10-17</v>
      </c>
      <c r="AJ39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6" s="8" t="str">
        <v>2026-10-06 大促；2026-10-07 大促；2026-10-12 有记录的停售日；2026-10-13 有记录的停售日；2026-10-16 有记录的停售日</v>
      </c>
      <c r="AL396" s="8" t="n">
        <v>0</v>
      </c>
      <c r="AM396" s="8" t="n">
        <v>0</v>
      </c>
      <c r="AN396" s="8" t="n">
        <v>30</v>
      </c>
      <c r="AO396" s="8" t="str">
        <v>1S01 / 黑白蛇纹PU / 6574</v>
      </c>
      <c r="AP396" s="11" t="n">
        <v>0.8729500662042875</v>
      </c>
      <c r="AQ396" s="11" t="n">
        <v>0.9355747145678367</v>
      </c>
      <c r="AR396" s="11" t="n">
        <v>1.135973589331194</v>
      </c>
      <c r="AS396" s="11" t="n">
        <f>IF(AND(COUNT(I396:K396,AP396:AR396)=6,MIN(AP396:AR396)&gt;0),I396/7/AP396*0.5+J396/14/AQ396*0.3+K396/30/AR396*0.2,"")</f>
        <v>0</v>
      </c>
      <c r="AT396" s="8" t="n">
        <v>0</v>
      </c>
      <c r="AU396" s="8" t="n">
        <v>0</v>
      </c>
      <c r="AV396" s="8" t="n">
        <v>85</v>
      </c>
      <c r="AW396" s="11" t="n">
        <f>IF(AND(COUNT(AT396:AV396)=3,AT396&gt;=AU396,AU396&gt;=0,AV396&gt;0),(AT396-AU396)/AV396,"")</f>
        <v>0</v>
      </c>
      <c r="AX396" s="8" t="n">
        <v>5</v>
      </c>
      <c r="AY396" s="8" t="n">
        <v>0</v>
      </c>
      <c r="AZ396" s="8" t="n">
        <v>175</v>
      </c>
      <c r="BA396" s="11" t="n">
        <f>IF(AND(COUNT(AX396:AZ396)=3,AX396&gt;=AY396,AY396&gt;=0,AZ396&gt;0),(AX396-AY396)/AZ396,"")</f>
        <v>0.02857142857142857</v>
      </c>
      <c r="BB396" s="8" t="n">
        <f>IF(COUNT(AS396,AW396,BA396)=3,1,0)</f>
        <v>1</v>
      </c>
      <c r="BC396" s="11" t="n">
        <f>IF(SUMIF($AO$11:$AO$1309,AO396,$BB$11:$BB$1309)=COUNTIF($AO$11:$AO$1309,AO396),SUMIF($AO$11:$AO$1309,AO396,$AS$11:$AS$1309),"")</f>
        <v>0.5210763310255071</v>
      </c>
      <c r="BD396" s="11" t="n">
        <f>IF(SUMIF($AO$11:$AO$1309,AO396,$BB$11:$BB$1309)=COUNTIF($AO$11:$AO$1309,AO396),SUMIF($AO$11:$AO$1309,AO396,$AW$11:$AW$1309),"")</f>
        <v>0.36363636363636365</v>
      </c>
      <c r="BE396" s="11" t="n">
        <f>IF(SUMIF($AO$11:$AO$1309,AO396,$BB$11:$BB$1309)=COUNTIF($AO$11:$AO$1309,AO396),SUMIF($AO$11:$AO$1309,AO396,$BA$11:$BA$1309),"")</f>
        <v>0.3207062600321028</v>
      </c>
      <c r="BF396" s="12" t="n">
        <f>IF(COUNT(BD396:BE396)&lt;&gt;2,"",IF(AND(BD396&gt;0,BE396&gt;0),0.7*AW396/BD396+0.3*BA396/BE396,IF(BD396&gt;0,AW396/BD396,IF(BE396&gt;0,BA396/BE396,IF(AND(ISNUMBER(BH396),BH396=0),0,"")))))</f>
        <v>0.026726726726726716</v>
      </c>
      <c r="BG396" s="11" t="n">
        <f>IF(AND(COUNT(BN396:BU396)=8,MIN(BN396:BU396)&gt;=0),SUMPRODUCT(BN396:BQ396,BR396:BU396),"")</f>
        <v>63.935996265425516</v>
      </c>
      <c r="BH396" s="11" t="n">
        <f>IF(COUNT(BC396,BG396)=2,BC396*BG396,"")</f>
        <v>33.31553435444845</v>
      </c>
      <c r="BI396" s="11" t="n">
        <f>IF(ISNUMBER(CI396),CI396,"")</f>
        <v>0.8904151824462194</v>
      </c>
      <c r="BJ396" s="8" t="str">
        <v>近180天本色销量65双（＜90），无有效新采购，请运营判断</v>
      </c>
      <c r="BK396" s="8" t="str">
        <v>90天：2026-07-20 至 2026-10-17；180天：2026-04-21 至 2026-10-17</v>
      </c>
      <c r="BL396" s="8" t="str">
        <v>90天：2026-10-06、2026-10-07、2026-10-12、2026-10-13、2026-10-16；180天：2026-10-06、2026-10-07、2026-10-12、2026-10-13、2026-10-16</v>
      </c>
      <c r="BM396" s="8" t="str">
        <v>2026-10：12天 × 0.8729500662042875；2026-11：30天 × 0.8057375774163482；2026-12：31天 × 0.532550303142279；2027-01：17天 × 0.7517299265337036</v>
      </c>
      <c r="BN396" s="11" t="n">
        <v>0.8729500662042875</v>
      </c>
      <c r="BO396" s="11" t="n">
        <v>0.8057375774163482</v>
      </c>
      <c r="BP396" s="11" t="n">
        <v>0.532550303142279</v>
      </c>
      <c r="BQ396" s="11" t="n">
        <v>0.7517299265337036</v>
      </c>
      <c r="BR396" s="8" t="n">
        <v>12</v>
      </c>
      <c r="BS396" s="8" t="n">
        <v>30</v>
      </c>
      <c r="BT396" s="8" t="n">
        <v>31</v>
      </c>
      <c r="BU396" s="8" t="n">
        <v>17</v>
      </c>
      <c r="BV396" s="11" t="n">
        <f>IF(COUNT(BC396,BF396)=2,BC396*BF396,"")</f>
        <v>0.013926664703084119</v>
      </c>
      <c r="BW396" s="11" t="n">
        <f>IF(ISNUMBER(BN396),BN396,"")</f>
        <v>0.8729500662042875</v>
      </c>
      <c r="BX396" s="14" t="n">
        <f>IF(ISNUMBER(BR396),BR396,"")</f>
        <v>12</v>
      </c>
      <c r="BY396" s="13" t="n">
        <f>IF(AND(COUNT(BV396,BW396,BX396)=3,MIN(BV396,BW396,BX396)&gt;=0),BV396*BW396*BX396,"")</f>
        <v>0.14588739449474636</v>
      </c>
      <c r="BZ396" s="11" t="n">
        <f>IF(ISNUMBER(BO396),BO396,"")</f>
        <v>0.8057375774163482</v>
      </c>
      <c r="CA396" s="14" t="n">
        <f>IF(ISNUMBER(BS396),BS396,"")</f>
        <v>30</v>
      </c>
      <c r="CB396" s="13" t="n">
        <f>IF(AND(COUNT(BV396,BZ396,CA396)=3,MIN(BV396,BZ396,CA396)&gt;=0),BV396*BZ396*CA396,"")</f>
        <v>0.3366371123805829</v>
      </c>
      <c r="CC396" s="11" t="n">
        <f>IF(ISNUMBER(BP396),BP396,"")</f>
        <v>0.532550303142279</v>
      </c>
      <c r="CD396" s="14" t="n">
        <f>IF(ISNUMBER(BT396),BT396,"")</f>
        <v>31</v>
      </c>
      <c r="CE396" s="13" t="n">
        <f>IF(AND(COUNT(BV396,CC396,CD396)=3,MIN(BV396,CC396,CD396)&gt;=0),BV396*CC396*CD396,"")</f>
        <v>0.22991613479103806</v>
      </c>
      <c r="CF396" s="11" t="n">
        <f>IF(ISNUMBER(BQ396),BQ396,"")</f>
        <v>0.7517299265337036</v>
      </c>
      <c r="CG396" s="14" t="n">
        <f>IF(ISNUMBER(BU396),BU396,"")</f>
        <v>17</v>
      </c>
      <c r="CH396" s="13" t="n">
        <f>IF(AND(COUNT(BV396,CF396,CG396)=3,MIN(BV396,CF396,CG396)&gt;=0),BV396*CF396*CG396,"")</f>
        <v>0.17797454077985211</v>
      </c>
      <c r="CI396" s="13" t="n">
        <f>IF(COUNT(BY396,CB396,CE396,CH396)=4,SUM(BY396,CB396,CE396,CH396),"")</f>
        <v>0.8904151824462194</v>
      </c>
    </row>
    <row r="397" ht="72" customHeight="1">
      <c r="A397" s="16" t="str">
        <v>1S01-TAN-37.5</v>
      </c>
      <c r="B397" s="16" t="str">
        <v>3店-SANDIEX-US</v>
      </c>
      <c r="C397" s="16" t="str">
        <v>徐新怡</v>
      </c>
      <c r="D397" s="26" t="n">
        <f>IF(NOT(ISNUMBER(E397)),"",IF(OR(E397&lt;=0,L397=0),0,IF(OR(NOT(ISNUMBER(F397)),F397&lt;0),"",MIN(E397,INT(F397)))))</f>
        <v>0</v>
      </c>
      <c r="E397" s="27" t="n">
        <f>IF(OR(NOT(ISNUMBER(L397)),COUNT(M397:O397)&lt;&gt;3,MIN(M397:O397)&lt;0),"",ROUNDUP(ROUND(BI397-SUM(M397:O397),10),0))</f>
        <v>1</v>
      </c>
      <c r="F397" s="28" t="n">
        <v>0</v>
      </c>
      <c r="G397" s="28" t="n">
        <f>IF(AND(ISNUMBER(D397),ISNUMBER(E397)),IF(OR(E397&lt;=0,L397=0),0,E397-D397),"")</f>
        <v>1</v>
      </c>
      <c r="H397" s="16" t="str">
        <f>IF(NOT(ISNUMBER(E397)),"销量或海外库存待补",IF(OR(E397&lt;=0,L397=0),IF(L397=0,"零日销，本批不发","本批无需补货"),IF(NOT(ISNUMBER(D397)),"国内库存待补",IF(D397=0,"国内无可用库存",IF(G397&gt;0,"先发国内现货","按建议量发货")))))</f>
        <v>国内无可用库存</v>
      </c>
      <c r="I397" s="28" t="n">
        <f>IF(AND(COUNT(Z397,AA397,AB397)=3,Z397&gt;=AA397,AA397&gt;=0,AB397=7),Z397-AA397,"")</f>
        <v>0</v>
      </c>
      <c r="J397" s="28" t="n">
        <f>IF(AND(COUNT(AF397,AG397,AH397)=3,AF397&gt;=AG397,AG397&gt;=0,AH397=14),AF397-AG397,"")</f>
        <v>0</v>
      </c>
      <c r="K397" s="28" t="n">
        <f>IF(AND(COUNT(AL397,AM397,AN397)=3,AL397&gt;=AM397,AM397&gt;=0,AN397=30),AL397-AM397,"")</f>
        <v>0</v>
      </c>
      <c r="L397" s="29" t="n">
        <f>IF(ISNUMBER(BI397),BI397/90,"")</f>
        <v>0.00006219894706452662</v>
      </c>
      <c r="M397" s="28" t="n">
        <v>0</v>
      </c>
      <c r="N397" s="28" t="n">
        <v>0</v>
      </c>
      <c r="O397" s="28" t="n">
        <v>0</v>
      </c>
      <c r="P397" s="30" t="n">
        <f>IF(AND(ISNUMBER(L397),L397&gt;0,COUNT(M397:O397)=3,MIN(M397:O397)&gt;=0),SUM(M397:O397)/L397,"")</f>
        <v>0</v>
      </c>
      <c r="Q397" s="16" t="str">
        <v>沿用同SPU原计划店铺</v>
      </c>
      <c r="R397" s="16" t="str">
        <v>已匹配</v>
      </c>
      <c r="S397" s="16" t="str">
        <v>停售</v>
      </c>
      <c r="T397" s="16" t="str">
        <v>1S01</v>
      </c>
      <c r="U397" s="16" t="str">
        <v>驼色</v>
      </c>
      <c r="V397" s="16" t="n">
        <v>6.5</v>
      </c>
      <c r="W397" s="8" t="str">
        <v>2026-10-08 至 2026-10-17</v>
      </c>
      <c r="X397" s="8" t="str">
        <v>2026-10-08、2026-10-09、2026-10-10、2026-10-11、2026-10-14、2026-10-15、2026-10-17</v>
      </c>
      <c r="Y397" s="8" t="str">
        <v>2026-10-12 有记录的停售日；2026-10-13 有记录的停售日；2026-10-16 有记录的停售日</v>
      </c>
      <c r="Z397" s="8" t="n">
        <v>0</v>
      </c>
      <c r="AA397" s="8" t="n">
        <v>0</v>
      </c>
      <c r="AB397" s="8" t="n">
        <v>7</v>
      </c>
      <c r="AC397" s="8" t="str">
        <v>2026-09-29 至 2026-10-17</v>
      </c>
      <c r="AD397" s="8" t="str">
        <v>2026-09-29、2026-09-30、2026-10-01、2026-10-02、2026-10-03、2026-10-04、2026-10-05、2026-10-08、2026-10-09、2026-10-10、2026-10-11、2026-10-14、2026-10-15、2026-10-17</v>
      </c>
      <c r="AE397" s="8" t="str">
        <v>2026-10-06 大促；2026-10-07 大促；2026-10-12 有记录的停售日；2026-10-13 有记录的停售日；2026-10-16 有记录的停售日</v>
      </c>
      <c r="AF397" s="8" t="n">
        <v>0</v>
      </c>
      <c r="AG397" s="8" t="n">
        <v>0</v>
      </c>
      <c r="AH397" s="8" t="n">
        <v>14</v>
      </c>
      <c r="AI397" s="8" t="str">
        <v>2026-09-13 至 2026-10-17</v>
      </c>
      <c r="AJ39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7" s="8" t="str">
        <v>2026-10-06 大促；2026-10-07 大促；2026-10-12 有记录的停售日；2026-10-13 有记录的停售日；2026-10-16 有记录的停售日</v>
      </c>
      <c r="AL397" s="8" t="n">
        <v>0</v>
      </c>
      <c r="AM397" s="8" t="n">
        <v>0</v>
      </c>
      <c r="AN397" s="8" t="n">
        <v>30</v>
      </c>
      <c r="AO397" s="8" t="str">
        <v>1S01 / 驼色PU / 6574</v>
      </c>
      <c r="AP397" s="11" t="n">
        <v>0.8729500662042875</v>
      </c>
      <c r="AQ397" s="11" t="n">
        <v>0.9355747145678367</v>
      </c>
      <c r="AR397" s="11" t="n">
        <v>1.135973589331194</v>
      </c>
      <c r="AS397" s="11" t="n">
        <f>IF(AND(COUNT(I397:K397,AP397:AR397)=6,MIN(AP397:AR397)&gt;0),I397/7/AP397*0.5+J397/14/AQ397*0.3+K397/30/AR397*0.2,"")</f>
        <v>0</v>
      </c>
      <c r="AT397" s="8" t="n">
        <v>0</v>
      </c>
      <c r="AU397" s="8" t="n">
        <v>0</v>
      </c>
      <c r="AV397" s="8" t="n">
        <v>85</v>
      </c>
      <c r="AW397" s="11" t="n">
        <f>IF(AND(COUNT(AT397:AV397)=3,AT397&gt;=AU397,AU397&gt;=0,AV397&gt;0),(AT397-AU397)/AV397,"")</f>
        <v>0</v>
      </c>
      <c r="AX397" s="8" t="n">
        <v>1</v>
      </c>
      <c r="AY397" s="8" t="n">
        <v>0</v>
      </c>
      <c r="AZ397" s="8" t="n">
        <v>175</v>
      </c>
      <c r="BA397" s="11" t="n">
        <f>IF(AND(COUNT(AX397:AZ397)=3,AX397&gt;=AY397,AY397&gt;=0,AZ397&gt;0),(AX397-AY397)/AZ397,"")</f>
        <v>0.005714285714285714</v>
      </c>
      <c r="BB397" s="8" t="n">
        <f>IF(COUNT(AS397,AW397,BA397)=3,1,0)</f>
        <v>1</v>
      </c>
      <c r="BC397" s="11" t="n">
        <f>IF(SUMIF($AO$11:$AO$1309,AO397,$BB$11:$BB$1309)=COUNTIF($AO$11:$AO$1309,AO397),SUMIF($AO$11:$AO$1309,AO397,$AS$11:$AS$1309),"")</f>
        <v>0.006104243994186601</v>
      </c>
      <c r="BD397" s="11" t="n">
        <f>IF(SUMIF($AO$11:$AO$1309,AO397,$BB$11:$BB$1309)=COUNTIF($AO$11:$AO$1309,AO397),SUMIF($AO$11:$AO$1309,AO397,$AW$11:$AW$1309),"")</f>
        <v>0.03409090909090909</v>
      </c>
      <c r="BE397" s="11" t="n">
        <f>IF(SUMIF($AO$11:$AO$1309,AO397,$BB$11:$BB$1309)=COUNTIF($AO$11:$AO$1309,AO397),SUMIF($AO$11:$AO$1309,AO397,$BA$11:$BA$1309),"")</f>
        <v>0.11951845906902087</v>
      </c>
      <c r="BF397" s="12" t="n">
        <f>IF(COUNT(BD397:BE397)&lt;&gt;2,"",IF(AND(BD397&gt;0,BE397&gt;0),0.7*AW397/BD397+0.3*BA397/BE397,IF(BD397&gt;0,AW397/BD397,IF(BE397&gt;0,BA397/BE397,IF(AND(ISNUMBER(BH397),BH397=0),0,"")))))</f>
        <v>0.01434327155519742</v>
      </c>
      <c r="BG397" s="11" t="n">
        <f>IF(AND(COUNT(BN397:BU397)=8,MIN(BN397:BU397)&gt;=0),SUMPRODUCT(BN397:BQ397,BR397:BU397),"")</f>
        <v>63.935996265425516</v>
      </c>
      <c r="BH397" s="11" t="n">
        <f>IF(COUNT(BC397,BG397)=2,BC397*BG397,"")</f>
        <v>0.39028092121556063</v>
      </c>
      <c r="BI397" s="11" t="n">
        <f>IF(ISNUMBER(CI397),CI397,"")</f>
        <v>0.0055979052358073956</v>
      </c>
      <c r="BJ397" s="8" t="str"/>
      <c r="BK397" s="8" t="str">
        <v>90天：2026-07-20 至 2026-10-17；180天：2026-04-21 至 2026-10-17</v>
      </c>
      <c r="BL397" s="8" t="str">
        <v>90天：2026-10-06、2026-10-07、2026-10-12、2026-10-13、2026-10-16；180天：2026-10-06、2026-10-07、2026-10-12、2026-10-13、2026-10-16</v>
      </c>
      <c r="BM397" s="8" t="str">
        <v>2026-10：12天 × 0.8729500662042875；2026-11：30天 × 0.8057375774163482；2026-12：31天 × 0.532550303142279；2027-01：17天 × 0.7517299265337036</v>
      </c>
      <c r="BN397" s="11" t="n">
        <v>0.8729500662042875</v>
      </c>
      <c r="BO397" s="11" t="n">
        <v>0.8057375774163482</v>
      </c>
      <c r="BP397" s="11" t="n">
        <v>0.532550303142279</v>
      </c>
      <c r="BQ397" s="11" t="n">
        <v>0.7517299265337036</v>
      </c>
      <c r="BR397" s="8" t="n">
        <v>12</v>
      </c>
      <c r="BS397" s="8" t="n">
        <v>30</v>
      </c>
      <c r="BT397" s="8" t="n">
        <v>31</v>
      </c>
      <c r="BU397" s="8" t="n">
        <v>17</v>
      </c>
      <c r="BV397" s="11" t="n">
        <f>IF(COUNT(BC397,BF397)=2,BC397*BF397,"")</f>
        <v>0.00008755482924780136</v>
      </c>
      <c r="BW397" s="11" t="n">
        <f>IF(ISNUMBER(BN397),BN397,"")</f>
        <v>0.8729500662042875</v>
      </c>
      <c r="BX397" s="14" t="n">
        <f>IF(ISNUMBER(BR397),BR397,"")</f>
        <v>12</v>
      </c>
      <c r="BY397" s="13" t="n">
        <f>IF(AND(COUNT(BV397,BW397,BX397)=3,MIN(BV397,BW397,BX397)&gt;=0),BV397*BW397*BX397,"")</f>
        <v>0.0009171719278604795</v>
      </c>
      <c r="BZ397" s="11" t="n">
        <f>IF(ISNUMBER(BO397),BO397,"")</f>
        <v>0.8057375774163482</v>
      </c>
      <c r="CA397" s="14" t="n">
        <f>IF(ISNUMBER(BS397),BS397,"")</f>
        <v>30</v>
      </c>
      <c r="CB397" s="13" t="n">
        <f>IF(AND(COUNT(BV397,BZ397,CA397)=3,MIN(BV397,BZ397,CA397)&gt;=0),BV397*BZ397*CA397,"")</f>
        <v>0.0021163864802767646</v>
      </c>
      <c r="CC397" s="11" t="n">
        <f>IF(ISNUMBER(BP397),BP397,"")</f>
        <v>0.532550303142279</v>
      </c>
      <c r="CD397" s="14" t="n">
        <f>IF(ISNUMBER(BT397),BT397,"")</f>
        <v>31</v>
      </c>
      <c r="CE397" s="13" t="n">
        <f>IF(AND(COUNT(BV397,CC397,CD397)=3,MIN(BV397,CC397,CD397)&gt;=0),BV397*CC397*CD397,"")</f>
        <v>0.0014454478765820998</v>
      </c>
      <c r="CF397" s="11" t="n">
        <f>IF(ISNUMBER(BQ397),BQ397,"")</f>
        <v>0.7517299265337036</v>
      </c>
      <c r="CG397" s="14" t="n">
        <f>IF(ISNUMBER(BU397),BU397,"")</f>
        <v>17</v>
      </c>
      <c r="CH397" s="13" t="n">
        <f>IF(AND(COUNT(BV397,CF397,CG397)=3,MIN(BV397,CF397,CG397)&gt;=0),BV397*CF397*CG397,"")</f>
        <v>0.0011188989510880515</v>
      </c>
      <c r="CI397" s="13" t="n">
        <f>IF(COUNT(BY397,CB397,CE397,CH397)=4,SUM(BY397,CB397,CE397,CH397),"")</f>
        <v>0.0055979052358073956</v>
      </c>
    </row>
    <row r="398" ht="72" customHeight="1">
      <c r="A398" s="16" t="str">
        <v>1S01-TAN-38.5</v>
      </c>
      <c r="B398" s="16" t="str">
        <v>3店-SANDIEX-US</v>
      </c>
      <c r="C398" s="16" t="str">
        <v>徐新怡</v>
      </c>
      <c r="D398" s="26" t="n">
        <f>IF(NOT(ISNUMBER(E398)),"",IF(OR(E398&lt;=0,L398=0),0,IF(OR(NOT(ISNUMBER(F398)),F398&lt;0),"",MIN(E398,INT(F398)))))</f>
        <v>0</v>
      </c>
      <c r="E398" s="27" t="n">
        <f>IF(OR(NOT(ISNUMBER(L398)),COUNT(M398:O398)&lt;&gt;3,MIN(M398:O398)&lt;0),"",ROUNDUP(ROUND(BI398-SUM(M398:O398),10),0))</f>
        <v>1</v>
      </c>
      <c r="F398" s="28" t="n">
        <v>0</v>
      </c>
      <c r="G398" s="28" t="n">
        <f>IF(AND(ISNUMBER(D398),ISNUMBER(E398)),IF(OR(E398&lt;=0,L398=0),0,E398-D398),"")</f>
        <v>1</v>
      </c>
      <c r="H398" s="16" t="str">
        <f>IF(NOT(ISNUMBER(E398)),"销量或海外库存待补",IF(OR(E398&lt;=0,L398=0),IF(L398=0,"零日销，本批不发","本批无需补货"),IF(NOT(ISNUMBER(D398)),"国内库存待补",IF(D398=0,"国内无可用库存",IF(G398&gt;0,"先发国内现货","按建议量发货")))))</f>
        <v>国内无可用库存</v>
      </c>
      <c r="I398" s="28" t="n">
        <f>IF(AND(COUNT(Z398,AA398,AB398)=3,Z398&gt;=AA398,AA398&gt;=0,AB398=7),Z398-AA398,"")</f>
        <v>0</v>
      </c>
      <c r="J398" s="28" t="n">
        <f>IF(AND(COUNT(AF398,AG398,AH398)=3,AF398&gt;=AG398,AG398&gt;=0,AH398=14),AF398-AG398,"")</f>
        <v>0</v>
      </c>
      <c r="K398" s="28" t="n">
        <f>IF(AND(COUNT(AL398,AM398,AN398)=3,AL398&gt;=AM398,AM398&gt;=0,AN398=30),AL398-AM398,"")</f>
        <v>0</v>
      </c>
      <c r="L398" s="29" t="n">
        <f>IF(ISNUMBER(BI398),BI398/90,"")</f>
        <v>0.00006219894706452662</v>
      </c>
      <c r="M398" s="28" t="n">
        <v>0</v>
      </c>
      <c r="N398" s="28" t="n">
        <v>0</v>
      </c>
      <c r="O398" s="28" t="n">
        <v>0</v>
      </c>
      <c r="P398" s="30" t="n">
        <f>IF(AND(ISNUMBER(L398),L398&gt;0,COUNT(M398:O398)=3,MIN(M398:O398)&gt;=0),SUM(M398:O398)/L398,"")</f>
        <v>0</v>
      </c>
      <c r="Q398" s="16" t="str">
        <v>沿用同SPU原计划店铺</v>
      </c>
      <c r="R398" s="16" t="str">
        <v>已匹配</v>
      </c>
      <c r="S398" s="16" t="str">
        <v>停售</v>
      </c>
      <c r="T398" s="16" t="str">
        <v>1S01</v>
      </c>
      <c r="U398" s="16" t="str">
        <v>驼色</v>
      </c>
      <c r="V398" s="16" t="n">
        <v>7.5</v>
      </c>
      <c r="W398" s="8" t="str">
        <v>2026-10-08 至 2026-10-17</v>
      </c>
      <c r="X398" s="8" t="str">
        <v>2026-10-08、2026-10-09、2026-10-10、2026-10-11、2026-10-14、2026-10-15、2026-10-17</v>
      </c>
      <c r="Y398" s="8" t="str">
        <v>2026-10-12 有记录的停售日；2026-10-13 有记录的停售日；2026-10-16 有记录的停售日</v>
      </c>
      <c r="Z398" s="8" t="n">
        <v>0</v>
      </c>
      <c r="AA398" s="8" t="n">
        <v>0</v>
      </c>
      <c r="AB398" s="8" t="n">
        <v>7</v>
      </c>
      <c r="AC398" s="8" t="str">
        <v>2026-09-29 至 2026-10-17</v>
      </c>
      <c r="AD398" s="8" t="str">
        <v>2026-09-29、2026-09-30、2026-10-01、2026-10-02、2026-10-03、2026-10-04、2026-10-05、2026-10-08、2026-10-09、2026-10-10、2026-10-11、2026-10-14、2026-10-15、2026-10-17</v>
      </c>
      <c r="AE398" s="8" t="str">
        <v>2026-10-06 大促；2026-10-07 大促；2026-10-12 有记录的停售日；2026-10-13 有记录的停售日；2026-10-16 有记录的停售日</v>
      </c>
      <c r="AF398" s="8" t="n">
        <v>0</v>
      </c>
      <c r="AG398" s="8" t="n">
        <v>0</v>
      </c>
      <c r="AH398" s="8" t="n">
        <v>14</v>
      </c>
      <c r="AI398" s="8" t="str">
        <v>2026-09-13 至 2026-10-17</v>
      </c>
      <c r="AJ39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8" s="8" t="str">
        <v>2026-10-06 大促；2026-10-07 大促；2026-10-12 有记录的停售日；2026-10-13 有记录的停售日；2026-10-16 有记录的停售日</v>
      </c>
      <c r="AL398" s="8" t="n">
        <v>0</v>
      </c>
      <c r="AM398" s="8" t="n">
        <v>0</v>
      </c>
      <c r="AN398" s="8" t="n">
        <v>30</v>
      </c>
      <c r="AO398" s="8" t="str">
        <v>1S01 / 驼色PU / 6574</v>
      </c>
      <c r="AP398" s="11" t="n">
        <v>0.8729500662042875</v>
      </c>
      <c r="AQ398" s="11" t="n">
        <v>0.9355747145678367</v>
      </c>
      <c r="AR398" s="11" t="n">
        <v>1.135973589331194</v>
      </c>
      <c r="AS398" s="11" t="n">
        <f>IF(AND(COUNT(I398:K398,AP398:AR398)=6,MIN(AP398:AR398)&gt;0),I398/7/AP398*0.5+J398/14/AQ398*0.3+K398/30/AR398*0.2,"")</f>
        <v>0</v>
      </c>
      <c r="AT398" s="8" t="n">
        <v>0</v>
      </c>
      <c r="AU398" s="8" t="n">
        <v>0</v>
      </c>
      <c r="AV398" s="8" t="n">
        <v>85</v>
      </c>
      <c r="AW398" s="11" t="n">
        <f>IF(AND(COUNT(AT398:AV398)=3,AT398&gt;=AU398,AU398&gt;=0,AV398&gt;0),(AT398-AU398)/AV398,"")</f>
        <v>0</v>
      </c>
      <c r="AX398" s="8" t="n">
        <v>1</v>
      </c>
      <c r="AY398" s="8" t="n">
        <v>0</v>
      </c>
      <c r="AZ398" s="8" t="n">
        <v>175</v>
      </c>
      <c r="BA398" s="11" t="n">
        <f>IF(AND(COUNT(AX398:AZ398)=3,AX398&gt;=AY398,AY398&gt;=0,AZ398&gt;0),(AX398-AY398)/AZ398,"")</f>
        <v>0.005714285714285714</v>
      </c>
      <c r="BB398" s="8" t="n">
        <f>IF(COUNT(AS398,AW398,BA398)=3,1,0)</f>
        <v>1</v>
      </c>
      <c r="BC398" s="11" t="n">
        <f>IF(SUMIF($AO$11:$AO$1309,AO398,$BB$11:$BB$1309)=COUNTIF($AO$11:$AO$1309,AO398),SUMIF($AO$11:$AO$1309,AO398,$AS$11:$AS$1309),"")</f>
        <v>0.006104243994186601</v>
      </c>
      <c r="BD398" s="11" t="n">
        <f>IF(SUMIF($AO$11:$AO$1309,AO398,$BB$11:$BB$1309)=COUNTIF($AO$11:$AO$1309,AO398),SUMIF($AO$11:$AO$1309,AO398,$AW$11:$AW$1309),"")</f>
        <v>0.03409090909090909</v>
      </c>
      <c r="BE398" s="11" t="n">
        <f>IF(SUMIF($AO$11:$AO$1309,AO398,$BB$11:$BB$1309)=COUNTIF($AO$11:$AO$1309,AO398),SUMIF($AO$11:$AO$1309,AO398,$BA$11:$BA$1309),"")</f>
        <v>0.11951845906902087</v>
      </c>
      <c r="BF398" s="12" t="n">
        <f>IF(COUNT(BD398:BE398)&lt;&gt;2,"",IF(AND(BD398&gt;0,BE398&gt;0),0.7*AW398/BD398+0.3*BA398/BE398,IF(BD398&gt;0,AW398/BD398,IF(BE398&gt;0,BA398/BE398,IF(AND(ISNUMBER(BH398),BH398=0),0,"")))))</f>
        <v>0.01434327155519742</v>
      </c>
      <c r="BG398" s="11" t="n">
        <f>IF(AND(COUNT(BN398:BU398)=8,MIN(BN398:BU398)&gt;=0),SUMPRODUCT(BN398:BQ398,BR398:BU398),"")</f>
        <v>63.935996265425516</v>
      </c>
      <c r="BH398" s="11" t="n">
        <f>IF(COUNT(BC398,BG398)=2,BC398*BG398,"")</f>
        <v>0.39028092121556063</v>
      </c>
      <c r="BI398" s="11" t="n">
        <f>IF(ISNUMBER(CI398),CI398,"")</f>
        <v>0.0055979052358073956</v>
      </c>
      <c r="BJ398" s="8" t="str"/>
      <c r="BK398" s="8" t="str">
        <v>90天：2026-07-20 至 2026-10-17；180天：2026-04-21 至 2026-10-17</v>
      </c>
      <c r="BL398" s="8" t="str">
        <v>90天：2026-10-06、2026-10-07、2026-10-12、2026-10-13、2026-10-16；180天：2026-10-06、2026-10-07、2026-10-12、2026-10-13、2026-10-16</v>
      </c>
      <c r="BM398" s="8" t="str">
        <v>2026-10：12天 × 0.8729500662042875；2026-11：30天 × 0.8057375774163482；2026-12：31天 × 0.532550303142279；2027-01：17天 × 0.7517299265337036</v>
      </c>
      <c r="BN398" s="11" t="n">
        <v>0.8729500662042875</v>
      </c>
      <c r="BO398" s="11" t="n">
        <v>0.8057375774163482</v>
      </c>
      <c r="BP398" s="11" t="n">
        <v>0.532550303142279</v>
      </c>
      <c r="BQ398" s="11" t="n">
        <v>0.7517299265337036</v>
      </c>
      <c r="BR398" s="8" t="n">
        <v>12</v>
      </c>
      <c r="BS398" s="8" t="n">
        <v>30</v>
      </c>
      <c r="BT398" s="8" t="n">
        <v>31</v>
      </c>
      <c r="BU398" s="8" t="n">
        <v>17</v>
      </c>
      <c r="BV398" s="11" t="n">
        <f>IF(COUNT(BC398,BF398)=2,BC398*BF398,"")</f>
        <v>0.00008755482924780136</v>
      </c>
      <c r="BW398" s="11" t="n">
        <f>IF(ISNUMBER(BN398),BN398,"")</f>
        <v>0.8729500662042875</v>
      </c>
      <c r="BX398" s="14" t="n">
        <f>IF(ISNUMBER(BR398),BR398,"")</f>
        <v>12</v>
      </c>
      <c r="BY398" s="13" t="n">
        <f>IF(AND(COUNT(BV398,BW398,BX398)=3,MIN(BV398,BW398,BX398)&gt;=0),BV398*BW398*BX398,"")</f>
        <v>0.0009171719278604795</v>
      </c>
      <c r="BZ398" s="11" t="n">
        <f>IF(ISNUMBER(BO398),BO398,"")</f>
        <v>0.8057375774163482</v>
      </c>
      <c r="CA398" s="14" t="n">
        <f>IF(ISNUMBER(BS398),BS398,"")</f>
        <v>30</v>
      </c>
      <c r="CB398" s="13" t="n">
        <f>IF(AND(COUNT(BV398,BZ398,CA398)=3,MIN(BV398,BZ398,CA398)&gt;=0),BV398*BZ398*CA398,"")</f>
        <v>0.0021163864802767646</v>
      </c>
      <c r="CC398" s="11" t="n">
        <f>IF(ISNUMBER(BP398),BP398,"")</f>
        <v>0.532550303142279</v>
      </c>
      <c r="CD398" s="14" t="n">
        <f>IF(ISNUMBER(BT398),BT398,"")</f>
        <v>31</v>
      </c>
      <c r="CE398" s="13" t="n">
        <f>IF(AND(COUNT(BV398,CC398,CD398)=3,MIN(BV398,CC398,CD398)&gt;=0),BV398*CC398*CD398,"")</f>
        <v>0.0014454478765820998</v>
      </c>
      <c r="CF398" s="11" t="n">
        <f>IF(ISNUMBER(BQ398),BQ398,"")</f>
        <v>0.7517299265337036</v>
      </c>
      <c r="CG398" s="14" t="n">
        <f>IF(ISNUMBER(BU398),BU398,"")</f>
        <v>17</v>
      </c>
      <c r="CH398" s="13" t="n">
        <f>IF(AND(COUNT(BV398,CF398,CG398)=3,MIN(BV398,CF398,CG398)&gt;=0),BV398*CF398*CG398,"")</f>
        <v>0.0011188989510880515</v>
      </c>
      <c r="CI398" s="13" t="n">
        <f>IF(COUNT(BY398,CB398,CE398,CH398)=4,SUM(BY398,CB398,CE398,CH398),"")</f>
        <v>0.0055979052358073956</v>
      </c>
    </row>
    <row r="399" ht="72" customHeight="1">
      <c r="A399" s="16" t="str">
        <v>1S01-TAN-39</v>
      </c>
      <c r="B399" s="16" t="str">
        <v>3店-SANDIEX-US</v>
      </c>
      <c r="C399" s="16" t="str">
        <v>徐新怡</v>
      </c>
      <c r="D399" s="26" t="n">
        <f>IF(NOT(ISNUMBER(E399)),"",IF(OR(E399&lt;=0,L399=0),0,IF(OR(NOT(ISNUMBER(F399)),F399&lt;0),"",MIN(E399,INT(F399)))))</f>
        <v>0</v>
      </c>
      <c r="E399" s="27" t="n">
        <f>IF(OR(NOT(ISNUMBER(L399)),COUNT(M399:O399)&lt;&gt;3,MIN(M399:O399)&lt;0),"",ROUNDUP(ROUND(BI399-SUM(M399:O399),10),0))</f>
        <v>1</v>
      </c>
      <c r="F399" s="28" t="n">
        <v>0</v>
      </c>
      <c r="G399" s="28" t="n">
        <f>IF(AND(ISNUMBER(D399),ISNUMBER(E399)),IF(OR(E399&lt;=0,L399=0),0,E399-D399),"")</f>
        <v>1</v>
      </c>
      <c r="H399" s="16" t="str">
        <f>IF(NOT(ISNUMBER(E399)),"销量或海外库存待补",IF(OR(E399&lt;=0,L399=0),IF(L399=0,"零日销，本批不发","本批无需补货"),IF(NOT(ISNUMBER(D399)),"国内库存待补",IF(D399=0,"国内无可用库存",IF(G399&gt;0,"先发国内现货","按建议量发货")))))</f>
        <v>国内无可用库存</v>
      </c>
      <c r="I399" s="28" t="n">
        <f>IF(AND(COUNT(Z399,AA399,AB399)=3,Z399&gt;=AA399,AA399&gt;=0,AB399=7),Z399-AA399,"")</f>
        <v>0</v>
      </c>
      <c r="J399" s="28" t="n">
        <f>IF(AND(COUNT(AF399,AG399,AH399)=3,AF399&gt;=AG399,AG399&gt;=0,AH399=14),AF399-AG399,"")</f>
        <v>0</v>
      </c>
      <c r="K399" s="28" t="n">
        <f>IF(AND(COUNT(AL399,AM399,AN399)=3,AL399&gt;=AM399,AM399&gt;=0,AN399=30),AL399-AM399,"")</f>
        <v>0</v>
      </c>
      <c r="L399" s="29" t="n">
        <f>IF(ISNUMBER(BI399),BI399/90,"")</f>
        <v>0.0004975915765162129</v>
      </c>
      <c r="M399" s="28" t="n">
        <v>0</v>
      </c>
      <c r="N399" s="28" t="n">
        <v>0</v>
      </c>
      <c r="O399" s="28" t="n">
        <v>0</v>
      </c>
      <c r="P399" s="30" t="n">
        <f>IF(AND(ISNUMBER(L399),L399&gt;0,COUNT(M399:O399)=3,MIN(M399:O399)&gt;=0),SUM(M399:O399)/L399,"")</f>
        <v>0</v>
      </c>
      <c r="Q399" s="16" t="str">
        <v>沿用原计划SKU店铺</v>
      </c>
      <c r="R399" s="16" t="str">
        <v>已匹配</v>
      </c>
      <c r="S399" s="16" t="str">
        <v>停售</v>
      </c>
      <c r="T399" s="16" t="str">
        <v>1S01</v>
      </c>
      <c r="U399" s="16" t="str">
        <v>驼色</v>
      </c>
      <c r="V399" s="16" t="n">
        <v>8</v>
      </c>
      <c r="W399" s="8" t="str">
        <v>2026-10-08 至 2026-10-17</v>
      </c>
      <c r="X399" s="8" t="str">
        <v>2026-10-08、2026-10-09、2026-10-10、2026-10-11、2026-10-14、2026-10-15、2026-10-17</v>
      </c>
      <c r="Y399" s="8" t="str">
        <v>2026-10-12 有记录的停售日；2026-10-13 有记录的停售日；2026-10-16 有记录的停售日</v>
      </c>
      <c r="Z399" s="8" t="n">
        <v>0</v>
      </c>
      <c r="AA399" s="8" t="n">
        <v>0</v>
      </c>
      <c r="AB399" s="8" t="n">
        <v>7</v>
      </c>
      <c r="AC399" s="8" t="str">
        <v>2026-09-29 至 2026-10-17</v>
      </c>
      <c r="AD399" s="8" t="str">
        <v>2026-09-29、2026-09-30、2026-10-01、2026-10-02、2026-10-03、2026-10-04、2026-10-05、2026-10-08、2026-10-09、2026-10-10、2026-10-11、2026-10-14、2026-10-15、2026-10-17</v>
      </c>
      <c r="AE399" s="8" t="str">
        <v>2026-10-06 大促；2026-10-07 大促；2026-10-12 有记录的停售日；2026-10-13 有记录的停售日；2026-10-16 有记录的停售日</v>
      </c>
      <c r="AF399" s="8" t="n">
        <v>0</v>
      </c>
      <c r="AG399" s="8" t="n">
        <v>0</v>
      </c>
      <c r="AH399" s="8" t="n">
        <v>14</v>
      </c>
      <c r="AI399" s="8" t="str">
        <v>2026-09-13 至 2026-10-17</v>
      </c>
      <c r="AJ39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399" s="8" t="str">
        <v>2026-10-06 大促；2026-10-07 大促；2026-10-12 有记录的停售日；2026-10-13 有记录的停售日；2026-10-16 有记录的停售日</v>
      </c>
      <c r="AL399" s="8" t="n">
        <v>0</v>
      </c>
      <c r="AM399" s="8" t="n">
        <v>0</v>
      </c>
      <c r="AN399" s="8" t="n">
        <v>30</v>
      </c>
      <c r="AO399" s="8" t="str">
        <v>1S01 / 驼色PU / 6574</v>
      </c>
      <c r="AP399" s="11" t="n">
        <v>0.8729500662042875</v>
      </c>
      <c r="AQ399" s="11" t="n">
        <v>0.9355747145678367</v>
      </c>
      <c r="AR399" s="11" t="n">
        <v>1.135973589331194</v>
      </c>
      <c r="AS399" s="11" t="n">
        <f>IF(AND(COUNT(I399:K399,AP399:AR399)=6,MIN(AP399:AR399)&gt;0),I399/7/AP399*0.5+J399/14/AQ399*0.3+K399/30/AR399*0.2,"")</f>
        <v>0</v>
      </c>
      <c r="AT399" s="8" t="n">
        <v>0</v>
      </c>
      <c r="AU399" s="8" t="n">
        <v>0</v>
      </c>
      <c r="AV399" s="8" t="n">
        <v>85</v>
      </c>
      <c r="AW399" s="11" t="n">
        <f>IF(AND(COUNT(AT399:AV399)=3,AT399&gt;=AU399,AU399&gt;=0,AV399&gt;0),(AT399-AU399)/AV399,"")</f>
        <v>0</v>
      </c>
      <c r="AX399" s="8" t="n">
        <v>8</v>
      </c>
      <c r="AY399" s="8" t="n">
        <v>0</v>
      </c>
      <c r="AZ399" s="8" t="n">
        <v>175</v>
      </c>
      <c r="BA399" s="11" t="n">
        <f>IF(AND(COUNT(AX399:AZ399)=3,AX399&gt;=AY399,AY399&gt;=0,AZ399&gt;0),(AX399-AY399)/AZ399,"")</f>
        <v>0.045714285714285714</v>
      </c>
      <c r="BB399" s="8" t="n">
        <f>IF(COUNT(AS399,AW399,BA399)=3,1,0)</f>
        <v>1</v>
      </c>
      <c r="BC399" s="11" t="n">
        <f>IF(SUMIF($AO$11:$AO$1309,AO399,$BB$11:$BB$1309)=COUNTIF($AO$11:$AO$1309,AO399),SUMIF($AO$11:$AO$1309,AO399,$AS$11:$AS$1309),"")</f>
        <v>0.006104243994186601</v>
      </c>
      <c r="BD399" s="11" t="n">
        <f>IF(SUMIF($AO$11:$AO$1309,AO399,$BB$11:$BB$1309)=COUNTIF($AO$11:$AO$1309,AO399),SUMIF($AO$11:$AO$1309,AO399,$AW$11:$AW$1309),"")</f>
        <v>0.03409090909090909</v>
      </c>
      <c r="BE399" s="11" t="n">
        <f>IF(SUMIF($AO$11:$AO$1309,AO399,$BB$11:$BB$1309)=COUNTIF($AO$11:$AO$1309,AO399),SUMIF($AO$11:$AO$1309,AO399,$BA$11:$BA$1309),"")</f>
        <v>0.11951845906902087</v>
      </c>
      <c r="BF399" s="12" t="n">
        <f>IF(COUNT(BD399:BE399)&lt;&gt;2,"",IF(AND(BD399&gt;0,BE399&gt;0),0.7*AW399/BD399+0.3*BA399/BE399,IF(BD399&gt;0,AW399/BD399,IF(BE399&gt;0,BA399/BE399,IF(AND(ISNUMBER(BH399),BH399=0),0,"")))))</f>
        <v>0.11474617244157936</v>
      </c>
      <c r="BG399" s="11" t="n">
        <f>IF(AND(COUNT(BN399:BU399)=8,MIN(BN399:BU399)&gt;=0),SUMPRODUCT(BN399:BQ399,BR399:BU399),"")</f>
        <v>63.935996265425516</v>
      </c>
      <c r="BH399" s="11" t="n">
        <f>IF(COUNT(BC399,BG399)=2,BC399*BG399,"")</f>
        <v>0.39028092121556063</v>
      </c>
      <c r="BI399" s="11" t="n">
        <f>IF(ISNUMBER(CI399),CI399,"")</f>
        <v>0.044783241886459164</v>
      </c>
      <c r="BJ399" s="8" t="str"/>
      <c r="BK399" s="8" t="str">
        <v>90天：2026-07-20 至 2026-10-17；180天：2026-04-21 至 2026-10-17</v>
      </c>
      <c r="BL399" s="8" t="str">
        <v>90天：2026-10-06、2026-10-07、2026-10-12、2026-10-13、2026-10-16；180天：2026-10-06、2026-10-07、2026-10-12、2026-10-13、2026-10-16</v>
      </c>
      <c r="BM399" s="8" t="str">
        <v>2026-10：12天 × 0.8729500662042875；2026-11：30天 × 0.8057375774163482；2026-12：31天 × 0.532550303142279；2027-01：17天 × 0.7517299265337036</v>
      </c>
      <c r="BN399" s="11" t="n">
        <v>0.8729500662042875</v>
      </c>
      <c r="BO399" s="11" t="n">
        <v>0.8057375774163482</v>
      </c>
      <c r="BP399" s="11" t="n">
        <v>0.532550303142279</v>
      </c>
      <c r="BQ399" s="11" t="n">
        <v>0.7517299265337036</v>
      </c>
      <c r="BR399" s="8" t="n">
        <v>12</v>
      </c>
      <c r="BS399" s="8" t="n">
        <v>30</v>
      </c>
      <c r="BT399" s="8" t="n">
        <v>31</v>
      </c>
      <c r="BU399" s="8" t="n">
        <v>17</v>
      </c>
      <c r="BV399" s="11" t="n">
        <f>IF(COUNT(BC399,BF399)=2,BC399*BF399,"")</f>
        <v>0.0007004386339824109</v>
      </c>
      <c r="BW399" s="11" t="n">
        <f>IF(ISNUMBER(BN399),BN399,"")</f>
        <v>0.8729500662042875</v>
      </c>
      <c r="BX399" s="14" t="n">
        <f>IF(ISNUMBER(BR399),BR399,"")</f>
        <v>12</v>
      </c>
      <c r="BY399" s="13" t="n">
        <f>IF(AND(COUNT(BV399,BW399,BX399)=3,MIN(BV399,BW399,BX399)&gt;=0),BV399*BW399*BX399,"")</f>
        <v>0.007337375422883836</v>
      </c>
      <c r="BZ399" s="11" t="n">
        <f>IF(ISNUMBER(BO399),BO399,"")</f>
        <v>0.8057375774163482</v>
      </c>
      <c r="CA399" s="14" t="n">
        <f>IF(ISNUMBER(BS399),BS399,"")</f>
        <v>30</v>
      </c>
      <c r="CB399" s="13" t="n">
        <f>IF(AND(COUNT(BV399,BZ399,CA399)=3,MIN(BV399,BZ399,CA399)&gt;=0),BV399*BZ399*CA399,"")</f>
        <v>0.016931091842214117</v>
      </c>
      <c r="CC399" s="11" t="n">
        <f>IF(ISNUMBER(BP399),BP399,"")</f>
        <v>0.532550303142279</v>
      </c>
      <c r="CD399" s="14" t="n">
        <f>IF(ISNUMBER(BT399),BT399,"")</f>
        <v>31</v>
      </c>
      <c r="CE399" s="13" t="n">
        <f>IF(AND(COUNT(BV399,CC399,CD399)=3,MIN(BV399,CC399,CD399)&gt;=0),BV399*CC399*CD399,"")</f>
        <v>0.011563583012656798</v>
      </c>
      <c r="CF399" s="11" t="n">
        <f>IF(ISNUMBER(BQ399),BQ399,"")</f>
        <v>0.7517299265337036</v>
      </c>
      <c r="CG399" s="14" t="n">
        <f>IF(ISNUMBER(BU399),BU399,"")</f>
        <v>17</v>
      </c>
      <c r="CH399" s="13" t="n">
        <f>IF(AND(COUNT(BV399,CF399,CG399)=3,MIN(BV399,CF399,CG399)&gt;=0),BV399*CF399*CG399,"")</f>
        <v>0.008951191608704412</v>
      </c>
      <c r="CI399" s="13" t="n">
        <f>IF(COUNT(BY399,CB399,CE399,CH399)=4,SUM(BY399,CB399,CE399,CH399),"")</f>
        <v>0.044783241886459164</v>
      </c>
    </row>
    <row r="400" ht="72" customHeight="1">
      <c r="A400" s="16" t="str">
        <v>1S01-TAN-40.5</v>
      </c>
      <c r="B400" s="16" t="str">
        <v>3店-SANDIEX-US</v>
      </c>
      <c r="C400" s="16" t="str">
        <v>徐新怡</v>
      </c>
      <c r="D400" s="26" t="n">
        <f>IF(NOT(ISNUMBER(E400)),"",IF(OR(E400&lt;=0,L400=0),0,IF(OR(NOT(ISNUMBER(F400)),F400&lt;0),"",MIN(E400,INT(F400)))))</f>
        <v>0</v>
      </c>
      <c r="E400" s="27" t="n">
        <f>IF(OR(NOT(ISNUMBER(L400)),COUNT(M400:O400)&lt;&gt;3,MIN(M400:O400)&lt;0),"",ROUNDUP(ROUND(BI400-SUM(M400:O400),10),0))</f>
        <v>1</v>
      </c>
      <c r="F400" s="28" t="n">
        <v>0</v>
      </c>
      <c r="G400" s="28" t="n">
        <f>IF(AND(ISNUMBER(D400),ISNUMBER(E400)),IF(OR(E400&lt;=0,L400=0),0,E400-D400),"")</f>
        <v>1</v>
      </c>
      <c r="H400" s="16" t="str">
        <f>IF(NOT(ISNUMBER(E400)),"销量或海外库存待补",IF(OR(E400&lt;=0,L400=0),IF(L400=0,"零日销，本批不发","本批无需补货"),IF(NOT(ISNUMBER(D400)),"国内库存待补",IF(D400=0,"国内无可用库存",IF(G400&gt;0,"先发国内现货","按建议量发货")))))</f>
        <v>国内无可用库存</v>
      </c>
      <c r="I400" s="28" t="n">
        <f>IF(AND(COUNT(Z400,AA400,AB400)=3,Z400&gt;=AA400,AA400&gt;=0,AB400=7),Z400-AA400,"")</f>
        <v>0</v>
      </c>
      <c r="J400" s="28" t="n">
        <f>IF(AND(COUNT(AF400,AG400,AH400)=3,AF400&gt;=AG400,AG400&gt;=0,AH400=14),AF400-AG400,"")</f>
        <v>0</v>
      </c>
      <c r="K400" s="28" t="n">
        <f>IF(AND(COUNT(AL400,AM400,AN400)=3,AL400&gt;=AM400,AM400&gt;=0,AN400=30),AL400-AM400,"")</f>
        <v>0</v>
      </c>
      <c r="L400" s="29" t="n">
        <f>IF(ISNUMBER(BI400),BI400/90,"")</f>
        <v>0.00037319368238715965</v>
      </c>
      <c r="M400" s="28" t="n">
        <v>0</v>
      </c>
      <c r="N400" s="28" t="n">
        <v>0</v>
      </c>
      <c r="O400" s="28" t="n">
        <v>0</v>
      </c>
      <c r="P400" s="30" t="n">
        <f>IF(AND(ISNUMBER(L400),L400&gt;0,COUNT(M400:O400)=3,MIN(M400:O400)&gt;=0),SUM(M400:O400)/L400,"")</f>
        <v>0</v>
      </c>
      <c r="Q400" s="16" t="str">
        <v>沿用同SPU原计划店铺</v>
      </c>
      <c r="R400" s="16" t="str">
        <v>已匹配</v>
      </c>
      <c r="S400" s="16" t="str">
        <v>停售</v>
      </c>
      <c r="T400" s="16" t="str">
        <v>1S01</v>
      </c>
      <c r="U400" s="16" t="str">
        <v>驼色</v>
      </c>
      <c r="V400" s="16" t="n">
        <v>9.5</v>
      </c>
      <c r="W400" s="8" t="str">
        <v>2026-10-08 至 2026-10-17</v>
      </c>
      <c r="X400" s="8" t="str">
        <v>2026-10-08、2026-10-09、2026-10-10、2026-10-11、2026-10-14、2026-10-15、2026-10-17</v>
      </c>
      <c r="Y400" s="8" t="str">
        <v>2026-10-12 有记录的停售日；2026-10-13 有记录的停售日；2026-10-16 有记录的停售日</v>
      </c>
      <c r="Z400" s="8" t="n">
        <v>0</v>
      </c>
      <c r="AA400" s="8" t="n">
        <v>0</v>
      </c>
      <c r="AB400" s="8" t="n">
        <v>7</v>
      </c>
      <c r="AC400" s="8" t="str">
        <v>2026-09-29 至 2026-10-17</v>
      </c>
      <c r="AD400" s="8" t="str">
        <v>2026-09-29、2026-09-30、2026-10-01、2026-10-02、2026-10-03、2026-10-04、2026-10-05、2026-10-08、2026-10-09、2026-10-10、2026-10-11、2026-10-14、2026-10-15、2026-10-17</v>
      </c>
      <c r="AE400" s="8" t="str">
        <v>2026-10-06 大促；2026-10-07 大促；2026-10-12 有记录的停售日；2026-10-13 有记录的停售日；2026-10-16 有记录的停售日</v>
      </c>
      <c r="AF400" s="8" t="n">
        <v>0</v>
      </c>
      <c r="AG400" s="8" t="n">
        <v>0</v>
      </c>
      <c r="AH400" s="8" t="n">
        <v>14</v>
      </c>
      <c r="AI400" s="8" t="str">
        <v>2026-09-13 至 2026-10-17</v>
      </c>
      <c r="AJ40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0" s="8" t="str">
        <v>2026-10-06 大促；2026-10-07 大促；2026-10-12 有记录的停售日；2026-10-13 有记录的停售日；2026-10-16 有记录的停售日</v>
      </c>
      <c r="AL400" s="8" t="n">
        <v>0</v>
      </c>
      <c r="AM400" s="8" t="n">
        <v>0</v>
      </c>
      <c r="AN400" s="8" t="n">
        <v>30</v>
      </c>
      <c r="AO400" s="8" t="str">
        <v>1S01 / 驼色PU / 6574</v>
      </c>
      <c r="AP400" s="11" t="n">
        <v>0.8729500662042875</v>
      </c>
      <c r="AQ400" s="11" t="n">
        <v>0.9355747145678367</v>
      </c>
      <c r="AR400" s="11" t="n">
        <v>1.135973589331194</v>
      </c>
      <c r="AS400" s="11" t="n">
        <f>IF(AND(COUNT(I400:K400,AP400:AR400)=6,MIN(AP400:AR400)&gt;0),I400/7/AP400*0.5+J400/14/AQ400*0.3+K400/30/AR400*0.2,"")</f>
        <v>0</v>
      </c>
      <c r="AT400" s="8" t="n">
        <v>0</v>
      </c>
      <c r="AU400" s="8" t="n">
        <v>0</v>
      </c>
      <c r="AV400" s="8" t="n">
        <v>85</v>
      </c>
      <c r="AW400" s="11" t="n">
        <f>IF(AND(COUNT(AT400:AV400)=3,AT400&gt;=AU400,AU400&gt;=0,AV400&gt;0),(AT400-AU400)/AV400,"")</f>
        <v>0</v>
      </c>
      <c r="AX400" s="8" t="n">
        <v>6</v>
      </c>
      <c r="AY400" s="8" t="n">
        <v>0</v>
      </c>
      <c r="AZ400" s="8" t="n">
        <v>175</v>
      </c>
      <c r="BA400" s="11" t="n">
        <f>IF(AND(COUNT(AX400:AZ400)=3,AX400&gt;=AY400,AY400&gt;=0,AZ400&gt;0),(AX400-AY400)/AZ400,"")</f>
        <v>0.03428571428571429</v>
      </c>
      <c r="BB400" s="8" t="n">
        <f>IF(COUNT(AS400,AW400,BA400)=3,1,0)</f>
        <v>1</v>
      </c>
      <c r="BC400" s="11" t="n">
        <f>IF(SUMIF($AO$11:$AO$1309,AO400,$BB$11:$BB$1309)=COUNTIF($AO$11:$AO$1309,AO400),SUMIF($AO$11:$AO$1309,AO400,$AS$11:$AS$1309),"")</f>
        <v>0.006104243994186601</v>
      </c>
      <c r="BD400" s="11" t="n">
        <f>IF(SUMIF($AO$11:$AO$1309,AO400,$BB$11:$BB$1309)=COUNTIF($AO$11:$AO$1309,AO400),SUMIF($AO$11:$AO$1309,AO400,$AW$11:$AW$1309),"")</f>
        <v>0.03409090909090909</v>
      </c>
      <c r="BE400" s="11" t="n">
        <f>IF(SUMIF($AO$11:$AO$1309,AO400,$BB$11:$BB$1309)=COUNTIF($AO$11:$AO$1309,AO400),SUMIF($AO$11:$AO$1309,AO400,$BA$11:$BA$1309),"")</f>
        <v>0.11951845906902087</v>
      </c>
      <c r="BF400" s="12" t="n">
        <f>IF(COUNT(BD400:BE400)&lt;&gt;2,"",IF(AND(BD400&gt;0,BE400&gt;0),0.7*AW400/BD400+0.3*BA400/BE400,IF(BD400&gt;0,AW400/BD400,IF(BE400&gt;0,BA400/BE400,IF(AND(ISNUMBER(BH400),BH400=0),0,"")))))</f>
        <v>0.08605962933118452</v>
      </c>
      <c r="BG400" s="11" t="n">
        <f>IF(AND(COUNT(BN400:BU400)=8,MIN(BN400:BU400)&gt;=0),SUMPRODUCT(BN400:BQ400,BR400:BU400),"")</f>
        <v>63.935996265425516</v>
      </c>
      <c r="BH400" s="11" t="n">
        <f>IF(COUNT(BC400,BG400)=2,BC400*BG400,"")</f>
        <v>0.39028092121556063</v>
      </c>
      <c r="BI400" s="11" t="n">
        <f>IF(ISNUMBER(CI400),CI400,"")</f>
        <v>0.03358743141484437</v>
      </c>
      <c r="BJ400" s="8" t="str"/>
      <c r="BK400" s="8" t="str">
        <v>90天：2026-07-20 至 2026-10-17；180天：2026-04-21 至 2026-10-17</v>
      </c>
      <c r="BL400" s="8" t="str">
        <v>90天：2026-10-06、2026-10-07、2026-10-12、2026-10-13、2026-10-16；180天：2026-10-06、2026-10-07、2026-10-12、2026-10-13、2026-10-16</v>
      </c>
      <c r="BM400" s="8" t="str">
        <v>2026-10：12天 × 0.8729500662042875；2026-11：30天 × 0.8057375774163482；2026-12：31天 × 0.532550303142279；2027-01：17天 × 0.7517299265337036</v>
      </c>
      <c r="BN400" s="11" t="n">
        <v>0.8729500662042875</v>
      </c>
      <c r="BO400" s="11" t="n">
        <v>0.8057375774163482</v>
      </c>
      <c r="BP400" s="11" t="n">
        <v>0.532550303142279</v>
      </c>
      <c r="BQ400" s="11" t="n">
        <v>0.7517299265337036</v>
      </c>
      <c r="BR400" s="8" t="n">
        <v>12</v>
      </c>
      <c r="BS400" s="8" t="n">
        <v>30</v>
      </c>
      <c r="BT400" s="8" t="n">
        <v>31</v>
      </c>
      <c r="BU400" s="8" t="n">
        <v>17</v>
      </c>
      <c r="BV400" s="11" t="n">
        <f>IF(COUNT(BC400,BF400)=2,BC400*BF400,"")</f>
        <v>0.0005253289754868081</v>
      </c>
      <c r="BW400" s="11" t="n">
        <f>IF(ISNUMBER(BN400),BN400,"")</f>
        <v>0.8729500662042875</v>
      </c>
      <c r="BX400" s="14" t="n">
        <f>IF(ISNUMBER(BR400),BR400,"")</f>
        <v>12</v>
      </c>
      <c r="BY400" s="13" t="n">
        <f>IF(AND(COUNT(BV400,BW400,BX400)=3,MIN(BV400,BW400,BX400)&gt;=0),BV400*BW400*BX400,"")</f>
        <v>0.005503031567162876</v>
      </c>
      <c r="BZ400" s="11" t="n">
        <f>IF(ISNUMBER(BO400),BO400,"")</f>
        <v>0.8057375774163482</v>
      </c>
      <c r="CA400" s="14" t="n">
        <f>IF(ISNUMBER(BS400),BS400,"")</f>
        <v>30</v>
      </c>
      <c r="CB400" s="13" t="n">
        <f>IF(AND(COUNT(BV400,BZ400,CA400)=3,MIN(BV400,BZ400,CA400)&gt;=0),BV400*BZ400*CA400,"")</f>
        <v>0.012698318881660588</v>
      </c>
      <c r="CC400" s="11" t="n">
        <f>IF(ISNUMBER(BP400),BP400,"")</f>
        <v>0.532550303142279</v>
      </c>
      <c r="CD400" s="14" t="n">
        <f>IF(ISNUMBER(BT400),BT400,"")</f>
        <v>31</v>
      </c>
      <c r="CE400" s="13" t="n">
        <f>IF(AND(COUNT(BV400,CC400,CD400)=3,MIN(BV400,CC400,CD400)&gt;=0),BV400*CC400*CD400,"")</f>
        <v>0.0086726872594926</v>
      </c>
      <c r="CF400" s="11" t="n">
        <f>IF(ISNUMBER(BQ400),BQ400,"")</f>
        <v>0.7517299265337036</v>
      </c>
      <c r="CG400" s="14" t="n">
        <f>IF(ISNUMBER(BU400),BU400,"")</f>
        <v>17</v>
      </c>
      <c r="CH400" s="13" t="n">
        <f>IF(AND(COUNT(BV400,CF400,CG400)=3,MIN(BV400,CF400,CG400)&gt;=0),BV400*CF400*CG400,"")</f>
        <v>0.006713393706528309</v>
      </c>
      <c r="CI400" s="13" t="n">
        <f>IF(COUNT(BY400,CB400,CE400,CH400)=4,SUM(BY400,CB400,CE400,CH400),"")</f>
        <v>0.03358743141484437</v>
      </c>
    </row>
    <row r="401" ht="72" customHeight="1">
      <c r="A401" s="16" t="str">
        <v>1S01-TN-42</v>
      </c>
      <c r="B401" s="16" t="str">
        <v>3店-SANDIEX-US</v>
      </c>
      <c r="C401" s="16" t="str">
        <v>徐新怡</v>
      </c>
      <c r="D401" s="26" t="n">
        <f>IF(NOT(ISNUMBER(E401)),"",IF(OR(E401&lt;=0,L401=0),0,IF(OR(NOT(ISNUMBER(F401)),F401&lt;0),"",MIN(E401,INT(F401)))))</f>
        <v>0</v>
      </c>
      <c r="E401" s="27" t="n">
        <f>IF(OR(NOT(ISNUMBER(L401)),COUNT(M401:O401)&lt;&gt;3,MIN(M401:O401)&lt;0),"",ROUNDUP(ROUND(BI401-SUM(M401:O401),10),0))</f>
        <v>1</v>
      </c>
      <c r="F401" s="28" t="n">
        <v>0</v>
      </c>
      <c r="G401" s="28" t="n">
        <f>IF(AND(ISNUMBER(D401),ISNUMBER(E401)),IF(OR(E401&lt;=0,L401=0),0,E401-D401),"")</f>
        <v>1</v>
      </c>
      <c r="H401" s="16" t="str">
        <f>IF(NOT(ISNUMBER(E401)),"销量或海外库存待补",IF(OR(E401&lt;=0,L401=0),IF(L401=0,"零日销，本批不发","本批无需补货"),IF(NOT(ISNUMBER(D401)),"国内库存待补",IF(D401=0,"国内无可用库存",IF(G401&gt;0,"先发国内现货","按建议量发货")))))</f>
        <v>国内无可用库存</v>
      </c>
      <c r="I401" s="28" t="n">
        <f>IF(AND(COUNT(Z401,AA401,AB401)=3,Z401&gt;=AA401,AA401&gt;=0,AB401=7),Z401-AA401,"")</f>
        <v>0</v>
      </c>
      <c r="J401" s="28" t="n">
        <f>IF(AND(COUNT(AF401,AG401,AH401)=3,AF401&gt;=AG401,AG401&gt;=0,AH401=14),AF401-AG401,"")</f>
        <v>0</v>
      </c>
      <c r="K401" s="28" t="n">
        <f>IF(AND(COUNT(AL401,AM401,AN401)=3,AL401&gt;=AM401,AM401&gt;=0,AN401=30),AL401-AM401,"")</f>
        <v>0</v>
      </c>
      <c r="L401" s="29" t="n">
        <f>IF(ISNUMBER(BI401),BI401/90,"")</f>
        <v>0.005755520151223393</v>
      </c>
      <c r="M401" s="28" t="n">
        <v>0</v>
      </c>
      <c r="N401" s="28" t="n">
        <v>0</v>
      </c>
      <c r="O401" s="28" t="n">
        <v>0</v>
      </c>
      <c r="P401" s="30" t="n">
        <f>IF(AND(ISNUMBER(L401),L401&gt;0,COUNT(M401:O401)=3,MIN(M401:O401)&gt;=0),SUM(M401:O401)/L401,"")</f>
        <v>0</v>
      </c>
      <c r="Q401" s="16" t="str">
        <v>沿用原计划SKU店铺</v>
      </c>
      <c r="R401" s="16" t="str">
        <v>已匹配</v>
      </c>
      <c r="S401" s="16" t="str">
        <v>停售</v>
      </c>
      <c r="T401" s="16" t="str">
        <v>1S01</v>
      </c>
      <c r="U401" s="16" t="str">
        <v>驼色</v>
      </c>
      <c r="V401" s="16" t="n">
        <v>11</v>
      </c>
      <c r="W401" s="8" t="str">
        <v>2026-10-08 至 2026-10-17</v>
      </c>
      <c r="X401" s="8" t="str">
        <v>2026-10-08、2026-10-09、2026-10-10、2026-10-11、2026-10-14、2026-10-15、2026-10-17</v>
      </c>
      <c r="Y401" s="8" t="str">
        <v>2026-10-12 有记录的停售日；2026-10-13 有记录的停售日；2026-10-16 有记录的停售日</v>
      </c>
      <c r="Z401" s="8" t="n">
        <v>0</v>
      </c>
      <c r="AA401" s="8" t="n">
        <v>0</v>
      </c>
      <c r="AB401" s="8" t="n">
        <v>7</v>
      </c>
      <c r="AC401" s="8" t="str">
        <v>2026-09-29 至 2026-10-17</v>
      </c>
      <c r="AD401" s="8" t="str">
        <v>2026-09-29、2026-09-30、2026-10-01、2026-10-02、2026-10-03、2026-10-04、2026-10-05、2026-10-08、2026-10-09、2026-10-10、2026-10-11、2026-10-14、2026-10-15、2026-10-17</v>
      </c>
      <c r="AE401" s="8" t="str">
        <v>2026-10-06 大促；2026-10-07 大促；2026-10-12 有记录的停售日；2026-10-13 有记录的停售日；2026-10-16 有记录的停售日</v>
      </c>
      <c r="AF401" s="8" t="n">
        <v>0</v>
      </c>
      <c r="AG401" s="8" t="n">
        <v>0</v>
      </c>
      <c r="AH401" s="8" t="n">
        <v>14</v>
      </c>
      <c r="AI401" s="8" t="str">
        <v>2026-09-13 至 2026-10-17</v>
      </c>
      <c r="AJ4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1" s="8" t="str">
        <v>2026-10-06 大促；2026-10-07 大促；2026-10-12 有记录的停售日；2026-10-13 有记录的停售日；2026-10-16 有记录的停售日</v>
      </c>
      <c r="AL401" s="8" t="n">
        <v>0</v>
      </c>
      <c r="AM401" s="8" t="n">
        <v>0</v>
      </c>
      <c r="AN401" s="8" t="n">
        <v>30</v>
      </c>
      <c r="AO401" s="8" t="str">
        <v>1S01 / 驼色羊京绒 / 6574</v>
      </c>
      <c r="AP401" s="11" t="n">
        <v>0.8729500662042875</v>
      </c>
      <c r="AQ401" s="11" t="n">
        <v>0.9355747145678367</v>
      </c>
      <c r="AR401" s="11" t="n">
        <v>1.135973589331194</v>
      </c>
      <c r="AS401" s="11" t="n">
        <f>IF(AND(COUNT(I401:K401,AP401:AR401)=6,MIN(AP401:AR401)&gt;0),I401/7/AP401*0.5+J401/14/AQ401*0.3+K401/30/AR401*0.2,"")</f>
        <v>0</v>
      </c>
      <c r="AT401" s="8" t="n">
        <v>0</v>
      </c>
      <c r="AU401" s="8" t="n">
        <v>0</v>
      </c>
      <c r="AV401" s="8" t="n">
        <v>85</v>
      </c>
      <c r="AW401" s="11" t="n">
        <f>IF(AND(COUNT(AT401:AV401)=3,AT401&gt;=AU401,AU401&gt;=0,AV401&gt;0),(AT401-AU401)/AV401,"")</f>
        <v>0</v>
      </c>
      <c r="AX401" s="8" t="n">
        <v>2</v>
      </c>
      <c r="AY401" s="8" t="n">
        <v>0</v>
      </c>
      <c r="AZ401" s="8" t="n">
        <v>175</v>
      </c>
      <c r="BA401" s="11" t="n">
        <f>IF(AND(COUNT(AX401:AZ401)=3,AX401&gt;=AY401,AY401&gt;=0,AZ401&gt;0),(AX401-AY401)/AZ401,"")</f>
        <v>0.011428571428571429</v>
      </c>
      <c r="BB401" s="8" t="n">
        <f>IF(COUNT(AS401,AW401,BA401)=3,1,0)</f>
        <v>1</v>
      </c>
      <c r="BC401" s="11" t="n">
        <f>IF(SUMIF($AO$11:$AO$1309,AO401,$BB$11:$BB$1309)=COUNTIF($AO$11:$AO$1309,AO401),SUMIF($AO$11:$AO$1309,AO401,$AS$11:$AS$1309),"")</f>
        <v>1.6617039653335794</v>
      </c>
      <c r="BD401" s="11" t="n">
        <f>IF(SUMIF($AO$11:$AO$1309,AO401,$BB$11:$BB$1309)=COUNTIF($AO$11:$AO$1309,AO401),SUMIF($AO$11:$AO$1309,AO401,$AW$11:$AW$1309),"")</f>
        <v>0.8879679144385026</v>
      </c>
      <c r="BE401" s="11" t="n">
        <f>IF(SUMIF($AO$11:$AO$1309,AO401,$BB$11:$BB$1309)=COUNTIF($AO$11:$AO$1309,AO401),SUMIF($AO$11:$AO$1309,AO401,$BA$11:$BA$1309),"")</f>
        <v>0.7032102728731942</v>
      </c>
      <c r="BF401" s="12" t="n">
        <f>IF(COUNT(BD401:BE401)&lt;&gt;2,"",IF(AND(BD401&gt;0,BE401&gt;0),0.7*AW401/BD401+0.3*BA401/BE401,IF(BD401&gt;0,AW401/BD401,IF(BE401&gt;0,BA401/BE401,IF(AND(ISNUMBER(BH401),BH401=0),0,"")))))</f>
        <v>0.004875599178269801</v>
      </c>
      <c r="BG401" s="11" t="n">
        <f>IF(AND(COUNT(BN401:BU401)=8,MIN(BN401:BU401)&gt;=0),SUMPRODUCT(BN401:BQ401,BR401:BU401),"")</f>
        <v>63.935996265425516</v>
      </c>
      <c r="BH401" s="11" t="n">
        <f>IF(COUNT(BC401,BG401)=2,BC401*BG401,"")</f>
        <v>106.24269852181051</v>
      </c>
      <c r="BI401" s="11" t="n">
        <f>IF(ISNUMBER(CI401),CI401,"")</f>
        <v>0.5179968136101054</v>
      </c>
      <c r="BJ401" s="8" t="str"/>
      <c r="BK401" s="8" t="str">
        <v>90天：2026-07-20 至 2026-10-17；180天：2026-04-21 至 2026-10-17</v>
      </c>
      <c r="BL401" s="8" t="str">
        <v>90天：2026-10-06、2026-10-07、2026-10-12、2026-10-13、2026-10-16；180天：2026-10-06、2026-10-07、2026-10-12、2026-10-13、2026-10-16</v>
      </c>
      <c r="BM401" s="8" t="str">
        <v>2026-10：12天 × 0.8729500662042875；2026-11：30天 × 0.8057375774163482；2026-12：31天 × 0.532550303142279；2027-01：17天 × 0.7517299265337036</v>
      </c>
      <c r="BN401" s="11" t="n">
        <v>0.8729500662042875</v>
      </c>
      <c r="BO401" s="11" t="n">
        <v>0.8057375774163482</v>
      </c>
      <c r="BP401" s="11" t="n">
        <v>0.532550303142279</v>
      </c>
      <c r="BQ401" s="11" t="n">
        <v>0.7517299265337036</v>
      </c>
      <c r="BR401" s="8" t="n">
        <v>12</v>
      </c>
      <c r="BS401" s="8" t="n">
        <v>30</v>
      </c>
      <c r="BT401" s="8" t="n">
        <v>31</v>
      </c>
      <c r="BU401" s="8" t="n">
        <v>17</v>
      </c>
      <c r="BV401" s="11" t="n">
        <f>IF(COUNT(BC401,BF401)=2,BC401*BF401,"")</f>
        <v>0.00810180248790807</v>
      </c>
      <c r="BW401" s="11" t="n">
        <f>IF(ISNUMBER(BN401),BN401,"")</f>
        <v>0.8729500662042875</v>
      </c>
      <c r="BX401" s="14" t="n">
        <f>IF(ISNUMBER(BR401),BR401,"")</f>
        <v>12</v>
      </c>
      <c r="BY401" s="13" t="n">
        <f>IF(AND(COUNT(BV401,BW401,BX401)=3,MIN(BV401,BW401,BX401)&gt;=0),BV401*BW401*BX401,"")</f>
        <v>0.08486962821832093</v>
      </c>
      <c r="BZ401" s="11" t="n">
        <f>IF(ISNUMBER(BO401),BO401,"")</f>
        <v>0.8057375774163482</v>
      </c>
      <c r="CA401" s="14" t="n">
        <f>IF(ISNUMBER(BS401),BS401,"")</f>
        <v>30</v>
      </c>
      <c r="CB401" s="13" t="n">
        <f>IF(AND(COUNT(BV401,BZ401,CA401)=3,MIN(BV401,BZ401,CA401)&gt;=0),BV401*BZ401*CA401,"")</f>
        <v>0.19583780127938372</v>
      </c>
      <c r="CC401" s="11" t="n">
        <f>IF(ISNUMBER(BP401),BP401,"")</f>
        <v>0.532550303142279</v>
      </c>
      <c r="CD401" s="14" t="n">
        <f>IF(ISNUMBER(BT401),BT401,"")</f>
        <v>31</v>
      </c>
      <c r="CE401" s="13" t="n">
        <f>IF(AND(COUNT(BV401,CC401,CD401)=3,MIN(BV401,CC401,CD401)&gt;=0),BV401*CC401*CD401,"")</f>
        <v>0.1337531384989637</v>
      </c>
      <c r="CF401" s="11" t="n">
        <f>IF(ISNUMBER(BQ401),BQ401,"")</f>
        <v>0.7517299265337036</v>
      </c>
      <c r="CG401" s="14" t="n">
        <f>IF(ISNUMBER(BU401),BU401,"")</f>
        <v>17</v>
      </c>
      <c r="CH401" s="13" t="n">
        <f>IF(AND(COUNT(BV401,CF401,CG401)=3,MIN(BV401,CF401,CG401)&gt;=0),BV401*CF401*CG401,"")</f>
        <v>0.10353624561343708</v>
      </c>
      <c r="CI401" s="13" t="n">
        <f>IF(COUNT(BY401,CB401,CE401,CH401)=4,SUM(BY401,CB401,CE401,CH401),"")</f>
        <v>0.5179968136101054</v>
      </c>
    </row>
    <row r="402" ht="72" customHeight="1">
      <c r="A402" s="16" t="str">
        <v>32582-LD-41</v>
      </c>
      <c r="B402" s="16" t="str">
        <v>3店-SANDIEX-US</v>
      </c>
      <c r="C402" s="16" t="str">
        <v>徐新怡</v>
      </c>
      <c r="D402" s="26" t="n">
        <f>IF(NOT(ISNUMBER(E402)),"",IF(OR(E402&lt;=0,L402=0),0,IF(OR(NOT(ISNUMBER(F402)),F402&lt;0),"",MIN(E402,INT(F402)))))</f>
        <v>0</v>
      </c>
      <c r="E402" s="27" t="n">
        <f>IF(OR(NOT(ISNUMBER(L402)),COUNT(M402:O402)&lt;&gt;3,MIN(M402:O402)&lt;0),"",ROUNDUP(ROUND(BI402-SUM(M402:O402),10),0))</f>
        <v>1</v>
      </c>
      <c r="F402" s="28" t="n">
        <v>0</v>
      </c>
      <c r="G402" s="28" t="n">
        <f>IF(AND(ISNUMBER(D402),ISNUMBER(E402)),IF(OR(E402&lt;=0,L402=0),0,E402-D402),"")</f>
        <v>1</v>
      </c>
      <c r="H402" s="16" t="str">
        <f>IF(NOT(ISNUMBER(E402)),"销量或海外库存待补",IF(OR(E402&lt;=0,L402=0),IF(L402=0,"零日销，本批不发","本批无需补货"),IF(NOT(ISNUMBER(D402)),"国内库存待补",IF(D402=0,"国内无可用库存",IF(G402&gt;0,"先发国内现货","按建议量发货")))))</f>
        <v>国内无可用库存</v>
      </c>
      <c r="I402" s="28" t="n">
        <f>IF(AND(COUNT(Z402,AA402,AB402)=3,Z402&gt;=AA402,AA402&gt;=0,AB402=7),Z402-AA402,"")</f>
        <v>4</v>
      </c>
      <c r="J402" s="28" t="n">
        <f>IF(AND(COUNT(AF402,AG402,AH402)=3,AF402&gt;=AG402,AG402&gt;=0,AH402=14),AF402-AG402,"")</f>
        <v>8</v>
      </c>
      <c r="K402" s="28" t="n">
        <f>IF(AND(COUNT(AL402,AM402,AN402)=3,AL402&gt;=AM402,AM402&gt;=0,AN402=30),AL402-AM402,"")</f>
        <v>11</v>
      </c>
      <c r="L402" s="29" t="n">
        <f>IF(ISNUMBER(BI402),BI402/90,"")</f>
        <v>0.24465327702174464</v>
      </c>
      <c r="M402" s="28" t="n">
        <v>22</v>
      </c>
      <c r="N402" s="28" t="n">
        <v>0</v>
      </c>
      <c r="O402" s="28" t="n">
        <v>0</v>
      </c>
      <c r="P402" s="30" t="n">
        <f>IF(AND(ISNUMBER(L402),L402&gt;0,COUNT(M402:O402)=3,MIN(M402:O402)&gt;=0),SUM(M402:O402)/L402,"")</f>
        <v>89.92317727280903</v>
      </c>
      <c r="Q402" s="16" t="str">
        <v>沿用原计划SKU店铺</v>
      </c>
      <c r="R402" s="16" t="str">
        <v>已匹配</v>
      </c>
      <c r="S402" s="16" t="str">
        <v>在售</v>
      </c>
      <c r="T402" s="16" t="str">
        <v>32582</v>
      </c>
      <c r="U402" s="16" t="str">
        <v>豹纹</v>
      </c>
      <c r="V402" s="16" t="n">
        <v>10</v>
      </c>
      <c r="W402" s="8" t="str">
        <v>2026-10-11 至 2026-10-17</v>
      </c>
      <c r="X402" s="8" t="str">
        <v>2026-10-11、2026-10-12、2026-10-13、2026-10-14、2026-10-15、2026-10-16、2026-10-17</v>
      </c>
      <c r="Y402" s="8" t="str">
        <v>无</v>
      </c>
      <c r="Z402" s="8" t="n">
        <v>4</v>
      </c>
      <c r="AA402" s="8" t="n">
        <v>0</v>
      </c>
      <c r="AB402" s="8" t="n">
        <v>7</v>
      </c>
      <c r="AC402" s="8" t="str">
        <v>2026-10-02 至 2026-10-17</v>
      </c>
      <c r="AD402" s="8" t="str">
        <v>2026-10-02、2026-10-03、2026-10-04、2026-10-05、2026-10-08、2026-10-09、2026-10-10、2026-10-11、2026-10-12、2026-10-13、2026-10-14、2026-10-15、2026-10-16、2026-10-17</v>
      </c>
      <c r="AE402" s="8" t="str">
        <v>2026-10-06 大促；2026-10-07 大促</v>
      </c>
      <c r="AF402" s="8" t="n">
        <v>11</v>
      </c>
      <c r="AG402" s="8" t="n">
        <v>3</v>
      </c>
      <c r="AH402" s="8" t="n">
        <v>14</v>
      </c>
      <c r="AI402" s="8" t="str">
        <v>2026-09-16 至 2026-10-17</v>
      </c>
      <c r="AJ4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02" s="8" t="str">
        <v>2026-10-06 大促；2026-10-07 大促</v>
      </c>
      <c r="AL402" s="8" t="n">
        <v>14</v>
      </c>
      <c r="AM402" s="8" t="n">
        <v>3</v>
      </c>
      <c r="AN402" s="8" t="n">
        <v>30</v>
      </c>
      <c r="AO402" s="8" t="str">
        <v>32582 / 豹纹羊京绒 / 6574</v>
      </c>
      <c r="AP402" s="11" t="n">
        <v>1.0395067087630607</v>
      </c>
      <c r="AQ402" s="11" t="n">
        <v>1.0395067087630607</v>
      </c>
      <c r="AR402" s="11" t="n">
        <v>1.0707336504782758</v>
      </c>
      <c r="AS402" s="11" t="n">
        <f>IF(AND(COUNT(I402:K402,AP402:AR402)=6,MIN(AP402:AR402)&gt;0),I402/7/AP402*0.5+J402/14/AQ402*0.3+K402/30/AR402*0.2,"")</f>
        <v>0.5082578959815307</v>
      </c>
      <c r="AT402" s="8" t="n">
        <v>21</v>
      </c>
      <c r="AU402" s="8" t="n">
        <v>3</v>
      </c>
      <c r="AV402" s="8" t="n">
        <v>88</v>
      </c>
      <c r="AW402" s="11" t="n">
        <f>IF(AND(COUNT(AT402:AV402)=3,AT402&gt;=AU402,AU402&gt;=0,AV402&gt;0),(AT402-AU402)/AV402,"")</f>
        <v>0.20454545454545456</v>
      </c>
      <c r="AX402" s="8" t="n">
        <v>32</v>
      </c>
      <c r="AY402" s="8" t="n">
        <v>3</v>
      </c>
      <c r="AZ402" s="8" t="n">
        <v>178</v>
      </c>
      <c r="BA402" s="11" t="n">
        <f>IF(AND(COUNT(AX402:AZ402)=3,AX402&gt;=AY402,AY402&gt;=0,AZ402&gt;0),(AX402-AY402)/AZ402,"")</f>
        <v>0.16292134831460675</v>
      </c>
      <c r="BB402" s="8" t="n">
        <f>IF(COUNT(AS402,AW402,BA402)=3,1,0)</f>
        <v>1</v>
      </c>
      <c r="BC402" s="11" t="n">
        <f>IF(SUMIF($AO$11:$AO$1309,AO402,$BB$11:$BB$1309)=COUNTIF($AO$11:$AO$1309,AO402),SUMIF($AO$11:$AO$1309,AO402,$AS$11:$AS$1309),"")</f>
        <v>2.517644694108243</v>
      </c>
      <c r="BD402" s="11" t="n">
        <f>IF(SUMIF($AO$11:$AO$1309,AO402,$BB$11:$BB$1309)=COUNTIF($AO$11:$AO$1309,AO402),SUMIF($AO$11:$AO$1309,AO402,$AW$11:$AW$1309),"")</f>
        <v>2.0255347593582886</v>
      </c>
      <c r="BE402" s="11" t="n">
        <f>IF(SUMIF($AO$11:$AO$1309,AO402,$BB$11:$BB$1309)=COUNTIF($AO$11:$AO$1309,AO402),SUMIF($AO$11:$AO$1309,AO402,$BA$11:$BA$1309),"")</f>
        <v>1.721701444622793</v>
      </c>
      <c r="BF402" s="12" t="n">
        <f>IF(COUNT(BD402:BE402)&lt;&gt;2,"",IF(AND(BD402&gt;0,BE402&gt;0),0.7*AW402/BD402+0.3*BA402/BE402,IF(BD402&gt;0,AW402/BD402,IF(BE402&gt;0,BA402/BE402,IF(AND(ISNUMBER(BH402),BH402=0),0,"")))))</f>
        <v>0.09907683546926115</v>
      </c>
      <c r="BG402" s="11" t="n">
        <f>IF(AND(COUNT(BN402:BU402)=8,MIN(BN402:BU402)&gt;=0),SUMPRODUCT(BN402:BQ402,BR402:BU402),"")</f>
        <v>88.27281580841549</v>
      </c>
      <c r="BH402" s="11" t="n">
        <f>IF(COUNT(BC402,BG402)=2,BC402*BG402,"")</f>
        <v>222.23958635405148</v>
      </c>
      <c r="BI402" s="11" t="n">
        <f>IF(ISNUMBER(CI402),CI402,"")</f>
        <v>22.018794931957018</v>
      </c>
      <c r="BJ402" s="8" t="str"/>
      <c r="BK402" s="8" t="str">
        <v>90天：2026-07-20 至 2026-10-17；180天：2026-04-21 至 2026-10-17</v>
      </c>
      <c r="BL402" s="8" t="str">
        <v>90天：2026-10-06、2026-10-07；180天：2026-10-06、2026-10-07</v>
      </c>
      <c r="BM402" s="8" t="str">
        <v>2026-10：12天 × 1.0395067087630607；2026-11：30天 × 0.9890368360033146；2026-12：31天 × 0.7800796503018808；2027-01：17天 × 1.2908918272824135</v>
      </c>
      <c r="BN402" s="11" t="n">
        <v>1.0395067087630607</v>
      </c>
      <c r="BO402" s="11" t="n">
        <v>0.9890368360033146</v>
      </c>
      <c r="BP402" s="11" t="n">
        <v>0.7800796503018808</v>
      </c>
      <c r="BQ402" s="11" t="n">
        <v>1.2908918272824135</v>
      </c>
      <c r="BR402" s="8" t="n">
        <v>12</v>
      </c>
      <c r="BS402" s="8" t="n">
        <v>30</v>
      </c>
      <c r="BT402" s="8" t="n">
        <v>31</v>
      </c>
      <c r="BU402" s="8" t="n">
        <v>17</v>
      </c>
      <c r="BV402" s="11" t="n">
        <f>IF(COUNT(BC402,BF402)=2,BC402*BF402,"")</f>
        <v>0.2494402691282207</v>
      </c>
      <c r="BW402" s="11" t="n">
        <f>IF(ISNUMBER(BN402),BN402,"")</f>
        <v>1.0395067087630607</v>
      </c>
      <c r="BX402" s="14" t="n">
        <f>IF(ISNUMBER(BR402),BR402,"")</f>
        <v>12</v>
      </c>
      <c r="BY402" s="13" t="n">
        <f>IF(AND(COUNT(BV402,BW402,BX402)=3,MIN(BV402,BW402,BX402)&gt;=0),BV402*BW402*BX402,"")</f>
        <v>3.1115379983333855</v>
      </c>
      <c r="BZ402" s="11" t="n">
        <f>IF(ISNUMBER(BO402),BO402,"")</f>
        <v>0.9890368360033146</v>
      </c>
      <c r="CA402" s="14" t="n">
        <f>IF(ISNUMBER(BS402),BS402,"")</f>
        <v>30</v>
      </c>
      <c r="CB402" s="13" t="n">
        <f>IF(AND(COUNT(BV402,BZ402,CA402)=3,MIN(BV402,BZ402,CA402)&gt;=0),BV402*BZ402*CA402,"")</f>
        <v>7.40116843651172</v>
      </c>
      <c r="CC402" s="11" t="n">
        <f>IF(ISNUMBER(BP402),BP402,"")</f>
        <v>0.7800796503018808</v>
      </c>
      <c r="CD402" s="14" t="n">
        <f>IF(ISNUMBER(BT402),BT402,"")</f>
        <v>31</v>
      </c>
      <c r="CE402" s="13" t="n">
        <f>IF(AND(COUNT(BV402,CC402,CD402)=3,MIN(BV402,CC402,CD402)&gt;=0),BV402*CC402*CD402,"")</f>
        <v>6.032081615295232</v>
      </c>
      <c r="CF402" s="11" t="n">
        <f>IF(ISNUMBER(BQ402),BQ402,"")</f>
        <v>1.2908918272824135</v>
      </c>
      <c r="CG402" s="14" t="n">
        <f>IF(ISNUMBER(BU402),BU402,"")</f>
        <v>17</v>
      </c>
      <c r="CH402" s="13" t="n">
        <f>IF(AND(COUNT(BV402,CF402,CG402)=3,MIN(BV402,CF402,CG402)&gt;=0),BV402*CF402*CG402,"")</f>
        <v>5.474006881816679</v>
      </c>
      <c r="CI402" s="13" t="n">
        <f>IF(COUNT(BY402,CB402,CE402,CH402)=4,SUM(BY402,CB402,CE402,CH402),"")</f>
        <v>22.018794931957018</v>
      </c>
    </row>
    <row r="403" ht="72" customHeight="1">
      <c r="A403" s="16" t="str">
        <v>32582-MT-40.5</v>
      </c>
      <c r="B403" s="16" t="str">
        <v>3店-SANDIEX-US</v>
      </c>
      <c r="C403" s="16" t="str">
        <v>徐新怡</v>
      </c>
      <c r="D403" s="26" t="n">
        <f>IF(NOT(ISNUMBER(E403)),"",IF(OR(E403&lt;=0,L403=0),0,IF(OR(NOT(ISNUMBER(F403)),F403&lt;0),"",MIN(E403,INT(F403)))))</f>
        <v>0</v>
      </c>
      <c r="E403" s="27" t="n">
        <f>IF(OR(NOT(ISNUMBER(L403)),COUNT(M403:O403)&lt;&gt;3,MIN(M403:O403)&lt;0),"",ROUNDUP(ROUND(BI403-SUM(M403:O403),10),0))</f>
        <v>1</v>
      </c>
      <c r="F403" s="28" t="n">
        <v>0</v>
      </c>
      <c r="G403" s="28" t="n">
        <f>IF(AND(ISNUMBER(D403),ISNUMBER(E403)),IF(OR(E403&lt;=0,L403=0),0,E403-D403),"")</f>
        <v>1</v>
      </c>
      <c r="H403" s="16" t="str">
        <f>IF(NOT(ISNUMBER(E403)),"销量或海外库存待补",IF(OR(E403&lt;=0,L403=0),IF(L403=0,"零日销，本批不发","本批无需补货"),IF(NOT(ISNUMBER(D403)),"国内库存待补",IF(D403=0,"国内无可用库存",IF(G403&gt;0,"先发国内现货","按建议量发货")))))</f>
        <v>国内无可用库存</v>
      </c>
      <c r="I403" s="28" t="n">
        <f>IF(AND(COUNT(Z403,AA403,AB403)=3,Z403&gt;=AA403,AA403&gt;=0,AB403=7),Z403-AA403,"")</f>
        <v>0</v>
      </c>
      <c r="J403" s="28" t="n">
        <f>IF(AND(COUNT(AF403,AG403,AH403)=3,AF403&gt;=AG403,AG403&gt;=0,AH403=14),AF403-AG403,"")</f>
        <v>0</v>
      </c>
      <c r="K403" s="28" t="n">
        <f>IF(AND(COUNT(AL403,AM403,AN403)=3,AL403&gt;=AM403,AM403&gt;=0,AN403=30),AL403-AM403,"")</f>
        <v>0</v>
      </c>
      <c r="L403" s="29" t="n">
        <f>IF(ISNUMBER(BI403),BI403/90,"")</f>
        <v>0.0015444107947921455</v>
      </c>
      <c r="M403" s="28" t="n">
        <v>0</v>
      </c>
      <c r="N403" s="28" t="n">
        <v>0</v>
      </c>
      <c r="O403" s="28" t="n">
        <v>0</v>
      </c>
      <c r="P403" s="30" t="n">
        <f>IF(AND(ISNUMBER(L403),L403&gt;0,COUNT(M403:O403)=3,MIN(M403:O403)&gt;=0),SUM(M403:O403)/L403,"")</f>
        <v>0</v>
      </c>
      <c r="Q403" s="16" t="str">
        <v>沿用原计划SKU店铺</v>
      </c>
      <c r="R403" s="16" t="str">
        <v>已匹配</v>
      </c>
      <c r="S403" s="16" t="str">
        <v>停售</v>
      </c>
      <c r="T403" s="16" t="str">
        <v>32582</v>
      </c>
      <c r="U403" s="16" t="str">
        <v>黄色</v>
      </c>
      <c r="V403" s="16" t="n">
        <v>9.5</v>
      </c>
      <c r="W403" s="8" t="str">
        <v>2026-10-08 至 2026-10-17</v>
      </c>
      <c r="X403" s="8" t="str">
        <v>2026-10-08、2026-10-09、2026-10-10、2026-10-11、2026-10-14、2026-10-15、2026-10-17</v>
      </c>
      <c r="Y403" s="8" t="str">
        <v>2026-10-12 有记录的停售日；2026-10-13 有记录的停售日；2026-10-16 有记录的停售日</v>
      </c>
      <c r="Z403" s="8" t="n">
        <v>0</v>
      </c>
      <c r="AA403" s="8" t="n">
        <v>0</v>
      </c>
      <c r="AB403" s="8" t="n">
        <v>7</v>
      </c>
      <c r="AC403" s="8" t="str">
        <v>2026-09-29 至 2026-10-17</v>
      </c>
      <c r="AD403" s="8" t="str">
        <v>2026-09-29、2026-09-30、2026-10-01、2026-10-02、2026-10-03、2026-10-04、2026-10-05、2026-10-08、2026-10-09、2026-10-10、2026-10-11、2026-10-14、2026-10-15、2026-10-17</v>
      </c>
      <c r="AE403" s="8" t="str">
        <v>2026-10-06 大促；2026-10-07 大促；2026-10-12 有记录的停售日；2026-10-13 有记录的停售日；2026-10-16 有记录的停售日</v>
      </c>
      <c r="AF403" s="8" t="n">
        <v>0</v>
      </c>
      <c r="AG403" s="8" t="n">
        <v>0</v>
      </c>
      <c r="AH403" s="8" t="n">
        <v>14</v>
      </c>
      <c r="AI403" s="8" t="str">
        <v>2026-09-13 至 2026-10-17</v>
      </c>
      <c r="AJ40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3" s="8" t="str">
        <v>2026-10-06 大促；2026-10-07 大促；2026-10-12 有记录的停售日；2026-10-13 有记录的停售日；2026-10-16 有记录的停售日</v>
      </c>
      <c r="AL403" s="8" t="n">
        <v>0</v>
      </c>
      <c r="AM403" s="8" t="n">
        <v>0</v>
      </c>
      <c r="AN403" s="8" t="n">
        <v>30</v>
      </c>
      <c r="AO403" s="8" t="str">
        <v>32582 / 黄色羊京绒 / 6574</v>
      </c>
      <c r="AP403" s="11" t="n">
        <v>1.0395067087630607</v>
      </c>
      <c r="AQ403" s="11" t="n">
        <v>1.048428692110265</v>
      </c>
      <c r="AR403" s="11" t="n">
        <v>1.076979038821319</v>
      </c>
      <c r="AS403" s="11" t="n">
        <f>IF(AND(COUNT(I403:K403,AP403:AR403)=6,MIN(AP403:AR403)&gt;0),I403/7/AP403*0.5+J403/14/AQ403*0.3+K403/30/AR403*0.2,"")</f>
        <v>0</v>
      </c>
      <c r="AT403" s="8" t="n">
        <v>0</v>
      </c>
      <c r="AU403" s="8" t="n">
        <v>0</v>
      </c>
      <c r="AV403" s="8" t="n">
        <v>85</v>
      </c>
      <c r="AW403" s="11" t="n">
        <f>IF(AND(COUNT(AT403:AV403)=3,AT403&gt;=AU403,AU403&gt;=0,AV403&gt;0),(AT403-AU403)/AV403,"")</f>
        <v>0</v>
      </c>
      <c r="AX403" s="8" t="n">
        <v>1</v>
      </c>
      <c r="AY403" s="8" t="n">
        <v>0</v>
      </c>
      <c r="AZ403" s="8" t="n">
        <v>175</v>
      </c>
      <c r="BA403" s="11" t="n">
        <f>IF(AND(COUNT(AX403:AZ403)=3,AX403&gt;=AY403,AY403&gt;=0,AZ403&gt;0),(AX403-AY403)/AZ403,"")</f>
        <v>0.005714285714285714</v>
      </c>
      <c r="BB403" s="8" t="n">
        <f>IF(COUNT(AS403,AW403,BA403)=3,1,0)</f>
        <v>1</v>
      </c>
      <c r="BC403" s="11" t="n">
        <f>IF(SUMIF($AO$11:$AO$1309,AO403,$BB$11:$BB$1309)=COUNTIF($AO$11:$AO$1309,AO403),SUMIF($AO$11:$AO$1309,AO403,$AS$11:$AS$1309),"")</f>
        <v>0.47872862187367615</v>
      </c>
      <c r="BD403" s="11" t="n">
        <f>IF(SUMIF($AO$11:$AO$1309,AO403,$BB$11:$BB$1309)=COUNTIF($AO$11:$AO$1309,AO403),SUMIF($AO$11:$AO$1309,AO403,$AW$11:$AW$1309),"")</f>
        <v>0.4244652406417112</v>
      </c>
      <c r="BE403" s="11" t="n">
        <f>IF(SUMIF($AO$11:$AO$1309,AO403,$BB$11:$BB$1309)=COUNTIF($AO$11:$AO$1309,AO403),SUMIF($AO$11:$AO$1309,AO403,$BA$11:$BA$1309),"")</f>
        <v>0.5211878009630819</v>
      </c>
      <c r="BF403" s="12" t="n">
        <f>IF(COUNT(BD403:BE403)&lt;&gt;2,"",IF(AND(BD403&gt;0,BE403&gt;0),0.7*AW403/BD403+0.3*BA403/BE403,IF(BD403&gt;0,AW403/BD403,IF(BE403&gt;0,BA403/BE403,IF(AND(ISNUMBER(BH403),BH403=0),0,"")))))</f>
        <v>0.003289190021558361</v>
      </c>
      <c r="BG403" s="11" t="n">
        <f>IF(AND(COUNT(BN403:BU403)=8,MIN(BN403:BU403)&gt;=0),SUMPRODUCT(BN403:BQ403,BR403:BU403),"")</f>
        <v>88.27281580841549</v>
      </c>
      <c r="BH403" s="11" t="n">
        <f>IF(COUNT(BC403,BG403)=2,BC403*BG403,"")</f>
        <v>42.2587234608716</v>
      </c>
      <c r="BI403" s="11" t="n">
        <f>IF(ISNUMBER(CI403),CI403,"")</f>
        <v>0.1389969715312931</v>
      </c>
      <c r="BJ403" s="8" t="str"/>
      <c r="BK403" s="8" t="str">
        <v>90天：2026-07-20 至 2026-10-17；180天：2026-04-21 至 2026-10-17</v>
      </c>
      <c r="BL403" s="8" t="str">
        <v>90天：2026-10-06、2026-10-07、2026-10-12、2026-10-13、2026-10-16；180天：2026-10-06、2026-10-07、2026-10-12、2026-10-13、2026-10-16</v>
      </c>
      <c r="BM403" s="8" t="str">
        <v>2026-10：12天 × 1.0395067087630607；2026-11：30天 × 0.9890368360033146；2026-12：31天 × 0.7800796503018808；2027-01：17天 × 1.2908918272824135</v>
      </c>
      <c r="BN403" s="11" t="n">
        <v>1.0395067087630607</v>
      </c>
      <c r="BO403" s="11" t="n">
        <v>0.9890368360033146</v>
      </c>
      <c r="BP403" s="11" t="n">
        <v>0.7800796503018808</v>
      </c>
      <c r="BQ403" s="11" t="n">
        <v>1.2908918272824135</v>
      </c>
      <c r="BR403" s="8" t="n">
        <v>12</v>
      </c>
      <c r="BS403" s="8" t="n">
        <v>30</v>
      </c>
      <c r="BT403" s="8" t="n">
        <v>31</v>
      </c>
      <c r="BU403" s="8" t="n">
        <v>17</v>
      </c>
      <c r="BV403" s="11" t="n">
        <f>IF(COUNT(BC403,BF403)=2,BC403*BF403,"")</f>
        <v>0.0015746294061012812</v>
      </c>
      <c r="BW403" s="11" t="n">
        <f>IF(ISNUMBER(BN403),BN403,"")</f>
        <v>1.0395067087630607</v>
      </c>
      <c r="BX403" s="14" t="n">
        <f>IF(ISNUMBER(BR403),BR403,"")</f>
        <v>12</v>
      </c>
      <c r="BY403" s="13" t="n">
        <f>IF(AND(COUNT(BV403,BW403,BX403)=3,MIN(BV403,BW403,BX403)&gt;=0),BV403*BW403*BX403,"")</f>
        <v>0.01964205397749451</v>
      </c>
      <c r="BZ403" s="11" t="n">
        <f>IF(ISNUMBER(BO403),BO403,"")</f>
        <v>0.9890368360033146</v>
      </c>
      <c r="CA403" s="14" t="n">
        <f>IF(ISNUMBER(BS403),BS403,"")</f>
        <v>30</v>
      </c>
      <c r="CB403" s="13" t="n">
        <f>IF(AND(COUNT(BV403,BZ403,CA403)=3,MIN(BV403,BZ403,CA403)&gt;=0),BV403*BZ403*CA403,"")</f>
        <v>0.046720994570645685</v>
      </c>
      <c r="CC403" s="11" t="n">
        <f>IF(ISNUMBER(BP403),BP403,"")</f>
        <v>0.7800796503018808</v>
      </c>
      <c r="CD403" s="14" t="n">
        <f>IF(ISNUMBER(BT403),BT403,"")</f>
        <v>31</v>
      </c>
      <c r="CE403" s="13" t="n">
        <f>IF(AND(COUNT(BV403,CC403,CD403)=3,MIN(BV403,CC403,CD403)&gt;=0),BV403*CC403*CD403,"")</f>
        <v>0.03807842705046291</v>
      </c>
      <c r="CF403" s="11" t="n">
        <f>IF(ISNUMBER(BQ403),BQ403,"")</f>
        <v>1.2908918272824135</v>
      </c>
      <c r="CG403" s="14" t="n">
        <f>IF(ISNUMBER(BU403),BU403,"")</f>
        <v>17</v>
      </c>
      <c r="CH403" s="13" t="n">
        <f>IF(AND(COUNT(BV403,CF403,CG403)=3,MIN(BV403,CF403,CG403)&gt;=0),BV403*CF403*CG403,"")</f>
        <v>0.03455549593268998</v>
      </c>
      <c r="CI403" s="13" t="n">
        <f>IF(COUNT(BY403,CB403,CE403,CH403)=4,SUM(BY403,CB403,CE403,CH403),"")</f>
        <v>0.1389969715312931</v>
      </c>
    </row>
    <row r="404" ht="72" customHeight="1">
      <c r="A404" s="16" t="str">
        <v>32582-NY-40</v>
      </c>
      <c r="B404" s="16" t="str">
        <v>3店-SANDIEX-US</v>
      </c>
      <c r="C404" s="16" t="str">
        <v>徐新怡</v>
      </c>
      <c r="D404" s="26" t="n">
        <f>IF(NOT(ISNUMBER(E404)),"",IF(OR(E404&lt;=0,L404=0),0,IF(OR(NOT(ISNUMBER(F404)),F404&lt;0),"",MIN(E404,INT(F404)))))</f>
        <v>0</v>
      </c>
      <c r="E404" s="27" t="n">
        <f>IF(OR(NOT(ISNUMBER(L404)),COUNT(M404:O404)&lt;&gt;3,MIN(M404:O404)&lt;0),"",ROUNDUP(ROUND(BI404-SUM(M404:O404),10),0))</f>
        <v>1</v>
      </c>
      <c r="F404" s="28" t="n">
        <v>0</v>
      </c>
      <c r="G404" s="28" t="n">
        <f>IF(AND(ISNUMBER(D404),ISNUMBER(E404)),IF(OR(E404&lt;=0,L404=0),0,E404-D404),"")</f>
        <v>1</v>
      </c>
      <c r="H404" s="16" t="str">
        <f>IF(NOT(ISNUMBER(E404)),"销量或海外库存待补",IF(OR(E404&lt;=0,L404=0),IF(L404=0,"零日销，本批不发","本批无需补货"),IF(NOT(ISNUMBER(D404)),"国内库存待补",IF(D404=0,"国内无可用库存",IF(G404&gt;0,"先发国内现货","按建议量发货")))))</f>
        <v>国内无可用库存</v>
      </c>
      <c r="I404" s="28" t="n">
        <f>IF(AND(COUNT(Z404,AA404,AB404)=3,Z404&gt;=AA404,AA404&gt;=0,AB404=7),Z404-AA404,"")</f>
        <v>0</v>
      </c>
      <c r="J404" s="28" t="n">
        <f>IF(AND(COUNT(AF404,AG404,AH404)=3,AF404&gt;=AG404,AG404&gt;=0,AH404=14),AF404-AG404,"")</f>
        <v>0</v>
      </c>
      <c r="K404" s="28" t="n">
        <f>IF(AND(COUNT(AL404,AM404,AN404)=3,AL404&gt;=AM404,AM404&gt;=0,AN404=30),AL404-AM404,"")</f>
        <v>0</v>
      </c>
      <c r="L404" s="29" t="n">
        <f>IF(ISNUMBER(BI404),BI404/90,"")</f>
        <v>0.001181893461735415</v>
      </c>
      <c r="M404" s="28" t="n">
        <v>0</v>
      </c>
      <c r="N404" s="28" t="n">
        <v>0</v>
      </c>
      <c r="O404" s="28" t="n">
        <v>0</v>
      </c>
      <c r="P404" s="30" t="n">
        <f>IF(AND(ISNUMBER(L404),L404&gt;0,COUNT(M404:O404)=3,MIN(M404:O404)&gt;=0),SUM(M404:O404)/L404,"")</f>
        <v>0</v>
      </c>
      <c r="Q404" s="16" t="str">
        <v>沿用原计划SKU店铺</v>
      </c>
      <c r="R404" s="16" t="str">
        <v>已匹配</v>
      </c>
      <c r="S404" s="16" t="str">
        <v>停售</v>
      </c>
      <c r="T404" s="16" t="str">
        <v>32582</v>
      </c>
      <c r="U404" s="16" t="str">
        <v>藏青色</v>
      </c>
      <c r="V404" s="16" t="n">
        <v>9</v>
      </c>
      <c r="W404" s="8" t="str">
        <v>2026-10-08 至 2026-10-17</v>
      </c>
      <c r="X404" s="8" t="str">
        <v>2026-10-08、2026-10-09、2026-10-10、2026-10-11、2026-10-14、2026-10-15、2026-10-17</v>
      </c>
      <c r="Y404" s="8" t="str">
        <v>2026-10-12 有记录的停售日；2026-10-13 有记录的停售日；2026-10-16 有记录的停售日</v>
      </c>
      <c r="Z404" s="8" t="n">
        <v>0</v>
      </c>
      <c r="AA404" s="8" t="n">
        <v>0</v>
      </c>
      <c r="AB404" s="8" t="n">
        <v>7</v>
      </c>
      <c r="AC404" s="8" t="str">
        <v>2026-09-29 至 2026-10-17</v>
      </c>
      <c r="AD404" s="8" t="str">
        <v>2026-09-29、2026-09-30、2026-10-01、2026-10-02、2026-10-03、2026-10-04、2026-10-05、2026-10-08、2026-10-09、2026-10-10、2026-10-11、2026-10-14、2026-10-15、2026-10-17</v>
      </c>
      <c r="AE404" s="8" t="str">
        <v>2026-10-06 大促；2026-10-07 大促；2026-10-12 有记录的停售日；2026-10-13 有记录的停售日；2026-10-16 有记录的停售日</v>
      </c>
      <c r="AF404" s="8" t="n">
        <v>0</v>
      </c>
      <c r="AG404" s="8" t="n">
        <v>0</v>
      </c>
      <c r="AH404" s="8" t="n">
        <v>14</v>
      </c>
      <c r="AI404" s="8" t="str">
        <v>2026-09-13 至 2026-10-17</v>
      </c>
      <c r="AJ4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4" s="8" t="str">
        <v>2026-10-06 大促；2026-10-07 大促；2026-10-12 有记录的停售日；2026-10-13 有记录的停售日；2026-10-16 有记录的停售日</v>
      </c>
      <c r="AL404" s="8" t="n">
        <v>0</v>
      </c>
      <c r="AM404" s="8" t="n">
        <v>0</v>
      </c>
      <c r="AN404" s="8" t="n">
        <v>30</v>
      </c>
      <c r="AO404" s="8" t="str">
        <v>32582 / 藏青色羊京绒 / 6574</v>
      </c>
      <c r="AP404" s="11" t="n">
        <v>1.0395067087630607</v>
      </c>
      <c r="AQ404" s="11" t="n">
        <v>1.048428692110265</v>
      </c>
      <c r="AR404" s="11" t="n">
        <v>1.076979038821319</v>
      </c>
      <c r="AS404" s="11" t="n">
        <f>IF(AND(COUNT(I404:K404,AP404:AR404)=6,MIN(AP404:AR404)&gt;0),I404/7/AP404*0.5+J404/14/AQ404*0.3+K404/30/AR404*0.2,"")</f>
        <v>0</v>
      </c>
      <c r="AT404" s="8" t="n">
        <v>0</v>
      </c>
      <c r="AU404" s="8" t="n">
        <v>0</v>
      </c>
      <c r="AV404" s="8" t="n">
        <v>85</v>
      </c>
      <c r="AW404" s="11" t="n">
        <f>IF(AND(COUNT(AT404:AV404)=3,AT404&gt;=AU404,AU404&gt;=0,AV404&gt;0),(AT404-AU404)/AV404,"")</f>
        <v>0</v>
      </c>
      <c r="AX404" s="8" t="n">
        <v>1</v>
      </c>
      <c r="AY404" s="8" t="n">
        <v>0</v>
      </c>
      <c r="AZ404" s="8" t="n">
        <v>175</v>
      </c>
      <c r="BA404" s="11" t="n">
        <f>IF(AND(COUNT(AX404:AZ404)=3,AX404&gt;=AY404,AY404&gt;=0,AZ404&gt;0),(AX404-AY404)/AZ404,"")</f>
        <v>0.005714285714285714</v>
      </c>
      <c r="BB404" s="8" t="n">
        <f>IF(COUNT(AS404,AW404,BA404)=3,1,0)</f>
        <v>1</v>
      </c>
      <c r="BC404" s="11" t="n">
        <f>IF(SUMIF($AO$11:$AO$1309,AO404,$BB$11:$BB$1309)=COUNTIF($AO$11:$AO$1309,AO404),SUMIF($AO$11:$AO$1309,AO404,$AS$11:$AS$1309),"")</f>
        <v>1.3720516715672233</v>
      </c>
      <c r="BD404" s="11" t="n">
        <f>IF(SUMIF($AO$11:$AO$1309,AO404,$BB$11:$BB$1309)=COUNTIF($AO$11:$AO$1309,AO404),SUMIF($AO$11:$AO$1309,AO404,$AW$11:$AW$1309),"")</f>
        <v>1.1959893048128343</v>
      </c>
      <c r="BE404" s="11" t="n">
        <f>IF(SUMIF($AO$11:$AO$1309,AO404,$BB$11:$BB$1309)=COUNTIF($AO$11:$AO$1309,AO404),SUMIF($AO$11:$AO$1309,AO404,$BA$11:$BA$1309),"")</f>
        <v>1.9519101123595508</v>
      </c>
      <c r="BF404" s="12" t="n">
        <f>IF(COUNT(BD404:BE404)&lt;&gt;2,"",IF(AND(BD404&gt;0,BE404&gt;0),0.7*AW404/BD404+0.3*BA404/BE404,IF(BD404&gt;0,AW404/BD404,IF(BE404&gt;0,BA404/BE404,IF(AND(ISNUMBER(BH404),BH404=0),0,"")))))</f>
        <v>0.0008782605835334363</v>
      </c>
      <c r="BG404" s="11" t="n">
        <f>IF(AND(COUNT(BN404:BU404)=8,MIN(BN404:BU404)&gt;=0),SUMPRODUCT(BN404:BQ404,BR404:BU404),"")</f>
        <v>88.27281580841549</v>
      </c>
      <c r="BH404" s="11" t="n">
        <f>IF(COUNT(BC404,BG404)=2,BC404*BG404,"")</f>
        <v>121.11486448388209</v>
      </c>
      <c r="BI404" s="11" t="n">
        <f>IF(ISNUMBER(CI404),CI404,"")</f>
        <v>0.10637041155618734</v>
      </c>
      <c r="BJ404" s="8" t="str"/>
      <c r="BK404" s="8" t="str">
        <v>90天：2026-07-20 至 2026-10-17；180天：2026-04-21 至 2026-10-17</v>
      </c>
      <c r="BL404" s="8" t="str">
        <v>90天：2026-10-06、2026-10-07、2026-10-12、2026-10-13、2026-10-16；180天：2026-10-06、2026-10-07、2026-10-12、2026-10-13、2026-10-16</v>
      </c>
      <c r="BM404" s="8" t="str">
        <v>2026-10：12天 × 1.0395067087630607；2026-11：30天 × 0.9890368360033146；2026-12：31天 × 0.7800796503018808；2027-01：17天 × 1.2908918272824135</v>
      </c>
      <c r="BN404" s="11" t="n">
        <v>1.0395067087630607</v>
      </c>
      <c r="BO404" s="11" t="n">
        <v>0.9890368360033146</v>
      </c>
      <c r="BP404" s="11" t="n">
        <v>0.7800796503018808</v>
      </c>
      <c r="BQ404" s="11" t="n">
        <v>1.2908918272824135</v>
      </c>
      <c r="BR404" s="8" t="n">
        <v>12</v>
      </c>
      <c r="BS404" s="8" t="n">
        <v>30</v>
      </c>
      <c r="BT404" s="8" t="n">
        <v>31</v>
      </c>
      <c r="BU404" s="8" t="n">
        <v>17</v>
      </c>
      <c r="BV404" s="11" t="n">
        <f>IF(COUNT(BC404,BF404)=2,BC404*BF404,"")</f>
        <v>0.001205018901708656</v>
      </c>
      <c r="BW404" s="11" t="n">
        <f>IF(ISNUMBER(BN404),BN404,"")</f>
        <v>1.0395067087630607</v>
      </c>
      <c r="BX404" s="14" t="n">
        <f>IF(ISNUMBER(BR404),BR404,"")</f>
        <v>12</v>
      </c>
      <c r="BY404" s="13" t="n">
        <f>IF(AND(COUNT(BV404,BW404,BX404)=3,MIN(BV404,BW404,BX404)&gt;=0),BV404*BW404*BX404,"")</f>
        <v>0.015031502790149318</v>
      </c>
      <c r="BZ404" s="11" t="n">
        <f>IF(ISNUMBER(BO404),BO404,"")</f>
        <v>0.9890368360033146</v>
      </c>
      <c r="CA404" s="14" t="n">
        <f>IF(ISNUMBER(BS404),BS404,"")</f>
        <v>30</v>
      </c>
      <c r="CB404" s="13" t="n">
        <f>IF(AND(COUNT(BV404,BZ404,CA404)=3,MIN(BV404,BZ404,CA404)&gt;=0),BV404*BZ404*CA404,"")</f>
        <v>0.03575424245610355</v>
      </c>
      <c r="CC404" s="11" t="n">
        <f>IF(ISNUMBER(BP404),BP404,"")</f>
        <v>0.7800796503018808</v>
      </c>
      <c r="CD404" s="14" t="n">
        <f>IF(ISNUMBER(BT404),BT404,"")</f>
        <v>31</v>
      </c>
      <c r="CE404" s="13" t="n">
        <f>IF(AND(COUNT(BV404,CC404,CD404)=3,MIN(BV404,CC404,CD404)&gt;=0),BV404*CC404*CD404,"")</f>
        <v>0.029140332427013388</v>
      </c>
      <c r="CF404" s="11" t="n">
        <f>IF(ISNUMBER(BQ404),BQ404,"")</f>
        <v>1.2908918272824135</v>
      </c>
      <c r="CG404" s="14" t="n">
        <f>IF(ISNUMBER(BU404),BU404,"")</f>
        <v>17</v>
      </c>
      <c r="CH404" s="13" t="n">
        <f>IF(AND(COUNT(BV404,CF404,CG404)=3,MIN(BV404,CF404,CG404)&gt;=0),BV404*CF404*CG404,"")</f>
        <v>0.02644433388292108</v>
      </c>
      <c r="CI404" s="13" t="n">
        <f>IF(COUNT(BY404,CB404,CE404,CH404)=4,SUM(BY404,CB404,CE404,CH404),"")</f>
        <v>0.10637041155618734</v>
      </c>
    </row>
    <row r="405" ht="72" customHeight="1">
      <c r="A405" s="16" t="str">
        <v>32582-PK-42</v>
      </c>
      <c r="B405" s="16" t="str">
        <v>3店-SANDIEX-US</v>
      </c>
      <c r="C405" s="16" t="str">
        <v>徐新怡</v>
      </c>
      <c r="D405" s="26" t="n">
        <f>IF(NOT(ISNUMBER(E405)),"",IF(OR(E405&lt;=0,L405=0),0,IF(OR(NOT(ISNUMBER(F405)),F405&lt;0),"",MIN(E405,INT(F405)))))</f>
        <v>0</v>
      </c>
      <c r="E405" s="27" t="n">
        <f>IF(OR(NOT(ISNUMBER(L405)),COUNT(M405:O405)&lt;&gt;3,MIN(M405:O405)&lt;0),"",ROUNDUP(ROUND(BI405-SUM(M405:O405),10),0))</f>
        <v>1</v>
      </c>
      <c r="F405" s="28" t="n">
        <v>0</v>
      </c>
      <c r="G405" s="28" t="n">
        <f>IF(AND(ISNUMBER(D405),ISNUMBER(E405)),IF(OR(E405&lt;=0,L405=0),0,E405-D405),"")</f>
        <v>1</v>
      </c>
      <c r="H405" s="16" t="str">
        <f>IF(NOT(ISNUMBER(E405)),"销量或海外库存待补",IF(OR(E405&lt;=0,L405=0),IF(L405=0,"零日销，本批不发","本批无需补货"),IF(NOT(ISNUMBER(D405)),"国内库存待补",IF(D405=0,"国内无可用库存",IF(G405&gt;0,"先发国内现货","按建议量发货")))))</f>
        <v>国内无可用库存</v>
      </c>
      <c r="I405" s="28" t="n">
        <f>IF(AND(COUNT(Z405,AA405,AB405)=3,Z405&gt;=AA405,AA405&gt;=0,AB405=7),Z405-AA405,"")</f>
        <v>0</v>
      </c>
      <c r="J405" s="28" t="n">
        <f>IF(AND(COUNT(AF405,AG405,AH405)=3,AF405&gt;=AG405,AG405&gt;=0,AH405=14),AF405-AG405,"")</f>
        <v>0</v>
      </c>
      <c r="K405" s="28" t="n">
        <f>IF(AND(COUNT(AL405,AM405,AN405)=3,AL405&gt;=AM405,AM405&gt;=0,AN405=30),AL405-AM405,"")</f>
        <v>0</v>
      </c>
      <c r="L405" s="29" t="n">
        <f>IF(ISNUMBER(BI405),BI405/90,"")</f>
        <v>0.004891037425155204</v>
      </c>
      <c r="M405" s="28" t="n">
        <v>0</v>
      </c>
      <c r="N405" s="28" t="n">
        <v>0</v>
      </c>
      <c r="O405" s="28" t="n">
        <v>0</v>
      </c>
      <c r="P405" s="30" t="n">
        <f>IF(AND(ISNUMBER(L405),L405&gt;0,COUNT(M405:O405)=3,MIN(M405:O405)&gt;=0),SUM(M405:O405)/L405,"")</f>
        <v>0</v>
      </c>
      <c r="Q405" s="16" t="str">
        <v>沿用原计划SKU店铺</v>
      </c>
      <c r="R405" s="16" t="str">
        <v>已匹配</v>
      </c>
      <c r="S405" s="16" t="str">
        <v>停售</v>
      </c>
      <c r="T405" s="16" t="str">
        <v>32582</v>
      </c>
      <c r="U405" s="16" t="str">
        <v>粉色</v>
      </c>
      <c r="V405" s="16" t="n">
        <v>11</v>
      </c>
      <c r="W405" s="8" t="str">
        <v>2026-10-08 至 2026-10-17</v>
      </c>
      <c r="X405" s="8" t="str">
        <v>2026-10-08、2026-10-09、2026-10-10、2026-10-11、2026-10-14、2026-10-15、2026-10-17</v>
      </c>
      <c r="Y405" s="8" t="str">
        <v>2026-10-12 有记录的停售日；2026-10-13 有记录的停售日；2026-10-16 有记录的停售日</v>
      </c>
      <c r="Z405" s="8" t="n">
        <v>0</v>
      </c>
      <c r="AA405" s="8" t="n">
        <v>0</v>
      </c>
      <c r="AB405" s="8" t="n">
        <v>7</v>
      </c>
      <c r="AC405" s="8" t="str">
        <v>2026-09-29 至 2026-10-17</v>
      </c>
      <c r="AD405" s="8" t="str">
        <v>2026-09-29、2026-09-30、2026-10-01、2026-10-02、2026-10-03、2026-10-04、2026-10-05、2026-10-08、2026-10-09、2026-10-10、2026-10-11、2026-10-14、2026-10-15、2026-10-17</v>
      </c>
      <c r="AE405" s="8" t="str">
        <v>2026-10-06 大促；2026-10-07 大促；2026-10-12 有记录的停售日；2026-10-13 有记录的停售日；2026-10-16 有记录的停售日</v>
      </c>
      <c r="AF405" s="8" t="n">
        <v>0</v>
      </c>
      <c r="AG405" s="8" t="n">
        <v>0</v>
      </c>
      <c r="AH405" s="8" t="n">
        <v>14</v>
      </c>
      <c r="AI405" s="8" t="str">
        <v>2026-09-13 至 2026-10-17</v>
      </c>
      <c r="AJ40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5" s="8" t="str">
        <v>2026-10-06 大促；2026-10-07 大促；2026-10-12 有记录的停售日；2026-10-13 有记录的停售日；2026-10-16 有记录的停售日</v>
      </c>
      <c r="AL405" s="8" t="n">
        <v>0</v>
      </c>
      <c r="AM405" s="8" t="n">
        <v>0</v>
      </c>
      <c r="AN405" s="8" t="n">
        <v>30</v>
      </c>
      <c r="AO405" s="8" t="str">
        <v>32582 / 粉色羊京绒 / 6574</v>
      </c>
      <c r="AP405" s="11" t="n">
        <v>1.0395067087630607</v>
      </c>
      <c r="AQ405" s="11" t="n">
        <v>1.048428692110265</v>
      </c>
      <c r="AR405" s="11" t="n">
        <v>1.076979038821319</v>
      </c>
      <c r="AS405" s="11" t="n">
        <f>IF(AND(COUNT(I405:K405,AP405:AR405)=6,MIN(AP405:AR405)&gt;0),I405/7/AP405*0.5+J405/14/AQ405*0.3+K405/30/AR405*0.2,"")</f>
        <v>0</v>
      </c>
      <c r="AT405" s="8" t="n">
        <v>0</v>
      </c>
      <c r="AU405" s="8" t="n">
        <v>0</v>
      </c>
      <c r="AV405" s="8" t="n">
        <v>85</v>
      </c>
      <c r="AW405" s="11" t="n">
        <f>IF(AND(COUNT(AT405:AV405)=3,AT405&gt;=AU405,AU405&gt;=0,AV405&gt;0),(AT405-AU405)/AV405,"")</f>
        <v>0</v>
      </c>
      <c r="AX405" s="8" t="n">
        <v>7</v>
      </c>
      <c r="AY405" s="8" t="n">
        <v>0</v>
      </c>
      <c r="AZ405" s="8" t="n">
        <v>175</v>
      </c>
      <c r="BA405" s="11" t="n">
        <f>IF(AND(COUNT(AX405:AZ405)=3,AX405&gt;=AY405,AY405&gt;=0,AZ405&gt;0),(AX405-AY405)/AZ405,"")</f>
        <v>0.04</v>
      </c>
      <c r="BB405" s="8" t="n">
        <f>IF(COUNT(AS405,AW405,BA405)=3,1,0)</f>
        <v>1</v>
      </c>
      <c r="BC405" s="11" t="n">
        <f>IF(SUMIF($AO$11:$AO$1309,AO405,$BB$11:$BB$1309)=COUNTIF($AO$11:$AO$1309,AO405),SUMIF($AO$11:$AO$1309,AO405,$AS$11:$AS$1309),"")</f>
        <v>0.13201914161115513</v>
      </c>
      <c r="BD405" s="11" t="n">
        <f>IF(SUMIF($AO$11:$AO$1309,AO405,$BB$11:$BB$1309)=COUNTIF($AO$11:$AO$1309,AO405),SUMIF($AO$11:$AO$1309,AO405,$AW$11:$AW$1309),"")</f>
        <v>0.2418449197860963</v>
      </c>
      <c r="BE405" s="11" t="n">
        <f>IF(SUMIF($AO$11:$AO$1309,AO405,$BB$11:$BB$1309)=COUNTIF($AO$11:$AO$1309,AO405),SUMIF($AO$11:$AO$1309,AO405,$BA$11:$BA$1309),"")</f>
        <v>0.31768860353130013</v>
      </c>
      <c r="BF405" s="12" t="n">
        <f>IF(COUNT(BD405:BE405)&lt;&gt;2,"",IF(AND(BD405&gt;0,BE405&gt;0),0.7*AW405/BD405+0.3*BA405/BE405,IF(BD405&gt;0,AW405/BD405,IF(BE405&gt;0,BA405/BE405,IF(AND(ISNUMBER(BH405),BH405=0),0,"")))))</f>
        <v>0.0377728375101051</v>
      </c>
      <c r="BG405" s="11" t="n">
        <f>IF(AND(COUNT(BN405:BU405)=8,MIN(BN405:BU405)&gt;=0),SUMPRODUCT(BN405:BQ405,BR405:BU405),"")</f>
        <v>88.27281580841549</v>
      </c>
      <c r="BH405" s="11" t="n">
        <f>IF(COUNT(BC405,BG405)=2,BC405*BG405,"")</f>
        <v>11.653701370626617</v>
      </c>
      <c r="BI405" s="11" t="n">
        <f>IF(ISNUMBER(CI405),CI405,"")</f>
        <v>0.4401933682639684</v>
      </c>
      <c r="BJ405" s="8" t="str">
        <v>近180天本色销量57双（＜90），无有效新采购，请运营判断</v>
      </c>
      <c r="BK405" s="8" t="str">
        <v>90天：2026-07-20 至 2026-10-17；180天：2026-04-21 至 2026-10-17</v>
      </c>
      <c r="BL405" s="8" t="str">
        <v>90天：2026-10-06、2026-10-07、2026-10-12、2026-10-13、2026-10-16；180天：2026-10-06、2026-10-07、2026-10-12、2026-10-13、2026-10-16</v>
      </c>
      <c r="BM405" s="8" t="str">
        <v>2026-10：12天 × 1.0395067087630607；2026-11：30天 × 0.9890368360033146；2026-12：31天 × 0.7800796503018808；2027-01：17天 × 1.2908918272824135</v>
      </c>
      <c r="BN405" s="11" t="n">
        <v>1.0395067087630607</v>
      </c>
      <c r="BO405" s="11" t="n">
        <v>0.9890368360033146</v>
      </c>
      <c r="BP405" s="11" t="n">
        <v>0.7800796503018808</v>
      </c>
      <c r="BQ405" s="11" t="n">
        <v>1.2908918272824135</v>
      </c>
      <c r="BR405" s="8" t="n">
        <v>12</v>
      </c>
      <c r="BS405" s="8" t="n">
        <v>30</v>
      </c>
      <c r="BT405" s="8" t="n">
        <v>31</v>
      </c>
      <c r="BU405" s="8" t="n">
        <v>17</v>
      </c>
      <c r="BV405" s="11" t="n">
        <f>IF(COUNT(BC405,BF405)=2,BC405*BF405,"")</f>
        <v>0.004986737584301718</v>
      </c>
      <c r="BW405" s="11" t="n">
        <f>IF(ISNUMBER(BN405),BN405,"")</f>
        <v>1.0395067087630607</v>
      </c>
      <c r="BX405" s="14" t="n">
        <f>IF(ISNUMBER(BR405),BR405,"")</f>
        <v>12</v>
      </c>
      <c r="BY405" s="13" t="n">
        <f>IF(AND(COUNT(BV405,BW405,BX405)=3,MIN(BV405,BW405,BX405)&gt;=0),BV405*BW405*BX405,"")</f>
        <v>0.06220496608467041</v>
      </c>
      <c r="BZ405" s="11" t="n">
        <f>IF(ISNUMBER(BO405),BO405,"")</f>
        <v>0.9890368360033146</v>
      </c>
      <c r="CA405" s="14" t="n">
        <f>IF(ISNUMBER(BS405),BS405,"")</f>
        <v>30</v>
      </c>
      <c r="CB405" s="13" t="n">
        <f>IF(AND(COUNT(BV405,BZ405,CA405)=3,MIN(BV405,BZ405,CA405)&gt;=0),BV405*BZ405*CA405,"")</f>
        <v>0.1479620148706975</v>
      </c>
      <c r="CC405" s="11" t="n">
        <f>IF(ISNUMBER(BP405),BP405,"")</f>
        <v>0.7800796503018808</v>
      </c>
      <c r="CD405" s="14" t="n">
        <f>IF(ISNUMBER(BT405),BT405,"")</f>
        <v>31</v>
      </c>
      <c r="CE405" s="13" t="n">
        <f>IF(AND(COUNT(BV405,CC405,CD405)=3,MIN(BV405,CC405,CD405)&gt;=0),BV405*CC405*CD405,"")</f>
        <v>0.12059162783818922</v>
      </c>
      <c r="CF405" s="11" t="n">
        <f>IF(ISNUMBER(BQ405),BQ405,"")</f>
        <v>1.2908918272824135</v>
      </c>
      <c r="CG405" s="14" t="n">
        <f>IF(ISNUMBER(BU405),BU405,"")</f>
        <v>17</v>
      </c>
      <c r="CH405" s="13" t="n">
        <f>IF(AND(COUNT(BV405,CF405,CG405)=3,MIN(BV405,CF405,CG405)&gt;=0),BV405*CF405*CG405,"")</f>
        <v>0.10943475947041126</v>
      </c>
      <c r="CI405" s="13" t="n">
        <f>IF(COUNT(BY405,CB405,CE405,CH405)=4,SUM(BY405,CB405,CE405,CH405),"")</f>
        <v>0.4401933682639684</v>
      </c>
    </row>
    <row r="406" ht="72" customHeight="1">
      <c r="A406" s="16" t="str">
        <v>32582-RD-40</v>
      </c>
      <c r="B406" s="16" t="str">
        <v>3店-SANDIEX-US</v>
      </c>
      <c r="C406" s="16" t="str">
        <v>徐新怡</v>
      </c>
      <c r="D406" s="26" t="n">
        <f>IF(NOT(ISNUMBER(E406)),"",IF(OR(E406&lt;=0,L406=0),0,IF(OR(NOT(ISNUMBER(F406)),F406&lt;0),"",MIN(E406,INT(F406)))))</f>
        <v>0</v>
      </c>
      <c r="E406" s="27" t="n">
        <f>IF(OR(NOT(ISNUMBER(L406)),COUNT(M406:O406)&lt;&gt;3,MIN(M406:O406)&lt;0),"",ROUNDUP(ROUND(BI406-SUM(M406:O406),10),0))</f>
        <v>1</v>
      </c>
      <c r="F406" s="28" t="n">
        <v>0</v>
      </c>
      <c r="G406" s="28" t="n">
        <f>IF(AND(ISNUMBER(D406),ISNUMBER(E406)),IF(OR(E406&lt;=0,L406=0),0,E406-D406),"")</f>
        <v>1</v>
      </c>
      <c r="H406" s="16" t="str">
        <f>IF(NOT(ISNUMBER(E406)),"销量或海外库存待补",IF(OR(E406&lt;=0,L406=0),IF(L406=0,"零日销，本批不发","本批无需补货"),IF(NOT(ISNUMBER(D406)),"国内库存待补",IF(D406=0,"国内无可用库存",IF(G406&gt;0,"先发国内现货","按建议量发货")))))</f>
        <v>国内无可用库存</v>
      </c>
      <c r="I406" s="28" t="n">
        <f>IF(AND(COUNT(Z406,AA406,AB406)=3,Z406&gt;=AA406,AA406&gt;=0,AB406=7),Z406-AA406,"")</f>
        <v>0</v>
      </c>
      <c r="J406" s="28" t="n">
        <f>IF(AND(COUNT(AF406,AG406,AH406)=3,AF406&gt;=AG406,AG406&gt;=0,AH406=14),AF406-AG406,"")</f>
        <v>0</v>
      </c>
      <c r="K406" s="28" t="n">
        <f>IF(AND(COUNT(AL406,AM406,AN406)=3,AL406&gt;=AM406,AM406&gt;=0,AN406=30),AL406-AM406,"")</f>
        <v>0</v>
      </c>
      <c r="L406" s="29" t="n">
        <f>IF(ISNUMBER(BI406),BI406/90,"")</f>
        <v>0.0008541516542531583</v>
      </c>
      <c r="M406" s="28" t="n">
        <v>0</v>
      </c>
      <c r="N406" s="28" t="n">
        <v>0</v>
      </c>
      <c r="O406" s="28" t="n">
        <v>0</v>
      </c>
      <c r="P406" s="30" t="n">
        <f>IF(AND(ISNUMBER(L406),L406&gt;0,COUNT(M406:O406)=3,MIN(M406:O406)&gt;=0),SUM(M406:O406)/L406,"")</f>
        <v>0</v>
      </c>
      <c r="Q406" s="16" t="str">
        <v>沿用原计划SKU店铺</v>
      </c>
      <c r="R406" s="16" t="str">
        <v>已匹配</v>
      </c>
      <c r="S406" s="16" t="str">
        <v>停售</v>
      </c>
      <c r="T406" s="16" t="str">
        <v>32582</v>
      </c>
      <c r="U406" s="16" t="str">
        <v>红色</v>
      </c>
      <c r="V406" s="16" t="n">
        <v>9</v>
      </c>
      <c r="W406" s="8" t="str">
        <v>2026-10-08 至 2026-10-17</v>
      </c>
      <c r="X406" s="8" t="str">
        <v>2026-10-08、2026-10-09、2026-10-10、2026-10-11、2026-10-14、2026-10-15、2026-10-17</v>
      </c>
      <c r="Y406" s="8" t="str">
        <v>2026-10-12 有记录的停售日；2026-10-13 有记录的停售日；2026-10-16 有记录的停售日</v>
      </c>
      <c r="Z406" s="8" t="n">
        <v>0</v>
      </c>
      <c r="AA406" s="8" t="n">
        <v>0</v>
      </c>
      <c r="AB406" s="8" t="n">
        <v>7</v>
      </c>
      <c r="AC406" s="8" t="str">
        <v>2026-09-29 至 2026-10-17</v>
      </c>
      <c r="AD406" s="8" t="str">
        <v>2026-09-29、2026-09-30、2026-10-01、2026-10-02、2026-10-03、2026-10-04、2026-10-05、2026-10-08、2026-10-09、2026-10-10、2026-10-11、2026-10-14、2026-10-15、2026-10-17</v>
      </c>
      <c r="AE406" s="8" t="str">
        <v>2026-10-06 大促；2026-10-07 大促；2026-10-12 有记录的停售日；2026-10-13 有记录的停售日；2026-10-16 有记录的停售日</v>
      </c>
      <c r="AF406" s="8" t="n">
        <v>0</v>
      </c>
      <c r="AG406" s="8" t="n">
        <v>0</v>
      </c>
      <c r="AH406" s="8" t="n">
        <v>14</v>
      </c>
      <c r="AI406" s="8" t="str">
        <v>2026-09-13 至 2026-10-17</v>
      </c>
      <c r="AJ40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6" s="8" t="str">
        <v>2026-10-06 大促；2026-10-07 大促；2026-10-12 有记录的停售日；2026-10-13 有记录的停售日；2026-10-16 有记录的停售日</v>
      </c>
      <c r="AL406" s="8" t="n">
        <v>0</v>
      </c>
      <c r="AM406" s="8" t="n">
        <v>0</v>
      </c>
      <c r="AN406" s="8" t="n">
        <v>30</v>
      </c>
      <c r="AO406" s="8" t="str">
        <v>32582 / 红色羊京绒 / 6574</v>
      </c>
      <c r="AP406" s="11" t="n">
        <v>1.0395067087630607</v>
      </c>
      <c r="AQ406" s="11" t="n">
        <v>1.048428692110265</v>
      </c>
      <c r="AR406" s="11" t="n">
        <v>1.076979038821319</v>
      </c>
      <c r="AS406" s="11" t="n">
        <f>IF(AND(COUNT(I406:K406,AP406:AR406)=6,MIN(AP406:AR406)&gt;0),I406/7/AP406*0.5+J406/14/AQ406*0.3+K406/30/AR406*0.2,"")</f>
        <v>0</v>
      </c>
      <c r="AT406" s="8" t="n">
        <v>0</v>
      </c>
      <c r="AU406" s="8" t="n">
        <v>0</v>
      </c>
      <c r="AV406" s="8" t="n">
        <v>85</v>
      </c>
      <c r="AW406" s="11" t="n">
        <f>IF(AND(COUNT(AT406:AV406)=3,AT406&gt;=AU406,AU406&gt;=0,AV406&gt;0),(AT406-AU406)/AV406,"")</f>
        <v>0</v>
      </c>
      <c r="AX406" s="8" t="n">
        <v>1</v>
      </c>
      <c r="AY406" s="8" t="n">
        <v>0</v>
      </c>
      <c r="AZ406" s="8" t="n">
        <v>175</v>
      </c>
      <c r="BA406" s="11" t="n">
        <f>IF(AND(COUNT(AX406:AZ406)=3,AX406&gt;=AY406,AY406&gt;=0,AZ406&gt;0),(AX406-AY406)/AZ406,"")</f>
        <v>0.005714285714285714</v>
      </c>
      <c r="BB406" s="8" t="n">
        <f>IF(COUNT(AS406,AW406,BA406)=3,1,0)</f>
        <v>1</v>
      </c>
      <c r="BC406" s="11" t="n">
        <f>IF(SUMIF($AO$11:$AO$1309,AO406,$BB$11:$BB$1309)=COUNTIF($AO$11:$AO$1309,AO406),SUMIF($AO$11:$AO$1309,AO406,$AS$11:$AS$1309),"")</f>
        <v>0.17414025453815726</v>
      </c>
      <c r="BD406" s="11" t="n">
        <f>IF(SUMIF($AO$11:$AO$1309,AO406,$BB$11:$BB$1309)=COUNTIF($AO$11:$AO$1309,AO406),SUMIF($AO$11:$AO$1309,AO406,$AW$11:$AW$1309),"")</f>
        <v>0.25</v>
      </c>
      <c r="BE406" s="11" t="n">
        <f>IF(SUMIF($AO$11:$AO$1309,AO406,$BB$11:$BB$1309)=COUNTIF($AO$11:$AO$1309,AO406),SUMIF($AO$11:$AO$1309,AO406,$BA$11:$BA$1309),"")</f>
        <v>0.342792937399679</v>
      </c>
      <c r="BF406" s="12" t="n">
        <f>IF(COUNT(BD406:BE406)&lt;&gt;2,"",IF(AND(BD406&gt;0,BE406&gt;0),0.7*AW406/BD406+0.3*BA406/BE406,IF(BD406&gt;0,AW406/BD406,IF(BE406&gt;0,BA406/BE406,IF(AND(ISNUMBER(BH406),BH406=0),0,"")))))</f>
        <v>0.005000936504963476</v>
      </c>
      <c r="BG406" s="11" t="n">
        <f>IF(AND(COUNT(BN406:BU406)=8,MIN(BN406:BU406)&gt;=0),SUMPRODUCT(BN406:BQ406,BR406:BU406),"")</f>
        <v>88.27281580841549</v>
      </c>
      <c r="BH406" s="11" t="n">
        <f>IF(COUNT(BC406,BG406)=2,BC406*BG406,"")</f>
        <v>15.371850613677346</v>
      </c>
      <c r="BI406" s="11" t="n">
        <f>IF(ISNUMBER(CI406),CI406,"")</f>
        <v>0.07687364888278425</v>
      </c>
      <c r="BJ406" s="8" t="str">
        <v>近180天本色销量64双（＜90），无有效新采购，请运营判断</v>
      </c>
      <c r="BK406" s="8" t="str">
        <v>90天：2026-07-20 至 2026-10-17；180天：2026-04-21 至 2026-10-17</v>
      </c>
      <c r="BL406" s="8" t="str">
        <v>90天：2026-10-06、2026-10-07、2026-10-12、2026-10-13、2026-10-16；180天：2026-10-06、2026-10-07、2026-10-12、2026-10-13、2026-10-16</v>
      </c>
      <c r="BM406" s="8" t="str">
        <v>2026-10：12天 × 1.0395067087630607；2026-11：30天 × 0.9890368360033146；2026-12：31天 × 0.7800796503018808；2027-01：17天 × 1.2908918272824135</v>
      </c>
      <c r="BN406" s="11" t="n">
        <v>1.0395067087630607</v>
      </c>
      <c r="BO406" s="11" t="n">
        <v>0.9890368360033146</v>
      </c>
      <c r="BP406" s="11" t="n">
        <v>0.7800796503018808</v>
      </c>
      <c r="BQ406" s="11" t="n">
        <v>1.2908918272824135</v>
      </c>
      <c r="BR406" s="8" t="n">
        <v>12</v>
      </c>
      <c r="BS406" s="8" t="n">
        <v>30</v>
      </c>
      <c r="BT406" s="8" t="n">
        <v>31</v>
      </c>
      <c r="BU406" s="8" t="n">
        <v>17</v>
      </c>
      <c r="BV406" s="11" t="n">
        <f>IF(COUNT(BC406,BF406)=2,BC406*BF406,"")</f>
        <v>0.0008708643559035023</v>
      </c>
      <c r="BW406" s="11" t="n">
        <f>IF(ISNUMBER(BN406),BN406,"")</f>
        <v>1.0395067087630607</v>
      </c>
      <c r="BX406" s="14" t="n">
        <f>IF(ISNUMBER(BR406),BR406,"")</f>
        <v>12</v>
      </c>
      <c r="BY406" s="13" t="n">
        <f>IF(AND(COUNT(BV406,BW406,BX406)=3,MIN(BV406,BW406,BX406)&gt;=0),BV406*BW406*BX406,"")</f>
        <v>0.010863232084611749</v>
      </c>
      <c r="BZ406" s="11" t="n">
        <f>IF(ISNUMBER(BO406),BO406,"")</f>
        <v>0.9890368360033146</v>
      </c>
      <c r="CA406" s="14" t="n">
        <f>IF(ISNUMBER(BS406),BS406,"")</f>
        <v>30</v>
      </c>
      <c r="CB406" s="13" t="n">
        <f>IF(AND(COUNT(BV406,BZ406,CA406)=3,MIN(BV406,BZ406,CA406)&gt;=0),BV406*BZ406*CA406,"")</f>
        <v>0.02583950781452593</v>
      </c>
      <c r="CC406" s="11" t="n">
        <f>IF(ISNUMBER(BP406),BP406,"")</f>
        <v>0.7800796503018808</v>
      </c>
      <c r="CD406" s="14" t="n">
        <f>IF(ISNUMBER(BT406),BT406,"")</f>
        <v>31</v>
      </c>
      <c r="CE406" s="13" t="n">
        <f>IF(AND(COUNT(BV406,CC406,CD406)=3,MIN(BV406,CC406,CD406)&gt;=0),BV406*CC406*CD406,"")</f>
        <v>0.021059650428620878</v>
      </c>
      <c r="CF406" s="11" t="n">
        <f>IF(ISNUMBER(BQ406),BQ406,"")</f>
        <v>1.2908918272824135</v>
      </c>
      <c r="CG406" s="14" t="n">
        <f>IF(ISNUMBER(BU406),BU406,"")</f>
        <v>17</v>
      </c>
      <c r="CH406" s="13" t="n">
        <f>IF(AND(COUNT(BV406,CF406,CG406)=3,MIN(BV406,CF406,CG406)&gt;=0),BV406*CF406*CG406,"")</f>
        <v>0.0191112585550257</v>
      </c>
      <c r="CI406" s="13" t="n">
        <f>IF(COUNT(BY406,CB406,CE406,CH406)=4,SUM(BY406,CB406,CE406,CH406),"")</f>
        <v>0.07687364888278425</v>
      </c>
    </row>
    <row r="407" ht="72" customHeight="1">
      <c r="A407" s="16" t="str">
        <v>60516-ND-S-K-8.5</v>
      </c>
      <c r="B407" s="16" t="str">
        <v>3店-SANDIEX-US</v>
      </c>
      <c r="C407" s="16" t="str">
        <v>徐新怡</v>
      </c>
      <c r="D407" s="26" t="n">
        <f>IF(NOT(ISNUMBER(E407)),"",IF(OR(E407&lt;=0,L407=0),0,IF(OR(NOT(ISNUMBER(F407)),F407&lt;0),"",MIN(E407,INT(F407)))))</f>
        <v>0</v>
      </c>
      <c r="E407" s="27" t="n">
        <f>IF(OR(NOT(ISNUMBER(L407)),COUNT(M407:O407)&lt;&gt;3,MIN(M407:O407)&lt;0),"",ROUNDUP(ROUND(BI407-SUM(M407:O407),10),0))</f>
        <v>1</v>
      </c>
      <c r="F407" s="28" t="n">
        <v>0</v>
      </c>
      <c r="G407" s="28" t="n">
        <f>IF(AND(ISNUMBER(D407),ISNUMBER(E407)),IF(OR(E407&lt;=0,L407=0),0,E407-D407),"")</f>
        <v>1</v>
      </c>
      <c r="H407" s="16" t="str">
        <f>IF(NOT(ISNUMBER(E407)),"销量或海外库存待补",IF(OR(E407&lt;=0,L407=0),IF(L407=0,"零日销，本批不发","本批无需补货"),IF(NOT(ISNUMBER(D407)),"国内库存待补",IF(D407=0,"国内无可用库存",IF(G407&gt;0,"先发国内现货","按建议量发货")))))</f>
        <v>国内无可用库存</v>
      </c>
      <c r="I407" s="28" t="n">
        <f>IF(AND(COUNT(Z407,AA407,AB407)=3,Z407&gt;=AA407,AA407&gt;=0,AB407=7),Z407-AA407,"")</f>
        <v>0</v>
      </c>
      <c r="J407" s="28" t="n">
        <f>IF(AND(COUNT(AF407,AG407,AH407)=3,AF407&gt;=AG407,AG407&gt;=0,AH407=14),AF407-AG407,"")</f>
        <v>0</v>
      </c>
      <c r="K407" s="28" t="n">
        <f>IF(AND(COUNT(AL407,AM407,AN407)=3,AL407&gt;=AM407,AM407&gt;=0,AN407=30),AL407-AM407,"")</f>
        <v>0</v>
      </c>
      <c r="L407" s="29" t="n">
        <f>IF(ISNUMBER(BI407),BI407/90,"")</f>
        <v>0.009733325824638268</v>
      </c>
      <c r="M407" s="28" t="n">
        <v>0</v>
      </c>
      <c r="N407" s="28" t="n">
        <v>0</v>
      </c>
      <c r="O407" s="28" t="n">
        <v>0</v>
      </c>
      <c r="P407" s="30" t="n">
        <f>IF(AND(ISNUMBER(L407),L407&gt;0,COUNT(M407:O407)=3,MIN(M407:O407)&gt;=0),SUM(M407:O407)/L407,"")</f>
        <v>0</v>
      </c>
      <c r="Q407" s="16" t="str">
        <v>按本SKU唯一未删除Listing店铺核实</v>
      </c>
      <c r="R407" s="16" t="str">
        <v>已匹配</v>
      </c>
      <c r="S407" s="16" t="str">
        <v>停售</v>
      </c>
      <c r="T407" s="16" t="str">
        <v>60516</v>
      </c>
      <c r="U407" s="16" t="str">
        <v>裸色</v>
      </c>
      <c r="V407" s="16" t="n">
        <v>8.5</v>
      </c>
      <c r="W407" s="8" t="str">
        <v>2026-10-08 至 2026-10-17</v>
      </c>
      <c r="X407" s="8" t="str">
        <v>2026-10-08、2026-10-09、2026-10-10、2026-10-11、2026-10-14、2026-10-15、2026-10-17</v>
      </c>
      <c r="Y407" s="8" t="str">
        <v>2026-10-12 有记录的停售日；2026-10-13 有记录的停售日；2026-10-16 有记录的停售日</v>
      </c>
      <c r="Z407" s="8" t="n">
        <v>0</v>
      </c>
      <c r="AA407" s="8" t="n">
        <v>0</v>
      </c>
      <c r="AB407" s="8" t="n">
        <v>7</v>
      </c>
      <c r="AC407" s="8" t="str">
        <v>2026-09-29 至 2026-10-17</v>
      </c>
      <c r="AD407" s="8" t="str">
        <v>2026-09-29、2026-09-30、2026-10-01、2026-10-02、2026-10-03、2026-10-04、2026-10-05、2026-10-08、2026-10-09、2026-10-10、2026-10-11、2026-10-14、2026-10-15、2026-10-17</v>
      </c>
      <c r="AE407" s="8" t="str">
        <v>2026-10-06 大促；2026-10-07 大促；2026-10-12 有记录的停售日；2026-10-13 有记录的停售日；2026-10-16 有记录的停售日</v>
      </c>
      <c r="AF407" s="8" t="n">
        <v>0</v>
      </c>
      <c r="AG407" s="8" t="n">
        <v>0</v>
      </c>
      <c r="AH407" s="8" t="n">
        <v>14</v>
      </c>
      <c r="AI407" s="8" t="str">
        <v>2026-09-13 至 2026-10-17</v>
      </c>
      <c r="AJ40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7" s="8" t="str">
        <v>2026-10-06 大促；2026-10-07 大促；2026-10-12 有记录的停售日；2026-10-13 有记录的停售日；2026-10-16 有记录的停售日</v>
      </c>
      <c r="AL407" s="8" t="n">
        <v>0</v>
      </c>
      <c r="AM407" s="8" t="n">
        <v>0</v>
      </c>
      <c r="AN407" s="8" t="n">
        <v>30</v>
      </c>
      <c r="AO407" s="8" t="str">
        <v>60516 / 裸色羊京绒 / 6574</v>
      </c>
      <c r="AP407" s="11" t="n">
        <v>1.8609238953732312</v>
      </c>
      <c r="AQ407" s="11" t="n">
        <v>1.832044958686392</v>
      </c>
      <c r="AR407" s="11" t="n">
        <v>1.7396323612885067</v>
      </c>
      <c r="AS407" s="11" t="n">
        <f>IF(AND(COUNT(I407:K407,AP407:AR407)=6,MIN(AP407:AR407)&gt;0),I407/7/AP407*0.5+J407/14/AQ407*0.3+K407/30/AR407*0.2,"")</f>
        <v>0</v>
      </c>
      <c r="AT407" s="8" t="n">
        <v>0</v>
      </c>
      <c r="AU407" s="8" t="n">
        <v>0</v>
      </c>
      <c r="AV407" s="8" t="n">
        <v>85</v>
      </c>
      <c r="AW407" s="11" t="n">
        <f>IF(AND(COUNT(AT407:AV407)=3,AT407&gt;=AU407,AU407&gt;=0,AV407&gt;0),(AT407-AU407)/AV407,"")</f>
        <v>0</v>
      </c>
      <c r="AX407" s="8" t="n">
        <v>4</v>
      </c>
      <c r="AY407" s="8" t="n">
        <v>0</v>
      </c>
      <c r="AZ407" s="8" t="n">
        <v>175</v>
      </c>
      <c r="BA407" s="11" t="n">
        <f>IF(AND(COUNT(AX407:AZ407)=3,AX407&gt;=AY407,AY407&gt;=0,AZ407&gt;0),(AX407-AY407)/AZ407,"")</f>
        <v>0.022857142857142857</v>
      </c>
      <c r="BB407" s="8" t="n">
        <f>IF(COUNT(AS407,AW407,BA407)=3,1,0)</f>
        <v>1</v>
      </c>
      <c r="BC407" s="11" t="n">
        <f>IF(SUMIF($AO$11:$AO$1309,AO407,$BB$11:$BB$1309)=COUNTIF($AO$11:$AO$1309,AO407),SUMIF($AO$11:$AO$1309,AO407,$AS$11:$AS$1309),"")</f>
        <v>0.8385909885010574</v>
      </c>
      <c r="BD407" s="11" t="n">
        <f>IF(SUMIF($AO$11:$AO$1309,AO407,$BB$11:$BB$1309)=COUNTIF($AO$11:$AO$1309,AO407),SUMIF($AO$11:$AO$1309,AO407,$AW$11:$AW$1309),"")</f>
        <v>0.8766042780748663</v>
      </c>
      <c r="BE407" s="11" t="n">
        <f>IF(SUMIF($AO$11:$AO$1309,AO407,$BB$11:$BB$1309)=COUNTIF($AO$11:$AO$1309,AO407),SUMIF($AO$11:$AO$1309,AO407,$BA$11:$BA$1309),"")</f>
        <v>0.7203531300160514</v>
      </c>
      <c r="BF407" s="12" t="n">
        <f>IF(COUNT(BD407:BE407)&lt;&gt;2,"",IF(AND(BD407&gt;0,BE407&gt;0),0.7*AW407/BD407+0.3*BA407/BE407,IF(BD407&gt;0,AW407/BD407,IF(BE407&gt;0,BA407/BE407,IF(AND(ISNUMBER(BH407),BH407=0),0,"")))))</f>
        <v>0.009519140781674762</v>
      </c>
      <c r="BG407" s="11" t="n">
        <f>IF(AND(COUNT(BN407:BU407)=8,MIN(BN407:BU407)&gt;=0),SUMPRODUCT(BN407:BQ407,BR407:BU407),"")</f>
        <v>109.73769409574882</v>
      </c>
      <c r="BH407" s="11" t="n">
        <f>IF(COUNT(BC407,BG407)=2,BC407*BG407,"")</f>
        <v>92.02504136758066</v>
      </c>
      <c r="BI407" s="11" t="n">
        <f>IF(ISNUMBER(CI407),CI407,"")</f>
        <v>0.8759993242174442</v>
      </c>
      <c r="BJ407" s="8" t="str"/>
      <c r="BK407" s="8" t="str">
        <v>90天：2026-07-20 至 2026-10-17；180天：2026-04-21 至 2026-10-17</v>
      </c>
      <c r="BL407" s="8" t="str">
        <v>90天：2026-10-06、2026-10-07、2026-10-12、2026-10-13、2026-10-16；180天：2026-10-06、2026-10-07、2026-10-12、2026-10-13、2026-10-16</v>
      </c>
      <c r="BM407" s="8" t="str">
        <v>2026-10：12天 × 1.8609238953732312；2026-11：30天 × 1.438375649833085；2026-12：31天 × 0.9519742599124907；2027-01：17天 × 0.8673021058229575</v>
      </c>
      <c r="BN407" s="11" t="n">
        <v>1.8609238953732312</v>
      </c>
      <c r="BO407" s="11" t="n">
        <v>1.438375649833085</v>
      </c>
      <c r="BP407" s="11" t="n">
        <v>0.9519742599124907</v>
      </c>
      <c r="BQ407" s="11" t="n">
        <v>0.8673021058229575</v>
      </c>
      <c r="BR407" s="8" t="n">
        <v>12</v>
      </c>
      <c r="BS407" s="8" t="n">
        <v>30</v>
      </c>
      <c r="BT407" s="8" t="n">
        <v>31</v>
      </c>
      <c r="BU407" s="8" t="n">
        <v>17</v>
      </c>
      <c r="BV407" s="11" t="n">
        <f>IF(COUNT(BC407,BF407)=2,BC407*BF407,"")</f>
        <v>0.007982665677785368</v>
      </c>
      <c r="BW407" s="11" t="n">
        <f>IF(ISNUMBER(BN407),BN407,"")</f>
        <v>1.8609238953732312</v>
      </c>
      <c r="BX407" s="14" t="n">
        <f>IF(ISNUMBER(BR407),BR407,"")</f>
        <v>12</v>
      </c>
      <c r="BY407" s="13" t="n">
        <f>IF(AND(COUNT(BV407,BW407,BX407)=3,MIN(BV407,BW407,BX407)&gt;=0),BV407*BW407*BX407,"")</f>
        <v>0.1782615997027985</v>
      </c>
      <c r="BZ407" s="11" t="n">
        <f>IF(ISNUMBER(BO407),BO407,"")</f>
        <v>1.438375649833085</v>
      </c>
      <c r="CA407" s="14" t="n">
        <f>IF(ISNUMBER(BS407),BS407,"")</f>
        <v>30</v>
      </c>
      <c r="CB407" s="13" t="n">
        <f>IF(AND(COUNT(BV407,BZ407,CA407)=3,MIN(BV407,BZ407,CA407)&gt;=0),BV407*BZ407*CA407,"")</f>
        <v>0.3444621579505438</v>
      </c>
      <c r="CC407" s="11" t="n">
        <f>IF(ISNUMBER(BP407),BP407,"")</f>
        <v>0.9519742599124907</v>
      </c>
      <c r="CD407" s="14" t="n">
        <f>IF(ISNUMBER(BT407),BT407,"")</f>
        <v>31</v>
      </c>
      <c r="CE407" s="13" t="n">
        <f>IF(AND(COUNT(BV407,CC407,CD407)=3,MIN(BV407,CC407,CD407)&gt;=0),BV407*CC407*CD407,"")</f>
        <v>0.23557805977289556</v>
      </c>
      <c r="CF407" s="11" t="n">
        <f>IF(ISNUMBER(BQ407),BQ407,"")</f>
        <v>0.8673021058229575</v>
      </c>
      <c r="CG407" s="14" t="n">
        <f>IF(ISNUMBER(BU407),BU407,"")</f>
        <v>17</v>
      </c>
      <c r="CH407" s="13" t="n">
        <f>IF(AND(COUNT(BV407,CF407,CG407)=3,MIN(BV407,CF407,CG407)&gt;=0),BV407*CF407*CG407,"")</f>
        <v>0.11769750679120623</v>
      </c>
      <c r="CI407" s="13" t="n">
        <f>IF(COUNT(BY407,CB407,CE407,CH407)=4,SUM(BY407,CB407,CE407,CH407),"")</f>
        <v>0.8759993242174442</v>
      </c>
    </row>
    <row r="408" ht="72" customHeight="1">
      <c r="A408" s="16" t="str">
        <v>60516-NY-S-K-7.5</v>
      </c>
      <c r="B408" s="16" t="str">
        <v>3店-SANDIEX-US</v>
      </c>
      <c r="C408" s="16" t="str">
        <v>徐新怡</v>
      </c>
      <c r="D408" s="26" t="n">
        <f>IF(NOT(ISNUMBER(E408)),"",IF(OR(E408&lt;=0,L408=0),0,IF(OR(NOT(ISNUMBER(F408)),F408&lt;0),"",MIN(E408,INT(F408)))))</f>
        <v>0</v>
      </c>
      <c r="E408" s="27" t="n">
        <f>IF(OR(NOT(ISNUMBER(L408)),COUNT(M408:O408)&lt;&gt;3,MIN(M408:O408)&lt;0),"",ROUNDUP(ROUND(BI408-SUM(M408:O408),10),0))</f>
        <v>1</v>
      </c>
      <c r="F408" s="28" t="n">
        <v>0</v>
      </c>
      <c r="G408" s="28" t="n">
        <f>IF(AND(ISNUMBER(D408),ISNUMBER(E408)),IF(OR(E408&lt;=0,L408=0),0,E408-D408),"")</f>
        <v>1</v>
      </c>
      <c r="H408" s="16" t="str">
        <f>IF(NOT(ISNUMBER(E408)),"销量或海外库存待补",IF(OR(E408&lt;=0,L408=0),IF(L408=0,"零日销，本批不发","本批无需补货"),IF(NOT(ISNUMBER(D408)),"国内库存待补",IF(D408=0,"国内无可用库存",IF(G408&gt;0,"先发国内现货","按建议量发货")))))</f>
        <v>国内无可用库存</v>
      </c>
      <c r="I408" s="28" t="n">
        <f>IF(AND(COUNT(Z408,AA408,AB408)=3,Z408&gt;=AA408,AA408&gt;=0,AB408=7),Z408-AA408,"")</f>
        <v>0</v>
      </c>
      <c r="J408" s="28" t="n">
        <f>IF(AND(COUNT(AF408,AG408,AH408)=3,AF408&gt;=AG408,AG408&gt;=0,AH408=14),AF408-AG408,"")</f>
        <v>0</v>
      </c>
      <c r="K408" s="28" t="n">
        <f>IF(AND(COUNT(AL408,AM408,AN408)=3,AL408&gt;=AM408,AM408&gt;=0,AN408=30),AL408-AM408,"")</f>
        <v>0</v>
      </c>
      <c r="L408" s="29" t="n">
        <f>IF(ISNUMBER(BI408),BI408/90,"")</f>
        <v>0.004363974648027433</v>
      </c>
      <c r="M408" s="28" t="n">
        <v>0</v>
      </c>
      <c r="N408" s="28" t="n">
        <v>0</v>
      </c>
      <c r="O408" s="28" t="n">
        <v>0</v>
      </c>
      <c r="P408" s="30" t="n">
        <f>IF(AND(ISNUMBER(L408),L408&gt;0,COUNT(M408:O408)=3,MIN(M408:O408)&gt;=0),SUM(M408:O408)/L408,"")</f>
        <v>0</v>
      </c>
      <c r="Q408" s="16" t="str">
        <v>按本SKU唯一未删除Listing店铺核实</v>
      </c>
      <c r="R408" s="16" t="str">
        <v>已匹配</v>
      </c>
      <c r="S408" s="16" t="str">
        <v>停售</v>
      </c>
      <c r="T408" s="16" t="str">
        <v>60516</v>
      </c>
      <c r="U408" s="16" t="str">
        <v>藏青色</v>
      </c>
      <c r="V408" s="16" t="n">
        <v>7.5</v>
      </c>
      <c r="W408" s="8" t="str">
        <v>2026-10-08 至 2026-10-17</v>
      </c>
      <c r="X408" s="8" t="str">
        <v>2026-10-08、2026-10-09、2026-10-10、2026-10-11、2026-10-14、2026-10-15、2026-10-17</v>
      </c>
      <c r="Y408" s="8" t="str">
        <v>2026-10-12 有记录的停售日；2026-10-13 有记录的停售日；2026-10-16 有记录的停售日</v>
      </c>
      <c r="Z408" s="8" t="n">
        <v>0</v>
      </c>
      <c r="AA408" s="8" t="n">
        <v>0</v>
      </c>
      <c r="AB408" s="8" t="n">
        <v>7</v>
      </c>
      <c r="AC408" s="8" t="str">
        <v>2026-09-29 至 2026-10-17</v>
      </c>
      <c r="AD408" s="8" t="str">
        <v>2026-09-29、2026-09-30、2026-10-01、2026-10-02、2026-10-03、2026-10-04、2026-10-05、2026-10-08、2026-10-09、2026-10-10、2026-10-11、2026-10-14、2026-10-15、2026-10-17</v>
      </c>
      <c r="AE408" s="8" t="str">
        <v>2026-10-06 大促；2026-10-07 大促；2026-10-12 有记录的停售日；2026-10-13 有记录的停售日；2026-10-16 有记录的停售日</v>
      </c>
      <c r="AF408" s="8" t="n">
        <v>0</v>
      </c>
      <c r="AG408" s="8" t="n">
        <v>0</v>
      </c>
      <c r="AH408" s="8" t="n">
        <v>14</v>
      </c>
      <c r="AI408" s="8" t="str">
        <v>2026-09-13 至 2026-10-17</v>
      </c>
      <c r="AJ4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08" s="8" t="str">
        <v>2026-10-06 大促；2026-10-07 大促；2026-10-12 有记录的停售日；2026-10-13 有记录的停售日；2026-10-16 有记录的停售日</v>
      </c>
      <c r="AL408" s="8" t="n">
        <v>0</v>
      </c>
      <c r="AM408" s="8" t="n">
        <v>0</v>
      </c>
      <c r="AN408" s="8" t="n">
        <v>30</v>
      </c>
      <c r="AO408" s="8" t="str">
        <v>60516 / 藏青色羊京绒 / 6574</v>
      </c>
      <c r="AP408" s="11" t="n">
        <v>1.8609238953732312</v>
      </c>
      <c r="AQ408" s="11" t="n">
        <v>1.832044958686392</v>
      </c>
      <c r="AR408" s="11" t="n">
        <v>1.7396323612885067</v>
      </c>
      <c r="AS408" s="11" t="n">
        <f>IF(AND(COUNT(I408:K408,AP408:AR408)=6,MIN(AP408:AR408)&gt;0),I408/7/AP408*0.5+J408/14/AQ408*0.3+K408/30/AR408*0.2,"")</f>
        <v>0</v>
      </c>
      <c r="AT408" s="8" t="n">
        <v>0</v>
      </c>
      <c r="AU408" s="8" t="n">
        <v>0</v>
      </c>
      <c r="AV408" s="8" t="n">
        <v>85</v>
      </c>
      <c r="AW408" s="11" t="n">
        <f>IF(AND(COUNT(AT408:AV408)=3,AT408&gt;=AU408,AU408&gt;=0,AV408&gt;0),(AT408-AU408)/AV408,"")</f>
        <v>0</v>
      </c>
      <c r="AX408" s="8" t="n">
        <v>2</v>
      </c>
      <c r="AY408" s="8" t="n">
        <v>0</v>
      </c>
      <c r="AZ408" s="8" t="n">
        <v>175</v>
      </c>
      <c r="BA408" s="11" t="n">
        <f>IF(AND(COUNT(AX408:AZ408)=3,AX408&gt;=AY408,AY408&gt;=0,AZ408&gt;0),(AX408-AY408)/AZ408,"")</f>
        <v>0.011428571428571429</v>
      </c>
      <c r="BB408" s="8" t="n">
        <f>IF(COUNT(AS408,AW408,BA408)=3,1,0)</f>
        <v>1</v>
      </c>
      <c r="BC408" s="11" t="n">
        <f>IF(SUMIF($AO$11:$AO$1309,AO408,$BB$11:$BB$1309)=COUNTIF($AO$11:$AO$1309,AO408),SUMIF($AO$11:$AO$1309,AO408,$AS$11:$AS$1309),"")</f>
        <v>0.40586130703730794</v>
      </c>
      <c r="BD408" s="11" t="n">
        <f>IF(SUMIF($AO$11:$AO$1309,AO408,$BB$11:$BB$1309)=COUNTIF($AO$11:$AO$1309,AO408),SUMIF($AO$11:$AO$1309,AO408,$AW$11:$AW$1309),"")</f>
        <v>0.5125668449197861</v>
      </c>
      <c r="BE408" s="11" t="n">
        <f>IF(SUMIF($AO$11:$AO$1309,AO408,$BB$11:$BB$1309)=COUNTIF($AO$11:$AO$1309,AO408),SUMIF($AO$11:$AO$1309,AO408,$BA$11:$BA$1309),"")</f>
        <v>0.38879614767255216</v>
      </c>
      <c r="BF408" s="12" t="n">
        <f>IF(COUNT(BD408:BE408)&lt;&gt;2,"",IF(AND(BD408&gt;0,BE408&gt;0),0.7*AW408/BD408+0.3*BA408/BE408,IF(BD408&gt;0,AW408/BD408,IF(BE408&gt;0,BA408/BE408,IF(AND(ISNUMBER(BH408),BH408=0),0,"")))))</f>
        <v>0.008818429526876392</v>
      </c>
      <c r="BG408" s="11" t="n">
        <f>IF(AND(COUNT(BN408:BU408)=8,MIN(BN408:BU408)&gt;=0),SUMPRODUCT(BN408:BQ408,BR408:BU408),"")</f>
        <v>109.73769409574882</v>
      </c>
      <c r="BH408" s="11" t="n">
        <f>IF(COUNT(BC408,BG408)=2,BC408*BG408,"")</f>
        <v>44.53828395696089</v>
      </c>
      <c r="BI408" s="11" t="n">
        <f>IF(ISNUMBER(CI408),CI408,"")</f>
        <v>0.392757718322469</v>
      </c>
      <c r="BJ408" s="8" t="str">
        <v>近180天本色销量75双（＜90），无有效新采购，请运营判断</v>
      </c>
      <c r="BK408" s="8" t="str">
        <v>90天：2026-07-20 至 2026-10-17；180天：2026-04-21 至 2026-10-17</v>
      </c>
      <c r="BL408" s="8" t="str">
        <v>90天：2026-10-06、2026-10-07、2026-10-12、2026-10-13、2026-10-16；180天：2026-10-06、2026-10-07、2026-10-12、2026-10-13、2026-10-16</v>
      </c>
      <c r="BM408" s="8" t="str">
        <v>2026-10：12天 × 1.8609238953732312；2026-11：30天 × 1.438375649833085；2026-12：31天 × 0.9519742599124907；2027-01：17天 × 0.8673021058229575</v>
      </c>
      <c r="BN408" s="11" t="n">
        <v>1.8609238953732312</v>
      </c>
      <c r="BO408" s="11" t="n">
        <v>1.438375649833085</v>
      </c>
      <c r="BP408" s="11" t="n">
        <v>0.9519742599124907</v>
      </c>
      <c r="BQ408" s="11" t="n">
        <v>0.8673021058229575</v>
      </c>
      <c r="BR408" s="8" t="n">
        <v>12</v>
      </c>
      <c r="BS408" s="8" t="n">
        <v>30</v>
      </c>
      <c r="BT408" s="8" t="n">
        <v>31</v>
      </c>
      <c r="BU408" s="8" t="n">
        <v>17</v>
      </c>
      <c r="BV408" s="11" t="n">
        <f>IF(COUNT(BC408,BF408)=2,BC408*BF408,"")</f>
        <v>0.0035790593337944416</v>
      </c>
      <c r="BW408" s="11" t="n">
        <f>IF(ISNUMBER(BN408),BN408,"")</f>
        <v>1.8609238953732312</v>
      </c>
      <c r="BX408" s="14" t="n">
        <f>IF(ISNUMBER(BR408),BR408,"")</f>
        <v>12</v>
      </c>
      <c r="BY408" s="13" t="n">
        <f>IF(AND(COUNT(BV408,BW408,BX408)=3,MIN(BV408,BW408,BX408)&gt;=0),BV408*BW408*BX408,"")</f>
        <v>0.07992428444660009</v>
      </c>
      <c r="BZ408" s="11" t="n">
        <f>IF(ISNUMBER(BO408),BO408,"")</f>
        <v>1.438375649833085</v>
      </c>
      <c r="CA408" s="14" t="n">
        <f>IF(ISNUMBER(BS408),BS408,"")</f>
        <v>30</v>
      </c>
      <c r="CB408" s="13" t="n">
        <f>IF(AND(COUNT(BV408,BZ408,CA408)=3,MIN(BV408,BZ408,CA408)&gt;=0),BV408*BZ408*CA408,"")</f>
        <v>0.15444095385113243</v>
      </c>
      <c r="CC408" s="11" t="n">
        <f>IF(ISNUMBER(BP408),BP408,"")</f>
        <v>0.9519742599124907</v>
      </c>
      <c r="CD408" s="14" t="n">
        <f>IF(ISNUMBER(BT408),BT408,"")</f>
        <v>31</v>
      </c>
      <c r="CE408" s="13" t="n">
        <f>IF(AND(COUNT(BV408,CC408,CD408)=3,MIN(BV408,CC408,CD408)&gt;=0),BV408*CC408*CD408,"")</f>
        <v>0.10562234317462753</v>
      </c>
      <c r="CF408" s="11" t="n">
        <f>IF(ISNUMBER(BQ408),BQ408,"")</f>
        <v>0.8673021058229575</v>
      </c>
      <c r="CG408" s="14" t="n">
        <f>IF(ISNUMBER(BU408),BU408,"")</f>
        <v>17</v>
      </c>
      <c r="CH408" s="13" t="n">
        <f>IF(AND(COUNT(BV408,CF408,CG408)=3,MIN(BV408,CF408,CG408)&gt;=0),BV408*CF408*CG408,"")</f>
        <v>0.05277013685010892</v>
      </c>
      <c r="CI408" s="13" t="n">
        <f>IF(COUNT(BY408,CB408,CE408,CH408)=4,SUM(BY408,CB408,CE408,CH408),"")</f>
        <v>0.392757718322469</v>
      </c>
    </row>
    <row r="409" ht="72" customHeight="1">
      <c r="A409" s="16" t="str">
        <v>8392-ND-37</v>
      </c>
      <c r="B409" s="16" t="str">
        <v>3店-SANDIEX-US</v>
      </c>
      <c r="C409" s="16" t="str">
        <v>徐新怡</v>
      </c>
      <c r="D409" s="26" t="n">
        <f>IF(NOT(ISNUMBER(E409)),"",IF(OR(E409&lt;=0,L409=0),0,IF(OR(NOT(ISNUMBER(F409)),F409&lt;0),"",MIN(E409,INT(F409)))))</f>
        <v>0</v>
      </c>
      <c r="E409" s="27" t="n">
        <f>IF(OR(NOT(ISNUMBER(L409)),COUNT(M409:O409)&lt;&gt;3,MIN(M409:O409)&lt;0),"",ROUNDUP(ROUND(BI409-SUM(M409:O409),10),0))</f>
        <v>1</v>
      </c>
      <c r="F409" s="28" t="n">
        <v>0</v>
      </c>
      <c r="G409" s="28" t="n">
        <f>IF(AND(ISNUMBER(D409),ISNUMBER(E409)),IF(OR(E409&lt;=0,L409=0),0,E409-D409),"")</f>
        <v>1</v>
      </c>
      <c r="H409" s="16" t="str">
        <f>IF(NOT(ISNUMBER(E409)),"销量或海外库存待补",IF(OR(E409&lt;=0,L409=0),IF(L409=0,"零日销，本批不发","本批无需补货"),IF(NOT(ISNUMBER(D409)),"国内库存待补",IF(D409=0,"国内无可用库存",IF(G409&gt;0,"先发国内现货","按建议量发货")))))</f>
        <v>国内无可用库存</v>
      </c>
      <c r="I409" s="28" t="n">
        <f>IF(AND(COUNT(Z409,AA409,AB409)=3,Z409&gt;=AA409,AA409&gt;=0,AB409=7),Z409-AA409,"")</f>
        <v>1</v>
      </c>
      <c r="J409" s="28" t="n">
        <f>IF(AND(COUNT(AF409,AG409,AH409)=3,AF409&gt;=AG409,AG409&gt;=0,AH409=14),AF409-AG409,"")</f>
        <v>1</v>
      </c>
      <c r="K409" s="28" t="n">
        <f>IF(AND(COUNT(AL409,AM409,AN409)=3,AL409&gt;=AM409,AM409&gt;=0,AN409=30),AL409-AM409,"")</f>
        <v>2</v>
      </c>
      <c r="L409" s="29" t="n">
        <f>IF(ISNUMBER(BI409),BI409/90,"")</f>
        <v>0.10953961231606477</v>
      </c>
      <c r="M409" s="28" t="n">
        <v>9</v>
      </c>
      <c r="N409" s="28" t="n">
        <v>0</v>
      </c>
      <c r="O409" s="28" t="n">
        <v>0</v>
      </c>
      <c r="P409" s="30" t="n">
        <f>IF(AND(ISNUMBER(L409),L409&gt;0,COUNT(M409:O409)=3,MIN(M409:O409)&gt;=0),SUM(M409:O409)/L409,"")</f>
        <v>82.16205817883916</v>
      </c>
      <c r="Q409" s="16" t="str">
        <v>按本SKU唯一未删除Listing店铺核实</v>
      </c>
      <c r="R409" s="16" t="str">
        <v>已匹配</v>
      </c>
      <c r="S409" s="16" t="str">
        <v>在售</v>
      </c>
      <c r="T409" s="16" t="str">
        <v>8392</v>
      </c>
      <c r="U409" s="16" t="str">
        <v>裸色</v>
      </c>
      <c r="V409" s="16" t="n">
        <v>6</v>
      </c>
      <c r="W409" s="8" t="str">
        <v>2026-10-11 至 2026-10-17</v>
      </c>
      <c r="X409" s="8" t="str">
        <v>2026-10-11、2026-10-12、2026-10-13、2026-10-14、2026-10-15、2026-10-16、2026-10-17</v>
      </c>
      <c r="Y409" s="8" t="str">
        <v>无</v>
      </c>
      <c r="Z409" s="8" t="n">
        <v>1</v>
      </c>
      <c r="AA409" s="8" t="n">
        <v>0</v>
      </c>
      <c r="AB409" s="8" t="n">
        <v>7</v>
      </c>
      <c r="AC409" s="8" t="str">
        <v>2026-10-02 至 2026-10-17</v>
      </c>
      <c r="AD409" s="8" t="str">
        <v>2026-10-02、2026-10-03、2026-10-04、2026-10-05、2026-10-08、2026-10-09、2026-10-10、2026-10-11、2026-10-12、2026-10-13、2026-10-14、2026-10-15、2026-10-16、2026-10-17</v>
      </c>
      <c r="AE409" s="8" t="str">
        <v>2026-10-06 大促；2026-10-07 大促</v>
      </c>
      <c r="AF409" s="8" t="n">
        <v>2</v>
      </c>
      <c r="AG409" s="8" t="n">
        <v>1</v>
      </c>
      <c r="AH409" s="8" t="n">
        <v>14</v>
      </c>
      <c r="AI409" s="8" t="str">
        <v>2026-09-16 至 2026-10-17</v>
      </c>
      <c r="AJ4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09" s="8" t="str">
        <v>2026-10-06 大促；2026-10-07 大促</v>
      </c>
      <c r="AL409" s="8" t="n">
        <v>3</v>
      </c>
      <c r="AM409" s="8" t="n">
        <v>1</v>
      </c>
      <c r="AN409" s="8" t="n">
        <v>30</v>
      </c>
      <c r="AO409" s="8" t="str">
        <v>8392 / 裸色羊京绒 / 6574</v>
      </c>
      <c r="AP409" s="11" t="n">
        <v>1.1743420411079069</v>
      </c>
      <c r="AQ409" s="11" t="n">
        <v>1.1743420411079069</v>
      </c>
      <c r="AR409" s="11" t="n">
        <v>1.144331424468921</v>
      </c>
      <c r="AS409" s="11" t="n">
        <f>IF(AND(COUNT(I409:K409,AP409:AR409)=6,MIN(AP409:AR409)&gt;0),I409/7/AP409*0.5+J409/14/AQ409*0.3+K409/30/AR409*0.2,"")</f>
        <v>0.09072326906913346</v>
      </c>
      <c r="AT409" s="8" t="n">
        <v>6</v>
      </c>
      <c r="AU409" s="8" t="n">
        <v>1</v>
      </c>
      <c r="AV409" s="8" t="n">
        <v>88</v>
      </c>
      <c r="AW409" s="11" t="n">
        <f>IF(AND(COUNT(AT409:AV409)=3,AT409&gt;=AU409,AU409&gt;=0,AV409&gt;0),(AT409-AU409)/AV409,"")</f>
        <v>0.056818181818181816</v>
      </c>
      <c r="AX409" s="8" t="n">
        <v>9</v>
      </c>
      <c r="AY409" s="8" t="n">
        <v>1</v>
      </c>
      <c r="AZ409" s="8" t="n">
        <v>178</v>
      </c>
      <c r="BA409" s="11" t="n">
        <f>IF(AND(COUNT(AX409:AZ409)=3,AX409&gt;=AY409,AY409&gt;=0,AZ409&gt;0),(AX409-AY409)/AZ409,"")</f>
        <v>0.0449438202247191</v>
      </c>
      <c r="BB409" s="8" t="n">
        <f>IF(COUNT(AS409,AW409,BA409)=3,1,0)</f>
        <v>1</v>
      </c>
      <c r="BC409" s="11" t="n">
        <f>IF(SUMIF($AO$11:$AO$1309,AO409,$BB$11:$BB$1309)=COUNTIF($AO$11:$AO$1309,AO409),SUMIF($AO$11:$AO$1309,AO409,$AS$11:$AS$1309),"")</f>
        <v>2.532116178578144</v>
      </c>
      <c r="BD409" s="11" t="n">
        <f>IF(SUMIF($AO$11:$AO$1309,AO409,$BB$11:$BB$1309)=COUNTIF($AO$11:$AO$1309,AO409),SUMIF($AO$11:$AO$1309,AO409,$AW$11:$AW$1309),"")</f>
        <v>1.3068181818181819</v>
      </c>
      <c r="BE409" s="11" t="n">
        <f>IF(SUMIF($AO$11:$AO$1309,AO409,$BB$11:$BB$1309)=COUNTIF($AO$11:$AO$1309,AO409),SUMIF($AO$11:$AO$1309,AO409,$BA$11:$BA$1309),"")</f>
        <v>1.3707865168539328</v>
      </c>
      <c r="BF409" s="12" t="n">
        <f>IF(COUNT(BD409:BE409)&lt;&gt;2,"",IF(AND(BD409&gt;0,BE409&gt;0),0.7*AW409/BD409+0.3*BA409/BE409,IF(BD409&gt;0,AW409/BD409,IF(BE409&gt;0,BA409/BE409,IF(AND(ISNUMBER(BH409),BH409=0),0,"")))))</f>
        <v>0.04027084818246614</v>
      </c>
      <c r="BG409" s="11" t="n">
        <f>IF(AND(COUNT(BN409:BU409)=8,MIN(BN409:BU409)&gt;=0),SUMPRODUCT(BN409:BQ409,BR409:BU409),"")</f>
        <v>96.68059267618935</v>
      </c>
      <c r="BH409" s="11" t="n">
        <f>IF(COUNT(BC409,BG409)=2,BC409*BG409,"")</f>
        <v>244.80649286990268</v>
      </c>
      <c r="BI409" s="11" t="n">
        <f>IF(ISNUMBER(CI409),CI409,"")</f>
        <v>9.858565108445829</v>
      </c>
      <c r="BJ409" s="8" t="str"/>
      <c r="BK409" s="8" t="str">
        <v>90天：2026-07-20 至 2026-10-17；180天：2026-04-21 至 2026-10-17</v>
      </c>
      <c r="BL409" s="8" t="str">
        <v>90天：2026-10-06、2026-10-07；180天：2026-10-06、2026-10-07</v>
      </c>
      <c r="BM409" s="8" t="str">
        <v>2026-10：12天 × 1.1743420411079069；2026-11：30天 × 1.281694931279211；2026-12：31天 × 0.9007634642750235；2027-01：17天 × 0.9537631089407297</v>
      </c>
      <c r="BN409" s="11" t="n">
        <v>1.1743420411079069</v>
      </c>
      <c r="BO409" s="11" t="n">
        <v>1.281694931279211</v>
      </c>
      <c r="BP409" s="11" t="n">
        <v>0.9007634642750235</v>
      </c>
      <c r="BQ409" s="11" t="n">
        <v>0.9537631089407297</v>
      </c>
      <c r="BR409" s="8" t="n">
        <v>12</v>
      </c>
      <c r="BS409" s="8" t="n">
        <v>30</v>
      </c>
      <c r="BT409" s="8" t="n">
        <v>31</v>
      </c>
      <c r="BU409" s="8" t="n">
        <v>17</v>
      </c>
      <c r="BV409" s="11" t="n">
        <f>IF(COUNT(BC409,BF409)=2,BC409*BF409,"")</f>
        <v>0.10197046620788676</v>
      </c>
      <c r="BW409" s="11" t="n">
        <f>IF(ISNUMBER(BN409),BN409,"")</f>
        <v>1.1743420411079069</v>
      </c>
      <c r="BX409" s="14" t="n">
        <f>IF(ISNUMBER(BR409),BR409,"")</f>
        <v>12</v>
      </c>
      <c r="BY409" s="13" t="n">
        <f>IF(AND(COUNT(BV409,BW409,BX409)=3,MIN(BV409,BW409,BX409)&gt;=0),BV409*BW409*BX409,"")</f>
        <v>1.436978465031535</v>
      </c>
      <c r="BZ409" s="11" t="n">
        <f>IF(ISNUMBER(BO409),BO409,"")</f>
        <v>1.281694931279211</v>
      </c>
      <c r="CA409" s="14" t="n">
        <f>IF(ISNUMBER(BS409),BS409,"")</f>
        <v>30</v>
      </c>
      <c r="CB409" s="13" t="n">
        <f>IF(AND(COUNT(BV409,BZ409,CA409)=3,MIN(BV409,BZ409,CA409)&gt;=0),BV409*BZ409*CA409,"")</f>
        <v>3.9208508903647954</v>
      </c>
      <c r="CC409" s="11" t="n">
        <f>IF(ISNUMBER(BP409),BP409,"")</f>
        <v>0.9007634642750235</v>
      </c>
      <c r="CD409" s="14" t="n">
        <f>IF(ISNUMBER(BT409),BT409,"")</f>
        <v>31</v>
      </c>
      <c r="CE409" s="13" t="n">
        <f>IF(AND(COUNT(BV409,CC409,CD409)=3,MIN(BV409,CC409,CD409)&gt;=0),BV409*CC409*CD409,"")</f>
        <v>2.847389382249814</v>
      </c>
      <c r="CF409" s="11" t="n">
        <f>IF(ISNUMBER(BQ409),BQ409,"")</f>
        <v>0.9537631089407297</v>
      </c>
      <c r="CG409" s="14" t="n">
        <f>IF(ISNUMBER(BU409),BU409,"")</f>
        <v>17</v>
      </c>
      <c r="CH409" s="13" t="n">
        <f>IF(AND(COUNT(BV409,CF409,CG409)=3,MIN(BV409,CF409,CG409)&gt;=0),BV409*CF409*CG409,"")</f>
        <v>1.6533463707996847</v>
      </c>
      <c r="CI409" s="13" t="n">
        <f>IF(COUNT(BY409,CB409,CE409,CH409)=4,SUM(BY409,CB409,CE409,CH409),"")</f>
        <v>9.858565108445829</v>
      </c>
    </row>
    <row r="410" ht="72" customHeight="1">
      <c r="A410" s="16" t="str">
        <v>8392-TN-37</v>
      </c>
      <c r="B410" s="16" t="str">
        <v>3店-SANDIEX-US</v>
      </c>
      <c r="C410" s="16" t="str">
        <v>徐新怡</v>
      </c>
      <c r="D410" s="26" t="n">
        <f>IF(NOT(ISNUMBER(E410)),"",IF(OR(E410&lt;=0,L410=0),0,IF(OR(NOT(ISNUMBER(F410)),F410&lt;0),"",MIN(E410,INT(F410)))))</f>
        <v>0</v>
      </c>
      <c r="E410" s="27" t="n">
        <f>IF(OR(NOT(ISNUMBER(L410)),COUNT(M410:O410)&lt;&gt;3,MIN(M410:O410)&lt;0),"",ROUNDUP(ROUND(BI410-SUM(M410:O410),10),0))</f>
        <v>1</v>
      </c>
      <c r="F410" s="28" t="n">
        <v>0</v>
      </c>
      <c r="G410" s="28" t="n">
        <f>IF(AND(ISNUMBER(D410),ISNUMBER(E410)),IF(OR(E410&lt;=0,L410=0),0,E410-D410),"")</f>
        <v>1</v>
      </c>
      <c r="H410" s="16" t="str">
        <f>IF(NOT(ISNUMBER(E410)),"销量或海外库存待补",IF(OR(E410&lt;=0,L410=0),IF(L410=0,"零日销，本批不发","本批无需补货"),IF(NOT(ISNUMBER(D410)),"国内库存待补",IF(D410=0,"国内无可用库存",IF(G410&gt;0,"先发国内现货","按建议量发货")))))</f>
        <v>国内无可用库存</v>
      </c>
      <c r="I410" s="28" t="n">
        <f>IF(AND(COUNT(Z410,AA410,AB410)=3,Z410&gt;=AA410,AA410&gt;=0,AB410=7),Z410-AA410,"")</f>
        <v>0</v>
      </c>
      <c r="J410" s="28" t="n">
        <f>IF(AND(COUNT(AF410,AG410,AH410)=3,AF410&gt;=AG410,AG410&gt;=0,AH410=14),AF410-AG410,"")</f>
        <v>0</v>
      </c>
      <c r="K410" s="28" t="n">
        <f>IF(AND(COUNT(AL410,AM410,AN410)=3,AL410&gt;=AM410,AM410&gt;=0,AN410=30),AL410-AM410,"")</f>
        <v>0</v>
      </c>
      <c r="L410" s="29" t="n">
        <f>IF(ISNUMBER(BI410),BI410/90,"")</f>
        <v>0.0026245741246212323</v>
      </c>
      <c r="M410" s="28" t="n">
        <v>0</v>
      </c>
      <c r="N410" s="28" t="n">
        <v>0</v>
      </c>
      <c r="O410" s="28" t="n">
        <v>0</v>
      </c>
      <c r="P410" s="30" t="n">
        <f>IF(AND(ISNUMBER(L410),L410&gt;0,COUNT(M410:O410)=3,MIN(M410:O410)&gt;=0),SUM(M410:O410)/L410,"")</f>
        <v>0</v>
      </c>
      <c r="Q410" s="16" t="str">
        <v>按本SKU唯一未删除Listing店铺核实</v>
      </c>
      <c r="R410" s="16" t="str">
        <v>已匹配</v>
      </c>
      <c r="S410" s="16" t="str">
        <v>停售</v>
      </c>
      <c r="T410" s="16" t="str">
        <v>8392</v>
      </c>
      <c r="U410" s="16" t="str">
        <v>驼色</v>
      </c>
      <c r="V410" s="16" t="n">
        <v>6</v>
      </c>
      <c r="W410" s="8" t="str">
        <v>2026-10-08 至 2026-10-17</v>
      </c>
      <c r="X410" s="8" t="str">
        <v>2026-10-08、2026-10-09、2026-10-10、2026-10-11、2026-10-14、2026-10-15、2026-10-17</v>
      </c>
      <c r="Y410" s="8" t="str">
        <v>2026-10-12 有记录的停售日；2026-10-13 有记录的停售日；2026-10-16 有记录的停售日</v>
      </c>
      <c r="Z410" s="8" t="n">
        <v>0</v>
      </c>
      <c r="AA410" s="8" t="n">
        <v>0</v>
      </c>
      <c r="AB410" s="8" t="n">
        <v>7</v>
      </c>
      <c r="AC410" s="8" t="str">
        <v>2026-09-29 至 2026-10-17</v>
      </c>
      <c r="AD410" s="8" t="str">
        <v>2026-09-29、2026-09-30、2026-10-01、2026-10-02、2026-10-03、2026-10-04、2026-10-05、2026-10-08、2026-10-09、2026-10-10、2026-10-11、2026-10-14、2026-10-15、2026-10-17</v>
      </c>
      <c r="AE410" s="8" t="str">
        <v>2026-10-06 大促；2026-10-07 大促；2026-10-12 有记录的停售日；2026-10-13 有记录的停售日；2026-10-16 有记录的停售日</v>
      </c>
      <c r="AF410" s="8" t="n">
        <v>1</v>
      </c>
      <c r="AG410" s="8" t="n">
        <v>1</v>
      </c>
      <c r="AH410" s="8" t="n">
        <v>14</v>
      </c>
      <c r="AI410" s="8" t="str">
        <v>2026-09-13 至 2026-10-17</v>
      </c>
      <c r="AJ4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0" s="8" t="str">
        <v>2026-10-06 大促；2026-10-07 大促；2026-10-12 有记录的停售日；2026-10-13 有记录的停售日；2026-10-16 有记录的停售日</v>
      </c>
      <c r="AL410" s="8" t="n">
        <v>1</v>
      </c>
      <c r="AM410" s="8" t="n">
        <v>1</v>
      </c>
      <c r="AN410" s="8" t="n">
        <v>30</v>
      </c>
      <c r="AO410" s="8" t="str">
        <v>8392 / 驼色羊京绒 / 6574</v>
      </c>
      <c r="AP410" s="11" t="n">
        <v>1.1743420411079069</v>
      </c>
      <c r="AQ410" s="11" t="n">
        <v>1.1657675792110538</v>
      </c>
      <c r="AR410" s="11" t="n">
        <v>1.138329301141124</v>
      </c>
      <c r="AS410" s="11" t="n">
        <f>IF(AND(COUNT(I410:K410,AP410:AR410)=6,MIN(AP410:AR410)&gt;0),I410/7/AP410*0.5+J410/14/AQ410*0.3+K410/30/AR410*0.2,"")</f>
        <v>0</v>
      </c>
      <c r="AT410" s="8" t="n">
        <v>1</v>
      </c>
      <c r="AU410" s="8" t="n">
        <v>1</v>
      </c>
      <c r="AV410" s="8" t="n">
        <v>85</v>
      </c>
      <c r="AW410" s="11" t="n">
        <f>IF(AND(COUNT(AT410:AV410)=3,AT410&gt;=AU410,AU410&gt;=0,AV410&gt;0),(AT410-AU410)/AV410,"")</f>
        <v>0</v>
      </c>
      <c r="AX410" s="8" t="n">
        <v>2</v>
      </c>
      <c r="AY410" s="8" t="n">
        <v>1</v>
      </c>
      <c r="AZ410" s="8" t="n">
        <v>175</v>
      </c>
      <c r="BA410" s="11" t="n">
        <f>IF(AND(COUNT(AX410:AZ410)=3,AX410&gt;=AY410,AY410&gt;=0,AZ410&gt;0),(AX410-AY410)/AZ410,"")</f>
        <v>0.005714285714285714</v>
      </c>
      <c r="BB410" s="8" t="n">
        <f>IF(COUNT(AS410,AW410,BA410)=3,1,0)</f>
        <v>1</v>
      </c>
      <c r="BC410" s="11" t="n">
        <f>IF(SUMIF($AO$11:$AO$1309,AO410,$BB$11:$BB$1309)=COUNTIF($AO$11:$AO$1309,AO410),SUMIF($AO$11:$AO$1309,AO410,$AS$11:$AS$1309),"")</f>
        <v>0.7013954528820118</v>
      </c>
      <c r="BD410" s="11" t="n">
        <f>IF(SUMIF($AO$11:$AO$1309,AO410,$BB$11:$BB$1309)=COUNTIF($AO$11:$AO$1309,AO410),SUMIF($AO$11:$AO$1309,AO410,$AW$11:$AW$1309),"")</f>
        <v>0.33235294117647063</v>
      </c>
      <c r="BE410" s="11" t="n">
        <f>IF(SUMIF($AO$11:$AO$1309,AO410,$BB$11:$BB$1309)=COUNTIF($AO$11:$AO$1309,AO410),SUMIF($AO$11:$AO$1309,AO410,$BA$11:$BA$1309),"")</f>
        <v>0.4921348314606742</v>
      </c>
      <c r="BF410" s="12" t="n">
        <f>IF(COUNT(BD410:BE410)&lt;&gt;2,"",IF(AND(BD410&gt;0,BE410&gt;0),0.7*AW410/BD410+0.3*BA410/BE410,IF(BD410&gt;0,AW410/BD410,IF(BE410&gt;0,BA410/BE410,IF(AND(ISNUMBER(BH410),BH410=0),0,"")))))</f>
        <v>0.0034833659491193734</v>
      </c>
      <c r="BG410" s="11" t="n">
        <f>IF(AND(COUNT(BN410:BU410)=8,MIN(BN410:BU410)&gt;=0),SUMPRODUCT(BN410:BQ410,BR410:BU410),"")</f>
        <v>96.68059267618935</v>
      </c>
      <c r="BH410" s="11" t="n">
        <f>IF(COUNT(BC410,BG410)=2,BC410*BG410,"")</f>
        <v>67.81132808501714</v>
      </c>
      <c r="BI410" s="11" t="n">
        <f>IF(ISNUMBER(CI410),CI410,"")</f>
        <v>0.2362116712159109</v>
      </c>
      <c r="BJ410" s="8" t="str"/>
      <c r="BK410" s="8" t="str">
        <v>90天：2026-07-20 至 2026-10-17；180天：2026-04-21 至 2026-10-17</v>
      </c>
      <c r="BL410" s="8" t="str">
        <v>90天：2026-10-06、2026-10-07、2026-10-12、2026-10-13、2026-10-16；180天：2026-10-06、2026-10-07、2026-10-12、2026-10-13、2026-10-16</v>
      </c>
      <c r="BM410" s="8" t="str">
        <v>2026-10：12天 × 1.1743420411079069；2026-11：30天 × 1.281694931279211；2026-12：31天 × 0.9007634642750235；2027-01：17天 × 0.9537631089407297</v>
      </c>
      <c r="BN410" s="11" t="n">
        <v>1.1743420411079069</v>
      </c>
      <c r="BO410" s="11" t="n">
        <v>1.281694931279211</v>
      </c>
      <c r="BP410" s="11" t="n">
        <v>0.9007634642750235</v>
      </c>
      <c r="BQ410" s="11" t="n">
        <v>0.9537631089407297</v>
      </c>
      <c r="BR410" s="8" t="n">
        <v>12</v>
      </c>
      <c r="BS410" s="8" t="n">
        <v>30</v>
      </c>
      <c r="BT410" s="8" t="n">
        <v>31</v>
      </c>
      <c r="BU410" s="8" t="n">
        <v>17</v>
      </c>
      <c r="BV410" s="11" t="n">
        <f>IF(COUNT(BC410,BF410)=2,BC410*BF410,"")</f>
        <v>0.0024432170374363614</v>
      </c>
      <c r="BW410" s="11" t="n">
        <f>IF(ISNUMBER(BN410),BN410,"")</f>
        <v>1.1743420411079069</v>
      </c>
      <c r="BX410" s="14" t="n">
        <f>IF(ISNUMBER(BR410),BR410,"")</f>
        <v>12</v>
      </c>
      <c r="BY410" s="13" t="n">
        <f>IF(AND(COUNT(BV410,BW410,BX410)=3,MIN(BV410,BW410,BX410)&gt;=0),BV410*BW410*BX410,"")</f>
        <v>0.03443006979135156</v>
      </c>
      <c r="BZ410" s="11" t="n">
        <f>IF(ISNUMBER(BO410),BO410,"")</f>
        <v>1.281694931279211</v>
      </c>
      <c r="CA410" s="14" t="n">
        <f>IF(ISNUMBER(BS410),BS410,"")</f>
        <v>30</v>
      </c>
      <c r="CB410" s="13" t="n">
        <f>IF(AND(COUNT(BV410,BZ410,CA410)=3,MIN(BV410,BZ410,CA410)&gt;=0),BV410*BZ410*CA410,"")</f>
        <v>0.09394376678691584</v>
      </c>
      <c r="CC410" s="11" t="n">
        <f>IF(ISNUMBER(BP410),BP410,"")</f>
        <v>0.9007634642750235</v>
      </c>
      <c r="CD410" s="14" t="n">
        <f>IF(ISNUMBER(BT410),BT410,"")</f>
        <v>31</v>
      </c>
      <c r="CE410" s="13" t="n">
        <f>IF(AND(COUNT(BV410,CC410,CD410)=3,MIN(BV410,CC410,CD410)&gt;=0),BV410*CC410*CD410,"")</f>
        <v>0.06822357992112503</v>
      </c>
      <c r="CF410" s="11" t="n">
        <f>IF(ISNUMBER(BQ410),BQ410,"")</f>
        <v>0.9537631089407297</v>
      </c>
      <c r="CG410" s="14" t="n">
        <f>IF(ISNUMBER(BU410),BU410,"")</f>
        <v>17</v>
      </c>
      <c r="CH410" s="13" t="n">
        <f>IF(AND(COUNT(BV410,CF410,CG410)=3,MIN(BV410,CF410,CG410)&gt;=0),BV410*CF410*CG410,"")</f>
        <v>0.03961425471651847</v>
      </c>
      <c r="CI410" s="13" t="n">
        <f>IF(COUNT(BY410,CB410,CE410,CH410)=4,SUM(BY410,CB410,CE410,CH410),"")</f>
        <v>0.2362116712159109</v>
      </c>
    </row>
    <row r="411" ht="72" customHeight="1">
      <c r="A411" s="16" t="str">
        <v>8392-TN-38</v>
      </c>
      <c r="B411" s="16" t="str">
        <v>3店-SANDIEX-US</v>
      </c>
      <c r="C411" s="16" t="str">
        <v>徐新怡</v>
      </c>
      <c r="D411" s="26" t="n">
        <f>IF(NOT(ISNUMBER(E411)),"",IF(OR(E411&lt;=0,L411=0),0,IF(OR(NOT(ISNUMBER(F411)),F411&lt;0),"",MIN(E411,INT(F411)))))</f>
        <v>0</v>
      </c>
      <c r="E411" s="27" t="n">
        <f>IF(OR(NOT(ISNUMBER(L411)),COUNT(M411:O411)&lt;&gt;3,MIN(M411:O411)&lt;0),"",ROUNDUP(ROUND(BI411-SUM(M411:O411),10),0))</f>
        <v>1</v>
      </c>
      <c r="F411" s="28" t="n">
        <v>0</v>
      </c>
      <c r="G411" s="28" t="n">
        <f>IF(AND(ISNUMBER(D411),ISNUMBER(E411)),IF(OR(E411&lt;=0,L411=0),0,E411-D411),"")</f>
        <v>1</v>
      </c>
      <c r="H411" s="16" t="str">
        <f>IF(NOT(ISNUMBER(E411)),"销量或海外库存待补",IF(OR(E411&lt;=0,L411=0),IF(L411=0,"零日销，本批不发","本批无需补货"),IF(NOT(ISNUMBER(D411)),"国内库存待补",IF(D411=0,"国内无可用库存",IF(G411&gt;0,"先发国内现货","按建议量发货")))))</f>
        <v>国内无可用库存</v>
      </c>
      <c r="I411" s="28" t="n">
        <f>IF(AND(COUNT(Z411,AA411,AB411)=3,Z411&gt;=AA411,AA411&gt;=0,AB411=7),Z411-AA411,"")</f>
        <v>0</v>
      </c>
      <c r="J411" s="28" t="n">
        <f>IF(AND(COUNT(AF411,AG411,AH411)=3,AF411&gt;=AG411,AG411&gt;=0,AH411=14),AF411-AG411,"")</f>
        <v>0</v>
      </c>
      <c r="K411" s="28" t="n">
        <f>IF(AND(COUNT(AL411,AM411,AN411)=3,AL411&gt;=AM411,AM411&gt;=0,AN411=30),AL411-AM411,"")</f>
        <v>0</v>
      </c>
      <c r="L411" s="29" t="n">
        <f>IF(ISNUMBER(BI411),BI411/90,"")</f>
        <v>0.0026245741246212323</v>
      </c>
      <c r="M411" s="28" t="n">
        <v>0</v>
      </c>
      <c r="N411" s="28" t="n">
        <v>0</v>
      </c>
      <c r="O411" s="28" t="n">
        <v>0</v>
      </c>
      <c r="P411" s="30" t="n">
        <f>IF(AND(ISNUMBER(L411),L411&gt;0,COUNT(M411:O411)=3,MIN(M411:O411)&gt;=0),SUM(M411:O411)/L411,"")</f>
        <v>0</v>
      </c>
      <c r="Q411" s="16" t="str">
        <v>按本SKU唯一未删除Listing店铺核实</v>
      </c>
      <c r="R411" s="16" t="str">
        <v>已匹配</v>
      </c>
      <c r="S411" s="16" t="str">
        <v>停售</v>
      </c>
      <c r="T411" s="16" t="str">
        <v>8392</v>
      </c>
      <c r="U411" s="16" t="str">
        <v>驼色</v>
      </c>
      <c r="V411" s="16" t="n">
        <v>7</v>
      </c>
      <c r="W411" s="8" t="str">
        <v>2026-10-08 至 2026-10-17</v>
      </c>
      <c r="X411" s="8" t="str">
        <v>2026-10-08、2026-10-09、2026-10-10、2026-10-11、2026-10-14、2026-10-15、2026-10-17</v>
      </c>
      <c r="Y411" s="8" t="str">
        <v>2026-10-12 有记录的停售日；2026-10-13 有记录的停售日；2026-10-16 有记录的停售日</v>
      </c>
      <c r="Z411" s="8" t="n">
        <v>0</v>
      </c>
      <c r="AA411" s="8" t="n">
        <v>0</v>
      </c>
      <c r="AB411" s="8" t="n">
        <v>7</v>
      </c>
      <c r="AC411" s="8" t="str">
        <v>2026-09-29 至 2026-10-17</v>
      </c>
      <c r="AD411" s="8" t="str">
        <v>2026-09-29、2026-09-30、2026-10-01、2026-10-02、2026-10-03、2026-10-04、2026-10-05、2026-10-08、2026-10-09、2026-10-10、2026-10-11、2026-10-14、2026-10-15、2026-10-17</v>
      </c>
      <c r="AE411" s="8" t="str">
        <v>2026-10-06 大促；2026-10-07 大促；2026-10-12 有记录的停售日；2026-10-13 有记录的停售日；2026-10-16 有记录的停售日</v>
      </c>
      <c r="AF411" s="8" t="n">
        <v>0</v>
      </c>
      <c r="AG411" s="8" t="n">
        <v>0</v>
      </c>
      <c r="AH411" s="8" t="n">
        <v>14</v>
      </c>
      <c r="AI411" s="8" t="str">
        <v>2026-09-13 至 2026-10-17</v>
      </c>
      <c r="AJ41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1" s="8" t="str">
        <v>2026-10-06 大促；2026-10-07 大促；2026-10-12 有记录的停售日；2026-10-13 有记录的停售日；2026-10-16 有记录的停售日</v>
      </c>
      <c r="AL411" s="8" t="n">
        <v>0</v>
      </c>
      <c r="AM411" s="8" t="n">
        <v>0</v>
      </c>
      <c r="AN411" s="8" t="n">
        <v>30</v>
      </c>
      <c r="AO411" s="8" t="str">
        <v>8392 / 驼色羊京绒 / 6574</v>
      </c>
      <c r="AP411" s="11" t="n">
        <v>1.1743420411079069</v>
      </c>
      <c r="AQ411" s="11" t="n">
        <v>1.1657675792110538</v>
      </c>
      <c r="AR411" s="11" t="n">
        <v>1.138329301141124</v>
      </c>
      <c r="AS411" s="11" t="n">
        <f>IF(AND(COUNT(I411:K411,AP411:AR411)=6,MIN(AP411:AR411)&gt;0),I411/7/AP411*0.5+J411/14/AQ411*0.3+K411/30/AR411*0.2,"")</f>
        <v>0</v>
      </c>
      <c r="AT411" s="8" t="n">
        <v>0</v>
      </c>
      <c r="AU411" s="8" t="n">
        <v>0</v>
      </c>
      <c r="AV411" s="8" t="n">
        <v>85</v>
      </c>
      <c r="AW411" s="11" t="n">
        <f>IF(AND(COUNT(AT411:AV411)=3,AT411&gt;=AU411,AU411&gt;=0,AV411&gt;0),(AT411-AU411)/AV411,"")</f>
        <v>0</v>
      </c>
      <c r="AX411" s="8" t="n">
        <v>1</v>
      </c>
      <c r="AY411" s="8" t="n">
        <v>0</v>
      </c>
      <c r="AZ411" s="8" t="n">
        <v>175</v>
      </c>
      <c r="BA411" s="11" t="n">
        <f>IF(AND(COUNT(AX411:AZ411)=3,AX411&gt;=AY411,AY411&gt;=0,AZ411&gt;0),(AX411-AY411)/AZ411,"")</f>
        <v>0.005714285714285714</v>
      </c>
      <c r="BB411" s="8" t="n">
        <f>IF(COUNT(AS411,AW411,BA411)=3,1,0)</f>
        <v>1</v>
      </c>
      <c r="BC411" s="11" t="n">
        <f>IF(SUMIF($AO$11:$AO$1309,AO411,$BB$11:$BB$1309)=COUNTIF($AO$11:$AO$1309,AO411),SUMIF($AO$11:$AO$1309,AO411,$AS$11:$AS$1309),"")</f>
        <v>0.7013954528820118</v>
      </c>
      <c r="BD411" s="11" t="n">
        <f>IF(SUMIF($AO$11:$AO$1309,AO411,$BB$11:$BB$1309)=COUNTIF($AO$11:$AO$1309,AO411),SUMIF($AO$11:$AO$1309,AO411,$AW$11:$AW$1309),"")</f>
        <v>0.33235294117647063</v>
      </c>
      <c r="BE411" s="11" t="n">
        <f>IF(SUMIF($AO$11:$AO$1309,AO411,$BB$11:$BB$1309)=COUNTIF($AO$11:$AO$1309,AO411),SUMIF($AO$11:$AO$1309,AO411,$BA$11:$BA$1309),"")</f>
        <v>0.4921348314606742</v>
      </c>
      <c r="BF411" s="12" t="n">
        <f>IF(COUNT(BD411:BE411)&lt;&gt;2,"",IF(AND(BD411&gt;0,BE411&gt;0),0.7*AW411/BD411+0.3*BA411/BE411,IF(BD411&gt;0,AW411/BD411,IF(BE411&gt;0,BA411/BE411,IF(AND(ISNUMBER(BH411),BH411=0),0,"")))))</f>
        <v>0.0034833659491193734</v>
      </c>
      <c r="BG411" s="11" t="n">
        <f>IF(AND(COUNT(BN411:BU411)=8,MIN(BN411:BU411)&gt;=0),SUMPRODUCT(BN411:BQ411,BR411:BU411),"")</f>
        <v>96.68059267618935</v>
      </c>
      <c r="BH411" s="11" t="n">
        <f>IF(COUNT(BC411,BG411)=2,BC411*BG411,"")</f>
        <v>67.81132808501714</v>
      </c>
      <c r="BI411" s="11" t="n">
        <f>IF(ISNUMBER(CI411),CI411,"")</f>
        <v>0.2362116712159109</v>
      </c>
      <c r="BJ411" s="8" t="str"/>
      <c r="BK411" s="8" t="str">
        <v>90天：2026-07-20 至 2026-10-17；180天：2026-04-21 至 2026-10-17</v>
      </c>
      <c r="BL411" s="8" t="str">
        <v>90天：2026-10-06、2026-10-07、2026-10-12、2026-10-13、2026-10-16；180天：2026-10-06、2026-10-07、2026-10-12、2026-10-13、2026-10-16</v>
      </c>
      <c r="BM411" s="8" t="str">
        <v>2026-10：12天 × 1.1743420411079069；2026-11：30天 × 1.281694931279211；2026-12：31天 × 0.9007634642750235；2027-01：17天 × 0.9537631089407297</v>
      </c>
      <c r="BN411" s="11" t="n">
        <v>1.1743420411079069</v>
      </c>
      <c r="BO411" s="11" t="n">
        <v>1.281694931279211</v>
      </c>
      <c r="BP411" s="11" t="n">
        <v>0.9007634642750235</v>
      </c>
      <c r="BQ411" s="11" t="n">
        <v>0.9537631089407297</v>
      </c>
      <c r="BR411" s="8" t="n">
        <v>12</v>
      </c>
      <c r="BS411" s="8" t="n">
        <v>30</v>
      </c>
      <c r="BT411" s="8" t="n">
        <v>31</v>
      </c>
      <c r="BU411" s="8" t="n">
        <v>17</v>
      </c>
      <c r="BV411" s="11" t="n">
        <f>IF(COUNT(BC411,BF411)=2,BC411*BF411,"")</f>
        <v>0.0024432170374363614</v>
      </c>
      <c r="BW411" s="11" t="n">
        <f>IF(ISNUMBER(BN411),BN411,"")</f>
        <v>1.1743420411079069</v>
      </c>
      <c r="BX411" s="14" t="n">
        <f>IF(ISNUMBER(BR411),BR411,"")</f>
        <v>12</v>
      </c>
      <c r="BY411" s="13" t="n">
        <f>IF(AND(COUNT(BV411,BW411,BX411)=3,MIN(BV411,BW411,BX411)&gt;=0),BV411*BW411*BX411,"")</f>
        <v>0.03443006979135156</v>
      </c>
      <c r="BZ411" s="11" t="n">
        <f>IF(ISNUMBER(BO411),BO411,"")</f>
        <v>1.281694931279211</v>
      </c>
      <c r="CA411" s="14" t="n">
        <f>IF(ISNUMBER(BS411),BS411,"")</f>
        <v>30</v>
      </c>
      <c r="CB411" s="13" t="n">
        <f>IF(AND(COUNT(BV411,BZ411,CA411)=3,MIN(BV411,BZ411,CA411)&gt;=0),BV411*BZ411*CA411,"")</f>
        <v>0.09394376678691584</v>
      </c>
      <c r="CC411" s="11" t="n">
        <f>IF(ISNUMBER(BP411),BP411,"")</f>
        <v>0.9007634642750235</v>
      </c>
      <c r="CD411" s="14" t="n">
        <f>IF(ISNUMBER(BT411),BT411,"")</f>
        <v>31</v>
      </c>
      <c r="CE411" s="13" t="n">
        <f>IF(AND(COUNT(BV411,CC411,CD411)=3,MIN(BV411,CC411,CD411)&gt;=0),BV411*CC411*CD411,"")</f>
        <v>0.06822357992112503</v>
      </c>
      <c r="CF411" s="11" t="n">
        <f>IF(ISNUMBER(BQ411),BQ411,"")</f>
        <v>0.9537631089407297</v>
      </c>
      <c r="CG411" s="14" t="n">
        <f>IF(ISNUMBER(BU411),BU411,"")</f>
        <v>17</v>
      </c>
      <c r="CH411" s="13" t="n">
        <f>IF(AND(COUNT(BV411,CF411,CG411)=3,MIN(BV411,CF411,CG411)&gt;=0),BV411*CF411*CG411,"")</f>
        <v>0.03961425471651847</v>
      </c>
      <c r="CI411" s="13" t="n">
        <f>IF(COUNT(BY411,CB411,CE411,CH411)=4,SUM(BY411,CB411,CE411,CH411),"")</f>
        <v>0.2362116712159109</v>
      </c>
    </row>
    <row r="412" ht="72" customHeight="1">
      <c r="A412" s="16" t="str">
        <v>8392-TN-41</v>
      </c>
      <c r="B412" s="16" t="str">
        <v>3店-SANDIEX-US</v>
      </c>
      <c r="C412" s="16" t="str">
        <v>徐新怡</v>
      </c>
      <c r="D412" s="26" t="n">
        <f>IF(NOT(ISNUMBER(E412)),"",IF(OR(E412&lt;=0,L412=0),0,IF(OR(NOT(ISNUMBER(F412)),F412&lt;0),"",MIN(E412,INT(F412)))))</f>
        <v>0</v>
      </c>
      <c r="E412" s="27" t="n">
        <f>IF(OR(NOT(ISNUMBER(L412)),COUNT(M412:O412)&lt;&gt;3,MIN(M412:O412)&lt;0),"",ROUNDUP(ROUND(BI412-SUM(M412:O412),10),0))</f>
        <v>1</v>
      </c>
      <c r="F412" s="28" t="n">
        <v>0</v>
      </c>
      <c r="G412" s="28" t="n">
        <f>IF(AND(ISNUMBER(D412),ISNUMBER(E412)),IF(OR(E412&lt;=0,L412=0),0,E412-D412),"")</f>
        <v>1</v>
      </c>
      <c r="H412" s="16" t="str">
        <f>IF(NOT(ISNUMBER(E412)),"销量或海外库存待补",IF(OR(E412&lt;=0,L412=0),IF(L412=0,"零日销，本批不发","本批无需补货"),IF(NOT(ISNUMBER(D412)),"国内库存待补",IF(D412=0,"国内无可用库存",IF(G412&gt;0,"先发国内现货","按建议量发货")))))</f>
        <v>国内无可用库存</v>
      </c>
      <c r="I412" s="28" t="n">
        <f>IF(AND(COUNT(Z412,AA412,AB412)=3,Z412&gt;=AA412,AA412&gt;=0,AB412=7),Z412-AA412,"")</f>
        <v>0</v>
      </c>
      <c r="J412" s="28" t="n">
        <f>IF(AND(COUNT(AF412,AG412,AH412)=3,AF412&gt;=AG412,AG412&gt;=0,AH412=14),AF412-AG412,"")</f>
        <v>0</v>
      </c>
      <c r="K412" s="28" t="n">
        <f>IF(AND(COUNT(AL412,AM412,AN412)=3,AL412&gt;=AM412,AM412&gt;=0,AN412=30),AL412-AM412,"")</f>
        <v>0</v>
      </c>
      <c r="L412" s="29" t="n">
        <f>IF(ISNUMBER(BI412),BI412/90,"")</f>
        <v>0.007873722373863697</v>
      </c>
      <c r="M412" s="28" t="n">
        <v>0</v>
      </c>
      <c r="N412" s="28" t="n">
        <v>0</v>
      </c>
      <c r="O412" s="28" t="n">
        <v>0</v>
      </c>
      <c r="P412" s="30" t="n">
        <f>IF(AND(ISNUMBER(L412),L412&gt;0,COUNT(M412:O412)=3,MIN(M412:O412)&gt;=0),SUM(M412:O412)/L412,"")</f>
        <v>0</v>
      </c>
      <c r="Q412" s="16" t="str">
        <v>按本SKU唯一未删除Listing店铺核实</v>
      </c>
      <c r="R412" s="16" t="str">
        <v>已匹配</v>
      </c>
      <c r="S412" s="16" t="str">
        <v>停售</v>
      </c>
      <c r="T412" s="16" t="str">
        <v>8392</v>
      </c>
      <c r="U412" s="16" t="str">
        <v>驼色</v>
      </c>
      <c r="V412" s="16" t="n">
        <v>10</v>
      </c>
      <c r="W412" s="8" t="str">
        <v>2026-10-08 至 2026-10-17</v>
      </c>
      <c r="X412" s="8" t="str">
        <v>2026-10-08、2026-10-09、2026-10-10、2026-10-11、2026-10-14、2026-10-15、2026-10-17</v>
      </c>
      <c r="Y412" s="8" t="str">
        <v>2026-10-12 有记录的停售日；2026-10-13 有记录的停售日；2026-10-16 有记录的停售日</v>
      </c>
      <c r="Z412" s="8" t="n">
        <v>0</v>
      </c>
      <c r="AA412" s="8" t="n">
        <v>0</v>
      </c>
      <c r="AB412" s="8" t="n">
        <v>7</v>
      </c>
      <c r="AC412" s="8" t="str">
        <v>2026-09-29 至 2026-10-17</v>
      </c>
      <c r="AD412" s="8" t="str">
        <v>2026-09-29、2026-09-30、2026-10-01、2026-10-02、2026-10-03、2026-10-04、2026-10-05、2026-10-08、2026-10-09、2026-10-10、2026-10-11、2026-10-14、2026-10-15、2026-10-17</v>
      </c>
      <c r="AE412" s="8" t="str">
        <v>2026-10-06 大促；2026-10-07 大促；2026-10-12 有记录的停售日；2026-10-13 有记录的停售日；2026-10-16 有记录的停售日</v>
      </c>
      <c r="AF412" s="8" t="n">
        <v>0</v>
      </c>
      <c r="AG412" s="8" t="n">
        <v>0</v>
      </c>
      <c r="AH412" s="8" t="n">
        <v>14</v>
      </c>
      <c r="AI412" s="8" t="str">
        <v>2026-09-13 至 2026-10-17</v>
      </c>
      <c r="AJ41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2" s="8" t="str">
        <v>2026-10-06 大促；2026-10-07 大促；2026-10-12 有记录的停售日；2026-10-13 有记录的停售日；2026-10-16 有记录的停售日</v>
      </c>
      <c r="AL412" s="8" t="n">
        <v>0</v>
      </c>
      <c r="AM412" s="8" t="n">
        <v>0</v>
      </c>
      <c r="AN412" s="8" t="n">
        <v>30</v>
      </c>
      <c r="AO412" s="8" t="str">
        <v>8392 / 驼色羊京绒 / 6574</v>
      </c>
      <c r="AP412" s="11" t="n">
        <v>1.1743420411079069</v>
      </c>
      <c r="AQ412" s="11" t="n">
        <v>1.1657675792110538</v>
      </c>
      <c r="AR412" s="11" t="n">
        <v>1.138329301141124</v>
      </c>
      <c r="AS412" s="11" t="n">
        <f>IF(AND(COUNT(I412:K412,AP412:AR412)=6,MIN(AP412:AR412)&gt;0),I412/7/AP412*0.5+J412/14/AQ412*0.3+K412/30/AR412*0.2,"")</f>
        <v>0</v>
      </c>
      <c r="AT412" s="8" t="n">
        <v>0</v>
      </c>
      <c r="AU412" s="8" t="n">
        <v>0</v>
      </c>
      <c r="AV412" s="8" t="n">
        <v>85</v>
      </c>
      <c r="AW412" s="11" t="n">
        <f>IF(AND(COUNT(AT412:AV412)=3,AT412&gt;=AU412,AU412&gt;=0,AV412&gt;0),(AT412-AU412)/AV412,"")</f>
        <v>0</v>
      </c>
      <c r="AX412" s="8" t="n">
        <v>3</v>
      </c>
      <c r="AY412" s="8" t="n">
        <v>0</v>
      </c>
      <c r="AZ412" s="8" t="n">
        <v>175</v>
      </c>
      <c r="BA412" s="11" t="n">
        <f>IF(AND(COUNT(AX412:AZ412)=3,AX412&gt;=AY412,AY412&gt;=0,AZ412&gt;0),(AX412-AY412)/AZ412,"")</f>
        <v>0.017142857142857144</v>
      </c>
      <c r="BB412" s="8" t="n">
        <f>IF(COUNT(AS412,AW412,BA412)=3,1,0)</f>
        <v>1</v>
      </c>
      <c r="BC412" s="11" t="n">
        <f>IF(SUMIF($AO$11:$AO$1309,AO412,$BB$11:$BB$1309)=COUNTIF($AO$11:$AO$1309,AO412),SUMIF($AO$11:$AO$1309,AO412,$AS$11:$AS$1309),"")</f>
        <v>0.7013954528820118</v>
      </c>
      <c r="BD412" s="11" t="n">
        <f>IF(SUMIF($AO$11:$AO$1309,AO412,$BB$11:$BB$1309)=COUNTIF($AO$11:$AO$1309,AO412),SUMIF($AO$11:$AO$1309,AO412,$AW$11:$AW$1309),"")</f>
        <v>0.33235294117647063</v>
      </c>
      <c r="BE412" s="11" t="n">
        <f>IF(SUMIF($AO$11:$AO$1309,AO412,$BB$11:$BB$1309)=COUNTIF($AO$11:$AO$1309,AO412),SUMIF($AO$11:$AO$1309,AO412,$BA$11:$BA$1309),"")</f>
        <v>0.4921348314606742</v>
      </c>
      <c r="BF412" s="12" t="n">
        <f>IF(COUNT(BD412:BE412)&lt;&gt;2,"",IF(AND(BD412&gt;0,BE412&gt;0),0.7*AW412/BD412+0.3*BA412/BE412,IF(BD412&gt;0,AW412/BD412,IF(BE412&gt;0,BA412/BE412,IF(AND(ISNUMBER(BH412),BH412=0),0,"")))))</f>
        <v>0.01045009784735812</v>
      </c>
      <c r="BG412" s="11" t="n">
        <f>IF(AND(COUNT(BN412:BU412)=8,MIN(BN412:BU412)&gt;=0),SUMPRODUCT(BN412:BQ412,BR412:BU412),"")</f>
        <v>96.68059267618935</v>
      </c>
      <c r="BH412" s="11" t="n">
        <f>IF(COUNT(BC412,BG412)=2,BC412*BG412,"")</f>
        <v>67.81132808501714</v>
      </c>
      <c r="BI412" s="11" t="n">
        <f>IF(ISNUMBER(CI412),CI412,"")</f>
        <v>0.7086350136477327</v>
      </c>
      <c r="BJ412" s="8" t="str"/>
      <c r="BK412" s="8" t="str">
        <v>90天：2026-07-20 至 2026-10-17；180天：2026-04-21 至 2026-10-17</v>
      </c>
      <c r="BL412" s="8" t="str">
        <v>90天：2026-10-06、2026-10-07、2026-10-12、2026-10-13、2026-10-16；180天：2026-10-06、2026-10-07、2026-10-12、2026-10-13、2026-10-16</v>
      </c>
      <c r="BM412" s="8" t="str">
        <v>2026-10：12天 × 1.1743420411079069；2026-11：30天 × 1.281694931279211；2026-12：31天 × 0.9007634642750235；2027-01：17天 × 0.9537631089407297</v>
      </c>
      <c r="BN412" s="11" t="n">
        <v>1.1743420411079069</v>
      </c>
      <c r="BO412" s="11" t="n">
        <v>1.281694931279211</v>
      </c>
      <c r="BP412" s="11" t="n">
        <v>0.9007634642750235</v>
      </c>
      <c r="BQ412" s="11" t="n">
        <v>0.9537631089407297</v>
      </c>
      <c r="BR412" s="8" t="n">
        <v>12</v>
      </c>
      <c r="BS412" s="8" t="n">
        <v>30</v>
      </c>
      <c r="BT412" s="8" t="n">
        <v>31</v>
      </c>
      <c r="BU412" s="8" t="n">
        <v>17</v>
      </c>
      <c r="BV412" s="11" t="n">
        <f>IF(COUNT(BC412,BF412)=2,BC412*BF412,"")</f>
        <v>0.007329651112309084</v>
      </c>
      <c r="BW412" s="11" t="n">
        <f>IF(ISNUMBER(BN412),BN412,"")</f>
        <v>1.1743420411079069</v>
      </c>
      <c r="BX412" s="14" t="n">
        <f>IF(ISNUMBER(BR412),BR412,"")</f>
        <v>12</v>
      </c>
      <c r="BY412" s="13" t="n">
        <f>IF(AND(COUNT(BV412,BW412,BX412)=3,MIN(BV412,BW412,BX412)&gt;=0),BV412*BW412*BX412,"")</f>
        <v>0.10329020937405468</v>
      </c>
      <c r="BZ412" s="11" t="n">
        <f>IF(ISNUMBER(BO412),BO412,"")</f>
        <v>1.281694931279211</v>
      </c>
      <c r="CA412" s="14" t="n">
        <f>IF(ISNUMBER(BS412),BS412,"")</f>
        <v>30</v>
      </c>
      <c r="CB412" s="13" t="n">
        <f>IF(AND(COUNT(BV412,BZ412,CA412)=3,MIN(BV412,BZ412,CA412)&gt;=0),BV412*BZ412*CA412,"")</f>
        <v>0.2818313003607475</v>
      </c>
      <c r="CC412" s="11" t="n">
        <f>IF(ISNUMBER(BP412),BP412,"")</f>
        <v>0.9007634642750235</v>
      </c>
      <c r="CD412" s="14" t="n">
        <f>IF(ISNUMBER(BT412),BT412,"")</f>
        <v>31</v>
      </c>
      <c r="CE412" s="13" t="n">
        <f>IF(AND(COUNT(BV412,CC412,CD412)=3,MIN(BV412,CC412,CD412)&gt;=0),BV412*CC412*CD412,"")</f>
        <v>0.2046707397633751</v>
      </c>
      <c r="CF412" s="11" t="n">
        <f>IF(ISNUMBER(BQ412),BQ412,"")</f>
        <v>0.9537631089407297</v>
      </c>
      <c r="CG412" s="14" t="n">
        <f>IF(ISNUMBER(BU412),BU412,"")</f>
        <v>17</v>
      </c>
      <c r="CH412" s="13" t="n">
        <f>IF(AND(COUNT(BV412,CF412,CG412)=3,MIN(BV412,CF412,CG412)&gt;=0),BV412*CF412*CG412,"")</f>
        <v>0.11884276414955543</v>
      </c>
      <c r="CI412" s="13" t="n">
        <f>IF(COUNT(BY412,CB412,CE412,CH412)=4,SUM(BY412,CB412,CE412,CH412),"")</f>
        <v>0.7086350136477327</v>
      </c>
    </row>
    <row r="413" ht="72" customHeight="1">
      <c r="A413" s="16" t="str">
        <v>8392-TN-41.5</v>
      </c>
      <c r="B413" s="16" t="str">
        <v>3店-SANDIEX-US</v>
      </c>
      <c r="C413" s="16" t="str">
        <v>徐新怡</v>
      </c>
      <c r="D413" s="26" t="n">
        <f>IF(NOT(ISNUMBER(E413)),"",IF(OR(E413&lt;=0,L413=0),0,IF(OR(NOT(ISNUMBER(F413)),F413&lt;0),"",MIN(E413,INT(F413)))))</f>
        <v>0</v>
      </c>
      <c r="E413" s="27" t="n">
        <f>IF(OR(NOT(ISNUMBER(L413)),COUNT(M413:O413)&lt;&gt;3,MIN(M413:O413)&lt;0),"",ROUNDUP(ROUND(BI413-SUM(M413:O413),10),0))</f>
        <v>1</v>
      </c>
      <c r="F413" s="28" t="n">
        <v>0</v>
      </c>
      <c r="G413" s="28" t="n">
        <f>IF(AND(ISNUMBER(D413),ISNUMBER(E413)),IF(OR(E413&lt;=0,L413=0),0,E413-D413),"")</f>
        <v>1</v>
      </c>
      <c r="H413" s="16" t="str">
        <f>IF(NOT(ISNUMBER(E413)),"销量或海外库存待补",IF(OR(E413&lt;=0,L413=0),IF(L413=0,"零日销，本批不发","本批无需补货"),IF(NOT(ISNUMBER(D413)),"国内库存待补",IF(D413=0,"国内无可用库存",IF(G413&gt;0,"先发国内现货","按建议量发货")))))</f>
        <v>国内无可用库存</v>
      </c>
      <c r="I413" s="28" t="n">
        <f>IF(AND(COUNT(Z413,AA413,AB413)=3,Z413&gt;=AA413,AA413&gt;=0,AB413=7),Z413-AA413,"")</f>
        <v>0</v>
      </c>
      <c r="J413" s="28" t="n">
        <f>IF(AND(COUNT(AF413,AG413,AH413)=3,AF413&gt;=AG413,AG413&gt;=0,AH413=14),AF413-AG413,"")</f>
        <v>0</v>
      </c>
      <c r="K413" s="28" t="n">
        <f>IF(AND(COUNT(AL413,AM413,AN413)=3,AL413&gt;=AM413,AM413&gt;=0,AN413=30),AL413-AM413,"")</f>
        <v>0</v>
      </c>
      <c r="L413" s="29" t="n">
        <f>IF(ISNUMBER(BI413),BI413/90,"")</f>
        <v>0.005249148249242465</v>
      </c>
      <c r="M413" s="28" t="n">
        <v>0</v>
      </c>
      <c r="N413" s="28" t="n">
        <v>0</v>
      </c>
      <c r="O413" s="28" t="n">
        <v>0</v>
      </c>
      <c r="P413" s="30" t="n">
        <f>IF(AND(ISNUMBER(L413),L413&gt;0,COUNT(M413:O413)=3,MIN(M413:O413)&gt;=0),SUM(M413:O413)/L413,"")</f>
        <v>0</v>
      </c>
      <c r="Q413" s="16" t="str">
        <v>按本SKU唯一未删除Listing店铺核实</v>
      </c>
      <c r="R413" s="16" t="str">
        <v>已匹配</v>
      </c>
      <c r="S413" s="16" t="str">
        <v>停售</v>
      </c>
      <c r="T413" s="16" t="str">
        <v>8392</v>
      </c>
      <c r="U413" s="16" t="str">
        <v>驼色</v>
      </c>
      <c r="V413" s="16" t="n">
        <v>10.5</v>
      </c>
      <c r="W413" s="8" t="str">
        <v>2026-10-08 至 2026-10-17</v>
      </c>
      <c r="X413" s="8" t="str">
        <v>2026-10-08、2026-10-09、2026-10-10、2026-10-11、2026-10-14、2026-10-15、2026-10-17</v>
      </c>
      <c r="Y413" s="8" t="str">
        <v>2026-10-12 有记录的停售日；2026-10-13 有记录的停售日；2026-10-16 有记录的停售日</v>
      </c>
      <c r="Z413" s="8" t="n">
        <v>0</v>
      </c>
      <c r="AA413" s="8" t="n">
        <v>0</v>
      </c>
      <c r="AB413" s="8" t="n">
        <v>7</v>
      </c>
      <c r="AC413" s="8" t="str">
        <v>2026-09-29 至 2026-10-17</v>
      </c>
      <c r="AD413" s="8" t="str">
        <v>2026-09-29、2026-09-30、2026-10-01、2026-10-02、2026-10-03、2026-10-04、2026-10-05、2026-10-08、2026-10-09、2026-10-10、2026-10-11、2026-10-14、2026-10-15、2026-10-17</v>
      </c>
      <c r="AE413" s="8" t="str">
        <v>2026-10-06 大促；2026-10-07 大促；2026-10-12 有记录的停售日；2026-10-13 有记录的停售日；2026-10-16 有记录的停售日</v>
      </c>
      <c r="AF413" s="8" t="n">
        <v>0</v>
      </c>
      <c r="AG413" s="8" t="n">
        <v>0</v>
      </c>
      <c r="AH413" s="8" t="n">
        <v>14</v>
      </c>
      <c r="AI413" s="8" t="str">
        <v>2026-09-13 至 2026-10-17</v>
      </c>
      <c r="AJ41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3" s="8" t="str">
        <v>2026-10-06 大促；2026-10-07 大促；2026-10-12 有记录的停售日；2026-10-13 有记录的停售日；2026-10-16 有记录的停售日</v>
      </c>
      <c r="AL413" s="8" t="n">
        <v>0</v>
      </c>
      <c r="AM413" s="8" t="n">
        <v>0</v>
      </c>
      <c r="AN413" s="8" t="n">
        <v>30</v>
      </c>
      <c r="AO413" s="8" t="str">
        <v>8392 / 驼色羊京绒 / 6574</v>
      </c>
      <c r="AP413" s="11" t="n">
        <v>1.1743420411079069</v>
      </c>
      <c r="AQ413" s="11" t="n">
        <v>1.1657675792110538</v>
      </c>
      <c r="AR413" s="11" t="n">
        <v>1.138329301141124</v>
      </c>
      <c r="AS413" s="11" t="n">
        <f>IF(AND(COUNT(I413:K413,AP413:AR413)=6,MIN(AP413:AR413)&gt;0),I413/7/AP413*0.5+J413/14/AQ413*0.3+K413/30/AR413*0.2,"")</f>
        <v>0</v>
      </c>
      <c r="AT413" s="8" t="n">
        <v>0</v>
      </c>
      <c r="AU413" s="8" t="n">
        <v>0</v>
      </c>
      <c r="AV413" s="8" t="n">
        <v>85</v>
      </c>
      <c r="AW413" s="11" t="n">
        <f>IF(AND(COUNT(AT413:AV413)=3,AT413&gt;=AU413,AU413&gt;=0,AV413&gt;0),(AT413-AU413)/AV413,"")</f>
        <v>0</v>
      </c>
      <c r="AX413" s="8" t="n">
        <v>2</v>
      </c>
      <c r="AY413" s="8" t="n">
        <v>0</v>
      </c>
      <c r="AZ413" s="8" t="n">
        <v>175</v>
      </c>
      <c r="BA413" s="11" t="n">
        <f>IF(AND(COUNT(AX413:AZ413)=3,AX413&gt;=AY413,AY413&gt;=0,AZ413&gt;0),(AX413-AY413)/AZ413,"")</f>
        <v>0.011428571428571429</v>
      </c>
      <c r="BB413" s="8" t="n">
        <f>IF(COUNT(AS413,AW413,BA413)=3,1,0)</f>
        <v>1</v>
      </c>
      <c r="BC413" s="11" t="n">
        <f>IF(SUMIF($AO$11:$AO$1309,AO413,$BB$11:$BB$1309)=COUNTIF($AO$11:$AO$1309,AO413),SUMIF($AO$11:$AO$1309,AO413,$AS$11:$AS$1309),"")</f>
        <v>0.7013954528820118</v>
      </c>
      <c r="BD413" s="11" t="n">
        <f>IF(SUMIF($AO$11:$AO$1309,AO413,$BB$11:$BB$1309)=COUNTIF($AO$11:$AO$1309,AO413),SUMIF($AO$11:$AO$1309,AO413,$AW$11:$AW$1309),"")</f>
        <v>0.33235294117647063</v>
      </c>
      <c r="BE413" s="11" t="n">
        <f>IF(SUMIF($AO$11:$AO$1309,AO413,$BB$11:$BB$1309)=COUNTIF($AO$11:$AO$1309,AO413),SUMIF($AO$11:$AO$1309,AO413,$BA$11:$BA$1309),"")</f>
        <v>0.4921348314606742</v>
      </c>
      <c r="BF413" s="12" t="n">
        <f>IF(COUNT(BD413:BE413)&lt;&gt;2,"",IF(AND(BD413&gt;0,BE413&gt;0),0.7*AW413/BD413+0.3*BA413/BE413,IF(BD413&gt;0,AW413/BD413,IF(BE413&gt;0,BA413/BE413,IF(AND(ISNUMBER(BH413),BH413=0),0,"")))))</f>
        <v>0.006966731898238747</v>
      </c>
      <c r="BG413" s="11" t="n">
        <f>IF(AND(COUNT(BN413:BU413)=8,MIN(BN413:BU413)&gt;=0),SUMPRODUCT(BN413:BQ413,BR413:BU413),"")</f>
        <v>96.68059267618935</v>
      </c>
      <c r="BH413" s="11" t="n">
        <f>IF(COUNT(BC413,BG413)=2,BC413*BG413,"")</f>
        <v>67.81132808501714</v>
      </c>
      <c r="BI413" s="11" t="n">
        <f>IF(ISNUMBER(CI413),CI413,"")</f>
        <v>0.4724233424318218</v>
      </c>
      <c r="BJ413" s="8" t="str"/>
      <c r="BK413" s="8" t="str">
        <v>90天：2026-07-20 至 2026-10-17；180天：2026-04-21 至 2026-10-17</v>
      </c>
      <c r="BL413" s="8" t="str">
        <v>90天：2026-10-06、2026-10-07、2026-10-12、2026-10-13、2026-10-16；180天：2026-10-06、2026-10-07、2026-10-12、2026-10-13、2026-10-16</v>
      </c>
      <c r="BM413" s="8" t="str">
        <v>2026-10：12天 × 1.1743420411079069；2026-11：30天 × 1.281694931279211；2026-12：31天 × 0.9007634642750235；2027-01：17天 × 0.9537631089407297</v>
      </c>
      <c r="BN413" s="11" t="n">
        <v>1.1743420411079069</v>
      </c>
      <c r="BO413" s="11" t="n">
        <v>1.281694931279211</v>
      </c>
      <c r="BP413" s="11" t="n">
        <v>0.9007634642750235</v>
      </c>
      <c r="BQ413" s="11" t="n">
        <v>0.9537631089407297</v>
      </c>
      <c r="BR413" s="8" t="n">
        <v>12</v>
      </c>
      <c r="BS413" s="8" t="n">
        <v>30</v>
      </c>
      <c r="BT413" s="8" t="n">
        <v>31</v>
      </c>
      <c r="BU413" s="8" t="n">
        <v>17</v>
      </c>
      <c r="BV413" s="11" t="n">
        <f>IF(COUNT(BC413,BF413)=2,BC413*BF413,"")</f>
        <v>0.004886434074872723</v>
      </c>
      <c r="BW413" s="11" t="n">
        <f>IF(ISNUMBER(BN413),BN413,"")</f>
        <v>1.1743420411079069</v>
      </c>
      <c r="BX413" s="14" t="n">
        <f>IF(ISNUMBER(BR413),BR413,"")</f>
        <v>12</v>
      </c>
      <c r="BY413" s="13" t="n">
        <f>IF(AND(COUNT(BV413,BW413,BX413)=3,MIN(BV413,BW413,BX413)&gt;=0),BV413*BW413*BX413,"")</f>
        <v>0.06886013958270312</v>
      </c>
      <c r="BZ413" s="11" t="n">
        <f>IF(ISNUMBER(BO413),BO413,"")</f>
        <v>1.281694931279211</v>
      </c>
      <c r="CA413" s="14" t="n">
        <f>IF(ISNUMBER(BS413),BS413,"")</f>
        <v>30</v>
      </c>
      <c r="CB413" s="13" t="n">
        <f>IF(AND(COUNT(BV413,BZ413,CA413)=3,MIN(BV413,BZ413,CA413)&gt;=0),BV413*BZ413*CA413,"")</f>
        <v>0.18788753357383167</v>
      </c>
      <c r="CC413" s="11" t="n">
        <f>IF(ISNUMBER(BP413),BP413,"")</f>
        <v>0.9007634642750235</v>
      </c>
      <c r="CD413" s="14" t="n">
        <f>IF(ISNUMBER(BT413),BT413,"")</f>
        <v>31</v>
      </c>
      <c r="CE413" s="13" t="n">
        <f>IF(AND(COUNT(BV413,CC413,CD413)=3,MIN(BV413,CC413,CD413)&gt;=0),BV413*CC413*CD413,"")</f>
        <v>0.13644715984225006</v>
      </c>
      <c r="CF413" s="11" t="n">
        <f>IF(ISNUMBER(BQ413),BQ413,"")</f>
        <v>0.9537631089407297</v>
      </c>
      <c r="CG413" s="14" t="n">
        <f>IF(ISNUMBER(BU413),BU413,"")</f>
        <v>17</v>
      </c>
      <c r="CH413" s="13" t="n">
        <f>IF(AND(COUNT(BV413,CF413,CG413)=3,MIN(BV413,CF413,CG413)&gt;=0),BV413*CF413*CG413,"")</f>
        <v>0.07922850943303694</v>
      </c>
      <c r="CI413" s="13" t="n">
        <f>IF(COUNT(BY413,CB413,CE413,CH413)=4,SUM(BY413,CB413,CE413,CH413),"")</f>
        <v>0.4724233424318218</v>
      </c>
    </row>
    <row r="414" ht="72" customHeight="1">
      <c r="A414" s="16" t="str">
        <v>B06-BP-39.5</v>
      </c>
      <c r="B414" s="16" t="str">
        <v>1店-MUSSHOE-US</v>
      </c>
      <c r="C414" s="16" t="str">
        <v>艾年</v>
      </c>
      <c r="D414" s="26" t="n">
        <f>IF(NOT(ISNUMBER(E414)),"",IF(OR(E414&lt;=0,L414=0),0,IF(OR(NOT(ISNUMBER(F414)),F414&lt;0),"",MIN(E414,INT(F414)))))</f>
        <v>0</v>
      </c>
      <c r="E414" s="27" t="n">
        <f>IF(OR(NOT(ISNUMBER(L414)),COUNT(M414:O414)&lt;&gt;3,MIN(M414:O414)&lt;0),"",ROUNDUP(ROUND(BI414-SUM(M414:O414),10),0))</f>
        <v>1</v>
      </c>
      <c r="F414" s="28" t="n">
        <v>0</v>
      </c>
      <c r="G414" s="28" t="n">
        <f>IF(AND(ISNUMBER(D414),ISNUMBER(E414)),IF(OR(E414&lt;=0,L414=0),0,E414-D414),"")</f>
        <v>1</v>
      </c>
      <c r="H414" s="16" t="str">
        <f>IF(NOT(ISNUMBER(E414)),"销量或海外库存待补",IF(OR(E414&lt;=0,L414=0),IF(L414=0,"零日销，本批不发","本批无需补货"),IF(NOT(ISNUMBER(D414)),"国内库存待补",IF(D414=0,"国内无可用库存",IF(G414&gt;0,"先发国内现货","按建议量发货")))))</f>
        <v>国内无可用库存</v>
      </c>
      <c r="I414" s="28" t="n">
        <f>IF(AND(COUNT(Z414,AA414,AB414)=3,Z414&gt;=AA414,AA414&gt;=0,AB414=7),Z414-AA414,"")</f>
        <v>1</v>
      </c>
      <c r="J414" s="28" t="n">
        <f>IF(AND(COUNT(AF414,AG414,AH414)=3,AF414&gt;=AG414,AG414&gt;=0,AH414=14),AF414-AG414,"")</f>
        <v>2</v>
      </c>
      <c r="K414" s="28" t="n">
        <f>IF(AND(COUNT(AL414,AM414,AN414)=3,AL414&gt;=AM414,AM414&gt;=0,AN414=30),AL414-AM414,"")</f>
        <v>5</v>
      </c>
      <c r="L414" s="29" t="n">
        <f>IF(ISNUMBER(BI414),BI414/90,"")</f>
        <v>0.047259760328176234</v>
      </c>
      <c r="M414" s="28" t="n">
        <v>4</v>
      </c>
      <c r="N414" s="28" t="n">
        <v>0</v>
      </c>
      <c r="O414" s="28" t="n">
        <v>0</v>
      </c>
      <c r="P414" s="30" t="n">
        <f>IF(AND(ISNUMBER(L414),L414&gt;0,COUNT(M414:O414)=3,MIN(M414:O414)&gt;=0),SUM(M414:O414)/L414,"")</f>
        <v>84.6386010471408</v>
      </c>
      <c r="Q414" s="16" t="str">
        <v>沿用原计划SKU店铺</v>
      </c>
      <c r="R414" s="16" t="str">
        <v>已匹配</v>
      </c>
      <c r="S414" s="16" t="str">
        <v>在售</v>
      </c>
      <c r="T414" s="16" t="str">
        <v>B06</v>
      </c>
      <c r="U414" s="16" t="str">
        <v>黑色镜面PU</v>
      </c>
      <c r="V414" s="16" t="n">
        <v>8.5</v>
      </c>
      <c r="W414" s="8" t="str">
        <v>2026-10-11 至 2026-10-17</v>
      </c>
      <c r="X414" s="8" t="str">
        <v>2026-10-11、2026-10-12、2026-10-13、2026-10-14、2026-10-15、2026-10-16、2026-10-17</v>
      </c>
      <c r="Y414" s="8" t="str">
        <v>无</v>
      </c>
      <c r="Z414" s="8" t="n">
        <v>1</v>
      </c>
      <c r="AA414" s="8" t="n">
        <v>0</v>
      </c>
      <c r="AB414" s="8" t="n">
        <v>7</v>
      </c>
      <c r="AC414" s="8" t="str">
        <v>2026-10-02 至 2026-10-17</v>
      </c>
      <c r="AD414" s="8" t="str">
        <v>2026-10-02、2026-10-03、2026-10-04、2026-10-05、2026-10-08、2026-10-09、2026-10-10、2026-10-11、2026-10-12、2026-10-13、2026-10-14、2026-10-15、2026-10-16、2026-10-17</v>
      </c>
      <c r="AE414" s="8" t="str">
        <v>2026-10-06 大促；2026-10-07 大促</v>
      </c>
      <c r="AF414" s="8" t="n">
        <v>3</v>
      </c>
      <c r="AG414" s="8" t="n">
        <v>1</v>
      </c>
      <c r="AH414" s="8" t="n">
        <v>14</v>
      </c>
      <c r="AI414" s="8" t="str">
        <v>2026-09-16 至 2026-10-17</v>
      </c>
      <c r="AJ4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14" s="8" t="str">
        <v>2026-10-06 大促；2026-10-07 大促</v>
      </c>
      <c r="AL414" s="8" t="n">
        <v>6</v>
      </c>
      <c r="AM414" s="8" t="n">
        <v>1</v>
      </c>
      <c r="AN414" s="8" t="n">
        <v>30</v>
      </c>
      <c r="AO414" s="8" t="str">
        <v>B06 / 黑色镜面 / 13120</v>
      </c>
      <c r="AP414" s="11" t="n">
        <v>1.2247029157699902</v>
      </c>
      <c r="AQ414" s="11" t="n">
        <v>1.2247029157699902</v>
      </c>
      <c r="AR414" s="11" t="n">
        <v>1.1136940657346173</v>
      </c>
      <c r="AS414" s="11" t="n">
        <f>IF(AND(COUNT(I414:K414,AP414:AR414)=6,MIN(AP414:AR414)&gt;0),I414/7/AP414*0.5+J414/14/AQ414*0.3+K414/30/AR414*0.2,"")</f>
        <v>0.12324751366183562</v>
      </c>
      <c r="AT414" s="8" t="n">
        <v>10</v>
      </c>
      <c r="AU414" s="8" t="n">
        <v>1</v>
      </c>
      <c r="AV414" s="8" t="n">
        <v>88</v>
      </c>
      <c r="AW414" s="11" t="n">
        <f>IF(AND(COUNT(AT414:AV414)=3,AT414&gt;=AU414,AU414&gt;=0,AV414&gt;0),(AT414-AU414)/AV414,"")</f>
        <v>0.10227272727272728</v>
      </c>
      <c r="AX414" s="8" t="n">
        <v>14</v>
      </c>
      <c r="AY414" s="8" t="n">
        <v>1</v>
      </c>
      <c r="AZ414" s="8" t="n">
        <v>178</v>
      </c>
      <c r="BA414" s="11" t="n">
        <f>IF(AND(COUNT(AX414:AZ414)=3,AX414&gt;=AY414,AY414&gt;=0,AZ414&gt;0),(AX414-AY414)/AZ414,"")</f>
        <v>0.07303370786516854</v>
      </c>
      <c r="BB414" s="8" t="n">
        <f>IF(COUNT(AS414,AW414,BA414)=3,1,0)</f>
        <v>1</v>
      </c>
      <c r="BC414" s="11" t="n">
        <f>IF(SUMIF($AO$11:$AO$1309,AO414,$BB$11:$BB$1309)=COUNTIF($AO$11:$AO$1309,AO414),SUMIF($AO$11:$AO$1309,AO414,$AS$11:$AS$1309),"")</f>
        <v>0.3114994469321209</v>
      </c>
      <c r="BD414" s="11" t="n">
        <f>IF(SUMIF($AO$11:$AO$1309,AO414,$BB$11:$BB$1309)=COUNTIF($AO$11:$AO$1309,AO414),SUMIF($AO$11:$AO$1309,AO414,$AW$11:$AW$1309),"")</f>
        <v>0.535135841170324</v>
      </c>
      <c r="BE414" s="11" t="n">
        <f>IF(SUMIF($AO$11:$AO$1309,AO414,$BB$11:$BB$1309)=COUNTIF($AO$11:$AO$1309,AO414),SUMIF($AO$11:$AO$1309,AO414,$BA$11:$BA$1309),"")</f>
        <v>0.427764144698062</v>
      </c>
      <c r="BF414" s="12" t="n">
        <f>IF(COUNT(BD414:BE414)&lt;&gt;2,"",IF(AND(BD414&gt;0,BE414&gt;0),0.7*AW414/BD414+0.3*BA414/BE414,IF(BD414&gt;0,AW414/BD414,IF(BE414&gt;0,BA414/BE414,IF(AND(ISNUMBER(BH414),BH414=0),0,"")))))</f>
        <v>0.1850008920676618</v>
      </c>
      <c r="BG414" s="11" t="n">
        <f>IF(AND(COUNT(BN414:BU414)=8,MIN(BN414:BU414)&gt;=0),SUMPRODUCT(BN414:BQ414,BR414:BU414),"")</f>
        <v>73.80791239847399</v>
      </c>
      <c r="BH414" s="11" t="n">
        <f>IF(COUNT(BC414,BG414)=2,BC414*BG414,"")</f>
        <v>22.991123891339075</v>
      </c>
      <c r="BI414" s="11" t="n">
        <f>IF(ISNUMBER(CI414),CI414,"")</f>
        <v>4.253378429535861</v>
      </c>
      <c r="BJ414" s="8" t="str">
        <v>低销提醒依据不完整</v>
      </c>
      <c r="BK414" s="8" t="str">
        <v>90天：2026-07-20 至 2026-10-17；180天：2026-04-21 至 2026-10-17</v>
      </c>
      <c r="BL414" s="8" t="str">
        <v>90天：2026-10-06、2026-10-07；180天：2026-10-06、2026-10-07</v>
      </c>
      <c r="BM414" s="8" t="str">
        <v>2026-10：12天 × 1.2247029157699902；2026-11：30天 × 0.8332682139098497；2026-12：31天 × 0.5511018253564084；2027-01：17天 × 1.0017220238758797</v>
      </c>
      <c r="BN414" s="11" t="n">
        <v>1.2247029157699902</v>
      </c>
      <c r="BO414" s="11" t="n">
        <v>0.8332682139098497</v>
      </c>
      <c r="BP414" s="11" t="n">
        <v>0.5511018253564084</v>
      </c>
      <c r="BQ414" s="11" t="n">
        <v>1.0017220238758797</v>
      </c>
      <c r="BR414" s="8" t="n">
        <v>12</v>
      </c>
      <c r="BS414" s="8" t="n">
        <v>30</v>
      </c>
      <c r="BT414" s="8" t="n">
        <v>31</v>
      </c>
      <c r="BU414" s="8" t="n">
        <v>17</v>
      </c>
      <c r="BV414" s="11" t="n">
        <f>IF(COUNT(BC414,BF414)=2,BC414*BF414,"")</f>
        <v>0.05762767556102564</v>
      </c>
      <c r="BW414" s="11" t="n">
        <f>IF(ISNUMBER(BN414),BN414,"")</f>
        <v>1.2247029157699902</v>
      </c>
      <c r="BX414" s="14" t="n">
        <f>IF(ISNUMBER(BR414),BR414,"")</f>
        <v>12</v>
      </c>
      <c r="BY414" s="13" t="n">
        <f>IF(AND(COUNT(BV414,BW414,BX414)=3,MIN(BV414,BW414,BX414)&gt;=0),BV414*BW414*BX414,"")</f>
        <v>0.8469213874636212</v>
      </c>
      <c r="BZ414" s="11" t="n">
        <f>IF(ISNUMBER(BO414),BO414,"")</f>
        <v>0.8332682139098497</v>
      </c>
      <c r="CA414" s="14" t="n">
        <f>IF(ISNUMBER(BS414),BS414,"")</f>
        <v>30</v>
      </c>
      <c r="CB414" s="13" t="n">
        <f>IF(AND(COUNT(BV414,BZ414,CA414)=3,MIN(BV414,BZ414,CA414)&gt;=0),BV414*BZ414*CA414,"")</f>
        <v>1.440579308595364</v>
      </c>
      <c r="CC414" s="11" t="n">
        <f>IF(ISNUMBER(BP414),BP414,"")</f>
        <v>0.5511018253564084</v>
      </c>
      <c r="CD414" s="14" t="n">
        <f>IF(ISNUMBER(BT414),BT414,"")</f>
        <v>31</v>
      </c>
      <c r="CE414" s="13" t="n">
        <f>IF(AND(COUNT(BV414,CC414,CD414)=3,MIN(BV414,CC414,CD414)&gt;=0),BV414*CC414*CD414,"")</f>
        <v>0.9845202329745716</v>
      </c>
      <c r="CF414" s="11" t="n">
        <f>IF(ISNUMBER(BQ414),BQ414,"")</f>
        <v>1.0017220238758797</v>
      </c>
      <c r="CG414" s="14" t="n">
        <f>IF(ISNUMBER(BU414),BU414,"")</f>
        <v>17</v>
      </c>
      <c r="CH414" s="13" t="n">
        <f>IF(AND(COUNT(BV414,CF414,CG414)=3,MIN(BV414,CF414,CG414)&gt;=0),BV414*CF414*CG414,"")</f>
        <v>0.981357500502304</v>
      </c>
      <c r="CI414" s="13" t="n">
        <f>IF(COUNT(BY414,CB414,CE414,CH414)=4,SUM(BY414,CB414,CE414,CH414),"")</f>
        <v>4.253378429535861</v>
      </c>
    </row>
    <row r="415" ht="72" customHeight="1">
      <c r="A415" s="16" t="str">
        <v>B06-IV-P-0-41</v>
      </c>
      <c r="B415" s="16" t="str">
        <v>1店-MUSSHOE-US</v>
      </c>
      <c r="C415" s="16" t="str">
        <v>艾年</v>
      </c>
      <c r="D415" s="26" t="n">
        <f>IF(NOT(ISNUMBER(E415)),"",IF(OR(E415&lt;=0,L415=0),0,IF(OR(NOT(ISNUMBER(F415)),F415&lt;0),"",MIN(E415,INT(F415)))))</f>
        <v>0</v>
      </c>
      <c r="E415" s="27" t="n">
        <f>IF(OR(NOT(ISNUMBER(L415)),COUNT(M415:O415)&lt;&gt;3,MIN(M415:O415)&lt;0),"",ROUNDUP(ROUND(BI415-SUM(M415:O415),10),0))</f>
        <v>1</v>
      </c>
      <c r="F415" s="28" t="n">
        <v>0</v>
      </c>
      <c r="G415" s="28" t="n">
        <f>IF(AND(ISNUMBER(D415),ISNUMBER(E415)),IF(OR(E415&lt;=0,L415=0),0,E415-D415),"")</f>
        <v>1</v>
      </c>
      <c r="H415" s="16" t="str">
        <f>IF(NOT(ISNUMBER(E415)),"销量或海外库存待补",IF(OR(E415&lt;=0,L415=0),IF(L415=0,"零日销，本批不发","本批无需补货"),IF(NOT(ISNUMBER(D415)),"国内库存待补",IF(D415=0,"国内无可用库存",IF(G415&gt;0,"先发国内现货","按建议量发货")))))</f>
        <v>国内无可用库存</v>
      </c>
      <c r="I415" s="28" t="n">
        <f>IF(AND(COUNT(Z415,AA415,AB415)=3,Z415&gt;=AA415,AA415&gt;=0,AB415=7),Z415-AA415,"")</f>
        <v>0</v>
      </c>
      <c r="J415" s="28" t="n">
        <f>IF(AND(COUNT(AF415,AG415,AH415)=3,AF415&gt;=AG415,AG415&gt;=0,AH415=14),AF415-AG415,"")</f>
        <v>0</v>
      </c>
      <c r="K415" s="28" t="n">
        <f>IF(AND(COUNT(AL415,AM415,AN415)=3,AL415&gt;=AM415,AM415&gt;=0,AN415=30),AL415-AM415,"")</f>
        <v>0</v>
      </c>
      <c r="L415" s="29" t="n">
        <f>IF(ISNUMBER(BI415),BI415/90,"")</f>
        <v>0.0004893941324791617</v>
      </c>
      <c r="M415" s="28" t="n">
        <v>0</v>
      </c>
      <c r="N415" s="28" t="n">
        <v>0</v>
      </c>
      <c r="O415" s="28" t="n">
        <v>0</v>
      </c>
      <c r="P415" s="30" t="n">
        <f>IF(AND(ISNUMBER(L415),L415&gt;0,COUNT(M415:O415)=3,MIN(M415:O415)&gt;=0),SUM(M415:O415)/L415,"")</f>
        <v>0</v>
      </c>
      <c r="Q415" s="16" t="str">
        <v>沿用原计划SKU店铺</v>
      </c>
      <c r="R415" s="16" t="str">
        <v>已匹配</v>
      </c>
      <c r="S415" s="16" t="str">
        <v>停售</v>
      </c>
      <c r="T415" s="16" t="str">
        <v>B06</v>
      </c>
      <c r="U415" s="16" t="str">
        <v>米白色PU</v>
      </c>
      <c r="V415" s="16" t="n">
        <v>10.5</v>
      </c>
      <c r="W415" s="8" t="str">
        <v>2026-10-08 至 2026-10-17</v>
      </c>
      <c r="X415" s="8" t="str">
        <v>2026-10-08、2026-10-09、2026-10-10、2026-10-11、2026-10-14、2026-10-15、2026-10-17</v>
      </c>
      <c r="Y415" s="8" t="str">
        <v>2026-10-12 有记录的停售日；2026-10-13 有记录的停售日；2026-10-16 有记录的停售日</v>
      </c>
      <c r="Z415" s="8" t="n">
        <v>0</v>
      </c>
      <c r="AA415" s="8" t="n">
        <v>0</v>
      </c>
      <c r="AB415" s="8" t="n">
        <v>7</v>
      </c>
      <c r="AC415" s="8" t="str">
        <v>2026-09-29 至 2026-10-17</v>
      </c>
      <c r="AD415" s="8" t="str">
        <v>2026-09-29、2026-09-30、2026-10-01、2026-10-02、2026-10-03、2026-10-04、2026-10-05、2026-10-08、2026-10-09、2026-10-10、2026-10-11、2026-10-14、2026-10-15、2026-10-17</v>
      </c>
      <c r="AE415" s="8" t="str">
        <v>2026-10-06 大促；2026-10-07 大促；2026-10-12 有记录的停售日；2026-10-13 有记录的停售日；2026-10-16 有记录的停售日</v>
      </c>
      <c r="AF415" s="8" t="n">
        <v>0</v>
      </c>
      <c r="AG415" s="8" t="n">
        <v>0</v>
      </c>
      <c r="AH415" s="8" t="n">
        <v>14</v>
      </c>
      <c r="AI415" s="8" t="str">
        <v>2026-09-13 至 2026-10-17</v>
      </c>
      <c r="AJ4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5" s="8" t="str">
        <v>2026-10-06 大促；2026-10-07 大促；2026-10-12 有记录的停售日；2026-10-13 有记录的停售日；2026-10-16 有记录的停售日</v>
      </c>
      <c r="AL415" s="8" t="n">
        <v>0</v>
      </c>
      <c r="AM415" s="8" t="n">
        <v>0</v>
      </c>
      <c r="AN415" s="8" t="n">
        <v>30</v>
      </c>
      <c r="AO415" s="8" t="str">
        <v>B06 / 米白色PU / 13120</v>
      </c>
      <c r="AP415" s="11" t="n">
        <v>1.2247029157699902</v>
      </c>
      <c r="AQ415" s="11" t="n">
        <v>1.1929861014741694</v>
      </c>
      <c r="AR415" s="11" t="n">
        <v>1.0914922957275428</v>
      </c>
      <c r="AS415" s="11" t="n">
        <f>IF(AND(COUNT(I415:K415,AP415:AR415)=6,MIN(AP415:AR415)&gt;0),I415/7/AP415*0.5+J415/14/AQ415*0.3+K415/30/AR415*0.2,"")</f>
        <v>0</v>
      </c>
      <c r="AT415" s="8" t="n">
        <v>0</v>
      </c>
      <c r="AU415" s="8" t="n">
        <v>0</v>
      </c>
      <c r="AV415" s="8" t="n">
        <v>85</v>
      </c>
      <c r="AW415" s="11" t="n">
        <f>IF(AND(COUNT(AT415:AV415)=3,AT415&gt;=AU415,AU415&gt;=0,AV415&gt;0),(AT415-AU415)/AV415,"")</f>
        <v>0</v>
      </c>
      <c r="AX415" s="8" t="n">
        <v>1</v>
      </c>
      <c r="AY415" s="8" t="n">
        <v>0</v>
      </c>
      <c r="AZ415" s="8" t="n">
        <v>175</v>
      </c>
      <c r="BA415" s="11" t="n">
        <f>IF(AND(COUNT(AX415:AZ415)=3,AX415&gt;=AY415,AY415&gt;=0,AZ415&gt;0),(AX415-AY415)/AZ415,"")</f>
        <v>0.005714285714285714</v>
      </c>
      <c r="BB415" s="8" t="n">
        <f>IF(COUNT(AS415,AW415,BA415)=3,1,0)</f>
        <v>1</v>
      </c>
      <c r="BC415" s="11" t="n">
        <f>IF(SUMIF($AO$11:$AO$1309,AO415,$BB$11:$BB$1309)=COUNTIF($AO$11:$AO$1309,AO415),SUMIF($AO$11:$AO$1309,AO415,$AS$11:$AS$1309),"")</f>
        <v>0.02946912348029766</v>
      </c>
      <c r="BD415" s="11" t="n">
        <f>IF(SUMIF($AO$11:$AO$1309,AO415,$BB$11:$BB$1309)=COUNTIF($AO$11:$AO$1309,AO415),SUMIF($AO$11:$AO$1309,AO415,$AW$11:$AW$1309),"")</f>
        <v>0.0803475935828877</v>
      </c>
      <c r="BE415" s="11" t="n">
        <f>IF(SUMIF($AO$11:$AO$1309,AO415,$BB$11:$BB$1309)=COUNTIF($AO$11:$AO$1309,AO415),SUMIF($AO$11:$AO$1309,AO415,$BA$11:$BA$1309),"")</f>
        <v>0.08465489566613162</v>
      </c>
      <c r="BF415" s="12" t="n">
        <f>IF(COUNT(BD415:BE415)&lt;&gt;2,"",IF(AND(BD415&gt;0,BE415&gt;0),0.7*AW415/BD415+0.3*BA415/BE415,IF(BD415&gt;0,AW415/BD415,IF(BE415&gt;0,BA415/BE415,IF(AND(ISNUMBER(BH415),BH415=0),0,"")))))</f>
        <v>0.02025028441410694</v>
      </c>
      <c r="BG415" s="11" t="n">
        <f>IF(AND(COUNT(BN415:BU415)=8,MIN(BN415:BU415)&gt;=0),SUMPRODUCT(BN415:BQ415,BR415:BU415),"")</f>
        <v>73.80791239847399</v>
      </c>
      <c r="BH415" s="11" t="n">
        <f>IF(COUNT(BC415,BG415)=2,BC415*BG415,"")</f>
        <v>2.1750544842936224</v>
      </c>
      <c r="BI415" s="11" t="n">
        <f>IF(ISNUMBER(CI415),CI415,"")</f>
        <v>0.04404547192312455</v>
      </c>
      <c r="BJ415" s="8" t="str">
        <v>低销提醒依据不完整</v>
      </c>
      <c r="BK415" s="8" t="str">
        <v>90天：2026-07-20 至 2026-10-17；180天：2026-04-21 至 2026-10-17</v>
      </c>
      <c r="BL415" s="8" t="str">
        <v>90天：2026-10-06、2026-10-07、2026-10-12、2026-10-13、2026-10-16；180天：2026-10-06、2026-10-07、2026-10-12、2026-10-13、2026-10-16</v>
      </c>
      <c r="BM415" s="8" t="str">
        <v>2026-10：12天 × 1.2247029157699902；2026-11：30天 × 0.8332682139098497；2026-12：31天 × 0.5511018253564084；2027-01：17天 × 1.0017220238758797</v>
      </c>
      <c r="BN415" s="11" t="n">
        <v>1.2247029157699902</v>
      </c>
      <c r="BO415" s="11" t="n">
        <v>0.8332682139098497</v>
      </c>
      <c r="BP415" s="11" t="n">
        <v>0.5511018253564084</v>
      </c>
      <c r="BQ415" s="11" t="n">
        <v>1.0017220238758797</v>
      </c>
      <c r="BR415" s="8" t="n">
        <v>12</v>
      </c>
      <c r="BS415" s="8" t="n">
        <v>30</v>
      </c>
      <c r="BT415" s="8" t="n">
        <v>31</v>
      </c>
      <c r="BU415" s="8" t="n">
        <v>17</v>
      </c>
      <c r="BV415" s="11" t="n">
        <f>IF(COUNT(BC415,BF415)=2,BC415*BF415,"")</f>
        <v>0.0005967581319104645</v>
      </c>
      <c r="BW415" s="11" t="n">
        <f>IF(ISNUMBER(BN415),BN415,"")</f>
        <v>1.2247029157699902</v>
      </c>
      <c r="BX415" s="14" t="n">
        <f>IF(ISNUMBER(BR415),BR415,"")</f>
        <v>12</v>
      </c>
      <c r="BY415" s="13" t="n">
        <f>IF(AND(COUNT(BV415,BW415,BX415)=3,MIN(BV415,BW415,BX415)&gt;=0),BV415*BW415*BX415,"")</f>
        <v>0.008770217089922379</v>
      </c>
      <c r="BZ415" s="11" t="n">
        <f>IF(ISNUMBER(BO415),BO415,"")</f>
        <v>0.8332682139098497</v>
      </c>
      <c r="CA415" s="14" t="n">
        <f>IF(ISNUMBER(BS415),BS415,"")</f>
        <v>30</v>
      </c>
      <c r="CB415" s="13" t="n">
        <f>IF(AND(COUNT(BV415,BZ415,CA415)=3,MIN(BV415,BZ415,CA415)&gt;=0),BV415*BZ415*CA415,"")</f>
        <v>0.014917787481396338</v>
      </c>
      <c r="CC415" s="11" t="n">
        <f>IF(ISNUMBER(BP415),BP415,"")</f>
        <v>0.5511018253564084</v>
      </c>
      <c r="CD415" s="14" t="n">
        <f>IF(ISNUMBER(BT415),BT415,"")</f>
        <v>31</v>
      </c>
      <c r="CE415" s="13" t="n">
        <f>IF(AND(COUNT(BV415,CC415,CD415)=3,MIN(BV415,CC415,CD415)&gt;=0),BV415*CC415*CD415,"")</f>
        <v>0.010195109369556256</v>
      </c>
      <c r="CF415" s="11" t="n">
        <f>IF(ISNUMBER(BQ415),BQ415,"")</f>
        <v>1.0017220238758797</v>
      </c>
      <c r="CG415" s="14" t="n">
        <f>IF(ISNUMBER(BU415),BU415,"")</f>
        <v>17</v>
      </c>
      <c r="CH415" s="13" t="n">
        <f>IF(AND(COUNT(BV415,CF415,CG415)=3,MIN(BV415,CF415,CG415)&gt;=0),BV415*CF415*CG415,"")</f>
        <v>0.010162357982249575</v>
      </c>
      <c r="CI415" s="13" t="n">
        <f>IF(COUNT(BY415,CB415,CE415,CH415)=4,SUM(BY415,CB415,CE415,CH415),"")</f>
        <v>0.04404547192312455</v>
      </c>
    </row>
    <row r="416" ht="72" customHeight="1">
      <c r="A416" s="16" t="str">
        <v>B06-ND-Z-0-42</v>
      </c>
      <c r="B416" s="16" t="str">
        <v>1店-MUSSHOE-US</v>
      </c>
      <c r="C416" s="16" t="str">
        <v>艾年</v>
      </c>
      <c r="D416" s="26" t="n">
        <f>IF(NOT(ISNUMBER(E416)),"",IF(OR(E416&lt;=0,L416=0),0,IF(OR(NOT(ISNUMBER(F416)),F416&lt;0),"",MIN(E416,INT(F416)))))</f>
        <v>0</v>
      </c>
      <c r="E416" s="27" t="n">
        <f>IF(OR(NOT(ISNUMBER(L416)),COUNT(M416:O416)&lt;&gt;3,MIN(M416:O416)&lt;0),"",ROUNDUP(ROUND(BI416-SUM(M416:O416),10),0))</f>
        <v>1</v>
      </c>
      <c r="F416" s="28" t="n">
        <v>0</v>
      </c>
      <c r="G416" s="28" t="n">
        <f>IF(AND(ISNUMBER(D416),ISNUMBER(E416)),IF(OR(E416&lt;=0,L416=0),0,E416-D416),"")</f>
        <v>1</v>
      </c>
      <c r="H416" s="16" t="str">
        <f>IF(NOT(ISNUMBER(E416)),"销量或海外库存待补",IF(OR(E416&lt;=0,L416=0),IF(L416=0,"零日销，本批不发","本批无需补货"),IF(NOT(ISNUMBER(D416)),"国内库存待补",IF(D416=0,"国内无可用库存",IF(G416&gt;0,"先发国内现货","按建议量发货")))))</f>
        <v>国内无可用库存</v>
      </c>
      <c r="I416" s="28" t="n">
        <f>IF(AND(COUNT(Z416,AA416,AB416)=3,Z416&gt;=AA416,AA416&gt;=0,AB416=7),Z416-AA416,"")</f>
        <v>0</v>
      </c>
      <c r="J416" s="28" t="n">
        <f>IF(AND(COUNT(AF416,AG416,AH416)=3,AF416&gt;=AG416,AG416&gt;=0,AH416=14),AF416-AG416,"")</f>
        <v>0</v>
      </c>
      <c r="K416" s="28" t="n">
        <f>IF(AND(COUNT(AL416,AM416,AN416)=3,AL416&gt;=AM416,AM416&gt;=0,AN416=30),AL416-AM416,"")</f>
        <v>0</v>
      </c>
      <c r="L416" s="29" t="n">
        <f>IF(ISNUMBER(BI416),BI416/90,"")</f>
        <v>0.0010776423920338893</v>
      </c>
      <c r="M416" s="28" t="n">
        <v>0</v>
      </c>
      <c r="N416" s="28" t="n">
        <v>0</v>
      </c>
      <c r="O416" s="28" t="n">
        <v>0</v>
      </c>
      <c r="P416" s="30" t="n">
        <f>IF(AND(ISNUMBER(L416),L416&gt;0,COUNT(M416:O416)=3,MIN(M416:O416)&gt;=0),SUM(M416:O416)/L416,"")</f>
        <v>0</v>
      </c>
      <c r="Q416" s="16" t="str">
        <v>沿用原计划SKU店铺</v>
      </c>
      <c r="R416" s="16" t="str">
        <v>已匹配</v>
      </c>
      <c r="S416" s="16" t="str">
        <v>停售</v>
      </c>
      <c r="T416" s="16" t="str">
        <v>B06</v>
      </c>
      <c r="U416" s="16" t="str">
        <v>裸色镜面PU</v>
      </c>
      <c r="V416" s="16" t="n">
        <v>11</v>
      </c>
      <c r="W416" s="8" t="str">
        <v>2026-10-08 至 2026-10-17</v>
      </c>
      <c r="X416" s="8" t="str">
        <v>2026-10-08、2026-10-09、2026-10-10、2026-10-11、2026-10-14、2026-10-15、2026-10-17</v>
      </c>
      <c r="Y416" s="8" t="str">
        <v>2026-10-12 有记录的停售日；2026-10-13 有记录的停售日；2026-10-16 有记录的停售日</v>
      </c>
      <c r="Z416" s="8" t="n">
        <v>0</v>
      </c>
      <c r="AA416" s="8" t="n">
        <v>0</v>
      </c>
      <c r="AB416" s="8" t="n">
        <v>7</v>
      </c>
      <c r="AC416" s="8" t="str">
        <v>2026-09-29 至 2026-10-17</v>
      </c>
      <c r="AD416" s="8" t="str">
        <v>2026-09-29、2026-09-30、2026-10-01、2026-10-02、2026-10-03、2026-10-04、2026-10-05、2026-10-08、2026-10-09、2026-10-10、2026-10-11、2026-10-14、2026-10-15、2026-10-17</v>
      </c>
      <c r="AE416" s="8" t="str">
        <v>2026-10-06 大促；2026-10-07 大促；2026-10-12 有记录的停售日；2026-10-13 有记录的停售日；2026-10-16 有记录的停售日</v>
      </c>
      <c r="AF416" s="8" t="n">
        <v>0</v>
      </c>
      <c r="AG416" s="8" t="n">
        <v>0</v>
      </c>
      <c r="AH416" s="8" t="n">
        <v>14</v>
      </c>
      <c r="AI416" s="8" t="str">
        <v>2026-09-13 至 2026-10-17</v>
      </c>
      <c r="AJ41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6" s="8" t="str">
        <v>2026-10-06 大促；2026-10-07 大促；2026-10-12 有记录的停售日；2026-10-13 有记录的停售日；2026-10-16 有记录的停售日</v>
      </c>
      <c r="AL416" s="8" t="n">
        <v>0</v>
      </c>
      <c r="AM416" s="8" t="n">
        <v>0</v>
      </c>
      <c r="AN416" s="8" t="n">
        <v>30</v>
      </c>
      <c r="AO416" s="8" t="str">
        <v>B06 / 裸色羊京绒 / 13120</v>
      </c>
      <c r="AP416" s="11" t="n">
        <v>1.2247029157699902</v>
      </c>
      <c r="AQ416" s="11" t="n">
        <v>1.1929861014741694</v>
      </c>
      <c r="AR416" s="11" t="n">
        <v>1.0914922957275428</v>
      </c>
      <c r="AS416" s="11" t="n">
        <f>IF(AND(COUNT(I416:K416,AP416:AR416)=6,MIN(AP416:AR416)&gt;0),I416/7/AP416*0.5+J416/14/AQ416*0.3+K416/30/AR416*0.2,"")</f>
        <v>0</v>
      </c>
      <c r="AT416" s="8" t="n">
        <v>0</v>
      </c>
      <c r="AU416" s="8" t="n">
        <v>0</v>
      </c>
      <c r="AV416" s="8" t="n">
        <v>85</v>
      </c>
      <c r="AW416" s="11" t="n">
        <f>IF(AND(COUNT(AT416:AV416)=3,AT416&gt;=AU416,AU416&gt;=0,AV416&gt;0),(AT416-AU416)/AV416,"")</f>
        <v>0</v>
      </c>
      <c r="AX416" s="8" t="n">
        <v>1</v>
      </c>
      <c r="AY416" s="8" t="n">
        <v>0</v>
      </c>
      <c r="AZ416" s="8" t="n">
        <v>175</v>
      </c>
      <c r="BA416" s="11" t="n">
        <f>IF(AND(COUNT(AX416:AZ416)=3,AX416&gt;=AY416,AY416&gt;=0,AZ416&gt;0),(AX416-AY416)/AZ416,"")</f>
        <v>0.005714285714285714</v>
      </c>
      <c r="BB416" s="8" t="n">
        <f>IF(COUNT(AS416,AW416,BA416)=3,1,0)</f>
        <v>1</v>
      </c>
      <c r="BC416" s="11" t="n">
        <f>IF(SUMIF($AO$11:$AO$1309,AO416,$BB$11:$BB$1309)=COUNTIF($AO$11:$AO$1309,AO416),SUMIF($AO$11:$AO$1309,AO416,$AS$11:$AS$1309),"")</f>
        <v>10.520823885219587</v>
      </c>
      <c r="BD416" s="11" t="n">
        <f>IF(SUMIF($AO$11:$AO$1309,AO416,$BB$11:$BB$1309)=COUNTIF($AO$11:$AO$1309,AO416),SUMIF($AO$11:$AO$1309,AO416,$AW$11:$AW$1309),"")</f>
        <v>15.750802139037434</v>
      </c>
      <c r="BE416" s="11" t="n">
        <f>IF(SUMIF($AO$11:$AO$1309,AO416,$BB$11:$BB$1309)=COUNTIF($AO$11:$AO$1309,AO416),SUMIF($AO$11:$AO$1309,AO416,$BA$11:$BA$1309),"")</f>
        <v>13.725200642054572</v>
      </c>
      <c r="BF416" s="12" t="n">
        <f>IF(COUNT(BD416:BE416)&lt;&gt;2,"",IF(AND(BD416&gt;0,BE416&gt;0),0.7*AW416/BD416+0.3*BA416/BE416,IF(BD416&gt;0,AW416/BD416,IF(BE416&gt;0,BA416/BE416,IF(AND(ISNUMBER(BH416),BH416=0),0,"")))))</f>
        <v>0.00012490059409645882</v>
      </c>
      <c r="BG416" s="11" t="n">
        <f>IF(AND(COUNT(BN416:BU416)=8,MIN(BN416:BU416)&gt;=0),SUMPRODUCT(BN416:BQ416,BR416:BU416),"")</f>
        <v>73.80791239847399</v>
      </c>
      <c r="BH416" s="11" t="n">
        <f>IF(COUNT(BC416,BG416)=2,BC416*BG416,"")</f>
        <v>776.52004768006</v>
      </c>
      <c r="BI416" s="11" t="n">
        <f>IF(ISNUMBER(CI416),CI416,"")</f>
        <v>0.09698781528305003</v>
      </c>
      <c r="BJ416" s="8" t="str">
        <v>低销提醒依据不完整</v>
      </c>
      <c r="BK416" s="8" t="str">
        <v>90天：2026-07-20 至 2026-10-17；180天：2026-04-21 至 2026-10-17</v>
      </c>
      <c r="BL416" s="8" t="str">
        <v>90天：2026-10-06、2026-10-07、2026-10-12、2026-10-13、2026-10-16；180天：2026-10-06、2026-10-07、2026-10-12、2026-10-13、2026-10-16</v>
      </c>
      <c r="BM416" s="8" t="str">
        <v>2026-10：12天 × 1.2247029157699902；2026-11：30天 × 0.8332682139098497；2026-12：31天 × 0.5511018253564084；2027-01：17天 × 1.0017220238758797</v>
      </c>
      <c r="BN416" s="11" t="n">
        <v>1.2247029157699902</v>
      </c>
      <c r="BO416" s="11" t="n">
        <v>0.8332682139098497</v>
      </c>
      <c r="BP416" s="11" t="n">
        <v>0.5511018253564084</v>
      </c>
      <c r="BQ416" s="11" t="n">
        <v>1.0017220238758797</v>
      </c>
      <c r="BR416" s="8" t="n">
        <v>12</v>
      </c>
      <c r="BS416" s="8" t="n">
        <v>30</v>
      </c>
      <c r="BT416" s="8" t="n">
        <v>31</v>
      </c>
      <c r="BU416" s="8" t="n">
        <v>17</v>
      </c>
      <c r="BV416" s="11" t="n">
        <f>IF(COUNT(BC416,BF416)=2,BC416*BF416,"")</f>
        <v>0.0013140571536481404</v>
      </c>
      <c r="BW416" s="11" t="n">
        <f>IF(ISNUMBER(BN416),BN416,"")</f>
        <v>1.2247029157699902</v>
      </c>
      <c r="BX416" s="14" t="n">
        <f>IF(ISNUMBER(BR416),BR416,"")</f>
        <v>12</v>
      </c>
      <c r="BY416" s="13" t="n">
        <f>IF(AND(COUNT(BV416,BW416,BX416)=3,MIN(BV416,BW416,BX416)&gt;=0),BV416*BW416*BX416,"")</f>
        <v>0.0193119555307355</v>
      </c>
      <c r="BZ416" s="11" t="n">
        <f>IF(ISNUMBER(BO416),BO416,"")</f>
        <v>0.8332682139098497</v>
      </c>
      <c r="CA416" s="14" t="n">
        <f>IF(ISNUMBER(BS416),BS416,"")</f>
        <v>30</v>
      </c>
      <c r="CB416" s="13" t="n">
        <f>IF(AND(COUNT(BV416,BZ416,CA416)=3,MIN(BV416,BZ416,CA416)&gt;=0),BV416*BZ416*CA416,"")</f>
        <v>0.03284886172187541</v>
      </c>
      <c r="CC416" s="11" t="n">
        <f>IF(ISNUMBER(BP416),BP416,"")</f>
        <v>0.5511018253564084</v>
      </c>
      <c r="CD416" s="14" t="n">
        <f>IF(ISNUMBER(BT416),BT416,"")</f>
        <v>31</v>
      </c>
      <c r="CE416" s="13" t="n">
        <f>IF(AND(COUNT(BV416,CC416,CD416)=3,MIN(BV416,CC416,CD416)&gt;=0),BV416*CC416*CD416,"")</f>
        <v>0.022449558175942234</v>
      </c>
      <c r="CF416" s="11" t="n">
        <f>IF(ISNUMBER(BQ416),BQ416,"")</f>
        <v>1.0017220238758797</v>
      </c>
      <c r="CG416" s="14" t="n">
        <f>IF(ISNUMBER(BU416),BU416,"")</f>
        <v>17</v>
      </c>
      <c r="CH416" s="13" t="n">
        <f>IF(AND(COUNT(BV416,CF416,CG416)=3,MIN(BV416,CF416,CG416)&gt;=0),BV416*CF416*CG416,"")</f>
        <v>0.022377439854496882</v>
      </c>
      <c r="CI416" s="13" t="n">
        <f>IF(COUNT(BY416,CB416,CE416,CH416)=4,SUM(BY416,CB416,CE416,CH416),"")</f>
        <v>0.09698781528305003</v>
      </c>
    </row>
    <row r="417" ht="72" customHeight="1">
      <c r="A417" s="16" t="str">
        <v>B06-PK-38.5</v>
      </c>
      <c r="B417" s="16" t="str">
        <v>1店-MUSSHOE-US</v>
      </c>
      <c r="C417" s="16" t="str">
        <v>艾年</v>
      </c>
      <c r="D417" s="26" t="n">
        <f>IF(NOT(ISNUMBER(E417)),"",IF(OR(E417&lt;=0,L417=0),0,IF(OR(NOT(ISNUMBER(F417)),F417&lt;0),"",MIN(E417,INT(F417)))))</f>
        <v>0</v>
      </c>
      <c r="E417" s="27" t="n">
        <f>IF(OR(NOT(ISNUMBER(L417)),COUNT(M417:O417)&lt;&gt;3,MIN(M417:O417)&lt;0),"",ROUNDUP(ROUND(BI417-SUM(M417:O417),10),0))</f>
        <v>1</v>
      </c>
      <c r="F417" s="28" t="n">
        <v>0</v>
      </c>
      <c r="G417" s="28" t="n">
        <f>IF(AND(ISNUMBER(D417),ISNUMBER(E417)),IF(OR(E417&lt;=0,L417=0),0,E417-D417),"")</f>
        <v>1</v>
      </c>
      <c r="H417" s="16" t="str">
        <f>IF(NOT(ISNUMBER(E417)),"销量或海外库存待补",IF(OR(E417&lt;=0,L417=0),IF(L417=0,"零日销，本批不发","本批无需补货"),IF(NOT(ISNUMBER(D417)),"国内库存待补",IF(D417=0,"国内无可用库存",IF(G417&gt;0,"先发国内现货","按建议量发货")))))</f>
        <v>国内无可用库存</v>
      </c>
      <c r="I417" s="28" t="n">
        <f>IF(AND(COUNT(Z417,AA417,AB417)=3,Z417&gt;=AA417,AA417&gt;=0,AB417=7),Z417-AA417,"")</f>
        <v>0</v>
      </c>
      <c r="J417" s="28" t="n">
        <f>IF(AND(COUNT(AF417,AG417,AH417)=3,AF417&gt;=AG417,AG417&gt;=0,AH417=14),AF417-AG417,"")</f>
        <v>1</v>
      </c>
      <c r="K417" s="28" t="n">
        <f>IF(AND(COUNT(AL417,AM417,AN417)=3,AL417&gt;=AM417,AM417&gt;=0,AN417=30),AL417-AM417,"")</f>
        <v>1</v>
      </c>
      <c r="L417" s="29" t="n">
        <f>IF(ISNUMBER(BI417),BI417/90,"")</f>
        <v>0.009384624826459095</v>
      </c>
      <c r="M417" s="28" t="n">
        <v>0</v>
      </c>
      <c r="N417" s="28" t="n">
        <v>0</v>
      </c>
      <c r="O417" s="28" t="n">
        <v>0</v>
      </c>
      <c r="P417" s="30" t="n">
        <f>IF(AND(ISNUMBER(L417),L417&gt;0,COUNT(M417:O417)=3,MIN(M417:O417)&gt;=0),SUM(M417:O417)/L417,"")</f>
        <v>0</v>
      </c>
      <c r="Q417" s="16" t="str">
        <v>沿用原计划SKU店铺</v>
      </c>
      <c r="R417" s="16" t="str">
        <v>已匹配</v>
      </c>
      <c r="S417" s="16" t="str">
        <v>停售</v>
      </c>
      <c r="T417" s="16" t="str">
        <v>B06</v>
      </c>
      <c r="U417" s="16" t="str">
        <v>粉色羊京绒</v>
      </c>
      <c r="V417" s="16" t="n">
        <v>7.5</v>
      </c>
      <c r="W417" s="8" t="str">
        <v>2026-10-08 至 2026-10-17</v>
      </c>
      <c r="X417" s="8" t="str">
        <v>2026-10-08、2026-10-09、2026-10-10、2026-10-11、2026-10-14、2026-10-15、2026-10-17</v>
      </c>
      <c r="Y417" s="8" t="str">
        <v>2026-10-12 有记录的停售日；2026-10-13 有记录的停售日；2026-10-16 有记录的停售日</v>
      </c>
      <c r="Z417" s="8" t="n">
        <v>0</v>
      </c>
      <c r="AA417" s="8" t="n">
        <v>0</v>
      </c>
      <c r="AB417" s="8" t="n">
        <v>7</v>
      </c>
      <c r="AC417" s="8" t="str">
        <v>2026-09-29 至 2026-10-17</v>
      </c>
      <c r="AD417" s="8" t="str">
        <v>2026-09-29、2026-09-30、2026-10-01、2026-10-02、2026-10-03、2026-10-04、2026-10-05、2026-10-08、2026-10-09、2026-10-10、2026-10-11、2026-10-14、2026-10-15、2026-10-17</v>
      </c>
      <c r="AE417" s="8" t="str">
        <v>2026-10-06 大促；2026-10-07 大促；2026-10-12 有记录的停售日；2026-10-13 有记录的停售日；2026-10-16 有记录的停售日</v>
      </c>
      <c r="AF417" s="8" t="n">
        <v>1</v>
      </c>
      <c r="AG417" s="8" t="n">
        <v>0</v>
      </c>
      <c r="AH417" s="8" t="n">
        <v>14</v>
      </c>
      <c r="AI417" s="8" t="str">
        <v>2026-09-13 至 2026-10-17</v>
      </c>
      <c r="AJ41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7" s="8" t="str">
        <v>2026-10-06 大促；2026-10-07 大促；2026-10-12 有记录的停售日；2026-10-13 有记录的停售日；2026-10-16 有记录的停售日</v>
      </c>
      <c r="AL417" s="8" t="n">
        <v>1</v>
      </c>
      <c r="AM417" s="8" t="n">
        <v>0</v>
      </c>
      <c r="AN417" s="8" t="n">
        <v>30</v>
      </c>
      <c r="AO417" s="8" t="str">
        <v>B06 / 粉色羊京绒 / 13120</v>
      </c>
      <c r="AP417" s="11" t="n">
        <v>1.2247029157699902</v>
      </c>
      <c r="AQ417" s="11" t="n">
        <v>1.1929861014741694</v>
      </c>
      <c r="AR417" s="11" t="n">
        <v>1.0914922957275428</v>
      </c>
      <c r="AS417" s="11" t="n">
        <f>IF(AND(COUNT(I417:K417,AP417:AR417)=6,MIN(AP417:AR417)&gt;0),I417/7/AP417*0.5+J417/14/AQ417*0.3+K417/30/AR417*0.2,"")</f>
        <v>0.0240699758177653</v>
      </c>
      <c r="AT417" s="8" t="n">
        <v>2</v>
      </c>
      <c r="AU417" s="8" t="n">
        <v>0</v>
      </c>
      <c r="AV417" s="8" t="n">
        <v>85</v>
      </c>
      <c r="AW417" s="11" t="n">
        <f>IF(AND(COUNT(AT417:AV417)=3,AT417&gt;=AU417,AU417&gt;=0,AV417&gt;0),(AT417-AU417)/AV417,"")</f>
        <v>0.023529411764705882</v>
      </c>
      <c r="AX417" s="8" t="n">
        <v>4</v>
      </c>
      <c r="AY417" s="8" t="n">
        <v>0</v>
      </c>
      <c r="AZ417" s="8" t="n">
        <v>175</v>
      </c>
      <c r="BA417" s="11" t="n">
        <f>IF(AND(COUNT(AX417:AZ417)=3,AX417&gt;=AY417,AY417&gt;=0,AZ417&gt;0),(AX417-AY417)/AZ417,"")</f>
        <v>0.022857142857142857</v>
      </c>
      <c r="BB417" s="8" t="n">
        <f>IF(COUNT(AS417,AW417,BA417)=3,1,0)</f>
        <v>1</v>
      </c>
      <c r="BC417" s="11" t="n">
        <f>IF(SUMIF($AO$11:$AO$1309,AO417,$BB$11:$BB$1309)=COUNTIF($AO$11:$AO$1309,AO417),SUMIF($AO$11:$AO$1309,AO417,$AS$11:$AS$1309),"")</f>
        <v>0.14161497208377494</v>
      </c>
      <c r="BD417" s="11" t="n">
        <f>IF(SUMIF($AO$11:$AO$1309,AO417,$BB$11:$BB$1309)=COUNTIF($AO$11:$AO$1309,AO417),SUMIF($AO$11:$AO$1309,AO417,$AW$11:$AW$1309),"")</f>
        <v>0.27671030794763046</v>
      </c>
      <c r="BE417" s="11" t="n">
        <f>IF(SUMIF($AO$11:$AO$1309,AO417,$BB$11:$BB$1309)=COUNTIF($AO$11:$AO$1309,AO417),SUMIF($AO$11:$AO$1309,AO417,$BA$11:$BA$1309),"")</f>
        <v>0.32217609344251885</v>
      </c>
      <c r="BF417" s="12" t="n">
        <f>IF(COUNT(BD417:BE417)&lt;&gt;2,"",IF(AND(BD417&gt;0,BE417&gt;0),0.7*AW417/BD417+0.3*BA417/BE417,IF(BD417&gt;0,AW417/BD417,IF(BE417&gt;0,BA417/BE417,IF(AND(ISNUMBER(BH417),BH417=0),0,"")))))</f>
        <v>0.08080669265826589</v>
      </c>
      <c r="BG417" s="11" t="n">
        <f>IF(AND(COUNT(BN417:BU417)=8,MIN(BN417:BU417)&gt;=0),SUMPRODUCT(BN417:BQ417,BR417:BU417),"")</f>
        <v>73.80791239847399</v>
      </c>
      <c r="BH417" s="11" t="n">
        <f>IF(COUNT(BC417,BG417)=2,BC417*BG417,"")</f>
        <v>10.4523054538716</v>
      </c>
      <c r="BI417" s="11" t="n">
        <f>IF(ISNUMBER(CI417),CI417,"")</f>
        <v>0.8446162343813186</v>
      </c>
      <c r="BJ417" s="8" t="str">
        <v>近180天本色销量61双（＜90），无有效新采购，请运营判断</v>
      </c>
      <c r="BK417" s="8" t="str">
        <v>90天：2026-07-20 至 2026-10-17；180天：2026-04-21 至 2026-10-17</v>
      </c>
      <c r="BL417" s="8" t="str">
        <v>90天：2026-10-06、2026-10-07、2026-10-12、2026-10-13、2026-10-16；180天：2026-10-06、2026-10-07、2026-10-12、2026-10-13、2026-10-16</v>
      </c>
      <c r="BM417" s="8" t="str">
        <v>2026-10：12天 × 1.2247029157699902；2026-11：30天 × 0.8332682139098497；2026-12：31天 × 0.5511018253564084；2027-01：17天 × 1.0017220238758797</v>
      </c>
      <c r="BN417" s="11" t="n">
        <v>1.2247029157699902</v>
      </c>
      <c r="BO417" s="11" t="n">
        <v>0.8332682139098497</v>
      </c>
      <c r="BP417" s="11" t="n">
        <v>0.5511018253564084</v>
      </c>
      <c r="BQ417" s="11" t="n">
        <v>1.0017220238758797</v>
      </c>
      <c r="BR417" s="8" t="n">
        <v>12</v>
      </c>
      <c r="BS417" s="8" t="n">
        <v>30</v>
      </c>
      <c r="BT417" s="8" t="n">
        <v>31</v>
      </c>
      <c r="BU417" s="8" t="n">
        <v>17</v>
      </c>
      <c r="BV417" s="11" t="n">
        <f>IF(COUNT(BC417,BF417)=2,BC417*BF417,"")</f>
        <v>0.011443437524982504</v>
      </c>
      <c r="BW417" s="11" t="n">
        <f>IF(ISNUMBER(BN417),BN417,"")</f>
        <v>1.2247029157699902</v>
      </c>
      <c r="BX417" s="14" t="n">
        <f>IF(ISNUMBER(BR417),BR417,"")</f>
        <v>12</v>
      </c>
      <c r="BY417" s="13" t="n">
        <f>IF(AND(COUNT(BV417,BW417,BX417)=3,MIN(BV417,BW417,BX417)&gt;=0),BV417*BW417*BX417,"")</f>
        <v>0.16817773563933353</v>
      </c>
      <c r="BZ417" s="11" t="n">
        <f>IF(ISNUMBER(BO417),BO417,"")</f>
        <v>0.8332682139098497</v>
      </c>
      <c r="CA417" s="14" t="n">
        <f>IF(ISNUMBER(BS417),BS417,"")</f>
        <v>30</v>
      </c>
      <c r="CB417" s="13" t="n">
        <f>IF(AND(COUNT(BV417,BZ417,CA417)=3,MIN(BV417,BZ417,CA417)&gt;=0),BV417*BZ417*CA417,"")</f>
        <v>0.28606358242293367</v>
      </c>
      <c r="CC417" s="11" t="n">
        <f>IF(ISNUMBER(BP417),BP417,"")</f>
        <v>0.5511018253564084</v>
      </c>
      <c r="CD417" s="14" t="n">
        <f>IF(ISNUMBER(BT417),BT417,"")</f>
        <v>31</v>
      </c>
      <c r="CE417" s="13" t="n">
        <f>IF(AND(COUNT(BV417,CC417,CD417)=3,MIN(BV417,CC417,CD417)&gt;=0),BV417*CC417*CD417,"")</f>
        <v>0.19550147855946623</v>
      </c>
      <c r="CF417" s="11" t="n">
        <f>IF(ISNUMBER(BQ417),BQ417,"")</f>
        <v>1.0017220238758797</v>
      </c>
      <c r="CG417" s="14" t="n">
        <f>IF(ISNUMBER(BU417),BU417,"")</f>
        <v>17</v>
      </c>
      <c r="CH417" s="13" t="n">
        <f>IF(AND(COUNT(BV417,CF417,CG417)=3,MIN(BV417,CF417,CG417)&gt;=0),BV417*CF417*CG417,"")</f>
        <v>0.19487343775958527</v>
      </c>
      <c r="CI417" s="13" t="n">
        <f>IF(COUNT(BY417,CB417,CE417,CH417)=4,SUM(BY417,CB417,CE417,CH417),"")</f>
        <v>0.8446162343813186</v>
      </c>
    </row>
    <row r="418" ht="72" customHeight="1">
      <c r="A418" s="16" t="str">
        <v>B06-PK-40-N</v>
      </c>
      <c r="B418" s="16" t="str">
        <v>1店-MUSSHOE-US</v>
      </c>
      <c r="C418" s="16" t="str">
        <v>艾年</v>
      </c>
      <c r="D418" s="26" t="n">
        <f>IF(NOT(ISNUMBER(E418)),"",IF(OR(E418&lt;=0,L418=0),0,IF(OR(NOT(ISNUMBER(F418)),F418&lt;0),"",MIN(E418,INT(F418)))))</f>
        <v>0</v>
      </c>
      <c r="E418" s="27" t="n">
        <f>IF(OR(NOT(ISNUMBER(L418)),COUNT(M418:O418)&lt;&gt;3,MIN(M418:O418)&lt;0),"",ROUNDUP(ROUND(BI418-SUM(M418:O418),10),0))</f>
        <v>1</v>
      </c>
      <c r="F418" s="28" t="n">
        <v>0</v>
      </c>
      <c r="G418" s="28" t="n">
        <f>IF(AND(ISNUMBER(D418),ISNUMBER(E418)),IF(OR(E418&lt;=0,L418=0),0,E418-D418),"")</f>
        <v>1</v>
      </c>
      <c r="H418" s="16" t="str">
        <f>IF(NOT(ISNUMBER(E418)),"销量或海外库存待补",IF(OR(E418&lt;=0,L418=0),IF(L418=0,"零日销，本批不发","本批无需补货"),IF(NOT(ISNUMBER(D418)),"国内库存待补",IF(D418=0,"国内无可用库存",IF(G418&gt;0,"先发国内现货","按建议量发货")))))</f>
        <v>国内无可用库存</v>
      </c>
      <c r="I418" s="28" t="n">
        <f>IF(AND(COUNT(Z418,AA418,AB418)=3,Z418&gt;=AA418,AA418&gt;=0,AB418=7),Z418-AA418,"")</f>
        <v>0</v>
      </c>
      <c r="J418" s="28" t="n">
        <f>IF(AND(COUNT(AF418,AG418,AH418)=3,AF418&gt;=AG418,AG418&gt;=0,AH418=14),AF418-AG418,"")</f>
        <v>0</v>
      </c>
      <c r="K418" s="28" t="n">
        <f>IF(AND(COUNT(AL418,AM418,AN418)=3,AL418&gt;=AM418,AM418&gt;=0,AN418=30),AL418-AM418,"")</f>
        <v>0</v>
      </c>
      <c r="L418" s="29" t="n">
        <f>IF(ISNUMBER(BI418),BI418/90,"")</f>
        <v>0.0024718349561863827</v>
      </c>
      <c r="M418" s="28" t="n">
        <v>0</v>
      </c>
      <c r="N418" s="28" t="n">
        <v>0</v>
      </c>
      <c r="O418" s="28" t="n">
        <v>0</v>
      </c>
      <c r="P418" s="30" t="n">
        <f>IF(AND(ISNUMBER(L418),L418&gt;0,COUNT(M418:O418)=3,MIN(M418:O418)&gt;=0),SUM(M418:O418)/L418,"")</f>
        <v>0</v>
      </c>
      <c r="Q418" s="16" t="str">
        <v>沿用原计划SKU店铺</v>
      </c>
      <c r="R418" s="16" t="str">
        <v>已匹配</v>
      </c>
      <c r="S418" s="16" t="str">
        <v>停售</v>
      </c>
      <c r="T418" s="16" t="str">
        <v>B06</v>
      </c>
      <c r="U418" s="16" t="str">
        <v>粉色羊京绒</v>
      </c>
      <c r="V418" s="16" t="n">
        <v>9</v>
      </c>
      <c r="W418" s="8" t="str">
        <v>2026-10-08 至 2026-10-17</v>
      </c>
      <c r="X418" s="8" t="str">
        <v>2026-10-08、2026-10-09、2026-10-10、2026-10-11、2026-10-14、2026-10-15、2026-10-17</v>
      </c>
      <c r="Y418" s="8" t="str">
        <v>2026-10-12 有记录的停售日；2026-10-13 有记录的停售日；2026-10-16 有记录的停售日</v>
      </c>
      <c r="Z418" s="8" t="n">
        <v>0</v>
      </c>
      <c r="AA418" s="8" t="n">
        <v>0</v>
      </c>
      <c r="AB418" s="8" t="n">
        <v>7</v>
      </c>
      <c r="AC418" s="8" t="str">
        <v>2026-09-29 至 2026-10-17</v>
      </c>
      <c r="AD418" s="8" t="str">
        <v>2026-09-29、2026-09-30、2026-10-01、2026-10-02、2026-10-03、2026-10-04、2026-10-05、2026-10-08、2026-10-09、2026-10-10、2026-10-11、2026-10-14、2026-10-15、2026-10-17</v>
      </c>
      <c r="AE418" s="8" t="str">
        <v>2026-10-06 大促；2026-10-07 大促；2026-10-12 有记录的停售日；2026-10-13 有记录的停售日；2026-10-16 有记录的停售日</v>
      </c>
      <c r="AF418" s="8" t="n">
        <v>0</v>
      </c>
      <c r="AG418" s="8" t="n">
        <v>0</v>
      </c>
      <c r="AH418" s="8" t="n">
        <v>14</v>
      </c>
      <c r="AI418" s="8" t="str">
        <v>2026-09-13 至 2026-10-17</v>
      </c>
      <c r="AJ4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8" s="8" t="str">
        <v>2026-10-06 大促；2026-10-07 大促；2026-10-12 有记录的停售日；2026-10-13 有记录的停售日；2026-10-16 有记录的停售日</v>
      </c>
      <c r="AL418" s="8" t="n">
        <v>0</v>
      </c>
      <c r="AM418" s="8" t="n">
        <v>0</v>
      </c>
      <c r="AN418" s="8" t="n">
        <v>30</v>
      </c>
      <c r="AO418" s="8" t="str">
        <v>B06 / 粉色羊京绒 / 13120</v>
      </c>
      <c r="AP418" s="11" t="n">
        <v>1.2247029157699902</v>
      </c>
      <c r="AQ418" s="11" t="n">
        <v>1.1929861014741694</v>
      </c>
      <c r="AR418" s="11" t="n">
        <v>1.0914922957275428</v>
      </c>
      <c r="AS418" s="11" t="n">
        <f>IF(AND(COUNT(I418:K418,AP418:AR418)=6,MIN(AP418:AR418)&gt;0),I418/7/AP418*0.5+J418/14/AQ418*0.3+K418/30/AR418*0.2,"")</f>
        <v>0</v>
      </c>
      <c r="AT418" s="8" t="n">
        <v>0</v>
      </c>
      <c r="AU418" s="8" t="n">
        <v>0</v>
      </c>
      <c r="AV418" s="8" t="n">
        <v>85</v>
      </c>
      <c r="AW418" s="11" t="n">
        <f>IF(AND(COUNT(AT418:AV418)=3,AT418&gt;=AU418,AU418&gt;=0,AV418&gt;0),(AT418-AU418)/AV418,"")</f>
        <v>0</v>
      </c>
      <c r="AX418" s="8" t="n">
        <v>4</v>
      </c>
      <c r="AY418" s="8" t="n">
        <v>0</v>
      </c>
      <c r="AZ418" s="8" t="n">
        <v>175</v>
      </c>
      <c r="BA418" s="11" t="n">
        <f>IF(AND(COUNT(AX418:AZ418)=3,AX418&gt;=AY418,AY418&gt;=0,AZ418&gt;0),(AX418-AY418)/AZ418,"")</f>
        <v>0.022857142857142857</v>
      </c>
      <c r="BB418" s="8" t="n">
        <f>IF(COUNT(AS418,AW418,BA418)=3,1,0)</f>
        <v>1</v>
      </c>
      <c r="BC418" s="11" t="n">
        <f>IF(SUMIF($AO$11:$AO$1309,AO418,$BB$11:$BB$1309)=COUNTIF($AO$11:$AO$1309,AO418),SUMIF($AO$11:$AO$1309,AO418,$AS$11:$AS$1309),"")</f>
        <v>0.14161497208377494</v>
      </c>
      <c r="BD418" s="11" t="n">
        <f>IF(SUMIF($AO$11:$AO$1309,AO418,$BB$11:$BB$1309)=COUNTIF($AO$11:$AO$1309,AO418),SUMIF($AO$11:$AO$1309,AO418,$AW$11:$AW$1309),"")</f>
        <v>0.27671030794763046</v>
      </c>
      <c r="BE418" s="11" t="n">
        <f>IF(SUMIF($AO$11:$AO$1309,AO418,$BB$11:$BB$1309)=COUNTIF($AO$11:$AO$1309,AO418),SUMIF($AO$11:$AO$1309,AO418,$BA$11:$BA$1309),"")</f>
        <v>0.32217609344251885</v>
      </c>
      <c r="BF418" s="12" t="n">
        <f>IF(COUNT(BD418:BE418)&lt;&gt;2,"",IF(AND(BD418&gt;0,BE418&gt;0),0.7*AW418/BD418+0.3*BA418/BE418,IF(BD418&gt;0,AW418/BD418,IF(BE418&gt;0,BA418/BE418,IF(AND(ISNUMBER(BH418),BH418=0),0,"")))))</f>
        <v>0.021283835134608697</v>
      </c>
      <c r="BG418" s="11" t="n">
        <f>IF(AND(COUNT(BN418:BU418)=8,MIN(BN418:BU418)&gt;=0),SUMPRODUCT(BN418:BQ418,BR418:BU418),"")</f>
        <v>73.80791239847399</v>
      </c>
      <c r="BH418" s="11" t="n">
        <f>IF(COUNT(BC418,BG418)=2,BC418*BG418,"")</f>
        <v>10.4523054538716</v>
      </c>
      <c r="BI418" s="11" t="n">
        <f>IF(ISNUMBER(CI418),CI418,"")</f>
        <v>0.22246514605677445</v>
      </c>
      <c r="BJ418" s="8" t="str">
        <v>近180天本色销量61双（＜90），无有效新采购，请运营判断</v>
      </c>
      <c r="BK418" s="8" t="str">
        <v>90天：2026-07-20 至 2026-10-17；180天：2026-04-21 至 2026-10-17</v>
      </c>
      <c r="BL418" s="8" t="str">
        <v>90天：2026-10-06、2026-10-07、2026-10-12、2026-10-13、2026-10-16；180天：2026-10-06、2026-10-07、2026-10-12、2026-10-13、2026-10-16</v>
      </c>
      <c r="BM418" s="8" t="str">
        <v>2026-10：12天 × 1.2247029157699902；2026-11：30天 × 0.8332682139098497；2026-12：31天 × 0.5511018253564084；2027-01：17天 × 1.0017220238758797</v>
      </c>
      <c r="BN418" s="11" t="n">
        <v>1.2247029157699902</v>
      </c>
      <c r="BO418" s="11" t="n">
        <v>0.8332682139098497</v>
      </c>
      <c r="BP418" s="11" t="n">
        <v>0.5511018253564084</v>
      </c>
      <c r="BQ418" s="11" t="n">
        <v>1.0017220238758797</v>
      </c>
      <c r="BR418" s="8" t="n">
        <v>12</v>
      </c>
      <c r="BS418" s="8" t="n">
        <v>30</v>
      </c>
      <c r="BT418" s="8" t="n">
        <v>31</v>
      </c>
      <c r="BU418" s="8" t="n">
        <v>17</v>
      </c>
      <c r="BV418" s="11" t="n">
        <f>IF(COUNT(BC418,BF418)=2,BC418*BF418,"")</f>
        <v>0.003014109718423279</v>
      </c>
      <c r="BW418" s="11" t="n">
        <f>IF(ISNUMBER(BN418),BN418,"")</f>
        <v>1.2247029157699902</v>
      </c>
      <c r="BX418" s="14" t="n">
        <f>IF(ISNUMBER(BR418),BR418,"")</f>
        <v>12</v>
      </c>
      <c r="BY418" s="13" t="n">
        <f>IF(AND(COUNT(BV418,BW418,BX418)=3,MIN(BV418,BW418,BX418)&gt;=0),BV418*BW418*BX418,"")</f>
        <v>0.044296667527243844</v>
      </c>
      <c r="BZ418" s="11" t="n">
        <f>IF(ISNUMBER(BO418),BO418,"")</f>
        <v>0.8332682139098497</v>
      </c>
      <c r="CA418" s="14" t="n">
        <f>IF(ISNUMBER(BS418),BS418,"")</f>
        <v>30</v>
      </c>
      <c r="CB418" s="13" t="n">
        <f>IF(AND(COUNT(BV418,BZ418,CA418)=3,MIN(BV418,BZ418,CA418)&gt;=0),BV418*BZ418*CA418,"")</f>
        <v>0.07534685464796656</v>
      </c>
      <c r="CC418" s="11" t="n">
        <f>IF(ISNUMBER(BP418),BP418,"")</f>
        <v>0.5511018253564084</v>
      </c>
      <c r="CD418" s="14" t="n">
        <f>IF(ISNUMBER(BT418),BT418,"")</f>
        <v>31</v>
      </c>
      <c r="CE418" s="13" t="n">
        <f>IF(AND(COUNT(BV418,CC418,CD418)=3,MIN(BV418,CC418,CD418)&gt;=0),BV418*CC418*CD418,"")</f>
        <v>0.05149352239707433</v>
      </c>
      <c r="CF418" s="11" t="n">
        <f>IF(ISNUMBER(BQ418),BQ418,"")</f>
        <v>1.0017220238758797</v>
      </c>
      <c r="CG418" s="14" t="n">
        <f>IF(ISNUMBER(BU418),BU418,"")</f>
        <v>17</v>
      </c>
      <c r="CH418" s="13" t="n">
        <f>IF(AND(COUNT(BV418,CF418,CG418)=3,MIN(BV418,CF418,CG418)&gt;=0),BV418*CF418*CG418,"")</f>
        <v>0.05132810148448972</v>
      </c>
      <c r="CI418" s="13" t="n">
        <f>IF(COUNT(BY418,CB418,CE418,CH418)=4,SUM(BY418,CB418,CE418,CH418),"")</f>
        <v>0.22246514605677445</v>
      </c>
    </row>
    <row r="419" ht="72" customHeight="1">
      <c r="A419" s="16" t="str">
        <v>B06-RG-37</v>
      </c>
      <c r="B419" s="16" t="str">
        <v>1店-MUSSHOE-US</v>
      </c>
      <c r="C419" s="16" t="str">
        <v>艾年</v>
      </c>
      <c r="D419" s="26" t="n">
        <f>IF(NOT(ISNUMBER(E419)),"",IF(OR(E419&lt;=0,L419=0),0,IF(OR(NOT(ISNUMBER(F419)),F419&lt;0),"",MIN(E419,INT(F419)))))</f>
        <v>0</v>
      </c>
      <c r="E419" s="27" t="n">
        <f>IF(OR(NOT(ISNUMBER(L419)),COUNT(M419:O419)&lt;&gt;3,MIN(M419:O419)&lt;0),"",ROUNDUP(ROUND(BI419-SUM(M419:O419),10),0))</f>
        <v>1</v>
      </c>
      <c r="F419" s="28" t="n">
        <v>0</v>
      </c>
      <c r="G419" s="28" t="n">
        <f>IF(AND(ISNUMBER(D419),ISNUMBER(E419)),IF(OR(E419&lt;=0,L419=0),0,E419-D419),"")</f>
        <v>1</v>
      </c>
      <c r="H419" s="16" t="str">
        <f>IF(NOT(ISNUMBER(E419)),"销量或海外库存待补",IF(OR(E419&lt;=0,L419=0),IF(L419=0,"零日销，本批不发","本批无需补货"),IF(NOT(ISNUMBER(D419)),"国内库存待补",IF(D419=0,"国内无可用库存",IF(G419&gt;0,"先发国内现货","按建议量发货")))))</f>
        <v>国内无可用库存</v>
      </c>
      <c r="I419" s="28" t="n">
        <f>IF(AND(COUNT(Z419,AA419,AB419)=3,Z419&gt;=AA419,AA419&gt;=0,AB419=7),Z419-AA419,"")</f>
        <v>0</v>
      </c>
      <c r="J419" s="28" t="n">
        <f>IF(AND(COUNT(AF419,AG419,AH419)=3,AF419&gt;=AG419,AG419&gt;=0,AH419=14),AF419-AG419,"")</f>
        <v>0</v>
      </c>
      <c r="K419" s="28" t="n">
        <f>IF(AND(COUNT(AL419,AM419,AN419)=3,AL419&gt;=AM419,AM419&gt;=0,AN419=30),AL419-AM419,"")</f>
        <v>0</v>
      </c>
      <c r="L419" s="29" t="n">
        <f>IF(ISNUMBER(BI419),BI419/90,"")</f>
        <v>0.003941057112816229</v>
      </c>
      <c r="M419" s="28" t="n">
        <v>0</v>
      </c>
      <c r="N419" s="28" t="n">
        <v>0</v>
      </c>
      <c r="O419" s="28" t="n">
        <v>0</v>
      </c>
      <c r="P419" s="30" t="n">
        <f>IF(AND(ISNUMBER(L419),L419&gt;0,COUNT(M419:O419)=3,MIN(M419:O419)&gt;=0),SUM(M419:O419)/L419,"")</f>
        <v>0</v>
      </c>
      <c r="Q419" s="16" t="str">
        <v>沿用原计划SKU店铺</v>
      </c>
      <c r="R419" s="16" t="str">
        <v>已匹配</v>
      </c>
      <c r="S419" s="16" t="str">
        <v>停售</v>
      </c>
      <c r="T419" s="16" t="str">
        <v>B06</v>
      </c>
      <c r="U419" s="16" t="str">
        <v>玫瑰金PU</v>
      </c>
      <c r="V419" s="16" t="n">
        <v>6</v>
      </c>
      <c r="W419" s="8" t="str">
        <v>2026-10-08 至 2026-10-17</v>
      </c>
      <c r="X419" s="8" t="str">
        <v>2026-10-08、2026-10-09、2026-10-10、2026-10-11、2026-10-14、2026-10-15、2026-10-17</v>
      </c>
      <c r="Y419" s="8" t="str">
        <v>2026-10-12 有记录的停售日；2026-10-13 有记录的停售日；2026-10-16 有记录的停售日</v>
      </c>
      <c r="Z419" s="8" t="n">
        <v>0</v>
      </c>
      <c r="AA419" s="8" t="n">
        <v>0</v>
      </c>
      <c r="AB419" s="8" t="n">
        <v>7</v>
      </c>
      <c r="AC419" s="8" t="str">
        <v>2026-09-29 至 2026-10-17</v>
      </c>
      <c r="AD419" s="8" t="str">
        <v>2026-09-29、2026-09-30、2026-10-01、2026-10-02、2026-10-03、2026-10-04、2026-10-05、2026-10-08、2026-10-09、2026-10-10、2026-10-11、2026-10-14、2026-10-15、2026-10-17</v>
      </c>
      <c r="AE419" s="8" t="str">
        <v>2026-10-06 大促；2026-10-07 大促；2026-10-12 有记录的停售日；2026-10-13 有记录的停售日；2026-10-16 有记录的停售日</v>
      </c>
      <c r="AF419" s="8" t="n">
        <v>0</v>
      </c>
      <c r="AG419" s="8" t="n">
        <v>0</v>
      </c>
      <c r="AH419" s="8" t="n">
        <v>14</v>
      </c>
      <c r="AI419" s="8" t="str">
        <v>2026-09-13 至 2026-10-17</v>
      </c>
      <c r="AJ41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19" s="8" t="str">
        <v>2026-10-06 大促；2026-10-07 大促；2026-10-12 有记录的停售日；2026-10-13 有记录的停售日；2026-10-16 有记录的停售日</v>
      </c>
      <c r="AL419" s="8" t="n">
        <v>0</v>
      </c>
      <c r="AM419" s="8" t="n">
        <v>0</v>
      </c>
      <c r="AN419" s="8" t="n">
        <v>30</v>
      </c>
      <c r="AO419" s="8" t="str">
        <v>B06 / 玫瑰金PU / 13120</v>
      </c>
      <c r="AP419" s="11" t="n">
        <v>1.2247029157699902</v>
      </c>
      <c r="AQ419" s="11" t="n">
        <v>1.1929861014741694</v>
      </c>
      <c r="AR419" s="11" t="n">
        <v>1.0914922957275428</v>
      </c>
      <c r="AS419" s="11" t="n">
        <f>IF(AND(COUNT(I419:K419,AP419:AR419)=6,MIN(AP419:AR419)&gt;0),I419/7/AP419*0.5+J419/14/AQ419*0.3+K419/30/AR419*0.2,"")</f>
        <v>0</v>
      </c>
      <c r="AT419" s="8" t="n">
        <v>0</v>
      </c>
      <c r="AU419" s="8" t="n">
        <v>0</v>
      </c>
      <c r="AV419" s="8" t="n">
        <v>85</v>
      </c>
      <c r="AW419" s="11" t="n">
        <f>IF(AND(COUNT(AT419:AV419)=3,AT419&gt;=AU419,AU419&gt;=0,AV419&gt;0),(AT419-AU419)/AV419,"")</f>
        <v>0</v>
      </c>
      <c r="AX419" s="8" t="n">
        <v>5</v>
      </c>
      <c r="AY419" s="8" t="n">
        <v>0</v>
      </c>
      <c r="AZ419" s="8" t="n">
        <v>175</v>
      </c>
      <c r="BA419" s="11" t="n">
        <f>IF(AND(COUNT(AX419:AZ419)=3,AX419&gt;=AY419,AY419&gt;=0,AZ419&gt;0),(AX419-AY419)/AZ419,"")</f>
        <v>0.02857142857142857</v>
      </c>
      <c r="BB419" s="8" t="n">
        <f>IF(COUNT(AS419,AW419,BA419)=3,1,0)</f>
        <v>1</v>
      </c>
      <c r="BC419" s="11" t="n">
        <f>IF(SUMIF($AO$11:$AO$1309,AO419,$BB$11:$BB$1309)=COUNTIF($AO$11:$AO$1309,AO419),SUMIF($AO$11:$AO$1309,AO419,$AS$11:$AS$1309),"")</f>
        <v>0.17138358849157517</v>
      </c>
      <c r="BD419" s="11" t="n">
        <f>IF(SUMIF($AO$11:$AO$1309,AO419,$BB$11:$BB$1309)=COUNTIF($AO$11:$AO$1309,AO419),SUMIF($AO$11:$AO$1309,AO419,$AW$11:$AW$1309),"")</f>
        <v>0.24064171122994651</v>
      </c>
      <c r="BE419" s="11" t="n">
        <f>IF(SUMIF($AO$11:$AO$1309,AO419,$BB$11:$BB$1309)=COUNTIF($AO$11:$AO$1309,AO419),SUMIF($AO$11:$AO$1309,AO419,$BA$11:$BA$1309),"")</f>
        <v>0.30568218298555383</v>
      </c>
      <c r="BF419" s="12" t="n">
        <f>IF(COUNT(BD419:BE419)&lt;&gt;2,"",IF(AND(BD419&gt;0,BE419&gt;0),0.7*AW419/BD419+0.3*BA419/BE419,IF(BD419&gt;0,AW419/BD419,IF(BE419&gt;0,BA419/BE419,IF(AND(ISNUMBER(BH419),BH419=0),0,"")))))</f>
        <v>0.02804032766225582</v>
      </c>
      <c r="BG419" s="11" t="n">
        <f>IF(AND(COUNT(BN419:BU419)=8,MIN(BN419:BU419)&gt;=0),SUMPRODUCT(BN419:BQ419,BR419:BU419),"")</f>
        <v>73.80791239847399</v>
      </c>
      <c r="BH419" s="11" t="n">
        <f>IF(COUNT(BC419,BG419)=2,BC419*BG419,"")</f>
        <v>12.649464885922296</v>
      </c>
      <c r="BI419" s="11" t="n">
        <f>IF(ISNUMBER(CI419),CI419,"")</f>
        <v>0.3546951401534606</v>
      </c>
      <c r="BJ419" s="8" t="str">
        <v>低销提醒依据不完整</v>
      </c>
      <c r="BK419" s="8" t="str">
        <v>90天：2026-07-20 至 2026-10-17；180天：2026-04-21 至 2026-10-17</v>
      </c>
      <c r="BL419" s="8" t="str">
        <v>90天：2026-10-06、2026-10-07、2026-10-12、2026-10-13、2026-10-16；180天：2026-10-06、2026-10-07、2026-10-12、2026-10-13、2026-10-16</v>
      </c>
      <c r="BM419" s="8" t="str">
        <v>2026-10：12天 × 1.2247029157699902；2026-11：30天 × 0.8332682139098497；2026-12：31天 × 0.5511018253564084；2027-01：17天 × 1.0017220238758797</v>
      </c>
      <c r="BN419" s="11" t="n">
        <v>1.2247029157699902</v>
      </c>
      <c r="BO419" s="11" t="n">
        <v>0.8332682139098497</v>
      </c>
      <c r="BP419" s="11" t="n">
        <v>0.5511018253564084</v>
      </c>
      <c r="BQ419" s="11" t="n">
        <v>1.0017220238758797</v>
      </c>
      <c r="BR419" s="8" t="n">
        <v>12</v>
      </c>
      <c r="BS419" s="8" t="n">
        <v>30</v>
      </c>
      <c r="BT419" s="8" t="n">
        <v>31</v>
      </c>
      <c r="BU419" s="8" t="n">
        <v>17</v>
      </c>
      <c r="BV419" s="11" t="n">
        <f>IF(COUNT(BC419,BF419)=2,BC419*BF419,"")</f>
        <v>0.004805651977236983</v>
      </c>
      <c r="BW419" s="11" t="n">
        <f>IF(ISNUMBER(BN419),BN419,"")</f>
        <v>1.2247029157699902</v>
      </c>
      <c r="BX419" s="14" t="n">
        <f>IF(ISNUMBER(BR419),BR419,"")</f>
        <v>12</v>
      </c>
      <c r="BY419" s="13" t="n">
        <f>IF(AND(COUNT(BV419,BW419,BX419)=3,MIN(BV419,BW419,BX419)&gt;=0),BV419*BW419*BX419,"")</f>
        <v>0.07062595186437542</v>
      </c>
      <c r="BZ419" s="11" t="n">
        <f>IF(ISNUMBER(BO419),BO419,"")</f>
        <v>0.8332682139098497</v>
      </c>
      <c r="CA419" s="14" t="n">
        <f>IF(ISNUMBER(BS419),BS419,"")</f>
        <v>30</v>
      </c>
      <c r="CB419" s="13" t="n">
        <f>IF(AND(COUNT(BV419,BZ419,CA419)=3,MIN(BV419,BZ419,CA419)&gt;=0),BV419*BZ419*CA419,"")</f>
        <v>0.12013191119233797</v>
      </c>
      <c r="CC419" s="11" t="n">
        <f>IF(ISNUMBER(BP419),BP419,"")</f>
        <v>0.5511018253564084</v>
      </c>
      <c r="CD419" s="14" t="n">
        <f>IF(ISNUMBER(BT419),BT419,"")</f>
        <v>31</v>
      </c>
      <c r="CE419" s="13" t="n">
        <f>IF(AND(COUNT(BV419,CC419,CD419)=3,MIN(BV419,CC419,CD419)&gt;=0),BV419*CC419*CD419,"")</f>
        <v>0.08210051087717098</v>
      </c>
      <c r="CF419" s="11" t="n">
        <f>IF(ISNUMBER(BQ419),BQ419,"")</f>
        <v>1.0017220238758797</v>
      </c>
      <c r="CG419" s="14" t="n">
        <f>IF(ISNUMBER(BU419),BU419,"")</f>
        <v>17</v>
      </c>
      <c r="CH419" s="13" t="n">
        <f>IF(AND(COUNT(BV419,CF419,CG419)=3,MIN(BV419,CF419,CG419)&gt;=0),BV419*CF419*CG419,"")</f>
        <v>0.08183676621957622</v>
      </c>
      <c r="CI419" s="13" t="n">
        <f>IF(COUNT(BY419,CB419,CE419,CH419)=4,SUM(BY419,CB419,CE419,CH419),"")</f>
        <v>0.3546951401534606</v>
      </c>
    </row>
    <row r="420" ht="72" customHeight="1">
      <c r="A420" s="16" t="str">
        <v>B06-TN-39.5</v>
      </c>
      <c r="B420" s="16" t="str">
        <v>1店-MUSSHOE-US</v>
      </c>
      <c r="C420" s="16" t="str">
        <v>艾年</v>
      </c>
      <c r="D420" s="26" t="n">
        <f>IF(NOT(ISNUMBER(E420)),"",IF(OR(E420&lt;=0,L420=0),0,IF(OR(NOT(ISNUMBER(F420)),F420&lt;0),"",MIN(E420,INT(F420)))))</f>
        <v>0</v>
      </c>
      <c r="E420" s="27" t="n">
        <f>IF(OR(NOT(ISNUMBER(L420)),COUNT(M420:O420)&lt;&gt;3,MIN(M420:O420)&lt;0),"",ROUNDUP(ROUND(BI420-SUM(M420:O420),10),0))</f>
        <v>1</v>
      </c>
      <c r="F420" s="28" t="n">
        <v>0</v>
      </c>
      <c r="G420" s="28" t="n">
        <f>IF(AND(ISNUMBER(D420),ISNUMBER(E420)),IF(OR(E420&lt;=0,L420=0),0,E420-D420),"")</f>
        <v>1</v>
      </c>
      <c r="H420" s="16" t="str">
        <f>IF(NOT(ISNUMBER(E420)),"销量或海外库存待补",IF(OR(E420&lt;=0,L420=0),IF(L420=0,"零日销，本批不发","本批无需补货"),IF(NOT(ISNUMBER(D420)),"国内库存待补",IF(D420=0,"国内无可用库存",IF(G420&gt;0,"先发国内现货","按建议量发货")))))</f>
        <v>国内无可用库存</v>
      </c>
      <c r="I420" s="28" t="n">
        <f>IF(AND(COUNT(Z420,AA420,AB420)=3,Z420&gt;=AA420,AA420&gt;=0,AB420=7),Z420-AA420,"")</f>
        <v>0</v>
      </c>
      <c r="J420" s="28" t="n">
        <f>IF(AND(COUNT(AF420,AG420,AH420)=3,AF420&gt;=AG420,AG420&gt;=0,AH420=14),AF420-AG420,"")</f>
        <v>0</v>
      </c>
      <c r="K420" s="28" t="n">
        <f>IF(AND(COUNT(AL420,AM420,AN420)=3,AL420&gt;=AM420,AM420&gt;=0,AN420=30),AL420-AM420,"")</f>
        <v>2</v>
      </c>
      <c r="L420" s="29" t="n">
        <f>IF(ISNUMBER(BI420),BI420/90,"")</f>
        <v>0.12484911136380451</v>
      </c>
      <c r="M420" s="28" t="n">
        <v>11</v>
      </c>
      <c r="N420" s="28" t="n">
        <v>0</v>
      </c>
      <c r="O420" s="28" t="n">
        <v>0</v>
      </c>
      <c r="P420" s="30" t="n">
        <f>IF(AND(ISNUMBER(L420),L420&gt;0,COUNT(M420:O420)=3,MIN(M420:O420)&gt;=0),SUM(M420:O420)/L420,"")</f>
        <v>88.10635398073849</v>
      </c>
      <c r="Q420" s="16" t="str">
        <v>沿用原计划SKU店铺</v>
      </c>
      <c r="R420" s="16" t="str">
        <v>已匹配</v>
      </c>
      <c r="S420" s="16" t="str">
        <v>在售</v>
      </c>
      <c r="T420" s="16" t="str">
        <v>B06</v>
      </c>
      <c r="U420" s="16" t="str">
        <v>驼色羊京绒</v>
      </c>
      <c r="V420" s="16" t="n">
        <v>8.5</v>
      </c>
      <c r="W420" s="8" t="str">
        <v>2026-10-11 至 2026-10-17</v>
      </c>
      <c r="X420" s="8" t="str">
        <v>2026-10-11、2026-10-12、2026-10-13、2026-10-14、2026-10-15、2026-10-16、2026-10-17</v>
      </c>
      <c r="Y420" s="8" t="str">
        <v>无</v>
      </c>
      <c r="Z420" s="8" t="n">
        <v>0</v>
      </c>
      <c r="AA420" s="8" t="n">
        <v>0</v>
      </c>
      <c r="AB420" s="8" t="n">
        <v>7</v>
      </c>
      <c r="AC420" s="8" t="str">
        <v>2026-10-02 至 2026-10-17</v>
      </c>
      <c r="AD420" s="8" t="str">
        <v>2026-10-02、2026-10-03、2026-10-04、2026-10-05、2026-10-08、2026-10-09、2026-10-10、2026-10-11、2026-10-12、2026-10-13、2026-10-14、2026-10-15、2026-10-16、2026-10-17</v>
      </c>
      <c r="AE420" s="8" t="str">
        <v>2026-10-06 大促；2026-10-07 大促</v>
      </c>
      <c r="AF420" s="8" t="n">
        <v>0</v>
      </c>
      <c r="AG420" s="8" t="n">
        <v>0</v>
      </c>
      <c r="AH420" s="8" t="n">
        <v>14</v>
      </c>
      <c r="AI420" s="8" t="str">
        <v>2026-09-16 至 2026-10-17</v>
      </c>
      <c r="AJ4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20" s="8" t="str">
        <v>2026-10-06 大促；2026-10-07 大促</v>
      </c>
      <c r="AL420" s="8" t="n">
        <v>2</v>
      </c>
      <c r="AM420" s="8" t="n">
        <v>0</v>
      </c>
      <c r="AN420" s="8" t="n">
        <v>30</v>
      </c>
      <c r="AO420" s="8" t="str">
        <v>B06 / 驼色羊京绒 / 13120</v>
      </c>
      <c r="AP420" s="11" t="n">
        <v>1.2247029157699902</v>
      </c>
      <c r="AQ420" s="11" t="n">
        <v>1.2247029157699902</v>
      </c>
      <c r="AR420" s="11" t="n">
        <v>1.1136940657346173</v>
      </c>
      <c r="AS420" s="11" t="n">
        <f>IF(AND(COUNT(I420:K420,AP420:AR420)=6,MIN(AP420:AR420)&gt;0),I420/7/AP420*0.5+J420/14/AQ420*0.3+K420/30/AR420*0.2,"")</f>
        <v>0.011972168788147733</v>
      </c>
      <c r="AT420" s="8" t="n">
        <v>13</v>
      </c>
      <c r="AU420" s="8" t="n">
        <v>0</v>
      </c>
      <c r="AV420" s="8" t="n">
        <v>88</v>
      </c>
      <c r="AW420" s="11" t="n">
        <f>IF(AND(COUNT(AT420:AV420)=3,AT420&gt;=AU420,AU420&gt;=0,AV420&gt;0),(AT420-AU420)/AV420,"")</f>
        <v>0.14772727272727273</v>
      </c>
      <c r="AX420" s="8" t="n">
        <v>18</v>
      </c>
      <c r="AY420" s="8" t="n">
        <v>0</v>
      </c>
      <c r="AZ420" s="8" t="n">
        <v>178</v>
      </c>
      <c r="BA420" s="11" t="n">
        <f>IF(AND(COUNT(AX420:AZ420)=3,AX420&gt;=AY420,AY420&gt;=0,AZ420&gt;0),(AX420-AY420)/AZ420,"")</f>
        <v>0.10112359550561797</v>
      </c>
      <c r="BB420" s="8" t="n">
        <f>IF(COUNT(AS420,AW420,BA420)=3,1,0)</f>
        <v>1</v>
      </c>
      <c r="BC420" s="11" t="n">
        <f>IF(SUMIF($AO$11:$AO$1309,AO420,$BB$11:$BB$1309)=COUNTIF($AO$11:$AO$1309,AO420),SUMIF($AO$11:$AO$1309,AO420,$AS$11:$AS$1309),"")</f>
        <v>1.8230945493885915</v>
      </c>
      <c r="BD420" s="11" t="n">
        <f>IF(SUMIF($AO$11:$AO$1309,AO420,$BB$11:$BB$1309)=COUNTIF($AO$11:$AO$1309,AO420),SUMIF($AO$11:$AO$1309,AO420,$AW$11:$AW$1309),"")</f>
        <v>1.6395348837209305</v>
      </c>
      <c r="BE420" s="11" t="n">
        <f>IF(SUMIF($AO$11:$AO$1309,AO420,$BB$11:$BB$1309)=COUNTIF($AO$11:$AO$1309,AO420),SUMIF($AO$11:$AO$1309,AO420,$BA$11:$BA$1309),"")</f>
        <v>1.4846782431052095</v>
      </c>
      <c r="BF420" s="12" t="n">
        <f>IF(COUNT(BD420:BE420)&lt;&gt;2,"",IF(AND(BD420&gt;0,BE420&gt;0),0.7*AW420/BD420+0.3*BA420/BE420,IF(BD420&gt;0,AW420/BD420,IF(BE420&gt;0,BA420/BE420,IF(AND(ISNUMBER(BH420),BH420=0),0,"")))))</f>
        <v>0.08350564800897452</v>
      </c>
      <c r="BG420" s="11" t="n">
        <f>IF(AND(COUNT(BN420:BU420)=8,MIN(BN420:BU420)&gt;=0),SUMPRODUCT(BN420:BQ420,BR420:BU420),"")</f>
        <v>73.80791239847399</v>
      </c>
      <c r="BH420" s="11" t="n">
        <f>IF(COUNT(BC420,BG420)=2,BC420*BG420,"")</f>
        <v>134.55880279540858</v>
      </c>
      <c r="BI420" s="11" t="n">
        <f>IF(ISNUMBER(CI420),CI420,"")</f>
        <v>11.236420022742406</v>
      </c>
      <c r="BJ420" s="8" t="str">
        <v>低销提醒依据不完整</v>
      </c>
      <c r="BK420" s="8" t="str">
        <v>90天：2026-07-20 至 2026-10-17；180天：2026-04-21 至 2026-10-17</v>
      </c>
      <c r="BL420" s="8" t="str">
        <v>90天：2026-10-06、2026-10-07；180天：2026-10-06、2026-10-07</v>
      </c>
      <c r="BM420" s="8" t="str">
        <v>2026-10：12天 × 1.2247029157699902；2026-11：30天 × 0.8332682139098497；2026-12：31天 × 0.5511018253564084；2027-01：17天 × 1.0017220238758797</v>
      </c>
      <c r="BN420" s="11" t="n">
        <v>1.2247029157699902</v>
      </c>
      <c r="BO420" s="11" t="n">
        <v>0.8332682139098497</v>
      </c>
      <c r="BP420" s="11" t="n">
        <v>0.5511018253564084</v>
      </c>
      <c r="BQ420" s="11" t="n">
        <v>1.0017220238758797</v>
      </c>
      <c r="BR420" s="8" t="n">
        <v>12</v>
      </c>
      <c r="BS420" s="8" t="n">
        <v>30</v>
      </c>
      <c r="BT420" s="8" t="n">
        <v>31</v>
      </c>
      <c r="BU420" s="8" t="n">
        <v>17</v>
      </c>
      <c r="BV420" s="11" t="n">
        <f>IF(COUNT(BC420,BF420)=2,BC420*BF420,"")</f>
        <v>0.15223869172832374</v>
      </c>
      <c r="BW420" s="11" t="n">
        <f>IF(ISNUMBER(BN420),BN420,"")</f>
        <v>1.2247029157699902</v>
      </c>
      <c r="BX420" s="14" t="n">
        <f>IF(ISNUMBER(BR420),BR420,"")</f>
        <v>12</v>
      </c>
      <c r="BY420" s="13" t="n">
        <f>IF(AND(COUNT(BV420,BW420,BX420)=3,MIN(BV420,BW420,BX420)&gt;=0),BV420*BW420*BX420,"")</f>
        <v>2.2373660358322414</v>
      </c>
      <c r="BZ420" s="11" t="n">
        <f>IF(ISNUMBER(BO420),BO420,"")</f>
        <v>0.8332682139098497</v>
      </c>
      <c r="CA420" s="14" t="n">
        <f>IF(ISNUMBER(BS420),BS420,"")</f>
        <v>30</v>
      </c>
      <c r="CB420" s="13" t="n">
        <f>IF(AND(COUNT(BV420,BZ420,CA420)=3,MIN(BV420,BZ420,CA420)&gt;=0),BV420*BZ420*CA420,"")</f>
        <v>3.8056698823329764</v>
      </c>
      <c r="CC420" s="11" t="n">
        <f>IF(ISNUMBER(BP420),BP420,"")</f>
        <v>0.5511018253564084</v>
      </c>
      <c r="CD420" s="14" t="n">
        <f>IF(ISNUMBER(BT420),BT420,"")</f>
        <v>31</v>
      </c>
      <c r="CE420" s="13" t="n">
        <f>IF(AND(COUNT(BV420,CC420,CD420)=3,MIN(BV420,CC420,CD420)&gt;=0),BV420*CC420*CD420,"")</f>
        <v>2.600869647941874</v>
      </c>
      <c r="CF420" s="11" t="n">
        <f>IF(ISNUMBER(BQ420),BQ420,"")</f>
        <v>1.0017220238758797</v>
      </c>
      <c r="CG420" s="14" t="n">
        <f>IF(ISNUMBER(BU420),BU420,"")</f>
        <v>17</v>
      </c>
      <c r="CH420" s="13" t="n">
        <f>IF(AND(COUNT(BV420,CF420,CG420)=3,MIN(BV420,CF420,CG420)&gt;=0),BV420*CF420*CG420,"")</f>
        <v>2.5925144566353144</v>
      </c>
      <c r="CI420" s="13" t="n">
        <f>IF(COUNT(BY420,CB420,CE420,CH420)=4,SUM(BY420,CB420,CE420,CH420),"")</f>
        <v>11.236420022742406</v>
      </c>
    </row>
    <row r="421" ht="72" customHeight="1">
      <c r="A421" s="16" t="str">
        <v>B06-WT-41.5</v>
      </c>
      <c r="B421" s="16" t="str">
        <v>1店-MUSSHOE-US</v>
      </c>
      <c r="C421" s="16" t="str">
        <v>艾年</v>
      </c>
      <c r="D421" s="26" t="n">
        <f>IF(NOT(ISNUMBER(E421)),"",IF(OR(E421&lt;=0,L421=0),0,IF(OR(NOT(ISNUMBER(F421)),F421&lt;0),"",MIN(E421,INT(F421)))))</f>
        <v>0</v>
      </c>
      <c r="E421" s="27" t="n">
        <f>IF(OR(NOT(ISNUMBER(L421)),COUNT(M421:O421)&lt;&gt;3,MIN(M421:O421)&lt;0),"",ROUNDUP(ROUND(BI421-SUM(M421:O421),10),0))</f>
        <v>1</v>
      </c>
      <c r="F421" s="28" t="n">
        <v>0</v>
      </c>
      <c r="G421" s="28" t="n">
        <f>IF(AND(ISNUMBER(D421),ISNUMBER(E421)),IF(OR(E421&lt;=0,L421=0),0,E421-D421),"")</f>
        <v>1</v>
      </c>
      <c r="H421" s="16" t="str">
        <f>IF(NOT(ISNUMBER(E421)),"销量或海外库存待补",IF(OR(E421&lt;=0,L421=0),IF(L421=0,"零日销，本批不发","本批无需补货"),IF(NOT(ISNUMBER(D421)),"国内库存待补",IF(D421=0,"国内无可用库存",IF(G421&gt;0,"先发国内现货","按建议量发货")))))</f>
        <v>国内无可用库存</v>
      </c>
      <c r="I421" s="28" t="n">
        <f>IF(AND(COUNT(Z421,AA421,AB421)=3,Z421&gt;=AA421,AA421&gt;=0,AB421=7),Z421-AA421,"")</f>
        <v>1</v>
      </c>
      <c r="J421" s="28" t="n">
        <f>IF(AND(COUNT(AF421,AG421,AH421)=3,AF421&gt;=AG421,AG421&gt;=0,AH421=14),AF421-AG421,"")</f>
        <v>1</v>
      </c>
      <c r="K421" s="28" t="n">
        <f>IF(AND(COUNT(AL421,AM421,AN421)=3,AL421&gt;=AM421,AM421&gt;=0,AN421=30),AL421-AM421,"")</f>
        <v>1</v>
      </c>
      <c r="L421" s="29" t="n">
        <f>IF(ISNUMBER(BI421),BI421/90,"")</f>
        <v>0.0069694512018649984</v>
      </c>
      <c r="M421" s="28" t="n">
        <v>0</v>
      </c>
      <c r="N421" s="28" t="n">
        <v>0</v>
      </c>
      <c r="O421" s="28" t="n">
        <v>0</v>
      </c>
      <c r="P421" s="30" t="n">
        <f>IF(AND(ISNUMBER(L421),L421&gt;0,COUNT(M421:O421)=3,MIN(M421:O421)&gt;=0),SUM(M421:O421)/L421,"")</f>
        <v>0</v>
      </c>
      <c r="Q421" s="16" t="str">
        <v>沿用原计划SKU店铺</v>
      </c>
      <c r="R421" s="16" t="str">
        <v>已匹配</v>
      </c>
      <c r="S421" s="16" t="str">
        <v>停售</v>
      </c>
      <c r="T421" s="16" t="str">
        <v>B06</v>
      </c>
      <c r="U421" s="16" t="str">
        <v>白色PU</v>
      </c>
      <c r="V421" s="16" t="n">
        <v>10.5</v>
      </c>
      <c r="W421" s="8" t="str">
        <v>2026-10-10 至 2026-10-17</v>
      </c>
      <c r="X421" s="8" t="str">
        <v>2026-10-10、2026-10-11、2026-10-12、2026-10-13、2026-10-14、2026-10-15、2026-10-17</v>
      </c>
      <c r="Y421" s="8" t="str">
        <v>2026-10-16 有记录的停售日</v>
      </c>
      <c r="Z421" s="8" t="n">
        <v>1</v>
      </c>
      <c r="AA421" s="8" t="n">
        <v>0</v>
      </c>
      <c r="AB421" s="8" t="n">
        <v>7</v>
      </c>
      <c r="AC421" s="8" t="str">
        <v>2026-10-01 至 2026-10-17</v>
      </c>
      <c r="AD421" s="8" t="str">
        <v>2026-10-01、2026-10-02、2026-10-03、2026-10-04、2026-10-05、2026-10-08、2026-10-09、2026-10-10、2026-10-11、2026-10-12、2026-10-13、2026-10-14、2026-10-15、2026-10-17</v>
      </c>
      <c r="AE421" s="8" t="str">
        <v>2026-10-06 大促；2026-10-07 大促；2026-10-16 有记录的停售日</v>
      </c>
      <c r="AF421" s="8" t="n">
        <v>1</v>
      </c>
      <c r="AG421" s="8" t="n">
        <v>0</v>
      </c>
      <c r="AH421" s="8" t="n">
        <v>14</v>
      </c>
      <c r="AI421" s="8" t="str">
        <v>2026-09-15 至 2026-10-17</v>
      </c>
      <c r="AJ421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421" s="8" t="str">
        <v>2026-10-06 大促；2026-10-07 大促；2026-10-16 有记录的停售日</v>
      </c>
      <c r="AL421" s="8" t="n">
        <v>1</v>
      </c>
      <c r="AM421" s="8" t="n">
        <v>0</v>
      </c>
      <c r="AN421" s="8" t="n">
        <v>30</v>
      </c>
      <c r="AO421" s="8" t="str">
        <v>B06 / 白色PU / 13120</v>
      </c>
      <c r="AP421" s="11" t="n">
        <v>1.2247029157699902</v>
      </c>
      <c r="AQ421" s="11" t="n">
        <v>1.2247029157699902</v>
      </c>
      <c r="AR421" s="11" t="n">
        <v>1.106293475732259</v>
      </c>
      <c r="AS421" s="11" t="n">
        <f>IF(AND(COUNT(I421:K421,AP421:AR421)=6,MIN(AP421:AR421)&gt;0),I421/7/AP421*0.5+J421/14/AQ421*0.3+K421/30/AR421*0.2,"")</f>
        <v>0.08184626552028045</v>
      </c>
      <c r="AT421" s="8" t="n">
        <v>2</v>
      </c>
      <c r="AU421" s="8" t="n">
        <v>0</v>
      </c>
      <c r="AV421" s="8" t="n">
        <v>87</v>
      </c>
      <c r="AW421" s="11" t="n">
        <f>IF(AND(COUNT(AT421:AV421)=3,AT421&gt;=AU421,AU421&gt;=0,AV421&gt;0),(AT421-AU421)/AV421,"")</f>
        <v>0.022988505747126436</v>
      </c>
      <c r="AX421" s="8" t="n">
        <v>5</v>
      </c>
      <c r="AY421" s="8" t="n">
        <v>0</v>
      </c>
      <c r="AZ421" s="8" t="n">
        <v>177</v>
      </c>
      <c r="BA421" s="11" t="n">
        <f>IF(AND(COUNT(AX421:AZ421)=3,AX421&gt;=AY421,AY421&gt;=0,AZ421&gt;0),(AX421-AY421)/AZ421,"")</f>
        <v>0.02824858757062147</v>
      </c>
      <c r="BB421" s="8" t="n">
        <f>IF(COUNT(AS421,AW421,BA421)=3,1,0)</f>
        <v>1</v>
      </c>
      <c r="BC421" s="11" t="n">
        <f>IF(SUMIF($AO$11:$AO$1309,AO421,$BB$11:$BB$1309)=COUNTIF($AO$11:$AO$1309,AO421),SUMIF($AO$11:$AO$1309,AO421,$AS$11:$AS$1309),"")</f>
        <v>0.2999485325071546</v>
      </c>
      <c r="BD421" s="11" t="n">
        <f>IF(SUMIF($AO$11:$AO$1309,AO421,$BB$11:$BB$1309)=COUNTIF($AO$11:$AO$1309,AO421),SUMIF($AO$11:$AO$1309,AO421,$AW$11:$AW$1309),"")</f>
        <v>0.7291382383674474</v>
      </c>
      <c r="BE421" s="11" t="n">
        <f>IF(SUMIF($AO$11:$AO$1309,AO421,$BB$11:$BB$1309)=COUNTIF($AO$11:$AO$1309,AO421),SUMIF($AO$11:$AO$1309,AO421,$BA$11:$BA$1309),"")</f>
        <v>1.3530960996091448</v>
      </c>
      <c r="BF421" s="12" t="n">
        <f>IF(COUNT(BD421:BE421)&lt;&gt;2,"",IF(AND(BD421&gt;0,BE421&gt;0),0.7*AW421/BD421+0.3*BA421/BE421,IF(BD421&gt;0,AW421/BD421,IF(BE421&gt;0,BA421/BE421,IF(AND(ISNUMBER(BH421),BH421=0),0,"")))))</f>
        <v>0.028332926028282565</v>
      </c>
      <c r="BG421" s="11" t="n">
        <f>IF(AND(COUNT(BN421:BU421)=8,MIN(BN421:BU421)&gt;=0),SUMPRODUCT(BN421:BQ421,BR421:BU421),"")</f>
        <v>73.80791239847399</v>
      </c>
      <c r="BH421" s="11" t="n">
        <f>IF(COUNT(BC421,BG421)=2,BC421*BG421,"")</f>
        <v>22.138575011338894</v>
      </c>
      <c r="BI421" s="11" t="n">
        <f>IF(ISNUMBER(CI421),CI421,"")</f>
        <v>0.6272506081678498</v>
      </c>
      <c r="BJ421" s="8" t="str"/>
      <c r="BK421" s="8" t="str">
        <v>90天：2026-07-20 至 2026-10-17；180天：2026-04-21 至 2026-10-17</v>
      </c>
      <c r="BL421" s="8" t="str">
        <v>90天：2026-10-06、2026-10-07、2026-10-16；180天：2026-10-06、2026-10-07、2026-10-16</v>
      </c>
      <c r="BM421" s="8" t="str">
        <v>2026-10：12天 × 1.2247029157699902；2026-11：30天 × 0.8332682139098497；2026-12：31天 × 0.5511018253564084；2027-01：17天 × 1.0017220238758797</v>
      </c>
      <c r="BN421" s="11" t="n">
        <v>1.2247029157699902</v>
      </c>
      <c r="BO421" s="11" t="n">
        <v>0.8332682139098497</v>
      </c>
      <c r="BP421" s="11" t="n">
        <v>0.5511018253564084</v>
      </c>
      <c r="BQ421" s="11" t="n">
        <v>1.0017220238758797</v>
      </c>
      <c r="BR421" s="8" t="n">
        <v>12</v>
      </c>
      <c r="BS421" s="8" t="n">
        <v>30</v>
      </c>
      <c r="BT421" s="8" t="n">
        <v>31</v>
      </c>
      <c r="BU421" s="8" t="n">
        <v>17</v>
      </c>
      <c r="BV421" s="11" t="n">
        <f>IF(COUNT(BC421,BF421)=2,BC421*BF421,"")</f>
        <v>0.00849841958381712</v>
      </c>
      <c r="BW421" s="11" t="n">
        <f>IF(ISNUMBER(BN421),BN421,"")</f>
        <v>1.2247029157699902</v>
      </c>
      <c r="BX421" s="14" t="n">
        <f>IF(ISNUMBER(BR421),BR421,"")</f>
        <v>12</v>
      </c>
      <c r="BY421" s="13" t="n">
        <f>IF(AND(COUNT(BV421,BW421,BX421)=3,MIN(BV421,BW421,BX421)&gt;=0),BV421*BW421*BX421,"")</f>
        <v>0.12489647092485137</v>
      </c>
      <c r="BZ421" s="11" t="n">
        <f>IF(ISNUMBER(BO421),BO421,"")</f>
        <v>0.8332682139098497</v>
      </c>
      <c r="CA421" s="14" t="n">
        <f>IF(ISNUMBER(BS421),BS421,"")</f>
        <v>30</v>
      </c>
      <c r="CB421" s="13" t="n">
        <f>IF(AND(COUNT(BV421,BZ421,CA421)=3,MIN(BV421,BZ421,CA421)&gt;=0),BV421*BZ421*CA421,"")</f>
        <v>0.21244388722991342</v>
      </c>
      <c r="CC421" s="11" t="n">
        <f>IF(ISNUMBER(BP421),BP421,"")</f>
        <v>0.5511018253564084</v>
      </c>
      <c r="CD421" s="14" t="n">
        <f>IF(ISNUMBER(BT421),BT421,"")</f>
        <v>31</v>
      </c>
      <c r="CE421" s="13" t="n">
        <f>IF(AND(COUNT(BV421,CC421,CD421)=3,MIN(BV421,CC421,CD421)&gt;=0),BV421*CC421*CD421,"")</f>
        <v>0.14518833090387415</v>
      </c>
      <c r="CF421" s="11" t="n">
        <f>IF(ISNUMBER(BQ421),BQ421,"")</f>
        <v>1.0017220238758797</v>
      </c>
      <c r="CG421" s="14" t="n">
        <f>IF(ISNUMBER(BU421),BU421,"")</f>
        <v>17</v>
      </c>
      <c r="CH421" s="13" t="n">
        <f>IF(AND(COUNT(BV421,CF421,CG421)=3,MIN(BV421,CF421,CG421)&gt;=0),BV421*CF421*CG421,"")</f>
        <v>0.14472191910921084</v>
      </c>
      <c r="CI421" s="13" t="n">
        <f>IF(COUNT(BY421,CB421,CE421,CH421)=4,SUM(BY421,CB421,CE421,CH421),"")</f>
        <v>0.6272506081678498</v>
      </c>
    </row>
    <row r="422" ht="72" customHeight="1">
      <c r="A422" s="16" t="str">
        <v>B06-WT-42-N</v>
      </c>
      <c r="B422" s="16" t="str">
        <v>1店-MUSSHOE-US</v>
      </c>
      <c r="C422" s="16" t="str">
        <v>艾年</v>
      </c>
      <c r="D422" s="26" t="n">
        <f>IF(NOT(ISNUMBER(E422)),"",IF(OR(E422&lt;=0,L422=0),0,IF(OR(NOT(ISNUMBER(F422)),F422&lt;0),"",MIN(E422,INT(F422)))))</f>
        <v>0</v>
      </c>
      <c r="E422" s="27" t="n">
        <f>IF(OR(NOT(ISNUMBER(L422)),COUNT(M422:O422)&lt;&gt;3,MIN(M422:O422)&lt;0),"",ROUNDUP(ROUND(BI422-SUM(M422:O422),10),0))</f>
        <v>1</v>
      </c>
      <c r="F422" s="28" t="n">
        <v>0</v>
      </c>
      <c r="G422" s="28" t="n">
        <f>IF(AND(ISNUMBER(D422),ISNUMBER(E422)),IF(OR(E422&lt;=0,L422=0),0,E422-D422),"")</f>
        <v>1</v>
      </c>
      <c r="H422" s="16" t="str">
        <f>IF(NOT(ISNUMBER(E422)),"销量或海外库存待补",IF(OR(E422&lt;=0,L422=0),IF(L422=0,"零日销，本批不发","本批无需补货"),IF(NOT(ISNUMBER(D422)),"国内库存待补",IF(D422=0,"国内无可用库存",IF(G422&gt;0,"先发国内现货","按建议量发货")))))</f>
        <v>国内无可用库存</v>
      </c>
      <c r="I422" s="28" t="n">
        <f>IF(AND(COUNT(Z422,AA422,AB422)=3,Z422&gt;=AA422,AA422&gt;=0,AB422=7),Z422-AA422,"")</f>
        <v>0</v>
      </c>
      <c r="J422" s="28" t="n">
        <f>IF(AND(COUNT(AF422,AG422,AH422)=3,AF422&gt;=AG422,AG422&gt;=0,AH422=14),AF422-AG422,"")</f>
        <v>0</v>
      </c>
      <c r="K422" s="28" t="n">
        <f>IF(AND(COUNT(AL422,AM422,AN422)=3,AL422&gt;=AM422,AM422&gt;=0,AN422=30),AL422-AM422,"")</f>
        <v>0</v>
      </c>
      <c r="L422" s="29" t="n">
        <f>IF(ISNUMBER(BI422),BI422/90,"")</f>
        <v>0.0009349383459052101</v>
      </c>
      <c r="M422" s="28" t="n">
        <v>0</v>
      </c>
      <c r="N422" s="28" t="n">
        <v>0</v>
      </c>
      <c r="O422" s="28" t="n">
        <v>0</v>
      </c>
      <c r="P422" s="30" t="n">
        <f>IF(AND(ISNUMBER(L422),L422&gt;0,COUNT(M422:O422)=3,MIN(M422:O422)&gt;=0),SUM(M422:O422)/L422,"")</f>
        <v>0</v>
      </c>
      <c r="Q422" s="16" t="str">
        <v>沿用原计划SKU店铺</v>
      </c>
      <c r="R422" s="16" t="str">
        <v>已匹配</v>
      </c>
      <c r="S422" s="16" t="str">
        <v>停售</v>
      </c>
      <c r="T422" s="16" t="str">
        <v>B06</v>
      </c>
      <c r="U422" s="16" t="str">
        <v>白色PU</v>
      </c>
      <c r="V422" s="16" t="n">
        <v>11</v>
      </c>
      <c r="W422" s="8" t="str">
        <v>2026-10-08 至 2026-10-17</v>
      </c>
      <c r="X422" s="8" t="str">
        <v>2026-10-08、2026-10-09、2026-10-10、2026-10-11、2026-10-14、2026-10-15、2026-10-17</v>
      </c>
      <c r="Y422" s="8" t="str">
        <v>2026-10-12 有记录的停售日；2026-10-13 有记录的停售日；2026-10-16 有记录的停售日</v>
      </c>
      <c r="Z422" s="8" t="n">
        <v>0</v>
      </c>
      <c r="AA422" s="8" t="n">
        <v>0</v>
      </c>
      <c r="AB422" s="8" t="n">
        <v>7</v>
      </c>
      <c r="AC422" s="8" t="str">
        <v>2026-09-29 至 2026-10-17</v>
      </c>
      <c r="AD422" s="8" t="str">
        <v>2026-09-29、2026-09-30、2026-10-01、2026-10-02、2026-10-03、2026-10-04、2026-10-05、2026-10-08、2026-10-09、2026-10-10、2026-10-11、2026-10-14、2026-10-15、2026-10-17</v>
      </c>
      <c r="AE422" s="8" t="str">
        <v>2026-10-06 大促；2026-10-07 大促；2026-10-12 有记录的停售日；2026-10-13 有记录的停售日；2026-10-16 有记录的停售日</v>
      </c>
      <c r="AF422" s="8" t="n">
        <v>0</v>
      </c>
      <c r="AG422" s="8" t="n">
        <v>0</v>
      </c>
      <c r="AH422" s="8" t="n">
        <v>14</v>
      </c>
      <c r="AI422" s="8" t="str">
        <v>2026-09-13 至 2026-10-17</v>
      </c>
      <c r="AJ42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22" s="8" t="str">
        <v>2026-10-06 大促；2026-10-07 大促；2026-10-12 有记录的停售日；2026-10-13 有记录的停售日；2026-10-16 有记录的停售日</v>
      </c>
      <c r="AL422" s="8" t="n">
        <v>0</v>
      </c>
      <c r="AM422" s="8" t="n">
        <v>0</v>
      </c>
      <c r="AN422" s="8" t="n">
        <v>30</v>
      </c>
      <c r="AO422" s="8" t="str">
        <v>B06 / 白色PU / 13120</v>
      </c>
      <c r="AP422" s="11" t="n">
        <v>1.2247029157699902</v>
      </c>
      <c r="AQ422" s="11" t="n">
        <v>1.1929861014741694</v>
      </c>
      <c r="AR422" s="11" t="n">
        <v>1.0914922957275428</v>
      </c>
      <c r="AS422" s="11" t="n">
        <f>IF(AND(COUNT(I422:K422,AP422:AR422)=6,MIN(AP422:AR422)&gt;0),I422/7/AP422*0.5+J422/14/AQ422*0.3+K422/30/AR422*0.2,"")</f>
        <v>0</v>
      </c>
      <c r="AT422" s="8" t="n">
        <v>0</v>
      </c>
      <c r="AU422" s="8" t="n">
        <v>0</v>
      </c>
      <c r="AV422" s="8" t="n">
        <v>85</v>
      </c>
      <c r="AW422" s="11" t="n">
        <f>IF(AND(COUNT(AT422:AV422)=3,AT422&gt;=AU422,AU422&gt;=0,AV422&gt;0),(AT422-AU422)/AV422,"")</f>
        <v>0</v>
      </c>
      <c r="AX422" s="8" t="n">
        <v>3</v>
      </c>
      <c r="AY422" s="8" t="n">
        <v>0</v>
      </c>
      <c r="AZ422" s="8" t="n">
        <v>175</v>
      </c>
      <c r="BA422" s="11" t="n">
        <f>IF(AND(COUNT(AX422:AZ422)=3,AX422&gt;=AY422,AY422&gt;=0,AZ422&gt;0),(AX422-AY422)/AZ422,"")</f>
        <v>0.017142857142857144</v>
      </c>
      <c r="BB422" s="8" t="n">
        <f>IF(COUNT(AS422,AW422,BA422)=3,1,0)</f>
        <v>1</v>
      </c>
      <c r="BC422" s="11" t="n">
        <f>IF(SUMIF($AO$11:$AO$1309,AO422,$BB$11:$BB$1309)=COUNTIF($AO$11:$AO$1309,AO422),SUMIF($AO$11:$AO$1309,AO422,$AS$11:$AS$1309),"")</f>
        <v>0.2999485325071546</v>
      </c>
      <c r="BD422" s="11" t="n">
        <f>IF(SUMIF($AO$11:$AO$1309,AO422,$BB$11:$BB$1309)=COUNTIF($AO$11:$AO$1309,AO422),SUMIF($AO$11:$AO$1309,AO422,$AW$11:$AW$1309),"")</f>
        <v>0.7291382383674474</v>
      </c>
      <c r="BE422" s="11" t="n">
        <f>IF(SUMIF($AO$11:$AO$1309,AO422,$BB$11:$BB$1309)=COUNTIF($AO$11:$AO$1309,AO422),SUMIF($AO$11:$AO$1309,AO422,$BA$11:$BA$1309),"")</f>
        <v>1.3530960996091448</v>
      </c>
      <c r="BF422" s="12" t="n">
        <f>IF(COUNT(BD422:BE422)&lt;&gt;2,"",IF(AND(BD422&gt;0,BE422&gt;0),0.7*AW422/BD422+0.3*BA422/BE422,IF(BD422&gt;0,AW422/BD422,IF(BE422&gt;0,BA422/BE422,IF(AND(ISNUMBER(BH422),BH422=0),0,"")))))</f>
        <v>0.0038008070116695393</v>
      </c>
      <c r="BG422" s="11" t="n">
        <f>IF(AND(COUNT(BN422:BU422)=8,MIN(BN422:BU422)&gt;=0),SUMPRODUCT(BN422:BQ422,BR422:BU422),"")</f>
        <v>73.80791239847399</v>
      </c>
      <c r="BH422" s="11" t="n">
        <f>IF(COUNT(BC422,BG422)=2,BC422*BG422,"")</f>
        <v>22.138575011338894</v>
      </c>
      <c r="BI422" s="11" t="n">
        <f>IF(ISNUMBER(CI422),CI422,"")</f>
        <v>0.08414445113146891</v>
      </c>
      <c r="BJ422" s="8" t="str"/>
      <c r="BK422" s="8" t="str">
        <v>90天：2026-07-20 至 2026-10-17；180天：2026-04-21 至 2026-10-17</v>
      </c>
      <c r="BL422" s="8" t="str">
        <v>90天：2026-10-06、2026-10-07、2026-10-12、2026-10-13、2026-10-16；180天：2026-10-06、2026-10-07、2026-10-12、2026-10-13、2026-10-16</v>
      </c>
      <c r="BM422" s="8" t="str">
        <v>2026-10：12天 × 1.2247029157699902；2026-11：30天 × 0.8332682139098497；2026-12：31天 × 0.5511018253564084；2027-01：17天 × 1.0017220238758797</v>
      </c>
      <c r="BN422" s="11" t="n">
        <v>1.2247029157699902</v>
      </c>
      <c r="BO422" s="11" t="n">
        <v>0.8332682139098497</v>
      </c>
      <c r="BP422" s="11" t="n">
        <v>0.5511018253564084</v>
      </c>
      <c r="BQ422" s="11" t="n">
        <v>1.0017220238758797</v>
      </c>
      <c r="BR422" s="8" t="n">
        <v>12</v>
      </c>
      <c r="BS422" s="8" t="n">
        <v>30</v>
      </c>
      <c r="BT422" s="8" t="n">
        <v>31</v>
      </c>
      <c r="BU422" s="8" t="n">
        <v>17</v>
      </c>
      <c r="BV422" s="11" t="n">
        <f>IF(COUNT(BC422,BF422)=2,BC422*BF422,"")</f>
        <v>0.001140046485493182</v>
      </c>
      <c r="BW422" s="11" t="n">
        <f>IF(ISNUMBER(BN422),BN422,"")</f>
        <v>1.2247029157699902</v>
      </c>
      <c r="BX422" s="14" t="n">
        <f>IF(ISNUMBER(BR422),BR422,"")</f>
        <v>12</v>
      </c>
      <c r="BY422" s="13" t="n">
        <f>IF(AND(COUNT(BV422,BW422,BX422)=3,MIN(BV422,BW422,BX422)&gt;=0),BV422*BW422*BX422,"")</f>
        <v>0.01675461905876196</v>
      </c>
      <c r="BZ422" s="11" t="n">
        <f>IF(ISNUMBER(BO422),BO422,"")</f>
        <v>0.8332682139098497</v>
      </c>
      <c r="CA422" s="14" t="n">
        <f>IF(ISNUMBER(BS422),BS422,"")</f>
        <v>30</v>
      </c>
      <c r="CB422" s="13" t="n">
        <f>IF(AND(COUNT(BV422,BZ422,CA422)=3,MIN(BV422,BZ422,CA422)&gt;=0),BV422*BZ422*CA422,"")</f>
        <v>0.028498934962233154</v>
      </c>
      <c r="CC422" s="11" t="n">
        <f>IF(ISNUMBER(BP422),BP422,"")</f>
        <v>0.5511018253564084</v>
      </c>
      <c r="CD422" s="14" t="n">
        <f>IF(ISNUMBER(BT422),BT422,"")</f>
        <v>31</v>
      </c>
      <c r="CE422" s="13" t="n">
        <f>IF(AND(COUNT(BV422,CC422,CD422)=3,MIN(BV422,CC422,CD422)&gt;=0),BV422*CC422*CD422,"")</f>
        <v>0.019476732673539974</v>
      </c>
      <c r="CF422" s="11" t="n">
        <f>IF(ISNUMBER(BQ422),BQ422,"")</f>
        <v>1.0017220238758797</v>
      </c>
      <c r="CG422" s="14" t="n">
        <f>IF(ISNUMBER(BU422),BU422,"")</f>
        <v>17</v>
      </c>
      <c r="CH422" s="13" t="n">
        <f>IF(AND(COUNT(BV422,CF422,CG422)=3,MIN(BV422,CF422,CG422)&gt;=0),BV422*CF422*CG422,"")</f>
        <v>0.019414164436933837</v>
      </c>
      <c r="CI422" s="13" t="n">
        <f>IF(COUNT(BY422,CB422,CE422,CH422)=4,SUM(BY422,CB422,CE422,CH422),"")</f>
        <v>0.08414445113146891</v>
      </c>
    </row>
    <row r="423" ht="72" customHeight="1">
      <c r="A423" s="16" t="str">
        <v>B06b-BKP-42</v>
      </c>
      <c r="B423" s="16" t="str">
        <v>1店-MUSSHOE-US</v>
      </c>
      <c r="C423" s="16" t="str">
        <v>艾年</v>
      </c>
      <c r="D423" s="26" t="n">
        <f>IF(NOT(ISNUMBER(E423)),"",IF(OR(E423&lt;=0,L423=0),0,IF(OR(NOT(ISNUMBER(F423)),F423&lt;0),"",MIN(E423,INT(F423)))))</f>
        <v>0</v>
      </c>
      <c r="E423" s="27" t="n">
        <f>IF(OR(NOT(ISNUMBER(L423)),COUNT(M423:O423)&lt;&gt;3,MIN(M423:O423)&lt;0),"",ROUNDUP(ROUND(BI423-SUM(M423:O423),10),0))</f>
        <v>1</v>
      </c>
      <c r="F423" s="28" t="n">
        <v>0</v>
      </c>
      <c r="G423" s="28" t="n">
        <f>IF(AND(ISNUMBER(D423),ISNUMBER(E423)),IF(OR(E423&lt;=0,L423=0),0,E423-D423),"")</f>
        <v>1</v>
      </c>
      <c r="H423" s="16" t="str">
        <f>IF(NOT(ISNUMBER(E423)),"销量或海外库存待补",IF(OR(E423&lt;=0,L423=0),IF(L423=0,"零日销，本批不发","本批无需补货"),IF(NOT(ISNUMBER(D423)),"国内库存待补",IF(D423=0,"国内无可用库存",IF(G423&gt;0,"先发国内现货","按建议量发货")))))</f>
        <v>国内无可用库存</v>
      </c>
      <c r="I423" s="28" t="n">
        <f>IF(AND(COUNT(Z423,AA423,AB423)=3,Z423&gt;=AA423,AA423&gt;=0,AB423=7),Z423-AA423,"")</f>
        <v>0</v>
      </c>
      <c r="J423" s="28" t="n">
        <f>IF(AND(COUNT(AF423,AG423,AH423)=3,AF423&gt;=AG423,AG423&gt;=0,AH423=14),AF423-AG423,"")</f>
        <v>0</v>
      </c>
      <c r="K423" s="28" t="n">
        <f>IF(AND(COUNT(AL423,AM423,AN423)=3,AL423&gt;=AM423,AM423&gt;=0,AN423=30),AL423-AM423,"")</f>
        <v>0</v>
      </c>
      <c r="L423" s="29" t="n">
        <f>IF(ISNUMBER(BI423),BI423/90,"")</f>
        <v>0.002029905677318442</v>
      </c>
      <c r="M423" s="28" t="n">
        <v>0</v>
      </c>
      <c r="N423" s="28" t="n">
        <v>0</v>
      </c>
      <c r="O423" s="28" t="n">
        <v>0</v>
      </c>
      <c r="P423" s="30" t="n">
        <f>IF(AND(ISNUMBER(L423),L423&gt;0,COUNT(M423:O423)=3,MIN(M423:O423)&gt;=0),SUM(M423:O423)/L423,"")</f>
        <v>0</v>
      </c>
      <c r="Q423" s="16" t="str">
        <v>沿用原计划SKU店铺</v>
      </c>
      <c r="R423" s="16" t="str">
        <v>已匹配</v>
      </c>
      <c r="S423" s="16" t="str">
        <v>停售</v>
      </c>
      <c r="T423" s="16" t="str">
        <v>B06b</v>
      </c>
      <c r="U423" s="16" t="str">
        <v>黑色PU</v>
      </c>
      <c r="V423" s="16" t="n">
        <v>11</v>
      </c>
      <c r="W423" s="8" t="str">
        <v>2026-10-08 至 2026-10-17</v>
      </c>
      <c r="X423" s="8" t="str">
        <v>2026-10-08、2026-10-09、2026-10-10、2026-10-11、2026-10-14、2026-10-15、2026-10-17</v>
      </c>
      <c r="Y423" s="8" t="str">
        <v>2026-10-12 有记录的停售日；2026-10-13 有记录的停售日；2026-10-16 有记录的停售日</v>
      </c>
      <c r="Z423" s="8" t="n">
        <v>0</v>
      </c>
      <c r="AA423" s="8" t="n">
        <v>0</v>
      </c>
      <c r="AB423" s="8" t="n">
        <v>7</v>
      </c>
      <c r="AC423" s="8" t="str">
        <v>2026-09-29 至 2026-10-17</v>
      </c>
      <c r="AD423" s="8" t="str">
        <v>2026-09-29、2026-09-30、2026-10-01、2026-10-02、2026-10-03、2026-10-04、2026-10-05、2026-10-08、2026-10-09、2026-10-10、2026-10-11、2026-10-14、2026-10-15、2026-10-17</v>
      </c>
      <c r="AE423" s="8" t="str">
        <v>2026-10-06 大促；2026-10-07 大促；2026-10-12 有记录的停售日；2026-10-13 有记录的停售日；2026-10-16 有记录的停售日</v>
      </c>
      <c r="AF423" s="8" t="n">
        <v>0</v>
      </c>
      <c r="AG423" s="8" t="n">
        <v>0</v>
      </c>
      <c r="AH423" s="8" t="n">
        <v>14</v>
      </c>
      <c r="AI423" s="8" t="str">
        <v>2026-09-13 至 2026-10-17</v>
      </c>
      <c r="AJ4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23" s="8" t="str">
        <v>2026-10-06 大促；2026-10-07 大促；2026-10-12 有记录的停售日；2026-10-13 有记录的停售日；2026-10-16 有记录的停售日</v>
      </c>
      <c r="AL423" s="8" t="n">
        <v>0</v>
      </c>
      <c r="AM423" s="8" t="n">
        <v>0</v>
      </c>
      <c r="AN423" s="8" t="n">
        <v>30</v>
      </c>
      <c r="AO423" s="8" t="str">
        <v>B06b / 黑色PU / 13120</v>
      </c>
      <c r="AP423" s="11" t="n">
        <v>1.1090677182221615</v>
      </c>
      <c r="AQ423" s="11" t="n">
        <v>1.0637680334742425</v>
      </c>
      <c r="AR423" s="11" t="n">
        <v>0.9188090422809019</v>
      </c>
      <c r="AS423" s="11" t="n">
        <f>IF(AND(COUNT(I423:K423,AP423:AR423)=6,MIN(AP423:AR423)&gt;0),I423/7/AP423*0.5+J423/14/AQ423*0.3+K423/30/AR423*0.2,"")</f>
        <v>0</v>
      </c>
      <c r="AT423" s="8" t="n">
        <v>0</v>
      </c>
      <c r="AU423" s="8" t="n">
        <v>0</v>
      </c>
      <c r="AV423" s="8" t="n">
        <v>85</v>
      </c>
      <c r="AW423" s="11" t="n">
        <f>IF(AND(COUNT(AT423:AV423)=3,AT423&gt;=AU423,AU423&gt;=0,AV423&gt;0),(AT423-AU423)/AV423,"")</f>
        <v>0</v>
      </c>
      <c r="AX423" s="8" t="n">
        <v>1</v>
      </c>
      <c r="AY423" s="8" t="n">
        <v>0</v>
      </c>
      <c r="AZ423" s="8" t="n">
        <v>175</v>
      </c>
      <c r="BA423" s="11" t="n">
        <f>IF(AND(COUNT(AX423:AZ423)=3,AX423&gt;=AY423,AY423&gt;=0,AZ423&gt;0),(AX423-AY423)/AZ423,"")</f>
        <v>0.005714285714285714</v>
      </c>
      <c r="BB423" s="8" t="n">
        <f>IF(COUNT(AS423,AW423,BA423)=3,1,0)</f>
        <v>1</v>
      </c>
      <c r="BC423" s="11" t="n">
        <f>IF(SUMIF($AO$11:$AO$1309,AO423,$BB$11:$BB$1309)=COUNTIF($AO$11:$AO$1309,AO423),SUMIF($AO$11:$AO$1309,AO423,$AS$11:$AS$1309),"")</f>
        <v>2.196839072529989</v>
      </c>
      <c r="BD423" s="11" t="n">
        <f>IF(SUMIF($AO$11:$AO$1309,AO423,$BB$11:$BB$1309)=COUNTIF($AO$11:$AO$1309,AO423),SUMIF($AO$11:$AO$1309,AO423,$AW$11:$AW$1309),"")</f>
        <v>2.461979838957527</v>
      </c>
      <c r="BE423" s="11" t="n">
        <f>IF(SUMIF($AO$11:$AO$1309,AO423,$BB$11:$BB$1309)=COUNTIF($AO$11:$AO$1309,AO423),SUMIF($AO$11:$AO$1309,AO423,$BA$11:$BA$1309),"")</f>
        <v>1.9475686263840901</v>
      </c>
      <c r="BF423" s="12" t="n">
        <f>IF(COUNT(BD423:BE423)&lt;&gt;2,"",IF(AND(BD423&gt;0,BE423&gt;0),0.7*AW423/BD423+0.3*BA423/BE423,IF(BD423&gt;0,AW423/BD423,IF(BE423&gt;0,BA423/BE423,IF(AND(ISNUMBER(BH423),BH423=0),0,"")))))</f>
        <v>0.0008802183866909504</v>
      </c>
      <c r="BG423" s="11" t="n">
        <f>IF(AND(COUNT(BN423:BU423)=8,MIN(BN423:BU423)&gt;=0),SUMPRODUCT(BN423:BQ423,BR423:BU423),"")</f>
        <v>94.47778160343367</v>
      </c>
      <c r="BH423" s="11" t="n">
        <f>IF(COUNT(BC423,BG423)=2,BC423*BG423,"")</f>
        <v>207.55248211237807</v>
      </c>
      <c r="BI423" s="11" t="n">
        <f>IF(ISNUMBER(CI423),CI423,"")</f>
        <v>0.18269151095865976</v>
      </c>
      <c r="BJ423" s="8" t="str"/>
      <c r="BK423" s="8" t="str">
        <v>90天：2026-07-20 至 2026-10-17；180天：2026-04-21 至 2026-10-17</v>
      </c>
      <c r="BL423" s="8" t="str">
        <v>90天：2026-10-06、2026-10-07、2026-10-12、2026-10-13、2026-10-16；180天：2026-10-06、2026-10-07、2026-10-12、2026-10-13、2026-10-16</v>
      </c>
      <c r="BM423" s="8" t="str">
        <v>2026-10：12天 × 1.1090677182221615；2026-11：30天 × 1.0372741535934282；2026-12：31天 × 0.979949351738161；2027-01：17天 × 1.1571949690048173</v>
      </c>
      <c r="BN423" s="11" t="n">
        <v>1.1090677182221615</v>
      </c>
      <c r="BO423" s="11" t="n">
        <v>1.0372741535934282</v>
      </c>
      <c r="BP423" s="11" t="n">
        <v>0.979949351738161</v>
      </c>
      <c r="BQ423" s="11" t="n">
        <v>1.1571949690048173</v>
      </c>
      <c r="BR423" s="8" t="n">
        <v>12</v>
      </c>
      <c r="BS423" s="8" t="n">
        <v>30</v>
      </c>
      <c r="BT423" s="8" t="n">
        <v>31</v>
      </c>
      <c r="BU423" s="8" t="n">
        <v>17</v>
      </c>
      <c r="BV423" s="11" t="n">
        <f>IF(COUNT(BC423,BF423)=2,BC423*BF423,"")</f>
        <v>0.0019336981442419907</v>
      </c>
      <c r="BW423" s="11" t="n">
        <f>IF(ISNUMBER(BN423),BN423,"")</f>
        <v>1.1090677182221615</v>
      </c>
      <c r="BX423" s="14" t="n">
        <f>IF(ISNUMBER(BR423),BR423,"")</f>
        <v>12</v>
      </c>
      <c r="BY423" s="13" t="n">
        <f>IF(AND(COUNT(BV423,BW423,BX423)=3,MIN(BV423,BW423,BX423)&gt;=0),BV423*BW423*BX423,"")</f>
        <v>0.025735226262778712</v>
      </c>
      <c r="BZ423" s="11" t="n">
        <f>IF(ISNUMBER(BO423),BO423,"")</f>
        <v>1.0372741535934282</v>
      </c>
      <c r="CA423" s="14" t="n">
        <f>IF(ISNUMBER(BS423),BS423,"")</f>
        <v>30</v>
      </c>
      <c r="CB423" s="13" t="n">
        <f>IF(AND(COUNT(BV423,BZ423,CA423)=3,MIN(BV423,BZ423,CA423)&gt;=0),BV423*BZ423*CA423,"")</f>
        <v>0.06017325317621381</v>
      </c>
      <c r="CC423" s="11" t="n">
        <f>IF(ISNUMBER(BP423),BP423,"")</f>
        <v>0.979949351738161</v>
      </c>
      <c r="CD423" s="14" t="n">
        <f>IF(ISNUMBER(BT423),BT423,"")</f>
        <v>31</v>
      </c>
      <c r="CE423" s="13" t="n">
        <f>IF(AND(COUNT(BV423,CC423,CD423)=3,MIN(BV423,CC423,CD423)&gt;=0),BV423*CC423*CD423,"")</f>
        <v>0.05874271353012393</v>
      </c>
      <c r="CF423" s="11" t="n">
        <f>IF(ISNUMBER(BQ423),BQ423,"")</f>
        <v>1.1571949690048173</v>
      </c>
      <c r="CG423" s="14" t="n">
        <f>IF(ISNUMBER(BU423),BU423,"")</f>
        <v>17</v>
      </c>
      <c r="CH423" s="13" t="n">
        <f>IF(AND(COUNT(BV423,CF423,CG423)=3,MIN(BV423,CF423,CG423)&gt;=0),BV423*CF423*CG423,"")</f>
        <v>0.03804031798954331</v>
      </c>
      <c r="CI423" s="13" t="n">
        <f>IF(COUNT(BY423,CB423,CE423,CH423)=4,SUM(BY423,CB423,CE423,CH423),"")</f>
        <v>0.18269151095865976</v>
      </c>
    </row>
    <row r="424" ht="72" customHeight="1">
      <c r="A424" s="16" t="str">
        <v>B07-BG-40-by</v>
      </c>
      <c r="B424" s="16" t="str">
        <v>4店-彬郁-US</v>
      </c>
      <c r="C424" s="16" t="str">
        <v>艾年</v>
      </c>
      <c r="D424" s="26" t="n">
        <f>IF(NOT(ISNUMBER(E424)),"",IF(OR(E424&lt;=0,L424=0),0,IF(OR(NOT(ISNUMBER(F424)),F424&lt;0),"",MIN(E424,INT(F424)))))</f>
        <v>0</v>
      </c>
      <c r="E424" s="27" t="n">
        <f>IF(OR(NOT(ISNUMBER(L424)),COUNT(M424:O424)&lt;&gt;3,MIN(M424:O424)&lt;0),"",ROUNDUP(ROUND(BI424-SUM(M424:O424),10),0))</f>
        <v>1</v>
      </c>
      <c r="F424" s="28" t="n">
        <v>0</v>
      </c>
      <c r="G424" s="28" t="n">
        <f>IF(AND(ISNUMBER(D424),ISNUMBER(E424)),IF(OR(E424&lt;=0,L424=0),0,E424-D424),"")</f>
        <v>1</v>
      </c>
      <c r="H424" s="16" t="str">
        <f>IF(NOT(ISNUMBER(E424)),"销量或海外库存待补",IF(OR(E424&lt;=0,L424=0),IF(L424=0,"零日销，本批不发","本批无需补货"),IF(NOT(ISNUMBER(D424)),"国内库存待补",IF(D424=0,"国内无可用库存",IF(G424&gt;0,"先发国内现货","按建议量发货")))))</f>
        <v>国内无可用库存</v>
      </c>
      <c r="I424" s="28" t="n">
        <f>IF(AND(COUNT(Z424,AA424,AB424)=3,Z424&gt;=AA424,AA424&gt;=0,AB424=7),Z424-AA424,"")</f>
        <v>0</v>
      </c>
      <c r="J424" s="28" t="n">
        <f>IF(AND(COUNT(AF424,AG424,AH424)=3,AF424&gt;=AG424,AG424&gt;=0,AH424=14),AF424-AG424,"")</f>
        <v>0</v>
      </c>
      <c r="K424" s="28" t="n">
        <f>IF(AND(COUNT(AL424,AM424,AN424)=3,AL424&gt;=AM424,AM424&gt;=0,AN424=30),AL424-AM424,"")</f>
        <v>0</v>
      </c>
      <c r="L424" s="29" t="n">
        <f>IF(ISNUMBER(BI424),BI424/90,"")</f>
        <v>0.003709046405545841</v>
      </c>
      <c r="M424" s="28" t="n">
        <v>0</v>
      </c>
      <c r="N424" s="28" t="n">
        <v>0</v>
      </c>
      <c r="O424" s="28" t="n">
        <v>0</v>
      </c>
      <c r="P424" s="30" t="n">
        <f>IF(AND(ISNUMBER(L424),L424&gt;0,COUNT(M424:O424)=3,MIN(M424:O424)&gt;=0),SUM(M424:O424)/L424,"")</f>
        <v>0</v>
      </c>
      <c r="Q424" s="16" t="str">
        <v>沿用原计划SKU店铺</v>
      </c>
      <c r="R424" s="16" t="str">
        <v>已匹配</v>
      </c>
      <c r="S424" s="16" t="str">
        <v>停售</v>
      </c>
      <c r="T424" s="16" t="str">
        <v>B07</v>
      </c>
      <c r="U424" s="16" t="str">
        <v>米色羊京绒</v>
      </c>
      <c r="V424" s="16" t="n">
        <v>9</v>
      </c>
      <c r="W424" s="8" t="str">
        <v>2026-10-08 至 2026-10-17</v>
      </c>
      <c r="X424" s="8" t="str">
        <v>2026-10-08、2026-10-09、2026-10-10、2026-10-11、2026-10-14、2026-10-15、2026-10-17</v>
      </c>
      <c r="Y424" s="8" t="str">
        <v>2026-10-12 有记录的停售日；2026-10-13 有记录的停售日；2026-10-16 有记录的停售日</v>
      </c>
      <c r="Z424" s="8" t="n">
        <v>0</v>
      </c>
      <c r="AA424" s="8" t="n">
        <v>0</v>
      </c>
      <c r="AB424" s="8" t="n">
        <v>7</v>
      </c>
      <c r="AC424" s="8" t="str">
        <v>2026-09-29 至 2026-10-17</v>
      </c>
      <c r="AD424" s="8" t="str">
        <v>2026-09-29、2026-09-30、2026-10-01、2026-10-02、2026-10-03、2026-10-04、2026-10-05、2026-10-08、2026-10-09、2026-10-10、2026-10-11、2026-10-14、2026-10-15、2026-10-17</v>
      </c>
      <c r="AE424" s="8" t="str">
        <v>2026-10-06 大促；2026-10-07 大促；2026-10-12 有记录的停售日；2026-10-13 有记录的停售日；2026-10-16 有记录的停售日</v>
      </c>
      <c r="AF424" s="8" t="n">
        <v>0</v>
      </c>
      <c r="AG424" s="8" t="n">
        <v>0</v>
      </c>
      <c r="AH424" s="8" t="n">
        <v>14</v>
      </c>
      <c r="AI424" s="8" t="str">
        <v>2026-09-13 至 2026-10-17</v>
      </c>
      <c r="AJ42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24" s="8" t="str">
        <v>2026-10-06 大促；2026-10-07 大促；2026-10-12 有记录的停售日；2026-10-13 有记录的停售日；2026-10-16 有记录的停售日</v>
      </c>
      <c r="AL424" s="8" t="n">
        <v>0</v>
      </c>
      <c r="AM424" s="8" t="n">
        <v>0</v>
      </c>
      <c r="AN424" s="8" t="n">
        <v>30</v>
      </c>
      <c r="AO424" s="8" t="str">
        <v>B07 / 米色羊京绒 / 13306</v>
      </c>
      <c r="AP424" s="11" t="n">
        <v>0.7307750238224848</v>
      </c>
      <c r="AQ424" s="11" t="n">
        <v>0.7348338471341894</v>
      </c>
      <c r="AR424" s="11" t="n">
        <v>0.7478220817316438</v>
      </c>
      <c r="AS424" s="11" t="n">
        <f>IF(AND(COUNT(I424:K424,AP424:AR424)=6,MIN(AP424:AR424)&gt;0),I424/7/AP424*0.5+J424/14/AQ424*0.3+K424/30/AR424*0.2,"")</f>
        <v>0</v>
      </c>
      <c r="AT424" s="8" t="n">
        <v>0</v>
      </c>
      <c r="AU424" s="8" t="n">
        <v>0</v>
      </c>
      <c r="AV424" s="8" t="n">
        <v>85</v>
      </c>
      <c r="AW424" s="11" t="n">
        <f>IF(AND(COUNT(AT424:AV424)=3,AT424&gt;=AU424,AU424&gt;=0,AV424&gt;0),(AT424-AU424)/AV424,"")</f>
        <v>0</v>
      </c>
      <c r="AX424" s="8" t="n">
        <v>1</v>
      </c>
      <c r="AY424" s="8" t="n">
        <v>0</v>
      </c>
      <c r="AZ424" s="8" t="n">
        <v>175</v>
      </c>
      <c r="BA424" s="11" t="n">
        <f>IF(AND(COUNT(AX424:AZ424)=3,AX424&gt;=AY424,AY424&gt;=0,AZ424&gt;0),(AX424-AY424)/AZ424,"")</f>
        <v>0.005714285714285714</v>
      </c>
      <c r="BB424" s="8" t="n">
        <f>IF(COUNT(AS424,AW424,BA424)=3,1,0)</f>
        <v>1</v>
      </c>
      <c r="BC424" s="11" t="n">
        <f>IF(SUMIF($AO$11:$AO$1309,AO424,$BB$11:$BB$1309)=COUNTIF($AO$11:$AO$1309,AO424),SUMIF($AO$11:$AO$1309,AO424,$AS$11:$AS$1309),"")</f>
        <v>3.1019363848639383</v>
      </c>
      <c r="BD424" s="11" t="n">
        <f>IF(SUMIF($AO$11:$AO$1309,AO424,$BB$11:$BB$1309)=COUNTIF($AO$11:$AO$1309,AO424),SUMIF($AO$11:$AO$1309,AO424,$AW$11:$AW$1309),"")</f>
        <v>1.4098837209302328</v>
      </c>
      <c r="BE424" s="11" t="n">
        <f>IF(SUMIF($AO$11:$AO$1309,AO424,$BB$11:$BB$1309)=COUNTIF($AO$11:$AO$1309,AO424),SUMIF($AO$11:$AO$1309,AO424,$BA$11:$BA$1309),"")</f>
        <v>1.2482449292280753</v>
      </c>
      <c r="BF424" s="12" t="n">
        <f>IF(COUNT(BD424:BE424)&lt;&gt;2,"",IF(AND(BD424&gt;0,BE424&gt;0),0.7*AW424/BD424+0.3*BA424/BE424,IF(BD424&gt;0,AW424/BD424,IF(BE424&gt;0,BA424/BE424,IF(AND(ISNUMBER(BH424),BH424=0),0,"")))))</f>
        <v>0.0013733568421910934</v>
      </c>
      <c r="BG424" s="11" t="n">
        <f>IF(AND(COUNT(BN424:BU424)=8,MIN(BN424:BU424)&gt;=0),SUMPRODUCT(BN424:BQ424,BR424:BU424),"")</f>
        <v>78.35892944347341</v>
      </c>
      <c r="BH424" s="11" t="n">
        <f>IF(COUNT(BC424,BG424)=2,BC424*BG424,"")</f>
        <v>243.06441431969634</v>
      </c>
      <c r="BI424" s="11" t="n">
        <f>IF(ISNUMBER(CI424),CI424,"")</f>
        <v>0.3338141764991257</v>
      </c>
      <c r="BJ424" s="8" t="str"/>
      <c r="BK424" s="8" t="str">
        <v>90天：2026-07-20 至 2026-10-17；180天：2026-04-21 至 2026-10-17</v>
      </c>
      <c r="BL424" s="8" t="str">
        <v>90天：2026-10-06、2026-10-07、2026-10-12、2026-10-13、2026-10-16；180天：2026-10-06、2026-10-07、2026-10-12、2026-10-13、2026-10-16</v>
      </c>
      <c r="BM424" s="8" t="str">
        <v>2026-10：12天 × 0.7307750238224848；2026-11：30天 × 0.9523018155490097；2026-12：31天 × 0.5958545198749097；2027-01：17天 × 1.3264167397065354</v>
      </c>
      <c r="BN424" s="11" t="n">
        <v>0.7307750238224848</v>
      </c>
      <c r="BO424" s="11" t="n">
        <v>0.9523018155490097</v>
      </c>
      <c r="BP424" s="11" t="n">
        <v>0.5958545198749097</v>
      </c>
      <c r="BQ424" s="11" t="n">
        <v>1.3264167397065354</v>
      </c>
      <c r="BR424" s="8" t="n">
        <v>12</v>
      </c>
      <c r="BS424" s="8" t="n">
        <v>30</v>
      </c>
      <c r="BT424" s="8" t="n">
        <v>31</v>
      </c>
      <c r="BU424" s="8" t="n">
        <v>17</v>
      </c>
      <c r="BV424" s="11" t="n">
        <f>IF(COUNT(BC424,BF424)=2,BC424*BF424,"")</f>
        <v>0.004260065558194395</v>
      </c>
      <c r="BW424" s="11" t="n">
        <f>IF(ISNUMBER(BN424),BN424,"")</f>
        <v>0.7307750238224848</v>
      </c>
      <c r="BX424" s="14" t="n">
        <f>IF(ISNUMBER(BR424),BR424,"")</f>
        <v>12</v>
      </c>
      <c r="BY424" s="13" t="n">
        <f>IF(AND(COUNT(BV424,BW424,BX424)=3,MIN(BV424,BW424,BX424)&gt;=0),BV424*BW424*BX424,"")</f>
        <v>0.03735779411729827</v>
      </c>
      <c r="BZ424" s="11" t="n">
        <f>IF(ISNUMBER(BO424),BO424,"")</f>
        <v>0.9523018155490097</v>
      </c>
      <c r="CA424" s="14" t="n">
        <f>IF(ISNUMBER(BS424),BS424,"")</f>
        <v>30</v>
      </c>
      <c r="CB424" s="13" t="n">
        <f>IF(AND(COUNT(BV424,BZ424,CA424)=3,MIN(BV424,BZ424,CA424)&gt;=0),BV424*BZ424*CA424,"")</f>
        <v>0.12170604496278983</v>
      </c>
      <c r="CC424" s="11" t="n">
        <f>IF(ISNUMBER(BP424),BP424,"")</f>
        <v>0.5958545198749097</v>
      </c>
      <c r="CD424" s="14" t="n">
        <f>IF(ISNUMBER(BT424),BT424,"")</f>
        <v>31</v>
      </c>
      <c r="CE424" s="13" t="n">
        <f>IF(AND(COUNT(BV424,CC424,CD424)=3,MIN(BV424,CC424,CD424)&gt;=0),BV424*CC424*CD424,"")</f>
        <v>0.07868975885222036</v>
      </c>
      <c r="CF424" s="11" t="n">
        <f>IF(ISNUMBER(BQ424),BQ424,"")</f>
        <v>1.3264167397065354</v>
      </c>
      <c r="CG424" s="14" t="n">
        <f>IF(ISNUMBER(BU424),BU424,"")</f>
        <v>17</v>
      </c>
      <c r="CH424" s="13" t="n">
        <f>IF(AND(COUNT(BV424,CF424,CG424)=3,MIN(BV424,CF424,CG424)&gt;=0),BV424*CF424*CG424,"")</f>
        <v>0.0960605785668173</v>
      </c>
      <c r="CI424" s="13" t="n">
        <f>IF(COUNT(BY424,CB424,CE424,CH424)=4,SUM(BY424,CB424,CE424,CH424),"")</f>
        <v>0.3338141764991257</v>
      </c>
    </row>
    <row r="425" ht="72" customHeight="1">
      <c r="A425" s="16" t="str">
        <v>B07-IV-P-42</v>
      </c>
      <c r="B425" s="16" t="str">
        <v>4店-彬郁-US</v>
      </c>
      <c r="C425" s="16" t="str">
        <v>艾年</v>
      </c>
      <c r="D425" s="26" t="n">
        <f>IF(NOT(ISNUMBER(E425)),"",IF(OR(E425&lt;=0,L425=0),0,IF(OR(NOT(ISNUMBER(F425)),F425&lt;0),"",MIN(E425,INT(F425)))))</f>
        <v>0</v>
      </c>
      <c r="E425" s="27" t="n">
        <f>IF(OR(NOT(ISNUMBER(L425)),COUNT(M425:O425)&lt;&gt;3,MIN(M425:O425)&lt;0),"",ROUNDUP(ROUND(BI425-SUM(M425:O425),10),0))</f>
        <v>1</v>
      </c>
      <c r="F425" s="28" t="n">
        <v>0</v>
      </c>
      <c r="G425" s="28" t="n">
        <f>IF(AND(ISNUMBER(D425),ISNUMBER(E425)),IF(OR(E425&lt;=0,L425=0),0,E425-D425),"")</f>
        <v>1</v>
      </c>
      <c r="H425" s="16" t="str">
        <f>IF(NOT(ISNUMBER(E425)),"销量或海外库存待补",IF(OR(E425&lt;=0,L425=0),IF(L425=0,"零日销，本批不发","本批无需补货"),IF(NOT(ISNUMBER(D425)),"国内库存待补",IF(D425=0,"国内无可用库存",IF(G425&gt;0,"先发国内现货","按建议量发货")))))</f>
        <v>国内无可用库存</v>
      </c>
      <c r="I425" s="28" t="n">
        <f>IF(AND(COUNT(Z425,AA425,AB425)=3,Z425&gt;=AA425,AA425&gt;=0,AB425=7),Z425-AA425,"")</f>
        <v>0</v>
      </c>
      <c r="J425" s="28" t="n">
        <f>IF(AND(COUNT(AF425,AG425,AH425)=3,AF425&gt;=AG425,AG425&gt;=0,AH425=14),AF425-AG425,"")</f>
        <v>0</v>
      </c>
      <c r="K425" s="28" t="n">
        <f>IF(AND(COUNT(AL425,AM425,AN425)=3,AL425&gt;=AM425,AM425&gt;=0,AN425=30),AL425-AM425,"")</f>
        <v>0</v>
      </c>
      <c r="L425" s="29" t="n">
        <f>IF(ISNUMBER(BI425),BI425/90,"")</f>
        <v>0.001432675372352425</v>
      </c>
      <c r="M425" s="28" t="n">
        <v>0</v>
      </c>
      <c r="N425" s="28" t="n">
        <v>0</v>
      </c>
      <c r="O425" s="28" t="n">
        <v>0</v>
      </c>
      <c r="P425" s="30" t="n">
        <f>IF(AND(ISNUMBER(L425),L425&gt;0,COUNT(M425:O425)=3,MIN(M425:O425)&gt;=0),SUM(M425:O425)/L425,"")</f>
        <v>0</v>
      </c>
      <c r="Q425" s="16" t="str">
        <v>沿用原计划SKU店铺</v>
      </c>
      <c r="R425" s="16" t="str">
        <v>已匹配</v>
      </c>
      <c r="S425" s="16" t="str">
        <v>停售</v>
      </c>
      <c r="T425" s="16" t="str">
        <v>B07</v>
      </c>
      <c r="U425" s="16" t="str">
        <v>米白色PU</v>
      </c>
      <c r="V425" s="16" t="n">
        <v>11</v>
      </c>
      <c r="W425" s="8" t="str">
        <v>2026-10-08 至 2026-10-17</v>
      </c>
      <c r="X425" s="8" t="str">
        <v>2026-10-08、2026-10-09、2026-10-10、2026-10-11、2026-10-14、2026-10-15、2026-10-17</v>
      </c>
      <c r="Y425" s="8" t="str">
        <v>2026-10-12 有记录的停售日；2026-10-13 有记录的停售日；2026-10-16 有记录的停售日</v>
      </c>
      <c r="Z425" s="8" t="n">
        <v>0</v>
      </c>
      <c r="AA425" s="8" t="n">
        <v>0</v>
      </c>
      <c r="AB425" s="8" t="n">
        <v>7</v>
      </c>
      <c r="AC425" s="8" t="str">
        <v>2026-09-29 至 2026-10-17</v>
      </c>
      <c r="AD425" s="8" t="str">
        <v>2026-09-29、2026-09-30、2026-10-01、2026-10-02、2026-10-03、2026-10-04、2026-10-05、2026-10-08、2026-10-09、2026-10-10、2026-10-11、2026-10-14、2026-10-15、2026-10-17</v>
      </c>
      <c r="AE425" s="8" t="str">
        <v>2026-10-06 大促；2026-10-07 大促；2026-10-12 有记录的停售日；2026-10-13 有记录的停售日；2026-10-16 有记录的停售日</v>
      </c>
      <c r="AF425" s="8" t="n">
        <v>0</v>
      </c>
      <c r="AG425" s="8" t="n">
        <v>0</v>
      </c>
      <c r="AH425" s="8" t="n">
        <v>14</v>
      </c>
      <c r="AI425" s="8" t="str">
        <v>2026-09-13 至 2026-10-17</v>
      </c>
      <c r="AJ42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25" s="8" t="str">
        <v>2026-10-06 大促；2026-10-07 大促；2026-10-12 有记录的停售日；2026-10-13 有记录的停售日；2026-10-16 有记录的停售日</v>
      </c>
      <c r="AL425" s="8" t="n">
        <v>0</v>
      </c>
      <c r="AM425" s="8" t="n">
        <v>0</v>
      </c>
      <c r="AN425" s="8" t="n">
        <v>30</v>
      </c>
      <c r="AO425" s="8" t="str">
        <v>B07 / 米白色PU / 13306</v>
      </c>
      <c r="AP425" s="11" t="n">
        <v>0.7307750238224848</v>
      </c>
      <c r="AQ425" s="11" t="n">
        <v>0.7348338471341894</v>
      </c>
      <c r="AR425" s="11" t="n">
        <v>0.7478220817316438</v>
      </c>
      <c r="AS425" s="11" t="n">
        <f>IF(AND(COUNT(I425:K425,AP425:AR425)=6,MIN(AP425:AR425)&gt;0),I425/7/AP425*0.5+J425/14/AQ425*0.3+K425/30/AR425*0.2,"")</f>
        <v>0</v>
      </c>
      <c r="AT425" s="8" t="n">
        <v>0</v>
      </c>
      <c r="AU425" s="8" t="n">
        <v>0</v>
      </c>
      <c r="AV425" s="8" t="n">
        <v>85</v>
      </c>
      <c r="AW425" s="11" t="n">
        <f>IF(AND(COUNT(AT425:AV425)=3,AT425&gt;=AU425,AU425&gt;=0,AV425&gt;0),(AT425-AU425)/AV425,"")</f>
        <v>0</v>
      </c>
      <c r="AX425" s="8" t="n">
        <v>2</v>
      </c>
      <c r="AY425" s="8" t="n">
        <v>0</v>
      </c>
      <c r="AZ425" s="8" t="n">
        <v>175</v>
      </c>
      <c r="BA425" s="11" t="n">
        <f>IF(AND(COUNT(AX425:AZ425)=3,AX425&gt;=AY425,AY425&gt;=0,AZ425&gt;0),(AX425-AY425)/AZ425,"")</f>
        <v>0.011428571428571429</v>
      </c>
      <c r="BB425" s="8" t="n">
        <f>IF(COUNT(AS425,AW425,BA425)=3,1,0)</f>
        <v>1</v>
      </c>
      <c r="BC425" s="11" t="n">
        <f>IF(SUMIF($AO$11:$AO$1309,AO425,$BB$11:$BB$1309)=COUNTIF($AO$11:$AO$1309,AO425),SUMIF($AO$11:$AO$1309,AO425,$AS$11:$AS$1309),"")</f>
        <v>0.313323126299849</v>
      </c>
      <c r="BD425" s="11" t="n">
        <f>IF(SUMIF($AO$11:$AO$1309,AO425,$BB$11:$BB$1309)=COUNTIF($AO$11:$AO$1309,AO425),SUMIF($AO$11:$AO$1309,AO425,$AW$11:$AW$1309),"")</f>
        <v>0.5132135306553911</v>
      </c>
      <c r="BE425" s="11" t="n">
        <f>IF(SUMIF($AO$11:$AO$1309,AO425,$BB$11:$BB$1309)=COUNTIF($AO$11:$AO$1309,AO425),SUMIF($AO$11:$AO$1309,AO425,$BA$11:$BA$1309),"")</f>
        <v>0.6528356194367431</v>
      </c>
      <c r="BF425" s="12" t="n">
        <f>IF(COUNT(BD425:BE425)&lt;&gt;2,"",IF(AND(BD425&gt;0,BE425&gt;0),0.7*AW425/BD425+0.3*BA425/BE425,IF(BD425&gt;0,AW425/BD425,IF(BE425&gt;0,BA425/BE425,IF(AND(ISNUMBER(BH425),BH425=0),0,"")))))</f>
        <v>0.00525181427987883</v>
      </c>
      <c r="BG425" s="11" t="n">
        <f>IF(AND(COUNT(BN425:BU425)=8,MIN(BN425:BU425)&gt;=0),SUMPRODUCT(BN425:BQ425,BR425:BU425),"")</f>
        <v>78.35892944347341</v>
      </c>
      <c r="BH425" s="11" t="n">
        <f>IF(COUNT(BC425,BG425)=2,BC425*BG425,"")</f>
        <v>24.551664746738375</v>
      </c>
      <c r="BI425" s="11" t="n">
        <f>IF(ISNUMBER(CI425),CI425,"")</f>
        <v>0.12894078351171825</v>
      </c>
      <c r="BJ425" s="8" t="str"/>
      <c r="BK425" s="8" t="str">
        <v>90天：2026-07-20 至 2026-10-17；180天：2026-04-21 至 2026-10-17</v>
      </c>
      <c r="BL425" s="8" t="str">
        <v>90天：2026-10-06、2026-10-07、2026-10-12、2026-10-13、2026-10-16；180天：2026-10-06、2026-10-07、2026-10-12、2026-10-13、2026-10-16</v>
      </c>
      <c r="BM425" s="8" t="str">
        <v>2026-10：12天 × 0.7307750238224848；2026-11：30天 × 0.9523018155490097；2026-12：31天 × 0.5958545198749097；2027-01：17天 × 1.3264167397065354</v>
      </c>
      <c r="BN425" s="11" t="n">
        <v>0.7307750238224848</v>
      </c>
      <c r="BO425" s="11" t="n">
        <v>0.9523018155490097</v>
      </c>
      <c r="BP425" s="11" t="n">
        <v>0.5958545198749097</v>
      </c>
      <c r="BQ425" s="11" t="n">
        <v>1.3264167397065354</v>
      </c>
      <c r="BR425" s="8" t="n">
        <v>12</v>
      </c>
      <c r="BS425" s="8" t="n">
        <v>30</v>
      </c>
      <c r="BT425" s="8" t="n">
        <v>31</v>
      </c>
      <c r="BU425" s="8" t="n">
        <v>17</v>
      </c>
      <c r="BV425" s="11" t="n">
        <f>IF(COUNT(BC425,BF425)=2,BC425*BF425,"")</f>
        <v>0.0016455148689178251</v>
      </c>
      <c r="BW425" s="11" t="n">
        <f>IF(ISNUMBER(BN425),BN425,"")</f>
        <v>0.7307750238224848</v>
      </c>
      <c r="BX425" s="14" t="n">
        <f>IF(ISNUMBER(BR425),BR425,"")</f>
        <v>12</v>
      </c>
      <c r="BY425" s="13" t="n">
        <f>IF(AND(COUNT(BV425,BW425,BX425)=3,MIN(BV425,BW425,BX425)&gt;=0),BV425*BW425*BX425,"")</f>
        <v>0.01443001401040412</v>
      </c>
      <c r="BZ425" s="11" t="n">
        <f>IF(ISNUMBER(BO425),BO425,"")</f>
        <v>0.9523018155490097</v>
      </c>
      <c r="CA425" s="14" t="n">
        <f>IF(ISNUMBER(BS425),BS425,"")</f>
        <v>30</v>
      </c>
      <c r="CB425" s="13" t="n">
        <f>IF(AND(COUNT(BV425,BZ425,CA425)=3,MIN(BV425,BZ425,CA425)&gt;=0),BV425*BZ425*CA425,"")</f>
        <v>0.04701080391550007</v>
      </c>
      <c r="CC425" s="11" t="n">
        <f>IF(ISNUMBER(BP425),BP425,"")</f>
        <v>0.5958545198749097</v>
      </c>
      <c r="CD425" s="14" t="n">
        <f>IF(ISNUMBER(BT425),BT425,"")</f>
        <v>31</v>
      </c>
      <c r="CE425" s="13" t="n">
        <f>IF(AND(COUNT(BV425,CC425,CD425)=3,MIN(BV425,CC425,CD425)&gt;=0),BV425*CC425*CD425,"")</f>
        <v>0.030395111637147722</v>
      </c>
      <c r="CF425" s="11" t="n">
        <f>IF(ISNUMBER(BQ425),BQ425,"")</f>
        <v>1.3264167397065354</v>
      </c>
      <c r="CG425" s="14" t="n">
        <f>IF(ISNUMBER(BU425),BU425,"")</f>
        <v>17</v>
      </c>
      <c r="CH425" s="13" t="n">
        <f>IF(AND(COUNT(BV425,CF425,CG425)=3,MIN(BV425,CF425,CG425)&gt;=0),BV425*CF425*CG425,"")</f>
        <v>0.03710485394866635</v>
      </c>
      <c r="CI425" s="13" t="n">
        <f>IF(COUNT(BY425,CB425,CE425,CH425)=4,SUM(BY425,CB425,CE425,CH425),"")</f>
        <v>0.12894078351171825</v>
      </c>
    </row>
    <row r="426" ht="72" customHeight="1">
      <c r="A426" s="16" t="str">
        <v>B07-MT-41.5</v>
      </c>
      <c r="B426" s="16" t="str">
        <v>4店-彬郁-US</v>
      </c>
      <c r="C426" s="16" t="str">
        <v>艾年</v>
      </c>
      <c r="D426" s="26" t="n">
        <f>IF(NOT(ISNUMBER(E426)),"",IF(OR(E426&lt;=0,L426=0),0,IF(OR(NOT(ISNUMBER(F426)),F426&lt;0),"",MIN(E426,INT(F426)))))</f>
        <v>0</v>
      </c>
      <c r="E426" s="27" t="n">
        <f>IF(OR(NOT(ISNUMBER(L426)),COUNT(M426:O426)&lt;&gt;3,MIN(M426:O426)&lt;0),"",ROUNDUP(ROUND(BI426-SUM(M426:O426),10),0))</f>
        <v>1</v>
      </c>
      <c r="F426" s="28" t="n">
        <v>0</v>
      </c>
      <c r="G426" s="28" t="n">
        <f>IF(AND(ISNUMBER(D426),ISNUMBER(E426)),IF(OR(E426&lt;=0,L426=0),0,E426-D426),"")</f>
        <v>1</v>
      </c>
      <c r="H426" s="16" t="str">
        <f>IF(NOT(ISNUMBER(E426)),"销量或海外库存待补",IF(OR(E426&lt;=0,L426=0),IF(L426=0,"零日销，本批不发","本批无需补货"),IF(NOT(ISNUMBER(D426)),"国内库存待补",IF(D426=0,"国内无可用库存",IF(G426&gt;0,"先发国内现货","按建议量发货")))))</f>
        <v>国内无可用库存</v>
      </c>
      <c r="I426" s="28" t="n">
        <f>IF(AND(COUNT(Z426,AA426,AB426)=3,Z426&gt;=AA426,AA426&gt;=0,AB426=7),Z426-AA426,"")</f>
        <v>0</v>
      </c>
      <c r="J426" s="28" t="n">
        <f>IF(AND(COUNT(AF426,AG426,AH426)=3,AF426&gt;=AG426,AG426&gt;=0,AH426=14),AF426-AG426,"")</f>
        <v>0</v>
      </c>
      <c r="K426" s="28" t="n">
        <f>IF(AND(COUNT(AL426,AM426,AN426)=3,AL426&gt;=AM426,AM426&gt;=0,AN426=30),AL426-AM426,"")</f>
        <v>0</v>
      </c>
      <c r="L426" s="29" t="n">
        <f>IF(ISNUMBER(BI426),BI426/90,"")</f>
        <v>0.007566590786201017</v>
      </c>
      <c r="M426" s="28" t="n">
        <v>0</v>
      </c>
      <c r="N426" s="28" t="n">
        <v>0</v>
      </c>
      <c r="O426" s="28" t="n">
        <v>0</v>
      </c>
      <c r="P426" s="30" t="n">
        <f>IF(AND(ISNUMBER(L426),L426&gt;0,COUNT(M426:O426)=3,MIN(M426:O426)&gt;=0),SUM(M426:O426)/L426,"")</f>
        <v>0</v>
      </c>
      <c r="Q426" s="16" t="str">
        <v>沿用原计划SKU店铺</v>
      </c>
      <c r="R426" s="16" t="str">
        <v>已匹配</v>
      </c>
      <c r="S426" s="16" t="str">
        <v>停售</v>
      </c>
      <c r="T426" s="16" t="str">
        <v>B07</v>
      </c>
      <c r="U426" s="16" t="str">
        <v>黄色羊京绒</v>
      </c>
      <c r="V426" s="16" t="n">
        <v>10.5</v>
      </c>
      <c r="W426" s="8" t="str">
        <v>2026-10-08 至 2026-10-17</v>
      </c>
      <c r="X426" s="8" t="str">
        <v>2026-10-08、2026-10-09、2026-10-10、2026-10-11、2026-10-14、2026-10-15、2026-10-17</v>
      </c>
      <c r="Y426" s="8" t="str">
        <v>2026-10-12 有记录的停售日；2026-10-13 有记录的停售日；2026-10-16 有记录的停售日</v>
      </c>
      <c r="Z426" s="8" t="n">
        <v>0</v>
      </c>
      <c r="AA426" s="8" t="n">
        <v>0</v>
      </c>
      <c r="AB426" s="8" t="n">
        <v>7</v>
      </c>
      <c r="AC426" s="8" t="str">
        <v>2026-09-29 至 2026-10-17</v>
      </c>
      <c r="AD426" s="8" t="str">
        <v>2026-09-29、2026-09-30、2026-10-01、2026-10-02、2026-10-03、2026-10-04、2026-10-05、2026-10-08、2026-10-09、2026-10-10、2026-10-11、2026-10-14、2026-10-15、2026-10-17</v>
      </c>
      <c r="AE426" s="8" t="str">
        <v>2026-10-06 大促；2026-10-07 大促；2026-10-12 有记录的停售日；2026-10-13 有记录的停售日；2026-10-16 有记录的停售日</v>
      </c>
      <c r="AF426" s="8" t="n">
        <v>0</v>
      </c>
      <c r="AG426" s="8" t="n">
        <v>0</v>
      </c>
      <c r="AH426" s="8" t="n">
        <v>14</v>
      </c>
      <c r="AI426" s="8" t="str">
        <v>2026-09-13 至 2026-10-17</v>
      </c>
      <c r="AJ42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26" s="8" t="str">
        <v>2026-10-06 大促；2026-10-07 大促；2026-10-12 有记录的停售日；2026-10-13 有记录的停售日；2026-10-16 有记录的停售日</v>
      </c>
      <c r="AL426" s="8" t="n">
        <v>0</v>
      </c>
      <c r="AM426" s="8" t="n">
        <v>0</v>
      </c>
      <c r="AN426" s="8" t="n">
        <v>30</v>
      </c>
      <c r="AO426" s="8" t="str">
        <v>B07 / 黄色羊京绒 / 13306</v>
      </c>
      <c r="AP426" s="11" t="n">
        <v>0.7307750238224848</v>
      </c>
      <c r="AQ426" s="11" t="n">
        <v>0.7348338471341894</v>
      </c>
      <c r="AR426" s="11" t="n">
        <v>0.7478220817316438</v>
      </c>
      <c r="AS426" s="11" t="n">
        <f>IF(AND(COUNT(I426:K426,AP426:AR426)=6,MIN(AP426:AR426)&gt;0),I426/7/AP426*0.5+J426/14/AQ426*0.3+K426/30/AR426*0.2,"")</f>
        <v>0</v>
      </c>
      <c r="AT426" s="8" t="n">
        <v>0</v>
      </c>
      <c r="AU426" s="8" t="n">
        <v>0</v>
      </c>
      <c r="AV426" s="8" t="n">
        <v>85</v>
      </c>
      <c r="AW426" s="11" t="n">
        <f>IF(AND(COUNT(AT426:AV426)=3,AT426&gt;=AU426,AU426&gt;=0,AV426&gt;0),(AT426-AU426)/AV426,"")</f>
        <v>0</v>
      </c>
      <c r="AX426" s="8" t="n">
        <v>4</v>
      </c>
      <c r="AY426" s="8" t="n">
        <v>0</v>
      </c>
      <c r="AZ426" s="8" t="n">
        <v>175</v>
      </c>
      <c r="BA426" s="11" t="n">
        <f>IF(AND(COUNT(AX426:AZ426)=3,AX426&gt;=AY426,AY426&gt;=0,AZ426&gt;0),(AX426-AY426)/AZ426,"")</f>
        <v>0.022857142857142857</v>
      </c>
      <c r="BB426" s="8" t="n">
        <f>IF(COUNT(AS426,AW426,BA426)=3,1,0)</f>
        <v>1</v>
      </c>
      <c r="BC426" s="11" t="n">
        <f>IF(SUMIF($AO$11:$AO$1309,AO426,$BB$11:$BB$1309)=COUNTIF($AO$11:$AO$1309,AO426),SUMIF($AO$11:$AO$1309,AO426,$AS$11:$AS$1309),"")</f>
        <v>0.2573030152763903</v>
      </c>
      <c r="BD426" s="11" t="n">
        <f>IF(SUMIF($AO$11:$AO$1309,AO426,$BB$11:$BB$1309)=COUNTIF($AO$11:$AO$1309,AO426),SUMIF($AO$11:$AO$1309,AO426,$AW$11:$AW$1309),"")</f>
        <v>0.15909090909090912</v>
      </c>
      <c r="BE426" s="11" t="n">
        <f>IF(SUMIF($AO$11:$AO$1309,AO426,$BB$11:$BB$1309)=COUNTIF($AO$11:$AO$1309,AO426),SUMIF($AO$11:$AO$1309,AO426,$BA$11:$BA$1309),"")</f>
        <v>0.20301765650080256</v>
      </c>
      <c r="BF426" s="12" t="n">
        <f>IF(COUNT(BD426:BE426)&lt;&gt;2,"",IF(AND(BD426&gt;0,BE426&gt;0),0.7*AW426/BD426+0.3*BA426/BE426,IF(BD426&gt;0,AW426/BD426,IF(BE426&gt;0,BA426/BE426,IF(AND(ISNUMBER(BH426),BH426=0),0,"")))))</f>
        <v>0.03377609108159393</v>
      </c>
      <c r="BG426" s="11" t="n">
        <f>IF(AND(COUNT(BN426:BU426)=8,MIN(BN426:BU426)&gt;=0),SUMPRODUCT(BN426:BQ426,BR426:BU426),"")</f>
        <v>78.35892944347341</v>
      </c>
      <c r="BH426" s="11" t="n">
        <f>IF(COUNT(BC426,BG426)=2,BC426*BG426,"")</f>
        <v>20.16198881963563</v>
      </c>
      <c r="BI426" s="11" t="n">
        <f>IF(ISNUMBER(CI426),CI426,"")</f>
        <v>0.6809931707580915</v>
      </c>
      <c r="BJ426" s="8" t="str">
        <v>近180天本色销量50双（＜90），无有效新采购，请运营判断</v>
      </c>
      <c r="BK426" s="8" t="str">
        <v>90天：2026-07-20 至 2026-10-17；180天：2026-04-21 至 2026-10-17</v>
      </c>
      <c r="BL426" s="8" t="str">
        <v>90天：2026-10-06、2026-10-07、2026-10-12、2026-10-13、2026-10-16；180天：2026-10-06、2026-10-07、2026-10-12、2026-10-13、2026-10-16</v>
      </c>
      <c r="BM426" s="8" t="str">
        <v>2026-10：12天 × 0.7307750238224848；2026-11：30天 × 0.9523018155490097；2026-12：31天 × 0.5958545198749097；2027-01：17天 × 1.3264167397065354</v>
      </c>
      <c r="BN426" s="11" t="n">
        <v>0.7307750238224848</v>
      </c>
      <c r="BO426" s="11" t="n">
        <v>0.9523018155490097</v>
      </c>
      <c r="BP426" s="11" t="n">
        <v>0.5958545198749097</v>
      </c>
      <c r="BQ426" s="11" t="n">
        <v>1.3264167397065354</v>
      </c>
      <c r="BR426" s="8" t="n">
        <v>12</v>
      </c>
      <c r="BS426" s="8" t="n">
        <v>30</v>
      </c>
      <c r="BT426" s="8" t="n">
        <v>31</v>
      </c>
      <c r="BU426" s="8" t="n">
        <v>17</v>
      </c>
      <c r="BV426" s="11" t="n">
        <f>IF(COUNT(BC426,BF426)=2,BC426*BF426,"")</f>
        <v>0.008690690079544114</v>
      </c>
      <c r="BW426" s="11" t="n">
        <f>IF(ISNUMBER(BN426),BN426,"")</f>
        <v>0.7307750238224848</v>
      </c>
      <c r="BX426" s="14" t="n">
        <f>IF(ISNUMBER(BR426),BR426,"")</f>
        <v>12</v>
      </c>
      <c r="BY426" s="13" t="n">
        <f>IF(AND(COUNT(BV426,BW426,BX426)=3,MIN(BV426,BW426,BX426)&gt;=0),BV426*BW426*BX426,"")</f>
        <v>0.0762112709989522</v>
      </c>
      <c r="BZ426" s="11" t="n">
        <f>IF(ISNUMBER(BO426),BO426,"")</f>
        <v>0.9523018155490097</v>
      </c>
      <c r="CA426" s="14" t="n">
        <f>IF(ISNUMBER(BS426),BS426,"")</f>
        <v>30</v>
      </c>
      <c r="CB426" s="13" t="n">
        <f>IF(AND(COUNT(BV426,BZ426,CA426)=3,MIN(BV426,BZ426,CA426)&gt;=0),BV426*BZ426*CA426,"")</f>
        <v>0.2482847982337088</v>
      </c>
      <c r="CC426" s="11" t="n">
        <f>IF(ISNUMBER(BP426),BP426,"")</f>
        <v>0.5958545198749097</v>
      </c>
      <c r="CD426" s="14" t="n">
        <f>IF(ISNUMBER(BT426),BT426,"")</f>
        <v>31</v>
      </c>
      <c r="CE426" s="13" t="n">
        <f>IF(AND(COUNT(BV426,CC426,CD426)=3,MIN(BV426,CC426,CD426)&gt;=0),BV426*CC426*CD426,"")</f>
        <v>0.16052999590658035</v>
      </c>
      <c r="CF426" s="11" t="n">
        <f>IF(ISNUMBER(BQ426),BQ426,"")</f>
        <v>1.3264167397065354</v>
      </c>
      <c r="CG426" s="14" t="n">
        <f>IF(ISNUMBER(BU426),BU426,"")</f>
        <v>17</v>
      </c>
      <c r="CH426" s="13" t="n">
        <f>IF(AND(COUNT(BV426,CF426,CG426)=3,MIN(BV426,CF426,CG426)&gt;=0),BV426*CF426*CG426,"")</f>
        <v>0.19596710561885017</v>
      </c>
      <c r="CI426" s="13" t="n">
        <f>IF(COUNT(BY426,CB426,CE426,CH426)=4,SUM(BY426,CB426,CE426,CH426),"")</f>
        <v>0.6809931707580915</v>
      </c>
    </row>
    <row r="427" ht="72" customHeight="1">
      <c r="A427" s="16" t="str">
        <v>B07-RD-Z-0-39</v>
      </c>
      <c r="B427" s="16" t="str">
        <v>4店-彬郁-US</v>
      </c>
      <c r="C427" s="16" t="str">
        <v>艾年</v>
      </c>
      <c r="D427" s="26" t="n">
        <f>IF(NOT(ISNUMBER(E427)),"",IF(OR(E427&lt;=0,L427=0),0,IF(OR(NOT(ISNUMBER(F427)),F427&lt;0),"",MIN(E427,INT(F427)))))</f>
        <v>0</v>
      </c>
      <c r="E427" s="27" t="n">
        <f>IF(OR(NOT(ISNUMBER(L427)),COUNT(M427:O427)&lt;&gt;3,MIN(M427:O427)&lt;0),"",ROUNDUP(ROUND(BI427-SUM(M427:O427),10),0))</f>
        <v>1</v>
      </c>
      <c r="F427" s="28" t="n">
        <v>0</v>
      </c>
      <c r="G427" s="28" t="n">
        <f>IF(AND(ISNUMBER(D427),ISNUMBER(E427)),IF(OR(E427&lt;=0,L427=0),0,E427-D427),"")</f>
        <v>1</v>
      </c>
      <c r="H427" s="16" t="str">
        <f>IF(NOT(ISNUMBER(E427)),"销量或海外库存待补",IF(OR(E427&lt;=0,L427=0),IF(L427=0,"零日销，本批不发","本批无需补货"),IF(NOT(ISNUMBER(D427)),"国内库存待补",IF(D427=0,"国内无可用库存",IF(G427&gt;0,"先发国内现货","按建议量发货")))))</f>
        <v>国内无可用库存</v>
      </c>
      <c r="I427" s="28" t="n">
        <f>IF(AND(COUNT(Z427,AA427,AB427)=3,Z427&gt;=AA427,AA427&gt;=0,AB427=7),Z427-AA427,"")</f>
        <v>1</v>
      </c>
      <c r="J427" s="28" t="n">
        <f>IF(AND(COUNT(AF427,AG427,AH427)=3,AF427&gt;=AG427,AG427&gt;=0,AH427=14),AF427-AG427,"")</f>
        <v>1</v>
      </c>
      <c r="K427" s="28" t="n">
        <f>IF(AND(COUNT(AL427,AM427,AN427)=3,AL427&gt;=AM427,AM427&gt;=0,AN427=30),AL427-AM427,"")</f>
        <v>3</v>
      </c>
      <c r="L427" s="29" t="n">
        <f>IF(ISNUMBER(BI427),BI427/90,"")</f>
        <v>0.08093325760050184</v>
      </c>
      <c r="M427" s="28" t="n">
        <v>7</v>
      </c>
      <c r="N427" s="28" t="n">
        <v>0</v>
      </c>
      <c r="O427" s="28" t="n">
        <v>0</v>
      </c>
      <c r="P427" s="30" t="n">
        <f>IF(AND(ISNUMBER(L427),L427&gt;0,COUNT(M427:O427)=3,MIN(M427:O427)&gt;=0),SUM(M427:O427)/L427,"")</f>
        <v>86.49101997788108</v>
      </c>
      <c r="Q427" s="16" t="str">
        <v>沿用原计划SKU店铺</v>
      </c>
      <c r="R427" s="16" t="str">
        <v>已匹配</v>
      </c>
      <c r="S427" s="16" t="str">
        <v>在售</v>
      </c>
      <c r="T427" s="16" t="str">
        <v>B07</v>
      </c>
      <c r="U427" s="16" t="str">
        <v>红色镜面PU</v>
      </c>
      <c r="V427" s="16" t="n">
        <v>8</v>
      </c>
      <c r="W427" s="8" t="str">
        <v>2026-10-11 至 2026-10-17</v>
      </c>
      <c r="X427" s="8" t="str">
        <v>2026-10-11、2026-10-12、2026-10-13、2026-10-14、2026-10-15、2026-10-16、2026-10-17</v>
      </c>
      <c r="Y427" s="8" t="str">
        <v>无</v>
      </c>
      <c r="Z427" s="8" t="n">
        <v>1</v>
      </c>
      <c r="AA427" s="8" t="n">
        <v>0</v>
      </c>
      <c r="AB427" s="8" t="n">
        <v>7</v>
      </c>
      <c r="AC427" s="8" t="str">
        <v>2026-10-02 至 2026-10-17</v>
      </c>
      <c r="AD427" s="8" t="str">
        <v>2026-10-02、2026-10-03、2026-10-04、2026-10-05、2026-10-08、2026-10-09、2026-10-10、2026-10-11、2026-10-12、2026-10-13、2026-10-14、2026-10-15、2026-10-16、2026-10-17</v>
      </c>
      <c r="AE427" s="8" t="str">
        <v>2026-10-06 大促；2026-10-07 大促</v>
      </c>
      <c r="AF427" s="8" t="n">
        <v>2</v>
      </c>
      <c r="AG427" s="8" t="n">
        <v>1</v>
      </c>
      <c r="AH427" s="8" t="n">
        <v>14</v>
      </c>
      <c r="AI427" s="8" t="str">
        <v>2026-09-16 至 2026-10-17</v>
      </c>
      <c r="AJ4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27" s="8" t="str">
        <v>2026-10-06 大促；2026-10-07 大促</v>
      </c>
      <c r="AL427" s="8" t="n">
        <v>4</v>
      </c>
      <c r="AM427" s="8" t="n">
        <v>1</v>
      </c>
      <c r="AN427" s="8" t="n">
        <v>30</v>
      </c>
      <c r="AO427" s="8" t="str">
        <v>B07 / 红色羊京绒 / 13306</v>
      </c>
      <c r="AP427" s="11" t="n">
        <v>0.7307750238224848</v>
      </c>
      <c r="AQ427" s="11" t="n">
        <v>0.7307750238224848</v>
      </c>
      <c r="AR427" s="11" t="n">
        <v>0.7449809054134506</v>
      </c>
      <c r="AS427" s="11" t="n">
        <f>IF(AND(COUNT(I427:K427,AP427:AR427)=6,MIN(AP427:AR427)&gt;0),I427/7/AP427*0.5+J427/14/AQ427*0.3+K427/30/AR427*0.2,"")</f>
        <v>0.15391298753654872</v>
      </c>
      <c r="AT427" s="8" t="n">
        <v>6</v>
      </c>
      <c r="AU427" s="8" t="n">
        <v>1</v>
      </c>
      <c r="AV427" s="8" t="n">
        <v>88</v>
      </c>
      <c r="AW427" s="11" t="n">
        <f>IF(AND(COUNT(AT427:AV427)=3,AT427&gt;=AU427,AU427&gt;=0,AV427&gt;0),(AT427-AU427)/AV427,"")</f>
        <v>0.056818181818181816</v>
      </c>
      <c r="AX427" s="8" t="n">
        <v>11</v>
      </c>
      <c r="AY427" s="8" t="n">
        <v>1</v>
      </c>
      <c r="AZ427" s="8" t="n">
        <v>178</v>
      </c>
      <c r="BA427" s="11" t="n">
        <f>IF(AND(COUNT(AX427:AZ427)=3,AX427&gt;=AY427,AY427&gt;=0,AZ427&gt;0),(AX427-AY427)/AZ427,"")</f>
        <v>0.056179775280898875</v>
      </c>
      <c r="BB427" s="8" t="n">
        <f>IF(COUNT(AS427,AW427,BA427)=3,1,0)</f>
        <v>1</v>
      </c>
      <c r="BC427" s="11" t="n">
        <f>IF(SUMIF($AO$11:$AO$1309,AO427,$BB$11:$BB$1309)=COUNTIF($AO$11:$AO$1309,AO427),SUMIF($AO$11:$AO$1309,AO427,$AS$11:$AS$1309),"")</f>
        <v>0.5380867011380766</v>
      </c>
      <c r="BD427" s="11" t="n">
        <f>IF(SUMIF($AO$11:$AO$1309,AO427,$BB$11:$BB$1309)=COUNTIF($AO$11:$AO$1309,AO427),SUMIF($AO$11:$AO$1309,AO427,$AW$11:$AW$1309),"")</f>
        <v>0.35267379679144384</v>
      </c>
      <c r="BE427" s="11" t="n">
        <f>IF(SUMIF($AO$11:$AO$1309,AO427,$BB$11:$BB$1309)=COUNTIF($AO$11:$AO$1309,AO427),SUMIF($AO$11:$AO$1309,AO427,$BA$11:$BA$1309),"")</f>
        <v>0.28099518459069023</v>
      </c>
      <c r="BF427" s="12" t="n">
        <f>IF(COUNT(BD427:BE427)&lt;&gt;2,"",IF(AND(BD427&gt;0,BE427&gt;0),0.7*AW427/BD427+0.3*BA427/BE427,IF(BD427&gt;0,AW427/BD427,IF(BE427&gt;0,BA427/BE427,IF(AND(ISNUMBER(BH427),BH427=0),0,"")))))</f>
        <v>0.17275426503829683</v>
      </c>
      <c r="BG427" s="11" t="n">
        <f>IF(AND(COUNT(BN427:BU427)=8,MIN(BN427:BU427)&gt;=0),SUMPRODUCT(BN427:BQ427,BR427:BU427),"")</f>
        <v>78.35892944347341</v>
      </c>
      <c r="BH427" s="11" t="n">
        <f>IF(COUNT(BC427,BG427)=2,BC427*BG427,"")</f>
        <v>42.16389784894991</v>
      </c>
      <c r="BI427" s="11" t="n">
        <f>IF(ISNUMBER(CI427),CI427,"")</f>
        <v>7.2839931840451655</v>
      </c>
      <c r="BJ427" s="8" t="str">
        <v>低销提醒依据不完整</v>
      </c>
      <c r="BK427" s="8" t="str">
        <v>90天：2026-07-20 至 2026-10-17；180天：2026-04-21 至 2026-10-17</v>
      </c>
      <c r="BL427" s="8" t="str">
        <v>90天：2026-10-06、2026-10-07；180天：2026-10-06、2026-10-07</v>
      </c>
      <c r="BM427" s="8" t="str">
        <v>2026-10：12天 × 0.7307750238224848；2026-11：30天 × 0.9523018155490097；2026-12：31天 × 0.5958545198749097；2027-01：17天 × 1.3264167397065354</v>
      </c>
      <c r="BN427" s="11" t="n">
        <v>0.7307750238224848</v>
      </c>
      <c r="BO427" s="11" t="n">
        <v>0.9523018155490097</v>
      </c>
      <c r="BP427" s="11" t="n">
        <v>0.5958545198749097</v>
      </c>
      <c r="BQ427" s="11" t="n">
        <v>1.3264167397065354</v>
      </c>
      <c r="BR427" s="8" t="n">
        <v>12</v>
      </c>
      <c r="BS427" s="8" t="n">
        <v>30</v>
      </c>
      <c r="BT427" s="8" t="n">
        <v>31</v>
      </c>
      <c r="BU427" s="8" t="n">
        <v>17</v>
      </c>
      <c r="BV427" s="11" t="n">
        <f>IF(COUNT(BC427,BF427)=2,BC427*BF427,"")</f>
        <v>0.09295677258199009</v>
      </c>
      <c r="BW427" s="11" t="n">
        <f>IF(ISNUMBER(BN427),BN427,"")</f>
        <v>0.7307750238224848</v>
      </c>
      <c r="BX427" s="14" t="n">
        <f>IF(ISNUMBER(BR427),BR427,"")</f>
        <v>12</v>
      </c>
      <c r="BY427" s="13" t="n">
        <f>IF(AND(COUNT(BV427,BW427,BX427)=3,MIN(BV427,BW427,BX427)&gt;=0),BV427*BW427*BX427,"")</f>
        <v>0.8151658523767814</v>
      </c>
      <c r="BZ427" s="11" t="n">
        <f>IF(ISNUMBER(BO427),BO427,"")</f>
        <v>0.9523018155490097</v>
      </c>
      <c r="CA427" s="14" t="n">
        <f>IF(ISNUMBER(BS427),BS427,"")</f>
        <v>30</v>
      </c>
      <c r="CB427" s="13" t="n">
        <f>IF(AND(COUNT(BV427,BZ427,CA427)=3,MIN(BV427,BZ427,CA427)&gt;=0),BV427*BZ427*CA427,"")</f>
        <v>2.6556870989221673</v>
      </c>
      <c r="CC427" s="11" t="n">
        <f>IF(ISNUMBER(BP427),BP427,"")</f>
        <v>0.5958545198749097</v>
      </c>
      <c r="CD427" s="14" t="n">
        <f>IF(ISNUMBER(BT427),BT427,"")</f>
        <v>31</v>
      </c>
      <c r="CE427" s="13" t="n">
        <f>IF(AND(COUNT(BV427,CC427,CD427)=3,MIN(BV427,CC427,CD427)&gt;=0),BV427*CC427*CD427,"")</f>
        <v>1.7170501059748489</v>
      </c>
      <c r="CF427" s="11" t="n">
        <f>IF(ISNUMBER(BQ427),BQ427,"")</f>
        <v>1.3264167397065354</v>
      </c>
      <c r="CG427" s="14" t="n">
        <f>IF(ISNUMBER(BU427),BU427,"")</f>
        <v>17</v>
      </c>
      <c r="CH427" s="13" t="n">
        <f>IF(AND(COUNT(BV427,CF427,CG427)=3,MIN(BV427,CF427,CG427)&gt;=0),BV427*CF427*CG427,"")</f>
        <v>2.0960901267713674</v>
      </c>
      <c r="CI427" s="13" t="n">
        <f>IF(COUNT(BY427,CB427,CE427,CH427)=4,SUM(BY427,CB427,CE427,CH427),"")</f>
        <v>7.2839931840451655</v>
      </c>
    </row>
    <row r="428" ht="72" customHeight="1">
      <c r="A428" s="16" t="str">
        <v>B07-WT-37-New</v>
      </c>
      <c r="B428" s="16" t="str">
        <v>4店-彬郁-US</v>
      </c>
      <c r="C428" s="16" t="str">
        <v>艾年</v>
      </c>
      <c r="D428" s="26" t="n">
        <f>IF(NOT(ISNUMBER(E428)),"",IF(OR(E428&lt;=0,L428=0),0,IF(OR(NOT(ISNUMBER(F428)),F428&lt;0),"",MIN(E428,INT(F428)))))</f>
        <v>0</v>
      </c>
      <c r="E428" s="27" t="n">
        <f>IF(OR(NOT(ISNUMBER(L428)),COUNT(M428:O428)&lt;&gt;3,MIN(M428:O428)&lt;0),"",ROUNDUP(ROUND(BI428-SUM(M428:O428),10),0))</f>
        <v>1</v>
      </c>
      <c r="F428" s="28" t="n">
        <v>0</v>
      </c>
      <c r="G428" s="28" t="n">
        <f>IF(AND(ISNUMBER(D428),ISNUMBER(E428)),IF(OR(E428&lt;=0,L428=0),0,E428-D428),"")</f>
        <v>1</v>
      </c>
      <c r="H428" s="16" t="str">
        <f>IF(NOT(ISNUMBER(E428)),"销量或海外库存待补",IF(OR(E428&lt;=0,L428=0),IF(L428=0,"零日销，本批不发","本批无需补货"),IF(NOT(ISNUMBER(D428)),"国内库存待补",IF(D428=0,"国内无可用库存",IF(G428&gt;0,"先发国内现货","按建议量发货")))))</f>
        <v>国内无可用库存</v>
      </c>
      <c r="I428" s="28" t="n">
        <f>IF(AND(COUNT(Z428,AA428,AB428)=3,Z428&gt;=AA428,AA428&gt;=0,AB428=7),Z428-AA428,"")</f>
        <v>0</v>
      </c>
      <c r="J428" s="28" t="n">
        <f>IF(AND(COUNT(AF428,AG428,AH428)=3,AF428&gt;=AG428,AG428&gt;=0,AH428=14),AF428-AG428,"")</f>
        <v>0</v>
      </c>
      <c r="K428" s="28" t="n">
        <f>IF(AND(COUNT(AL428,AM428,AN428)=3,AL428&gt;=AM428,AM428&gt;=0,AN428=30),AL428-AM428,"")</f>
        <v>1</v>
      </c>
      <c r="L428" s="29" t="n">
        <f>IF(ISNUMBER(BI428),BI428/90,"")</f>
        <v>0.027697101774346006</v>
      </c>
      <c r="M428" s="28" t="n">
        <v>2</v>
      </c>
      <c r="N428" s="28" t="n">
        <v>0</v>
      </c>
      <c r="O428" s="28" t="n">
        <v>0</v>
      </c>
      <c r="P428" s="30" t="n">
        <f>IF(AND(ISNUMBER(L428),L428&gt;0,COUNT(M428:O428)=3,MIN(M428:O428)&gt;=0),SUM(M428:O428)/L428,"")</f>
        <v>72.20972130204856</v>
      </c>
      <c r="Q428" s="16" t="str">
        <v>沿用原计划SKU店铺</v>
      </c>
      <c r="R428" s="16" t="str">
        <v>已匹配</v>
      </c>
      <c r="S428" s="16" t="str">
        <v>在售</v>
      </c>
      <c r="T428" s="16" t="str">
        <v>B07</v>
      </c>
      <c r="U428" s="16" t="str">
        <v>白色PU</v>
      </c>
      <c r="V428" s="16" t="n">
        <v>6</v>
      </c>
      <c r="W428" s="8" t="str">
        <v>2026-10-11 至 2026-10-17</v>
      </c>
      <c r="X428" s="8" t="str">
        <v>2026-10-11、2026-10-12、2026-10-13、2026-10-14、2026-10-15、2026-10-16、2026-10-17</v>
      </c>
      <c r="Y428" s="8" t="str">
        <v>无</v>
      </c>
      <c r="Z428" s="8" t="n">
        <v>0</v>
      </c>
      <c r="AA428" s="8" t="n">
        <v>0</v>
      </c>
      <c r="AB428" s="8" t="n">
        <v>7</v>
      </c>
      <c r="AC428" s="8" t="str">
        <v>2026-10-02 至 2026-10-17</v>
      </c>
      <c r="AD428" s="8" t="str">
        <v>2026-10-02、2026-10-03、2026-10-04、2026-10-05、2026-10-08、2026-10-09、2026-10-10、2026-10-11、2026-10-12、2026-10-13、2026-10-14、2026-10-15、2026-10-16、2026-10-17</v>
      </c>
      <c r="AE428" s="8" t="str">
        <v>2026-10-06 大促；2026-10-07 大促</v>
      </c>
      <c r="AF428" s="8" t="n">
        <v>0</v>
      </c>
      <c r="AG428" s="8" t="n">
        <v>0</v>
      </c>
      <c r="AH428" s="8" t="n">
        <v>14</v>
      </c>
      <c r="AI428" s="8" t="str">
        <v>2026-09-16 至 2026-10-17</v>
      </c>
      <c r="AJ4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28" s="8" t="str">
        <v>2026-10-06 大促；2026-10-07 大促</v>
      </c>
      <c r="AL428" s="8" t="n">
        <v>1</v>
      </c>
      <c r="AM428" s="8" t="n">
        <v>0</v>
      </c>
      <c r="AN428" s="8" t="n">
        <v>30</v>
      </c>
      <c r="AO428" s="8" t="str">
        <v>B07 / 白色PU / 13306</v>
      </c>
      <c r="AP428" s="11" t="n">
        <v>0.7307750238224848</v>
      </c>
      <c r="AQ428" s="11" t="n">
        <v>0.7307750238224848</v>
      </c>
      <c r="AR428" s="11" t="n">
        <v>0.7449809054134506</v>
      </c>
      <c r="AS428" s="11" t="n">
        <f>IF(AND(COUNT(I428:K428,AP428:AR428)=6,MIN(AP428:AR428)&gt;0),I428/7/AP428*0.5+J428/14/AQ428*0.3+K428/30/AR428*0.2,"")</f>
        <v>0.008948775221247839</v>
      </c>
      <c r="AT428" s="8" t="n">
        <v>2</v>
      </c>
      <c r="AU428" s="8" t="n">
        <v>0</v>
      </c>
      <c r="AV428" s="8" t="n">
        <v>88</v>
      </c>
      <c r="AW428" s="11" t="n">
        <f>IF(AND(COUNT(AT428:AV428)=3,AT428&gt;=AU428,AU428&gt;=0,AV428&gt;0),(AT428-AU428)/AV428,"")</f>
        <v>0.022727272727272728</v>
      </c>
      <c r="AX428" s="8" t="n">
        <v>6</v>
      </c>
      <c r="AY428" s="8" t="n">
        <v>0</v>
      </c>
      <c r="AZ428" s="8" t="n">
        <v>178</v>
      </c>
      <c r="BA428" s="11" t="n">
        <f>IF(AND(COUNT(AX428:AZ428)=3,AX428&gt;=AY428,AY428&gt;=0,AZ428&gt;0),(AX428-AY428)/AZ428,"")</f>
        <v>0.033707865168539325</v>
      </c>
      <c r="BB428" s="8" t="n">
        <f>IF(COUNT(AS428,AW428,BA428)=3,1,0)</f>
        <v>1</v>
      </c>
      <c r="BC428" s="11" t="n">
        <f>IF(SUMIF($AO$11:$AO$1309,AO428,$BB$11:$BB$1309)=COUNTIF($AO$11:$AO$1309,AO428),SUMIF($AO$11:$AO$1309,AO428,$AS$11:$AS$1309),"")</f>
        <v>0.16263180041702485</v>
      </c>
      <c r="BD428" s="11" t="n">
        <f>IF(SUMIF($AO$11:$AO$1309,AO428,$BB$11:$BB$1309)=COUNTIF($AO$11:$AO$1309,AO428),SUMIF($AO$11:$AO$1309,AO428,$AW$11:$AW$1309),"")</f>
        <v>0.11524064171122994</v>
      </c>
      <c r="BE428" s="11" t="n">
        <f>IF(SUMIF($AO$11:$AO$1309,AO428,$BB$11:$BB$1309)=COUNTIF($AO$11:$AO$1309,AO428),SUMIF($AO$11:$AO$1309,AO428,$BA$11:$BA$1309),"")</f>
        <v>0.17569823434991974</v>
      </c>
      <c r="BF428" s="12" t="n">
        <f>IF(COUNT(BD428:BE428)&lt;&gt;2,"",IF(AND(BD428&gt;0,BE428&gt;0),0.7*AW428/BD428+0.3*BA428/BE428,IF(BD428&gt;0,AW428/BD428,IF(BE428&gt;0,BA428/BE428,IF(AND(ISNUMBER(BH428),BH428=0),0,"")))))</f>
        <v>0.1956063154155201</v>
      </c>
      <c r="BG428" s="11" t="n">
        <f>IF(AND(COUNT(BN428:BU428)=8,MIN(BN428:BU428)&gt;=0),SUMPRODUCT(BN428:BQ428,BR428:BU428),"")</f>
        <v>78.35892944347341</v>
      </c>
      <c r="BH428" s="11" t="n">
        <f>IF(COUNT(BC428,BG428)=2,BC428*BG428,"")</f>
        <v>12.7436537741427</v>
      </c>
      <c r="BI428" s="11" t="n">
        <f>IF(ISNUMBER(CI428),CI428,"")</f>
        <v>2.4927391596911406</v>
      </c>
      <c r="BJ428" s="8" t="str"/>
      <c r="BK428" s="8" t="str">
        <v>90天：2026-07-20 至 2026-10-17；180天：2026-04-21 至 2026-10-17</v>
      </c>
      <c r="BL428" s="8" t="str">
        <v>90天：2026-10-06、2026-10-07；180天：2026-10-06、2026-10-07</v>
      </c>
      <c r="BM428" s="8" t="str">
        <v>2026-10：12天 × 0.7307750238224848；2026-11：30天 × 0.9523018155490097；2026-12：31天 × 0.5958545198749097；2027-01：17天 × 1.3264167397065354</v>
      </c>
      <c r="BN428" s="11" t="n">
        <v>0.7307750238224848</v>
      </c>
      <c r="BO428" s="11" t="n">
        <v>0.9523018155490097</v>
      </c>
      <c r="BP428" s="11" t="n">
        <v>0.5958545198749097</v>
      </c>
      <c r="BQ428" s="11" t="n">
        <v>1.3264167397065354</v>
      </c>
      <c r="BR428" s="8" t="n">
        <v>12</v>
      </c>
      <c r="BS428" s="8" t="n">
        <v>30</v>
      </c>
      <c r="BT428" s="8" t="n">
        <v>31</v>
      </c>
      <c r="BU428" s="8" t="n">
        <v>17</v>
      </c>
      <c r="BV428" s="11" t="n">
        <f>IF(COUNT(BC428,BF428)=2,BC428*BF428,"")</f>
        <v>0.03181180724896648</v>
      </c>
      <c r="BW428" s="11" t="n">
        <f>IF(ISNUMBER(BN428),BN428,"")</f>
        <v>0.7307750238224848</v>
      </c>
      <c r="BX428" s="14" t="n">
        <f>IF(ISNUMBER(BR428),BR428,"")</f>
        <v>12</v>
      </c>
      <c r="BY428" s="13" t="n">
        <f>IF(AND(COUNT(BV428,BW428,BX428)=3,MIN(BV428,BW428,BX428)&gt;=0),BV428*BW428*BX428,"")</f>
        <v>0.27896729040239726</v>
      </c>
      <c r="BZ428" s="11" t="n">
        <f>IF(ISNUMBER(BO428),BO428,"")</f>
        <v>0.9523018155490097</v>
      </c>
      <c r="CA428" s="14" t="n">
        <f>IF(ISNUMBER(BS428),BS428,"")</f>
        <v>30</v>
      </c>
      <c r="CB428" s="13" t="n">
        <f>IF(AND(COUNT(BV428,BZ428,CA428)=3,MIN(BV428,BZ428,CA428)&gt;=0),BV428*BZ428*CA428,"")</f>
        <v>0.9088332539725777</v>
      </c>
      <c r="CC428" s="11" t="n">
        <f>IF(ISNUMBER(BP428),BP428,"")</f>
        <v>0.5958545198749097</v>
      </c>
      <c r="CD428" s="14" t="n">
        <f>IF(ISNUMBER(BT428),BT428,"")</f>
        <v>31</v>
      </c>
      <c r="CE428" s="13" t="n">
        <f>IF(AND(COUNT(BV428,CC428,CD428)=3,MIN(BV428,CC428,CD428)&gt;=0),BV428*CC428*CD428,"")</f>
        <v>0.5876114831752689</v>
      </c>
      <c r="CF428" s="11" t="n">
        <f>IF(ISNUMBER(BQ428),BQ428,"")</f>
        <v>1.3264167397065354</v>
      </c>
      <c r="CG428" s="14" t="n">
        <f>IF(ISNUMBER(BU428),BU428,"")</f>
        <v>17</v>
      </c>
      <c r="CH428" s="13" t="n">
        <f>IF(AND(COUNT(BV428,CF428,CG428)=3,MIN(BV428,CF428,CG428)&gt;=0),BV428*CF428*CG428,"")</f>
        <v>0.7173271321408963</v>
      </c>
      <c r="CI428" s="13" t="n">
        <f>IF(COUNT(BY428,CB428,CE428,CH428)=4,SUM(BY428,CB428,CE428,CH428),"")</f>
        <v>2.4927391596911406</v>
      </c>
    </row>
    <row r="429" ht="72" customHeight="1">
      <c r="A429" s="16" t="str">
        <v>S02a-ND1-42</v>
      </c>
      <c r="B429" s="16" t="str">
        <v>3店-SANDIEX-US</v>
      </c>
      <c r="C429" s="16" t="str">
        <v>陈晨</v>
      </c>
      <c r="D429" s="26" t="n">
        <f>IF(NOT(ISNUMBER(E429)),"",IF(OR(E429&lt;=0,L429=0),0,IF(OR(NOT(ISNUMBER(F429)),F429&lt;0),"",MIN(E429,INT(F429)))))</f>
        <v>0</v>
      </c>
      <c r="E429" s="27" t="n">
        <f>IF(OR(NOT(ISNUMBER(L429)),COUNT(M429:O429)&lt;&gt;3,MIN(M429:O429)&lt;0),"",ROUNDUP(ROUND(BI429-SUM(M429:O429),10),0))</f>
        <v>1</v>
      </c>
      <c r="F429" s="28" t="n">
        <v>0</v>
      </c>
      <c r="G429" s="28" t="n">
        <f>IF(AND(ISNUMBER(D429),ISNUMBER(E429)),IF(OR(E429&lt;=0,L429=0),0,E429-D429),"")</f>
        <v>1</v>
      </c>
      <c r="H429" s="16" t="str">
        <f>IF(NOT(ISNUMBER(E429)),"销量或海外库存待补",IF(OR(E429&lt;=0,L429=0),IF(L429=0,"零日销，本批不发","本批无需补货"),IF(NOT(ISNUMBER(D429)),"国内库存待补",IF(D429=0,"国内无可用库存",IF(G429&gt;0,"先发国内现货","按建议量发货")))))</f>
        <v>国内无可用库存</v>
      </c>
      <c r="I429" s="28" t="n">
        <f>IF(AND(COUNT(Z429,AA429,AB429)=3,Z429&gt;=AA429,AA429&gt;=0,AB429=7),Z429-AA429,"")</f>
        <v>1</v>
      </c>
      <c r="J429" s="28" t="n">
        <f>IF(AND(COUNT(AF429,AG429,AH429)=3,AF429&gt;=AG429,AG429&gt;=0,AH429=14),AF429-AG429,"")</f>
        <v>2</v>
      </c>
      <c r="K429" s="28" t="n">
        <f>IF(AND(COUNT(AL429,AM429,AN429)=3,AL429&gt;=AM429,AM429&gt;=0,AN429=30),AL429-AM429,"")</f>
        <v>2</v>
      </c>
      <c r="L429" s="29" t="n">
        <f>IF(ISNUMBER(BI429),BI429/90,"")</f>
        <v>0.09141952380097199</v>
      </c>
      <c r="M429" s="28" t="n">
        <v>8</v>
      </c>
      <c r="N429" s="28" t="n">
        <v>0</v>
      </c>
      <c r="O429" s="28" t="n">
        <v>0</v>
      </c>
      <c r="P429" s="30" t="n">
        <f>IF(AND(ISNUMBER(L429),L429&gt;0,COUNT(M429:O429)=3,MIN(M429:O429)&gt;=0),SUM(M429:O429)/L429,"")</f>
        <v>87.50865971930322</v>
      </c>
      <c r="Q429" s="16" t="str">
        <v>沿用同SPU原计划店铺</v>
      </c>
      <c r="R429" s="16" t="str">
        <v>已匹配</v>
      </c>
      <c r="S429" s="16" t="str">
        <v>在售</v>
      </c>
      <c r="T429" s="16" t="str">
        <v>S02a</v>
      </c>
      <c r="U429" s="16" t="str">
        <v>裸色</v>
      </c>
      <c r="V429" s="16" t="n">
        <v>10.5</v>
      </c>
      <c r="W429" s="8" t="str">
        <v>2026-10-11 至 2026-10-17</v>
      </c>
      <c r="X429" s="8" t="str">
        <v>2026-10-11、2026-10-12、2026-10-13、2026-10-14、2026-10-15、2026-10-16、2026-10-17</v>
      </c>
      <c r="Y429" s="8" t="str">
        <v>无</v>
      </c>
      <c r="Z429" s="8" t="n">
        <v>1</v>
      </c>
      <c r="AA429" s="8" t="n">
        <v>0</v>
      </c>
      <c r="AB429" s="8" t="n">
        <v>7</v>
      </c>
      <c r="AC429" s="8" t="str">
        <v>2026-10-02 至 2026-10-17</v>
      </c>
      <c r="AD429" s="8" t="str">
        <v>2026-10-02、2026-10-03、2026-10-04、2026-10-05、2026-10-08、2026-10-09、2026-10-10、2026-10-11、2026-10-12、2026-10-13、2026-10-14、2026-10-15、2026-10-16、2026-10-17</v>
      </c>
      <c r="AE429" s="8" t="str">
        <v>2026-10-06 大促；2026-10-07 大促</v>
      </c>
      <c r="AF429" s="8" t="n">
        <v>2</v>
      </c>
      <c r="AG429" s="8" t="n">
        <v>0</v>
      </c>
      <c r="AH429" s="8" t="n">
        <v>14</v>
      </c>
      <c r="AI429" s="8" t="str">
        <v>2026-09-16 至 2026-10-17</v>
      </c>
      <c r="AJ4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29" s="8" t="str">
        <v>2026-10-06 大促；2026-10-07 大促</v>
      </c>
      <c r="AL429" s="8" t="n">
        <v>2</v>
      </c>
      <c r="AM429" s="8" t="n">
        <v>0</v>
      </c>
      <c r="AN429" s="8" t="n">
        <v>30</v>
      </c>
      <c r="AO429" s="8" t="str">
        <v>S02a / 裸色 / 6574</v>
      </c>
      <c r="AP429" s="11" t="n">
        <v>0.7647664488148722</v>
      </c>
      <c r="AQ429" s="11" t="n">
        <v>0.7647664488148722</v>
      </c>
      <c r="AR429" s="11" t="n">
        <v>0.8066052567225582</v>
      </c>
      <c r="AS429" s="11" t="n">
        <f>IF(AND(COUNT(I429:K429,AP429:AR429)=6,MIN(AP429:AR429)&gt;0),I429/7/AP429*0.5+J429/14/AQ429*0.3+K429/30/AR429*0.2,"")</f>
        <v>0.1659688975914472</v>
      </c>
      <c r="AT429" s="8" t="n">
        <v>2</v>
      </c>
      <c r="AU429" s="8" t="n">
        <v>0</v>
      </c>
      <c r="AV429" s="8" t="n">
        <v>88</v>
      </c>
      <c r="AW429" s="11" t="n">
        <f>IF(AND(COUNT(AT429:AV429)=3,AT429&gt;=AU429,AU429&gt;=0,AV429&gt;0),(AT429-AU429)/AV429,"")</f>
        <v>0.022727272727272728</v>
      </c>
      <c r="AX429" s="8" t="n">
        <v>7</v>
      </c>
      <c r="AY429" s="8" t="n">
        <v>0</v>
      </c>
      <c r="AZ429" s="8" t="n">
        <v>178</v>
      </c>
      <c r="BA429" s="11" t="n">
        <f>IF(AND(COUNT(AX429:AZ429)=3,AX429&gt;=AY429,AY429&gt;=0,AZ429&gt;0),(AX429-AY429)/AZ429,"")</f>
        <v>0.03932584269662921</v>
      </c>
      <c r="BB429" s="8" t="n">
        <f>IF(COUNT(AS429,AW429,BA429)=3,1,0)</f>
        <v>1</v>
      </c>
      <c r="BC429" s="11" t="n">
        <f>IF(SUMIF($AO$11:$AO$1309,AO429,$BB$11:$BB$1309)=COUNTIF($AO$11:$AO$1309,AO429),SUMIF($AO$11:$AO$1309,AO429,$AS$11:$AS$1309),"")</f>
        <v>1.7214890010212096</v>
      </c>
      <c r="BD429" s="11" t="n">
        <f>IF(SUMIF($AO$11:$AO$1309,AO429,$BB$11:$BB$1309)=COUNTIF($AO$11:$AO$1309,AO429),SUMIF($AO$11:$AO$1309,AO429,$AW$11:$AW$1309),"")</f>
        <v>0.7169661733615222</v>
      </c>
      <c r="BE429" s="11" t="n">
        <f>IF(SUMIF($AO$11:$AO$1309,AO429,$BB$11:$BB$1309)=COUNTIF($AO$11:$AO$1309,AO429),SUMIF($AO$11:$AO$1309,AO429,$BA$11:$BA$1309),"")</f>
        <v>0.6069969356486209</v>
      </c>
      <c r="BF429" s="12" t="n">
        <f>IF(COUNT(BD429:BE429)&lt;&gt;2,"",IF(AND(BD429&gt;0,BE429&gt;0),0.7*AW429/BD429+0.3*BA429/BE429,IF(BD429&gt;0,AW429/BD429,IF(BE429&gt;0,BA429/BE429,IF(AND(ISNUMBER(BH429),BH429=0),0,"")))))</f>
        <v>0.04162572236296329</v>
      </c>
      <c r="BG429" s="11" t="n">
        <f>IF(AND(COUNT(BN429:BU429)=8,MIN(BN429:BU429)&gt;=0),SUMPRODUCT(BN429:BQ429,BR429:BU429),"")</f>
        <v>114.81944114457707</v>
      </c>
      <c r="BH429" s="11" t="n">
        <f>IF(COUNT(BC429,BG429)=2,BC429*BG429,"")</f>
        <v>197.66040503379156</v>
      </c>
      <c r="BI429" s="11" t="n">
        <f>IF(ISNUMBER(CI429),CI429,"")</f>
        <v>8.227757142087478</v>
      </c>
      <c r="BJ429" s="8" t="str"/>
      <c r="BK429" s="8" t="str">
        <v>90天：2026-07-20 至 2026-10-17；180天：2026-04-21 至 2026-10-17</v>
      </c>
      <c r="BL429" s="8" t="str">
        <v>90天：2026-10-06、2026-10-07；180天：2026-10-06、2026-10-07</v>
      </c>
      <c r="BM429" s="8" t="str">
        <v>2026-10：12天 × 0.7647664488148722；2026-11：30天 × 1.5248287781391903；2026-12：31天 × 1.2288250057360348；2027-01：17天 × 1.2825767786356366</v>
      </c>
      <c r="BN429" s="11" t="n">
        <v>0.7647664488148722</v>
      </c>
      <c r="BO429" s="11" t="n">
        <v>1.5248287781391903</v>
      </c>
      <c r="BP429" s="11" t="n">
        <v>1.2288250057360348</v>
      </c>
      <c r="BQ429" s="11" t="n">
        <v>1.2825767786356366</v>
      </c>
      <c r="BR429" s="8" t="n">
        <v>12</v>
      </c>
      <c r="BS429" s="8" t="n">
        <v>30</v>
      </c>
      <c r="BT429" s="8" t="n">
        <v>31</v>
      </c>
      <c r="BU429" s="8" t="n">
        <v>17</v>
      </c>
      <c r="BV429" s="11" t="n">
        <f>IF(COUNT(BC429,BF429)=2,BC429*BF429,"")</f>
        <v>0.07165822320740389</v>
      </c>
      <c r="BW429" s="11" t="n">
        <f>IF(ISNUMBER(BN429),BN429,"")</f>
        <v>0.7647664488148722</v>
      </c>
      <c r="BX429" s="14" t="n">
        <f>IF(ISNUMBER(BR429),BR429,"")</f>
        <v>12</v>
      </c>
      <c r="BY429" s="13" t="n">
        <f>IF(AND(COUNT(BV429,BW429,BX429)=3,MIN(BV429,BW429,BX429)&gt;=0),BV429*BW429*BX429,"")</f>
        <v>0.6576216586885169</v>
      </c>
      <c r="BZ429" s="11" t="n">
        <f>IF(ISNUMBER(BO429),BO429,"")</f>
        <v>1.5248287781391903</v>
      </c>
      <c r="CA429" s="14" t="n">
        <f>IF(ISNUMBER(BS429),BS429,"")</f>
        <v>30</v>
      </c>
      <c r="CB429" s="13" t="n">
        <f>IF(AND(COUNT(BV429,BZ429,CA429)=3,MIN(BV429,BZ429,CA429)&gt;=0),BV429*BZ429*CA429,"")</f>
        <v>3.2779956281091316</v>
      </c>
      <c r="CC429" s="11" t="n">
        <f>IF(ISNUMBER(BP429),BP429,"")</f>
        <v>1.2288250057360348</v>
      </c>
      <c r="CD429" s="14" t="n">
        <f>IF(ISNUMBER(BT429),BT429,"")</f>
        <v>31</v>
      </c>
      <c r="CE429" s="13" t="n">
        <f>IF(AND(COUNT(BV429,CC429,CD429)=3,MIN(BV429,CC429,CD429)&gt;=0),BV429*CC429*CD429,"")</f>
        <v>2.729717912860037</v>
      </c>
      <c r="CF429" s="11" t="n">
        <f>IF(ISNUMBER(BQ429),BQ429,"")</f>
        <v>1.2825767786356366</v>
      </c>
      <c r="CG429" s="14" t="n">
        <f>IF(ISNUMBER(BU429),BU429,"")</f>
        <v>17</v>
      </c>
      <c r="CH429" s="13" t="n">
        <f>IF(AND(COUNT(BV429,CF429,CG429)=3,MIN(BV429,CF429,CG429)&gt;=0),BV429*CF429*CG429,"")</f>
        <v>1.5624219424297934</v>
      </c>
      <c r="CI429" s="13" t="n">
        <f>IF(COUNT(BY429,CB429,CE429,CH429)=4,SUM(BY429,CB429,CE429,CH429),"")</f>
        <v>8.227757142087478</v>
      </c>
    </row>
    <row r="430" ht="72" customHeight="1">
      <c r="A430" s="16" t="str">
        <v>1S01-BEP-37</v>
      </c>
      <c r="B430" s="16" t="str">
        <v>3店-SANDIEX-US</v>
      </c>
      <c r="C430" s="16" t="str">
        <v>徐新怡</v>
      </c>
      <c r="D430" s="26" t="n">
        <f>IF(NOT(ISNUMBER(E430)),"",IF(OR(E430&lt;=0,L430=0),0,IF(OR(NOT(ISNUMBER(F430)),F430&lt;0),"",MIN(E430,INT(F430)))))</f>
        <v>0</v>
      </c>
      <c r="E430" s="27" t="n">
        <f>IF(OR(NOT(ISNUMBER(L430)),COUNT(M430:O430)&lt;&gt;3,MIN(M430:O430)&lt;0),"",ROUNDUP(ROUND(BI430-SUM(M430:O430),10),0))</f>
        <v>-20</v>
      </c>
      <c r="F430" s="28" t="n">
        <v>20</v>
      </c>
      <c r="G430" s="28" t="n">
        <f>IF(AND(ISNUMBER(D430),ISNUMBER(E430)),IF(OR(E430&lt;=0,L430=0),0,E430-D430),"")</f>
        <v>0</v>
      </c>
      <c r="H430" s="16" t="str">
        <f>IF(NOT(ISNUMBER(E430)),"销量或海外库存待补",IF(OR(E430&lt;=0,L430=0),IF(L430=0,"零日销，本批不发","本批无需补货"),IF(NOT(ISNUMBER(D430)),"国内库存待补",IF(D430=0,"国内无可用库存",IF(G430&gt;0,"先发国内现货","按建议量发货")))))</f>
        <v>零日销，本批不发</v>
      </c>
      <c r="I430" s="28" t="n">
        <f>IF(AND(COUNT(Z430,AA430,AB430)=3,Z430&gt;=AA430,AA430&gt;=0,AB430=7),Z430-AA430,"")</f>
        <v>0</v>
      </c>
      <c r="J430" s="28" t="n">
        <f>IF(AND(COUNT(AF430,AG430,AH430)=3,AF430&gt;=AG430,AG430&gt;=0,AH430=14),AF430-AG430,"")</f>
        <v>0</v>
      </c>
      <c r="K430" s="28" t="n">
        <f>IF(AND(COUNT(AL430,AM430,AN430)=3,AL430&gt;=AM430,AM430&gt;=0,AN430=30),AL430-AM430,"")</f>
        <v>0</v>
      </c>
      <c r="L430" s="29" t="n">
        <f>IF(ISNUMBER(BI430),BI430/90,"")</f>
        <v>0</v>
      </c>
      <c r="M430" s="28" t="n">
        <v>0</v>
      </c>
      <c r="N430" s="28" t="n">
        <v>0</v>
      </c>
      <c r="O430" s="28" t="n">
        <v>20</v>
      </c>
      <c r="P430" s="30" t="str">
        <f>IF(AND(ISNUMBER(L430),L430&gt;0,COUNT(M430:O430)=3,MIN(M430:O430)&gt;=0),SUM(M430:O430)/L430,"")</f>
      </c>
      <c r="Q430" s="16" t="str">
        <v>沿用原计划SKU店铺</v>
      </c>
      <c r="R430" s="16" t="str">
        <v>已匹配</v>
      </c>
      <c r="S430" s="16" t="str">
        <v>在售</v>
      </c>
      <c r="T430" s="16" t="str">
        <v>1S01</v>
      </c>
      <c r="U430" s="16" t="str">
        <v>牛仔蓝</v>
      </c>
      <c r="V430" s="16" t="n">
        <v>6</v>
      </c>
      <c r="W430" s="8" t="str">
        <v>2026-10-11 至 2026-10-17</v>
      </c>
      <c r="X430" s="8" t="str">
        <v>2026-10-11、2026-10-12、2026-10-13、2026-10-14、2026-10-15、2026-10-16、2026-10-17</v>
      </c>
      <c r="Y430" s="8" t="str">
        <v>无</v>
      </c>
      <c r="Z430" s="8" t="n">
        <v>0</v>
      </c>
      <c r="AA430" s="8" t="n">
        <v>0</v>
      </c>
      <c r="AB430" s="8" t="n">
        <v>7</v>
      </c>
      <c r="AC430" s="8" t="str">
        <v>2026-10-02 至 2026-10-17</v>
      </c>
      <c r="AD430" s="8" t="str">
        <v>2026-10-02、2026-10-03、2026-10-04、2026-10-05、2026-10-08、2026-10-09、2026-10-10、2026-10-11、2026-10-12、2026-10-13、2026-10-14、2026-10-15、2026-10-16、2026-10-17</v>
      </c>
      <c r="AE430" s="8" t="str">
        <v>2026-10-06 大促；2026-10-07 大促</v>
      </c>
      <c r="AF430" s="8" t="n">
        <v>2</v>
      </c>
      <c r="AG430" s="8" t="n">
        <v>2</v>
      </c>
      <c r="AH430" s="8" t="n">
        <v>14</v>
      </c>
      <c r="AI430" s="8" t="str">
        <v>2026-09-16 至 2026-10-17</v>
      </c>
      <c r="AJ4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30" s="8" t="str">
        <v>2026-10-06 大促；2026-10-07 大促</v>
      </c>
      <c r="AL430" s="8" t="n">
        <v>2</v>
      </c>
      <c r="AM430" s="8" t="n">
        <v>2</v>
      </c>
      <c r="AN430" s="8" t="n">
        <v>30</v>
      </c>
      <c r="AO430" s="8" t="str">
        <v>1S01 / 牛仔蓝PU / 6574</v>
      </c>
      <c r="AP430" s="11" t="n">
        <v>0.8729500662042875</v>
      </c>
      <c r="AQ430" s="11" t="n">
        <v>0.8729500662042875</v>
      </c>
      <c r="AR430" s="11" t="n">
        <v>1.0921363354767095</v>
      </c>
      <c r="AS430" s="11" t="n">
        <f>IF(AND(COUNT(I430:K430,AP430:AR430)=6,MIN(AP430:AR430)&gt;0),I430/7/AP430*0.5+J430/14/AQ430*0.3+K430/30/AR430*0.2,"")</f>
        <v>0</v>
      </c>
      <c r="AT430" s="8" t="n">
        <v>2</v>
      </c>
      <c r="AU430" s="8" t="n">
        <v>2</v>
      </c>
      <c r="AV430" s="8" t="n">
        <v>88</v>
      </c>
      <c r="AW430" s="11" t="n">
        <f>IF(AND(COUNT(AT430:AV430)=3,AT430&gt;=AU430,AU430&gt;=0,AV430&gt;0),(AT430-AU430)/AV430,"")</f>
        <v>0</v>
      </c>
      <c r="AX430" s="8" t="n">
        <v>2</v>
      </c>
      <c r="AY430" s="8" t="n">
        <v>2</v>
      </c>
      <c r="AZ430" s="8" t="n">
        <v>178</v>
      </c>
      <c r="BA430" s="11" t="n">
        <f>IF(AND(COUNT(AX430:AZ430)=3,AX430&gt;=AY430,AY430&gt;=0,AZ430&gt;0),(AX430-AY430)/AZ430,"")</f>
        <v>0</v>
      </c>
      <c r="BB430" s="8" t="n">
        <f>IF(COUNT(AS430,AW430,BA430)=3,1,0)</f>
        <v>1</v>
      </c>
      <c r="BC430" s="11" t="n">
        <f>IF(SUMIF($AO$11:$AO$1309,AO430,$BB$11:$BB$1309)=COUNTIF($AO$11:$AO$1309,AO430),SUMIF($AO$11:$AO$1309,AO430,$AS$11:$AS$1309),"")</f>
        <v>1.0895600676000732</v>
      </c>
      <c r="BD430" s="11" t="n">
        <f>IF(SUMIF($AO$11:$AO$1309,AO430,$BB$11:$BB$1309)=COUNTIF($AO$11:$AO$1309,AO430),SUMIF($AO$11:$AO$1309,AO430,$AW$11:$AW$1309),"")</f>
        <v>0.5</v>
      </c>
      <c r="BE430" s="11" t="n">
        <f>IF(SUMIF($AO$11:$AO$1309,AO430,$BB$11:$BB$1309)=COUNTIF($AO$11:$AO$1309,AO430),SUMIF($AO$11:$AO$1309,AO430,$BA$11:$BA$1309),"")</f>
        <v>0.696629213483146</v>
      </c>
      <c r="BF430" s="12" t="n">
        <f>IF(COUNT(BD430:BE430)&lt;&gt;2,"",IF(AND(BD430&gt;0,BE430&gt;0),0.7*AW430/BD430+0.3*BA430/BE430,IF(BD430&gt;0,AW430/BD430,IF(BE430&gt;0,BA430/BE430,IF(AND(ISNUMBER(BH430),BH430=0),0,"")))))</f>
        <v>0</v>
      </c>
      <c r="BG430" s="11" t="n">
        <f>IF(AND(COUNT(BN430:BU430)=8,MIN(BN430:BU430)&gt;=0),SUMPRODUCT(BN430:BQ430,BR430:BU430),"")</f>
        <v>63.935996265425516</v>
      </c>
      <c r="BH430" s="11" t="n">
        <f>IF(COUNT(BC430,BG430)=2,BC430*BG430,"")</f>
        <v>69.66210841303506</v>
      </c>
      <c r="BI430" s="11" t="n">
        <f>IF(ISNUMBER(CI430),CI430,"")</f>
        <v>0</v>
      </c>
      <c r="BJ430" s="8" t="str"/>
      <c r="BK430" s="8" t="str">
        <v>90天：2026-07-20 至 2026-10-17；180天：2026-04-21 至 2026-10-17</v>
      </c>
      <c r="BL430" s="8" t="str">
        <v>90天：2026-10-06、2026-10-07；180天：2026-10-06、2026-10-07</v>
      </c>
      <c r="BM430" s="8" t="str">
        <v>2026-10：12天 × 0.8729500662042875；2026-11：30天 × 0.8057375774163482；2026-12：31天 × 0.532550303142279；2027-01：17天 × 0.7517299265337036</v>
      </c>
      <c r="BN430" s="11" t="n">
        <v>0.8729500662042875</v>
      </c>
      <c r="BO430" s="11" t="n">
        <v>0.8057375774163482</v>
      </c>
      <c r="BP430" s="11" t="n">
        <v>0.532550303142279</v>
      </c>
      <c r="BQ430" s="11" t="n">
        <v>0.7517299265337036</v>
      </c>
      <c r="BR430" s="8" t="n">
        <v>12</v>
      </c>
      <c r="BS430" s="8" t="n">
        <v>30</v>
      </c>
      <c r="BT430" s="8" t="n">
        <v>31</v>
      </c>
      <c r="BU430" s="8" t="n">
        <v>17</v>
      </c>
      <c r="BV430" s="11" t="n">
        <f>IF(COUNT(BC430,BF430)=2,BC430*BF430,"")</f>
        <v>0</v>
      </c>
      <c r="BW430" s="11" t="n">
        <f>IF(ISNUMBER(BN430),BN430,"")</f>
        <v>0.8729500662042875</v>
      </c>
      <c r="BX430" s="14" t="n">
        <f>IF(ISNUMBER(BR430),BR430,"")</f>
        <v>12</v>
      </c>
      <c r="BY430" s="13" t="n">
        <f>IF(AND(COUNT(BV430,BW430,BX430)=3,MIN(BV430,BW430,BX430)&gt;=0),BV430*BW430*BX430,"")</f>
        <v>0</v>
      </c>
      <c r="BZ430" s="11" t="n">
        <f>IF(ISNUMBER(BO430),BO430,"")</f>
        <v>0.8057375774163482</v>
      </c>
      <c r="CA430" s="14" t="n">
        <f>IF(ISNUMBER(BS430),BS430,"")</f>
        <v>30</v>
      </c>
      <c r="CB430" s="13" t="n">
        <f>IF(AND(COUNT(BV430,BZ430,CA430)=3,MIN(BV430,BZ430,CA430)&gt;=0),BV430*BZ430*CA430,"")</f>
        <v>0</v>
      </c>
      <c r="CC430" s="11" t="n">
        <f>IF(ISNUMBER(BP430),BP430,"")</f>
        <v>0.532550303142279</v>
      </c>
      <c r="CD430" s="14" t="n">
        <f>IF(ISNUMBER(BT430),BT430,"")</f>
        <v>31</v>
      </c>
      <c r="CE430" s="13" t="n">
        <f>IF(AND(COUNT(BV430,CC430,CD430)=3,MIN(BV430,CC430,CD430)&gt;=0),BV430*CC430*CD430,"")</f>
        <v>0</v>
      </c>
      <c r="CF430" s="11" t="n">
        <f>IF(ISNUMBER(BQ430),BQ430,"")</f>
        <v>0.7517299265337036</v>
      </c>
      <c r="CG430" s="14" t="n">
        <f>IF(ISNUMBER(BU430),BU430,"")</f>
        <v>17</v>
      </c>
      <c r="CH430" s="13" t="n">
        <f>IF(AND(COUNT(BV430,CF430,CG430)=3,MIN(BV430,CF430,CG430)&gt;=0),BV430*CF430*CG430,"")</f>
        <v>0</v>
      </c>
      <c r="CI430" s="13" t="n">
        <f>IF(COUNT(BY430,CB430,CE430,CH430)=4,SUM(BY430,CB430,CE430,CH430),"")</f>
        <v>0</v>
      </c>
    </row>
    <row r="431" ht="72" customHeight="1">
      <c r="A431" s="16" t="str">
        <v>1S01-BEP-37.5</v>
      </c>
      <c r="B431" s="16" t="str">
        <v>3店-SANDIEX-US</v>
      </c>
      <c r="C431" s="16" t="str">
        <v>徐新怡</v>
      </c>
      <c r="D431" s="26" t="n">
        <f>IF(NOT(ISNUMBER(E431)),"",IF(OR(E431&lt;=0,L431=0),0,IF(OR(NOT(ISNUMBER(F431)),F431&lt;0),"",MIN(E431,INT(F431)))))</f>
        <v>0</v>
      </c>
      <c r="E431" s="27" t="n">
        <f>IF(OR(NOT(ISNUMBER(L431)),COUNT(M431:O431)&lt;&gt;3,MIN(M431:O431)&lt;0),"",ROUNDUP(ROUND(BI431-SUM(M431:O431),10),0))</f>
        <v>0</v>
      </c>
      <c r="F431" s="28"/>
      <c r="G431" s="28" t="n">
        <f>IF(AND(ISNUMBER(D431),ISNUMBER(E431)),IF(OR(E431&lt;=0,L431=0),0,E431-D431),"")</f>
        <v>0</v>
      </c>
      <c r="H431" s="16" t="str">
        <f>IF(NOT(ISNUMBER(E431)),"销量或海外库存待补",IF(OR(E431&lt;=0,L431=0),IF(L431=0,"零日销，本批不发","本批无需补货"),IF(NOT(ISNUMBER(D431)),"国内库存待补",IF(D431=0,"国内无可用库存",IF(G431&gt;0,"先发国内现货","按建议量发货")))))</f>
        <v>零日销，本批不发</v>
      </c>
      <c r="I431" s="28" t="n">
        <f>IF(AND(COUNT(Z431,AA431,AB431)=3,Z431&gt;=AA431,AA431&gt;=0,AB431=7),Z431-AA431,"")</f>
        <v>0</v>
      </c>
      <c r="J431" s="28" t="n">
        <f>IF(AND(COUNT(AF431,AG431,AH431)=3,AF431&gt;=AG431,AG431&gt;=0,AH431=14),AF431-AG431,"")</f>
        <v>0</v>
      </c>
      <c r="K431" s="28" t="n">
        <f>IF(AND(COUNT(AL431,AM431,AN431)=3,AL431&gt;=AM431,AM431&gt;=0,AN431=30),AL431-AM431,"")</f>
        <v>0</v>
      </c>
      <c r="L431" s="29" t="n">
        <f>IF(ISNUMBER(BI431),BI431/90,"")</f>
        <v>0</v>
      </c>
      <c r="M431" s="28" t="n">
        <v>0</v>
      </c>
      <c r="N431" s="28" t="n">
        <v>0</v>
      </c>
      <c r="O431" s="28" t="n">
        <v>0</v>
      </c>
      <c r="P431" s="30" t="str">
        <f>IF(AND(ISNUMBER(L431),L431&gt;0,COUNT(M431:O431)=3,MIN(M431:O431)&gt;=0),SUM(M431:O431)/L431,"")</f>
      </c>
      <c r="Q431" s="16" t="str">
        <v>沿用同SPU原计划店铺</v>
      </c>
      <c r="R431" s="16" t="str">
        <v>未匹配</v>
      </c>
      <c r="S431" s="16" t="str">
        <v>停售</v>
      </c>
      <c r="T431" s="16" t="str">
        <v>1S01</v>
      </c>
      <c r="U431" s="16" t="str">
        <v>牛仔蓝</v>
      </c>
      <c r="V431" s="16" t="n">
        <v>6.5</v>
      </c>
      <c r="W431" s="8" t="str">
        <v>2026-10-08 至 2026-10-17</v>
      </c>
      <c r="X431" s="8" t="str">
        <v>2026-10-08、2026-10-09、2026-10-10、2026-10-11、2026-10-14、2026-10-15、2026-10-17</v>
      </c>
      <c r="Y431" s="8" t="str">
        <v>2026-10-12 有记录的停售日；2026-10-13 有记录的停售日；2026-10-16 有记录的停售日</v>
      </c>
      <c r="Z431" s="8" t="n">
        <v>0</v>
      </c>
      <c r="AA431" s="8" t="n">
        <v>0</v>
      </c>
      <c r="AB431" s="8" t="n">
        <v>7</v>
      </c>
      <c r="AC431" s="8" t="str">
        <v>2026-09-29 至 2026-10-17</v>
      </c>
      <c r="AD431" s="8" t="str">
        <v>2026-09-29、2026-09-30、2026-10-01、2026-10-02、2026-10-03、2026-10-04、2026-10-05、2026-10-08、2026-10-09、2026-10-10、2026-10-11、2026-10-14、2026-10-15、2026-10-17</v>
      </c>
      <c r="AE431" s="8" t="str">
        <v>2026-10-06 大促；2026-10-07 大促；2026-10-12 有记录的停售日；2026-10-13 有记录的停售日；2026-10-16 有记录的停售日</v>
      </c>
      <c r="AF431" s="8" t="n">
        <v>0</v>
      </c>
      <c r="AG431" s="8" t="n">
        <v>0</v>
      </c>
      <c r="AH431" s="8" t="n">
        <v>14</v>
      </c>
      <c r="AI431" s="8" t="str">
        <v>2026-09-13 至 2026-10-17</v>
      </c>
      <c r="AJ43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1" s="8" t="str">
        <v>2026-10-06 大促；2026-10-07 大促；2026-10-12 有记录的停售日；2026-10-13 有记录的停售日；2026-10-16 有记录的停售日</v>
      </c>
      <c r="AL431" s="8" t="n">
        <v>0</v>
      </c>
      <c r="AM431" s="8" t="n">
        <v>0</v>
      </c>
      <c r="AN431" s="8" t="n">
        <v>30</v>
      </c>
      <c r="AO431" s="8" t="str">
        <v>1S01 / 牛仔蓝PU / 6574</v>
      </c>
      <c r="AP431" s="11" t="n">
        <v>0.8729500662042875</v>
      </c>
      <c r="AQ431" s="11" t="n">
        <v>0.9355747145678367</v>
      </c>
      <c r="AR431" s="11" t="n">
        <v>1.135973589331194</v>
      </c>
      <c r="AS431" s="11" t="n">
        <f>IF(AND(COUNT(I431:K431,AP431:AR431)=6,MIN(AP431:AR431)&gt;0),I431/7/AP431*0.5+J431/14/AQ431*0.3+K431/30/AR431*0.2,"")</f>
        <v>0</v>
      </c>
      <c r="AT431" s="8" t="n">
        <v>0</v>
      </c>
      <c r="AU431" s="8" t="n">
        <v>0</v>
      </c>
      <c r="AV431" s="8" t="n">
        <v>85</v>
      </c>
      <c r="AW431" s="11" t="n">
        <f>IF(AND(COUNT(AT431:AV431)=3,AT431&gt;=AU431,AU431&gt;=0,AV431&gt;0),(AT431-AU431)/AV431,"")</f>
        <v>0</v>
      </c>
      <c r="AX431" s="8" t="n">
        <v>0</v>
      </c>
      <c r="AY431" s="8" t="n">
        <v>0</v>
      </c>
      <c r="AZ431" s="8" t="n">
        <v>175</v>
      </c>
      <c r="BA431" s="11" t="n">
        <f>IF(AND(COUNT(AX431:AZ431)=3,AX431&gt;=AY431,AY431&gt;=0,AZ431&gt;0),(AX431-AY431)/AZ431,"")</f>
        <v>0</v>
      </c>
      <c r="BB431" s="8" t="n">
        <f>IF(COUNT(AS431,AW431,BA431)=3,1,0)</f>
        <v>1</v>
      </c>
      <c r="BC431" s="11" t="n">
        <f>IF(SUMIF($AO$11:$AO$1309,AO431,$BB$11:$BB$1309)=COUNTIF($AO$11:$AO$1309,AO431),SUMIF($AO$11:$AO$1309,AO431,$AS$11:$AS$1309),"")</f>
        <v>1.0895600676000732</v>
      </c>
      <c r="BD431" s="11" t="n">
        <f>IF(SUMIF($AO$11:$AO$1309,AO431,$BB$11:$BB$1309)=COUNTIF($AO$11:$AO$1309,AO431),SUMIF($AO$11:$AO$1309,AO431,$AW$11:$AW$1309),"")</f>
        <v>0.5</v>
      </c>
      <c r="BE431" s="11" t="n">
        <f>IF(SUMIF($AO$11:$AO$1309,AO431,$BB$11:$BB$1309)=COUNTIF($AO$11:$AO$1309,AO431),SUMIF($AO$11:$AO$1309,AO431,$BA$11:$BA$1309),"")</f>
        <v>0.696629213483146</v>
      </c>
      <c r="BF431" s="12" t="n">
        <f>IF(COUNT(BD431:BE431)&lt;&gt;2,"",IF(AND(BD431&gt;0,BE431&gt;0),0.7*AW431/BD431+0.3*BA431/BE431,IF(BD431&gt;0,AW431/BD431,IF(BE431&gt;0,BA431/BE431,IF(AND(ISNUMBER(BH431),BH431=0),0,"")))))</f>
        <v>0</v>
      </c>
      <c r="BG431" s="11" t="n">
        <f>IF(AND(COUNT(BN431:BU431)=8,MIN(BN431:BU431)&gt;=0),SUMPRODUCT(BN431:BQ431,BR431:BU431),"")</f>
        <v>63.935996265425516</v>
      </c>
      <c r="BH431" s="11" t="n">
        <f>IF(COUNT(BC431,BG431)=2,BC431*BG431,"")</f>
        <v>69.66210841303506</v>
      </c>
      <c r="BI431" s="11" t="n">
        <f>IF(ISNUMBER(CI431),CI431,"")</f>
        <v>0</v>
      </c>
      <c r="BJ431" s="8" t="str"/>
      <c r="BK431" s="8" t="str">
        <v>90天：2026-07-20 至 2026-10-17；180天：2026-04-21 至 2026-10-17</v>
      </c>
      <c r="BL431" s="8" t="str">
        <v>90天：2026-10-06、2026-10-07、2026-10-12、2026-10-13、2026-10-16；180天：2026-10-06、2026-10-07、2026-10-12、2026-10-13、2026-10-16</v>
      </c>
      <c r="BM431" s="8" t="str">
        <v>2026-10：12天 × 0.8729500662042875；2026-11：30天 × 0.8057375774163482；2026-12：31天 × 0.532550303142279；2027-01：17天 × 0.7517299265337036</v>
      </c>
      <c r="BN431" s="11" t="n">
        <v>0.8729500662042875</v>
      </c>
      <c r="BO431" s="11" t="n">
        <v>0.8057375774163482</v>
      </c>
      <c r="BP431" s="11" t="n">
        <v>0.532550303142279</v>
      </c>
      <c r="BQ431" s="11" t="n">
        <v>0.7517299265337036</v>
      </c>
      <c r="BR431" s="8" t="n">
        <v>12</v>
      </c>
      <c r="BS431" s="8" t="n">
        <v>30</v>
      </c>
      <c r="BT431" s="8" t="n">
        <v>31</v>
      </c>
      <c r="BU431" s="8" t="n">
        <v>17</v>
      </c>
      <c r="BV431" s="11" t="n">
        <f>IF(COUNT(BC431,BF431)=2,BC431*BF431,"")</f>
        <v>0</v>
      </c>
      <c r="BW431" s="11" t="n">
        <f>IF(ISNUMBER(BN431),BN431,"")</f>
        <v>0.8729500662042875</v>
      </c>
      <c r="BX431" s="14" t="n">
        <f>IF(ISNUMBER(BR431),BR431,"")</f>
        <v>12</v>
      </c>
      <c r="BY431" s="13" t="n">
        <f>IF(AND(COUNT(BV431,BW431,BX431)=3,MIN(BV431,BW431,BX431)&gt;=0),BV431*BW431*BX431,"")</f>
        <v>0</v>
      </c>
      <c r="BZ431" s="11" t="n">
        <f>IF(ISNUMBER(BO431),BO431,"")</f>
        <v>0.8057375774163482</v>
      </c>
      <c r="CA431" s="14" t="n">
        <f>IF(ISNUMBER(BS431),BS431,"")</f>
        <v>30</v>
      </c>
      <c r="CB431" s="13" t="n">
        <f>IF(AND(COUNT(BV431,BZ431,CA431)=3,MIN(BV431,BZ431,CA431)&gt;=0),BV431*BZ431*CA431,"")</f>
        <v>0</v>
      </c>
      <c r="CC431" s="11" t="n">
        <f>IF(ISNUMBER(BP431),BP431,"")</f>
        <v>0.532550303142279</v>
      </c>
      <c r="CD431" s="14" t="n">
        <f>IF(ISNUMBER(BT431),BT431,"")</f>
        <v>31</v>
      </c>
      <c r="CE431" s="13" t="n">
        <f>IF(AND(COUNT(BV431,CC431,CD431)=3,MIN(BV431,CC431,CD431)&gt;=0),BV431*CC431*CD431,"")</f>
        <v>0</v>
      </c>
      <c r="CF431" s="11" t="n">
        <f>IF(ISNUMBER(BQ431),BQ431,"")</f>
        <v>0.7517299265337036</v>
      </c>
      <c r="CG431" s="14" t="n">
        <f>IF(ISNUMBER(BU431),BU431,"")</f>
        <v>17</v>
      </c>
      <c r="CH431" s="13" t="n">
        <f>IF(AND(COUNT(BV431,CF431,CG431)=3,MIN(BV431,CF431,CG431)&gt;=0),BV431*CF431*CG431,"")</f>
        <v>0</v>
      </c>
      <c r="CI431" s="13" t="n">
        <f>IF(COUNT(BY431,CB431,CE431,CH431)=4,SUM(BY431,CB431,CE431,CH431),"")</f>
        <v>0</v>
      </c>
    </row>
    <row r="432" ht="72" customHeight="1">
      <c r="A432" s="16" t="str">
        <v>1S01-BEP-38</v>
      </c>
      <c r="B432" s="16" t="str">
        <v>3店-SANDIEX-US</v>
      </c>
      <c r="C432" s="16" t="str">
        <v>徐新怡</v>
      </c>
      <c r="D432" s="26" t="n">
        <f>IF(NOT(ISNUMBER(E432)),"",IF(OR(E432&lt;=0,L432=0),0,IF(OR(NOT(ISNUMBER(F432)),F432&lt;0),"",MIN(E432,INT(F432)))))</f>
        <v>0</v>
      </c>
      <c r="E432" s="27" t="n">
        <f>IF(OR(NOT(ISNUMBER(L432)),COUNT(M432:O432)&lt;&gt;3,MIN(M432:O432)&lt;0),"",ROUNDUP(ROUND(BI432-SUM(M432:O432),10),0))</f>
        <v>-14</v>
      </c>
      <c r="F432" s="28" t="n">
        <v>41</v>
      </c>
      <c r="G432" s="28" t="n">
        <f>IF(AND(ISNUMBER(D432),ISNUMBER(E432)),IF(OR(E432&lt;=0,L432=0),0,E432-D432),"")</f>
        <v>0</v>
      </c>
      <c r="H432" s="16" t="str">
        <f>IF(NOT(ISNUMBER(E432)),"销量或海外库存待补",IF(OR(E432&lt;=0,L432=0),IF(L432=0,"零日销，本批不发","本批无需补货"),IF(NOT(ISNUMBER(D432)),"国内库存待补",IF(D432=0,"国内无可用库存",IF(G432&gt;0,"先发国内现货","按建议量发货")))))</f>
        <v>本批无需补货</v>
      </c>
      <c r="I432" s="28" t="n">
        <f>IF(AND(COUNT(Z432,AA432,AB432)=3,Z432&gt;=AA432,AA432&gt;=0,AB432=7),Z432-AA432,"")</f>
        <v>0</v>
      </c>
      <c r="J432" s="28" t="n">
        <f>IF(AND(COUNT(AF432,AG432,AH432)=3,AF432&gt;=AG432,AG432&gt;=0,AH432=14),AF432-AG432,"")</f>
        <v>0</v>
      </c>
      <c r="K432" s="28" t="n">
        <f>IF(AND(COUNT(AL432,AM432,AN432)=3,AL432&gt;=AM432,AM432&gt;=0,AN432=30),AL432-AM432,"")</f>
        <v>1</v>
      </c>
      <c r="L432" s="29" t="n">
        <f>IF(ISNUMBER(BI432),BI432/90,"")</f>
        <v>0.07252213632442064</v>
      </c>
      <c r="M432" s="28" t="n">
        <v>0</v>
      </c>
      <c r="N432" s="28" t="n">
        <v>0</v>
      </c>
      <c r="O432" s="28" t="n">
        <v>20</v>
      </c>
      <c r="P432" s="30" t="n">
        <f>IF(AND(ISNUMBER(L432),L432&gt;0,COUNT(M432:O432)=3,MIN(M432:O432)&gt;=0),SUM(M432:O432)/L432,"")</f>
        <v>275.77786609225035</v>
      </c>
      <c r="Q432" s="16" t="str">
        <v>沿用原计划SKU店铺</v>
      </c>
      <c r="R432" s="16" t="str">
        <v>已匹配</v>
      </c>
      <c r="S432" s="16" t="str">
        <v>在售</v>
      </c>
      <c r="T432" s="16" t="str">
        <v>1S01</v>
      </c>
      <c r="U432" s="16" t="str">
        <v>牛仔蓝</v>
      </c>
      <c r="V432" s="16" t="n">
        <v>7</v>
      </c>
      <c r="W432" s="8" t="str">
        <v>2026-10-11 至 2026-10-17</v>
      </c>
      <c r="X432" s="8" t="str">
        <v>2026-10-11、2026-10-12、2026-10-13、2026-10-14、2026-10-15、2026-10-16、2026-10-17</v>
      </c>
      <c r="Y432" s="8" t="str">
        <v>无</v>
      </c>
      <c r="Z432" s="8" t="n">
        <v>0</v>
      </c>
      <c r="AA432" s="8" t="n">
        <v>0</v>
      </c>
      <c r="AB432" s="8" t="n">
        <v>7</v>
      </c>
      <c r="AC432" s="8" t="str">
        <v>2026-10-02 至 2026-10-17</v>
      </c>
      <c r="AD432" s="8" t="str">
        <v>2026-10-02、2026-10-03、2026-10-04、2026-10-05、2026-10-08、2026-10-09、2026-10-10、2026-10-11、2026-10-12、2026-10-13、2026-10-14、2026-10-15、2026-10-16、2026-10-17</v>
      </c>
      <c r="AE432" s="8" t="str">
        <v>2026-10-06 大促；2026-10-07 大促</v>
      </c>
      <c r="AF432" s="8" t="n">
        <v>0</v>
      </c>
      <c r="AG432" s="8" t="n">
        <v>0</v>
      </c>
      <c r="AH432" s="8" t="n">
        <v>14</v>
      </c>
      <c r="AI432" s="8" t="str">
        <v>2026-09-16 至 2026-10-17</v>
      </c>
      <c r="AJ4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32" s="8" t="str">
        <v>2026-10-06 大促；2026-10-07 大促</v>
      </c>
      <c r="AL432" s="8" t="n">
        <v>1</v>
      </c>
      <c r="AM432" s="8" t="n">
        <v>0</v>
      </c>
      <c r="AN432" s="8" t="n">
        <v>30</v>
      </c>
      <c r="AO432" s="8" t="str">
        <v>1S01 / 牛仔蓝PU / 6574</v>
      </c>
      <c r="AP432" s="11" t="n">
        <v>0.8729500662042875</v>
      </c>
      <c r="AQ432" s="11" t="n">
        <v>0.8729500662042875</v>
      </c>
      <c r="AR432" s="11" t="n">
        <v>1.0921363354767095</v>
      </c>
      <c r="AS432" s="11" t="n">
        <f>IF(AND(COUNT(I432:K432,AP432:AR432)=6,MIN(AP432:AR432)&gt;0),I432/7/AP432*0.5+J432/14/AQ432*0.3+K432/30/AR432*0.2,"")</f>
        <v>0.006104243994186601</v>
      </c>
      <c r="AT432" s="8" t="n">
        <v>3</v>
      </c>
      <c r="AU432" s="8" t="n">
        <v>0</v>
      </c>
      <c r="AV432" s="8" t="n">
        <v>88</v>
      </c>
      <c r="AW432" s="11" t="n">
        <f>IF(AND(COUNT(AT432:AV432)=3,AT432&gt;=AU432,AU432&gt;=0,AV432&gt;0),(AT432-AU432)/AV432,"")</f>
        <v>0.03409090909090909</v>
      </c>
      <c r="AX432" s="8" t="n">
        <v>19</v>
      </c>
      <c r="AY432" s="8" t="n">
        <v>0</v>
      </c>
      <c r="AZ432" s="8" t="n">
        <v>178</v>
      </c>
      <c r="BA432" s="11" t="n">
        <f>IF(AND(COUNT(AX432:AZ432)=3,AX432&gt;=AY432,AY432&gt;=0,AZ432&gt;0),(AX432-AY432)/AZ432,"")</f>
        <v>0.10674157303370786</v>
      </c>
      <c r="BB432" s="8" t="n">
        <f>IF(COUNT(AS432,AW432,BA432)=3,1,0)</f>
        <v>1</v>
      </c>
      <c r="BC432" s="11" t="n">
        <f>IF(SUMIF($AO$11:$AO$1309,AO432,$BB$11:$BB$1309)=COUNTIF($AO$11:$AO$1309,AO432),SUMIF($AO$11:$AO$1309,AO432,$AS$11:$AS$1309),"")</f>
        <v>1.0895600676000732</v>
      </c>
      <c r="BD432" s="11" t="n">
        <f>IF(SUMIF($AO$11:$AO$1309,AO432,$BB$11:$BB$1309)=COUNTIF($AO$11:$AO$1309,AO432),SUMIF($AO$11:$AO$1309,AO432,$AW$11:$AW$1309),"")</f>
        <v>0.5</v>
      </c>
      <c r="BE432" s="11" t="n">
        <f>IF(SUMIF($AO$11:$AO$1309,AO432,$BB$11:$BB$1309)=COUNTIF($AO$11:$AO$1309,AO432),SUMIF($AO$11:$AO$1309,AO432,$BA$11:$BA$1309),"")</f>
        <v>0.696629213483146</v>
      </c>
      <c r="BF432" s="12" t="n">
        <f>IF(COUNT(BD432:BE432)&lt;&gt;2,"",IF(AND(BD432&gt;0,BE432&gt;0),0.7*AW432/BD432+0.3*BA432/BE432,IF(BD432&gt;0,AW432/BD432,IF(BE432&gt;0,BA432/BE432,IF(AND(ISNUMBER(BH432),BH432=0),0,"")))))</f>
        <v>0.09369501466275659</v>
      </c>
      <c r="BG432" s="11" t="n">
        <f>IF(AND(COUNT(BN432:BU432)=8,MIN(BN432:BU432)&gt;=0),SUMPRODUCT(BN432:BQ432,BR432:BU432),"")</f>
        <v>63.935996265425516</v>
      </c>
      <c r="BH432" s="11" t="n">
        <f>IF(COUNT(BC432,BG432)=2,BC432*BG432,"")</f>
        <v>69.66210841303506</v>
      </c>
      <c r="BI432" s="11" t="n">
        <f>IF(ISNUMBER(CI432),CI432,"")</f>
        <v>6.526992269197858</v>
      </c>
      <c r="BJ432" s="8" t="str"/>
      <c r="BK432" s="8" t="str">
        <v>90天：2026-07-20 至 2026-10-17；180天：2026-04-21 至 2026-10-17</v>
      </c>
      <c r="BL432" s="8" t="str">
        <v>90天：2026-10-06、2026-10-07；180天：2026-10-06、2026-10-07</v>
      </c>
      <c r="BM432" s="8" t="str">
        <v>2026-10：12天 × 0.8729500662042875；2026-11：30天 × 0.8057375774163482；2026-12：31天 × 0.532550303142279；2027-01：17天 × 0.7517299265337036</v>
      </c>
      <c r="BN432" s="11" t="n">
        <v>0.8729500662042875</v>
      </c>
      <c r="BO432" s="11" t="n">
        <v>0.8057375774163482</v>
      </c>
      <c r="BP432" s="11" t="n">
        <v>0.532550303142279</v>
      </c>
      <c r="BQ432" s="11" t="n">
        <v>0.7517299265337036</v>
      </c>
      <c r="BR432" s="8" t="n">
        <v>12</v>
      </c>
      <c r="BS432" s="8" t="n">
        <v>30</v>
      </c>
      <c r="BT432" s="8" t="n">
        <v>31</v>
      </c>
      <c r="BU432" s="8" t="n">
        <v>17</v>
      </c>
      <c r="BV432" s="11" t="n">
        <f>IF(COUNT(BC432,BF432)=2,BC432*BF432,"")</f>
        <v>0.10208634650974292</v>
      </c>
      <c r="BW432" s="11" t="n">
        <f>IF(ISNUMBER(BN432),BN432,"")</f>
        <v>0.8729500662042875</v>
      </c>
      <c r="BX432" s="14" t="n">
        <f>IF(ISNUMBER(BR432),BR432,"")</f>
        <v>12</v>
      </c>
      <c r="BY432" s="13" t="n">
        <f>IF(AND(COUNT(BV432,BW432,BX432)=3,MIN(BV432,BW432,BX432)&gt;=0),BV432*BW432*BX432,"")</f>
        <v>1.069395395330807</v>
      </c>
      <c r="BZ432" s="11" t="n">
        <f>IF(ISNUMBER(BO432),BO432,"")</f>
        <v>0.8057375774163482</v>
      </c>
      <c r="CA432" s="14" t="n">
        <f>IF(ISNUMBER(BS432),BS432,"")</f>
        <v>30</v>
      </c>
      <c r="CB432" s="13" t="n">
        <f>IF(AND(COUNT(BV432,BZ432,CA432)=3,MIN(BV432,BZ432,CA432)&gt;=0),BV432*BZ432*CA432,"")</f>
        <v>2.467644165721384</v>
      </c>
      <c r="CC432" s="11" t="n">
        <f>IF(ISNUMBER(BP432),BP432,"")</f>
        <v>0.532550303142279</v>
      </c>
      <c r="CD432" s="14" t="n">
        <f>IF(ISNUMBER(BT432),BT432,"")</f>
        <v>31</v>
      </c>
      <c r="CE432" s="13" t="n">
        <f>IF(AND(COUNT(BV432,CC432,CD432)=3,MIN(BV432,CC432,CD432)&gt;=0),BV432*CC432*CD432,"")</f>
        <v>1.6853495581939912</v>
      </c>
      <c r="CF432" s="11" t="n">
        <f>IF(ISNUMBER(BQ432),BQ432,"")</f>
        <v>0.7517299265337036</v>
      </c>
      <c r="CG432" s="14" t="n">
        <f>IF(ISNUMBER(BU432),BU432,"")</f>
        <v>17</v>
      </c>
      <c r="CH432" s="13" t="n">
        <f>IF(AND(COUNT(BV432,CF432,CG432)=3,MIN(BV432,CF432,CG432)&gt;=0),BV432*CF432*CG432,"")</f>
        <v>1.3046031499516755</v>
      </c>
      <c r="CI432" s="13" t="n">
        <f>IF(COUNT(BY432,CB432,CE432,CH432)=4,SUM(BY432,CB432,CE432,CH432),"")</f>
        <v>6.526992269197858</v>
      </c>
    </row>
    <row r="433" ht="72" customHeight="1">
      <c r="A433" s="16" t="str">
        <v>1S01-BEP-38.5</v>
      </c>
      <c r="B433" s="16" t="str">
        <v>3店-SANDIEX-US</v>
      </c>
      <c r="C433" s="16" t="str">
        <v>徐新怡</v>
      </c>
      <c r="D433" s="26" t="n">
        <f>IF(NOT(ISNUMBER(E433)),"",IF(OR(E433&lt;=0,L433=0),0,IF(OR(NOT(ISNUMBER(F433)),F433&lt;0),"",MIN(E433,INT(F433)))))</f>
        <v>0</v>
      </c>
      <c r="E433" s="27" t="n">
        <f>IF(OR(NOT(ISNUMBER(L433)),COUNT(M433:O433)&lt;&gt;3,MIN(M433:O433)&lt;0),"",ROUNDUP(ROUND(BI433-SUM(M433:O433),10),0))</f>
        <v>0</v>
      </c>
      <c r="F433" s="28"/>
      <c r="G433" s="28" t="n">
        <f>IF(AND(ISNUMBER(D433),ISNUMBER(E433)),IF(OR(E433&lt;=0,L433=0),0,E433-D433),"")</f>
        <v>0</v>
      </c>
      <c r="H433" s="16" t="str">
        <f>IF(NOT(ISNUMBER(E433)),"销量或海外库存待补",IF(OR(E433&lt;=0,L433=0),IF(L433=0,"零日销，本批不发","本批无需补货"),IF(NOT(ISNUMBER(D433)),"国内库存待补",IF(D433=0,"国内无可用库存",IF(G433&gt;0,"先发国内现货","按建议量发货")))))</f>
        <v>零日销，本批不发</v>
      </c>
      <c r="I433" s="28" t="n">
        <f>IF(AND(COUNT(Z433,AA433,AB433)=3,Z433&gt;=AA433,AA433&gt;=0,AB433=7),Z433-AA433,"")</f>
        <v>0</v>
      </c>
      <c r="J433" s="28" t="n">
        <f>IF(AND(COUNT(AF433,AG433,AH433)=3,AF433&gt;=AG433,AG433&gt;=0,AH433=14),AF433-AG433,"")</f>
        <v>0</v>
      </c>
      <c r="K433" s="28" t="n">
        <f>IF(AND(COUNT(AL433,AM433,AN433)=3,AL433&gt;=AM433,AM433&gt;=0,AN433=30),AL433-AM433,"")</f>
        <v>0</v>
      </c>
      <c r="L433" s="29" t="n">
        <f>IF(ISNUMBER(BI433),BI433/90,"")</f>
        <v>0</v>
      </c>
      <c r="M433" s="28" t="n">
        <v>0</v>
      </c>
      <c r="N433" s="28" t="n">
        <v>0</v>
      </c>
      <c r="O433" s="28" t="n">
        <v>0</v>
      </c>
      <c r="P433" s="30" t="str">
        <f>IF(AND(ISNUMBER(L433),L433&gt;0,COUNT(M433:O433)=3,MIN(M433:O433)&gt;=0),SUM(M433:O433)/L433,"")</f>
      </c>
      <c r="Q433" s="16" t="str">
        <v>沿用同SPU原计划店铺</v>
      </c>
      <c r="R433" s="16" t="str">
        <v>未匹配</v>
      </c>
      <c r="S433" s="16" t="str">
        <v>停售</v>
      </c>
      <c r="T433" s="16" t="str">
        <v>1S01</v>
      </c>
      <c r="U433" s="16" t="str">
        <v>牛仔蓝</v>
      </c>
      <c r="V433" s="16" t="n">
        <v>7.5</v>
      </c>
      <c r="W433" s="8" t="str">
        <v>2026-10-08 至 2026-10-17</v>
      </c>
      <c r="X433" s="8" t="str">
        <v>2026-10-08、2026-10-09、2026-10-10、2026-10-11、2026-10-14、2026-10-15、2026-10-17</v>
      </c>
      <c r="Y433" s="8" t="str">
        <v>2026-10-12 有记录的停售日；2026-10-13 有记录的停售日；2026-10-16 有记录的停售日</v>
      </c>
      <c r="Z433" s="8" t="n">
        <v>0</v>
      </c>
      <c r="AA433" s="8" t="n">
        <v>0</v>
      </c>
      <c r="AB433" s="8" t="n">
        <v>7</v>
      </c>
      <c r="AC433" s="8" t="str">
        <v>2026-09-29 至 2026-10-17</v>
      </c>
      <c r="AD433" s="8" t="str">
        <v>2026-09-29、2026-09-30、2026-10-01、2026-10-02、2026-10-03、2026-10-04、2026-10-05、2026-10-08、2026-10-09、2026-10-10、2026-10-11、2026-10-14、2026-10-15、2026-10-17</v>
      </c>
      <c r="AE433" s="8" t="str">
        <v>2026-10-06 大促；2026-10-07 大促；2026-10-12 有记录的停售日；2026-10-13 有记录的停售日；2026-10-16 有记录的停售日</v>
      </c>
      <c r="AF433" s="8" t="n">
        <v>0</v>
      </c>
      <c r="AG433" s="8" t="n">
        <v>0</v>
      </c>
      <c r="AH433" s="8" t="n">
        <v>14</v>
      </c>
      <c r="AI433" s="8" t="str">
        <v>2026-09-13 至 2026-10-17</v>
      </c>
      <c r="AJ4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3" s="8" t="str">
        <v>2026-10-06 大促；2026-10-07 大促；2026-10-12 有记录的停售日；2026-10-13 有记录的停售日；2026-10-16 有记录的停售日</v>
      </c>
      <c r="AL433" s="8" t="n">
        <v>0</v>
      </c>
      <c r="AM433" s="8" t="n">
        <v>0</v>
      </c>
      <c r="AN433" s="8" t="n">
        <v>30</v>
      </c>
      <c r="AO433" s="8" t="str">
        <v>1S01 / 牛仔蓝PU / 6574</v>
      </c>
      <c r="AP433" s="11" t="n">
        <v>0.8729500662042875</v>
      </c>
      <c r="AQ433" s="11" t="n">
        <v>0.9355747145678367</v>
      </c>
      <c r="AR433" s="11" t="n">
        <v>1.135973589331194</v>
      </c>
      <c r="AS433" s="11" t="n">
        <f>IF(AND(COUNT(I433:K433,AP433:AR433)=6,MIN(AP433:AR433)&gt;0),I433/7/AP433*0.5+J433/14/AQ433*0.3+K433/30/AR433*0.2,"")</f>
        <v>0</v>
      </c>
      <c r="AT433" s="8" t="n">
        <v>0</v>
      </c>
      <c r="AU433" s="8" t="n">
        <v>0</v>
      </c>
      <c r="AV433" s="8" t="n">
        <v>85</v>
      </c>
      <c r="AW433" s="11" t="n">
        <f>IF(AND(COUNT(AT433:AV433)=3,AT433&gt;=AU433,AU433&gt;=0,AV433&gt;0),(AT433-AU433)/AV433,"")</f>
        <v>0</v>
      </c>
      <c r="AX433" s="8" t="n">
        <v>0</v>
      </c>
      <c r="AY433" s="8" t="n">
        <v>0</v>
      </c>
      <c r="AZ433" s="8" t="n">
        <v>175</v>
      </c>
      <c r="BA433" s="11" t="n">
        <f>IF(AND(COUNT(AX433:AZ433)=3,AX433&gt;=AY433,AY433&gt;=0,AZ433&gt;0),(AX433-AY433)/AZ433,"")</f>
        <v>0</v>
      </c>
      <c r="BB433" s="8" t="n">
        <f>IF(COUNT(AS433,AW433,BA433)=3,1,0)</f>
        <v>1</v>
      </c>
      <c r="BC433" s="11" t="n">
        <f>IF(SUMIF($AO$11:$AO$1309,AO433,$BB$11:$BB$1309)=COUNTIF($AO$11:$AO$1309,AO433),SUMIF($AO$11:$AO$1309,AO433,$AS$11:$AS$1309),"")</f>
        <v>1.0895600676000732</v>
      </c>
      <c r="BD433" s="11" t="n">
        <f>IF(SUMIF($AO$11:$AO$1309,AO433,$BB$11:$BB$1309)=COUNTIF($AO$11:$AO$1309,AO433),SUMIF($AO$11:$AO$1309,AO433,$AW$11:$AW$1309),"")</f>
        <v>0.5</v>
      </c>
      <c r="BE433" s="11" t="n">
        <f>IF(SUMIF($AO$11:$AO$1309,AO433,$BB$11:$BB$1309)=COUNTIF($AO$11:$AO$1309,AO433),SUMIF($AO$11:$AO$1309,AO433,$BA$11:$BA$1309),"")</f>
        <v>0.696629213483146</v>
      </c>
      <c r="BF433" s="12" t="n">
        <f>IF(COUNT(BD433:BE433)&lt;&gt;2,"",IF(AND(BD433&gt;0,BE433&gt;0),0.7*AW433/BD433+0.3*BA433/BE433,IF(BD433&gt;0,AW433/BD433,IF(BE433&gt;0,BA433/BE433,IF(AND(ISNUMBER(BH433),BH433=0),0,"")))))</f>
        <v>0</v>
      </c>
      <c r="BG433" s="11" t="n">
        <f>IF(AND(COUNT(BN433:BU433)=8,MIN(BN433:BU433)&gt;=0),SUMPRODUCT(BN433:BQ433,BR433:BU433),"")</f>
        <v>63.935996265425516</v>
      </c>
      <c r="BH433" s="11" t="n">
        <f>IF(COUNT(BC433,BG433)=2,BC433*BG433,"")</f>
        <v>69.66210841303506</v>
      </c>
      <c r="BI433" s="11" t="n">
        <f>IF(ISNUMBER(CI433),CI433,"")</f>
        <v>0</v>
      </c>
      <c r="BJ433" s="8" t="str"/>
      <c r="BK433" s="8" t="str">
        <v>90天：2026-07-20 至 2026-10-17；180天：2026-04-21 至 2026-10-17</v>
      </c>
      <c r="BL433" s="8" t="str">
        <v>90天：2026-10-06、2026-10-07、2026-10-12、2026-10-13、2026-10-16；180天：2026-10-06、2026-10-07、2026-10-12、2026-10-13、2026-10-16</v>
      </c>
      <c r="BM433" s="8" t="str">
        <v>2026-10：12天 × 0.8729500662042875；2026-11：30天 × 0.8057375774163482；2026-12：31天 × 0.532550303142279；2027-01：17天 × 0.7517299265337036</v>
      </c>
      <c r="BN433" s="11" t="n">
        <v>0.8729500662042875</v>
      </c>
      <c r="BO433" s="11" t="n">
        <v>0.8057375774163482</v>
      </c>
      <c r="BP433" s="11" t="n">
        <v>0.532550303142279</v>
      </c>
      <c r="BQ433" s="11" t="n">
        <v>0.7517299265337036</v>
      </c>
      <c r="BR433" s="8" t="n">
        <v>12</v>
      </c>
      <c r="BS433" s="8" t="n">
        <v>30</v>
      </c>
      <c r="BT433" s="8" t="n">
        <v>31</v>
      </c>
      <c r="BU433" s="8" t="n">
        <v>17</v>
      </c>
      <c r="BV433" s="11" t="n">
        <f>IF(COUNT(BC433,BF433)=2,BC433*BF433,"")</f>
        <v>0</v>
      </c>
      <c r="BW433" s="11" t="n">
        <f>IF(ISNUMBER(BN433),BN433,"")</f>
        <v>0.8729500662042875</v>
      </c>
      <c r="BX433" s="14" t="n">
        <f>IF(ISNUMBER(BR433),BR433,"")</f>
        <v>12</v>
      </c>
      <c r="BY433" s="13" t="n">
        <f>IF(AND(COUNT(BV433,BW433,BX433)=3,MIN(BV433,BW433,BX433)&gt;=0),BV433*BW433*BX433,"")</f>
        <v>0</v>
      </c>
      <c r="BZ433" s="11" t="n">
        <f>IF(ISNUMBER(BO433),BO433,"")</f>
        <v>0.8057375774163482</v>
      </c>
      <c r="CA433" s="14" t="n">
        <f>IF(ISNUMBER(BS433),BS433,"")</f>
        <v>30</v>
      </c>
      <c r="CB433" s="13" t="n">
        <f>IF(AND(COUNT(BV433,BZ433,CA433)=3,MIN(BV433,BZ433,CA433)&gt;=0),BV433*BZ433*CA433,"")</f>
        <v>0</v>
      </c>
      <c r="CC433" s="11" t="n">
        <f>IF(ISNUMBER(BP433),BP433,"")</f>
        <v>0.532550303142279</v>
      </c>
      <c r="CD433" s="14" t="n">
        <f>IF(ISNUMBER(BT433),BT433,"")</f>
        <v>31</v>
      </c>
      <c r="CE433" s="13" t="n">
        <f>IF(AND(COUNT(BV433,CC433,CD433)=3,MIN(BV433,CC433,CD433)&gt;=0),BV433*CC433*CD433,"")</f>
        <v>0</v>
      </c>
      <c r="CF433" s="11" t="n">
        <f>IF(ISNUMBER(BQ433),BQ433,"")</f>
        <v>0.7517299265337036</v>
      </c>
      <c r="CG433" s="14" t="n">
        <f>IF(ISNUMBER(BU433),BU433,"")</f>
        <v>17</v>
      </c>
      <c r="CH433" s="13" t="n">
        <f>IF(AND(COUNT(BV433,CF433,CG433)=3,MIN(BV433,CF433,CG433)&gt;=0),BV433*CF433*CG433,"")</f>
        <v>0</v>
      </c>
      <c r="CI433" s="13" t="n">
        <f>IF(COUNT(BY433,CB433,CE433,CH433)=4,SUM(BY433,CB433,CE433,CH433),"")</f>
        <v>0</v>
      </c>
    </row>
    <row r="434" ht="72" customHeight="1">
      <c r="A434" s="16" t="str">
        <v>1S01-BEP-39</v>
      </c>
      <c r="B434" s="16" t="str">
        <v>3店-SANDIEX-US</v>
      </c>
      <c r="C434" s="16" t="str">
        <v>徐新怡</v>
      </c>
      <c r="D434" s="26" t="n">
        <f>IF(NOT(ISNUMBER(E434)),"",IF(OR(E434&lt;=0,L434=0),0,IF(OR(NOT(ISNUMBER(F434)),F434&lt;0),"",MIN(E434,INT(F434)))))</f>
        <v>0</v>
      </c>
      <c r="E434" s="27" t="n">
        <f>IF(OR(NOT(ISNUMBER(L434)),COUNT(M434:O434)&lt;&gt;3,MIN(M434:O434)&lt;0),"",ROUNDUP(ROUND(BI434-SUM(M434:O434),10),0))</f>
        <v>-9</v>
      </c>
      <c r="F434" s="28" t="n">
        <v>55</v>
      </c>
      <c r="G434" s="28" t="n">
        <f>IF(AND(ISNUMBER(D434),ISNUMBER(E434)),IF(OR(E434&lt;=0,L434=0),0,E434-D434),"")</f>
        <v>0</v>
      </c>
      <c r="H434" s="16" t="str">
        <f>IF(NOT(ISNUMBER(E434)),"销量或海外库存待补",IF(OR(E434&lt;=0,L434=0),IF(L434=0,"零日销，本批不发","本批无需补货"),IF(NOT(ISNUMBER(D434)),"国内库存待补",IF(D434=0,"国内无可用库存",IF(G434&gt;0,"先发国内现货","按建议量发货")))))</f>
        <v>本批无需补货</v>
      </c>
      <c r="I434" s="28" t="n">
        <f>IF(AND(COUNT(Z434,AA434,AB434)=3,Z434&gt;=AA434,AA434&gt;=0,AB434=7),Z434-AA434,"")</f>
        <v>4</v>
      </c>
      <c r="J434" s="28" t="n">
        <f>IF(AND(COUNT(AF434,AG434,AH434)=3,AF434&gt;=AG434,AG434&gt;=0,AH434=14),AF434-AG434,"")</f>
        <v>5</v>
      </c>
      <c r="K434" s="28" t="n">
        <f>IF(AND(COUNT(AL434,AM434,AN434)=3,AL434&gt;=AM434,AM434&gt;=0,AN434=30),AL434-AM434,"")</f>
        <v>9</v>
      </c>
      <c r="L434" s="29" t="n">
        <f>IF(ISNUMBER(BI434),BI434/90,"")</f>
        <v>0.3219801263730538</v>
      </c>
      <c r="M434" s="28" t="n">
        <v>17</v>
      </c>
      <c r="N434" s="28" t="n">
        <v>0</v>
      </c>
      <c r="O434" s="28" t="n">
        <v>20</v>
      </c>
      <c r="P434" s="30" t="n">
        <f>IF(AND(ISNUMBER(L434),L434&gt;0,COUNT(M434:O434)=3,MIN(M434:O434)&gt;=0),SUM(M434:O434)/L434,"")</f>
        <v>114.91392470953603</v>
      </c>
      <c r="Q434" s="16" t="str">
        <v>沿用原计划SKU店铺</v>
      </c>
      <c r="R434" s="16" t="str">
        <v>已匹配</v>
      </c>
      <c r="S434" s="16" t="str">
        <v>在售</v>
      </c>
      <c r="T434" s="16" t="str">
        <v>1S01</v>
      </c>
      <c r="U434" s="16" t="str">
        <v>牛仔蓝</v>
      </c>
      <c r="V434" s="16" t="n">
        <v>8</v>
      </c>
      <c r="W434" s="8" t="str">
        <v>2026-10-11 至 2026-10-17</v>
      </c>
      <c r="X434" s="8" t="str">
        <v>2026-10-11、2026-10-12、2026-10-13、2026-10-14、2026-10-15、2026-10-16、2026-10-17</v>
      </c>
      <c r="Y434" s="8" t="str">
        <v>无</v>
      </c>
      <c r="Z434" s="8" t="n">
        <v>4</v>
      </c>
      <c r="AA434" s="8" t="n">
        <v>0</v>
      </c>
      <c r="AB434" s="8" t="n">
        <v>7</v>
      </c>
      <c r="AC434" s="8" t="str">
        <v>2026-10-02 至 2026-10-17</v>
      </c>
      <c r="AD434" s="8" t="str">
        <v>2026-10-02、2026-10-03、2026-10-04、2026-10-05、2026-10-08、2026-10-09、2026-10-10、2026-10-11、2026-10-12、2026-10-13、2026-10-14、2026-10-15、2026-10-16、2026-10-17</v>
      </c>
      <c r="AE434" s="8" t="str">
        <v>2026-10-06 大促；2026-10-07 大促</v>
      </c>
      <c r="AF434" s="8" t="n">
        <v>10</v>
      </c>
      <c r="AG434" s="8" t="n">
        <v>5</v>
      </c>
      <c r="AH434" s="8" t="n">
        <v>14</v>
      </c>
      <c r="AI434" s="8" t="str">
        <v>2026-09-16 至 2026-10-17</v>
      </c>
      <c r="AJ4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34" s="8" t="str">
        <v>2026-10-06 大促；2026-10-07 大促</v>
      </c>
      <c r="AL434" s="8" t="n">
        <v>14</v>
      </c>
      <c r="AM434" s="8" t="n">
        <v>5</v>
      </c>
      <c r="AN434" s="8" t="n">
        <v>30</v>
      </c>
      <c r="AO434" s="8" t="str">
        <v>1S01 / 牛仔蓝PU / 6574</v>
      </c>
      <c r="AP434" s="11" t="n">
        <v>0.8729500662042875</v>
      </c>
      <c r="AQ434" s="11" t="n">
        <v>0.8729500662042875</v>
      </c>
      <c r="AR434" s="11" t="n">
        <v>1.0921363354767095</v>
      </c>
      <c r="AS434" s="11" t="n">
        <f>IF(AND(COUNT(I434:K434,AP434:AR434)=6,MIN(AP434:AR434)&gt;0),I434/7/AP434*0.5+J434/14/AQ434*0.3+K434/30/AR434*0.2,"")</f>
        <v>0.5049721189249032</v>
      </c>
      <c r="AT434" s="8" t="n">
        <v>24</v>
      </c>
      <c r="AU434" s="8" t="n">
        <v>5</v>
      </c>
      <c r="AV434" s="8" t="n">
        <v>88</v>
      </c>
      <c r="AW434" s="11" t="n">
        <f>IF(AND(COUNT(AT434:AV434)=3,AT434&gt;=AU434,AU434&gt;=0,AV434&gt;0),(AT434-AU434)/AV434,"")</f>
        <v>0.2159090909090909</v>
      </c>
      <c r="AX434" s="8" t="n">
        <v>52</v>
      </c>
      <c r="AY434" s="8" t="n">
        <v>5</v>
      </c>
      <c r="AZ434" s="8" t="n">
        <v>178</v>
      </c>
      <c r="BA434" s="11" t="n">
        <f>IF(AND(COUNT(AX434:AZ434)=3,AX434&gt;=AY434,AY434&gt;=0,AZ434&gt;0),(AX434-AY434)/AZ434,"")</f>
        <v>0.2640449438202247</v>
      </c>
      <c r="BB434" s="8" t="n">
        <f>IF(COUNT(AS434,AW434,BA434)=3,1,0)</f>
        <v>1</v>
      </c>
      <c r="BC434" s="11" t="n">
        <f>IF(SUMIF($AO$11:$AO$1309,AO434,$BB$11:$BB$1309)=COUNTIF($AO$11:$AO$1309,AO434),SUMIF($AO$11:$AO$1309,AO434,$AS$11:$AS$1309),"")</f>
        <v>1.0895600676000732</v>
      </c>
      <c r="BD434" s="11" t="n">
        <f>IF(SUMIF($AO$11:$AO$1309,AO434,$BB$11:$BB$1309)=COUNTIF($AO$11:$AO$1309,AO434),SUMIF($AO$11:$AO$1309,AO434,$AW$11:$AW$1309),"")</f>
        <v>0.5</v>
      </c>
      <c r="BE434" s="11" t="n">
        <f>IF(SUMIF($AO$11:$AO$1309,AO434,$BB$11:$BB$1309)=COUNTIF($AO$11:$AO$1309,AO434),SUMIF($AO$11:$AO$1309,AO434,$BA$11:$BA$1309),"")</f>
        <v>0.696629213483146</v>
      </c>
      <c r="BF434" s="12" t="n">
        <f>IF(COUNT(BD434:BE434)&lt;&gt;2,"",IF(AND(BD434&gt;0,BE434&gt;0),0.7*AW434/BD434+0.3*BA434/BE434,IF(BD434&gt;0,AW434/BD434,IF(BE434&gt;0,BA434/BE434,IF(AND(ISNUMBER(BH434),BH434=0),0,"")))))</f>
        <v>0.4159824046920821</v>
      </c>
      <c r="BG434" s="11" t="n">
        <f>IF(AND(COUNT(BN434:BU434)=8,MIN(BN434:BU434)&gt;=0),SUMPRODUCT(BN434:BQ434,BR434:BU434),"")</f>
        <v>63.935996265425516</v>
      </c>
      <c r="BH434" s="11" t="n">
        <f>IF(COUNT(BC434,BG434)=2,BC434*BG434,"")</f>
        <v>69.66210841303506</v>
      </c>
      <c r="BI434" s="11" t="n">
        <f>IF(ISNUMBER(CI434),CI434,"")</f>
        <v>28.97821137357484</v>
      </c>
      <c r="BJ434" s="8" t="str"/>
      <c r="BK434" s="8" t="str">
        <v>90天：2026-07-20 至 2026-10-17；180天：2026-04-21 至 2026-10-17</v>
      </c>
      <c r="BL434" s="8" t="str">
        <v>90天：2026-10-06、2026-10-07；180天：2026-10-06、2026-10-07</v>
      </c>
      <c r="BM434" s="8" t="str">
        <v>2026-10：12天 × 0.8729500662042875；2026-11：30天 × 0.8057375774163482；2026-12：31天 × 0.532550303142279；2027-01：17天 × 0.7517299265337036</v>
      </c>
      <c r="BN434" s="11" t="n">
        <v>0.8729500662042875</v>
      </c>
      <c r="BO434" s="11" t="n">
        <v>0.8057375774163482</v>
      </c>
      <c r="BP434" s="11" t="n">
        <v>0.532550303142279</v>
      </c>
      <c r="BQ434" s="11" t="n">
        <v>0.7517299265337036</v>
      </c>
      <c r="BR434" s="8" t="n">
        <v>12</v>
      </c>
      <c r="BS434" s="8" t="n">
        <v>30</v>
      </c>
      <c r="BT434" s="8" t="n">
        <v>31</v>
      </c>
      <c r="BU434" s="8" t="n">
        <v>17</v>
      </c>
      <c r="BV434" s="11" t="n">
        <f>IF(COUNT(BC434,BF434)=2,BC434*BF434,"")</f>
        <v>0.453237816976746</v>
      </c>
      <c r="BW434" s="11" t="n">
        <f>IF(ISNUMBER(BN434),BN434,"")</f>
        <v>0.8729500662042875</v>
      </c>
      <c r="BX434" s="14" t="n">
        <f>IF(ISNUMBER(BR434),BR434,"")</f>
        <v>12</v>
      </c>
      <c r="BY434" s="13" t="n">
        <f>IF(AND(COUNT(BV434,BW434,BX434)=3,MIN(BV434,BW434,BX434)&gt;=0),BV434*BW434*BX434,"")</f>
        <v>4.747847788033646</v>
      </c>
      <c r="BZ434" s="11" t="n">
        <f>IF(ISNUMBER(BO434),BO434,"")</f>
        <v>0.8057375774163482</v>
      </c>
      <c r="CA434" s="14" t="n">
        <f>IF(ISNUMBER(BS434),BS434,"")</f>
        <v>30</v>
      </c>
      <c r="CB434" s="13" t="n">
        <f>IF(AND(COUNT(BV434,BZ434,CA434)=3,MIN(BV434,BZ434,CA434)&gt;=0),BV434*BZ434*CA434,"")</f>
        <v>10.955722219329525</v>
      </c>
      <c r="CC434" s="11" t="n">
        <f>IF(ISNUMBER(BP434),BP434,"")</f>
        <v>0.532550303142279</v>
      </c>
      <c r="CD434" s="14" t="n">
        <f>IF(ISNUMBER(BT434),BT434,"")</f>
        <v>31</v>
      </c>
      <c r="CE434" s="13" t="n">
        <f>IF(AND(COUNT(BV434,CC434,CD434)=3,MIN(BV434,CC434,CD434)&gt;=0),BV434*CC434*CD434,"")</f>
        <v>7.482530041621836</v>
      </c>
      <c r="CF434" s="11" t="n">
        <f>IF(ISNUMBER(BQ434),BQ434,"")</f>
        <v>0.7517299265337036</v>
      </c>
      <c r="CG434" s="14" t="n">
        <f>IF(ISNUMBER(BU434),BU434,"")</f>
        <v>17</v>
      </c>
      <c r="CH434" s="13" t="n">
        <f>IF(AND(COUNT(BV434,CF434,CG434)=3,MIN(BV434,CF434,CG434)&gt;=0),BV434*CF434*CG434,"")</f>
        <v>5.792111324589833</v>
      </c>
      <c r="CI434" s="13" t="n">
        <f>IF(COUNT(BY434,CB434,CE434,CH434)=4,SUM(BY434,CB434,CE434,CH434),"")</f>
        <v>28.97821137357484</v>
      </c>
    </row>
    <row r="435" ht="72" customHeight="1">
      <c r="A435" s="16" t="str">
        <v>1S01-BEP-39.5</v>
      </c>
      <c r="B435" s="16" t="str">
        <v>3店-SANDIEX-US</v>
      </c>
      <c r="C435" s="16" t="str">
        <v>徐新怡</v>
      </c>
      <c r="D435" s="26" t="n">
        <f>IF(NOT(ISNUMBER(E435)),"",IF(OR(E435&lt;=0,L435=0),0,IF(OR(NOT(ISNUMBER(F435)),F435&lt;0),"",MIN(E435,INT(F435)))))</f>
        <v>0</v>
      </c>
      <c r="E435" s="27" t="n">
        <f>IF(OR(NOT(ISNUMBER(L435)),COUNT(M435:O435)&lt;&gt;3,MIN(M435:O435)&lt;0),"",ROUNDUP(ROUND(BI435-SUM(M435:O435),10),0))</f>
        <v>0</v>
      </c>
      <c r="F435" s="28"/>
      <c r="G435" s="28" t="n">
        <f>IF(AND(ISNUMBER(D435),ISNUMBER(E435)),IF(OR(E435&lt;=0,L435=0),0,E435-D435),"")</f>
        <v>0</v>
      </c>
      <c r="H435" s="16" t="str">
        <f>IF(NOT(ISNUMBER(E435)),"销量或海外库存待补",IF(OR(E435&lt;=0,L435=0),IF(L435=0,"零日销，本批不发","本批无需补货"),IF(NOT(ISNUMBER(D435)),"国内库存待补",IF(D435=0,"国内无可用库存",IF(G435&gt;0,"先发国内现货","按建议量发货")))))</f>
        <v>零日销，本批不发</v>
      </c>
      <c r="I435" s="28" t="n">
        <f>IF(AND(COUNT(Z435,AA435,AB435)=3,Z435&gt;=AA435,AA435&gt;=0,AB435=7),Z435-AA435,"")</f>
        <v>0</v>
      </c>
      <c r="J435" s="28" t="n">
        <f>IF(AND(COUNT(AF435,AG435,AH435)=3,AF435&gt;=AG435,AG435&gt;=0,AH435=14),AF435-AG435,"")</f>
        <v>0</v>
      </c>
      <c r="K435" s="28" t="n">
        <f>IF(AND(COUNT(AL435,AM435,AN435)=3,AL435&gt;=AM435,AM435&gt;=0,AN435=30),AL435-AM435,"")</f>
        <v>0</v>
      </c>
      <c r="L435" s="29" t="n">
        <f>IF(ISNUMBER(BI435),BI435/90,"")</f>
        <v>0</v>
      </c>
      <c r="M435" s="28" t="n">
        <v>0</v>
      </c>
      <c r="N435" s="28" t="n">
        <v>0</v>
      </c>
      <c r="O435" s="28" t="n">
        <v>0</v>
      </c>
      <c r="P435" s="30" t="str">
        <f>IF(AND(ISNUMBER(L435),L435&gt;0,COUNT(M435:O435)=3,MIN(M435:O435)&gt;=0),SUM(M435:O435)/L435,"")</f>
      </c>
      <c r="Q435" s="16" t="str">
        <v>沿用同SPU原计划店铺</v>
      </c>
      <c r="R435" s="16" t="str">
        <v>未匹配</v>
      </c>
      <c r="S435" s="16" t="str">
        <v>停售</v>
      </c>
      <c r="T435" s="16" t="str">
        <v>1S01</v>
      </c>
      <c r="U435" s="16" t="str">
        <v>牛仔蓝</v>
      </c>
      <c r="V435" s="16" t="n">
        <v>8.5</v>
      </c>
      <c r="W435" s="8" t="str">
        <v>2026-10-08 至 2026-10-17</v>
      </c>
      <c r="X435" s="8" t="str">
        <v>2026-10-08、2026-10-09、2026-10-10、2026-10-11、2026-10-14、2026-10-15、2026-10-17</v>
      </c>
      <c r="Y435" s="8" t="str">
        <v>2026-10-12 有记录的停售日；2026-10-13 有记录的停售日；2026-10-16 有记录的停售日</v>
      </c>
      <c r="Z435" s="8" t="n">
        <v>0</v>
      </c>
      <c r="AA435" s="8" t="n">
        <v>0</v>
      </c>
      <c r="AB435" s="8" t="n">
        <v>7</v>
      </c>
      <c r="AC435" s="8" t="str">
        <v>2026-09-29 至 2026-10-17</v>
      </c>
      <c r="AD435" s="8" t="str">
        <v>2026-09-29、2026-09-30、2026-10-01、2026-10-02、2026-10-03、2026-10-04、2026-10-05、2026-10-08、2026-10-09、2026-10-10、2026-10-11、2026-10-14、2026-10-15、2026-10-17</v>
      </c>
      <c r="AE435" s="8" t="str">
        <v>2026-10-06 大促；2026-10-07 大促；2026-10-12 有记录的停售日；2026-10-13 有记录的停售日；2026-10-16 有记录的停售日</v>
      </c>
      <c r="AF435" s="8" t="n">
        <v>0</v>
      </c>
      <c r="AG435" s="8" t="n">
        <v>0</v>
      </c>
      <c r="AH435" s="8" t="n">
        <v>14</v>
      </c>
      <c r="AI435" s="8" t="str">
        <v>2026-09-13 至 2026-10-17</v>
      </c>
      <c r="AJ43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5" s="8" t="str">
        <v>2026-10-06 大促；2026-10-07 大促；2026-10-12 有记录的停售日；2026-10-13 有记录的停售日；2026-10-16 有记录的停售日</v>
      </c>
      <c r="AL435" s="8" t="n">
        <v>0</v>
      </c>
      <c r="AM435" s="8" t="n">
        <v>0</v>
      </c>
      <c r="AN435" s="8" t="n">
        <v>30</v>
      </c>
      <c r="AO435" s="8" t="str">
        <v>1S01 / 牛仔蓝PU / 6574</v>
      </c>
      <c r="AP435" s="11" t="n">
        <v>0.8729500662042875</v>
      </c>
      <c r="AQ435" s="11" t="n">
        <v>0.9355747145678367</v>
      </c>
      <c r="AR435" s="11" t="n">
        <v>1.135973589331194</v>
      </c>
      <c r="AS435" s="11" t="n">
        <f>IF(AND(COUNT(I435:K435,AP435:AR435)=6,MIN(AP435:AR435)&gt;0),I435/7/AP435*0.5+J435/14/AQ435*0.3+K435/30/AR435*0.2,"")</f>
        <v>0</v>
      </c>
      <c r="AT435" s="8" t="n">
        <v>0</v>
      </c>
      <c r="AU435" s="8" t="n">
        <v>0</v>
      </c>
      <c r="AV435" s="8" t="n">
        <v>85</v>
      </c>
      <c r="AW435" s="11" t="n">
        <f>IF(AND(COUNT(AT435:AV435)=3,AT435&gt;=AU435,AU435&gt;=0,AV435&gt;0),(AT435-AU435)/AV435,"")</f>
        <v>0</v>
      </c>
      <c r="AX435" s="8" t="n">
        <v>0</v>
      </c>
      <c r="AY435" s="8" t="n">
        <v>0</v>
      </c>
      <c r="AZ435" s="8" t="n">
        <v>175</v>
      </c>
      <c r="BA435" s="11" t="n">
        <f>IF(AND(COUNT(AX435:AZ435)=3,AX435&gt;=AY435,AY435&gt;=0,AZ435&gt;0),(AX435-AY435)/AZ435,"")</f>
        <v>0</v>
      </c>
      <c r="BB435" s="8" t="n">
        <f>IF(COUNT(AS435,AW435,BA435)=3,1,0)</f>
        <v>1</v>
      </c>
      <c r="BC435" s="11" t="n">
        <f>IF(SUMIF($AO$11:$AO$1309,AO435,$BB$11:$BB$1309)=COUNTIF($AO$11:$AO$1309,AO435),SUMIF($AO$11:$AO$1309,AO435,$AS$11:$AS$1309),"")</f>
        <v>1.0895600676000732</v>
      </c>
      <c r="BD435" s="11" t="n">
        <f>IF(SUMIF($AO$11:$AO$1309,AO435,$BB$11:$BB$1309)=COUNTIF($AO$11:$AO$1309,AO435),SUMIF($AO$11:$AO$1309,AO435,$AW$11:$AW$1309),"")</f>
        <v>0.5</v>
      </c>
      <c r="BE435" s="11" t="n">
        <f>IF(SUMIF($AO$11:$AO$1309,AO435,$BB$11:$BB$1309)=COUNTIF($AO$11:$AO$1309,AO435),SUMIF($AO$11:$AO$1309,AO435,$BA$11:$BA$1309),"")</f>
        <v>0.696629213483146</v>
      </c>
      <c r="BF435" s="12" t="n">
        <f>IF(COUNT(BD435:BE435)&lt;&gt;2,"",IF(AND(BD435&gt;0,BE435&gt;0),0.7*AW435/BD435+0.3*BA435/BE435,IF(BD435&gt;0,AW435/BD435,IF(BE435&gt;0,BA435/BE435,IF(AND(ISNUMBER(BH435),BH435=0),0,"")))))</f>
        <v>0</v>
      </c>
      <c r="BG435" s="11" t="n">
        <f>IF(AND(COUNT(BN435:BU435)=8,MIN(BN435:BU435)&gt;=0),SUMPRODUCT(BN435:BQ435,BR435:BU435),"")</f>
        <v>63.935996265425516</v>
      </c>
      <c r="BH435" s="11" t="n">
        <f>IF(COUNT(BC435,BG435)=2,BC435*BG435,"")</f>
        <v>69.66210841303506</v>
      </c>
      <c r="BI435" s="11" t="n">
        <f>IF(ISNUMBER(CI435),CI435,"")</f>
        <v>0</v>
      </c>
      <c r="BJ435" s="8" t="str"/>
      <c r="BK435" s="8" t="str">
        <v>90天：2026-07-20 至 2026-10-17；180天：2026-04-21 至 2026-10-17</v>
      </c>
      <c r="BL435" s="8" t="str">
        <v>90天：2026-10-06、2026-10-07、2026-10-12、2026-10-13、2026-10-16；180天：2026-10-06、2026-10-07、2026-10-12、2026-10-13、2026-10-16</v>
      </c>
      <c r="BM435" s="8" t="str">
        <v>2026-10：12天 × 0.8729500662042875；2026-11：30天 × 0.8057375774163482；2026-12：31天 × 0.532550303142279；2027-01：17天 × 0.7517299265337036</v>
      </c>
      <c r="BN435" s="11" t="n">
        <v>0.8729500662042875</v>
      </c>
      <c r="BO435" s="11" t="n">
        <v>0.8057375774163482</v>
      </c>
      <c r="BP435" s="11" t="n">
        <v>0.532550303142279</v>
      </c>
      <c r="BQ435" s="11" t="n">
        <v>0.7517299265337036</v>
      </c>
      <c r="BR435" s="8" t="n">
        <v>12</v>
      </c>
      <c r="BS435" s="8" t="n">
        <v>30</v>
      </c>
      <c r="BT435" s="8" t="n">
        <v>31</v>
      </c>
      <c r="BU435" s="8" t="n">
        <v>17</v>
      </c>
      <c r="BV435" s="11" t="n">
        <f>IF(COUNT(BC435,BF435)=2,BC435*BF435,"")</f>
        <v>0</v>
      </c>
      <c r="BW435" s="11" t="n">
        <f>IF(ISNUMBER(BN435),BN435,"")</f>
        <v>0.8729500662042875</v>
      </c>
      <c r="BX435" s="14" t="n">
        <f>IF(ISNUMBER(BR435),BR435,"")</f>
        <v>12</v>
      </c>
      <c r="BY435" s="13" t="n">
        <f>IF(AND(COUNT(BV435,BW435,BX435)=3,MIN(BV435,BW435,BX435)&gt;=0),BV435*BW435*BX435,"")</f>
        <v>0</v>
      </c>
      <c r="BZ435" s="11" t="n">
        <f>IF(ISNUMBER(BO435),BO435,"")</f>
        <v>0.8057375774163482</v>
      </c>
      <c r="CA435" s="14" t="n">
        <f>IF(ISNUMBER(BS435),BS435,"")</f>
        <v>30</v>
      </c>
      <c r="CB435" s="13" t="n">
        <f>IF(AND(COUNT(BV435,BZ435,CA435)=3,MIN(BV435,BZ435,CA435)&gt;=0),BV435*BZ435*CA435,"")</f>
        <v>0</v>
      </c>
      <c r="CC435" s="11" t="n">
        <f>IF(ISNUMBER(BP435),BP435,"")</f>
        <v>0.532550303142279</v>
      </c>
      <c r="CD435" s="14" t="n">
        <f>IF(ISNUMBER(BT435),BT435,"")</f>
        <v>31</v>
      </c>
      <c r="CE435" s="13" t="n">
        <f>IF(AND(COUNT(BV435,CC435,CD435)=3,MIN(BV435,CC435,CD435)&gt;=0),BV435*CC435*CD435,"")</f>
        <v>0</v>
      </c>
      <c r="CF435" s="11" t="n">
        <f>IF(ISNUMBER(BQ435),BQ435,"")</f>
        <v>0.7517299265337036</v>
      </c>
      <c r="CG435" s="14" t="n">
        <f>IF(ISNUMBER(BU435),BU435,"")</f>
        <v>17</v>
      </c>
      <c r="CH435" s="13" t="n">
        <f>IF(AND(COUNT(BV435,CF435,CG435)=3,MIN(BV435,CF435,CG435)&gt;=0),BV435*CF435*CG435,"")</f>
        <v>0</v>
      </c>
      <c r="CI435" s="13" t="n">
        <f>IF(COUNT(BY435,CB435,CE435,CH435)=4,SUM(BY435,CB435,CE435,CH435),"")</f>
        <v>0</v>
      </c>
    </row>
    <row r="436" ht="72" customHeight="1">
      <c r="A436" s="16" t="str">
        <v>1S01-BEP-40</v>
      </c>
      <c r="B436" s="16" t="str">
        <v>3店-SANDIEX-US</v>
      </c>
      <c r="C436" s="16" t="str">
        <v>徐新怡</v>
      </c>
      <c r="D436" s="26" t="n">
        <f>IF(NOT(ISNUMBER(E436)),"",IF(OR(E436&lt;=0,L436=0),0,IF(OR(NOT(ISNUMBER(F436)),F436&lt;0),"",MIN(E436,INT(F436)))))</f>
        <v>0</v>
      </c>
      <c r="E436" s="27" t="n">
        <f>IF(OR(NOT(ISNUMBER(L436)),COUNT(M436:O436)&lt;&gt;3,MIN(M436:O436)&lt;0),"",ROUNDUP(ROUND(BI436-SUM(M436:O436),10),0))</f>
        <v>-31</v>
      </c>
      <c r="F436" s="28" t="n">
        <v>77</v>
      </c>
      <c r="G436" s="28" t="n">
        <f>IF(AND(ISNUMBER(D436),ISNUMBER(E436)),IF(OR(E436&lt;=0,L436=0),0,E436-D436),"")</f>
        <v>0</v>
      </c>
      <c r="H436" s="16" t="str">
        <f>IF(NOT(ISNUMBER(E436)),"销量或海外库存待补",IF(OR(E436&lt;=0,L436=0),IF(L436=0,"零日销，本批不发","本批无需补货"),IF(NOT(ISNUMBER(D436)),"国内库存待补",IF(D436=0,"国内无可用库存",IF(G436&gt;0,"先发国内现货","按建议量发货")))))</f>
        <v>本批无需补货</v>
      </c>
      <c r="I436" s="28" t="n">
        <f>IF(AND(COUNT(Z436,AA436,AB436)=3,Z436&gt;=AA436,AA436&gt;=0,AB436=7),Z436-AA436,"")</f>
        <v>0</v>
      </c>
      <c r="J436" s="28" t="n">
        <f>IF(AND(COUNT(AF436,AG436,AH436)=3,AF436&gt;=AG436,AG436&gt;=0,AH436=14),AF436-AG436,"")</f>
        <v>1</v>
      </c>
      <c r="K436" s="28" t="n">
        <f>IF(AND(COUNT(AL436,AM436,AN436)=3,AL436&gt;=AM436,AM436&gt;=0,AN436=30),AL436-AM436,"")</f>
        <v>2</v>
      </c>
      <c r="L436" s="29" t="n">
        <f>IF(ISNUMBER(BI436),BI436/90,"")</f>
        <v>0.1083859783878274</v>
      </c>
      <c r="M436" s="28" t="n">
        <v>0</v>
      </c>
      <c r="N436" s="28" t="n">
        <v>0</v>
      </c>
      <c r="O436" s="28" t="n">
        <v>40</v>
      </c>
      <c r="P436" s="30" t="n">
        <f>IF(AND(ISNUMBER(L436),L436&gt;0,COUNT(M436:O436)=3,MIN(M436:O436)&gt;=0),SUM(M436:O436)/L436,"")</f>
        <v>369.0514270847078</v>
      </c>
      <c r="Q436" s="16" t="str">
        <v>沿用原计划SKU店铺</v>
      </c>
      <c r="R436" s="16" t="str">
        <v>已匹配</v>
      </c>
      <c r="S436" s="16" t="str">
        <v>在售</v>
      </c>
      <c r="T436" s="16" t="str">
        <v>1S01</v>
      </c>
      <c r="U436" s="16" t="str">
        <v>牛仔蓝</v>
      </c>
      <c r="V436" s="16" t="n">
        <v>9</v>
      </c>
      <c r="W436" s="8" t="str">
        <v>2026-10-11 至 2026-10-17</v>
      </c>
      <c r="X436" s="8" t="str">
        <v>2026-10-11、2026-10-12、2026-10-13、2026-10-14、2026-10-15、2026-10-16、2026-10-17</v>
      </c>
      <c r="Y436" s="8" t="str">
        <v>无</v>
      </c>
      <c r="Z436" s="8" t="n">
        <v>0</v>
      </c>
      <c r="AA436" s="8" t="n">
        <v>0</v>
      </c>
      <c r="AB436" s="8" t="n">
        <v>7</v>
      </c>
      <c r="AC436" s="8" t="str">
        <v>2026-10-02 至 2026-10-17</v>
      </c>
      <c r="AD436" s="8" t="str">
        <v>2026-10-02、2026-10-03、2026-10-04、2026-10-05、2026-10-08、2026-10-09、2026-10-10、2026-10-11、2026-10-12、2026-10-13、2026-10-14、2026-10-15、2026-10-16、2026-10-17</v>
      </c>
      <c r="AE436" s="8" t="str">
        <v>2026-10-06 大促；2026-10-07 大促</v>
      </c>
      <c r="AF436" s="8" t="n">
        <v>1</v>
      </c>
      <c r="AG436" s="8" t="n">
        <v>0</v>
      </c>
      <c r="AH436" s="8" t="n">
        <v>14</v>
      </c>
      <c r="AI436" s="8" t="str">
        <v>2026-09-16 至 2026-10-17</v>
      </c>
      <c r="AJ4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36" s="8" t="str">
        <v>2026-10-06 大促；2026-10-07 大促</v>
      </c>
      <c r="AL436" s="8" t="n">
        <v>2</v>
      </c>
      <c r="AM436" s="8" t="n">
        <v>0</v>
      </c>
      <c r="AN436" s="8" t="n">
        <v>30</v>
      </c>
      <c r="AO436" s="8" t="str">
        <v>1S01 / 牛仔蓝PU / 6574</v>
      </c>
      <c r="AP436" s="11" t="n">
        <v>0.8729500662042875</v>
      </c>
      <c r="AQ436" s="11" t="n">
        <v>0.8729500662042875</v>
      </c>
      <c r="AR436" s="11" t="n">
        <v>1.0921363354767095</v>
      </c>
      <c r="AS436" s="11" t="n">
        <f>IF(AND(COUNT(I436:K436,AP436:AR436)=6,MIN(AP436:AR436)&gt;0),I436/7/AP436*0.5+J436/14/AQ436*0.3+K436/30/AR436*0.2,"")</f>
        <v>0.03675579287803996</v>
      </c>
      <c r="AT436" s="8" t="n">
        <v>5</v>
      </c>
      <c r="AU436" s="8" t="n">
        <v>0</v>
      </c>
      <c r="AV436" s="8" t="n">
        <v>88</v>
      </c>
      <c r="AW436" s="11" t="n">
        <f>IF(AND(COUNT(AT436:AV436)=3,AT436&gt;=AU436,AU436&gt;=0,AV436&gt;0),(AT436-AU436)/AV436,"")</f>
        <v>0.056818181818181816</v>
      </c>
      <c r="AX436" s="8" t="n">
        <v>25</v>
      </c>
      <c r="AY436" s="8" t="n">
        <v>0</v>
      </c>
      <c r="AZ436" s="8" t="n">
        <v>178</v>
      </c>
      <c r="BA436" s="11" t="n">
        <f>IF(AND(COUNT(AX436:AZ436)=3,AX436&gt;=AY436,AY436&gt;=0,AZ436&gt;0),(AX436-AY436)/AZ436,"")</f>
        <v>0.1404494382022472</v>
      </c>
      <c r="BB436" s="8" t="n">
        <f>IF(COUNT(AS436,AW436,BA436)=3,1,0)</f>
        <v>1</v>
      </c>
      <c r="BC436" s="11" t="n">
        <f>IF(SUMIF($AO$11:$AO$1309,AO436,$BB$11:$BB$1309)=COUNTIF($AO$11:$AO$1309,AO436),SUMIF($AO$11:$AO$1309,AO436,$AS$11:$AS$1309),"")</f>
        <v>1.0895600676000732</v>
      </c>
      <c r="BD436" s="11" t="n">
        <f>IF(SUMIF($AO$11:$AO$1309,AO436,$BB$11:$BB$1309)=COUNTIF($AO$11:$AO$1309,AO436),SUMIF($AO$11:$AO$1309,AO436,$AW$11:$AW$1309),"")</f>
        <v>0.5</v>
      </c>
      <c r="BE436" s="11" t="n">
        <f>IF(SUMIF($AO$11:$AO$1309,AO436,$BB$11:$BB$1309)=COUNTIF($AO$11:$AO$1309,AO436),SUMIF($AO$11:$AO$1309,AO436,$BA$11:$BA$1309),"")</f>
        <v>0.696629213483146</v>
      </c>
      <c r="BF436" s="12" t="n">
        <f>IF(COUNT(BD436:BE436)&lt;&gt;2,"",IF(AND(BD436&gt;0,BE436&gt;0),0.7*AW436/BD436+0.3*BA436/BE436,IF(BD436&gt;0,AW436/BD436,IF(BE436&gt;0,BA436/BE436,IF(AND(ISNUMBER(BH436),BH436=0),0,"")))))</f>
        <v>0.14002932551319647</v>
      </c>
      <c r="BG436" s="11" t="n">
        <f>IF(AND(COUNT(BN436:BU436)=8,MIN(BN436:BU436)&gt;=0),SUMPRODUCT(BN436:BQ436,BR436:BU436),"")</f>
        <v>63.935996265425516</v>
      </c>
      <c r="BH436" s="11" t="n">
        <f>IF(COUNT(BC436,BG436)=2,BC436*BG436,"")</f>
        <v>69.66210841303506</v>
      </c>
      <c r="BI436" s="11" t="n">
        <f>IF(ISNUMBER(CI436),CI436,"")</f>
        <v>9.754738054904466</v>
      </c>
      <c r="BJ436" s="8" t="str"/>
      <c r="BK436" s="8" t="str">
        <v>90天：2026-07-20 至 2026-10-17；180天：2026-04-21 至 2026-10-17</v>
      </c>
      <c r="BL436" s="8" t="str">
        <v>90天：2026-10-06、2026-10-07；180天：2026-10-06、2026-10-07</v>
      </c>
      <c r="BM436" s="8" t="str">
        <v>2026-10：12天 × 0.8729500662042875；2026-11：30天 × 0.8057375774163482；2026-12：31天 × 0.532550303142279；2027-01：17天 × 0.7517299265337036</v>
      </c>
      <c r="BN436" s="11" t="n">
        <v>0.8729500662042875</v>
      </c>
      <c r="BO436" s="11" t="n">
        <v>0.8057375774163482</v>
      </c>
      <c r="BP436" s="11" t="n">
        <v>0.532550303142279</v>
      </c>
      <c r="BQ436" s="11" t="n">
        <v>0.7517299265337036</v>
      </c>
      <c r="BR436" s="8" t="n">
        <v>12</v>
      </c>
      <c r="BS436" s="8" t="n">
        <v>30</v>
      </c>
      <c r="BT436" s="8" t="n">
        <v>31</v>
      </c>
      <c r="BU436" s="8" t="n">
        <v>17</v>
      </c>
      <c r="BV436" s="11" t="n">
        <f>IF(COUNT(BC436,BF436)=2,BC436*BF436,"")</f>
        <v>0.152570361372151</v>
      </c>
      <c r="BW436" s="11" t="n">
        <f>IF(ISNUMBER(BN436),BN436,"")</f>
        <v>0.8729500662042875</v>
      </c>
      <c r="BX436" s="14" t="n">
        <f>IF(ISNUMBER(BR436),BR436,"")</f>
        <v>12</v>
      </c>
      <c r="BY436" s="13" t="n">
        <f>IF(AND(COUNT(BV436,BW436,BX436)=3,MIN(BV436,BW436,BX436)&gt;=0),BV436*BW436*BX436,"")</f>
        <v>1.5982356847275754</v>
      </c>
      <c r="BZ436" s="11" t="n">
        <f>IF(ISNUMBER(BO436),BO436,"")</f>
        <v>0.8057375774163482</v>
      </c>
      <c r="CA436" s="14" t="n">
        <f>IF(ISNUMBER(BS436),BS436,"")</f>
        <v>30</v>
      </c>
      <c r="CB436" s="13" t="n">
        <f>IF(AND(COUNT(BV436,BZ436,CA436)=3,MIN(BV436,BZ436,CA436)&gt;=0),BV436*BZ436*CA436,"")</f>
        <v>3.687950200726012</v>
      </c>
      <c r="CC436" s="11" t="n">
        <f>IF(ISNUMBER(BP436),BP436,"")</f>
        <v>0.532550303142279</v>
      </c>
      <c r="CD436" s="14" t="n">
        <f>IF(ISNUMBER(BT436),BT436,"")</f>
        <v>31</v>
      </c>
      <c r="CE436" s="13" t="n">
        <f>IF(AND(COUNT(BV436,CC436,CD436)=3,MIN(BV436,CC436,CD436)&gt;=0),BV436*CC436*CD436,"")</f>
        <v>2.5187931581772482</v>
      </c>
      <c r="CF436" s="11" t="n">
        <f>IF(ISNUMBER(BQ436),BQ436,"")</f>
        <v>0.7517299265337036</v>
      </c>
      <c r="CG436" s="14" t="n">
        <f>IF(ISNUMBER(BU436),BU436,"")</f>
        <v>17</v>
      </c>
      <c r="CH436" s="13" t="n">
        <f>IF(AND(COUNT(BV436,CF436,CG436)=3,MIN(BV436,CF436,CG436)&gt;=0),BV436*CF436*CG436,"")</f>
        <v>1.9497590112736307</v>
      </c>
      <c r="CI436" s="13" t="n">
        <f>IF(COUNT(BY436,CB436,CE436,CH436)=4,SUM(BY436,CB436,CE436,CH436),"")</f>
        <v>9.754738054904466</v>
      </c>
    </row>
    <row r="437" ht="72" customHeight="1">
      <c r="A437" s="16" t="str">
        <v>1S01-BEP-40.5</v>
      </c>
      <c r="B437" s="16" t="str">
        <v>3店-SANDIEX-US</v>
      </c>
      <c r="C437" s="16" t="str">
        <v>徐新怡</v>
      </c>
      <c r="D437" s="26" t="n">
        <f>IF(NOT(ISNUMBER(E437)),"",IF(OR(E437&lt;=0,L437=0),0,IF(OR(NOT(ISNUMBER(F437)),F437&lt;0),"",MIN(E437,INT(F437)))))</f>
        <v>0</v>
      </c>
      <c r="E437" s="27" t="n">
        <f>IF(OR(NOT(ISNUMBER(L437)),COUNT(M437:O437)&lt;&gt;3,MIN(M437:O437)&lt;0),"",ROUNDUP(ROUND(BI437-SUM(M437:O437),10),0))</f>
        <v>0</v>
      </c>
      <c r="F437" s="28" t="n">
        <v>0</v>
      </c>
      <c r="G437" s="28" t="n">
        <f>IF(AND(ISNUMBER(D437),ISNUMBER(E437)),IF(OR(E437&lt;=0,L437=0),0,E437-D437),"")</f>
        <v>0</v>
      </c>
      <c r="H437" s="16" t="str">
        <f>IF(NOT(ISNUMBER(E437)),"销量或海外库存待补",IF(OR(E437&lt;=0,L437=0),IF(L437=0,"零日销，本批不发","本批无需补货"),IF(NOT(ISNUMBER(D437)),"国内库存待补",IF(D437=0,"国内无可用库存",IF(G437&gt;0,"先发国内现货","按建议量发货")))))</f>
        <v>零日销，本批不发</v>
      </c>
      <c r="I437" s="28" t="n">
        <f>IF(AND(COUNT(Z437,AA437,AB437)=3,Z437&gt;=AA437,AA437&gt;=0,AB437=7),Z437-AA437,"")</f>
        <v>0</v>
      </c>
      <c r="J437" s="28" t="n">
        <f>IF(AND(COUNT(AF437,AG437,AH437)=3,AF437&gt;=AG437,AG437&gt;=0,AH437=14),AF437-AG437,"")</f>
        <v>0</v>
      </c>
      <c r="K437" s="28" t="n">
        <f>IF(AND(COUNT(AL437,AM437,AN437)=3,AL437&gt;=AM437,AM437&gt;=0,AN437=30),AL437-AM437,"")</f>
        <v>0</v>
      </c>
      <c r="L437" s="29" t="n">
        <f>IF(ISNUMBER(BI437),BI437/90,"")</f>
        <v>0</v>
      </c>
      <c r="M437" s="28" t="n">
        <v>0</v>
      </c>
      <c r="N437" s="28" t="n">
        <v>0</v>
      </c>
      <c r="O437" s="28" t="n">
        <v>0</v>
      </c>
      <c r="P437" s="30" t="str">
        <f>IF(AND(ISNUMBER(L437),L437&gt;0,COUNT(M437:O437)=3,MIN(M437:O437)&gt;=0),SUM(M437:O437)/L437,"")</f>
      </c>
      <c r="Q437" s="16" t="str">
        <v>沿用同SPU原计划店铺</v>
      </c>
      <c r="R437" s="16" t="str">
        <v>已匹配</v>
      </c>
      <c r="S437" s="16" t="str">
        <v>停售</v>
      </c>
      <c r="T437" s="16" t="str">
        <v>1S01</v>
      </c>
      <c r="U437" s="16" t="str">
        <v>牛仔蓝</v>
      </c>
      <c r="V437" s="16" t="n">
        <v>9.5</v>
      </c>
      <c r="W437" s="8" t="str">
        <v>2026-10-08 至 2026-10-17</v>
      </c>
      <c r="X437" s="8" t="str">
        <v>2026-10-08、2026-10-09、2026-10-10、2026-10-11、2026-10-14、2026-10-15、2026-10-17</v>
      </c>
      <c r="Y437" s="8" t="str">
        <v>2026-10-12 有记录的停售日；2026-10-13 有记录的停售日；2026-10-16 有记录的停售日</v>
      </c>
      <c r="Z437" s="8" t="n">
        <v>0</v>
      </c>
      <c r="AA437" s="8" t="n">
        <v>0</v>
      </c>
      <c r="AB437" s="8" t="n">
        <v>7</v>
      </c>
      <c r="AC437" s="8" t="str">
        <v>2026-09-29 至 2026-10-17</v>
      </c>
      <c r="AD437" s="8" t="str">
        <v>2026-09-29、2026-09-30、2026-10-01、2026-10-02、2026-10-03、2026-10-04、2026-10-05、2026-10-08、2026-10-09、2026-10-10、2026-10-11、2026-10-14、2026-10-15、2026-10-17</v>
      </c>
      <c r="AE437" s="8" t="str">
        <v>2026-10-06 大促；2026-10-07 大促；2026-10-12 有记录的停售日；2026-10-13 有记录的停售日；2026-10-16 有记录的停售日</v>
      </c>
      <c r="AF437" s="8" t="n">
        <v>0</v>
      </c>
      <c r="AG437" s="8" t="n">
        <v>0</v>
      </c>
      <c r="AH437" s="8" t="n">
        <v>14</v>
      </c>
      <c r="AI437" s="8" t="str">
        <v>2026-09-13 至 2026-10-17</v>
      </c>
      <c r="AJ43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7" s="8" t="str">
        <v>2026-10-06 大促；2026-10-07 大促；2026-10-12 有记录的停售日；2026-10-13 有记录的停售日；2026-10-16 有记录的停售日</v>
      </c>
      <c r="AL437" s="8" t="n">
        <v>0</v>
      </c>
      <c r="AM437" s="8" t="n">
        <v>0</v>
      </c>
      <c r="AN437" s="8" t="n">
        <v>30</v>
      </c>
      <c r="AO437" s="8" t="str">
        <v>1S01 / 牛仔蓝PU / 6574</v>
      </c>
      <c r="AP437" s="11" t="n">
        <v>0.8729500662042875</v>
      </c>
      <c r="AQ437" s="11" t="n">
        <v>0.9355747145678367</v>
      </c>
      <c r="AR437" s="11" t="n">
        <v>1.135973589331194</v>
      </c>
      <c r="AS437" s="11" t="n">
        <f>IF(AND(COUNT(I437:K437,AP437:AR437)=6,MIN(AP437:AR437)&gt;0),I437/7/AP437*0.5+J437/14/AQ437*0.3+K437/30/AR437*0.2,"")</f>
        <v>0</v>
      </c>
      <c r="AT437" s="8" t="n">
        <v>0</v>
      </c>
      <c r="AU437" s="8" t="n">
        <v>0</v>
      </c>
      <c r="AV437" s="8" t="n">
        <v>85</v>
      </c>
      <c r="AW437" s="11" t="n">
        <f>IF(AND(COUNT(AT437:AV437)=3,AT437&gt;=AU437,AU437&gt;=0,AV437&gt;0),(AT437-AU437)/AV437,"")</f>
        <v>0</v>
      </c>
      <c r="AX437" s="8" t="n">
        <v>0</v>
      </c>
      <c r="AY437" s="8" t="n">
        <v>0</v>
      </c>
      <c r="AZ437" s="8" t="n">
        <v>175</v>
      </c>
      <c r="BA437" s="11" t="n">
        <f>IF(AND(COUNT(AX437:AZ437)=3,AX437&gt;=AY437,AY437&gt;=0,AZ437&gt;0),(AX437-AY437)/AZ437,"")</f>
        <v>0</v>
      </c>
      <c r="BB437" s="8" t="n">
        <f>IF(COUNT(AS437,AW437,BA437)=3,1,0)</f>
        <v>1</v>
      </c>
      <c r="BC437" s="11" t="n">
        <f>IF(SUMIF($AO$11:$AO$1309,AO437,$BB$11:$BB$1309)=COUNTIF($AO$11:$AO$1309,AO437),SUMIF($AO$11:$AO$1309,AO437,$AS$11:$AS$1309),"")</f>
        <v>1.0895600676000732</v>
      </c>
      <c r="BD437" s="11" t="n">
        <f>IF(SUMIF($AO$11:$AO$1309,AO437,$BB$11:$BB$1309)=COUNTIF($AO$11:$AO$1309,AO437),SUMIF($AO$11:$AO$1309,AO437,$AW$11:$AW$1309),"")</f>
        <v>0.5</v>
      </c>
      <c r="BE437" s="11" t="n">
        <f>IF(SUMIF($AO$11:$AO$1309,AO437,$BB$11:$BB$1309)=COUNTIF($AO$11:$AO$1309,AO437),SUMIF($AO$11:$AO$1309,AO437,$BA$11:$BA$1309),"")</f>
        <v>0.696629213483146</v>
      </c>
      <c r="BF437" s="12" t="n">
        <f>IF(COUNT(BD437:BE437)&lt;&gt;2,"",IF(AND(BD437&gt;0,BE437&gt;0),0.7*AW437/BD437+0.3*BA437/BE437,IF(BD437&gt;0,AW437/BD437,IF(BE437&gt;0,BA437/BE437,IF(AND(ISNUMBER(BH437),BH437=0),0,"")))))</f>
        <v>0</v>
      </c>
      <c r="BG437" s="11" t="n">
        <f>IF(AND(COUNT(BN437:BU437)=8,MIN(BN437:BU437)&gt;=0),SUMPRODUCT(BN437:BQ437,BR437:BU437),"")</f>
        <v>63.935996265425516</v>
      </c>
      <c r="BH437" s="11" t="n">
        <f>IF(COUNT(BC437,BG437)=2,BC437*BG437,"")</f>
        <v>69.66210841303506</v>
      </c>
      <c r="BI437" s="11" t="n">
        <f>IF(ISNUMBER(CI437),CI437,"")</f>
        <v>0</v>
      </c>
      <c r="BJ437" s="8" t="str"/>
      <c r="BK437" s="8" t="str">
        <v>90天：2026-07-20 至 2026-10-17；180天：2026-04-21 至 2026-10-17</v>
      </c>
      <c r="BL437" s="8" t="str">
        <v>90天：2026-10-06、2026-10-07、2026-10-12、2026-10-13、2026-10-16；180天：2026-10-06、2026-10-07、2026-10-12、2026-10-13、2026-10-16</v>
      </c>
      <c r="BM437" s="8" t="str">
        <v>2026-10：12天 × 0.8729500662042875；2026-11：30天 × 0.8057375774163482；2026-12：31天 × 0.532550303142279；2027-01：17天 × 0.7517299265337036</v>
      </c>
      <c r="BN437" s="11" t="n">
        <v>0.8729500662042875</v>
      </c>
      <c r="BO437" s="11" t="n">
        <v>0.8057375774163482</v>
      </c>
      <c r="BP437" s="11" t="n">
        <v>0.532550303142279</v>
      </c>
      <c r="BQ437" s="11" t="n">
        <v>0.7517299265337036</v>
      </c>
      <c r="BR437" s="8" t="n">
        <v>12</v>
      </c>
      <c r="BS437" s="8" t="n">
        <v>30</v>
      </c>
      <c r="BT437" s="8" t="n">
        <v>31</v>
      </c>
      <c r="BU437" s="8" t="n">
        <v>17</v>
      </c>
      <c r="BV437" s="11" t="n">
        <f>IF(COUNT(BC437,BF437)=2,BC437*BF437,"")</f>
        <v>0</v>
      </c>
      <c r="BW437" s="11" t="n">
        <f>IF(ISNUMBER(BN437),BN437,"")</f>
        <v>0.8729500662042875</v>
      </c>
      <c r="BX437" s="14" t="n">
        <f>IF(ISNUMBER(BR437),BR437,"")</f>
        <v>12</v>
      </c>
      <c r="BY437" s="13" t="n">
        <f>IF(AND(COUNT(BV437,BW437,BX437)=3,MIN(BV437,BW437,BX437)&gt;=0),BV437*BW437*BX437,"")</f>
        <v>0</v>
      </c>
      <c r="BZ437" s="11" t="n">
        <f>IF(ISNUMBER(BO437),BO437,"")</f>
        <v>0.8057375774163482</v>
      </c>
      <c r="CA437" s="14" t="n">
        <f>IF(ISNUMBER(BS437),BS437,"")</f>
        <v>30</v>
      </c>
      <c r="CB437" s="13" t="n">
        <f>IF(AND(COUNT(BV437,BZ437,CA437)=3,MIN(BV437,BZ437,CA437)&gt;=0),BV437*BZ437*CA437,"")</f>
        <v>0</v>
      </c>
      <c r="CC437" s="11" t="n">
        <f>IF(ISNUMBER(BP437),BP437,"")</f>
        <v>0.532550303142279</v>
      </c>
      <c r="CD437" s="14" t="n">
        <f>IF(ISNUMBER(BT437),BT437,"")</f>
        <v>31</v>
      </c>
      <c r="CE437" s="13" t="n">
        <f>IF(AND(COUNT(BV437,CC437,CD437)=3,MIN(BV437,CC437,CD437)&gt;=0),BV437*CC437*CD437,"")</f>
        <v>0</v>
      </c>
      <c r="CF437" s="11" t="n">
        <f>IF(ISNUMBER(BQ437),BQ437,"")</f>
        <v>0.7517299265337036</v>
      </c>
      <c r="CG437" s="14" t="n">
        <f>IF(ISNUMBER(BU437),BU437,"")</f>
        <v>17</v>
      </c>
      <c r="CH437" s="13" t="n">
        <f>IF(AND(COUNT(BV437,CF437,CG437)=3,MIN(BV437,CF437,CG437)&gt;=0),BV437*CF437*CG437,"")</f>
        <v>0</v>
      </c>
      <c r="CI437" s="13" t="n">
        <f>IF(COUNT(BY437,CB437,CE437,CH437)=4,SUM(BY437,CB437,CE437,CH437),"")</f>
        <v>0</v>
      </c>
    </row>
    <row r="438" ht="72" customHeight="1">
      <c r="A438" s="16" t="str">
        <v>1S01-BEP-41.5</v>
      </c>
      <c r="B438" s="16" t="str">
        <v>3店-SANDIEX-US</v>
      </c>
      <c r="C438" s="16" t="str">
        <v>徐新怡</v>
      </c>
      <c r="D438" s="26" t="n">
        <f>IF(NOT(ISNUMBER(E438)),"",IF(OR(E438&lt;=0,L438=0),0,IF(OR(NOT(ISNUMBER(F438)),F438&lt;0),"",MIN(E438,INT(F438)))))</f>
        <v>0</v>
      </c>
      <c r="E438" s="27" t="n">
        <f>IF(OR(NOT(ISNUMBER(L438)),COUNT(M438:O438)&lt;&gt;3,MIN(M438:O438)&lt;0),"",ROUNDUP(ROUND(BI438-SUM(M438:O438),10),0))</f>
        <v>0</v>
      </c>
      <c r="F438" s="28"/>
      <c r="G438" s="28" t="n">
        <f>IF(AND(ISNUMBER(D438),ISNUMBER(E438)),IF(OR(E438&lt;=0,L438=0),0,E438-D438),"")</f>
        <v>0</v>
      </c>
      <c r="H438" s="16" t="str">
        <f>IF(NOT(ISNUMBER(E438)),"销量或海外库存待补",IF(OR(E438&lt;=0,L438=0),IF(L438=0,"零日销，本批不发","本批无需补货"),IF(NOT(ISNUMBER(D438)),"国内库存待补",IF(D438=0,"国内无可用库存",IF(G438&gt;0,"先发国内现货","按建议量发货")))))</f>
        <v>零日销，本批不发</v>
      </c>
      <c r="I438" s="28" t="n">
        <f>IF(AND(COUNT(Z438,AA438,AB438)=3,Z438&gt;=AA438,AA438&gt;=0,AB438=7),Z438-AA438,"")</f>
        <v>0</v>
      </c>
      <c r="J438" s="28" t="n">
        <f>IF(AND(COUNT(AF438,AG438,AH438)=3,AF438&gt;=AG438,AG438&gt;=0,AH438=14),AF438-AG438,"")</f>
        <v>0</v>
      </c>
      <c r="K438" s="28" t="n">
        <f>IF(AND(COUNT(AL438,AM438,AN438)=3,AL438&gt;=AM438,AM438&gt;=0,AN438=30),AL438-AM438,"")</f>
        <v>0</v>
      </c>
      <c r="L438" s="29" t="n">
        <f>IF(ISNUMBER(BI438),BI438/90,"")</f>
        <v>0</v>
      </c>
      <c r="M438" s="28" t="n">
        <v>0</v>
      </c>
      <c r="N438" s="28" t="n">
        <v>0</v>
      </c>
      <c r="O438" s="28" t="n">
        <v>0</v>
      </c>
      <c r="P438" s="30" t="str">
        <f>IF(AND(ISNUMBER(L438),L438&gt;0,COUNT(M438:O438)=3,MIN(M438:O438)&gt;=0),SUM(M438:O438)/L438,"")</f>
      </c>
      <c r="Q438" s="16" t="str">
        <v>沿用同SPU原计划店铺</v>
      </c>
      <c r="R438" s="16" t="str">
        <v>未匹配</v>
      </c>
      <c r="S438" s="16" t="str">
        <v>停售</v>
      </c>
      <c r="T438" s="16" t="str">
        <v>1S01</v>
      </c>
      <c r="U438" s="16" t="str">
        <v>牛仔蓝</v>
      </c>
      <c r="V438" s="16" t="n">
        <v>10.5</v>
      </c>
      <c r="W438" s="8" t="str">
        <v>2026-10-08 至 2026-10-17</v>
      </c>
      <c r="X438" s="8" t="str">
        <v>2026-10-08、2026-10-09、2026-10-10、2026-10-11、2026-10-14、2026-10-15、2026-10-17</v>
      </c>
      <c r="Y438" s="8" t="str">
        <v>2026-10-12 有记录的停售日；2026-10-13 有记录的停售日；2026-10-16 有记录的停售日</v>
      </c>
      <c r="Z438" s="8" t="n">
        <v>0</v>
      </c>
      <c r="AA438" s="8" t="n">
        <v>0</v>
      </c>
      <c r="AB438" s="8" t="n">
        <v>7</v>
      </c>
      <c r="AC438" s="8" t="str">
        <v>2026-09-29 至 2026-10-17</v>
      </c>
      <c r="AD438" s="8" t="str">
        <v>2026-09-29、2026-09-30、2026-10-01、2026-10-02、2026-10-03、2026-10-04、2026-10-05、2026-10-08、2026-10-09、2026-10-10、2026-10-11、2026-10-14、2026-10-15、2026-10-17</v>
      </c>
      <c r="AE438" s="8" t="str">
        <v>2026-10-06 大促；2026-10-07 大促；2026-10-12 有记录的停售日；2026-10-13 有记录的停售日；2026-10-16 有记录的停售日</v>
      </c>
      <c r="AF438" s="8" t="n">
        <v>0</v>
      </c>
      <c r="AG438" s="8" t="n">
        <v>0</v>
      </c>
      <c r="AH438" s="8" t="n">
        <v>14</v>
      </c>
      <c r="AI438" s="8" t="str">
        <v>2026-09-13 至 2026-10-17</v>
      </c>
      <c r="AJ43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8" s="8" t="str">
        <v>2026-10-06 大促；2026-10-07 大促；2026-10-12 有记录的停售日；2026-10-13 有记录的停售日；2026-10-16 有记录的停售日</v>
      </c>
      <c r="AL438" s="8" t="n">
        <v>0</v>
      </c>
      <c r="AM438" s="8" t="n">
        <v>0</v>
      </c>
      <c r="AN438" s="8" t="n">
        <v>30</v>
      </c>
      <c r="AO438" s="8" t="str">
        <v>1S01 / 牛仔蓝PU / 6574</v>
      </c>
      <c r="AP438" s="11" t="n">
        <v>0.8729500662042875</v>
      </c>
      <c r="AQ438" s="11" t="n">
        <v>0.9355747145678367</v>
      </c>
      <c r="AR438" s="11" t="n">
        <v>1.135973589331194</v>
      </c>
      <c r="AS438" s="11" t="n">
        <f>IF(AND(COUNT(I438:K438,AP438:AR438)=6,MIN(AP438:AR438)&gt;0),I438/7/AP438*0.5+J438/14/AQ438*0.3+K438/30/AR438*0.2,"")</f>
        <v>0</v>
      </c>
      <c r="AT438" s="8" t="n">
        <v>0</v>
      </c>
      <c r="AU438" s="8" t="n">
        <v>0</v>
      </c>
      <c r="AV438" s="8" t="n">
        <v>85</v>
      </c>
      <c r="AW438" s="11" t="n">
        <f>IF(AND(COUNT(AT438:AV438)=3,AT438&gt;=AU438,AU438&gt;=0,AV438&gt;0),(AT438-AU438)/AV438,"")</f>
        <v>0</v>
      </c>
      <c r="AX438" s="8" t="n">
        <v>0</v>
      </c>
      <c r="AY438" s="8" t="n">
        <v>0</v>
      </c>
      <c r="AZ438" s="8" t="n">
        <v>175</v>
      </c>
      <c r="BA438" s="11" t="n">
        <f>IF(AND(COUNT(AX438:AZ438)=3,AX438&gt;=AY438,AY438&gt;=0,AZ438&gt;0),(AX438-AY438)/AZ438,"")</f>
        <v>0</v>
      </c>
      <c r="BB438" s="8" t="n">
        <f>IF(COUNT(AS438,AW438,BA438)=3,1,0)</f>
        <v>1</v>
      </c>
      <c r="BC438" s="11" t="n">
        <f>IF(SUMIF($AO$11:$AO$1309,AO438,$BB$11:$BB$1309)=COUNTIF($AO$11:$AO$1309,AO438),SUMIF($AO$11:$AO$1309,AO438,$AS$11:$AS$1309),"")</f>
        <v>1.0895600676000732</v>
      </c>
      <c r="BD438" s="11" t="n">
        <f>IF(SUMIF($AO$11:$AO$1309,AO438,$BB$11:$BB$1309)=COUNTIF($AO$11:$AO$1309,AO438),SUMIF($AO$11:$AO$1309,AO438,$AW$11:$AW$1309),"")</f>
        <v>0.5</v>
      </c>
      <c r="BE438" s="11" t="n">
        <f>IF(SUMIF($AO$11:$AO$1309,AO438,$BB$11:$BB$1309)=COUNTIF($AO$11:$AO$1309,AO438),SUMIF($AO$11:$AO$1309,AO438,$BA$11:$BA$1309),"")</f>
        <v>0.696629213483146</v>
      </c>
      <c r="BF438" s="12" t="n">
        <f>IF(COUNT(BD438:BE438)&lt;&gt;2,"",IF(AND(BD438&gt;0,BE438&gt;0),0.7*AW438/BD438+0.3*BA438/BE438,IF(BD438&gt;0,AW438/BD438,IF(BE438&gt;0,BA438/BE438,IF(AND(ISNUMBER(BH438),BH438=0),0,"")))))</f>
        <v>0</v>
      </c>
      <c r="BG438" s="11" t="n">
        <f>IF(AND(COUNT(BN438:BU438)=8,MIN(BN438:BU438)&gt;=0),SUMPRODUCT(BN438:BQ438,BR438:BU438),"")</f>
        <v>63.935996265425516</v>
      </c>
      <c r="BH438" s="11" t="n">
        <f>IF(COUNT(BC438,BG438)=2,BC438*BG438,"")</f>
        <v>69.66210841303506</v>
      </c>
      <c r="BI438" s="11" t="n">
        <f>IF(ISNUMBER(CI438),CI438,"")</f>
        <v>0</v>
      </c>
      <c r="BJ438" s="8" t="str"/>
      <c r="BK438" s="8" t="str">
        <v>90天：2026-07-20 至 2026-10-17；180天：2026-04-21 至 2026-10-17</v>
      </c>
      <c r="BL438" s="8" t="str">
        <v>90天：2026-10-06、2026-10-07、2026-10-12、2026-10-13、2026-10-16；180天：2026-10-06、2026-10-07、2026-10-12、2026-10-13、2026-10-16</v>
      </c>
      <c r="BM438" s="8" t="str">
        <v>2026-10：12天 × 0.8729500662042875；2026-11：30天 × 0.8057375774163482；2026-12：31天 × 0.532550303142279；2027-01：17天 × 0.7517299265337036</v>
      </c>
      <c r="BN438" s="11" t="n">
        <v>0.8729500662042875</v>
      </c>
      <c r="BO438" s="11" t="n">
        <v>0.8057375774163482</v>
      </c>
      <c r="BP438" s="11" t="n">
        <v>0.532550303142279</v>
      </c>
      <c r="BQ438" s="11" t="n">
        <v>0.7517299265337036</v>
      </c>
      <c r="BR438" s="8" t="n">
        <v>12</v>
      </c>
      <c r="BS438" s="8" t="n">
        <v>30</v>
      </c>
      <c r="BT438" s="8" t="n">
        <v>31</v>
      </c>
      <c r="BU438" s="8" t="n">
        <v>17</v>
      </c>
      <c r="BV438" s="11" t="n">
        <f>IF(COUNT(BC438,BF438)=2,BC438*BF438,"")</f>
        <v>0</v>
      </c>
      <c r="BW438" s="11" t="n">
        <f>IF(ISNUMBER(BN438),BN438,"")</f>
        <v>0.8729500662042875</v>
      </c>
      <c r="BX438" s="14" t="n">
        <f>IF(ISNUMBER(BR438),BR438,"")</f>
        <v>12</v>
      </c>
      <c r="BY438" s="13" t="n">
        <f>IF(AND(COUNT(BV438,BW438,BX438)=3,MIN(BV438,BW438,BX438)&gt;=0),BV438*BW438*BX438,"")</f>
        <v>0</v>
      </c>
      <c r="BZ438" s="11" t="n">
        <f>IF(ISNUMBER(BO438),BO438,"")</f>
        <v>0.8057375774163482</v>
      </c>
      <c r="CA438" s="14" t="n">
        <f>IF(ISNUMBER(BS438),BS438,"")</f>
        <v>30</v>
      </c>
      <c r="CB438" s="13" t="n">
        <f>IF(AND(COUNT(BV438,BZ438,CA438)=3,MIN(BV438,BZ438,CA438)&gt;=0),BV438*BZ438*CA438,"")</f>
        <v>0</v>
      </c>
      <c r="CC438" s="11" t="n">
        <f>IF(ISNUMBER(BP438),BP438,"")</f>
        <v>0.532550303142279</v>
      </c>
      <c r="CD438" s="14" t="n">
        <f>IF(ISNUMBER(BT438),BT438,"")</f>
        <v>31</v>
      </c>
      <c r="CE438" s="13" t="n">
        <f>IF(AND(COUNT(BV438,CC438,CD438)=3,MIN(BV438,CC438,CD438)&gt;=0),BV438*CC438*CD438,"")</f>
        <v>0</v>
      </c>
      <c r="CF438" s="11" t="n">
        <f>IF(ISNUMBER(BQ438),BQ438,"")</f>
        <v>0.7517299265337036</v>
      </c>
      <c r="CG438" s="14" t="n">
        <f>IF(ISNUMBER(BU438),BU438,"")</f>
        <v>17</v>
      </c>
      <c r="CH438" s="13" t="n">
        <f>IF(AND(COUNT(BV438,CF438,CG438)=3,MIN(BV438,CF438,CG438)&gt;=0),BV438*CF438*CG438,"")</f>
        <v>0</v>
      </c>
      <c r="CI438" s="13" t="n">
        <f>IF(COUNT(BY438,CB438,CE438,CH438)=4,SUM(BY438,CB438,CE438,CH438),"")</f>
        <v>0</v>
      </c>
    </row>
    <row r="439" ht="72" customHeight="1">
      <c r="A439" s="16" t="str">
        <v>1S01-BEP-42</v>
      </c>
      <c r="B439" s="16" t="str">
        <v>3店-SANDIEX-US</v>
      </c>
      <c r="C439" s="16" t="str">
        <v>徐新怡</v>
      </c>
      <c r="D439" s="26" t="n">
        <f>IF(NOT(ISNUMBER(E439)),"",IF(OR(E439&lt;=0,L439=0),0,IF(OR(NOT(ISNUMBER(F439)),F439&lt;0),"",MIN(E439,INT(F439)))))</f>
        <v>0</v>
      </c>
      <c r="E439" s="27" t="n">
        <f>IF(OR(NOT(ISNUMBER(L439)),COUNT(M439:O439)&lt;&gt;3,MIN(M439:O439)&lt;0),"",ROUNDUP(ROUND(BI439-SUM(M439:O439),10),0))</f>
        <v>0</v>
      </c>
      <c r="F439" s="28" t="n">
        <v>1</v>
      </c>
      <c r="G439" s="28" t="n">
        <f>IF(AND(ISNUMBER(D439),ISNUMBER(E439)),IF(OR(E439&lt;=0,L439=0),0,E439-D439),"")</f>
        <v>0</v>
      </c>
      <c r="H439" s="16" t="str">
        <f>IF(NOT(ISNUMBER(E439)),"销量或海外库存待补",IF(OR(E439&lt;=0,L439=0),IF(L439=0,"零日销，本批不发","本批无需补货"),IF(NOT(ISNUMBER(D439)),"国内库存待补",IF(D439=0,"国内无可用库存",IF(G439&gt;0,"先发国内现货","按建议量发货")))))</f>
        <v>零日销，本批不发</v>
      </c>
      <c r="I439" s="28" t="n">
        <f>IF(AND(COUNT(Z439,AA439,AB439)=3,Z439&gt;=AA439,AA439&gt;=0,AB439=7),Z439-AA439,"")</f>
        <v>0</v>
      </c>
      <c r="J439" s="28" t="n">
        <f>IF(AND(COUNT(AF439,AG439,AH439)=3,AF439&gt;=AG439,AG439&gt;=0,AH439=14),AF439-AG439,"")</f>
        <v>0</v>
      </c>
      <c r="K439" s="28" t="n">
        <f>IF(AND(COUNT(AL439,AM439,AN439)=3,AL439&gt;=AM439,AM439&gt;=0,AN439=30),AL439-AM439,"")</f>
        <v>0</v>
      </c>
      <c r="L439" s="29" t="n">
        <f>IF(ISNUMBER(BI439),BI439/90,"")</f>
        <v>0</v>
      </c>
      <c r="M439" s="28" t="n">
        <v>0</v>
      </c>
      <c r="N439" s="28" t="n">
        <v>0</v>
      </c>
      <c r="O439" s="28" t="n">
        <v>0</v>
      </c>
      <c r="P439" s="30" t="str">
        <f>IF(AND(ISNUMBER(L439),L439&gt;0,COUNT(M439:O439)=3,MIN(M439:O439)&gt;=0),SUM(M439:O439)/L439,"")</f>
      </c>
      <c r="Q439" s="16" t="str">
        <v>沿用原计划SKU店铺</v>
      </c>
      <c r="R439" s="16" t="str">
        <v>已匹配</v>
      </c>
      <c r="S439" s="16" t="str">
        <v>停售</v>
      </c>
      <c r="T439" s="16" t="str">
        <v>1S01</v>
      </c>
      <c r="U439" s="16" t="str">
        <v>牛仔蓝</v>
      </c>
      <c r="V439" s="16" t="n">
        <v>11</v>
      </c>
      <c r="W439" s="8" t="str">
        <v>2026-10-08 至 2026-10-17</v>
      </c>
      <c r="X439" s="8" t="str">
        <v>2026-10-08、2026-10-09、2026-10-10、2026-10-11、2026-10-14、2026-10-15、2026-10-17</v>
      </c>
      <c r="Y439" s="8" t="str">
        <v>2026-10-12 有记录的停售日；2026-10-13 有记录的停售日；2026-10-16 有记录的停售日</v>
      </c>
      <c r="Z439" s="8" t="n">
        <v>0</v>
      </c>
      <c r="AA439" s="8" t="n">
        <v>0</v>
      </c>
      <c r="AB439" s="8" t="n">
        <v>7</v>
      </c>
      <c r="AC439" s="8" t="str">
        <v>2026-09-29 至 2026-10-17</v>
      </c>
      <c r="AD439" s="8" t="str">
        <v>2026-09-29、2026-09-30、2026-10-01、2026-10-02、2026-10-03、2026-10-04、2026-10-05、2026-10-08、2026-10-09、2026-10-10、2026-10-11、2026-10-14、2026-10-15、2026-10-17</v>
      </c>
      <c r="AE439" s="8" t="str">
        <v>2026-10-06 大促；2026-10-07 大促；2026-10-12 有记录的停售日；2026-10-13 有记录的停售日；2026-10-16 有记录的停售日</v>
      </c>
      <c r="AF439" s="8" t="n">
        <v>0</v>
      </c>
      <c r="AG439" s="8" t="n">
        <v>0</v>
      </c>
      <c r="AH439" s="8" t="n">
        <v>14</v>
      </c>
      <c r="AI439" s="8" t="str">
        <v>2026-09-13 至 2026-10-17</v>
      </c>
      <c r="AJ4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39" s="8" t="str">
        <v>2026-10-06 大促；2026-10-07 大促；2026-10-12 有记录的停售日；2026-10-13 有记录的停售日；2026-10-16 有记录的停售日</v>
      </c>
      <c r="AL439" s="8" t="n">
        <v>0</v>
      </c>
      <c r="AM439" s="8" t="n">
        <v>0</v>
      </c>
      <c r="AN439" s="8" t="n">
        <v>30</v>
      </c>
      <c r="AO439" s="8" t="str">
        <v>1S01 / 牛仔蓝PU / 6574</v>
      </c>
      <c r="AP439" s="11" t="n">
        <v>0.8729500662042875</v>
      </c>
      <c r="AQ439" s="11" t="n">
        <v>0.9355747145678367</v>
      </c>
      <c r="AR439" s="11" t="n">
        <v>1.135973589331194</v>
      </c>
      <c r="AS439" s="11" t="n">
        <f>IF(AND(COUNT(I439:K439,AP439:AR439)=6,MIN(AP439:AR439)&gt;0),I439/7/AP439*0.5+J439/14/AQ439*0.3+K439/30/AR439*0.2,"")</f>
        <v>0</v>
      </c>
      <c r="AT439" s="8" t="n">
        <v>0</v>
      </c>
      <c r="AU439" s="8" t="n">
        <v>0</v>
      </c>
      <c r="AV439" s="8" t="n">
        <v>85</v>
      </c>
      <c r="AW439" s="11" t="n">
        <f>IF(AND(COUNT(AT439:AV439)=3,AT439&gt;=AU439,AU439&gt;=0,AV439&gt;0),(AT439-AU439)/AV439,"")</f>
        <v>0</v>
      </c>
      <c r="AX439" s="8" t="n">
        <v>0</v>
      </c>
      <c r="AY439" s="8" t="n">
        <v>0</v>
      </c>
      <c r="AZ439" s="8" t="n">
        <v>175</v>
      </c>
      <c r="BA439" s="11" t="n">
        <f>IF(AND(COUNT(AX439:AZ439)=3,AX439&gt;=AY439,AY439&gt;=0,AZ439&gt;0),(AX439-AY439)/AZ439,"")</f>
        <v>0</v>
      </c>
      <c r="BB439" s="8" t="n">
        <f>IF(COUNT(AS439,AW439,BA439)=3,1,0)</f>
        <v>1</v>
      </c>
      <c r="BC439" s="11" t="n">
        <f>IF(SUMIF($AO$11:$AO$1309,AO439,$BB$11:$BB$1309)=COUNTIF($AO$11:$AO$1309,AO439),SUMIF($AO$11:$AO$1309,AO439,$AS$11:$AS$1309),"")</f>
        <v>1.0895600676000732</v>
      </c>
      <c r="BD439" s="11" t="n">
        <f>IF(SUMIF($AO$11:$AO$1309,AO439,$BB$11:$BB$1309)=COUNTIF($AO$11:$AO$1309,AO439),SUMIF($AO$11:$AO$1309,AO439,$AW$11:$AW$1309),"")</f>
        <v>0.5</v>
      </c>
      <c r="BE439" s="11" t="n">
        <f>IF(SUMIF($AO$11:$AO$1309,AO439,$BB$11:$BB$1309)=COUNTIF($AO$11:$AO$1309,AO439),SUMIF($AO$11:$AO$1309,AO439,$BA$11:$BA$1309),"")</f>
        <v>0.696629213483146</v>
      </c>
      <c r="BF439" s="12" t="n">
        <f>IF(COUNT(BD439:BE439)&lt;&gt;2,"",IF(AND(BD439&gt;0,BE439&gt;0),0.7*AW439/BD439+0.3*BA439/BE439,IF(BD439&gt;0,AW439/BD439,IF(BE439&gt;0,BA439/BE439,IF(AND(ISNUMBER(BH439),BH439=0),0,"")))))</f>
        <v>0</v>
      </c>
      <c r="BG439" s="11" t="n">
        <f>IF(AND(COUNT(BN439:BU439)=8,MIN(BN439:BU439)&gt;=0),SUMPRODUCT(BN439:BQ439,BR439:BU439),"")</f>
        <v>63.935996265425516</v>
      </c>
      <c r="BH439" s="11" t="n">
        <f>IF(COUNT(BC439,BG439)=2,BC439*BG439,"")</f>
        <v>69.66210841303506</v>
      </c>
      <c r="BI439" s="11" t="n">
        <f>IF(ISNUMBER(CI439),CI439,"")</f>
        <v>0</v>
      </c>
      <c r="BJ439" s="8" t="str"/>
      <c r="BK439" s="8" t="str">
        <v>90天：2026-07-20 至 2026-10-17；180天：2026-04-21 至 2026-10-17</v>
      </c>
      <c r="BL439" s="8" t="str">
        <v>90天：2026-10-06、2026-10-07、2026-10-12、2026-10-13、2026-10-16；180天：2026-10-06、2026-10-07、2026-10-12、2026-10-13、2026-10-16</v>
      </c>
      <c r="BM439" s="8" t="str">
        <v>2026-10：12天 × 0.8729500662042875；2026-11：30天 × 0.8057375774163482；2026-12：31天 × 0.532550303142279；2027-01：17天 × 0.7517299265337036</v>
      </c>
      <c r="BN439" s="11" t="n">
        <v>0.8729500662042875</v>
      </c>
      <c r="BO439" s="11" t="n">
        <v>0.8057375774163482</v>
      </c>
      <c r="BP439" s="11" t="n">
        <v>0.532550303142279</v>
      </c>
      <c r="BQ439" s="11" t="n">
        <v>0.7517299265337036</v>
      </c>
      <c r="BR439" s="8" t="n">
        <v>12</v>
      </c>
      <c r="BS439" s="8" t="n">
        <v>30</v>
      </c>
      <c r="BT439" s="8" t="n">
        <v>31</v>
      </c>
      <c r="BU439" s="8" t="n">
        <v>17</v>
      </c>
      <c r="BV439" s="11" t="n">
        <f>IF(COUNT(BC439,BF439)=2,BC439*BF439,"")</f>
        <v>0</v>
      </c>
      <c r="BW439" s="11" t="n">
        <f>IF(ISNUMBER(BN439),BN439,"")</f>
        <v>0.8729500662042875</v>
      </c>
      <c r="BX439" s="14" t="n">
        <f>IF(ISNUMBER(BR439),BR439,"")</f>
        <v>12</v>
      </c>
      <c r="BY439" s="13" t="n">
        <f>IF(AND(COUNT(BV439,BW439,BX439)=3,MIN(BV439,BW439,BX439)&gt;=0),BV439*BW439*BX439,"")</f>
        <v>0</v>
      </c>
      <c r="BZ439" s="11" t="n">
        <f>IF(ISNUMBER(BO439),BO439,"")</f>
        <v>0.8057375774163482</v>
      </c>
      <c r="CA439" s="14" t="n">
        <f>IF(ISNUMBER(BS439),BS439,"")</f>
        <v>30</v>
      </c>
      <c r="CB439" s="13" t="n">
        <f>IF(AND(COUNT(BV439,BZ439,CA439)=3,MIN(BV439,BZ439,CA439)&gt;=0),BV439*BZ439*CA439,"")</f>
        <v>0</v>
      </c>
      <c r="CC439" s="11" t="n">
        <f>IF(ISNUMBER(BP439),BP439,"")</f>
        <v>0.532550303142279</v>
      </c>
      <c r="CD439" s="14" t="n">
        <f>IF(ISNUMBER(BT439),BT439,"")</f>
        <v>31</v>
      </c>
      <c r="CE439" s="13" t="n">
        <f>IF(AND(COUNT(BV439,CC439,CD439)=3,MIN(BV439,CC439,CD439)&gt;=0),BV439*CC439*CD439,"")</f>
        <v>0</v>
      </c>
      <c r="CF439" s="11" t="n">
        <f>IF(ISNUMBER(BQ439),BQ439,"")</f>
        <v>0.7517299265337036</v>
      </c>
      <c r="CG439" s="14" t="n">
        <f>IF(ISNUMBER(BU439),BU439,"")</f>
        <v>17</v>
      </c>
      <c r="CH439" s="13" t="n">
        <f>IF(AND(COUNT(BV439,CF439,CG439)=3,MIN(BV439,CF439,CG439)&gt;=0),BV439*CF439*CG439,"")</f>
        <v>0</v>
      </c>
      <c r="CI439" s="13" t="n">
        <f>IF(COUNT(BY439,CB439,CE439,CH439)=4,SUM(BY439,CB439,CE439,CH439),"")</f>
        <v>0</v>
      </c>
    </row>
    <row r="440" ht="72" customHeight="1">
      <c r="A440" s="16" t="str">
        <v>1S01-BG-36</v>
      </c>
      <c r="B440" s="16" t="str">
        <v>3店-SANDIEX-US</v>
      </c>
      <c r="C440" s="16" t="str">
        <v>徐新怡</v>
      </c>
      <c r="D440" s="26" t="n">
        <f>IF(NOT(ISNUMBER(E440)),"",IF(OR(E440&lt;=0,L440=0),0,IF(OR(NOT(ISNUMBER(F440)),F440&lt;0),"",MIN(E440,INT(F440)))))</f>
        <v>0</v>
      </c>
      <c r="E440" s="27" t="n">
        <f>IF(OR(NOT(ISNUMBER(L440)),COUNT(M440:O440)&lt;&gt;3,MIN(M440:O440)&lt;0),"",ROUNDUP(ROUND(BI440-SUM(M440:O440),10),0))</f>
        <v>0</v>
      </c>
      <c r="F440" s="28"/>
      <c r="G440" s="28" t="n">
        <f>IF(AND(ISNUMBER(D440),ISNUMBER(E440)),IF(OR(E440&lt;=0,L440=0),0,E440-D440),"")</f>
        <v>0</v>
      </c>
      <c r="H440" s="16" t="str">
        <f>IF(NOT(ISNUMBER(E440)),"销量或海外库存待补",IF(OR(E440&lt;=0,L440=0),IF(L440=0,"零日销，本批不发","本批无需补货"),IF(NOT(ISNUMBER(D440)),"国内库存待补",IF(D440=0,"国内无可用库存",IF(G440&gt;0,"先发国内现货","按建议量发货")))))</f>
        <v>零日销，本批不发</v>
      </c>
      <c r="I440" s="28" t="n">
        <f>IF(AND(COUNT(Z440,AA440,AB440)=3,Z440&gt;=AA440,AA440&gt;=0,AB440=7),Z440-AA440,"")</f>
        <v>0</v>
      </c>
      <c r="J440" s="28" t="n">
        <f>IF(AND(COUNT(AF440,AG440,AH440)=3,AF440&gt;=AG440,AG440&gt;=0,AH440=14),AF440-AG440,"")</f>
        <v>0</v>
      </c>
      <c r="K440" s="28" t="n">
        <f>IF(AND(COUNT(AL440,AM440,AN440)=3,AL440&gt;=AM440,AM440&gt;=0,AN440=30),AL440-AM440,"")</f>
        <v>0</v>
      </c>
      <c r="L440" s="29" t="n">
        <f>IF(ISNUMBER(BI440),BI440/90,"")</f>
        <v>0</v>
      </c>
      <c r="M440" s="28" t="n">
        <v>0</v>
      </c>
      <c r="N440" s="28" t="n">
        <v>0</v>
      </c>
      <c r="O440" s="28" t="n">
        <v>0</v>
      </c>
      <c r="P440" s="30" t="str">
        <f>IF(AND(ISNUMBER(L440),L440&gt;0,COUNT(M440:O440)=3,MIN(M440:O440)&gt;=0),SUM(M440:O440)/L440,"")</f>
      </c>
      <c r="Q440" s="16" t="str">
        <v>沿用同SPU原计划店铺</v>
      </c>
      <c r="R440" s="16" t="str">
        <v>未匹配</v>
      </c>
      <c r="S440" s="16" t="str">
        <v>停售</v>
      </c>
      <c r="T440" s="16" t="str">
        <v>1S01</v>
      </c>
      <c r="U440" s="16" t="str">
        <v>米色</v>
      </c>
      <c r="V440" s="16" t="n">
        <v>5</v>
      </c>
      <c r="W440" s="8" t="str">
        <v>2026-10-08 至 2026-10-17</v>
      </c>
      <c r="X440" s="8" t="str">
        <v>2026-10-08、2026-10-09、2026-10-10、2026-10-11、2026-10-14、2026-10-15、2026-10-17</v>
      </c>
      <c r="Y440" s="8" t="str">
        <v>2026-10-12 有记录的停售日；2026-10-13 有记录的停售日；2026-10-16 有记录的停售日</v>
      </c>
      <c r="Z440" s="8" t="n">
        <v>0</v>
      </c>
      <c r="AA440" s="8" t="n">
        <v>0</v>
      </c>
      <c r="AB440" s="8" t="n">
        <v>7</v>
      </c>
      <c r="AC440" s="8" t="str">
        <v>2026-09-29 至 2026-10-17</v>
      </c>
      <c r="AD440" s="8" t="str">
        <v>2026-09-29、2026-09-30、2026-10-01、2026-10-02、2026-10-03、2026-10-04、2026-10-05、2026-10-08、2026-10-09、2026-10-10、2026-10-11、2026-10-14、2026-10-15、2026-10-17</v>
      </c>
      <c r="AE440" s="8" t="str">
        <v>2026-10-06 大促；2026-10-07 大促；2026-10-12 有记录的停售日；2026-10-13 有记录的停售日；2026-10-16 有记录的停售日</v>
      </c>
      <c r="AF440" s="8" t="n">
        <v>0</v>
      </c>
      <c r="AG440" s="8" t="n">
        <v>0</v>
      </c>
      <c r="AH440" s="8" t="n">
        <v>14</v>
      </c>
      <c r="AI440" s="8" t="str">
        <v>2026-09-13 至 2026-10-17</v>
      </c>
      <c r="AJ44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40" s="8" t="str">
        <v>2026-10-06 大促；2026-10-07 大促；2026-10-12 有记录的停售日；2026-10-13 有记录的停售日；2026-10-16 有记录的停售日</v>
      </c>
      <c r="AL440" s="8" t="n">
        <v>0</v>
      </c>
      <c r="AM440" s="8" t="n">
        <v>0</v>
      </c>
      <c r="AN440" s="8" t="n">
        <v>30</v>
      </c>
      <c r="AO440" s="8" t="str">
        <v>1S01 / 米色羊京绒 / 6574</v>
      </c>
      <c r="AP440" s="11" t="n">
        <v>0.8729500662042875</v>
      </c>
      <c r="AQ440" s="11" t="n">
        <v>0.9355747145678367</v>
      </c>
      <c r="AR440" s="11" t="n">
        <v>1.135973589331194</v>
      </c>
      <c r="AS440" s="11" t="n">
        <f>IF(AND(COUNT(I440:K440,AP440:AR440)=6,MIN(AP440:AR440)&gt;0),I440/7/AP440*0.5+J440/14/AQ440*0.3+K440/30/AR440*0.2,"")</f>
        <v>0</v>
      </c>
      <c r="AT440" s="8" t="n">
        <v>0</v>
      </c>
      <c r="AU440" s="8" t="n">
        <v>0</v>
      </c>
      <c r="AV440" s="8" t="n">
        <v>85</v>
      </c>
      <c r="AW440" s="11" t="n">
        <f>IF(AND(COUNT(AT440:AV440)=3,AT440&gt;=AU440,AU440&gt;=0,AV440&gt;0),(AT440-AU440)/AV440,"")</f>
        <v>0</v>
      </c>
      <c r="AX440" s="8" t="n">
        <v>0</v>
      </c>
      <c r="AY440" s="8" t="n">
        <v>0</v>
      </c>
      <c r="AZ440" s="8" t="n">
        <v>175</v>
      </c>
      <c r="BA440" s="11" t="n">
        <f>IF(AND(COUNT(AX440:AZ440)=3,AX440&gt;=AY440,AY440&gt;=0,AZ440&gt;0),(AX440-AY440)/AZ440,"")</f>
        <v>0</v>
      </c>
      <c r="BB440" s="8" t="n">
        <f>IF(COUNT(AS440,AW440,BA440)=3,1,0)</f>
        <v>1</v>
      </c>
      <c r="BC440" s="11" t="n">
        <f>IF(SUMIF($AO$11:$AO$1309,AO440,$BB$11:$BB$1309)=COUNTIF($AO$11:$AO$1309,AO440),SUMIF($AO$11:$AO$1309,AO440,$AS$11:$AS$1309),"")</f>
        <v>7.573401752019576</v>
      </c>
      <c r="BD440" s="11" t="n">
        <f>IF(SUMIF($AO$11:$AO$1309,AO440,$BB$11:$BB$1309)=COUNTIF($AO$11:$AO$1309,AO440),SUMIF($AO$11:$AO$1309,AO440,$AW$11:$AW$1309),"")</f>
        <v>7.579545454545455</v>
      </c>
      <c r="BE440" s="11" t="n">
        <f>IF(SUMIF($AO$11:$AO$1309,AO440,$BB$11:$BB$1309)=COUNTIF($AO$11:$AO$1309,AO440),SUMIF($AO$11:$AO$1309,AO440,$BA$11:$BA$1309),"")</f>
        <v>5.354028892455858</v>
      </c>
      <c r="BF440" s="12" t="n">
        <f>IF(COUNT(BD440:BE440)&lt;&gt;2,"",IF(AND(BD440&gt;0,BE440&gt;0),0.7*AW440/BD440+0.3*BA440/BE440,IF(BD440&gt;0,AW440/BD440,IF(BE440&gt;0,BA440/BE440,IF(AND(ISNUMBER(BH440),BH440=0),0,"")))))</f>
        <v>0</v>
      </c>
      <c r="BG440" s="11" t="n">
        <f>IF(AND(COUNT(BN440:BU440)=8,MIN(BN440:BU440)&gt;=0),SUMPRODUCT(BN440:BQ440,BR440:BU440),"")</f>
        <v>63.935996265425516</v>
      </c>
      <c r="BH440" s="11" t="n">
        <f>IF(COUNT(BC440,BG440)=2,BC440*BG440,"")</f>
        <v>484.21298613369066</v>
      </c>
      <c r="BI440" s="11" t="n">
        <f>IF(ISNUMBER(CI440),CI440,"")</f>
        <v>0</v>
      </c>
      <c r="BJ440" s="8" t="str"/>
      <c r="BK440" s="8" t="str">
        <v>90天：2026-07-20 至 2026-10-17；180天：2026-04-21 至 2026-10-17</v>
      </c>
      <c r="BL440" s="8" t="str">
        <v>90天：2026-10-06、2026-10-07、2026-10-12、2026-10-13、2026-10-16；180天：2026-10-06、2026-10-07、2026-10-12、2026-10-13、2026-10-16</v>
      </c>
      <c r="BM440" s="8" t="str">
        <v>2026-10：12天 × 0.8729500662042875；2026-11：30天 × 0.8057375774163482；2026-12：31天 × 0.532550303142279；2027-01：17天 × 0.7517299265337036</v>
      </c>
      <c r="BN440" s="11" t="n">
        <v>0.8729500662042875</v>
      </c>
      <c r="BO440" s="11" t="n">
        <v>0.8057375774163482</v>
      </c>
      <c r="BP440" s="11" t="n">
        <v>0.532550303142279</v>
      </c>
      <c r="BQ440" s="11" t="n">
        <v>0.7517299265337036</v>
      </c>
      <c r="BR440" s="8" t="n">
        <v>12</v>
      </c>
      <c r="BS440" s="8" t="n">
        <v>30</v>
      </c>
      <c r="BT440" s="8" t="n">
        <v>31</v>
      </c>
      <c r="BU440" s="8" t="n">
        <v>17</v>
      </c>
      <c r="BV440" s="11" t="n">
        <f>IF(COUNT(BC440,BF440)=2,BC440*BF440,"")</f>
        <v>0</v>
      </c>
      <c r="BW440" s="11" t="n">
        <f>IF(ISNUMBER(BN440),BN440,"")</f>
        <v>0.8729500662042875</v>
      </c>
      <c r="BX440" s="14" t="n">
        <f>IF(ISNUMBER(BR440),BR440,"")</f>
        <v>12</v>
      </c>
      <c r="BY440" s="13" t="n">
        <f>IF(AND(COUNT(BV440,BW440,BX440)=3,MIN(BV440,BW440,BX440)&gt;=0),BV440*BW440*BX440,"")</f>
        <v>0</v>
      </c>
      <c r="BZ440" s="11" t="n">
        <f>IF(ISNUMBER(BO440),BO440,"")</f>
        <v>0.8057375774163482</v>
      </c>
      <c r="CA440" s="14" t="n">
        <f>IF(ISNUMBER(BS440),BS440,"")</f>
        <v>30</v>
      </c>
      <c r="CB440" s="13" t="n">
        <f>IF(AND(COUNT(BV440,BZ440,CA440)=3,MIN(BV440,BZ440,CA440)&gt;=0),BV440*BZ440*CA440,"")</f>
        <v>0</v>
      </c>
      <c r="CC440" s="11" t="n">
        <f>IF(ISNUMBER(BP440),BP440,"")</f>
        <v>0.532550303142279</v>
      </c>
      <c r="CD440" s="14" t="n">
        <f>IF(ISNUMBER(BT440),BT440,"")</f>
        <v>31</v>
      </c>
      <c r="CE440" s="13" t="n">
        <f>IF(AND(COUNT(BV440,CC440,CD440)=3,MIN(BV440,CC440,CD440)&gt;=0),BV440*CC440*CD440,"")</f>
        <v>0</v>
      </c>
      <c r="CF440" s="11" t="n">
        <f>IF(ISNUMBER(BQ440),BQ440,"")</f>
        <v>0.7517299265337036</v>
      </c>
      <c r="CG440" s="14" t="n">
        <f>IF(ISNUMBER(BU440),BU440,"")</f>
        <v>17</v>
      </c>
      <c r="CH440" s="13" t="n">
        <f>IF(AND(COUNT(BV440,CF440,CG440)=3,MIN(BV440,CF440,CG440)&gt;=0),BV440*CF440*CG440,"")</f>
        <v>0</v>
      </c>
      <c r="CI440" s="13" t="n">
        <f>IF(COUNT(BY440,CB440,CE440,CH440)=4,SUM(BY440,CB440,CE440,CH440),"")</f>
        <v>0</v>
      </c>
    </row>
    <row r="441" ht="72" customHeight="1">
      <c r="A441" s="16" t="str">
        <v>1S01-BG-37</v>
      </c>
      <c r="B441" s="16" t="str">
        <v>3店-SANDIEX-US</v>
      </c>
      <c r="C441" s="16" t="str">
        <v>徐新怡</v>
      </c>
      <c r="D441" s="26" t="n">
        <f>IF(NOT(ISNUMBER(E441)),"",IF(OR(E441&lt;=0,L441=0),0,IF(OR(NOT(ISNUMBER(F441)),F441&lt;0),"",MIN(E441,INT(F441)))))</f>
        <v>0</v>
      </c>
      <c r="E441" s="27" t="n">
        <f>IF(OR(NOT(ISNUMBER(L441)),COUNT(M441:O441)&lt;&gt;3,MIN(M441:O441)&lt;0),"",ROUNDUP(ROUND(BI441-SUM(M441:O441),10),0))</f>
        <v>-12</v>
      </c>
      <c r="F441" s="28" t="n">
        <v>27</v>
      </c>
      <c r="G441" s="28" t="n">
        <f>IF(AND(ISNUMBER(D441),ISNUMBER(E441)),IF(OR(E441&lt;=0,L441=0),0,E441-D441),"")</f>
        <v>0</v>
      </c>
      <c r="H441" s="16" t="str">
        <f>IF(NOT(ISNUMBER(E441)),"销量或海外库存待补",IF(OR(E441&lt;=0,L441=0),IF(L441=0,"零日销，本批不发","本批无需补货"),IF(NOT(ISNUMBER(D441)),"国内库存待补",IF(D441=0,"国内无可用库存",IF(G441&gt;0,"先发国内现货","按建议量发货")))))</f>
        <v>本批无需补货</v>
      </c>
      <c r="I441" s="28" t="n">
        <f>IF(AND(COUNT(Z441,AA441,AB441)=3,Z441&gt;=AA441,AA441&gt;=0,AB441=7),Z441-AA441,"")</f>
        <v>9</v>
      </c>
      <c r="J441" s="28" t="n">
        <f>IF(AND(COUNT(AF441,AG441,AH441)=3,AF441&gt;=AG441,AG441&gt;=0,AH441=14),AF441-AG441,"")</f>
        <v>15</v>
      </c>
      <c r="K441" s="28" t="n">
        <f>IF(AND(COUNT(AL441,AM441,AN441)=3,AL441&gt;=AM441,AM441&gt;=0,AN441=30),AL441-AM441,"")</f>
        <v>29</v>
      </c>
      <c r="L441" s="29" t="n">
        <f>IF(ISNUMBER(BI441),BI441/90,"")</f>
        <v>0.5053222137714487</v>
      </c>
      <c r="M441" s="28" t="n">
        <v>10</v>
      </c>
      <c r="N441" s="28" t="n">
        <v>0</v>
      </c>
      <c r="O441" s="28" t="n">
        <v>47</v>
      </c>
      <c r="P441" s="30" t="n">
        <f>IF(AND(ISNUMBER(L441),L441&gt;0,COUNT(M441:O441)=3,MIN(M441:O441)&gt;=0),SUM(M441:O441)/L441,"")</f>
        <v>112.79931585548786</v>
      </c>
      <c r="Q441" s="16" t="str">
        <v>沿用原计划SKU店铺</v>
      </c>
      <c r="R441" s="16" t="str">
        <v>已匹配</v>
      </c>
      <c r="S441" s="16" t="str">
        <v>在售</v>
      </c>
      <c r="T441" s="16" t="str">
        <v>1S01</v>
      </c>
      <c r="U441" s="16" t="str">
        <v>米色</v>
      </c>
      <c r="V441" s="16" t="n">
        <v>6</v>
      </c>
      <c r="W441" s="8" t="str">
        <v>2026-10-11 至 2026-10-17</v>
      </c>
      <c r="X441" s="8" t="str">
        <v>2026-10-11、2026-10-12、2026-10-13、2026-10-14、2026-10-15、2026-10-16、2026-10-17</v>
      </c>
      <c r="Y441" s="8" t="str">
        <v>无</v>
      </c>
      <c r="Z441" s="8" t="n">
        <v>9</v>
      </c>
      <c r="AA441" s="8" t="n">
        <v>0</v>
      </c>
      <c r="AB441" s="8" t="n">
        <v>7</v>
      </c>
      <c r="AC441" s="8" t="str">
        <v>2026-10-02 至 2026-10-17</v>
      </c>
      <c r="AD441" s="8" t="str">
        <v>2026-10-02、2026-10-03、2026-10-04、2026-10-05、2026-10-08、2026-10-09、2026-10-10、2026-10-11、2026-10-12、2026-10-13、2026-10-14、2026-10-15、2026-10-16、2026-10-17</v>
      </c>
      <c r="AE441" s="8" t="str">
        <v>2026-10-06 大促；2026-10-07 大促</v>
      </c>
      <c r="AF441" s="8" t="n">
        <v>20</v>
      </c>
      <c r="AG441" s="8" t="n">
        <v>5</v>
      </c>
      <c r="AH441" s="8" t="n">
        <v>14</v>
      </c>
      <c r="AI441" s="8" t="str">
        <v>2026-09-16 至 2026-10-17</v>
      </c>
      <c r="AJ4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1" s="8" t="str">
        <v>2026-10-06 大促；2026-10-07 大促</v>
      </c>
      <c r="AL441" s="8" t="n">
        <v>34</v>
      </c>
      <c r="AM441" s="8" t="n">
        <v>5</v>
      </c>
      <c r="AN441" s="8" t="n">
        <v>30</v>
      </c>
      <c r="AO441" s="8" t="str">
        <v>1S01 / 米色羊京绒 / 6574</v>
      </c>
      <c r="AP441" s="11" t="n">
        <v>0.8729500662042875</v>
      </c>
      <c r="AQ441" s="11" t="n">
        <v>0.8729500662042875</v>
      </c>
      <c r="AR441" s="11" t="n">
        <v>1.0921363354767095</v>
      </c>
      <c r="AS441" s="11" t="n">
        <f>IF(AND(COUNT(I441:K441,AP441:AR441)=6,MIN(AP441:AR441)&gt;0),I441/7/AP441*0.5+J441/14/AQ441*0.3+K441/30/AR441*0.2,"")</f>
        <v>1.2816517958664155</v>
      </c>
      <c r="AT441" s="8" t="n">
        <v>69</v>
      </c>
      <c r="AU441" s="8" t="n">
        <v>5</v>
      </c>
      <c r="AV441" s="8" t="n">
        <v>88</v>
      </c>
      <c r="AW441" s="11" t="n">
        <f>IF(AND(COUNT(AT441:AV441)=3,AT441&gt;=AU441,AU441&gt;=0,AV441&gt;0),(AT441-AU441)/AV441,"")</f>
        <v>0.7272727272727273</v>
      </c>
      <c r="AX441" s="8" t="n">
        <v>90</v>
      </c>
      <c r="AY441" s="8" t="n">
        <v>5</v>
      </c>
      <c r="AZ441" s="8" t="n">
        <v>178</v>
      </c>
      <c r="BA441" s="11" t="n">
        <f>IF(AND(COUNT(AX441:AZ441)=3,AX441&gt;=AY441,AY441&gt;=0,AZ441&gt;0),(AX441-AY441)/AZ441,"")</f>
        <v>0.47752808988764045</v>
      </c>
      <c r="BB441" s="8" t="n">
        <f>IF(COUNT(AS441,AW441,BA441)=3,1,0)</f>
        <v>1</v>
      </c>
      <c r="BC441" s="11" t="n">
        <f>IF(SUMIF($AO$11:$AO$1309,AO441,$BB$11:$BB$1309)=COUNTIF($AO$11:$AO$1309,AO441),SUMIF($AO$11:$AO$1309,AO441,$AS$11:$AS$1309),"")</f>
        <v>7.573401752019576</v>
      </c>
      <c r="BD441" s="11" t="n">
        <f>IF(SUMIF($AO$11:$AO$1309,AO441,$BB$11:$BB$1309)=COUNTIF($AO$11:$AO$1309,AO441),SUMIF($AO$11:$AO$1309,AO441,$AW$11:$AW$1309),"")</f>
        <v>7.579545454545455</v>
      </c>
      <c r="BE441" s="11" t="n">
        <f>IF(SUMIF($AO$11:$AO$1309,AO441,$BB$11:$BB$1309)=COUNTIF($AO$11:$AO$1309,AO441),SUMIF($AO$11:$AO$1309,AO441,$BA$11:$BA$1309),"")</f>
        <v>5.354028892455858</v>
      </c>
      <c r="BF441" s="12" t="n">
        <f>IF(COUNT(BD441:BE441)&lt;&gt;2,"",IF(AND(BD441&gt;0,BE441&gt;0),0.7*AW441/BD441+0.3*BA441/BE441,IF(BD441&gt;0,AW441/BD441,IF(BE441&gt;0,BA441/BE441,IF(AND(ISNUMBER(BH441),BH441=0),0,"")))))</f>
        <v>0.09392354303127609</v>
      </c>
      <c r="BG441" s="11" t="n">
        <f>IF(AND(COUNT(BN441:BU441)=8,MIN(BN441:BU441)&gt;=0),SUMPRODUCT(BN441:BQ441,BR441:BU441),"")</f>
        <v>63.935996265425516</v>
      </c>
      <c r="BH441" s="11" t="n">
        <f>IF(COUNT(BC441,BG441)=2,BC441*BG441,"")</f>
        <v>484.21298613369066</v>
      </c>
      <c r="BI441" s="11" t="n">
        <f>IF(ISNUMBER(CI441),CI441,"")</f>
        <v>45.47899923943039</v>
      </c>
      <c r="BJ441" s="8" t="str"/>
      <c r="BK441" s="8" t="str">
        <v>90天：2026-07-20 至 2026-10-17；180天：2026-04-21 至 2026-10-17</v>
      </c>
      <c r="BL441" s="8" t="str">
        <v>90天：2026-10-06、2026-10-07；180天：2026-10-06、2026-10-07</v>
      </c>
      <c r="BM441" s="8" t="str">
        <v>2026-10：12天 × 0.8729500662042875；2026-11：30天 × 0.8057375774163482；2026-12：31天 × 0.532550303142279；2027-01：17天 × 0.7517299265337036</v>
      </c>
      <c r="BN441" s="11" t="n">
        <v>0.8729500662042875</v>
      </c>
      <c r="BO441" s="11" t="n">
        <v>0.8057375774163482</v>
      </c>
      <c r="BP441" s="11" t="n">
        <v>0.532550303142279</v>
      </c>
      <c r="BQ441" s="11" t="n">
        <v>0.7517299265337036</v>
      </c>
      <c r="BR441" s="8" t="n">
        <v>12</v>
      </c>
      <c r="BS441" s="8" t="n">
        <v>30</v>
      </c>
      <c r="BT441" s="8" t="n">
        <v>31</v>
      </c>
      <c r="BU441" s="8" t="n">
        <v>17</v>
      </c>
      <c r="BV441" s="11" t="n">
        <f>IF(COUNT(BC441,BF441)=2,BC441*BF441,"")</f>
        <v>0.7113207253489524</v>
      </c>
      <c r="BW441" s="11" t="n">
        <f>IF(ISNUMBER(BN441),BN441,"")</f>
        <v>0.8729500662042875</v>
      </c>
      <c r="BX441" s="14" t="n">
        <f>IF(ISNUMBER(BR441),BR441,"")</f>
        <v>12</v>
      </c>
      <c r="BY441" s="13" t="n">
        <f>IF(AND(COUNT(BV441,BW441,BX441)=3,MIN(BV441,BW441,BX441)&gt;=0),BV441*BW441*BX441,"")</f>
        <v>7.451369691430198</v>
      </c>
      <c r="BZ441" s="11" t="n">
        <f>IF(ISNUMBER(BO441),BO441,"")</f>
        <v>0.8057375774163482</v>
      </c>
      <c r="CA441" s="14" t="n">
        <f>IF(ISNUMBER(BS441),BS441,"")</f>
        <v>30</v>
      </c>
      <c r="CB441" s="13" t="n">
        <f>IF(AND(COUNT(BV441,BZ441,CA441)=3,MIN(BV441,BZ441,CA441)&gt;=0),BV441*BZ441*CA441,"")</f>
        <v>17.194135140261135</v>
      </c>
      <c r="CC441" s="11" t="n">
        <f>IF(ISNUMBER(BP441),BP441,"")</f>
        <v>0.532550303142279</v>
      </c>
      <c r="CD441" s="14" t="n">
        <f>IF(ISNUMBER(BT441),BT441,"")</f>
        <v>31</v>
      </c>
      <c r="CE441" s="13" t="n">
        <f>IF(AND(COUNT(BV441,CC441,CD441)=3,MIN(BV441,CC441,CD441)&gt;=0),BV441*CC441*CD441,"")</f>
        <v>11.743236105395082</v>
      </c>
      <c r="CF441" s="11" t="n">
        <f>IF(ISNUMBER(BQ441),BQ441,"")</f>
        <v>0.7517299265337036</v>
      </c>
      <c r="CG441" s="14" t="n">
        <f>IF(ISNUMBER(BU441),BU441,"")</f>
        <v>17</v>
      </c>
      <c r="CH441" s="13" t="n">
        <f>IF(AND(COUNT(BV441,CF441,CG441)=3,MIN(BV441,CF441,CG441)&gt;=0),BV441*CF441*CG441,"")</f>
        <v>9.090258302343969</v>
      </c>
      <c r="CI441" s="13" t="n">
        <f>IF(COUNT(BY441,CB441,CE441,CH441)=4,SUM(BY441,CB441,CE441,CH441),"")</f>
        <v>45.47899923943039</v>
      </c>
    </row>
    <row r="442" ht="72" customHeight="1">
      <c r="A442" s="16" t="str">
        <v>1S01-BG-37.5</v>
      </c>
      <c r="B442" s="16" t="str">
        <v>3店-SANDIEX-US</v>
      </c>
      <c r="C442" s="16" t="str">
        <v>徐新怡</v>
      </c>
      <c r="D442" s="26" t="n">
        <f>IF(NOT(ISNUMBER(E442)),"",IF(OR(E442&lt;=0,L442=0),0,IF(OR(NOT(ISNUMBER(F442)),F442&lt;0),"",MIN(E442,INT(F442)))))</f>
        <v>0</v>
      </c>
      <c r="E442" s="27" t="n">
        <f>IF(OR(NOT(ISNUMBER(L442)),COUNT(M442:O442)&lt;&gt;3,MIN(M442:O442)&lt;0),"",ROUNDUP(ROUND(BI442-SUM(M442:O442),10),0))</f>
        <v>0</v>
      </c>
      <c r="F442" s="28"/>
      <c r="G442" s="28" t="n">
        <f>IF(AND(ISNUMBER(D442),ISNUMBER(E442)),IF(OR(E442&lt;=0,L442=0),0,E442-D442),"")</f>
        <v>0</v>
      </c>
      <c r="H442" s="16" t="str">
        <f>IF(NOT(ISNUMBER(E442)),"销量或海外库存待补",IF(OR(E442&lt;=0,L442=0),IF(L442=0,"零日销，本批不发","本批无需补货"),IF(NOT(ISNUMBER(D442)),"国内库存待补",IF(D442=0,"国内无可用库存",IF(G442&gt;0,"先发国内现货","按建议量发货")))))</f>
        <v>零日销，本批不发</v>
      </c>
      <c r="I442" s="28" t="n">
        <f>IF(AND(COUNT(Z442,AA442,AB442)=3,Z442&gt;=AA442,AA442&gt;=0,AB442=7),Z442-AA442,"")</f>
        <v>0</v>
      </c>
      <c r="J442" s="28" t="n">
        <f>IF(AND(COUNT(AF442,AG442,AH442)=3,AF442&gt;=AG442,AG442&gt;=0,AH442=14),AF442-AG442,"")</f>
        <v>0</v>
      </c>
      <c r="K442" s="28" t="n">
        <f>IF(AND(COUNT(AL442,AM442,AN442)=3,AL442&gt;=AM442,AM442&gt;=0,AN442=30),AL442-AM442,"")</f>
        <v>0</v>
      </c>
      <c r="L442" s="29" t="n">
        <f>IF(ISNUMBER(BI442),BI442/90,"")</f>
        <v>0</v>
      </c>
      <c r="M442" s="28" t="n">
        <v>0</v>
      </c>
      <c r="N442" s="28" t="n">
        <v>0</v>
      </c>
      <c r="O442" s="28" t="n">
        <v>0</v>
      </c>
      <c r="P442" s="30" t="str">
        <f>IF(AND(ISNUMBER(L442),L442&gt;0,COUNT(M442:O442)=3,MIN(M442:O442)&gt;=0),SUM(M442:O442)/L442,"")</f>
      </c>
      <c r="Q442" s="16" t="str">
        <v>沿用同SPU原计划店铺</v>
      </c>
      <c r="R442" s="16" t="str">
        <v>未匹配</v>
      </c>
      <c r="S442" s="16" t="str">
        <v>停售</v>
      </c>
      <c r="T442" s="16" t="str">
        <v>1S01</v>
      </c>
      <c r="U442" s="16" t="str">
        <v>米色</v>
      </c>
      <c r="V442" s="16" t="n">
        <v>6.5</v>
      </c>
      <c r="W442" s="8" t="str">
        <v>2026-10-08 至 2026-10-17</v>
      </c>
      <c r="X442" s="8" t="str">
        <v>2026-10-08、2026-10-09、2026-10-10、2026-10-11、2026-10-14、2026-10-15、2026-10-17</v>
      </c>
      <c r="Y442" s="8" t="str">
        <v>2026-10-12 有记录的停售日；2026-10-13 有记录的停售日；2026-10-16 有记录的停售日</v>
      </c>
      <c r="Z442" s="8" t="n">
        <v>0</v>
      </c>
      <c r="AA442" s="8" t="n">
        <v>0</v>
      </c>
      <c r="AB442" s="8" t="n">
        <v>7</v>
      </c>
      <c r="AC442" s="8" t="str">
        <v>2026-09-29 至 2026-10-17</v>
      </c>
      <c r="AD442" s="8" t="str">
        <v>2026-09-29、2026-09-30、2026-10-01、2026-10-02、2026-10-03、2026-10-04、2026-10-05、2026-10-08、2026-10-09、2026-10-10、2026-10-11、2026-10-14、2026-10-15、2026-10-17</v>
      </c>
      <c r="AE442" s="8" t="str">
        <v>2026-10-06 大促；2026-10-07 大促；2026-10-12 有记录的停售日；2026-10-13 有记录的停售日；2026-10-16 有记录的停售日</v>
      </c>
      <c r="AF442" s="8" t="n">
        <v>0</v>
      </c>
      <c r="AG442" s="8" t="n">
        <v>0</v>
      </c>
      <c r="AH442" s="8" t="n">
        <v>14</v>
      </c>
      <c r="AI442" s="8" t="str">
        <v>2026-09-13 至 2026-10-17</v>
      </c>
      <c r="AJ44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42" s="8" t="str">
        <v>2026-10-06 大促；2026-10-07 大促；2026-10-12 有记录的停售日；2026-10-13 有记录的停售日；2026-10-16 有记录的停售日</v>
      </c>
      <c r="AL442" s="8" t="n">
        <v>0</v>
      </c>
      <c r="AM442" s="8" t="n">
        <v>0</v>
      </c>
      <c r="AN442" s="8" t="n">
        <v>30</v>
      </c>
      <c r="AO442" s="8" t="str">
        <v>1S01 / 米色羊京绒 / 6574</v>
      </c>
      <c r="AP442" s="11" t="n">
        <v>0.8729500662042875</v>
      </c>
      <c r="AQ442" s="11" t="n">
        <v>0.9355747145678367</v>
      </c>
      <c r="AR442" s="11" t="n">
        <v>1.135973589331194</v>
      </c>
      <c r="AS442" s="11" t="n">
        <f>IF(AND(COUNT(I442:K442,AP442:AR442)=6,MIN(AP442:AR442)&gt;0),I442/7/AP442*0.5+J442/14/AQ442*0.3+K442/30/AR442*0.2,"")</f>
        <v>0</v>
      </c>
      <c r="AT442" s="8" t="n">
        <v>0</v>
      </c>
      <c r="AU442" s="8" t="n">
        <v>0</v>
      </c>
      <c r="AV442" s="8" t="n">
        <v>85</v>
      </c>
      <c r="AW442" s="11" t="n">
        <f>IF(AND(COUNT(AT442:AV442)=3,AT442&gt;=AU442,AU442&gt;=0,AV442&gt;0),(AT442-AU442)/AV442,"")</f>
        <v>0</v>
      </c>
      <c r="AX442" s="8" t="n">
        <v>0</v>
      </c>
      <c r="AY442" s="8" t="n">
        <v>0</v>
      </c>
      <c r="AZ442" s="8" t="n">
        <v>175</v>
      </c>
      <c r="BA442" s="11" t="n">
        <f>IF(AND(COUNT(AX442:AZ442)=3,AX442&gt;=AY442,AY442&gt;=0,AZ442&gt;0),(AX442-AY442)/AZ442,"")</f>
        <v>0</v>
      </c>
      <c r="BB442" s="8" t="n">
        <f>IF(COUNT(AS442,AW442,BA442)=3,1,0)</f>
        <v>1</v>
      </c>
      <c r="BC442" s="11" t="n">
        <f>IF(SUMIF($AO$11:$AO$1309,AO442,$BB$11:$BB$1309)=COUNTIF($AO$11:$AO$1309,AO442),SUMIF($AO$11:$AO$1309,AO442,$AS$11:$AS$1309),"")</f>
        <v>7.573401752019576</v>
      </c>
      <c r="BD442" s="11" t="n">
        <f>IF(SUMIF($AO$11:$AO$1309,AO442,$BB$11:$BB$1309)=COUNTIF($AO$11:$AO$1309,AO442),SUMIF($AO$11:$AO$1309,AO442,$AW$11:$AW$1309),"")</f>
        <v>7.579545454545455</v>
      </c>
      <c r="BE442" s="11" t="n">
        <f>IF(SUMIF($AO$11:$AO$1309,AO442,$BB$11:$BB$1309)=COUNTIF($AO$11:$AO$1309,AO442),SUMIF($AO$11:$AO$1309,AO442,$BA$11:$BA$1309),"")</f>
        <v>5.354028892455858</v>
      </c>
      <c r="BF442" s="12" t="n">
        <f>IF(COUNT(BD442:BE442)&lt;&gt;2,"",IF(AND(BD442&gt;0,BE442&gt;0),0.7*AW442/BD442+0.3*BA442/BE442,IF(BD442&gt;0,AW442/BD442,IF(BE442&gt;0,BA442/BE442,IF(AND(ISNUMBER(BH442),BH442=0),0,"")))))</f>
        <v>0</v>
      </c>
      <c r="BG442" s="11" t="n">
        <f>IF(AND(COUNT(BN442:BU442)=8,MIN(BN442:BU442)&gt;=0),SUMPRODUCT(BN442:BQ442,BR442:BU442),"")</f>
        <v>63.935996265425516</v>
      </c>
      <c r="BH442" s="11" t="n">
        <f>IF(COUNT(BC442,BG442)=2,BC442*BG442,"")</f>
        <v>484.21298613369066</v>
      </c>
      <c r="BI442" s="11" t="n">
        <f>IF(ISNUMBER(CI442),CI442,"")</f>
        <v>0</v>
      </c>
      <c r="BJ442" s="8" t="str"/>
      <c r="BK442" s="8" t="str">
        <v>90天：2026-07-20 至 2026-10-17；180天：2026-04-21 至 2026-10-17</v>
      </c>
      <c r="BL442" s="8" t="str">
        <v>90天：2026-10-06、2026-10-07、2026-10-12、2026-10-13、2026-10-16；180天：2026-10-06、2026-10-07、2026-10-12、2026-10-13、2026-10-16</v>
      </c>
      <c r="BM442" s="8" t="str">
        <v>2026-10：12天 × 0.8729500662042875；2026-11：30天 × 0.8057375774163482；2026-12：31天 × 0.532550303142279；2027-01：17天 × 0.7517299265337036</v>
      </c>
      <c r="BN442" s="11" t="n">
        <v>0.8729500662042875</v>
      </c>
      <c r="BO442" s="11" t="n">
        <v>0.8057375774163482</v>
      </c>
      <c r="BP442" s="11" t="n">
        <v>0.532550303142279</v>
      </c>
      <c r="BQ442" s="11" t="n">
        <v>0.7517299265337036</v>
      </c>
      <c r="BR442" s="8" t="n">
        <v>12</v>
      </c>
      <c r="BS442" s="8" t="n">
        <v>30</v>
      </c>
      <c r="BT442" s="8" t="n">
        <v>31</v>
      </c>
      <c r="BU442" s="8" t="n">
        <v>17</v>
      </c>
      <c r="BV442" s="11" t="n">
        <f>IF(COUNT(BC442,BF442)=2,BC442*BF442,"")</f>
        <v>0</v>
      </c>
      <c r="BW442" s="11" t="n">
        <f>IF(ISNUMBER(BN442),BN442,"")</f>
        <v>0.8729500662042875</v>
      </c>
      <c r="BX442" s="14" t="n">
        <f>IF(ISNUMBER(BR442),BR442,"")</f>
        <v>12</v>
      </c>
      <c r="BY442" s="13" t="n">
        <f>IF(AND(COUNT(BV442,BW442,BX442)=3,MIN(BV442,BW442,BX442)&gt;=0),BV442*BW442*BX442,"")</f>
        <v>0</v>
      </c>
      <c r="BZ442" s="11" t="n">
        <f>IF(ISNUMBER(BO442),BO442,"")</f>
        <v>0.8057375774163482</v>
      </c>
      <c r="CA442" s="14" t="n">
        <f>IF(ISNUMBER(BS442),BS442,"")</f>
        <v>30</v>
      </c>
      <c r="CB442" s="13" t="n">
        <f>IF(AND(COUNT(BV442,BZ442,CA442)=3,MIN(BV442,BZ442,CA442)&gt;=0),BV442*BZ442*CA442,"")</f>
        <v>0</v>
      </c>
      <c r="CC442" s="11" t="n">
        <f>IF(ISNUMBER(BP442),BP442,"")</f>
        <v>0.532550303142279</v>
      </c>
      <c r="CD442" s="14" t="n">
        <f>IF(ISNUMBER(BT442),BT442,"")</f>
        <v>31</v>
      </c>
      <c r="CE442" s="13" t="n">
        <f>IF(AND(COUNT(BV442,CC442,CD442)=3,MIN(BV442,CC442,CD442)&gt;=0),BV442*CC442*CD442,"")</f>
        <v>0</v>
      </c>
      <c r="CF442" s="11" t="n">
        <f>IF(ISNUMBER(BQ442),BQ442,"")</f>
        <v>0.7517299265337036</v>
      </c>
      <c r="CG442" s="14" t="n">
        <f>IF(ISNUMBER(BU442),BU442,"")</f>
        <v>17</v>
      </c>
      <c r="CH442" s="13" t="n">
        <f>IF(AND(COUNT(BV442,CF442,CG442)=3,MIN(BV442,CF442,CG442)&gt;=0),BV442*CF442*CG442,"")</f>
        <v>0</v>
      </c>
      <c r="CI442" s="13" t="n">
        <f>IF(COUNT(BY442,CB442,CE442,CH442)=4,SUM(BY442,CB442,CE442,CH442),"")</f>
        <v>0</v>
      </c>
    </row>
    <row r="443" ht="72" customHeight="1">
      <c r="A443" s="16" t="str">
        <v>1S01-BG-38</v>
      </c>
      <c r="B443" s="16" t="str">
        <v>3店-SANDIEX-US</v>
      </c>
      <c r="C443" s="16" t="str">
        <v>徐新怡</v>
      </c>
      <c r="D443" s="26" t="n">
        <f>IF(NOT(ISNUMBER(E443)),"",IF(OR(E443&lt;=0,L443=0),0,IF(OR(NOT(ISNUMBER(F443)),F443&lt;0),"",MIN(E443,INT(F443)))))</f>
        <v>0</v>
      </c>
      <c r="E443" s="27" t="n">
        <f>IF(OR(NOT(ISNUMBER(L443)),COUNT(M443:O443)&lt;&gt;3,MIN(M443:O443)&lt;0),"",ROUNDUP(ROUND(BI443-SUM(M443:O443),10),0))</f>
        <v>-44</v>
      </c>
      <c r="F443" s="28" t="n">
        <v>86</v>
      </c>
      <c r="G443" s="28" t="n">
        <f>IF(AND(ISNUMBER(D443),ISNUMBER(E443)),IF(OR(E443&lt;=0,L443=0),0,E443-D443),"")</f>
        <v>0</v>
      </c>
      <c r="H443" s="16" t="str">
        <f>IF(NOT(ISNUMBER(E443)),"销量或海外库存待补",IF(OR(E443&lt;=0,L443=0),IF(L443=0,"零日销，本批不发","本批无需补货"),IF(NOT(ISNUMBER(D443)),"国内库存待补",IF(D443=0,"国内无可用库存",IF(G443&gt;0,"先发国内现货","按建议量发货")))))</f>
        <v>本批无需补货</v>
      </c>
      <c r="I443" s="28" t="n">
        <f>IF(AND(COUNT(Z443,AA443,AB443)=3,Z443&gt;=AA443,AA443&gt;=0,AB443=7),Z443-AA443,"")</f>
        <v>12</v>
      </c>
      <c r="J443" s="28" t="n">
        <f>IF(AND(COUNT(AF443,AG443,AH443)=3,AF443&gt;=AG443,AG443&gt;=0,AH443=14),AF443-AG443,"")</f>
        <v>19</v>
      </c>
      <c r="K443" s="28" t="n">
        <f>IF(AND(COUNT(AL443,AM443,AN443)=3,AL443&gt;=AM443,AM443&gt;=0,AN443=30),AL443-AM443,"")</f>
        <v>26</v>
      </c>
      <c r="L443" s="29" t="n">
        <f>IF(ISNUMBER(BI443),BI443/90,"")</f>
        <v>0.8006078385075142</v>
      </c>
      <c r="M443" s="28" t="n">
        <v>16</v>
      </c>
      <c r="N443" s="28" t="n">
        <v>0</v>
      </c>
      <c r="O443" s="28" t="n">
        <v>100</v>
      </c>
      <c r="P443" s="30" t="n">
        <f>IF(AND(ISNUMBER(L443),L443&gt;0,COUNT(M443:O443)=3,MIN(M443:O443)&gt;=0),SUM(M443:O443)/L443,"")</f>
        <v>144.88991291447527</v>
      </c>
      <c r="Q443" s="16" t="str">
        <v>沿用原计划SKU店铺</v>
      </c>
      <c r="R443" s="16" t="str">
        <v>已匹配</v>
      </c>
      <c r="S443" s="16" t="str">
        <v>在售</v>
      </c>
      <c r="T443" s="16" t="str">
        <v>1S01</v>
      </c>
      <c r="U443" s="16" t="str">
        <v>米色</v>
      </c>
      <c r="V443" s="16" t="n">
        <v>7</v>
      </c>
      <c r="W443" s="8" t="str">
        <v>2026-10-11 至 2026-10-17</v>
      </c>
      <c r="X443" s="8" t="str">
        <v>2026-10-11、2026-10-12、2026-10-13、2026-10-14、2026-10-15、2026-10-16、2026-10-17</v>
      </c>
      <c r="Y443" s="8" t="str">
        <v>无</v>
      </c>
      <c r="Z443" s="8" t="n">
        <v>12</v>
      </c>
      <c r="AA443" s="8" t="n">
        <v>0</v>
      </c>
      <c r="AB443" s="8" t="n">
        <v>7</v>
      </c>
      <c r="AC443" s="8" t="str">
        <v>2026-10-02 至 2026-10-17</v>
      </c>
      <c r="AD443" s="8" t="str">
        <v>2026-10-02、2026-10-03、2026-10-04、2026-10-05、2026-10-08、2026-10-09、2026-10-10、2026-10-11、2026-10-12、2026-10-13、2026-10-14、2026-10-15、2026-10-16、2026-10-17</v>
      </c>
      <c r="AE443" s="8" t="str">
        <v>2026-10-06 大促；2026-10-07 大促</v>
      </c>
      <c r="AF443" s="8" t="n">
        <v>25</v>
      </c>
      <c r="AG443" s="8" t="n">
        <v>6</v>
      </c>
      <c r="AH443" s="8" t="n">
        <v>14</v>
      </c>
      <c r="AI443" s="8" t="str">
        <v>2026-09-16 至 2026-10-17</v>
      </c>
      <c r="AJ4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3" s="8" t="str">
        <v>2026-10-06 大促；2026-10-07 大促</v>
      </c>
      <c r="AL443" s="8" t="n">
        <v>32</v>
      </c>
      <c r="AM443" s="8" t="n">
        <v>6</v>
      </c>
      <c r="AN443" s="8" t="n">
        <v>30</v>
      </c>
      <c r="AO443" s="8" t="str">
        <v>1S01 / 米色羊京绒 / 6574</v>
      </c>
      <c r="AP443" s="11" t="n">
        <v>0.8729500662042875</v>
      </c>
      <c r="AQ443" s="11" t="n">
        <v>0.8729500662042875</v>
      </c>
      <c r="AR443" s="11" t="n">
        <v>1.0921363354767095</v>
      </c>
      <c r="AS443" s="11" t="n">
        <f>IF(AND(COUNT(I443:K443,AP443:AR443)=6,MIN(AP443:AR443)&gt;0),I443/7/AP443*0.5+J443/14/AQ443*0.3+K443/30/AR443*0.2,"")</f>
        <v>1.6070013323391903</v>
      </c>
      <c r="AT443" s="8" t="n">
        <v>104</v>
      </c>
      <c r="AU443" s="8" t="n">
        <v>6</v>
      </c>
      <c r="AV443" s="8" t="n">
        <v>88</v>
      </c>
      <c r="AW443" s="11" t="n">
        <f>IF(AND(COUNT(AT443:AV443)=3,AT443&gt;=AU443,AU443&gt;=0,AV443&gt;0),(AT443-AU443)/AV443,"")</f>
        <v>1.1136363636363635</v>
      </c>
      <c r="AX443" s="8" t="n">
        <v>152</v>
      </c>
      <c r="AY443" s="8" t="n">
        <v>6</v>
      </c>
      <c r="AZ443" s="8" t="n">
        <v>178</v>
      </c>
      <c r="BA443" s="11" t="n">
        <f>IF(AND(COUNT(AX443:AZ443)=3,AX443&gt;=AY443,AY443&gt;=0,AZ443&gt;0),(AX443-AY443)/AZ443,"")</f>
        <v>0.8202247191011236</v>
      </c>
      <c r="BB443" s="8" t="n">
        <f>IF(COUNT(AS443,AW443,BA443)=3,1,0)</f>
        <v>1</v>
      </c>
      <c r="BC443" s="11" t="n">
        <f>IF(SUMIF($AO$11:$AO$1309,AO443,$BB$11:$BB$1309)=COUNTIF($AO$11:$AO$1309,AO443),SUMIF($AO$11:$AO$1309,AO443,$AS$11:$AS$1309),"")</f>
        <v>7.573401752019576</v>
      </c>
      <c r="BD443" s="11" t="n">
        <f>IF(SUMIF($AO$11:$AO$1309,AO443,$BB$11:$BB$1309)=COUNTIF($AO$11:$AO$1309,AO443),SUMIF($AO$11:$AO$1309,AO443,$AW$11:$AW$1309),"")</f>
        <v>7.579545454545455</v>
      </c>
      <c r="BE443" s="11" t="n">
        <f>IF(SUMIF($AO$11:$AO$1309,AO443,$BB$11:$BB$1309)=COUNTIF($AO$11:$AO$1309,AO443),SUMIF($AO$11:$AO$1309,AO443,$BA$11:$BA$1309),"")</f>
        <v>5.354028892455858</v>
      </c>
      <c r="BF443" s="12" t="n">
        <f>IF(COUNT(BD443:BE443)&lt;&gt;2,"",IF(AND(BD443&gt;0,BE443&gt;0),0.7*AW443/BD443+0.3*BA443/BE443,IF(BD443&gt;0,AW443/BD443,IF(BE443&gt;0,BA443/BE443,IF(AND(ISNUMBER(BH443),BH443=0),0,"")))))</f>
        <v>0.14880787490028624</v>
      </c>
      <c r="BG443" s="11" t="n">
        <f>IF(AND(COUNT(BN443:BU443)=8,MIN(BN443:BU443)&gt;=0),SUMPRODUCT(BN443:BQ443,BR443:BU443),"")</f>
        <v>63.935996265425516</v>
      </c>
      <c r="BH443" s="11" t="n">
        <f>IF(COUNT(BC443,BG443)=2,BC443*BG443,"")</f>
        <v>484.21298613369066</v>
      </c>
      <c r="BI443" s="11" t="n">
        <f>IF(ISNUMBER(CI443),CI443,"")</f>
        <v>72.05470546567628</v>
      </c>
      <c r="BJ443" s="8" t="str"/>
      <c r="BK443" s="8" t="str">
        <v>90天：2026-07-20 至 2026-10-17；180天：2026-04-21 至 2026-10-17</v>
      </c>
      <c r="BL443" s="8" t="str">
        <v>90天：2026-10-06、2026-10-07；180天：2026-10-06、2026-10-07</v>
      </c>
      <c r="BM443" s="8" t="str">
        <v>2026-10：12天 × 0.8729500662042875；2026-11：30天 × 0.8057375774163482；2026-12：31天 × 0.532550303142279；2027-01：17天 × 0.7517299265337036</v>
      </c>
      <c r="BN443" s="11" t="n">
        <v>0.8729500662042875</v>
      </c>
      <c r="BO443" s="11" t="n">
        <v>0.8057375774163482</v>
      </c>
      <c r="BP443" s="11" t="n">
        <v>0.532550303142279</v>
      </c>
      <c r="BQ443" s="11" t="n">
        <v>0.7517299265337036</v>
      </c>
      <c r="BR443" s="8" t="n">
        <v>12</v>
      </c>
      <c r="BS443" s="8" t="n">
        <v>30</v>
      </c>
      <c r="BT443" s="8" t="n">
        <v>31</v>
      </c>
      <c r="BU443" s="8" t="n">
        <v>17</v>
      </c>
      <c r="BV443" s="11" t="n">
        <f>IF(COUNT(BC443,BF443)=2,BC443*BF443,"")</f>
        <v>1.1269818204841378</v>
      </c>
      <c r="BW443" s="11" t="n">
        <f>IF(ISNUMBER(BN443),BN443,"")</f>
        <v>0.8729500662042875</v>
      </c>
      <c r="BX443" s="14" t="n">
        <f>IF(ISNUMBER(BR443),BR443,"")</f>
        <v>12</v>
      </c>
      <c r="BY443" s="13" t="n">
        <f>IF(AND(COUNT(BV443,BW443,BX443)=3,MIN(BV443,BW443,BX443)&gt;=0),BV443*BW443*BX443,"")</f>
        <v>11.805586257631878</v>
      </c>
      <c r="BZ443" s="11" t="n">
        <f>IF(ISNUMBER(BO443),BO443,"")</f>
        <v>0.8057375774163482</v>
      </c>
      <c r="CA443" s="14" t="n">
        <f>IF(ISNUMBER(BS443),BS443,"")</f>
        <v>30</v>
      </c>
      <c r="CB443" s="13" t="n">
        <f>IF(AND(COUNT(BV443,BZ443,CA443)=3,MIN(BV443,BZ443,CA443)&gt;=0),BV443*BZ443*CA443,"")</f>
        <v>27.24154805487465</v>
      </c>
      <c r="CC443" s="11" t="n">
        <f>IF(ISNUMBER(BP443),BP443,"")</f>
        <v>0.532550303142279</v>
      </c>
      <c r="CD443" s="14" t="n">
        <f>IF(ISNUMBER(BT443),BT443,"")</f>
        <v>31</v>
      </c>
      <c r="CE443" s="13" t="n">
        <f>IF(AND(COUNT(BV443,CC443,CD443)=3,MIN(BV443,CC443,CD443)&gt;=0),BV443*CC443*CD443,"")</f>
        <v>18.605409814174617</v>
      </c>
      <c r="CF443" s="11" t="n">
        <f>IF(ISNUMBER(BQ443),BQ443,"")</f>
        <v>0.7517299265337036</v>
      </c>
      <c r="CG443" s="14" t="n">
        <f>IF(ISNUMBER(BU443),BU443,"")</f>
        <v>17</v>
      </c>
      <c r="CH443" s="13" t="n">
        <f>IF(AND(COUNT(BV443,CF443,CG443)=3,MIN(BV443,CF443,CG443)&gt;=0),BV443*CF443*CG443,"")</f>
        <v>14.402161338995128</v>
      </c>
      <c r="CI443" s="13" t="n">
        <f>IF(COUNT(BY443,CB443,CE443,CH443)=4,SUM(BY443,CB443,CE443,CH443),"")</f>
        <v>72.05470546567628</v>
      </c>
    </row>
    <row r="444" ht="72" customHeight="1">
      <c r="A444" s="16" t="str">
        <v>1S01-BG-38.5</v>
      </c>
      <c r="B444" s="16" t="str">
        <v>3店-SANDIEX-US</v>
      </c>
      <c r="C444" s="16" t="str">
        <v>徐新怡</v>
      </c>
      <c r="D444" s="26" t="n">
        <f>IF(NOT(ISNUMBER(E444)),"",IF(OR(E444&lt;=0,L444=0),0,IF(OR(NOT(ISNUMBER(F444)),F444&lt;0),"",MIN(E444,INT(F444)))))</f>
        <v>0</v>
      </c>
      <c r="E444" s="27" t="n">
        <f>IF(OR(NOT(ISNUMBER(L444)),COUNT(M444:O444)&lt;&gt;3,MIN(M444:O444)&lt;0),"",ROUNDUP(ROUND(BI444-SUM(M444:O444),10),0))</f>
        <v>0</v>
      </c>
      <c r="F444" s="28" t="n">
        <v>1</v>
      </c>
      <c r="G444" s="28" t="n">
        <f>IF(AND(ISNUMBER(D444),ISNUMBER(E444)),IF(OR(E444&lt;=0,L444=0),0,E444-D444),"")</f>
        <v>0</v>
      </c>
      <c r="H444" s="16" t="str">
        <f>IF(NOT(ISNUMBER(E444)),"销量或海外库存待补",IF(OR(E444&lt;=0,L444=0),IF(L444=0,"零日销，本批不发","本批无需补货"),IF(NOT(ISNUMBER(D444)),"国内库存待补",IF(D444=0,"国内无可用库存",IF(G444&gt;0,"先发国内现货","按建议量发货")))))</f>
        <v>零日销，本批不发</v>
      </c>
      <c r="I444" s="28" t="n">
        <f>IF(AND(COUNT(Z444,AA444,AB444)=3,Z444&gt;=AA444,AA444&gt;=0,AB444=7),Z444-AA444,"")</f>
        <v>0</v>
      </c>
      <c r="J444" s="28" t="n">
        <f>IF(AND(COUNT(AF444,AG444,AH444)=3,AF444&gt;=AG444,AG444&gt;=0,AH444=14),AF444-AG444,"")</f>
        <v>0</v>
      </c>
      <c r="K444" s="28" t="n">
        <f>IF(AND(COUNT(AL444,AM444,AN444)=3,AL444&gt;=AM444,AM444&gt;=0,AN444=30),AL444-AM444,"")</f>
        <v>0</v>
      </c>
      <c r="L444" s="29" t="n">
        <f>IF(ISNUMBER(BI444),BI444/90,"")</f>
        <v>0</v>
      </c>
      <c r="M444" s="28" t="n">
        <v>0</v>
      </c>
      <c r="N444" s="28" t="n">
        <v>0</v>
      </c>
      <c r="O444" s="28" t="n">
        <v>0</v>
      </c>
      <c r="P444" s="30" t="str">
        <f>IF(AND(ISNUMBER(L444),L444&gt;0,COUNT(M444:O444)=3,MIN(M444:O444)&gt;=0),SUM(M444:O444)/L444,"")</f>
      </c>
      <c r="Q444" s="16" t="str">
        <v>沿用同SPU原计划店铺</v>
      </c>
      <c r="R444" s="16" t="str">
        <v>已匹配</v>
      </c>
      <c r="S444" s="16" t="str">
        <v>停售</v>
      </c>
      <c r="T444" s="16" t="str">
        <v>1S01</v>
      </c>
      <c r="U444" s="16" t="str">
        <v>米色</v>
      </c>
      <c r="V444" s="16" t="n">
        <v>7.5</v>
      </c>
      <c r="W444" s="8" t="str">
        <v>2026-10-08 至 2026-10-17</v>
      </c>
      <c r="X444" s="8" t="str">
        <v>2026-10-08、2026-10-09、2026-10-10、2026-10-11、2026-10-14、2026-10-15、2026-10-17</v>
      </c>
      <c r="Y444" s="8" t="str">
        <v>2026-10-12 有记录的停售日；2026-10-13 有记录的停售日；2026-10-16 有记录的停售日</v>
      </c>
      <c r="Z444" s="8" t="n">
        <v>0</v>
      </c>
      <c r="AA444" s="8" t="n">
        <v>0</v>
      </c>
      <c r="AB444" s="8" t="n">
        <v>7</v>
      </c>
      <c r="AC444" s="8" t="str">
        <v>2026-09-29 至 2026-10-17</v>
      </c>
      <c r="AD444" s="8" t="str">
        <v>2026-09-29、2026-09-30、2026-10-01、2026-10-02、2026-10-03、2026-10-04、2026-10-05、2026-10-08、2026-10-09、2026-10-10、2026-10-11、2026-10-14、2026-10-15、2026-10-17</v>
      </c>
      <c r="AE444" s="8" t="str">
        <v>2026-10-06 大促；2026-10-07 大促；2026-10-12 有记录的停售日；2026-10-13 有记录的停售日；2026-10-16 有记录的停售日</v>
      </c>
      <c r="AF444" s="8" t="n">
        <v>0</v>
      </c>
      <c r="AG444" s="8" t="n">
        <v>0</v>
      </c>
      <c r="AH444" s="8" t="n">
        <v>14</v>
      </c>
      <c r="AI444" s="8" t="str">
        <v>2026-09-13 至 2026-10-17</v>
      </c>
      <c r="AJ44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44" s="8" t="str">
        <v>2026-10-06 大促；2026-10-07 大促；2026-10-12 有记录的停售日；2026-10-13 有记录的停售日；2026-10-16 有记录的停售日</v>
      </c>
      <c r="AL444" s="8" t="n">
        <v>0</v>
      </c>
      <c r="AM444" s="8" t="n">
        <v>0</v>
      </c>
      <c r="AN444" s="8" t="n">
        <v>30</v>
      </c>
      <c r="AO444" s="8" t="str">
        <v>1S01 / 米色羊京绒 / 6574</v>
      </c>
      <c r="AP444" s="11" t="n">
        <v>0.8729500662042875</v>
      </c>
      <c r="AQ444" s="11" t="n">
        <v>0.9355747145678367</v>
      </c>
      <c r="AR444" s="11" t="n">
        <v>1.135973589331194</v>
      </c>
      <c r="AS444" s="11" t="n">
        <f>IF(AND(COUNT(I444:K444,AP444:AR444)=6,MIN(AP444:AR444)&gt;0),I444/7/AP444*0.5+J444/14/AQ444*0.3+K444/30/AR444*0.2,"")</f>
        <v>0</v>
      </c>
      <c r="AT444" s="8" t="n">
        <v>0</v>
      </c>
      <c r="AU444" s="8" t="n">
        <v>0</v>
      </c>
      <c r="AV444" s="8" t="n">
        <v>85</v>
      </c>
      <c r="AW444" s="11" t="n">
        <f>IF(AND(COUNT(AT444:AV444)=3,AT444&gt;=AU444,AU444&gt;=0,AV444&gt;0),(AT444-AU444)/AV444,"")</f>
        <v>0</v>
      </c>
      <c r="AX444" s="8" t="n">
        <v>0</v>
      </c>
      <c r="AY444" s="8" t="n">
        <v>0</v>
      </c>
      <c r="AZ444" s="8" t="n">
        <v>175</v>
      </c>
      <c r="BA444" s="11" t="n">
        <f>IF(AND(COUNT(AX444:AZ444)=3,AX444&gt;=AY444,AY444&gt;=0,AZ444&gt;0),(AX444-AY444)/AZ444,"")</f>
        <v>0</v>
      </c>
      <c r="BB444" s="8" t="n">
        <f>IF(COUNT(AS444,AW444,BA444)=3,1,0)</f>
        <v>1</v>
      </c>
      <c r="BC444" s="11" t="n">
        <f>IF(SUMIF($AO$11:$AO$1309,AO444,$BB$11:$BB$1309)=COUNTIF($AO$11:$AO$1309,AO444),SUMIF($AO$11:$AO$1309,AO444,$AS$11:$AS$1309),"")</f>
        <v>7.573401752019576</v>
      </c>
      <c r="BD444" s="11" t="n">
        <f>IF(SUMIF($AO$11:$AO$1309,AO444,$BB$11:$BB$1309)=COUNTIF($AO$11:$AO$1309,AO444),SUMIF($AO$11:$AO$1309,AO444,$AW$11:$AW$1309),"")</f>
        <v>7.579545454545455</v>
      </c>
      <c r="BE444" s="11" t="n">
        <f>IF(SUMIF($AO$11:$AO$1309,AO444,$BB$11:$BB$1309)=COUNTIF($AO$11:$AO$1309,AO444),SUMIF($AO$11:$AO$1309,AO444,$BA$11:$BA$1309),"")</f>
        <v>5.354028892455858</v>
      </c>
      <c r="BF444" s="12" t="n">
        <f>IF(COUNT(BD444:BE444)&lt;&gt;2,"",IF(AND(BD444&gt;0,BE444&gt;0),0.7*AW444/BD444+0.3*BA444/BE444,IF(BD444&gt;0,AW444/BD444,IF(BE444&gt;0,BA444/BE444,IF(AND(ISNUMBER(BH444),BH444=0),0,"")))))</f>
        <v>0</v>
      </c>
      <c r="BG444" s="11" t="n">
        <f>IF(AND(COUNT(BN444:BU444)=8,MIN(BN444:BU444)&gt;=0),SUMPRODUCT(BN444:BQ444,BR444:BU444),"")</f>
        <v>63.935996265425516</v>
      </c>
      <c r="BH444" s="11" t="n">
        <f>IF(COUNT(BC444,BG444)=2,BC444*BG444,"")</f>
        <v>484.21298613369066</v>
      </c>
      <c r="BI444" s="11" t="n">
        <f>IF(ISNUMBER(CI444),CI444,"")</f>
        <v>0</v>
      </c>
      <c r="BJ444" s="8" t="str"/>
      <c r="BK444" s="8" t="str">
        <v>90天：2026-07-20 至 2026-10-17；180天：2026-04-21 至 2026-10-17</v>
      </c>
      <c r="BL444" s="8" t="str">
        <v>90天：2026-10-06、2026-10-07、2026-10-12、2026-10-13、2026-10-16；180天：2026-10-06、2026-10-07、2026-10-12、2026-10-13、2026-10-16</v>
      </c>
      <c r="BM444" s="8" t="str">
        <v>2026-10：12天 × 0.8729500662042875；2026-11：30天 × 0.8057375774163482；2026-12：31天 × 0.532550303142279；2027-01：17天 × 0.7517299265337036</v>
      </c>
      <c r="BN444" s="11" t="n">
        <v>0.8729500662042875</v>
      </c>
      <c r="BO444" s="11" t="n">
        <v>0.8057375774163482</v>
      </c>
      <c r="BP444" s="11" t="n">
        <v>0.532550303142279</v>
      </c>
      <c r="BQ444" s="11" t="n">
        <v>0.7517299265337036</v>
      </c>
      <c r="BR444" s="8" t="n">
        <v>12</v>
      </c>
      <c r="BS444" s="8" t="n">
        <v>30</v>
      </c>
      <c r="BT444" s="8" t="n">
        <v>31</v>
      </c>
      <c r="BU444" s="8" t="n">
        <v>17</v>
      </c>
      <c r="BV444" s="11" t="n">
        <f>IF(COUNT(BC444,BF444)=2,BC444*BF444,"")</f>
        <v>0</v>
      </c>
      <c r="BW444" s="11" t="n">
        <f>IF(ISNUMBER(BN444),BN444,"")</f>
        <v>0.8729500662042875</v>
      </c>
      <c r="BX444" s="14" t="n">
        <f>IF(ISNUMBER(BR444),BR444,"")</f>
        <v>12</v>
      </c>
      <c r="BY444" s="13" t="n">
        <f>IF(AND(COUNT(BV444,BW444,BX444)=3,MIN(BV444,BW444,BX444)&gt;=0),BV444*BW444*BX444,"")</f>
        <v>0</v>
      </c>
      <c r="BZ444" s="11" t="n">
        <f>IF(ISNUMBER(BO444),BO444,"")</f>
        <v>0.8057375774163482</v>
      </c>
      <c r="CA444" s="14" t="n">
        <f>IF(ISNUMBER(BS444),BS444,"")</f>
        <v>30</v>
      </c>
      <c r="CB444" s="13" t="n">
        <f>IF(AND(COUNT(BV444,BZ444,CA444)=3,MIN(BV444,BZ444,CA444)&gt;=0),BV444*BZ444*CA444,"")</f>
        <v>0</v>
      </c>
      <c r="CC444" s="11" t="n">
        <f>IF(ISNUMBER(BP444),BP444,"")</f>
        <v>0.532550303142279</v>
      </c>
      <c r="CD444" s="14" t="n">
        <f>IF(ISNUMBER(BT444),BT444,"")</f>
        <v>31</v>
      </c>
      <c r="CE444" s="13" t="n">
        <f>IF(AND(COUNT(BV444,CC444,CD444)=3,MIN(BV444,CC444,CD444)&gt;=0),BV444*CC444*CD444,"")</f>
        <v>0</v>
      </c>
      <c r="CF444" s="11" t="n">
        <f>IF(ISNUMBER(BQ444),BQ444,"")</f>
        <v>0.7517299265337036</v>
      </c>
      <c r="CG444" s="14" t="n">
        <f>IF(ISNUMBER(BU444),BU444,"")</f>
        <v>17</v>
      </c>
      <c r="CH444" s="13" t="n">
        <f>IF(AND(COUNT(BV444,CF444,CG444)=3,MIN(BV444,CF444,CG444)&gt;=0),BV444*CF444*CG444,"")</f>
        <v>0</v>
      </c>
      <c r="CI444" s="13" t="n">
        <f>IF(COUNT(BY444,CB444,CE444,CH444)=4,SUM(BY444,CB444,CE444,CH444),"")</f>
        <v>0</v>
      </c>
    </row>
    <row r="445" ht="72" customHeight="1">
      <c r="A445" s="16" t="str">
        <v>1S01-BG-39</v>
      </c>
      <c r="B445" s="16" t="str">
        <v>3店-SANDIEX-US</v>
      </c>
      <c r="C445" s="16" t="str">
        <v>徐新怡</v>
      </c>
      <c r="D445" s="26" t="n">
        <f>IF(NOT(ISNUMBER(E445)),"",IF(OR(E445&lt;=0,L445=0),0,IF(OR(NOT(ISNUMBER(F445)),F445&lt;0),"",MIN(E445,INT(F445)))))</f>
        <v>0</v>
      </c>
      <c r="E445" s="27" t="n">
        <f>IF(OR(NOT(ISNUMBER(L445)),COUNT(M445:O445)&lt;&gt;3,MIN(M445:O445)&lt;0),"",ROUNDUP(ROUND(BI445-SUM(M445:O445),10),0))</f>
        <v>-58</v>
      </c>
      <c r="F445" s="28" t="n">
        <v>115</v>
      </c>
      <c r="G445" s="28" t="n">
        <f>IF(AND(ISNUMBER(D445),ISNUMBER(E445)),IF(OR(E445&lt;=0,L445=0),0,E445-D445),"")</f>
        <v>0</v>
      </c>
      <c r="H445" s="16" t="str">
        <f>IF(NOT(ISNUMBER(E445)),"销量或海外库存待补",IF(OR(E445&lt;=0,L445=0),IF(L445=0,"零日销，本批不发","本批无需补货"),IF(NOT(ISNUMBER(D445)),"国内库存待补",IF(D445=0,"国内无可用库存",IF(G445&gt;0,"先发国内现货","按建议量发货")))))</f>
        <v>本批无需补货</v>
      </c>
      <c r="I445" s="28" t="n">
        <f>IF(AND(COUNT(Z445,AA445,AB445)=3,Z445&gt;=AA445,AA445&gt;=0,AB445=7),Z445-AA445,"")</f>
        <v>5</v>
      </c>
      <c r="J445" s="28" t="n">
        <f>IF(AND(COUNT(AF445,AG445,AH445)=3,AF445&gt;=AG445,AG445&gt;=0,AH445=14),AF445-AG445,"")</f>
        <v>19</v>
      </c>
      <c r="K445" s="28" t="n">
        <f>IF(AND(COUNT(AL445,AM445,AN445)=3,AL445&gt;=AM445,AM445&gt;=0,AN445=30),AL445-AM445,"")</f>
        <v>61</v>
      </c>
      <c r="L445" s="29" t="n">
        <f>IF(ISNUMBER(BI445),BI445/90,"")</f>
        <v>1.65429173218778</v>
      </c>
      <c r="M445" s="28" t="n">
        <v>39</v>
      </c>
      <c r="N445" s="28" t="n">
        <v>0</v>
      </c>
      <c r="O445" s="28" t="n">
        <v>167</v>
      </c>
      <c r="P445" s="30" t="n">
        <f>IF(AND(ISNUMBER(L445),L445&gt;0,COUNT(M445:O445)=3,MIN(M445:O445)&gt;=0),SUM(M445:O445)/L445,"")</f>
        <v>124.5245901867427</v>
      </c>
      <c r="Q445" s="16" t="str">
        <v>沿用原计划SKU店铺</v>
      </c>
      <c r="R445" s="16" t="str">
        <v>已匹配</v>
      </c>
      <c r="S445" s="16" t="str">
        <v>在售</v>
      </c>
      <c r="T445" s="16" t="str">
        <v>1S01</v>
      </c>
      <c r="U445" s="16" t="str">
        <v>米色</v>
      </c>
      <c r="V445" s="16" t="n">
        <v>8</v>
      </c>
      <c r="W445" s="8" t="str">
        <v>2026-10-11 至 2026-10-17</v>
      </c>
      <c r="X445" s="8" t="str">
        <v>2026-10-11、2026-10-12、2026-10-13、2026-10-14、2026-10-15、2026-10-16、2026-10-17</v>
      </c>
      <c r="Y445" s="8" t="str">
        <v>无</v>
      </c>
      <c r="Z445" s="8" t="n">
        <v>5</v>
      </c>
      <c r="AA445" s="8" t="n">
        <v>0</v>
      </c>
      <c r="AB445" s="8" t="n">
        <v>7</v>
      </c>
      <c r="AC445" s="8" t="str">
        <v>2026-10-02 至 2026-10-17</v>
      </c>
      <c r="AD445" s="8" t="str">
        <v>2026-10-02、2026-10-03、2026-10-04、2026-10-05、2026-10-08、2026-10-09、2026-10-10、2026-10-11、2026-10-12、2026-10-13、2026-10-14、2026-10-15、2026-10-16、2026-10-17</v>
      </c>
      <c r="AE445" s="8" t="str">
        <v>2026-10-06 大促；2026-10-07 大促</v>
      </c>
      <c r="AF445" s="8" t="n">
        <v>41</v>
      </c>
      <c r="AG445" s="8" t="n">
        <v>22</v>
      </c>
      <c r="AH445" s="8" t="n">
        <v>14</v>
      </c>
      <c r="AI445" s="8" t="str">
        <v>2026-09-16 至 2026-10-17</v>
      </c>
      <c r="AJ4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5" s="8" t="str">
        <v>2026-10-06 大促；2026-10-07 大促</v>
      </c>
      <c r="AL445" s="8" t="n">
        <v>83</v>
      </c>
      <c r="AM445" s="8" t="n">
        <v>22</v>
      </c>
      <c r="AN445" s="8" t="n">
        <v>30</v>
      </c>
      <c r="AO445" s="8" t="str">
        <v>1S01 / 米色羊京绒 / 6574</v>
      </c>
      <c r="AP445" s="11" t="n">
        <v>0.8729500662042875</v>
      </c>
      <c r="AQ445" s="11" t="n">
        <v>0.8729500662042875</v>
      </c>
      <c r="AR445" s="11" t="n">
        <v>1.0921363354767095</v>
      </c>
      <c r="AS445" s="11" t="n">
        <f>IF(AND(COUNT(I445:K445,AP445:AR445)=6,MIN(AP445:AR445)&gt;0),I445/7/AP445*0.5+J445/14/AQ445*0.3+K445/30/AR445*0.2,"")</f>
        <v>1.2478794247101637</v>
      </c>
      <c r="AT445" s="8" t="n">
        <v>228</v>
      </c>
      <c r="AU445" s="8" t="n">
        <v>22</v>
      </c>
      <c r="AV445" s="8" t="n">
        <v>88</v>
      </c>
      <c r="AW445" s="11" t="n">
        <f>IF(AND(COUNT(AT445:AV445)=3,AT445&gt;=AU445,AU445&gt;=0,AV445&gt;0),(AT445-AU445)/AV445,"")</f>
        <v>2.340909090909091</v>
      </c>
      <c r="AX445" s="8" t="n">
        <v>312</v>
      </c>
      <c r="AY445" s="8" t="n">
        <v>22</v>
      </c>
      <c r="AZ445" s="8" t="n">
        <v>178</v>
      </c>
      <c r="BA445" s="11" t="n">
        <f>IF(AND(COUNT(AX445:AZ445)=3,AX445&gt;=AY445,AY445&gt;=0,AZ445&gt;0),(AX445-AY445)/AZ445,"")</f>
        <v>1.6292134831460674</v>
      </c>
      <c r="BB445" s="8" t="n">
        <f>IF(COUNT(AS445,AW445,BA445)=3,1,0)</f>
        <v>1</v>
      </c>
      <c r="BC445" s="11" t="n">
        <f>IF(SUMIF($AO$11:$AO$1309,AO445,$BB$11:$BB$1309)=COUNTIF($AO$11:$AO$1309,AO445),SUMIF($AO$11:$AO$1309,AO445,$AS$11:$AS$1309),"")</f>
        <v>7.573401752019576</v>
      </c>
      <c r="BD445" s="11" t="n">
        <f>IF(SUMIF($AO$11:$AO$1309,AO445,$BB$11:$BB$1309)=COUNTIF($AO$11:$AO$1309,AO445),SUMIF($AO$11:$AO$1309,AO445,$AW$11:$AW$1309),"")</f>
        <v>7.579545454545455</v>
      </c>
      <c r="BE445" s="11" t="n">
        <f>IF(SUMIF($AO$11:$AO$1309,AO445,$BB$11:$BB$1309)=COUNTIF($AO$11:$AO$1309,AO445),SUMIF($AO$11:$AO$1309,AO445,$BA$11:$BA$1309),"")</f>
        <v>5.354028892455858</v>
      </c>
      <c r="BF445" s="12" t="n">
        <f>IF(COUNT(BD445:BE445)&lt;&gt;2,"",IF(AND(BD445&gt;0,BE445&gt;0),0.7*AW445/BD445+0.3*BA445/BE445,IF(BD445&gt;0,AW445/BD445,IF(BE445&gt;0,BA445/BE445,IF(AND(ISNUMBER(BH445),BH445=0),0,"")))))</f>
        <v>0.3074809229833272</v>
      </c>
      <c r="BG445" s="11" t="n">
        <f>IF(AND(COUNT(BN445:BU445)=8,MIN(BN445:BU445)&gt;=0),SUMPRODUCT(BN445:BQ445,BR445:BU445),"")</f>
        <v>63.935996265425516</v>
      </c>
      <c r="BH445" s="11" t="n">
        <f>IF(COUNT(BC445,BG445)=2,BC445*BG445,"")</f>
        <v>484.21298613369066</v>
      </c>
      <c r="BI445" s="11" t="n">
        <f>IF(ISNUMBER(CI445),CI445,"")</f>
        <v>148.8862558969002</v>
      </c>
      <c r="BJ445" s="8" t="str"/>
      <c r="BK445" s="8" t="str">
        <v>90天：2026-07-20 至 2026-10-17；180天：2026-04-21 至 2026-10-17</v>
      </c>
      <c r="BL445" s="8" t="str">
        <v>90天：2026-10-06、2026-10-07；180天：2026-10-06、2026-10-07</v>
      </c>
      <c r="BM445" s="8" t="str">
        <v>2026-10：12天 × 0.8729500662042875；2026-11：30天 × 0.8057375774163482；2026-12：31天 × 0.532550303142279；2027-01：17天 × 0.7517299265337036</v>
      </c>
      <c r="BN445" s="11" t="n">
        <v>0.8729500662042875</v>
      </c>
      <c r="BO445" s="11" t="n">
        <v>0.8057375774163482</v>
      </c>
      <c r="BP445" s="11" t="n">
        <v>0.532550303142279</v>
      </c>
      <c r="BQ445" s="11" t="n">
        <v>0.7517299265337036</v>
      </c>
      <c r="BR445" s="8" t="n">
        <v>12</v>
      </c>
      <c r="BS445" s="8" t="n">
        <v>30</v>
      </c>
      <c r="BT445" s="8" t="n">
        <v>31</v>
      </c>
      <c r="BU445" s="8" t="n">
        <v>17</v>
      </c>
      <c r="BV445" s="11" t="n">
        <f>IF(COUNT(BC445,BF445)=2,BC445*BF445,"")</f>
        <v>2.3286765608345266</v>
      </c>
      <c r="BW445" s="11" t="n">
        <f>IF(ISNUMBER(BN445),BN445,"")</f>
        <v>0.8729500662042875</v>
      </c>
      <c r="BX445" s="14" t="n">
        <f>IF(ISNUMBER(BR445),BR445,"")</f>
        <v>12</v>
      </c>
      <c r="BY445" s="13" t="n">
        <f>IF(AND(COUNT(BV445,BW445,BX445)=3,MIN(BV445,BW445,BX445)&gt;=0),BV445*BW445*BX445,"")</f>
        <v>24.39382029538647</v>
      </c>
      <c r="BZ445" s="11" t="n">
        <f>IF(ISNUMBER(BO445),BO445,"")</f>
        <v>0.8057375774163482</v>
      </c>
      <c r="CA445" s="14" t="n">
        <f>IF(ISNUMBER(BS445),BS445,"")</f>
        <v>30</v>
      </c>
      <c r="CB445" s="13" t="n">
        <f>IF(AND(COUNT(BV445,BZ445,CA445)=3,MIN(BV445,BZ445,CA445)&gt;=0),BV445*BZ445*CA445,"")</f>
        <v>56.289066321391346</v>
      </c>
      <c r="CC445" s="11" t="n">
        <f>IF(ISNUMBER(BP445),BP445,"")</f>
        <v>0.532550303142279</v>
      </c>
      <c r="CD445" s="14" t="n">
        <f>IF(ISNUMBER(BT445),BT445,"")</f>
        <v>31</v>
      </c>
      <c r="CE445" s="13" t="n">
        <f>IF(AND(COUNT(BV445,CC445,CD445)=3,MIN(BV445,CC445,CD445)&gt;=0),BV445*CC445*CD445,"")</f>
        <v>38.44425966017515</v>
      </c>
      <c r="CF445" s="11" t="n">
        <f>IF(ISNUMBER(BQ445),BQ445,"")</f>
        <v>0.7517299265337036</v>
      </c>
      <c r="CG445" s="14" t="n">
        <f>IF(ISNUMBER(BU445),BU445,"")</f>
        <v>17</v>
      </c>
      <c r="CH445" s="13" t="n">
        <f>IF(AND(COUNT(BV445,CF445,CG445)=3,MIN(BV445,CF445,CG445)&gt;=0),BV445*CF445*CG445,"")</f>
        <v>29.75910961994724</v>
      </c>
      <c r="CI445" s="13" t="n">
        <f>IF(COUNT(BY445,CB445,CE445,CH445)=4,SUM(BY445,CB445,CE445,CH445),"")</f>
        <v>148.8862558969002</v>
      </c>
    </row>
    <row r="446" ht="72" customHeight="1">
      <c r="A446" s="16" t="str">
        <v>1S01-BG-40</v>
      </c>
      <c r="B446" s="16" t="str">
        <v>3店-SANDIEX-US</v>
      </c>
      <c r="C446" s="16" t="str">
        <v>徐新怡</v>
      </c>
      <c r="D446" s="26" t="n">
        <f>IF(NOT(ISNUMBER(E446)),"",IF(OR(E446&lt;=0,L446=0),0,IF(OR(NOT(ISNUMBER(F446)),F446&lt;0),"",MIN(E446,INT(F446)))))</f>
        <v>0</v>
      </c>
      <c r="E446" s="27" t="n">
        <f>IF(OR(NOT(ISNUMBER(L446)),COUNT(M446:O446)&lt;&gt;3,MIN(M446:O446)&lt;0),"",ROUNDUP(ROUND(BI446-SUM(M446:O446),10),0))</f>
        <v>-138</v>
      </c>
      <c r="F446" s="28" t="n">
        <v>0</v>
      </c>
      <c r="G446" s="28" t="n">
        <f>IF(AND(ISNUMBER(D446),ISNUMBER(E446)),IF(OR(E446&lt;=0,L446=0),0,E446-D446),"")</f>
        <v>0</v>
      </c>
      <c r="H446" s="16" t="str">
        <f>IF(NOT(ISNUMBER(E446)),"销量或海外库存待补",IF(OR(E446&lt;=0,L446=0),IF(L446=0,"零日销，本批不发","本批无需补货"),IF(NOT(ISNUMBER(D446)),"国内库存待补",IF(D446=0,"国内无可用库存",IF(G446&gt;0,"先发国内现货","按建议量发货")))))</f>
        <v>本批无需补货</v>
      </c>
      <c r="I446" s="28" t="n">
        <f>IF(AND(COUNT(Z446,AA446,AB446)=3,Z446&gt;=AA446,AA446&gt;=0,AB446=7),Z446-AA446,"")</f>
        <v>8</v>
      </c>
      <c r="J446" s="28" t="n">
        <f>IF(AND(COUNT(AF446,AG446,AH446)=3,AF446&gt;=AG446,AG446&gt;=0,AH446=14),AF446-AG446,"")</f>
        <v>24</v>
      </c>
      <c r="K446" s="28" t="n">
        <f>IF(AND(COUNT(AL446,AM446,AN446)=3,AL446&gt;=AM446,AM446&gt;=0,AN446=30),AL446-AM446,"")</f>
        <v>74</v>
      </c>
      <c r="L446" s="29" t="n">
        <f>IF(ISNUMBER(BI446),BI446/90,"")</f>
        <v>1.5622597084687713</v>
      </c>
      <c r="M446" s="28" t="n">
        <v>55</v>
      </c>
      <c r="N446" s="28" t="n">
        <v>0</v>
      </c>
      <c r="O446" s="28" t="n">
        <v>223</v>
      </c>
      <c r="P446" s="30" t="n">
        <f>IF(AND(ISNUMBER(L446),L446&gt;0,COUNT(M446:O446)=3,MIN(M446:O446)&gt;=0),SUM(M446:O446)/L446,"")</f>
        <v>177.94736591682192</v>
      </c>
      <c r="Q446" s="16" t="str">
        <v>沿用原计划SKU店铺</v>
      </c>
      <c r="R446" s="16" t="str">
        <v>已匹配</v>
      </c>
      <c r="S446" s="16" t="str">
        <v>在售</v>
      </c>
      <c r="T446" s="16" t="str">
        <v>1S01</v>
      </c>
      <c r="U446" s="16" t="str">
        <v>米色</v>
      </c>
      <c r="V446" s="16" t="n">
        <v>9</v>
      </c>
      <c r="W446" s="8" t="str">
        <v>2026-10-11 至 2026-10-17</v>
      </c>
      <c r="X446" s="8" t="str">
        <v>2026-10-11、2026-10-12、2026-10-13、2026-10-14、2026-10-15、2026-10-16、2026-10-17</v>
      </c>
      <c r="Y446" s="8" t="str">
        <v>无</v>
      </c>
      <c r="Z446" s="8" t="n">
        <v>8</v>
      </c>
      <c r="AA446" s="8" t="n">
        <v>0</v>
      </c>
      <c r="AB446" s="8" t="n">
        <v>7</v>
      </c>
      <c r="AC446" s="8" t="str">
        <v>2026-10-02 至 2026-10-17</v>
      </c>
      <c r="AD446" s="8" t="str">
        <v>2026-10-02、2026-10-03、2026-10-04、2026-10-05、2026-10-08、2026-10-09、2026-10-10、2026-10-11、2026-10-12、2026-10-13、2026-10-14、2026-10-15、2026-10-16、2026-10-17</v>
      </c>
      <c r="AE446" s="8" t="str">
        <v>2026-10-06 大促；2026-10-07 大促</v>
      </c>
      <c r="AF446" s="8" t="n">
        <v>49</v>
      </c>
      <c r="AG446" s="8" t="n">
        <v>25</v>
      </c>
      <c r="AH446" s="8" t="n">
        <v>14</v>
      </c>
      <c r="AI446" s="8" t="str">
        <v>2026-09-16 至 2026-10-17</v>
      </c>
      <c r="AJ4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6" s="8" t="str">
        <v>2026-10-06 大促；2026-10-07 大促</v>
      </c>
      <c r="AL446" s="8" t="n">
        <v>99</v>
      </c>
      <c r="AM446" s="8" t="n">
        <v>25</v>
      </c>
      <c r="AN446" s="8" t="n">
        <v>30</v>
      </c>
      <c r="AO446" s="8" t="str">
        <v>1S01 / 米色羊京绒 / 6574</v>
      </c>
      <c r="AP446" s="11" t="n">
        <v>0.8729500662042875</v>
      </c>
      <c r="AQ446" s="11" t="n">
        <v>0.8729500662042875</v>
      </c>
      <c r="AR446" s="11" t="n">
        <v>1.0921363354767095</v>
      </c>
      <c r="AS446" s="11" t="n">
        <f>IF(AND(COUNT(I446:K446,AP446:AR446)=6,MIN(AP446:AR446)&gt;0),I446/7/AP446*0.5+J446/14/AQ446*0.3+K446/30/AR446*0.2,"")</f>
        <v>1.6954441699795908</v>
      </c>
      <c r="AT446" s="8" t="n">
        <v>218</v>
      </c>
      <c r="AU446" s="8" t="n">
        <v>25</v>
      </c>
      <c r="AV446" s="8" t="n">
        <v>88</v>
      </c>
      <c r="AW446" s="11" t="n">
        <f>IF(AND(COUNT(AT446:AV446)=3,AT446&gt;=AU446,AU446&gt;=0,AV446&gt;0),(AT446-AU446)/AV446,"")</f>
        <v>2.1931818181818183</v>
      </c>
      <c r="AX446" s="8" t="n">
        <v>304</v>
      </c>
      <c r="AY446" s="8" t="n">
        <v>25</v>
      </c>
      <c r="AZ446" s="8" t="n">
        <v>178</v>
      </c>
      <c r="BA446" s="11" t="n">
        <f>IF(AND(COUNT(AX446:AZ446)=3,AX446&gt;=AY446,AY446&gt;=0,AZ446&gt;0),(AX446-AY446)/AZ446,"")</f>
        <v>1.5674157303370786</v>
      </c>
      <c r="BB446" s="8" t="n">
        <f>IF(COUNT(AS446,AW446,BA446)=3,1,0)</f>
        <v>1</v>
      </c>
      <c r="BC446" s="11" t="n">
        <f>IF(SUMIF($AO$11:$AO$1309,AO446,$BB$11:$BB$1309)=COUNTIF($AO$11:$AO$1309,AO446),SUMIF($AO$11:$AO$1309,AO446,$AS$11:$AS$1309),"")</f>
        <v>7.573401752019576</v>
      </c>
      <c r="BD446" s="11" t="n">
        <f>IF(SUMIF($AO$11:$AO$1309,AO446,$BB$11:$BB$1309)=COUNTIF($AO$11:$AO$1309,AO446),SUMIF($AO$11:$AO$1309,AO446,$AW$11:$AW$1309),"")</f>
        <v>7.579545454545455</v>
      </c>
      <c r="BE446" s="11" t="n">
        <f>IF(SUMIF($AO$11:$AO$1309,AO446,$BB$11:$BB$1309)=COUNTIF($AO$11:$AO$1309,AO446),SUMIF($AO$11:$AO$1309,AO446,$BA$11:$BA$1309),"")</f>
        <v>5.354028892455858</v>
      </c>
      <c r="BF446" s="12" t="n">
        <f>IF(COUNT(BD446:BE446)&lt;&gt;2,"",IF(AND(BD446&gt;0,BE446&gt;0),0.7*AW446/BD446+0.3*BA446/BE446,IF(BD446&gt;0,AW446/BD446,IF(BE446&gt;0,BA446/BE446,IF(AND(ISNUMBER(BH446),BH446=0),0,"")))))</f>
        <v>0.29037505764739857</v>
      </c>
      <c r="BG446" s="11" t="n">
        <f>IF(AND(COUNT(BN446:BU446)=8,MIN(BN446:BU446)&gt;=0),SUMPRODUCT(BN446:BQ446,BR446:BU446),"")</f>
        <v>63.935996265425516</v>
      </c>
      <c r="BH446" s="11" t="n">
        <f>IF(COUNT(BC446,BG446)=2,BC446*BG446,"")</f>
        <v>484.21298613369066</v>
      </c>
      <c r="BI446" s="11" t="n">
        <f>IF(ISNUMBER(CI446),CI446,"")</f>
        <v>140.60337376218942</v>
      </c>
      <c r="BJ446" s="8" t="str"/>
      <c r="BK446" s="8" t="str">
        <v>90天：2026-07-20 至 2026-10-17；180天：2026-04-21 至 2026-10-17</v>
      </c>
      <c r="BL446" s="8" t="str">
        <v>90天：2026-10-06、2026-10-07；180天：2026-10-06、2026-10-07</v>
      </c>
      <c r="BM446" s="8" t="str">
        <v>2026-10：12天 × 0.8729500662042875；2026-11：30天 × 0.8057375774163482；2026-12：31天 × 0.532550303142279；2027-01：17天 × 0.7517299265337036</v>
      </c>
      <c r="BN446" s="11" t="n">
        <v>0.8729500662042875</v>
      </c>
      <c r="BO446" s="11" t="n">
        <v>0.8057375774163482</v>
      </c>
      <c r="BP446" s="11" t="n">
        <v>0.532550303142279</v>
      </c>
      <c r="BQ446" s="11" t="n">
        <v>0.7517299265337036</v>
      </c>
      <c r="BR446" s="8" t="n">
        <v>12</v>
      </c>
      <c r="BS446" s="8" t="n">
        <v>30</v>
      </c>
      <c r="BT446" s="8" t="n">
        <v>31</v>
      </c>
      <c r="BU446" s="8" t="n">
        <v>17</v>
      </c>
      <c r="BV446" s="11" t="n">
        <f>IF(COUNT(BC446,BF446)=2,BC446*BF446,"")</f>
        <v>2.1991269703295937</v>
      </c>
      <c r="BW446" s="11" t="n">
        <f>IF(ISNUMBER(BN446),BN446,"")</f>
        <v>0.8729500662042875</v>
      </c>
      <c r="BX446" s="14" t="n">
        <f>IF(ISNUMBER(BR446),BR446,"")</f>
        <v>12</v>
      </c>
      <c r="BY446" s="13" t="n">
        <f>IF(AND(COUNT(BV446,BW446,BX446)=3,MIN(BV446,BW446,BX446)&gt;=0),BV446*BW446*BX446,"")</f>
        <v>23.036736412090235</v>
      </c>
      <c r="BZ446" s="11" t="n">
        <f>IF(ISNUMBER(BO446),BO446,"")</f>
        <v>0.8057375774163482</v>
      </c>
      <c r="CA446" s="14" t="n">
        <f>IF(ISNUMBER(BS446),BS446,"")</f>
        <v>30</v>
      </c>
      <c r="CB446" s="13" t="n">
        <f>IF(AND(COUNT(BV446,BZ446,CA446)=3,MIN(BV446,BZ446,CA446)&gt;=0),BV446*BZ446*CA446,"")</f>
        <v>53.157577125129606</v>
      </c>
      <c r="CC446" s="11" t="n">
        <f>IF(ISNUMBER(BP446),BP446,"")</f>
        <v>0.532550303142279</v>
      </c>
      <c r="CD446" s="14" t="n">
        <f>IF(ISNUMBER(BT446),BT446,"")</f>
        <v>31</v>
      </c>
      <c r="CE446" s="13" t="n">
        <f>IF(AND(COUNT(BV446,CC446,CD446)=3,MIN(BV446,CC446,CD446)&gt;=0),BV446*CC446*CD446,"")</f>
        <v>36.30551777561899</v>
      </c>
      <c r="CF446" s="11" t="n">
        <f>IF(ISNUMBER(BQ446),BQ446,"")</f>
        <v>0.7517299265337036</v>
      </c>
      <c r="CG446" s="14" t="n">
        <f>IF(ISNUMBER(BU446),BU446,"")</f>
        <v>17</v>
      </c>
      <c r="CH446" s="13" t="n">
        <f>IF(AND(COUNT(BV446,CF446,CG446)=3,MIN(BV446,CF446,CG446)&gt;=0),BV446*CF446*CG446,"")</f>
        <v>28.10354244935058</v>
      </c>
      <c r="CI446" s="13" t="n">
        <f>IF(COUNT(BY446,CB446,CE446,CH446)=4,SUM(BY446,CB446,CE446,CH446),"")</f>
        <v>140.60337376218942</v>
      </c>
    </row>
    <row r="447" ht="72" customHeight="1">
      <c r="A447" s="16" t="str">
        <v>1S01-BG-40.5</v>
      </c>
      <c r="B447" s="16" t="str">
        <v>3店-SANDIEX-US</v>
      </c>
      <c r="C447" s="16" t="str">
        <v>徐新怡</v>
      </c>
      <c r="D447" s="26" t="n">
        <f>IF(NOT(ISNUMBER(E447)),"",IF(OR(E447&lt;=0,L447=0),0,IF(OR(NOT(ISNUMBER(F447)),F447&lt;0),"",MIN(E447,INT(F447)))))</f>
        <v>0</v>
      </c>
      <c r="E447" s="27" t="n">
        <f>IF(OR(NOT(ISNUMBER(L447)),COUNT(M447:O447)&lt;&gt;3,MIN(M447:O447)&lt;0),"",ROUNDUP(ROUND(BI447-SUM(M447:O447),10),0))</f>
        <v>0</v>
      </c>
      <c r="F447" s="28" t="n">
        <v>0</v>
      </c>
      <c r="G447" s="28" t="n">
        <f>IF(AND(ISNUMBER(D447),ISNUMBER(E447)),IF(OR(E447&lt;=0,L447=0),0,E447-D447),"")</f>
        <v>0</v>
      </c>
      <c r="H447" s="16" t="str">
        <f>IF(NOT(ISNUMBER(E447)),"销量或海外库存待补",IF(OR(E447&lt;=0,L447=0),IF(L447=0,"零日销，本批不发","本批无需补货"),IF(NOT(ISNUMBER(D447)),"国内库存待补",IF(D447=0,"国内无可用库存",IF(G447&gt;0,"先发国内现货","按建议量发货")))))</f>
        <v>零日销，本批不发</v>
      </c>
      <c r="I447" s="28" t="n">
        <f>IF(AND(COUNT(Z447,AA447,AB447)=3,Z447&gt;=AA447,AA447&gt;=0,AB447=7),Z447-AA447,"")</f>
        <v>0</v>
      </c>
      <c r="J447" s="28" t="n">
        <f>IF(AND(COUNT(AF447,AG447,AH447)=3,AF447&gt;=AG447,AG447&gt;=0,AH447=14),AF447-AG447,"")</f>
        <v>0</v>
      </c>
      <c r="K447" s="28" t="n">
        <f>IF(AND(COUNT(AL447,AM447,AN447)=3,AL447&gt;=AM447,AM447&gt;=0,AN447=30),AL447-AM447,"")</f>
        <v>0</v>
      </c>
      <c r="L447" s="29" t="n">
        <f>IF(ISNUMBER(BI447),BI447/90,"")</f>
        <v>0</v>
      </c>
      <c r="M447" s="28" t="n">
        <v>0</v>
      </c>
      <c r="N447" s="28" t="n">
        <v>0</v>
      </c>
      <c r="O447" s="28" t="n">
        <v>0</v>
      </c>
      <c r="P447" s="30" t="str">
        <f>IF(AND(ISNUMBER(L447),L447&gt;0,COUNT(M447:O447)=3,MIN(M447:O447)&gt;=0),SUM(M447:O447)/L447,"")</f>
      </c>
      <c r="Q447" s="16" t="str">
        <v>沿用同SPU原计划店铺</v>
      </c>
      <c r="R447" s="16" t="str">
        <v>已匹配</v>
      </c>
      <c r="S447" s="16" t="str">
        <v>停售</v>
      </c>
      <c r="T447" s="16" t="str">
        <v>1S01</v>
      </c>
      <c r="U447" s="16" t="str">
        <v>米色</v>
      </c>
      <c r="V447" s="16" t="n">
        <v>9.5</v>
      </c>
      <c r="W447" s="8" t="str">
        <v>2026-10-08 至 2026-10-17</v>
      </c>
      <c r="X447" s="8" t="str">
        <v>2026-10-08、2026-10-09、2026-10-10、2026-10-11、2026-10-14、2026-10-15、2026-10-17</v>
      </c>
      <c r="Y447" s="8" t="str">
        <v>2026-10-12 有记录的停售日；2026-10-13 有记录的停售日；2026-10-16 有记录的停售日</v>
      </c>
      <c r="Z447" s="8" t="n">
        <v>0</v>
      </c>
      <c r="AA447" s="8" t="n">
        <v>0</v>
      </c>
      <c r="AB447" s="8" t="n">
        <v>7</v>
      </c>
      <c r="AC447" s="8" t="str">
        <v>2026-09-29 至 2026-10-17</v>
      </c>
      <c r="AD447" s="8" t="str">
        <v>2026-09-29、2026-09-30、2026-10-01、2026-10-02、2026-10-03、2026-10-04、2026-10-05、2026-10-08、2026-10-09、2026-10-10、2026-10-11、2026-10-14、2026-10-15、2026-10-17</v>
      </c>
      <c r="AE447" s="8" t="str">
        <v>2026-10-06 大促；2026-10-07 大促；2026-10-12 有记录的停售日；2026-10-13 有记录的停售日；2026-10-16 有记录的停售日</v>
      </c>
      <c r="AF447" s="8" t="n">
        <v>0</v>
      </c>
      <c r="AG447" s="8" t="n">
        <v>0</v>
      </c>
      <c r="AH447" s="8" t="n">
        <v>14</v>
      </c>
      <c r="AI447" s="8" t="str">
        <v>2026-09-13 至 2026-10-17</v>
      </c>
      <c r="AJ44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47" s="8" t="str">
        <v>2026-10-06 大促；2026-10-07 大促；2026-10-12 有记录的停售日；2026-10-13 有记录的停售日；2026-10-16 有记录的停售日</v>
      </c>
      <c r="AL447" s="8" t="n">
        <v>0</v>
      </c>
      <c r="AM447" s="8" t="n">
        <v>0</v>
      </c>
      <c r="AN447" s="8" t="n">
        <v>30</v>
      </c>
      <c r="AO447" s="8" t="str">
        <v>1S01 / 米色羊京绒 / 6574</v>
      </c>
      <c r="AP447" s="11" t="n">
        <v>0.8729500662042875</v>
      </c>
      <c r="AQ447" s="11" t="n">
        <v>0.9355747145678367</v>
      </c>
      <c r="AR447" s="11" t="n">
        <v>1.135973589331194</v>
      </c>
      <c r="AS447" s="11" t="n">
        <f>IF(AND(COUNT(I447:K447,AP447:AR447)=6,MIN(AP447:AR447)&gt;0),I447/7/AP447*0.5+J447/14/AQ447*0.3+K447/30/AR447*0.2,"")</f>
        <v>0</v>
      </c>
      <c r="AT447" s="8" t="n">
        <v>0</v>
      </c>
      <c r="AU447" s="8" t="n">
        <v>0</v>
      </c>
      <c r="AV447" s="8" t="n">
        <v>85</v>
      </c>
      <c r="AW447" s="11" t="n">
        <f>IF(AND(COUNT(AT447:AV447)=3,AT447&gt;=AU447,AU447&gt;=0,AV447&gt;0),(AT447-AU447)/AV447,"")</f>
        <v>0</v>
      </c>
      <c r="AX447" s="8" t="n">
        <v>0</v>
      </c>
      <c r="AY447" s="8" t="n">
        <v>0</v>
      </c>
      <c r="AZ447" s="8" t="n">
        <v>175</v>
      </c>
      <c r="BA447" s="11" t="n">
        <f>IF(AND(COUNT(AX447:AZ447)=3,AX447&gt;=AY447,AY447&gt;=0,AZ447&gt;0),(AX447-AY447)/AZ447,"")</f>
        <v>0</v>
      </c>
      <c r="BB447" s="8" t="n">
        <f>IF(COUNT(AS447,AW447,BA447)=3,1,0)</f>
        <v>1</v>
      </c>
      <c r="BC447" s="11" t="n">
        <f>IF(SUMIF($AO$11:$AO$1309,AO447,$BB$11:$BB$1309)=COUNTIF($AO$11:$AO$1309,AO447),SUMIF($AO$11:$AO$1309,AO447,$AS$11:$AS$1309),"")</f>
        <v>7.573401752019576</v>
      </c>
      <c r="BD447" s="11" t="n">
        <f>IF(SUMIF($AO$11:$AO$1309,AO447,$BB$11:$BB$1309)=COUNTIF($AO$11:$AO$1309,AO447),SUMIF($AO$11:$AO$1309,AO447,$AW$11:$AW$1309),"")</f>
        <v>7.579545454545455</v>
      </c>
      <c r="BE447" s="11" t="n">
        <f>IF(SUMIF($AO$11:$AO$1309,AO447,$BB$11:$BB$1309)=COUNTIF($AO$11:$AO$1309,AO447),SUMIF($AO$11:$AO$1309,AO447,$BA$11:$BA$1309),"")</f>
        <v>5.354028892455858</v>
      </c>
      <c r="BF447" s="12" t="n">
        <f>IF(COUNT(BD447:BE447)&lt;&gt;2,"",IF(AND(BD447&gt;0,BE447&gt;0),0.7*AW447/BD447+0.3*BA447/BE447,IF(BD447&gt;0,AW447/BD447,IF(BE447&gt;0,BA447/BE447,IF(AND(ISNUMBER(BH447),BH447=0),0,"")))))</f>
        <v>0</v>
      </c>
      <c r="BG447" s="11" t="n">
        <f>IF(AND(COUNT(BN447:BU447)=8,MIN(BN447:BU447)&gt;=0),SUMPRODUCT(BN447:BQ447,BR447:BU447),"")</f>
        <v>63.935996265425516</v>
      </c>
      <c r="BH447" s="11" t="n">
        <f>IF(COUNT(BC447,BG447)=2,BC447*BG447,"")</f>
        <v>484.21298613369066</v>
      </c>
      <c r="BI447" s="11" t="n">
        <f>IF(ISNUMBER(CI447),CI447,"")</f>
        <v>0</v>
      </c>
      <c r="BJ447" s="8" t="str"/>
      <c r="BK447" s="8" t="str">
        <v>90天：2026-07-20 至 2026-10-17；180天：2026-04-21 至 2026-10-17</v>
      </c>
      <c r="BL447" s="8" t="str">
        <v>90天：2026-10-06、2026-10-07、2026-10-12、2026-10-13、2026-10-16；180天：2026-10-06、2026-10-07、2026-10-12、2026-10-13、2026-10-16</v>
      </c>
      <c r="BM447" s="8" t="str">
        <v>2026-10：12天 × 0.8729500662042875；2026-11：30天 × 0.8057375774163482；2026-12：31天 × 0.532550303142279；2027-01：17天 × 0.7517299265337036</v>
      </c>
      <c r="BN447" s="11" t="n">
        <v>0.8729500662042875</v>
      </c>
      <c r="BO447" s="11" t="n">
        <v>0.8057375774163482</v>
      </c>
      <c r="BP447" s="11" t="n">
        <v>0.532550303142279</v>
      </c>
      <c r="BQ447" s="11" t="n">
        <v>0.7517299265337036</v>
      </c>
      <c r="BR447" s="8" t="n">
        <v>12</v>
      </c>
      <c r="BS447" s="8" t="n">
        <v>30</v>
      </c>
      <c r="BT447" s="8" t="n">
        <v>31</v>
      </c>
      <c r="BU447" s="8" t="n">
        <v>17</v>
      </c>
      <c r="BV447" s="11" t="n">
        <f>IF(COUNT(BC447,BF447)=2,BC447*BF447,"")</f>
        <v>0</v>
      </c>
      <c r="BW447" s="11" t="n">
        <f>IF(ISNUMBER(BN447),BN447,"")</f>
        <v>0.8729500662042875</v>
      </c>
      <c r="BX447" s="14" t="n">
        <f>IF(ISNUMBER(BR447),BR447,"")</f>
        <v>12</v>
      </c>
      <c r="BY447" s="13" t="n">
        <f>IF(AND(COUNT(BV447,BW447,BX447)=3,MIN(BV447,BW447,BX447)&gt;=0),BV447*BW447*BX447,"")</f>
        <v>0</v>
      </c>
      <c r="BZ447" s="11" t="n">
        <f>IF(ISNUMBER(BO447),BO447,"")</f>
        <v>0.8057375774163482</v>
      </c>
      <c r="CA447" s="14" t="n">
        <f>IF(ISNUMBER(BS447),BS447,"")</f>
        <v>30</v>
      </c>
      <c r="CB447" s="13" t="n">
        <f>IF(AND(COUNT(BV447,BZ447,CA447)=3,MIN(BV447,BZ447,CA447)&gt;=0),BV447*BZ447*CA447,"")</f>
        <v>0</v>
      </c>
      <c r="CC447" s="11" t="n">
        <f>IF(ISNUMBER(BP447),BP447,"")</f>
        <v>0.532550303142279</v>
      </c>
      <c r="CD447" s="14" t="n">
        <f>IF(ISNUMBER(BT447),BT447,"")</f>
        <v>31</v>
      </c>
      <c r="CE447" s="13" t="n">
        <f>IF(AND(COUNT(BV447,CC447,CD447)=3,MIN(BV447,CC447,CD447)&gt;=0),BV447*CC447*CD447,"")</f>
        <v>0</v>
      </c>
      <c r="CF447" s="11" t="n">
        <f>IF(ISNUMBER(BQ447),BQ447,"")</f>
        <v>0.7517299265337036</v>
      </c>
      <c r="CG447" s="14" t="n">
        <f>IF(ISNUMBER(BU447),BU447,"")</f>
        <v>17</v>
      </c>
      <c r="CH447" s="13" t="n">
        <f>IF(AND(COUNT(BV447,CF447,CG447)=3,MIN(BV447,CF447,CG447)&gt;=0),BV447*CF447*CG447,"")</f>
        <v>0</v>
      </c>
      <c r="CI447" s="13" t="n">
        <f>IF(COUNT(BY447,CB447,CE447,CH447)=4,SUM(BY447,CB447,CE447,CH447),"")</f>
        <v>0</v>
      </c>
    </row>
    <row r="448" ht="72" customHeight="1">
      <c r="A448" s="16" t="str">
        <v>1S01-BG-41</v>
      </c>
      <c r="B448" s="16" t="str">
        <v>3店-SANDIEX-US</v>
      </c>
      <c r="C448" s="16" t="str">
        <v>徐新怡</v>
      </c>
      <c r="D448" s="26" t="n">
        <f>IF(NOT(ISNUMBER(E448)),"",IF(OR(E448&lt;=0,L448=0),0,IF(OR(NOT(ISNUMBER(F448)),F448&lt;0),"",MIN(E448,INT(F448)))))</f>
        <v>0</v>
      </c>
      <c r="E448" s="27" t="n">
        <f>IF(OR(NOT(ISNUMBER(L448)),COUNT(M448:O448)&lt;&gt;3,MIN(M448:O448)&lt;0),"",ROUNDUP(ROUND(BI448-SUM(M448:O448),10),0))</f>
        <v>-73</v>
      </c>
      <c r="F448" s="28" t="n">
        <v>60</v>
      </c>
      <c r="G448" s="28" t="n">
        <f>IF(AND(ISNUMBER(D448),ISNUMBER(E448)),IF(OR(E448&lt;=0,L448=0),0,E448-D448),"")</f>
        <v>0</v>
      </c>
      <c r="H448" s="16" t="str">
        <f>IF(NOT(ISNUMBER(E448)),"销量或海外库存待补",IF(OR(E448&lt;=0,L448=0),IF(L448=0,"零日销，本批不发","本批无需补货"),IF(NOT(ISNUMBER(D448)),"国内库存待补",IF(D448=0,"国内无可用库存",IF(G448&gt;0,"先发国内现货","按建议量发货")))))</f>
        <v>本批无需补货</v>
      </c>
      <c r="I448" s="28" t="n">
        <f>IF(AND(COUNT(Z448,AA448,AB448)=3,Z448&gt;=AA448,AA448&gt;=0,AB448=7),Z448-AA448,"")</f>
        <v>10</v>
      </c>
      <c r="J448" s="28" t="n">
        <f>IF(AND(COUNT(AF448,AG448,AH448)=3,AF448&gt;=AG448,AG448&gt;=0,AH448=14),AF448-AG448,"")</f>
        <v>17</v>
      </c>
      <c r="K448" s="28" t="n">
        <f>IF(AND(COUNT(AL448,AM448,AN448)=3,AL448&gt;=AM448,AM448&gt;=0,AN448=30),AL448-AM448,"")</f>
        <v>33</v>
      </c>
      <c r="L448" s="29" t="n">
        <f>IF(ISNUMBER(BI448),BI448/90,"")</f>
        <v>0.6165494787690808</v>
      </c>
      <c r="M448" s="28" t="n">
        <v>28</v>
      </c>
      <c r="N448" s="28" t="n">
        <v>0</v>
      </c>
      <c r="O448" s="28" t="n">
        <v>100</v>
      </c>
      <c r="P448" s="30" t="n">
        <f>IF(AND(ISNUMBER(L448),L448&gt;0,COUNT(M448:O448)=3,MIN(M448:O448)&gt;=0),SUM(M448:O448)/L448,"")</f>
        <v>207.6070200489788</v>
      </c>
      <c r="Q448" s="16" t="str">
        <v>沿用原计划SKU店铺</v>
      </c>
      <c r="R448" s="16" t="str">
        <v>已匹配</v>
      </c>
      <c r="S448" s="16" t="str">
        <v>在售</v>
      </c>
      <c r="T448" s="16" t="str">
        <v>1S01</v>
      </c>
      <c r="U448" s="16" t="str">
        <v>米色</v>
      </c>
      <c r="V448" s="16" t="n">
        <v>10</v>
      </c>
      <c r="W448" s="8" t="str">
        <v>2026-10-11 至 2026-10-17</v>
      </c>
      <c r="X448" s="8" t="str">
        <v>2026-10-11、2026-10-12、2026-10-13、2026-10-14、2026-10-15、2026-10-16、2026-10-17</v>
      </c>
      <c r="Y448" s="8" t="str">
        <v>无</v>
      </c>
      <c r="Z448" s="8" t="n">
        <v>10</v>
      </c>
      <c r="AA448" s="8" t="n">
        <v>0</v>
      </c>
      <c r="AB448" s="8" t="n">
        <v>7</v>
      </c>
      <c r="AC448" s="8" t="str">
        <v>2026-10-02 至 2026-10-17</v>
      </c>
      <c r="AD448" s="8" t="str">
        <v>2026-10-02、2026-10-03、2026-10-04、2026-10-05、2026-10-08、2026-10-09、2026-10-10、2026-10-11、2026-10-12、2026-10-13、2026-10-14、2026-10-15、2026-10-16、2026-10-17</v>
      </c>
      <c r="AE448" s="8" t="str">
        <v>2026-10-06 大促；2026-10-07 大促</v>
      </c>
      <c r="AF448" s="8" t="n">
        <v>25</v>
      </c>
      <c r="AG448" s="8" t="n">
        <v>8</v>
      </c>
      <c r="AH448" s="8" t="n">
        <v>14</v>
      </c>
      <c r="AI448" s="8" t="str">
        <v>2026-09-16 至 2026-10-17</v>
      </c>
      <c r="AJ4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48" s="8" t="str">
        <v>2026-10-06 大促；2026-10-07 大促</v>
      </c>
      <c r="AL448" s="8" t="n">
        <v>41</v>
      </c>
      <c r="AM448" s="8" t="n">
        <v>8</v>
      </c>
      <c r="AN448" s="8" t="n">
        <v>30</v>
      </c>
      <c r="AO448" s="8" t="str">
        <v>1S01 / 米色羊京绒 / 6574</v>
      </c>
      <c r="AP448" s="11" t="n">
        <v>0.8729500662042875</v>
      </c>
      <c r="AQ448" s="11" t="n">
        <v>0.8729500662042875</v>
      </c>
      <c r="AR448" s="11" t="n">
        <v>1.0921363354767095</v>
      </c>
      <c r="AS448" s="11" t="n">
        <f>IF(AND(COUNT(I448:K448,AP448:AR448)=6,MIN(AP448:AR448)&gt;0),I448/7/AP448*0.5+J448/14/AQ448*0.3+K448/30/AR448*0.2,"")</f>
        <v>1.4369877312547181</v>
      </c>
      <c r="AT448" s="8" t="n">
        <v>86</v>
      </c>
      <c r="AU448" s="8" t="n">
        <v>8</v>
      </c>
      <c r="AV448" s="8" t="n">
        <v>88</v>
      </c>
      <c r="AW448" s="11" t="n">
        <f>IF(AND(COUNT(AT448:AV448)=3,AT448&gt;=AU448,AU448&gt;=0,AV448&gt;0),(AT448-AU448)/AV448,"")</f>
        <v>0.8863636363636364</v>
      </c>
      <c r="AX448" s="8" t="n">
        <v>112</v>
      </c>
      <c r="AY448" s="8" t="n">
        <v>8</v>
      </c>
      <c r="AZ448" s="8" t="n">
        <v>178</v>
      </c>
      <c r="BA448" s="11" t="n">
        <f>IF(AND(COUNT(AX448:AZ448)=3,AX448&gt;=AY448,AY448&gt;=0,AZ448&gt;0),(AX448-AY448)/AZ448,"")</f>
        <v>0.5842696629213483</v>
      </c>
      <c r="BB448" s="8" t="n">
        <f>IF(COUNT(AS448,AW448,BA448)=3,1,0)</f>
        <v>1</v>
      </c>
      <c r="BC448" s="11" t="n">
        <f>IF(SUMIF($AO$11:$AO$1309,AO448,$BB$11:$BB$1309)=COUNTIF($AO$11:$AO$1309,AO448),SUMIF($AO$11:$AO$1309,AO448,$AS$11:$AS$1309),"")</f>
        <v>7.573401752019576</v>
      </c>
      <c r="BD448" s="11" t="n">
        <f>IF(SUMIF($AO$11:$AO$1309,AO448,$BB$11:$BB$1309)=COUNTIF($AO$11:$AO$1309,AO448),SUMIF($AO$11:$AO$1309,AO448,$AW$11:$AW$1309),"")</f>
        <v>7.579545454545455</v>
      </c>
      <c r="BE448" s="11" t="n">
        <f>IF(SUMIF($AO$11:$AO$1309,AO448,$BB$11:$BB$1309)=COUNTIF($AO$11:$AO$1309,AO448),SUMIF($AO$11:$AO$1309,AO448,$BA$11:$BA$1309),"")</f>
        <v>5.354028892455858</v>
      </c>
      <c r="BF448" s="12" t="n">
        <f>IF(COUNT(BD448:BE448)&lt;&gt;2,"",IF(AND(BD448&gt;0,BE448&gt;0),0.7*AW448/BD448+0.3*BA448/BE448,IF(BD448&gt;0,AW448/BD448,IF(BE448&gt;0,BA448/BE448,IF(AND(ISNUMBER(BH448),BH448=0),0,"")))))</f>
        <v>0.11459720139330734</v>
      </c>
      <c r="BG448" s="11" t="n">
        <f>IF(AND(COUNT(BN448:BU448)=8,MIN(BN448:BU448)&gt;=0),SUMPRODUCT(BN448:BQ448,BR448:BU448),"")</f>
        <v>63.935996265425516</v>
      </c>
      <c r="BH448" s="11" t="n">
        <f>IF(COUNT(BC448,BG448)=2,BC448*BG448,"")</f>
        <v>484.21298613369066</v>
      </c>
      <c r="BI448" s="11" t="n">
        <f>IF(ISNUMBER(CI448),CI448,"")</f>
        <v>55.48945308921728</v>
      </c>
      <c r="BJ448" s="8" t="str"/>
      <c r="BK448" s="8" t="str">
        <v>90天：2026-07-20 至 2026-10-17；180天：2026-04-21 至 2026-10-17</v>
      </c>
      <c r="BL448" s="8" t="str">
        <v>90天：2026-10-06、2026-10-07；180天：2026-10-06、2026-10-07</v>
      </c>
      <c r="BM448" s="8" t="str">
        <v>2026-10：12天 × 0.8729500662042875；2026-11：30天 × 0.8057375774163482；2026-12：31天 × 0.532550303142279；2027-01：17天 × 0.7517299265337036</v>
      </c>
      <c r="BN448" s="11" t="n">
        <v>0.8729500662042875</v>
      </c>
      <c r="BO448" s="11" t="n">
        <v>0.8057375774163482</v>
      </c>
      <c r="BP448" s="11" t="n">
        <v>0.532550303142279</v>
      </c>
      <c r="BQ448" s="11" t="n">
        <v>0.7517299265337036</v>
      </c>
      <c r="BR448" s="8" t="n">
        <v>12</v>
      </c>
      <c r="BS448" s="8" t="n">
        <v>30</v>
      </c>
      <c r="BT448" s="8" t="n">
        <v>31</v>
      </c>
      <c r="BU448" s="8" t="n">
        <v>17</v>
      </c>
      <c r="BV448" s="11" t="n">
        <f>IF(COUNT(BC448,BF448)=2,BC448*BF448,"")</f>
        <v>0.867890645808614</v>
      </c>
      <c r="BW448" s="11" t="n">
        <f>IF(ISNUMBER(BN448),BN448,"")</f>
        <v>0.8729500662042875</v>
      </c>
      <c r="BX448" s="14" t="n">
        <f>IF(ISNUMBER(BR448),BR448,"")</f>
        <v>12</v>
      </c>
      <c r="BY448" s="13" t="n">
        <f>IF(AND(COUNT(BV448,BW448,BX448)=3,MIN(BV448,BW448,BX448)&gt;=0),BV448*BW448*BX448,"")</f>
        <v>9.091502360600536</v>
      </c>
      <c r="BZ448" s="11" t="n">
        <f>IF(ISNUMBER(BO448),BO448,"")</f>
        <v>0.8057375774163482</v>
      </c>
      <c r="CA448" s="14" t="n">
        <f>IF(ISNUMBER(BS448),BS448,"")</f>
        <v>30</v>
      </c>
      <c r="CB448" s="13" t="n">
        <f>IF(AND(COUNT(BV448,BZ448,CA448)=3,MIN(BV448,BZ448,CA448)&gt;=0),BV448*BZ448*CA448,"")</f>
        <v>20.978763192484276</v>
      </c>
      <c r="CC448" s="11" t="n">
        <f>IF(ISNUMBER(BP448),BP448,"")</f>
        <v>0.532550303142279</v>
      </c>
      <c r="CD448" s="14" t="n">
        <f>IF(ISNUMBER(BT448),BT448,"")</f>
        <v>31</v>
      </c>
      <c r="CE448" s="13" t="n">
        <f>IF(AND(COUNT(BV448,CC448,CD448)=3,MIN(BV448,CC448,CD448)&gt;=0),BV448*CC448*CD448,"")</f>
        <v>14.328058222111496</v>
      </c>
      <c r="CF448" s="11" t="n">
        <f>IF(ISNUMBER(BQ448),BQ448,"")</f>
        <v>0.7517299265337036</v>
      </c>
      <c r="CG448" s="14" t="n">
        <f>IF(ISNUMBER(BU448),BU448,"")</f>
        <v>17</v>
      </c>
      <c r="CH448" s="13" t="n">
        <f>IF(AND(COUNT(BV448,CF448,CG448)=3,MIN(BV448,CF448,CG448)&gt;=0),BV448*CF448*CG448,"")</f>
        <v>11.091129314020966</v>
      </c>
      <c r="CI448" s="13" t="n">
        <f>IF(COUNT(BY448,CB448,CE448,CH448)=4,SUM(BY448,CB448,CE448,CH448),"")</f>
        <v>55.48945308921728</v>
      </c>
    </row>
    <row r="449" ht="72" customHeight="1">
      <c r="A449" s="16" t="str">
        <v>1S01-BG-41.5</v>
      </c>
      <c r="B449" s="16" t="str">
        <v>3店-SANDIEX-US</v>
      </c>
      <c r="C449" s="16" t="str">
        <v>徐新怡</v>
      </c>
      <c r="D449" s="26" t="n">
        <f>IF(NOT(ISNUMBER(E449)),"",IF(OR(E449&lt;=0,L449=0),0,IF(OR(NOT(ISNUMBER(F449)),F449&lt;0),"",MIN(E449,INT(F449)))))</f>
        <v>0</v>
      </c>
      <c r="E449" s="27" t="n">
        <f>IF(OR(NOT(ISNUMBER(L449)),COUNT(M449:O449)&lt;&gt;3,MIN(M449:O449)&lt;0),"",ROUNDUP(ROUND(BI449-SUM(M449:O449),10),0))</f>
        <v>0</v>
      </c>
      <c r="F449" s="28" t="n">
        <v>0</v>
      </c>
      <c r="G449" s="28" t="n">
        <f>IF(AND(ISNUMBER(D449),ISNUMBER(E449)),IF(OR(E449&lt;=0,L449=0),0,E449-D449),"")</f>
        <v>0</v>
      </c>
      <c r="H449" s="16" t="str">
        <f>IF(NOT(ISNUMBER(E449)),"销量或海外库存待补",IF(OR(E449&lt;=0,L449=0),IF(L449=0,"零日销，本批不发","本批无需补货"),IF(NOT(ISNUMBER(D449)),"国内库存待补",IF(D449=0,"国内无可用库存",IF(G449&gt;0,"先发国内现货","按建议量发货")))))</f>
        <v>零日销，本批不发</v>
      </c>
      <c r="I449" s="28" t="n">
        <f>IF(AND(COUNT(Z449,AA449,AB449)=3,Z449&gt;=AA449,AA449&gt;=0,AB449=7),Z449-AA449,"")</f>
        <v>0</v>
      </c>
      <c r="J449" s="28" t="n">
        <f>IF(AND(COUNT(AF449,AG449,AH449)=3,AF449&gt;=AG449,AG449&gt;=0,AH449=14),AF449-AG449,"")</f>
        <v>0</v>
      </c>
      <c r="K449" s="28" t="n">
        <f>IF(AND(COUNT(AL449,AM449,AN449)=3,AL449&gt;=AM449,AM449&gt;=0,AN449=30),AL449-AM449,"")</f>
        <v>0</v>
      </c>
      <c r="L449" s="29" t="n">
        <f>IF(ISNUMBER(BI449),BI449/90,"")</f>
        <v>0</v>
      </c>
      <c r="M449" s="28" t="n">
        <v>0</v>
      </c>
      <c r="N449" s="28" t="n">
        <v>0</v>
      </c>
      <c r="O449" s="28" t="n">
        <v>0</v>
      </c>
      <c r="P449" s="30" t="str">
        <f>IF(AND(ISNUMBER(L449),L449&gt;0,COUNT(M449:O449)=3,MIN(M449:O449)&gt;=0),SUM(M449:O449)/L449,"")</f>
      </c>
      <c r="Q449" s="16" t="str">
        <v>沿用同SPU原计划店铺</v>
      </c>
      <c r="R449" s="16" t="str">
        <v>已匹配</v>
      </c>
      <c r="S449" s="16" t="str">
        <v>停售</v>
      </c>
      <c r="T449" s="16" t="str">
        <v>1S01</v>
      </c>
      <c r="U449" s="16" t="str">
        <v>米色</v>
      </c>
      <c r="V449" s="16" t="n">
        <v>10.5</v>
      </c>
      <c r="W449" s="8" t="str">
        <v>2026-10-08 至 2026-10-17</v>
      </c>
      <c r="X449" s="8" t="str">
        <v>2026-10-08、2026-10-09、2026-10-10、2026-10-11、2026-10-14、2026-10-15、2026-10-17</v>
      </c>
      <c r="Y449" s="8" t="str">
        <v>2026-10-12 有记录的停售日；2026-10-13 有记录的停售日；2026-10-16 有记录的停售日</v>
      </c>
      <c r="Z449" s="8" t="n">
        <v>0</v>
      </c>
      <c r="AA449" s="8" t="n">
        <v>0</v>
      </c>
      <c r="AB449" s="8" t="n">
        <v>7</v>
      </c>
      <c r="AC449" s="8" t="str">
        <v>2026-09-29 至 2026-10-17</v>
      </c>
      <c r="AD449" s="8" t="str">
        <v>2026-09-29、2026-09-30、2026-10-01、2026-10-02、2026-10-03、2026-10-04、2026-10-05、2026-10-08、2026-10-09、2026-10-10、2026-10-11、2026-10-14、2026-10-15、2026-10-17</v>
      </c>
      <c r="AE449" s="8" t="str">
        <v>2026-10-06 大促；2026-10-07 大促；2026-10-12 有记录的停售日；2026-10-13 有记录的停售日；2026-10-16 有记录的停售日</v>
      </c>
      <c r="AF449" s="8" t="n">
        <v>0</v>
      </c>
      <c r="AG449" s="8" t="n">
        <v>0</v>
      </c>
      <c r="AH449" s="8" t="n">
        <v>14</v>
      </c>
      <c r="AI449" s="8" t="str">
        <v>2026-09-13 至 2026-10-17</v>
      </c>
      <c r="AJ44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49" s="8" t="str">
        <v>2026-10-06 大促；2026-10-07 大促；2026-10-12 有记录的停售日；2026-10-13 有记录的停售日；2026-10-16 有记录的停售日</v>
      </c>
      <c r="AL449" s="8" t="n">
        <v>0</v>
      </c>
      <c r="AM449" s="8" t="n">
        <v>0</v>
      </c>
      <c r="AN449" s="8" t="n">
        <v>30</v>
      </c>
      <c r="AO449" s="8" t="str">
        <v>1S01 / 米色羊京绒 / 6574</v>
      </c>
      <c r="AP449" s="11" t="n">
        <v>0.8729500662042875</v>
      </c>
      <c r="AQ449" s="11" t="n">
        <v>0.9355747145678367</v>
      </c>
      <c r="AR449" s="11" t="n">
        <v>1.135973589331194</v>
      </c>
      <c r="AS449" s="11" t="n">
        <f>IF(AND(COUNT(I449:K449,AP449:AR449)=6,MIN(AP449:AR449)&gt;0),I449/7/AP449*0.5+J449/14/AQ449*0.3+K449/30/AR449*0.2,"")</f>
        <v>0</v>
      </c>
      <c r="AT449" s="8" t="n">
        <v>0</v>
      </c>
      <c r="AU449" s="8" t="n">
        <v>0</v>
      </c>
      <c r="AV449" s="8" t="n">
        <v>85</v>
      </c>
      <c r="AW449" s="11" t="n">
        <f>IF(AND(COUNT(AT449:AV449)=3,AT449&gt;=AU449,AU449&gt;=0,AV449&gt;0),(AT449-AU449)/AV449,"")</f>
        <v>0</v>
      </c>
      <c r="AX449" s="8" t="n">
        <v>0</v>
      </c>
      <c r="AY449" s="8" t="n">
        <v>0</v>
      </c>
      <c r="AZ449" s="8" t="n">
        <v>175</v>
      </c>
      <c r="BA449" s="11" t="n">
        <f>IF(AND(COUNT(AX449:AZ449)=3,AX449&gt;=AY449,AY449&gt;=0,AZ449&gt;0),(AX449-AY449)/AZ449,"")</f>
        <v>0</v>
      </c>
      <c r="BB449" s="8" t="n">
        <f>IF(COUNT(AS449,AW449,BA449)=3,1,0)</f>
        <v>1</v>
      </c>
      <c r="BC449" s="11" t="n">
        <f>IF(SUMIF($AO$11:$AO$1309,AO449,$BB$11:$BB$1309)=COUNTIF($AO$11:$AO$1309,AO449),SUMIF($AO$11:$AO$1309,AO449,$AS$11:$AS$1309),"")</f>
        <v>7.573401752019576</v>
      </c>
      <c r="BD449" s="11" t="n">
        <f>IF(SUMIF($AO$11:$AO$1309,AO449,$BB$11:$BB$1309)=COUNTIF($AO$11:$AO$1309,AO449),SUMIF($AO$11:$AO$1309,AO449,$AW$11:$AW$1309),"")</f>
        <v>7.579545454545455</v>
      </c>
      <c r="BE449" s="11" t="n">
        <f>IF(SUMIF($AO$11:$AO$1309,AO449,$BB$11:$BB$1309)=COUNTIF($AO$11:$AO$1309,AO449),SUMIF($AO$11:$AO$1309,AO449,$BA$11:$BA$1309),"")</f>
        <v>5.354028892455858</v>
      </c>
      <c r="BF449" s="12" t="n">
        <f>IF(COUNT(BD449:BE449)&lt;&gt;2,"",IF(AND(BD449&gt;0,BE449&gt;0),0.7*AW449/BD449+0.3*BA449/BE449,IF(BD449&gt;0,AW449/BD449,IF(BE449&gt;0,BA449/BE449,IF(AND(ISNUMBER(BH449),BH449=0),0,"")))))</f>
        <v>0</v>
      </c>
      <c r="BG449" s="11" t="n">
        <f>IF(AND(COUNT(BN449:BU449)=8,MIN(BN449:BU449)&gt;=0),SUMPRODUCT(BN449:BQ449,BR449:BU449),"")</f>
        <v>63.935996265425516</v>
      </c>
      <c r="BH449" s="11" t="n">
        <f>IF(COUNT(BC449,BG449)=2,BC449*BG449,"")</f>
        <v>484.21298613369066</v>
      </c>
      <c r="BI449" s="11" t="n">
        <f>IF(ISNUMBER(CI449),CI449,"")</f>
        <v>0</v>
      </c>
      <c r="BJ449" s="8" t="str"/>
      <c r="BK449" s="8" t="str">
        <v>90天：2026-07-20 至 2026-10-17；180天：2026-04-21 至 2026-10-17</v>
      </c>
      <c r="BL449" s="8" t="str">
        <v>90天：2026-10-06、2026-10-07、2026-10-12、2026-10-13、2026-10-16；180天：2026-10-06、2026-10-07、2026-10-12、2026-10-13、2026-10-16</v>
      </c>
      <c r="BM449" s="8" t="str">
        <v>2026-10：12天 × 0.8729500662042875；2026-11：30天 × 0.8057375774163482；2026-12：31天 × 0.532550303142279；2027-01：17天 × 0.7517299265337036</v>
      </c>
      <c r="BN449" s="11" t="n">
        <v>0.8729500662042875</v>
      </c>
      <c r="BO449" s="11" t="n">
        <v>0.8057375774163482</v>
      </c>
      <c r="BP449" s="11" t="n">
        <v>0.532550303142279</v>
      </c>
      <c r="BQ449" s="11" t="n">
        <v>0.7517299265337036</v>
      </c>
      <c r="BR449" s="8" t="n">
        <v>12</v>
      </c>
      <c r="BS449" s="8" t="n">
        <v>30</v>
      </c>
      <c r="BT449" s="8" t="n">
        <v>31</v>
      </c>
      <c r="BU449" s="8" t="n">
        <v>17</v>
      </c>
      <c r="BV449" s="11" t="n">
        <f>IF(COUNT(BC449,BF449)=2,BC449*BF449,"")</f>
        <v>0</v>
      </c>
      <c r="BW449" s="11" t="n">
        <f>IF(ISNUMBER(BN449),BN449,"")</f>
        <v>0.8729500662042875</v>
      </c>
      <c r="BX449" s="14" t="n">
        <f>IF(ISNUMBER(BR449),BR449,"")</f>
        <v>12</v>
      </c>
      <c r="BY449" s="13" t="n">
        <f>IF(AND(COUNT(BV449,BW449,BX449)=3,MIN(BV449,BW449,BX449)&gt;=0),BV449*BW449*BX449,"")</f>
        <v>0</v>
      </c>
      <c r="BZ449" s="11" t="n">
        <f>IF(ISNUMBER(BO449),BO449,"")</f>
        <v>0.8057375774163482</v>
      </c>
      <c r="CA449" s="14" t="n">
        <f>IF(ISNUMBER(BS449),BS449,"")</f>
        <v>30</v>
      </c>
      <c r="CB449" s="13" t="n">
        <f>IF(AND(COUNT(BV449,BZ449,CA449)=3,MIN(BV449,BZ449,CA449)&gt;=0),BV449*BZ449*CA449,"")</f>
        <v>0</v>
      </c>
      <c r="CC449" s="11" t="n">
        <f>IF(ISNUMBER(BP449),BP449,"")</f>
        <v>0.532550303142279</v>
      </c>
      <c r="CD449" s="14" t="n">
        <f>IF(ISNUMBER(BT449),BT449,"")</f>
        <v>31</v>
      </c>
      <c r="CE449" s="13" t="n">
        <f>IF(AND(COUNT(BV449,CC449,CD449)=3,MIN(BV449,CC449,CD449)&gt;=0),BV449*CC449*CD449,"")</f>
        <v>0</v>
      </c>
      <c r="CF449" s="11" t="n">
        <f>IF(ISNUMBER(BQ449),BQ449,"")</f>
        <v>0.7517299265337036</v>
      </c>
      <c r="CG449" s="14" t="n">
        <f>IF(ISNUMBER(BU449),BU449,"")</f>
        <v>17</v>
      </c>
      <c r="CH449" s="13" t="n">
        <f>IF(AND(COUNT(BV449,CF449,CG449)=3,MIN(BV449,CF449,CG449)&gt;=0),BV449*CF449*CG449,"")</f>
        <v>0</v>
      </c>
      <c r="CI449" s="13" t="n">
        <f>IF(COUNT(BY449,CB449,CE449,CH449)=4,SUM(BY449,CB449,CE449,CH449),"")</f>
        <v>0</v>
      </c>
    </row>
    <row r="450" ht="72" customHeight="1">
      <c r="A450" s="16" t="str">
        <v>1S01-BG-42</v>
      </c>
      <c r="B450" s="16" t="str">
        <v>3店-SANDIEX-US</v>
      </c>
      <c r="C450" s="16" t="str">
        <v>徐新怡</v>
      </c>
      <c r="D450" s="26" t="n">
        <f>IF(NOT(ISNUMBER(E450)),"",IF(OR(E450&lt;=0,L450=0),0,IF(OR(NOT(ISNUMBER(F450)),F450&lt;0),"",MIN(E450,INT(F450)))))</f>
        <v>0</v>
      </c>
      <c r="E450" s="27" t="n">
        <f>IF(OR(NOT(ISNUMBER(L450)),COUNT(M450:O450)&lt;&gt;3,MIN(M450:O450)&lt;0),"",ROUNDUP(ROUND(BI450-SUM(M450:O450),10),0))</f>
        <v>-68</v>
      </c>
      <c r="F450" s="28" t="n">
        <v>33</v>
      </c>
      <c r="G450" s="28" t="n">
        <f>IF(AND(ISNUMBER(D450),ISNUMBER(E450)),IF(OR(E450&lt;=0,L450=0),0,E450-D450),"")</f>
        <v>0</v>
      </c>
      <c r="H450" s="16" t="str">
        <f>IF(NOT(ISNUMBER(E450)),"销量或海外库存待补",IF(OR(E450&lt;=0,L450=0),IF(L450=0,"零日销，本批不发","本批无需补货"),IF(NOT(ISNUMBER(D450)),"国内库存待补",IF(D450=0,"国内无可用库存",IF(G450&gt;0,"先发国内现货","按建议量发货")))))</f>
        <v>本批无需补货</v>
      </c>
      <c r="I450" s="28" t="n">
        <f>IF(AND(COUNT(Z450,AA450,AB450)=3,Z450&gt;=AA450,AA450&gt;=0,AB450=7),Z450-AA450,"")</f>
        <v>2</v>
      </c>
      <c r="J450" s="28" t="n">
        <f>IF(AND(COUNT(AF450,AG450,AH450)=3,AF450&gt;=AG450,AG450&gt;=0,AH450=14),AF450-AG450,"")</f>
        <v>3</v>
      </c>
      <c r="K450" s="28" t="n">
        <f>IF(AND(COUNT(AL450,AM450,AN450)=3,AL450&gt;=AM450,AM450&gt;=0,AN450=30),AL450-AM450,"")</f>
        <v>11</v>
      </c>
      <c r="L450" s="29" t="n">
        <f>IF(ISNUMBER(BI450),BI450/90,"")</f>
        <v>0.2393906711676404</v>
      </c>
      <c r="M450" s="28" t="n">
        <v>11</v>
      </c>
      <c r="N450" s="28" t="n">
        <v>0</v>
      </c>
      <c r="O450" s="28" t="n">
        <v>78</v>
      </c>
      <c r="P450" s="30" t="n">
        <f>IF(AND(ISNUMBER(L450),L450&gt;0,COUNT(M450:O450)=3,MIN(M450:O450)&gt;=0),SUM(M450:O450)/L450,"")</f>
        <v>371.7772274328732</v>
      </c>
      <c r="Q450" s="16" t="str">
        <v>沿用原计划SKU店铺</v>
      </c>
      <c r="R450" s="16" t="str">
        <v>已匹配</v>
      </c>
      <c r="S450" s="16" t="str">
        <v>在售</v>
      </c>
      <c r="T450" s="16" t="str">
        <v>1S01</v>
      </c>
      <c r="U450" s="16" t="str">
        <v>米色</v>
      </c>
      <c r="V450" s="16" t="n">
        <v>11</v>
      </c>
      <c r="W450" s="8" t="str">
        <v>2026-10-11 至 2026-10-17</v>
      </c>
      <c r="X450" s="8" t="str">
        <v>2026-10-11、2026-10-12、2026-10-13、2026-10-14、2026-10-15、2026-10-16、2026-10-17</v>
      </c>
      <c r="Y450" s="8" t="str">
        <v>无</v>
      </c>
      <c r="Z450" s="8" t="n">
        <v>2</v>
      </c>
      <c r="AA450" s="8" t="n">
        <v>0</v>
      </c>
      <c r="AB450" s="8" t="n">
        <v>7</v>
      </c>
      <c r="AC450" s="8" t="str">
        <v>2026-10-02 至 2026-10-17</v>
      </c>
      <c r="AD450" s="8" t="str">
        <v>2026-10-02、2026-10-03、2026-10-04、2026-10-05、2026-10-08、2026-10-09、2026-10-10、2026-10-11、2026-10-12、2026-10-13、2026-10-14、2026-10-15、2026-10-16、2026-10-17</v>
      </c>
      <c r="AE450" s="8" t="str">
        <v>2026-10-06 大促；2026-10-07 大促</v>
      </c>
      <c r="AF450" s="8" t="n">
        <v>6</v>
      </c>
      <c r="AG450" s="8" t="n">
        <v>3</v>
      </c>
      <c r="AH450" s="8" t="n">
        <v>14</v>
      </c>
      <c r="AI450" s="8" t="str">
        <v>2026-09-16 至 2026-10-17</v>
      </c>
      <c r="AJ4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50" s="8" t="str">
        <v>2026-10-06 大促；2026-10-07 大促</v>
      </c>
      <c r="AL450" s="8" t="n">
        <v>14</v>
      </c>
      <c r="AM450" s="8" t="n">
        <v>3</v>
      </c>
      <c r="AN450" s="8" t="n">
        <v>30</v>
      </c>
      <c r="AO450" s="8" t="str">
        <v>1S01 / 米色羊京绒 / 6574</v>
      </c>
      <c r="AP450" s="11" t="n">
        <v>0.8729500662042875</v>
      </c>
      <c r="AQ450" s="11" t="n">
        <v>0.8729500662042875</v>
      </c>
      <c r="AR450" s="11" t="n">
        <v>1.0921363354767095</v>
      </c>
      <c r="AS450" s="11" t="n">
        <f>IF(AND(COUNT(I450:K450,AP450:AR450)=6,MIN(AP450:AR450)&gt;0),I450/7/AP450*0.5+J450/14/AQ450*0.3+K450/30/AR450*0.2,"")</f>
        <v>0.3044372978694979</v>
      </c>
      <c r="AT450" s="8" t="n">
        <v>31</v>
      </c>
      <c r="AU450" s="8" t="n">
        <v>3</v>
      </c>
      <c r="AV450" s="8" t="n">
        <v>88</v>
      </c>
      <c r="AW450" s="11" t="n">
        <f>IF(AND(COUNT(AT450:AV450)=3,AT450&gt;=AU450,AU450&gt;=0,AV450&gt;0),(AT450-AU450)/AV450,"")</f>
        <v>0.3181818181818182</v>
      </c>
      <c r="AX450" s="8" t="n">
        <v>51</v>
      </c>
      <c r="AY450" s="8" t="n">
        <v>3</v>
      </c>
      <c r="AZ450" s="8" t="n">
        <v>178</v>
      </c>
      <c r="BA450" s="11" t="n">
        <f>IF(AND(COUNT(AX450:AZ450)=3,AX450&gt;=AY450,AY450&gt;=0,AZ450&gt;0),(AX450-AY450)/AZ450,"")</f>
        <v>0.2696629213483146</v>
      </c>
      <c r="BB450" s="8" t="n">
        <f>IF(COUNT(AS450,AW450,BA450)=3,1,0)</f>
        <v>1</v>
      </c>
      <c r="BC450" s="11" t="n">
        <f>IF(SUMIF($AO$11:$AO$1309,AO450,$BB$11:$BB$1309)=COUNTIF($AO$11:$AO$1309,AO450),SUMIF($AO$11:$AO$1309,AO450,$AS$11:$AS$1309),"")</f>
        <v>7.573401752019576</v>
      </c>
      <c r="BD450" s="11" t="n">
        <f>IF(SUMIF($AO$11:$AO$1309,AO450,$BB$11:$BB$1309)=COUNTIF($AO$11:$AO$1309,AO450),SUMIF($AO$11:$AO$1309,AO450,$AW$11:$AW$1309),"")</f>
        <v>7.579545454545455</v>
      </c>
      <c r="BE450" s="11" t="n">
        <f>IF(SUMIF($AO$11:$AO$1309,AO450,$BB$11:$BB$1309)=COUNTIF($AO$11:$AO$1309,AO450),SUMIF($AO$11:$AO$1309,AO450,$BA$11:$BA$1309),"")</f>
        <v>5.354028892455858</v>
      </c>
      <c r="BF450" s="12" t="n">
        <f>IF(COUNT(BD450:BE450)&lt;&gt;2,"",IF(AND(BD450&gt;0,BE450&gt;0),0.7*AW450/BD450+0.3*BA450/BE450,IF(BD450&gt;0,AW450/BD450,IF(BE450&gt;0,BA450/BE450,IF(AND(ISNUMBER(BH450),BH450=0),0,"")))))</f>
        <v>0.04449521392872979</v>
      </c>
      <c r="BG450" s="11" t="n">
        <f>IF(AND(COUNT(BN450:BU450)=8,MIN(BN450:BU450)&gt;=0),SUMPRODUCT(BN450:BQ450,BR450:BU450),"")</f>
        <v>63.935996265425516</v>
      </c>
      <c r="BH450" s="11" t="n">
        <f>IF(COUNT(BC450,BG450)=2,BC450*BG450,"")</f>
        <v>484.21298613369066</v>
      </c>
      <c r="BI450" s="11" t="n">
        <f>IF(ISNUMBER(CI450),CI450,"")</f>
        <v>21.545160405087636</v>
      </c>
      <c r="BJ450" s="8" t="str"/>
      <c r="BK450" s="8" t="str">
        <v>90天：2026-07-20 至 2026-10-17；180天：2026-04-21 至 2026-10-17</v>
      </c>
      <c r="BL450" s="8" t="str">
        <v>90天：2026-10-06、2026-10-07；180天：2026-10-06、2026-10-07</v>
      </c>
      <c r="BM450" s="8" t="str">
        <v>2026-10：12天 × 0.8729500662042875；2026-11：30天 × 0.8057375774163482；2026-12：31天 × 0.532550303142279；2027-01：17天 × 0.7517299265337036</v>
      </c>
      <c r="BN450" s="11" t="n">
        <v>0.8729500662042875</v>
      </c>
      <c r="BO450" s="11" t="n">
        <v>0.8057375774163482</v>
      </c>
      <c r="BP450" s="11" t="n">
        <v>0.532550303142279</v>
      </c>
      <c r="BQ450" s="11" t="n">
        <v>0.7517299265337036</v>
      </c>
      <c r="BR450" s="8" t="n">
        <v>12</v>
      </c>
      <c r="BS450" s="8" t="n">
        <v>30</v>
      </c>
      <c r="BT450" s="8" t="n">
        <v>31</v>
      </c>
      <c r="BU450" s="8" t="n">
        <v>17</v>
      </c>
      <c r="BV450" s="11" t="n">
        <f>IF(COUNT(BC450,BF450)=2,BC450*BF450,"")</f>
        <v>0.33698013112432806</v>
      </c>
      <c r="BW450" s="11" t="n">
        <f>IF(ISNUMBER(BN450),BN450,"")</f>
        <v>0.8729500662042875</v>
      </c>
      <c r="BX450" s="14" t="n">
        <f>IF(ISNUMBER(BR450),BR450,"")</f>
        <v>12</v>
      </c>
      <c r="BY450" s="13" t="n">
        <f>IF(AND(COUNT(BV450,BW450,BX450)=3,MIN(BV450,BW450,BX450)&gt;=0),BV450*BW450*BX450,"")</f>
        <v>3.5300019332941397</v>
      </c>
      <c r="BZ450" s="11" t="n">
        <f>IF(ISNUMBER(BO450),BO450,"")</f>
        <v>0.8057375774163482</v>
      </c>
      <c r="CA450" s="14" t="n">
        <f>IF(ISNUMBER(BS450),BS450,"")</f>
        <v>30</v>
      </c>
      <c r="CB450" s="13" t="n">
        <f>IF(AND(COUNT(BV450,BZ450,CA450)=3,MIN(BV450,BZ450,CA450)&gt;=0),BV450*BZ450*CA450,"")</f>
        <v>8.145526634686783</v>
      </c>
      <c r="CC450" s="11" t="n">
        <f>IF(ISNUMBER(BP450),BP450,"")</f>
        <v>0.532550303142279</v>
      </c>
      <c r="CD450" s="14" t="n">
        <f>IF(ISNUMBER(BT450),BT450,"")</f>
        <v>31</v>
      </c>
      <c r="CE450" s="13" t="n">
        <f>IF(AND(COUNT(BV450,CC450,CD450)=3,MIN(BV450,CC450,CD450)&gt;=0),BV450*CC450*CD450,"")</f>
        <v>5.563225000478762</v>
      </c>
      <c r="CF450" s="11" t="n">
        <f>IF(ISNUMBER(BQ450),BQ450,"")</f>
        <v>0.7517299265337036</v>
      </c>
      <c r="CG450" s="14" t="n">
        <f>IF(ISNUMBER(BU450),BU450,"")</f>
        <v>17</v>
      </c>
      <c r="CH450" s="13" t="n">
        <f>IF(AND(COUNT(BV450,CF450,CG450)=3,MIN(BV450,CF450,CG450)&gt;=0),BV450*CF450*CG450,"")</f>
        <v>4.306406836627952</v>
      </c>
      <c r="CI450" s="13" t="n">
        <f>IF(COUNT(BY450,CB450,CE450,CH450)=4,SUM(BY450,CB450,CE450,CH450),"")</f>
        <v>21.545160405087636</v>
      </c>
    </row>
    <row r="451" ht="72" customHeight="1">
      <c r="A451" s="16" t="str">
        <v>1S01-BKP-36</v>
      </c>
      <c r="B451" s="16" t="str">
        <v>3店-SANDIEX-US</v>
      </c>
      <c r="C451" s="16" t="str">
        <v>徐新怡</v>
      </c>
      <c r="D451" s="26" t="n">
        <f>IF(NOT(ISNUMBER(E451)),"",IF(OR(E451&lt;=0,L451=0),0,IF(OR(NOT(ISNUMBER(F451)),F451&lt;0),"",MIN(E451,INT(F451)))))</f>
        <v>0</v>
      </c>
      <c r="E451" s="27" t="n">
        <f>IF(OR(NOT(ISNUMBER(L451)),COUNT(M451:O451)&lt;&gt;3,MIN(M451:O451)&lt;0),"",ROUNDUP(ROUND(BI451-SUM(M451:O451),10),0))</f>
        <v>0</v>
      </c>
      <c r="F451" s="28"/>
      <c r="G451" s="28" t="n">
        <f>IF(AND(ISNUMBER(D451),ISNUMBER(E451)),IF(OR(E451&lt;=0,L451=0),0,E451-D451),"")</f>
        <v>0</v>
      </c>
      <c r="H451" s="16" t="str">
        <f>IF(NOT(ISNUMBER(E451)),"销量或海外库存待补",IF(OR(E451&lt;=0,L451=0),IF(L451=0,"零日销，本批不发","本批无需补货"),IF(NOT(ISNUMBER(D451)),"国内库存待补",IF(D451=0,"国内无可用库存",IF(G451&gt;0,"先发国内现货","按建议量发货")))))</f>
        <v>零日销，本批不发</v>
      </c>
      <c r="I451" s="28" t="n">
        <f>IF(AND(COUNT(Z451,AA451,AB451)=3,Z451&gt;=AA451,AA451&gt;=0,AB451=7),Z451-AA451,"")</f>
        <v>0</v>
      </c>
      <c r="J451" s="28" t="n">
        <f>IF(AND(COUNT(AF451,AG451,AH451)=3,AF451&gt;=AG451,AG451&gt;=0,AH451=14),AF451-AG451,"")</f>
        <v>0</v>
      </c>
      <c r="K451" s="28" t="n">
        <f>IF(AND(COUNT(AL451,AM451,AN451)=3,AL451&gt;=AM451,AM451&gt;=0,AN451=30),AL451-AM451,"")</f>
        <v>0</v>
      </c>
      <c r="L451" s="29" t="n">
        <f>IF(ISNUMBER(BI451),BI451/90,"")</f>
        <v>0</v>
      </c>
      <c r="M451" s="28" t="n">
        <v>0</v>
      </c>
      <c r="N451" s="28" t="n">
        <v>0</v>
      </c>
      <c r="O451" s="28" t="n">
        <v>0</v>
      </c>
      <c r="P451" s="30" t="str">
        <f>IF(AND(ISNUMBER(L451),L451&gt;0,COUNT(M451:O451)=3,MIN(M451:O451)&gt;=0),SUM(M451:O451)/L451,"")</f>
      </c>
      <c r="Q451" s="16" t="str">
        <v>沿用同SPU原计划店铺</v>
      </c>
      <c r="R451" s="16" t="str">
        <v>未匹配</v>
      </c>
      <c r="S451" s="16" t="str">
        <v>停售</v>
      </c>
      <c r="T451" s="16" t="str">
        <v>1S01</v>
      </c>
      <c r="U451" s="16" t="str">
        <v>黑色</v>
      </c>
      <c r="V451" s="16" t="n">
        <v>5</v>
      </c>
      <c r="W451" s="8" t="str">
        <v>2026-10-08 至 2026-10-17</v>
      </c>
      <c r="X451" s="8" t="str">
        <v>2026-10-08、2026-10-09、2026-10-10、2026-10-11、2026-10-14、2026-10-15、2026-10-17</v>
      </c>
      <c r="Y451" s="8" t="str">
        <v>2026-10-12 有记录的停售日；2026-10-13 有记录的停售日；2026-10-16 有记录的停售日</v>
      </c>
      <c r="Z451" s="8" t="n">
        <v>0</v>
      </c>
      <c r="AA451" s="8" t="n">
        <v>0</v>
      </c>
      <c r="AB451" s="8" t="n">
        <v>7</v>
      </c>
      <c r="AC451" s="8" t="str">
        <v>2026-09-29 至 2026-10-17</v>
      </c>
      <c r="AD451" s="8" t="str">
        <v>2026-09-29、2026-09-30、2026-10-01、2026-10-02、2026-10-03、2026-10-04、2026-10-05、2026-10-08、2026-10-09、2026-10-10、2026-10-11、2026-10-14、2026-10-15、2026-10-17</v>
      </c>
      <c r="AE451" s="8" t="str">
        <v>2026-10-06 大促；2026-10-07 大促；2026-10-12 有记录的停售日；2026-10-13 有记录的停售日；2026-10-16 有记录的停售日</v>
      </c>
      <c r="AF451" s="8" t="n">
        <v>0</v>
      </c>
      <c r="AG451" s="8" t="n">
        <v>0</v>
      </c>
      <c r="AH451" s="8" t="n">
        <v>14</v>
      </c>
      <c r="AI451" s="8" t="str">
        <v>2026-09-13 至 2026-10-17</v>
      </c>
      <c r="AJ4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1" s="8" t="str">
        <v>2026-10-06 大促；2026-10-07 大促；2026-10-12 有记录的停售日；2026-10-13 有记录的停售日；2026-10-16 有记录的停售日</v>
      </c>
      <c r="AL451" s="8" t="n">
        <v>0</v>
      </c>
      <c r="AM451" s="8" t="n">
        <v>0</v>
      </c>
      <c r="AN451" s="8" t="n">
        <v>30</v>
      </c>
      <c r="AO451" s="8" t="str">
        <v>1S01 / 黑色PU / 6574</v>
      </c>
      <c r="AP451" s="11" t="n">
        <v>0.8729500662042875</v>
      </c>
      <c r="AQ451" s="11" t="n">
        <v>0.9355747145678367</v>
      </c>
      <c r="AR451" s="11" t="n">
        <v>1.135973589331194</v>
      </c>
      <c r="AS451" s="11" t="n">
        <f>IF(AND(COUNT(I451:K451,AP451:AR451)=6,MIN(AP451:AR451)&gt;0),I451/7/AP451*0.5+J451/14/AQ451*0.3+K451/30/AR451*0.2,"")</f>
        <v>0</v>
      </c>
      <c r="AT451" s="8" t="n">
        <v>0</v>
      </c>
      <c r="AU451" s="8" t="n">
        <v>0</v>
      </c>
      <c r="AV451" s="8" t="n">
        <v>85</v>
      </c>
      <c r="AW451" s="11" t="n">
        <f>IF(AND(COUNT(AT451:AV451)=3,AT451&gt;=AU451,AU451&gt;=0,AV451&gt;0),(AT451-AU451)/AV451,"")</f>
        <v>0</v>
      </c>
      <c r="AX451" s="8" t="n">
        <v>0</v>
      </c>
      <c r="AY451" s="8" t="n">
        <v>0</v>
      </c>
      <c r="AZ451" s="8" t="n">
        <v>175</v>
      </c>
      <c r="BA451" s="11" t="n">
        <f>IF(AND(COUNT(AX451:AZ451)=3,AX451&gt;=AY451,AY451&gt;=0,AZ451&gt;0),(AX451-AY451)/AZ451,"")</f>
        <v>0</v>
      </c>
      <c r="BB451" s="8" t="n">
        <f>IF(COUNT(AS451,AW451,BA451)=3,1,0)</f>
        <v>1</v>
      </c>
      <c r="BC451" s="11" t="n">
        <f>IF(SUMIF($AO$11:$AO$1309,AO451,$BB$11:$BB$1309)=COUNTIF($AO$11:$AO$1309,AO451),SUMIF($AO$11:$AO$1309,AO451,$AS$11:$AS$1309),"")</f>
        <v>0.35366223656175183</v>
      </c>
      <c r="BD451" s="11" t="n">
        <f>IF(SUMIF($AO$11:$AO$1309,AO451,$BB$11:$BB$1309)=COUNTIF($AO$11:$AO$1309,AO451),SUMIF($AO$11:$AO$1309,AO451,$AW$11:$AW$1309),"")</f>
        <v>0.25</v>
      </c>
      <c r="BE451" s="11" t="n">
        <f>IF(SUMIF($AO$11:$AO$1309,AO451,$BB$11:$BB$1309)=COUNTIF($AO$11:$AO$1309,AO451),SUMIF($AO$11:$AO$1309,AO451,$BA$11:$BA$1309),"")</f>
        <v>0.3330016051364366</v>
      </c>
      <c r="BF451" s="12" t="n">
        <f>IF(COUNT(BD451:BE451)&lt;&gt;2,"",IF(AND(BD451&gt;0,BE451&gt;0),0.7*AW451/BD451+0.3*BA451/BE451,IF(BD451&gt;0,AW451/BD451,IF(BE451&gt;0,BA451/BE451,IF(AND(ISNUMBER(BH451),BH451=0),0,"")))))</f>
        <v>0</v>
      </c>
      <c r="BG451" s="11" t="n">
        <f>IF(AND(COUNT(BN451:BU451)=8,MIN(BN451:BU451)&gt;=0),SUMPRODUCT(BN451:BQ451,BR451:BU451),"")</f>
        <v>63.935996265425516</v>
      </c>
      <c r="BH451" s="11" t="n">
        <f>IF(COUNT(BC451,BG451)=2,BC451*BG451,"")</f>
        <v>22.6117474360342</v>
      </c>
      <c r="BI451" s="11" t="n">
        <f>IF(ISNUMBER(CI451),CI451,"")</f>
        <v>0</v>
      </c>
      <c r="BJ451" s="8" t="str"/>
      <c r="BK451" s="8" t="str">
        <v>90天：2026-07-20 至 2026-10-17；180天：2026-04-21 至 2026-10-17</v>
      </c>
      <c r="BL451" s="8" t="str">
        <v>90天：2026-10-06、2026-10-07、2026-10-12、2026-10-13、2026-10-16；180天：2026-10-06、2026-10-07、2026-10-12、2026-10-13、2026-10-16</v>
      </c>
      <c r="BM451" s="8" t="str">
        <v>2026-10：12天 × 0.8729500662042875；2026-11：30天 × 0.8057375774163482；2026-12：31天 × 0.532550303142279；2027-01：17天 × 0.7517299265337036</v>
      </c>
      <c r="BN451" s="11" t="n">
        <v>0.8729500662042875</v>
      </c>
      <c r="BO451" s="11" t="n">
        <v>0.8057375774163482</v>
      </c>
      <c r="BP451" s="11" t="n">
        <v>0.532550303142279</v>
      </c>
      <c r="BQ451" s="11" t="n">
        <v>0.7517299265337036</v>
      </c>
      <c r="BR451" s="8" t="n">
        <v>12</v>
      </c>
      <c r="BS451" s="8" t="n">
        <v>30</v>
      </c>
      <c r="BT451" s="8" t="n">
        <v>31</v>
      </c>
      <c r="BU451" s="8" t="n">
        <v>17</v>
      </c>
      <c r="BV451" s="11" t="n">
        <f>IF(COUNT(BC451,BF451)=2,BC451*BF451,"")</f>
        <v>0</v>
      </c>
      <c r="BW451" s="11" t="n">
        <f>IF(ISNUMBER(BN451),BN451,"")</f>
        <v>0.8729500662042875</v>
      </c>
      <c r="BX451" s="14" t="n">
        <f>IF(ISNUMBER(BR451),BR451,"")</f>
        <v>12</v>
      </c>
      <c r="BY451" s="13" t="n">
        <f>IF(AND(COUNT(BV451,BW451,BX451)=3,MIN(BV451,BW451,BX451)&gt;=0),BV451*BW451*BX451,"")</f>
        <v>0</v>
      </c>
      <c r="BZ451" s="11" t="n">
        <f>IF(ISNUMBER(BO451),BO451,"")</f>
        <v>0.8057375774163482</v>
      </c>
      <c r="CA451" s="14" t="n">
        <f>IF(ISNUMBER(BS451),BS451,"")</f>
        <v>30</v>
      </c>
      <c r="CB451" s="13" t="n">
        <f>IF(AND(COUNT(BV451,BZ451,CA451)=3,MIN(BV451,BZ451,CA451)&gt;=0),BV451*BZ451*CA451,"")</f>
        <v>0</v>
      </c>
      <c r="CC451" s="11" t="n">
        <f>IF(ISNUMBER(BP451),BP451,"")</f>
        <v>0.532550303142279</v>
      </c>
      <c r="CD451" s="14" t="n">
        <f>IF(ISNUMBER(BT451),BT451,"")</f>
        <v>31</v>
      </c>
      <c r="CE451" s="13" t="n">
        <f>IF(AND(COUNT(BV451,CC451,CD451)=3,MIN(BV451,CC451,CD451)&gt;=0),BV451*CC451*CD451,"")</f>
        <v>0</v>
      </c>
      <c r="CF451" s="11" t="n">
        <f>IF(ISNUMBER(BQ451),BQ451,"")</f>
        <v>0.7517299265337036</v>
      </c>
      <c r="CG451" s="14" t="n">
        <f>IF(ISNUMBER(BU451),BU451,"")</f>
        <v>17</v>
      </c>
      <c r="CH451" s="13" t="n">
        <f>IF(AND(COUNT(BV451,CF451,CG451)=3,MIN(BV451,CF451,CG451)&gt;=0),BV451*CF451*CG451,"")</f>
        <v>0</v>
      </c>
      <c r="CI451" s="13" t="n">
        <f>IF(COUNT(BY451,CB451,CE451,CH451)=4,SUM(BY451,CB451,CE451,CH451),"")</f>
        <v>0</v>
      </c>
    </row>
    <row r="452" ht="72" customHeight="1">
      <c r="A452" s="16" t="str">
        <v>1S01-BKP-37</v>
      </c>
      <c r="B452" s="16" t="str">
        <v>3店-SANDIEX-US</v>
      </c>
      <c r="C452" s="16" t="str">
        <v>徐新怡</v>
      </c>
      <c r="D452" s="26" t="n">
        <f>IF(NOT(ISNUMBER(E452)),"",IF(OR(E452&lt;=0,L452=0),0,IF(OR(NOT(ISNUMBER(F452)),F452&lt;0),"",MIN(E452,INT(F452)))))</f>
        <v>0</v>
      </c>
      <c r="E452" s="27" t="n">
        <f>IF(OR(NOT(ISNUMBER(L452)),COUNT(M452:O452)&lt;&gt;3,MIN(M452:O452)&lt;0),"",ROUNDUP(ROUND(BI452-SUM(M452:O452),10),0))</f>
        <v>-11</v>
      </c>
      <c r="F452" s="28" t="n">
        <v>18</v>
      </c>
      <c r="G452" s="28" t="n">
        <f>IF(AND(ISNUMBER(D452),ISNUMBER(E452)),IF(OR(E452&lt;=0,L452=0),0,E452-D452),"")</f>
        <v>0</v>
      </c>
      <c r="H452" s="16" t="str">
        <f>IF(NOT(ISNUMBER(E452)),"销量或海外库存待补",IF(OR(E452&lt;=0,L452=0),IF(L452=0,"零日销，本批不发","本批无需补货"),IF(NOT(ISNUMBER(D452)),"国内库存待补",IF(D452=0,"国内无可用库存",IF(G452&gt;0,"先发国内现货","按建议量发货")))))</f>
        <v>本批无需补货</v>
      </c>
      <c r="I452" s="28" t="n">
        <f>IF(AND(COUNT(Z452,AA452,AB452)=3,Z452&gt;=AA452,AA452&gt;=0,AB452=7),Z452-AA452,"")</f>
        <v>1</v>
      </c>
      <c r="J452" s="28" t="n">
        <f>IF(AND(COUNT(AF452,AG452,AH452)=3,AF452&gt;=AG452,AG452&gt;=0,AH452=14),AF452-AG452,"")</f>
        <v>1</v>
      </c>
      <c r="K452" s="28" t="n">
        <f>IF(AND(COUNT(AL452,AM452,AN452)=3,AL452&gt;=AM452,AM452&gt;=0,AN452=30),AL452-AM452,"")</f>
        <v>1</v>
      </c>
      <c r="L452" s="29" t="n">
        <f>IF(ISNUMBER(BI452),BI452/90,"")</f>
        <v>0.030340098145557624</v>
      </c>
      <c r="M452" s="28" t="n">
        <v>13</v>
      </c>
      <c r="N452" s="28" t="n">
        <v>0</v>
      </c>
      <c r="O452" s="28" t="n">
        <v>0</v>
      </c>
      <c r="P452" s="30" t="n">
        <f>IF(AND(ISNUMBER(L452),L452&gt;0,COUNT(M452:O452)=3,MIN(M452:O452)&gt;=0),SUM(M452:O452)/L452,"")</f>
        <v>428.4758716874306</v>
      </c>
      <c r="Q452" s="16" t="str">
        <v>沿用原计划SKU店铺</v>
      </c>
      <c r="R452" s="16" t="str">
        <v>已匹配</v>
      </c>
      <c r="S452" s="16" t="str">
        <v>在售</v>
      </c>
      <c r="T452" s="16" t="str">
        <v>1S01</v>
      </c>
      <c r="U452" s="16" t="str">
        <v>黑色</v>
      </c>
      <c r="V452" s="16" t="n">
        <v>6</v>
      </c>
      <c r="W452" s="8" t="str">
        <v>2026-10-11 至 2026-10-17</v>
      </c>
      <c r="X452" s="8" t="str">
        <v>2026-10-11、2026-10-12、2026-10-13、2026-10-14、2026-10-15、2026-10-16、2026-10-17</v>
      </c>
      <c r="Y452" s="8" t="str">
        <v>无</v>
      </c>
      <c r="Z452" s="8" t="n">
        <v>1</v>
      </c>
      <c r="AA452" s="8" t="n">
        <v>0</v>
      </c>
      <c r="AB452" s="8" t="n">
        <v>7</v>
      </c>
      <c r="AC452" s="8" t="str">
        <v>2026-10-02 至 2026-10-17</v>
      </c>
      <c r="AD452" s="8" t="str">
        <v>2026-10-02、2026-10-03、2026-10-04、2026-10-05、2026-10-08、2026-10-09、2026-10-10、2026-10-11、2026-10-12、2026-10-13、2026-10-14、2026-10-15、2026-10-16、2026-10-17</v>
      </c>
      <c r="AE452" s="8" t="str">
        <v>2026-10-06 大促；2026-10-07 大促</v>
      </c>
      <c r="AF452" s="8" t="n">
        <v>2</v>
      </c>
      <c r="AG452" s="8" t="n">
        <v>1</v>
      </c>
      <c r="AH452" s="8" t="n">
        <v>14</v>
      </c>
      <c r="AI452" s="8" t="str">
        <v>2026-09-16 至 2026-10-17</v>
      </c>
      <c r="AJ4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52" s="8" t="str">
        <v>2026-10-06 大促；2026-10-07 大促</v>
      </c>
      <c r="AL452" s="8" t="n">
        <v>2</v>
      </c>
      <c r="AM452" s="8" t="n">
        <v>1</v>
      </c>
      <c r="AN452" s="8" t="n">
        <v>30</v>
      </c>
      <c r="AO452" s="8" t="str">
        <v>1S01 / 黑色PU / 6574</v>
      </c>
      <c r="AP452" s="11" t="n">
        <v>0.8729500662042875</v>
      </c>
      <c r="AQ452" s="11" t="n">
        <v>0.8729500662042875</v>
      </c>
      <c r="AR452" s="11" t="n">
        <v>1.0921363354767095</v>
      </c>
      <c r="AS452" s="11" t="n">
        <f>IF(AND(COUNT(I452:K452,AP452:AR452)=6,MIN(AP452:AR452)&gt;0),I452/7/AP452*0.5+J452/14/AQ452*0.3+K452/30/AR452*0.2,"")</f>
        <v>0.1124758985160759</v>
      </c>
      <c r="AT452" s="8" t="n">
        <v>4</v>
      </c>
      <c r="AU452" s="8" t="n">
        <v>1</v>
      </c>
      <c r="AV452" s="8" t="n">
        <v>88</v>
      </c>
      <c r="AW452" s="11" t="n">
        <f>IF(AND(COUNT(AT452:AV452)=3,AT452&gt;=AU452,AU452&gt;=0,AV452&gt;0),(AT452-AU452)/AV452,"")</f>
        <v>0.03409090909090909</v>
      </c>
      <c r="AX452" s="8" t="n">
        <v>6</v>
      </c>
      <c r="AY452" s="8" t="n">
        <v>1</v>
      </c>
      <c r="AZ452" s="8" t="n">
        <v>178</v>
      </c>
      <c r="BA452" s="11" t="n">
        <f>IF(AND(COUNT(AX452:AZ452)=3,AX452&gt;=AY452,AY452&gt;=0,AZ452&gt;0),(AX452-AY452)/AZ452,"")</f>
        <v>0.028089887640449437</v>
      </c>
      <c r="BB452" s="8" t="n">
        <f>IF(COUNT(AS452,AW452,BA452)=3,1,0)</f>
        <v>1</v>
      </c>
      <c r="BC452" s="11" t="n">
        <f>IF(SUMIF($AO$11:$AO$1309,AO452,$BB$11:$BB$1309)=COUNTIF($AO$11:$AO$1309,AO452),SUMIF($AO$11:$AO$1309,AO452,$AS$11:$AS$1309),"")</f>
        <v>0.35366223656175183</v>
      </c>
      <c r="BD452" s="11" t="n">
        <f>IF(SUMIF($AO$11:$AO$1309,AO452,$BB$11:$BB$1309)=COUNTIF($AO$11:$AO$1309,AO452),SUMIF($AO$11:$AO$1309,AO452,$AW$11:$AW$1309),"")</f>
        <v>0.25</v>
      </c>
      <c r="BE452" s="11" t="n">
        <f>IF(SUMIF($AO$11:$AO$1309,AO452,$BB$11:$BB$1309)=COUNTIF($AO$11:$AO$1309,AO452),SUMIF($AO$11:$AO$1309,AO452,$BA$11:$BA$1309),"")</f>
        <v>0.3330016051364366</v>
      </c>
      <c r="BF452" s="12" t="n">
        <f>IF(COUNT(BD452:BE452)&lt;&gt;2,"",IF(AND(BD452&gt;0,BE452&gt;0),0.7*AW452/BD452+0.3*BA452/BE452,IF(BD452&gt;0,AW452/BD452,IF(BE452&gt;0,BA452/BE452,IF(AND(ISNUMBER(BH452),BH452=0),0,"")))))</f>
        <v>0.12076062855490213</v>
      </c>
      <c r="BG452" s="11" t="n">
        <f>IF(AND(COUNT(BN452:BU452)=8,MIN(BN452:BU452)&gt;=0),SUMPRODUCT(BN452:BQ452,BR452:BU452),"")</f>
        <v>63.935996265425516</v>
      </c>
      <c r="BH452" s="11" t="n">
        <f>IF(COUNT(BC452,BG452)=2,BC452*BG452,"")</f>
        <v>22.6117474360342</v>
      </c>
      <c r="BI452" s="11" t="n">
        <f>IF(ISNUMBER(CI452),CI452,"")</f>
        <v>2.7306088331001863</v>
      </c>
      <c r="BJ452" s="8" t="str"/>
      <c r="BK452" s="8" t="str">
        <v>90天：2026-07-20 至 2026-10-17；180天：2026-04-21 至 2026-10-17</v>
      </c>
      <c r="BL452" s="8" t="str">
        <v>90天：2026-10-06、2026-10-07；180天：2026-10-06、2026-10-07</v>
      </c>
      <c r="BM452" s="8" t="str">
        <v>2026-10：12天 × 0.8729500662042875；2026-11：30天 × 0.8057375774163482；2026-12：31天 × 0.532550303142279；2027-01：17天 × 0.7517299265337036</v>
      </c>
      <c r="BN452" s="11" t="n">
        <v>0.8729500662042875</v>
      </c>
      <c r="BO452" s="11" t="n">
        <v>0.8057375774163482</v>
      </c>
      <c r="BP452" s="11" t="n">
        <v>0.532550303142279</v>
      </c>
      <c r="BQ452" s="11" t="n">
        <v>0.7517299265337036</v>
      </c>
      <c r="BR452" s="8" t="n">
        <v>12</v>
      </c>
      <c r="BS452" s="8" t="n">
        <v>30</v>
      </c>
      <c r="BT452" s="8" t="n">
        <v>31</v>
      </c>
      <c r="BU452" s="8" t="n">
        <v>17</v>
      </c>
      <c r="BV452" s="11" t="n">
        <f>IF(COUNT(BC452,BF452)=2,BC452*BF452,"")</f>
        <v>0.042708473983329644</v>
      </c>
      <c r="BW452" s="11" t="n">
        <f>IF(ISNUMBER(BN452),BN452,"")</f>
        <v>0.8729500662042875</v>
      </c>
      <c r="BX452" s="14" t="n">
        <f>IF(ISNUMBER(BR452),BR452,"")</f>
        <v>12</v>
      </c>
      <c r="BY452" s="13" t="n">
        <f>IF(AND(COUNT(BV452,BW452,BX452)=3,MIN(BV452,BW452,BX452)&gt;=0),BV452*BW452*BX452,"")</f>
        <v>0.4473883822947804</v>
      </c>
      <c r="BZ452" s="11" t="n">
        <f>IF(ISNUMBER(BO452),BO452,"")</f>
        <v>0.8057375774163482</v>
      </c>
      <c r="CA452" s="14" t="n">
        <f>IF(ISNUMBER(BS452),BS452,"")</f>
        <v>30</v>
      </c>
      <c r="CB452" s="13" t="n">
        <f>IF(AND(COUNT(BV452,BZ452,CA452)=3,MIN(BV452,BZ452,CA452)&gt;=0),BV452*BZ452*CA452,"")</f>
        <v>1.0323546708743148</v>
      </c>
      <c r="CC452" s="11" t="n">
        <f>IF(ISNUMBER(BP452),BP452,"")</f>
        <v>0.532550303142279</v>
      </c>
      <c r="CD452" s="14" t="n">
        <f>IF(ISNUMBER(BT452),BT452,"")</f>
        <v>31</v>
      </c>
      <c r="CE452" s="13" t="n">
        <f>IF(AND(COUNT(BV452,CC452,CD452)=3,MIN(BV452,CC452,CD452)&gt;=0),BV452*CC452*CD452,"")</f>
        <v>0.7050767337635565</v>
      </c>
      <c r="CF452" s="11" t="n">
        <f>IF(ISNUMBER(BQ452),BQ452,"")</f>
        <v>0.7517299265337036</v>
      </c>
      <c r="CG452" s="14" t="n">
        <f>IF(ISNUMBER(BU452),BU452,"")</f>
        <v>17</v>
      </c>
      <c r="CH452" s="13" t="n">
        <f>IF(AND(COUNT(BV452,CF452,CG452)=3,MIN(BV452,CF452,CG452)&gt;=0),BV452*CF452*CG452,"")</f>
        <v>0.5457890461675348</v>
      </c>
      <c r="CI452" s="13" t="n">
        <f>IF(COUNT(BY452,CB452,CE452,CH452)=4,SUM(BY452,CB452,CE452,CH452),"")</f>
        <v>2.7306088331001863</v>
      </c>
    </row>
    <row r="453" ht="72" customHeight="1">
      <c r="A453" s="16" t="str">
        <v>1S01-BKP-37.5</v>
      </c>
      <c r="B453" s="16" t="str">
        <v>3店-SANDIEX-US</v>
      </c>
      <c r="C453" s="16" t="str">
        <v>徐新怡</v>
      </c>
      <c r="D453" s="26" t="n">
        <f>IF(NOT(ISNUMBER(E453)),"",IF(OR(E453&lt;=0,L453=0),0,IF(OR(NOT(ISNUMBER(F453)),F453&lt;0),"",MIN(E453,INT(F453)))))</f>
        <v>0</v>
      </c>
      <c r="E453" s="27" t="n">
        <f>IF(OR(NOT(ISNUMBER(L453)),COUNT(M453:O453)&lt;&gt;3,MIN(M453:O453)&lt;0),"",ROUNDUP(ROUND(BI453-SUM(M453:O453),10),0))</f>
        <v>0</v>
      </c>
      <c r="F453" s="28" t="n">
        <v>0</v>
      </c>
      <c r="G453" s="28" t="n">
        <f>IF(AND(ISNUMBER(D453),ISNUMBER(E453)),IF(OR(E453&lt;=0,L453=0),0,E453-D453),"")</f>
        <v>0</v>
      </c>
      <c r="H453" s="16" t="str">
        <f>IF(NOT(ISNUMBER(E453)),"销量或海外库存待补",IF(OR(E453&lt;=0,L453=0),IF(L453=0,"零日销，本批不发","本批无需补货"),IF(NOT(ISNUMBER(D453)),"国内库存待补",IF(D453=0,"国内无可用库存",IF(G453&gt;0,"先发国内现货","按建议量发货")))))</f>
        <v>零日销，本批不发</v>
      </c>
      <c r="I453" s="28" t="n">
        <f>IF(AND(COUNT(Z453,AA453,AB453)=3,Z453&gt;=AA453,AA453&gt;=0,AB453=7),Z453-AA453,"")</f>
        <v>0</v>
      </c>
      <c r="J453" s="28" t="n">
        <f>IF(AND(COUNT(AF453,AG453,AH453)=3,AF453&gt;=AG453,AG453&gt;=0,AH453=14),AF453-AG453,"")</f>
        <v>0</v>
      </c>
      <c r="K453" s="28" t="n">
        <f>IF(AND(COUNT(AL453,AM453,AN453)=3,AL453&gt;=AM453,AM453&gt;=0,AN453=30),AL453-AM453,"")</f>
        <v>0</v>
      </c>
      <c r="L453" s="29" t="n">
        <f>IF(ISNUMBER(BI453),BI453/90,"")</f>
        <v>0</v>
      </c>
      <c r="M453" s="28" t="n">
        <v>0</v>
      </c>
      <c r="N453" s="28" t="n">
        <v>0</v>
      </c>
      <c r="O453" s="28" t="n">
        <v>0</v>
      </c>
      <c r="P453" s="30" t="str">
        <f>IF(AND(ISNUMBER(L453),L453&gt;0,COUNT(M453:O453)=3,MIN(M453:O453)&gt;=0),SUM(M453:O453)/L453,"")</f>
      </c>
      <c r="Q453" s="16" t="str">
        <v>沿用同SPU原计划店铺</v>
      </c>
      <c r="R453" s="16" t="str">
        <v>已匹配</v>
      </c>
      <c r="S453" s="16" t="str">
        <v>停售</v>
      </c>
      <c r="T453" s="16" t="str">
        <v>1S01</v>
      </c>
      <c r="U453" s="16" t="str">
        <v>黑色</v>
      </c>
      <c r="V453" s="16" t="n">
        <v>6.5</v>
      </c>
      <c r="W453" s="8" t="str">
        <v>2026-10-08 至 2026-10-17</v>
      </c>
      <c r="X453" s="8" t="str">
        <v>2026-10-08、2026-10-09、2026-10-10、2026-10-11、2026-10-14、2026-10-15、2026-10-17</v>
      </c>
      <c r="Y453" s="8" t="str">
        <v>2026-10-12 有记录的停售日；2026-10-13 有记录的停售日；2026-10-16 有记录的停售日</v>
      </c>
      <c r="Z453" s="8" t="n">
        <v>0</v>
      </c>
      <c r="AA453" s="8" t="n">
        <v>0</v>
      </c>
      <c r="AB453" s="8" t="n">
        <v>7</v>
      </c>
      <c r="AC453" s="8" t="str">
        <v>2026-09-29 至 2026-10-17</v>
      </c>
      <c r="AD453" s="8" t="str">
        <v>2026-09-29、2026-09-30、2026-10-01、2026-10-02、2026-10-03、2026-10-04、2026-10-05、2026-10-08、2026-10-09、2026-10-10、2026-10-11、2026-10-14、2026-10-15、2026-10-17</v>
      </c>
      <c r="AE453" s="8" t="str">
        <v>2026-10-06 大促；2026-10-07 大促；2026-10-12 有记录的停售日；2026-10-13 有记录的停售日；2026-10-16 有记录的停售日</v>
      </c>
      <c r="AF453" s="8" t="n">
        <v>0</v>
      </c>
      <c r="AG453" s="8" t="n">
        <v>0</v>
      </c>
      <c r="AH453" s="8" t="n">
        <v>14</v>
      </c>
      <c r="AI453" s="8" t="str">
        <v>2026-09-13 至 2026-10-17</v>
      </c>
      <c r="AJ45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3" s="8" t="str">
        <v>2026-10-06 大促；2026-10-07 大促；2026-10-12 有记录的停售日；2026-10-13 有记录的停售日；2026-10-16 有记录的停售日</v>
      </c>
      <c r="AL453" s="8" t="n">
        <v>0</v>
      </c>
      <c r="AM453" s="8" t="n">
        <v>0</v>
      </c>
      <c r="AN453" s="8" t="n">
        <v>30</v>
      </c>
      <c r="AO453" s="8" t="str">
        <v>1S01 / 黑色PU / 6574</v>
      </c>
      <c r="AP453" s="11" t="n">
        <v>0.8729500662042875</v>
      </c>
      <c r="AQ453" s="11" t="n">
        <v>0.9355747145678367</v>
      </c>
      <c r="AR453" s="11" t="n">
        <v>1.135973589331194</v>
      </c>
      <c r="AS453" s="11" t="n">
        <f>IF(AND(COUNT(I453:K453,AP453:AR453)=6,MIN(AP453:AR453)&gt;0),I453/7/AP453*0.5+J453/14/AQ453*0.3+K453/30/AR453*0.2,"")</f>
        <v>0</v>
      </c>
      <c r="AT453" s="8" t="n">
        <v>0</v>
      </c>
      <c r="AU453" s="8" t="n">
        <v>0</v>
      </c>
      <c r="AV453" s="8" t="n">
        <v>85</v>
      </c>
      <c r="AW453" s="11" t="n">
        <f>IF(AND(COUNT(AT453:AV453)=3,AT453&gt;=AU453,AU453&gt;=0,AV453&gt;0),(AT453-AU453)/AV453,"")</f>
        <v>0</v>
      </c>
      <c r="AX453" s="8" t="n">
        <v>0</v>
      </c>
      <c r="AY453" s="8" t="n">
        <v>0</v>
      </c>
      <c r="AZ453" s="8" t="n">
        <v>175</v>
      </c>
      <c r="BA453" s="11" t="n">
        <f>IF(AND(COUNT(AX453:AZ453)=3,AX453&gt;=AY453,AY453&gt;=0,AZ453&gt;0),(AX453-AY453)/AZ453,"")</f>
        <v>0</v>
      </c>
      <c r="BB453" s="8" t="n">
        <f>IF(COUNT(AS453,AW453,BA453)=3,1,0)</f>
        <v>1</v>
      </c>
      <c r="BC453" s="11" t="n">
        <f>IF(SUMIF($AO$11:$AO$1309,AO453,$BB$11:$BB$1309)=COUNTIF($AO$11:$AO$1309,AO453),SUMIF($AO$11:$AO$1309,AO453,$AS$11:$AS$1309),"")</f>
        <v>0.35366223656175183</v>
      </c>
      <c r="BD453" s="11" t="n">
        <f>IF(SUMIF($AO$11:$AO$1309,AO453,$BB$11:$BB$1309)=COUNTIF($AO$11:$AO$1309,AO453),SUMIF($AO$11:$AO$1309,AO453,$AW$11:$AW$1309),"")</f>
        <v>0.25</v>
      </c>
      <c r="BE453" s="11" t="n">
        <f>IF(SUMIF($AO$11:$AO$1309,AO453,$BB$11:$BB$1309)=COUNTIF($AO$11:$AO$1309,AO453),SUMIF($AO$11:$AO$1309,AO453,$BA$11:$BA$1309),"")</f>
        <v>0.3330016051364366</v>
      </c>
      <c r="BF453" s="12" t="n">
        <f>IF(COUNT(BD453:BE453)&lt;&gt;2,"",IF(AND(BD453&gt;0,BE453&gt;0),0.7*AW453/BD453+0.3*BA453/BE453,IF(BD453&gt;0,AW453/BD453,IF(BE453&gt;0,BA453/BE453,IF(AND(ISNUMBER(BH453),BH453=0),0,"")))))</f>
        <v>0</v>
      </c>
      <c r="BG453" s="11" t="n">
        <f>IF(AND(COUNT(BN453:BU453)=8,MIN(BN453:BU453)&gt;=0),SUMPRODUCT(BN453:BQ453,BR453:BU453),"")</f>
        <v>63.935996265425516</v>
      </c>
      <c r="BH453" s="11" t="n">
        <f>IF(COUNT(BC453,BG453)=2,BC453*BG453,"")</f>
        <v>22.6117474360342</v>
      </c>
      <c r="BI453" s="11" t="n">
        <f>IF(ISNUMBER(CI453),CI453,"")</f>
        <v>0</v>
      </c>
      <c r="BJ453" s="8" t="str"/>
      <c r="BK453" s="8" t="str">
        <v>90天：2026-07-20 至 2026-10-17；180天：2026-04-21 至 2026-10-17</v>
      </c>
      <c r="BL453" s="8" t="str">
        <v>90天：2026-10-06、2026-10-07、2026-10-12、2026-10-13、2026-10-16；180天：2026-10-06、2026-10-07、2026-10-12、2026-10-13、2026-10-16</v>
      </c>
      <c r="BM453" s="8" t="str">
        <v>2026-10：12天 × 0.8729500662042875；2026-11：30天 × 0.8057375774163482；2026-12：31天 × 0.532550303142279；2027-01：17天 × 0.7517299265337036</v>
      </c>
      <c r="BN453" s="11" t="n">
        <v>0.8729500662042875</v>
      </c>
      <c r="BO453" s="11" t="n">
        <v>0.8057375774163482</v>
      </c>
      <c r="BP453" s="11" t="n">
        <v>0.532550303142279</v>
      </c>
      <c r="BQ453" s="11" t="n">
        <v>0.7517299265337036</v>
      </c>
      <c r="BR453" s="8" t="n">
        <v>12</v>
      </c>
      <c r="BS453" s="8" t="n">
        <v>30</v>
      </c>
      <c r="BT453" s="8" t="n">
        <v>31</v>
      </c>
      <c r="BU453" s="8" t="n">
        <v>17</v>
      </c>
      <c r="BV453" s="11" t="n">
        <f>IF(COUNT(BC453,BF453)=2,BC453*BF453,"")</f>
        <v>0</v>
      </c>
      <c r="BW453" s="11" t="n">
        <f>IF(ISNUMBER(BN453),BN453,"")</f>
        <v>0.8729500662042875</v>
      </c>
      <c r="BX453" s="14" t="n">
        <f>IF(ISNUMBER(BR453),BR453,"")</f>
        <v>12</v>
      </c>
      <c r="BY453" s="13" t="n">
        <f>IF(AND(COUNT(BV453,BW453,BX453)=3,MIN(BV453,BW453,BX453)&gt;=0),BV453*BW453*BX453,"")</f>
        <v>0</v>
      </c>
      <c r="BZ453" s="11" t="n">
        <f>IF(ISNUMBER(BO453),BO453,"")</f>
        <v>0.8057375774163482</v>
      </c>
      <c r="CA453" s="14" t="n">
        <f>IF(ISNUMBER(BS453),BS453,"")</f>
        <v>30</v>
      </c>
      <c r="CB453" s="13" t="n">
        <f>IF(AND(COUNT(BV453,BZ453,CA453)=3,MIN(BV453,BZ453,CA453)&gt;=0),BV453*BZ453*CA453,"")</f>
        <v>0</v>
      </c>
      <c r="CC453" s="11" t="n">
        <f>IF(ISNUMBER(BP453),BP453,"")</f>
        <v>0.532550303142279</v>
      </c>
      <c r="CD453" s="14" t="n">
        <f>IF(ISNUMBER(BT453),BT453,"")</f>
        <v>31</v>
      </c>
      <c r="CE453" s="13" t="n">
        <f>IF(AND(COUNT(BV453,CC453,CD453)=3,MIN(BV453,CC453,CD453)&gt;=0),BV453*CC453*CD453,"")</f>
        <v>0</v>
      </c>
      <c r="CF453" s="11" t="n">
        <f>IF(ISNUMBER(BQ453),BQ453,"")</f>
        <v>0.7517299265337036</v>
      </c>
      <c r="CG453" s="14" t="n">
        <f>IF(ISNUMBER(BU453),BU453,"")</f>
        <v>17</v>
      </c>
      <c r="CH453" s="13" t="n">
        <f>IF(AND(COUNT(BV453,CF453,CG453)=3,MIN(BV453,CF453,CG453)&gt;=0),BV453*CF453*CG453,"")</f>
        <v>0</v>
      </c>
      <c r="CI453" s="13" t="n">
        <f>IF(COUNT(BY453,CB453,CE453,CH453)=4,SUM(BY453,CB453,CE453,CH453),"")</f>
        <v>0</v>
      </c>
    </row>
    <row r="454" ht="72" customHeight="1">
      <c r="A454" s="16" t="str">
        <v>1S01-BKP-38.5</v>
      </c>
      <c r="B454" s="16" t="str">
        <v>3店-SANDIEX-US</v>
      </c>
      <c r="C454" s="16" t="str">
        <v>徐新怡</v>
      </c>
      <c r="D454" s="26" t="n">
        <f>IF(NOT(ISNUMBER(E454)),"",IF(OR(E454&lt;=0,L454=0),0,IF(OR(NOT(ISNUMBER(F454)),F454&lt;0),"",MIN(E454,INT(F454)))))</f>
        <v>0</v>
      </c>
      <c r="E454" s="27" t="n">
        <f>IF(OR(NOT(ISNUMBER(L454)),COUNT(M454:O454)&lt;&gt;3,MIN(M454:O454)&lt;0),"",ROUNDUP(ROUND(BI454-SUM(M454:O454),10),0))</f>
        <v>0</v>
      </c>
      <c r="F454" s="28" t="n">
        <v>0</v>
      </c>
      <c r="G454" s="28" t="n">
        <f>IF(AND(ISNUMBER(D454),ISNUMBER(E454)),IF(OR(E454&lt;=0,L454=0),0,E454-D454),"")</f>
        <v>0</v>
      </c>
      <c r="H454" s="16" t="str">
        <f>IF(NOT(ISNUMBER(E454)),"销量或海外库存待补",IF(OR(E454&lt;=0,L454=0),IF(L454=0,"零日销，本批不发","本批无需补货"),IF(NOT(ISNUMBER(D454)),"国内库存待补",IF(D454=0,"国内无可用库存",IF(G454&gt;0,"先发国内现货","按建议量发货")))))</f>
        <v>零日销，本批不发</v>
      </c>
      <c r="I454" s="28" t="n">
        <f>IF(AND(COUNT(Z454,AA454,AB454)=3,Z454&gt;=AA454,AA454&gt;=0,AB454=7),Z454-AA454,"")</f>
        <v>0</v>
      </c>
      <c r="J454" s="28" t="n">
        <f>IF(AND(COUNT(AF454,AG454,AH454)=3,AF454&gt;=AG454,AG454&gt;=0,AH454=14),AF454-AG454,"")</f>
        <v>0</v>
      </c>
      <c r="K454" s="28" t="n">
        <f>IF(AND(COUNT(AL454,AM454,AN454)=3,AL454&gt;=AM454,AM454&gt;=0,AN454=30),AL454-AM454,"")</f>
        <v>0</v>
      </c>
      <c r="L454" s="29" t="n">
        <f>IF(ISNUMBER(BI454),BI454/90,"")</f>
        <v>0</v>
      </c>
      <c r="M454" s="28" t="n">
        <v>0</v>
      </c>
      <c r="N454" s="28" t="n">
        <v>0</v>
      </c>
      <c r="O454" s="28" t="n">
        <v>0</v>
      </c>
      <c r="P454" s="30" t="str">
        <f>IF(AND(ISNUMBER(L454),L454&gt;0,COUNT(M454:O454)=3,MIN(M454:O454)&gt;=0),SUM(M454:O454)/L454,"")</f>
      </c>
      <c r="Q454" s="16" t="str">
        <v>沿用原计划SKU店铺</v>
      </c>
      <c r="R454" s="16" t="str">
        <v>已匹配</v>
      </c>
      <c r="S454" s="16" t="str">
        <v>停售</v>
      </c>
      <c r="T454" s="16" t="str">
        <v>1S01</v>
      </c>
      <c r="U454" s="16" t="str">
        <v>黑色</v>
      </c>
      <c r="V454" s="16" t="n">
        <v>7.5</v>
      </c>
      <c r="W454" s="8" t="str">
        <v>2026-10-08 至 2026-10-17</v>
      </c>
      <c r="X454" s="8" t="str">
        <v>2026-10-08、2026-10-09、2026-10-10、2026-10-11、2026-10-14、2026-10-15、2026-10-17</v>
      </c>
      <c r="Y454" s="8" t="str">
        <v>2026-10-12 有记录的停售日；2026-10-13 有记录的停售日；2026-10-16 有记录的停售日</v>
      </c>
      <c r="Z454" s="8" t="n">
        <v>0</v>
      </c>
      <c r="AA454" s="8" t="n">
        <v>0</v>
      </c>
      <c r="AB454" s="8" t="n">
        <v>7</v>
      </c>
      <c r="AC454" s="8" t="str">
        <v>2026-09-29 至 2026-10-17</v>
      </c>
      <c r="AD454" s="8" t="str">
        <v>2026-09-29、2026-09-30、2026-10-01、2026-10-02、2026-10-03、2026-10-04、2026-10-05、2026-10-08、2026-10-09、2026-10-10、2026-10-11、2026-10-14、2026-10-15、2026-10-17</v>
      </c>
      <c r="AE454" s="8" t="str">
        <v>2026-10-06 大促；2026-10-07 大促；2026-10-12 有记录的停售日；2026-10-13 有记录的停售日；2026-10-16 有记录的停售日</v>
      </c>
      <c r="AF454" s="8" t="n">
        <v>0</v>
      </c>
      <c r="AG454" s="8" t="n">
        <v>0</v>
      </c>
      <c r="AH454" s="8" t="n">
        <v>14</v>
      </c>
      <c r="AI454" s="8" t="str">
        <v>2026-09-13 至 2026-10-17</v>
      </c>
      <c r="AJ45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4" s="8" t="str">
        <v>2026-10-06 大促；2026-10-07 大促；2026-10-12 有记录的停售日；2026-10-13 有记录的停售日；2026-10-16 有记录的停售日</v>
      </c>
      <c r="AL454" s="8" t="n">
        <v>0</v>
      </c>
      <c r="AM454" s="8" t="n">
        <v>0</v>
      </c>
      <c r="AN454" s="8" t="n">
        <v>30</v>
      </c>
      <c r="AO454" s="8" t="str">
        <v>1S01 / 黑色PU / 6574</v>
      </c>
      <c r="AP454" s="11" t="n">
        <v>0.8729500662042875</v>
      </c>
      <c r="AQ454" s="11" t="n">
        <v>0.9355747145678367</v>
      </c>
      <c r="AR454" s="11" t="n">
        <v>1.135973589331194</v>
      </c>
      <c r="AS454" s="11" t="n">
        <f>IF(AND(COUNT(I454:K454,AP454:AR454)=6,MIN(AP454:AR454)&gt;0),I454/7/AP454*0.5+J454/14/AQ454*0.3+K454/30/AR454*0.2,"")</f>
        <v>0</v>
      </c>
      <c r="AT454" s="8" t="n">
        <v>0</v>
      </c>
      <c r="AU454" s="8" t="n">
        <v>0</v>
      </c>
      <c r="AV454" s="8" t="n">
        <v>85</v>
      </c>
      <c r="AW454" s="11" t="n">
        <f>IF(AND(COUNT(AT454:AV454)=3,AT454&gt;=AU454,AU454&gt;=0,AV454&gt;0),(AT454-AU454)/AV454,"")</f>
        <v>0</v>
      </c>
      <c r="AX454" s="8" t="n">
        <v>0</v>
      </c>
      <c r="AY454" s="8" t="n">
        <v>0</v>
      </c>
      <c r="AZ454" s="8" t="n">
        <v>175</v>
      </c>
      <c r="BA454" s="11" t="n">
        <f>IF(AND(COUNT(AX454:AZ454)=3,AX454&gt;=AY454,AY454&gt;=0,AZ454&gt;0),(AX454-AY454)/AZ454,"")</f>
        <v>0</v>
      </c>
      <c r="BB454" s="8" t="n">
        <f>IF(COUNT(AS454,AW454,BA454)=3,1,0)</f>
        <v>1</v>
      </c>
      <c r="BC454" s="11" t="n">
        <f>IF(SUMIF($AO$11:$AO$1309,AO454,$BB$11:$BB$1309)=COUNTIF($AO$11:$AO$1309,AO454),SUMIF($AO$11:$AO$1309,AO454,$AS$11:$AS$1309),"")</f>
        <v>0.35366223656175183</v>
      </c>
      <c r="BD454" s="11" t="n">
        <f>IF(SUMIF($AO$11:$AO$1309,AO454,$BB$11:$BB$1309)=COUNTIF($AO$11:$AO$1309,AO454),SUMIF($AO$11:$AO$1309,AO454,$AW$11:$AW$1309),"")</f>
        <v>0.25</v>
      </c>
      <c r="BE454" s="11" t="n">
        <f>IF(SUMIF($AO$11:$AO$1309,AO454,$BB$11:$BB$1309)=COUNTIF($AO$11:$AO$1309,AO454),SUMIF($AO$11:$AO$1309,AO454,$BA$11:$BA$1309),"")</f>
        <v>0.3330016051364366</v>
      </c>
      <c r="BF454" s="12" t="n">
        <f>IF(COUNT(BD454:BE454)&lt;&gt;2,"",IF(AND(BD454&gt;0,BE454&gt;0),0.7*AW454/BD454+0.3*BA454/BE454,IF(BD454&gt;0,AW454/BD454,IF(BE454&gt;0,BA454/BE454,IF(AND(ISNUMBER(BH454),BH454=0),0,"")))))</f>
        <v>0</v>
      </c>
      <c r="BG454" s="11" t="n">
        <f>IF(AND(COUNT(BN454:BU454)=8,MIN(BN454:BU454)&gt;=0),SUMPRODUCT(BN454:BQ454,BR454:BU454),"")</f>
        <v>63.935996265425516</v>
      </c>
      <c r="BH454" s="11" t="n">
        <f>IF(COUNT(BC454,BG454)=2,BC454*BG454,"")</f>
        <v>22.6117474360342</v>
      </c>
      <c r="BI454" s="11" t="n">
        <f>IF(ISNUMBER(CI454),CI454,"")</f>
        <v>0</v>
      </c>
      <c r="BJ454" s="8" t="str"/>
      <c r="BK454" s="8" t="str">
        <v>90天：2026-07-20 至 2026-10-17；180天：2026-04-21 至 2026-10-17</v>
      </c>
      <c r="BL454" s="8" t="str">
        <v>90天：2026-10-06、2026-10-07、2026-10-12、2026-10-13、2026-10-16；180天：2026-10-06、2026-10-07、2026-10-12、2026-10-13、2026-10-16</v>
      </c>
      <c r="BM454" s="8" t="str">
        <v>2026-10：12天 × 0.8729500662042875；2026-11：30天 × 0.8057375774163482；2026-12：31天 × 0.532550303142279；2027-01：17天 × 0.7517299265337036</v>
      </c>
      <c r="BN454" s="11" t="n">
        <v>0.8729500662042875</v>
      </c>
      <c r="BO454" s="11" t="n">
        <v>0.8057375774163482</v>
      </c>
      <c r="BP454" s="11" t="n">
        <v>0.532550303142279</v>
      </c>
      <c r="BQ454" s="11" t="n">
        <v>0.7517299265337036</v>
      </c>
      <c r="BR454" s="8" t="n">
        <v>12</v>
      </c>
      <c r="BS454" s="8" t="n">
        <v>30</v>
      </c>
      <c r="BT454" s="8" t="n">
        <v>31</v>
      </c>
      <c r="BU454" s="8" t="n">
        <v>17</v>
      </c>
      <c r="BV454" s="11" t="n">
        <f>IF(COUNT(BC454,BF454)=2,BC454*BF454,"")</f>
        <v>0</v>
      </c>
      <c r="BW454" s="11" t="n">
        <f>IF(ISNUMBER(BN454),BN454,"")</f>
        <v>0.8729500662042875</v>
      </c>
      <c r="BX454" s="14" t="n">
        <f>IF(ISNUMBER(BR454),BR454,"")</f>
        <v>12</v>
      </c>
      <c r="BY454" s="13" t="n">
        <f>IF(AND(COUNT(BV454,BW454,BX454)=3,MIN(BV454,BW454,BX454)&gt;=0),BV454*BW454*BX454,"")</f>
        <v>0</v>
      </c>
      <c r="BZ454" s="11" t="n">
        <f>IF(ISNUMBER(BO454),BO454,"")</f>
        <v>0.8057375774163482</v>
      </c>
      <c r="CA454" s="14" t="n">
        <f>IF(ISNUMBER(BS454),BS454,"")</f>
        <v>30</v>
      </c>
      <c r="CB454" s="13" t="n">
        <f>IF(AND(COUNT(BV454,BZ454,CA454)=3,MIN(BV454,BZ454,CA454)&gt;=0),BV454*BZ454*CA454,"")</f>
        <v>0</v>
      </c>
      <c r="CC454" s="11" t="n">
        <f>IF(ISNUMBER(BP454),BP454,"")</f>
        <v>0.532550303142279</v>
      </c>
      <c r="CD454" s="14" t="n">
        <f>IF(ISNUMBER(BT454),BT454,"")</f>
        <v>31</v>
      </c>
      <c r="CE454" s="13" t="n">
        <f>IF(AND(COUNT(BV454,CC454,CD454)=3,MIN(BV454,CC454,CD454)&gt;=0),BV454*CC454*CD454,"")</f>
        <v>0</v>
      </c>
      <c r="CF454" s="11" t="n">
        <f>IF(ISNUMBER(BQ454),BQ454,"")</f>
        <v>0.7517299265337036</v>
      </c>
      <c r="CG454" s="14" t="n">
        <f>IF(ISNUMBER(BU454),BU454,"")</f>
        <v>17</v>
      </c>
      <c r="CH454" s="13" t="n">
        <f>IF(AND(COUNT(BV454,CF454,CG454)=3,MIN(BV454,CF454,CG454)&gt;=0),BV454*CF454*CG454,"")</f>
        <v>0</v>
      </c>
      <c r="CI454" s="13" t="n">
        <f>IF(COUNT(BY454,CB454,CE454,CH454)=4,SUM(BY454,CB454,CE454,CH454),"")</f>
        <v>0</v>
      </c>
    </row>
    <row r="455" ht="72" customHeight="1">
      <c r="A455" s="16" t="str">
        <v>1S01-BKP-39</v>
      </c>
      <c r="B455" s="16" t="str">
        <v>3店-SANDIEX-US</v>
      </c>
      <c r="C455" s="16" t="str">
        <v>徐新怡</v>
      </c>
      <c r="D455" s="26" t="n">
        <f>IF(NOT(ISNUMBER(E455)),"",IF(OR(E455&lt;=0,L455=0),0,IF(OR(NOT(ISNUMBER(F455)),F455&lt;0),"",MIN(E455,INT(F455)))))</f>
        <v>0</v>
      </c>
      <c r="E455" s="27" t="n">
        <f>IF(OR(NOT(ISNUMBER(L455)),COUNT(M455:O455)&lt;&gt;3,MIN(M455:O455)&lt;0),"",ROUNDUP(ROUND(BI455-SUM(M455:O455),10),0))</f>
        <v>-10</v>
      </c>
      <c r="F455" s="28" t="n">
        <v>98</v>
      </c>
      <c r="G455" s="28" t="n">
        <f>IF(AND(ISNUMBER(D455),ISNUMBER(E455)),IF(OR(E455&lt;=0,L455=0),0,E455-D455),"")</f>
        <v>0</v>
      </c>
      <c r="H455" s="16" t="str">
        <f>IF(NOT(ISNUMBER(E455)),"销量或海外库存待补",IF(OR(E455&lt;=0,L455=0),IF(L455=0,"零日销，本批不发","本批无需补货"),IF(NOT(ISNUMBER(D455)),"国内库存待补",IF(D455=0,"国内无可用库存",IF(G455&gt;0,"先发国内现货","按建议量发货")))))</f>
        <v>本批无需补货</v>
      </c>
      <c r="I455" s="28" t="n">
        <f>IF(AND(COUNT(Z455,AA455,AB455)=3,Z455&gt;=AA455,AA455&gt;=0,AB455=7),Z455-AA455,"")</f>
        <v>0</v>
      </c>
      <c r="J455" s="28" t="n">
        <f>IF(AND(COUNT(AF455,AG455,AH455)=3,AF455&gt;=AG455,AG455&gt;=0,AH455=14),AF455-AG455,"")</f>
        <v>2</v>
      </c>
      <c r="K455" s="28" t="n">
        <f>IF(AND(COUNT(AL455,AM455,AN455)=3,AL455&gt;=AM455,AM455&gt;=0,AN455=30),AL455-AM455,"")</f>
        <v>2</v>
      </c>
      <c r="L455" s="29" t="n">
        <f>IF(ISNUMBER(BI455),BI455/90,"")</f>
        <v>0.03796962827436508</v>
      </c>
      <c r="M455" s="28" t="n">
        <v>13</v>
      </c>
      <c r="N455" s="28" t="n">
        <v>0</v>
      </c>
      <c r="O455" s="28" t="n">
        <v>0</v>
      </c>
      <c r="P455" s="30" t="n">
        <f>IF(AND(ISNUMBER(L455),L455&gt;0,COUNT(M455:O455)=3,MIN(M455:O455)&gt;=0),SUM(M455:O455)/L455,"")</f>
        <v>342.378911535904</v>
      </c>
      <c r="Q455" s="16" t="str">
        <v>沿用原计划SKU店铺</v>
      </c>
      <c r="R455" s="16" t="str">
        <v>已匹配</v>
      </c>
      <c r="S455" s="16" t="str">
        <v>在售</v>
      </c>
      <c r="T455" s="16" t="str">
        <v>1S01</v>
      </c>
      <c r="U455" s="16" t="str">
        <v>黑色</v>
      </c>
      <c r="V455" s="16" t="n">
        <v>8</v>
      </c>
      <c r="W455" s="8" t="str">
        <v>2026-10-11 至 2026-10-17</v>
      </c>
      <c r="X455" s="8" t="str">
        <v>2026-10-11、2026-10-12、2026-10-13、2026-10-14、2026-10-15、2026-10-16、2026-10-17</v>
      </c>
      <c r="Y455" s="8" t="str">
        <v>无</v>
      </c>
      <c r="Z455" s="8" t="n">
        <v>0</v>
      </c>
      <c r="AA455" s="8" t="n">
        <v>0</v>
      </c>
      <c r="AB455" s="8" t="n">
        <v>7</v>
      </c>
      <c r="AC455" s="8" t="str">
        <v>2026-10-02 至 2026-10-17</v>
      </c>
      <c r="AD455" s="8" t="str">
        <v>2026-10-02、2026-10-03、2026-10-04、2026-10-05、2026-10-08、2026-10-09、2026-10-10、2026-10-11、2026-10-12、2026-10-13、2026-10-14、2026-10-15、2026-10-16、2026-10-17</v>
      </c>
      <c r="AE455" s="8" t="str">
        <v>2026-10-06 大促；2026-10-07 大促</v>
      </c>
      <c r="AF455" s="8" t="n">
        <v>6</v>
      </c>
      <c r="AG455" s="8" t="n">
        <v>4</v>
      </c>
      <c r="AH455" s="8" t="n">
        <v>14</v>
      </c>
      <c r="AI455" s="8" t="str">
        <v>2026-09-16 至 2026-10-17</v>
      </c>
      <c r="AJ4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55" s="8" t="str">
        <v>2026-10-06 大促；2026-10-07 大促</v>
      </c>
      <c r="AL455" s="8" t="n">
        <v>6</v>
      </c>
      <c r="AM455" s="8" t="n">
        <v>4</v>
      </c>
      <c r="AN455" s="8" t="n">
        <v>30</v>
      </c>
      <c r="AO455" s="8" t="str">
        <v>1S01 / 黑色PU / 6574</v>
      </c>
      <c r="AP455" s="11" t="n">
        <v>0.8729500662042875</v>
      </c>
      <c r="AQ455" s="11" t="n">
        <v>0.8729500662042875</v>
      </c>
      <c r="AR455" s="11" t="n">
        <v>1.0921363354767095</v>
      </c>
      <c r="AS455" s="11" t="n">
        <f>IF(AND(COUNT(I455:K455,AP455:AR455)=6,MIN(AP455:AR455)&gt;0),I455/7/AP455*0.5+J455/14/AQ455*0.3+K455/30/AR455*0.2,"")</f>
        <v>0.06130309776770672</v>
      </c>
      <c r="AT455" s="8" t="n">
        <v>7</v>
      </c>
      <c r="AU455" s="8" t="n">
        <v>4</v>
      </c>
      <c r="AV455" s="8" t="n">
        <v>88</v>
      </c>
      <c r="AW455" s="11" t="n">
        <f>IF(AND(COUNT(AT455:AV455)=3,AT455&gt;=AU455,AU455&gt;=0,AV455&gt;0),(AT455-AU455)/AV455,"")</f>
        <v>0.03409090909090909</v>
      </c>
      <c r="AX455" s="8" t="n">
        <v>15</v>
      </c>
      <c r="AY455" s="8" t="n">
        <v>4</v>
      </c>
      <c r="AZ455" s="8" t="n">
        <v>178</v>
      </c>
      <c r="BA455" s="11" t="n">
        <f>IF(AND(COUNT(AX455:AZ455)=3,AX455&gt;=AY455,AY455&gt;=0,AZ455&gt;0),(AX455-AY455)/AZ455,"")</f>
        <v>0.06179775280898876</v>
      </c>
      <c r="BB455" s="8" t="n">
        <f>IF(COUNT(AS455,AW455,BA455)=3,1,0)</f>
        <v>1</v>
      </c>
      <c r="BC455" s="11" t="n">
        <f>IF(SUMIF($AO$11:$AO$1309,AO455,$BB$11:$BB$1309)=COUNTIF($AO$11:$AO$1309,AO455),SUMIF($AO$11:$AO$1309,AO455,$AS$11:$AS$1309),"")</f>
        <v>0.35366223656175183</v>
      </c>
      <c r="BD455" s="11" t="n">
        <f>IF(SUMIF($AO$11:$AO$1309,AO455,$BB$11:$BB$1309)=COUNTIF($AO$11:$AO$1309,AO455),SUMIF($AO$11:$AO$1309,AO455,$AW$11:$AW$1309),"")</f>
        <v>0.25</v>
      </c>
      <c r="BE455" s="11" t="n">
        <f>IF(SUMIF($AO$11:$AO$1309,AO455,$BB$11:$BB$1309)=COUNTIF($AO$11:$AO$1309,AO455),SUMIF($AO$11:$AO$1309,AO455,$BA$11:$BA$1309),"")</f>
        <v>0.3330016051364366</v>
      </c>
      <c r="BF455" s="12" t="n">
        <f>IF(COUNT(BD455:BE455)&lt;&gt;2,"",IF(AND(BD455&gt;0,BE455&gt;0),0.7*AW455/BD455+0.3*BA455/BE455,IF(BD455&gt;0,AW455/BD455,IF(BE455&gt;0,BA455/BE455,IF(AND(ISNUMBER(BH455),BH455=0),0,"")))))</f>
        <v>0.15112792827533017</v>
      </c>
      <c r="BG455" s="11" t="n">
        <f>IF(AND(COUNT(BN455:BU455)=8,MIN(BN455:BU455)&gt;=0),SUMPRODUCT(BN455:BQ455,BR455:BU455),"")</f>
        <v>63.935996265425516</v>
      </c>
      <c r="BH455" s="11" t="n">
        <f>IF(COUNT(BC455,BG455)=2,BC455*BG455,"")</f>
        <v>22.6117474360342</v>
      </c>
      <c r="BI455" s="11" t="n">
        <f>IF(ISNUMBER(CI455),CI455,"")</f>
        <v>3.4172665446928567</v>
      </c>
      <c r="BJ455" s="8" t="str"/>
      <c r="BK455" s="8" t="str">
        <v>90天：2026-07-20 至 2026-10-17；180天：2026-04-21 至 2026-10-17</v>
      </c>
      <c r="BL455" s="8" t="str">
        <v>90天：2026-10-06、2026-10-07；180天：2026-10-06、2026-10-07</v>
      </c>
      <c r="BM455" s="8" t="str">
        <v>2026-10：12天 × 0.8729500662042875；2026-11：30天 × 0.8057375774163482；2026-12：31天 × 0.532550303142279；2027-01：17天 × 0.7517299265337036</v>
      </c>
      <c r="BN455" s="11" t="n">
        <v>0.8729500662042875</v>
      </c>
      <c r="BO455" s="11" t="n">
        <v>0.8057375774163482</v>
      </c>
      <c r="BP455" s="11" t="n">
        <v>0.532550303142279</v>
      </c>
      <c r="BQ455" s="11" t="n">
        <v>0.7517299265337036</v>
      </c>
      <c r="BR455" s="8" t="n">
        <v>12</v>
      </c>
      <c r="BS455" s="8" t="n">
        <v>30</v>
      </c>
      <c r="BT455" s="8" t="n">
        <v>31</v>
      </c>
      <c r="BU455" s="8" t="n">
        <v>17</v>
      </c>
      <c r="BV455" s="11" t="n">
        <f>IF(COUNT(BC455,BF455)=2,BC455*BF455,"")</f>
        <v>0.05344824112079728</v>
      </c>
      <c r="BW455" s="11" t="n">
        <f>IF(ISNUMBER(BN455),BN455,"")</f>
        <v>0.8729500662042875</v>
      </c>
      <c r="BX455" s="14" t="n">
        <f>IF(ISNUMBER(BR455),BR455,"")</f>
        <v>12</v>
      </c>
      <c r="BY455" s="13" t="n">
        <f>IF(AND(COUNT(BV455,BW455,BX455)=3,MIN(BV455,BW455,BX455)&gt;=0),BV455*BW455*BX455,"")</f>
        <v>0.5598917474988325</v>
      </c>
      <c r="BZ455" s="11" t="n">
        <f>IF(ISNUMBER(BO455),BO455,"")</f>
        <v>0.8057375774163482</v>
      </c>
      <c r="CA455" s="14" t="n">
        <f>IF(ISNUMBER(BS455),BS455,"")</f>
        <v>30</v>
      </c>
      <c r="CB455" s="13" t="n">
        <f>IF(AND(COUNT(BV455,BZ455,CA455)=3,MIN(BV455,BZ455,CA455)&gt;=0),BV455*BZ455*CA455,"")</f>
        <v>1.2919576895350813</v>
      </c>
      <c r="CC455" s="11" t="n">
        <f>IF(ISNUMBER(BP455),BP455,"")</f>
        <v>0.532550303142279</v>
      </c>
      <c r="CD455" s="14" t="n">
        <f>IF(ISNUMBER(BT455),BT455,"")</f>
        <v>31</v>
      </c>
      <c r="CE455" s="13" t="n">
        <f>IF(AND(COUNT(BV455,CC455,CD455)=3,MIN(BV455,CC455,CD455)&gt;=0),BV455*CC455*CD455,"")</f>
        <v>0.8823801873503686</v>
      </c>
      <c r="CF455" s="11" t="n">
        <f>IF(ISNUMBER(BQ455),BQ455,"")</f>
        <v>0.7517299265337036</v>
      </c>
      <c r="CG455" s="14" t="n">
        <f>IF(ISNUMBER(BU455),BU455,"")</f>
        <v>17</v>
      </c>
      <c r="CH455" s="13" t="n">
        <f>IF(AND(COUNT(BV455,CF455,CG455)=3,MIN(BV455,CF455,CG455)&gt;=0),BV455*CF455*CG455,"")</f>
        <v>0.6830369203085744</v>
      </c>
      <c r="CI455" s="13" t="n">
        <f>IF(COUNT(BY455,CB455,CE455,CH455)=4,SUM(BY455,CB455,CE455,CH455),"")</f>
        <v>3.4172665446928567</v>
      </c>
    </row>
    <row r="456" ht="72" customHeight="1">
      <c r="A456" s="16" t="str">
        <v>1S01-BKP-39.5</v>
      </c>
      <c r="B456" s="16" t="str">
        <v>3店-SANDIEX-US</v>
      </c>
      <c r="C456" s="16" t="str">
        <v>徐新怡</v>
      </c>
      <c r="D456" s="26" t="n">
        <f>IF(NOT(ISNUMBER(E456)),"",IF(OR(E456&lt;=0,L456=0),0,IF(OR(NOT(ISNUMBER(F456)),F456&lt;0),"",MIN(E456,INT(F456)))))</f>
        <v>0</v>
      </c>
      <c r="E456" s="27" t="n">
        <f>IF(OR(NOT(ISNUMBER(L456)),COUNT(M456:O456)&lt;&gt;3,MIN(M456:O456)&lt;0),"",ROUNDUP(ROUND(BI456-SUM(M456:O456),10),0))</f>
        <v>0</v>
      </c>
      <c r="F456" s="28" t="n">
        <v>0</v>
      </c>
      <c r="G456" s="28" t="n">
        <f>IF(AND(ISNUMBER(D456),ISNUMBER(E456)),IF(OR(E456&lt;=0,L456=0),0,E456-D456),"")</f>
        <v>0</v>
      </c>
      <c r="H456" s="16" t="str">
        <f>IF(NOT(ISNUMBER(E456)),"销量或海外库存待补",IF(OR(E456&lt;=0,L456=0),IF(L456=0,"零日销，本批不发","本批无需补货"),IF(NOT(ISNUMBER(D456)),"国内库存待补",IF(D456=0,"国内无可用库存",IF(G456&gt;0,"先发国内现货","按建议量发货")))))</f>
        <v>零日销，本批不发</v>
      </c>
      <c r="I456" s="28" t="n">
        <f>IF(AND(COUNT(Z456,AA456,AB456)=3,Z456&gt;=AA456,AA456&gt;=0,AB456=7),Z456-AA456,"")</f>
        <v>0</v>
      </c>
      <c r="J456" s="28" t="n">
        <f>IF(AND(COUNT(AF456,AG456,AH456)=3,AF456&gt;=AG456,AG456&gt;=0,AH456=14),AF456-AG456,"")</f>
        <v>0</v>
      </c>
      <c r="K456" s="28" t="n">
        <f>IF(AND(COUNT(AL456,AM456,AN456)=3,AL456&gt;=AM456,AM456&gt;=0,AN456=30),AL456-AM456,"")</f>
        <v>0</v>
      </c>
      <c r="L456" s="29" t="n">
        <f>IF(ISNUMBER(BI456),BI456/90,"")</f>
        <v>0</v>
      </c>
      <c r="M456" s="28" t="n">
        <v>0</v>
      </c>
      <c r="N456" s="28" t="n">
        <v>0</v>
      </c>
      <c r="O456" s="28" t="n">
        <v>0</v>
      </c>
      <c r="P456" s="30" t="str">
        <f>IF(AND(ISNUMBER(L456),L456&gt;0,COUNT(M456:O456)=3,MIN(M456:O456)&gt;=0),SUM(M456:O456)/L456,"")</f>
      </c>
      <c r="Q456" s="16" t="str">
        <v>沿用同SPU原计划店铺</v>
      </c>
      <c r="R456" s="16" t="str">
        <v>已匹配</v>
      </c>
      <c r="S456" s="16" t="str">
        <v>停售</v>
      </c>
      <c r="T456" s="16" t="str">
        <v>1S01</v>
      </c>
      <c r="U456" s="16" t="str">
        <v>黑色</v>
      </c>
      <c r="V456" s="16" t="n">
        <v>8.5</v>
      </c>
      <c r="W456" s="8" t="str">
        <v>2026-10-08 至 2026-10-17</v>
      </c>
      <c r="X456" s="8" t="str">
        <v>2026-10-08、2026-10-09、2026-10-10、2026-10-11、2026-10-14、2026-10-15、2026-10-17</v>
      </c>
      <c r="Y456" s="8" t="str">
        <v>2026-10-12 有记录的停售日；2026-10-13 有记录的停售日；2026-10-16 有记录的停售日</v>
      </c>
      <c r="Z456" s="8" t="n">
        <v>0</v>
      </c>
      <c r="AA456" s="8" t="n">
        <v>0</v>
      </c>
      <c r="AB456" s="8" t="n">
        <v>7</v>
      </c>
      <c r="AC456" s="8" t="str">
        <v>2026-09-29 至 2026-10-17</v>
      </c>
      <c r="AD456" s="8" t="str">
        <v>2026-09-29、2026-09-30、2026-10-01、2026-10-02、2026-10-03、2026-10-04、2026-10-05、2026-10-08、2026-10-09、2026-10-10、2026-10-11、2026-10-14、2026-10-15、2026-10-17</v>
      </c>
      <c r="AE456" s="8" t="str">
        <v>2026-10-06 大促；2026-10-07 大促；2026-10-12 有记录的停售日；2026-10-13 有记录的停售日；2026-10-16 有记录的停售日</v>
      </c>
      <c r="AF456" s="8" t="n">
        <v>0</v>
      </c>
      <c r="AG456" s="8" t="n">
        <v>0</v>
      </c>
      <c r="AH456" s="8" t="n">
        <v>14</v>
      </c>
      <c r="AI456" s="8" t="str">
        <v>2026-09-13 至 2026-10-17</v>
      </c>
      <c r="AJ45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6" s="8" t="str">
        <v>2026-10-06 大促；2026-10-07 大促；2026-10-12 有记录的停售日；2026-10-13 有记录的停售日；2026-10-16 有记录的停售日</v>
      </c>
      <c r="AL456" s="8" t="n">
        <v>0</v>
      </c>
      <c r="AM456" s="8" t="n">
        <v>0</v>
      </c>
      <c r="AN456" s="8" t="n">
        <v>30</v>
      </c>
      <c r="AO456" s="8" t="str">
        <v>1S01 / 黑色PU / 6574</v>
      </c>
      <c r="AP456" s="11" t="n">
        <v>0.8729500662042875</v>
      </c>
      <c r="AQ456" s="11" t="n">
        <v>0.9355747145678367</v>
      </c>
      <c r="AR456" s="11" t="n">
        <v>1.135973589331194</v>
      </c>
      <c r="AS456" s="11" t="n">
        <f>IF(AND(COUNT(I456:K456,AP456:AR456)=6,MIN(AP456:AR456)&gt;0),I456/7/AP456*0.5+J456/14/AQ456*0.3+K456/30/AR456*0.2,"")</f>
        <v>0</v>
      </c>
      <c r="AT456" s="8" t="n">
        <v>0</v>
      </c>
      <c r="AU456" s="8" t="n">
        <v>0</v>
      </c>
      <c r="AV456" s="8" t="n">
        <v>85</v>
      </c>
      <c r="AW456" s="11" t="n">
        <f>IF(AND(COUNT(AT456:AV456)=3,AT456&gt;=AU456,AU456&gt;=0,AV456&gt;0),(AT456-AU456)/AV456,"")</f>
        <v>0</v>
      </c>
      <c r="AX456" s="8" t="n">
        <v>0</v>
      </c>
      <c r="AY456" s="8" t="n">
        <v>0</v>
      </c>
      <c r="AZ456" s="8" t="n">
        <v>175</v>
      </c>
      <c r="BA456" s="11" t="n">
        <f>IF(AND(COUNT(AX456:AZ456)=3,AX456&gt;=AY456,AY456&gt;=0,AZ456&gt;0),(AX456-AY456)/AZ456,"")</f>
        <v>0</v>
      </c>
      <c r="BB456" s="8" t="n">
        <f>IF(COUNT(AS456,AW456,BA456)=3,1,0)</f>
        <v>1</v>
      </c>
      <c r="BC456" s="11" t="n">
        <f>IF(SUMIF($AO$11:$AO$1309,AO456,$BB$11:$BB$1309)=COUNTIF($AO$11:$AO$1309,AO456),SUMIF($AO$11:$AO$1309,AO456,$AS$11:$AS$1309),"")</f>
        <v>0.35366223656175183</v>
      </c>
      <c r="BD456" s="11" t="n">
        <f>IF(SUMIF($AO$11:$AO$1309,AO456,$BB$11:$BB$1309)=COUNTIF($AO$11:$AO$1309,AO456),SUMIF($AO$11:$AO$1309,AO456,$AW$11:$AW$1309),"")</f>
        <v>0.25</v>
      </c>
      <c r="BE456" s="11" t="n">
        <f>IF(SUMIF($AO$11:$AO$1309,AO456,$BB$11:$BB$1309)=COUNTIF($AO$11:$AO$1309,AO456),SUMIF($AO$11:$AO$1309,AO456,$BA$11:$BA$1309),"")</f>
        <v>0.3330016051364366</v>
      </c>
      <c r="BF456" s="12" t="n">
        <f>IF(COUNT(BD456:BE456)&lt;&gt;2,"",IF(AND(BD456&gt;0,BE456&gt;0),0.7*AW456/BD456+0.3*BA456/BE456,IF(BD456&gt;0,AW456/BD456,IF(BE456&gt;0,BA456/BE456,IF(AND(ISNUMBER(BH456),BH456=0),0,"")))))</f>
        <v>0</v>
      </c>
      <c r="BG456" s="11" t="n">
        <f>IF(AND(COUNT(BN456:BU456)=8,MIN(BN456:BU456)&gt;=0),SUMPRODUCT(BN456:BQ456,BR456:BU456),"")</f>
        <v>63.935996265425516</v>
      </c>
      <c r="BH456" s="11" t="n">
        <f>IF(COUNT(BC456,BG456)=2,BC456*BG456,"")</f>
        <v>22.6117474360342</v>
      </c>
      <c r="BI456" s="11" t="n">
        <f>IF(ISNUMBER(CI456),CI456,"")</f>
        <v>0</v>
      </c>
      <c r="BJ456" s="8" t="str"/>
      <c r="BK456" s="8" t="str">
        <v>90天：2026-07-20 至 2026-10-17；180天：2026-04-21 至 2026-10-17</v>
      </c>
      <c r="BL456" s="8" t="str">
        <v>90天：2026-10-06、2026-10-07、2026-10-12、2026-10-13、2026-10-16；180天：2026-10-06、2026-10-07、2026-10-12、2026-10-13、2026-10-16</v>
      </c>
      <c r="BM456" s="8" t="str">
        <v>2026-10：12天 × 0.8729500662042875；2026-11：30天 × 0.8057375774163482；2026-12：31天 × 0.532550303142279；2027-01：17天 × 0.7517299265337036</v>
      </c>
      <c r="BN456" s="11" t="n">
        <v>0.8729500662042875</v>
      </c>
      <c r="BO456" s="11" t="n">
        <v>0.8057375774163482</v>
      </c>
      <c r="BP456" s="11" t="n">
        <v>0.532550303142279</v>
      </c>
      <c r="BQ456" s="11" t="n">
        <v>0.7517299265337036</v>
      </c>
      <c r="BR456" s="8" t="n">
        <v>12</v>
      </c>
      <c r="BS456" s="8" t="n">
        <v>30</v>
      </c>
      <c r="BT456" s="8" t="n">
        <v>31</v>
      </c>
      <c r="BU456" s="8" t="n">
        <v>17</v>
      </c>
      <c r="BV456" s="11" t="n">
        <f>IF(COUNT(BC456,BF456)=2,BC456*BF456,"")</f>
        <v>0</v>
      </c>
      <c r="BW456" s="11" t="n">
        <f>IF(ISNUMBER(BN456),BN456,"")</f>
        <v>0.8729500662042875</v>
      </c>
      <c r="BX456" s="14" t="n">
        <f>IF(ISNUMBER(BR456),BR456,"")</f>
        <v>12</v>
      </c>
      <c r="BY456" s="13" t="n">
        <f>IF(AND(COUNT(BV456,BW456,BX456)=3,MIN(BV456,BW456,BX456)&gt;=0),BV456*BW456*BX456,"")</f>
        <v>0</v>
      </c>
      <c r="BZ456" s="11" t="n">
        <f>IF(ISNUMBER(BO456),BO456,"")</f>
        <v>0.8057375774163482</v>
      </c>
      <c r="CA456" s="14" t="n">
        <f>IF(ISNUMBER(BS456),BS456,"")</f>
        <v>30</v>
      </c>
      <c r="CB456" s="13" t="n">
        <f>IF(AND(COUNT(BV456,BZ456,CA456)=3,MIN(BV456,BZ456,CA456)&gt;=0),BV456*BZ456*CA456,"")</f>
        <v>0</v>
      </c>
      <c r="CC456" s="11" t="n">
        <f>IF(ISNUMBER(BP456),BP456,"")</f>
        <v>0.532550303142279</v>
      </c>
      <c r="CD456" s="14" t="n">
        <f>IF(ISNUMBER(BT456),BT456,"")</f>
        <v>31</v>
      </c>
      <c r="CE456" s="13" t="n">
        <f>IF(AND(COUNT(BV456,CC456,CD456)=3,MIN(BV456,CC456,CD456)&gt;=0),BV456*CC456*CD456,"")</f>
        <v>0</v>
      </c>
      <c r="CF456" s="11" t="n">
        <f>IF(ISNUMBER(BQ456),BQ456,"")</f>
        <v>0.7517299265337036</v>
      </c>
      <c r="CG456" s="14" t="n">
        <f>IF(ISNUMBER(BU456),BU456,"")</f>
        <v>17</v>
      </c>
      <c r="CH456" s="13" t="n">
        <f>IF(AND(COUNT(BV456,CF456,CG456)=3,MIN(BV456,CF456,CG456)&gt;=0),BV456*CF456*CG456,"")</f>
        <v>0</v>
      </c>
      <c r="CI456" s="13" t="n">
        <f>IF(COUNT(BY456,CB456,CE456,CH456)=4,SUM(BY456,CB456,CE456,CH456),"")</f>
        <v>0</v>
      </c>
    </row>
    <row r="457" ht="72" customHeight="1">
      <c r="A457" s="16" t="str">
        <v>1S01-BKP-40.5</v>
      </c>
      <c r="B457" s="16" t="str">
        <v>3店-SANDIEX-US</v>
      </c>
      <c r="C457" s="16" t="str">
        <v>徐新怡</v>
      </c>
      <c r="D457" s="26" t="n">
        <f>IF(NOT(ISNUMBER(E457)),"",IF(OR(E457&lt;=0,L457=0),0,IF(OR(NOT(ISNUMBER(F457)),F457&lt;0),"",MIN(E457,INT(F457)))))</f>
        <v>0</v>
      </c>
      <c r="E457" s="27" t="n">
        <f>IF(OR(NOT(ISNUMBER(L457)),COUNT(M457:O457)&lt;&gt;3,MIN(M457:O457)&lt;0),"",ROUNDUP(ROUND(BI457-SUM(M457:O457),10),0))</f>
        <v>0</v>
      </c>
      <c r="F457" s="28" t="n">
        <v>0</v>
      </c>
      <c r="G457" s="28" t="n">
        <f>IF(AND(ISNUMBER(D457),ISNUMBER(E457)),IF(OR(E457&lt;=0,L457=0),0,E457-D457),"")</f>
        <v>0</v>
      </c>
      <c r="H457" s="16" t="str">
        <f>IF(NOT(ISNUMBER(E457)),"销量或海外库存待补",IF(OR(E457&lt;=0,L457=0),IF(L457=0,"零日销，本批不发","本批无需补货"),IF(NOT(ISNUMBER(D457)),"国内库存待补",IF(D457=0,"国内无可用库存",IF(G457&gt;0,"先发国内现货","按建议量发货")))))</f>
        <v>零日销，本批不发</v>
      </c>
      <c r="I457" s="28" t="n">
        <f>IF(AND(COUNT(Z457,AA457,AB457)=3,Z457&gt;=AA457,AA457&gt;=0,AB457=7),Z457-AA457,"")</f>
        <v>0</v>
      </c>
      <c r="J457" s="28" t="n">
        <f>IF(AND(COUNT(AF457,AG457,AH457)=3,AF457&gt;=AG457,AG457&gt;=0,AH457=14),AF457-AG457,"")</f>
        <v>0</v>
      </c>
      <c r="K457" s="28" t="n">
        <f>IF(AND(COUNT(AL457,AM457,AN457)=3,AL457&gt;=AM457,AM457&gt;=0,AN457=30),AL457-AM457,"")</f>
        <v>0</v>
      </c>
      <c r="L457" s="29" t="n">
        <f>IF(ISNUMBER(BI457),BI457/90,"")</f>
        <v>0</v>
      </c>
      <c r="M457" s="28" t="n">
        <v>0</v>
      </c>
      <c r="N457" s="28" t="n">
        <v>0</v>
      </c>
      <c r="O457" s="28" t="n">
        <v>0</v>
      </c>
      <c r="P457" s="30" t="str">
        <f>IF(AND(ISNUMBER(L457),L457&gt;0,COUNT(M457:O457)=3,MIN(M457:O457)&gt;=0),SUM(M457:O457)/L457,"")</f>
      </c>
      <c r="Q457" s="16" t="str">
        <v>沿用同SPU原计划店铺</v>
      </c>
      <c r="R457" s="16" t="str">
        <v>已匹配</v>
      </c>
      <c r="S457" s="16" t="str">
        <v>停售</v>
      </c>
      <c r="T457" s="16" t="str">
        <v>1S01</v>
      </c>
      <c r="U457" s="16" t="str">
        <v>黑色</v>
      </c>
      <c r="V457" s="16" t="n">
        <v>9.5</v>
      </c>
      <c r="W457" s="8" t="str">
        <v>2026-10-08 至 2026-10-17</v>
      </c>
      <c r="X457" s="8" t="str">
        <v>2026-10-08、2026-10-09、2026-10-10、2026-10-11、2026-10-14、2026-10-15、2026-10-17</v>
      </c>
      <c r="Y457" s="8" t="str">
        <v>2026-10-12 有记录的停售日；2026-10-13 有记录的停售日；2026-10-16 有记录的停售日</v>
      </c>
      <c r="Z457" s="8" t="n">
        <v>0</v>
      </c>
      <c r="AA457" s="8" t="n">
        <v>0</v>
      </c>
      <c r="AB457" s="8" t="n">
        <v>7</v>
      </c>
      <c r="AC457" s="8" t="str">
        <v>2026-09-29 至 2026-10-17</v>
      </c>
      <c r="AD457" s="8" t="str">
        <v>2026-09-29、2026-09-30、2026-10-01、2026-10-02、2026-10-03、2026-10-04、2026-10-05、2026-10-08、2026-10-09、2026-10-10、2026-10-11、2026-10-14、2026-10-15、2026-10-17</v>
      </c>
      <c r="AE457" s="8" t="str">
        <v>2026-10-06 大促；2026-10-07 大促；2026-10-12 有记录的停售日；2026-10-13 有记录的停售日；2026-10-16 有记录的停售日</v>
      </c>
      <c r="AF457" s="8" t="n">
        <v>0</v>
      </c>
      <c r="AG457" s="8" t="n">
        <v>0</v>
      </c>
      <c r="AH457" s="8" t="n">
        <v>14</v>
      </c>
      <c r="AI457" s="8" t="str">
        <v>2026-09-13 至 2026-10-17</v>
      </c>
      <c r="AJ45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7" s="8" t="str">
        <v>2026-10-06 大促；2026-10-07 大促；2026-10-12 有记录的停售日；2026-10-13 有记录的停售日；2026-10-16 有记录的停售日</v>
      </c>
      <c r="AL457" s="8" t="n">
        <v>0</v>
      </c>
      <c r="AM457" s="8" t="n">
        <v>0</v>
      </c>
      <c r="AN457" s="8" t="n">
        <v>30</v>
      </c>
      <c r="AO457" s="8" t="str">
        <v>1S01 / 黑色PU / 6574</v>
      </c>
      <c r="AP457" s="11" t="n">
        <v>0.8729500662042875</v>
      </c>
      <c r="AQ457" s="11" t="n">
        <v>0.9355747145678367</v>
      </c>
      <c r="AR457" s="11" t="n">
        <v>1.135973589331194</v>
      </c>
      <c r="AS457" s="11" t="n">
        <f>IF(AND(COUNT(I457:K457,AP457:AR457)=6,MIN(AP457:AR457)&gt;0),I457/7/AP457*0.5+J457/14/AQ457*0.3+K457/30/AR457*0.2,"")</f>
        <v>0</v>
      </c>
      <c r="AT457" s="8" t="n">
        <v>0</v>
      </c>
      <c r="AU457" s="8" t="n">
        <v>0</v>
      </c>
      <c r="AV457" s="8" t="n">
        <v>85</v>
      </c>
      <c r="AW457" s="11" t="n">
        <f>IF(AND(COUNT(AT457:AV457)=3,AT457&gt;=AU457,AU457&gt;=0,AV457&gt;0),(AT457-AU457)/AV457,"")</f>
        <v>0</v>
      </c>
      <c r="AX457" s="8" t="n">
        <v>0</v>
      </c>
      <c r="AY457" s="8" t="n">
        <v>0</v>
      </c>
      <c r="AZ457" s="8" t="n">
        <v>175</v>
      </c>
      <c r="BA457" s="11" t="n">
        <f>IF(AND(COUNT(AX457:AZ457)=3,AX457&gt;=AY457,AY457&gt;=0,AZ457&gt;0),(AX457-AY457)/AZ457,"")</f>
        <v>0</v>
      </c>
      <c r="BB457" s="8" t="n">
        <f>IF(COUNT(AS457,AW457,BA457)=3,1,0)</f>
        <v>1</v>
      </c>
      <c r="BC457" s="11" t="n">
        <f>IF(SUMIF($AO$11:$AO$1309,AO457,$BB$11:$BB$1309)=COUNTIF($AO$11:$AO$1309,AO457),SUMIF($AO$11:$AO$1309,AO457,$AS$11:$AS$1309),"")</f>
        <v>0.35366223656175183</v>
      </c>
      <c r="BD457" s="11" t="n">
        <f>IF(SUMIF($AO$11:$AO$1309,AO457,$BB$11:$BB$1309)=COUNTIF($AO$11:$AO$1309,AO457),SUMIF($AO$11:$AO$1309,AO457,$AW$11:$AW$1309),"")</f>
        <v>0.25</v>
      </c>
      <c r="BE457" s="11" t="n">
        <f>IF(SUMIF($AO$11:$AO$1309,AO457,$BB$11:$BB$1309)=COUNTIF($AO$11:$AO$1309,AO457),SUMIF($AO$11:$AO$1309,AO457,$BA$11:$BA$1309),"")</f>
        <v>0.3330016051364366</v>
      </c>
      <c r="BF457" s="12" t="n">
        <f>IF(COUNT(BD457:BE457)&lt;&gt;2,"",IF(AND(BD457&gt;0,BE457&gt;0),0.7*AW457/BD457+0.3*BA457/BE457,IF(BD457&gt;0,AW457/BD457,IF(BE457&gt;0,BA457/BE457,IF(AND(ISNUMBER(BH457),BH457=0),0,"")))))</f>
        <v>0</v>
      </c>
      <c r="BG457" s="11" t="n">
        <f>IF(AND(COUNT(BN457:BU457)=8,MIN(BN457:BU457)&gt;=0),SUMPRODUCT(BN457:BQ457,BR457:BU457),"")</f>
        <v>63.935996265425516</v>
      </c>
      <c r="BH457" s="11" t="n">
        <f>IF(COUNT(BC457,BG457)=2,BC457*BG457,"")</f>
        <v>22.6117474360342</v>
      </c>
      <c r="BI457" s="11" t="n">
        <f>IF(ISNUMBER(CI457),CI457,"")</f>
        <v>0</v>
      </c>
      <c r="BJ457" s="8" t="str"/>
      <c r="BK457" s="8" t="str">
        <v>90天：2026-07-20 至 2026-10-17；180天：2026-04-21 至 2026-10-17</v>
      </c>
      <c r="BL457" s="8" t="str">
        <v>90天：2026-10-06、2026-10-07、2026-10-12、2026-10-13、2026-10-16；180天：2026-10-06、2026-10-07、2026-10-12、2026-10-13、2026-10-16</v>
      </c>
      <c r="BM457" s="8" t="str">
        <v>2026-10：12天 × 0.8729500662042875；2026-11：30天 × 0.8057375774163482；2026-12：31天 × 0.532550303142279；2027-01：17天 × 0.7517299265337036</v>
      </c>
      <c r="BN457" s="11" t="n">
        <v>0.8729500662042875</v>
      </c>
      <c r="BO457" s="11" t="n">
        <v>0.8057375774163482</v>
      </c>
      <c r="BP457" s="11" t="n">
        <v>0.532550303142279</v>
      </c>
      <c r="BQ457" s="11" t="n">
        <v>0.7517299265337036</v>
      </c>
      <c r="BR457" s="8" t="n">
        <v>12</v>
      </c>
      <c r="BS457" s="8" t="n">
        <v>30</v>
      </c>
      <c r="BT457" s="8" t="n">
        <v>31</v>
      </c>
      <c r="BU457" s="8" t="n">
        <v>17</v>
      </c>
      <c r="BV457" s="11" t="n">
        <f>IF(COUNT(BC457,BF457)=2,BC457*BF457,"")</f>
        <v>0</v>
      </c>
      <c r="BW457" s="11" t="n">
        <f>IF(ISNUMBER(BN457),BN457,"")</f>
        <v>0.8729500662042875</v>
      </c>
      <c r="BX457" s="14" t="n">
        <f>IF(ISNUMBER(BR457),BR457,"")</f>
        <v>12</v>
      </c>
      <c r="BY457" s="13" t="n">
        <f>IF(AND(COUNT(BV457,BW457,BX457)=3,MIN(BV457,BW457,BX457)&gt;=0),BV457*BW457*BX457,"")</f>
        <v>0</v>
      </c>
      <c r="BZ457" s="11" t="n">
        <f>IF(ISNUMBER(BO457),BO457,"")</f>
        <v>0.8057375774163482</v>
      </c>
      <c r="CA457" s="14" t="n">
        <f>IF(ISNUMBER(BS457),BS457,"")</f>
        <v>30</v>
      </c>
      <c r="CB457" s="13" t="n">
        <f>IF(AND(COUNT(BV457,BZ457,CA457)=3,MIN(BV457,BZ457,CA457)&gt;=0),BV457*BZ457*CA457,"")</f>
        <v>0</v>
      </c>
      <c r="CC457" s="11" t="n">
        <f>IF(ISNUMBER(BP457),BP457,"")</f>
        <v>0.532550303142279</v>
      </c>
      <c r="CD457" s="14" t="n">
        <f>IF(ISNUMBER(BT457),BT457,"")</f>
        <v>31</v>
      </c>
      <c r="CE457" s="13" t="n">
        <f>IF(AND(COUNT(BV457,CC457,CD457)=3,MIN(BV457,CC457,CD457)&gt;=0),BV457*CC457*CD457,"")</f>
        <v>0</v>
      </c>
      <c r="CF457" s="11" t="n">
        <f>IF(ISNUMBER(BQ457),BQ457,"")</f>
        <v>0.7517299265337036</v>
      </c>
      <c r="CG457" s="14" t="n">
        <f>IF(ISNUMBER(BU457),BU457,"")</f>
        <v>17</v>
      </c>
      <c r="CH457" s="13" t="n">
        <f>IF(AND(COUNT(BV457,CF457,CG457)=3,MIN(BV457,CF457,CG457)&gt;=0),BV457*CF457*CG457,"")</f>
        <v>0</v>
      </c>
      <c r="CI457" s="13" t="n">
        <f>IF(COUNT(BY457,CB457,CE457,CH457)=4,SUM(BY457,CB457,CE457,CH457),"")</f>
        <v>0</v>
      </c>
    </row>
    <row r="458" ht="72" customHeight="1">
      <c r="A458" s="16" t="str">
        <v>1S01-BKP-41</v>
      </c>
      <c r="B458" s="16" t="str">
        <v>3店-SANDIEX-US</v>
      </c>
      <c r="C458" s="16" t="str">
        <v>徐新怡</v>
      </c>
      <c r="D458" s="26" t="n">
        <f>IF(NOT(ISNUMBER(E458)),"",IF(OR(E458&lt;=0,L458=0),0,IF(OR(NOT(ISNUMBER(F458)),F458&lt;0),"",MIN(E458,INT(F458)))))</f>
        <v>0</v>
      </c>
      <c r="E458" s="27" t="n">
        <f>IF(OR(NOT(ISNUMBER(L458)),COUNT(M458:O458)&lt;&gt;3,MIN(M458:O458)&lt;0),"",ROUNDUP(ROUND(BI458-SUM(M458:O458),10),0))</f>
        <v>-31</v>
      </c>
      <c r="F458" s="28" t="n">
        <v>20</v>
      </c>
      <c r="G458" s="28" t="n">
        <f>IF(AND(ISNUMBER(D458),ISNUMBER(E458)),IF(OR(E458&lt;=0,L458=0),0,E458-D458),"")</f>
        <v>0</v>
      </c>
      <c r="H458" s="16" t="str">
        <f>IF(NOT(ISNUMBER(E458)),"销量或海外库存待补",IF(OR(E458&lt;=0,L458=0),IF(L458=0,"零日销，本批不发","本批无需补货"),IF(NOT(ISNUMBER(D458)),"国内库存待补",IF(D458=0,"国内无可用库存",IF(G458&gt;0,"先发国内现货","按建议量发货")))))</f>
        <v>本批无需补货</v>
      </c>
      <c r="I458" s="28" t="n">
        <f>IF(AND(COUNT(Z458,AA458,AB458)=3,Z458&gt;=AA458,AA458&gt;=0,AB458=7),Z458-AA458,"")</f>
        <v>1</v>
      </c>
      <c r="J458" s="28" t="n">
        <f>IF(AND(COUNT(AF458,AG458,AH458)=3,AF458&gt;=AG458,AG458&gt;=0,AH458=14),AF458-AG458,"")</f>
        <v>3</v>
      </c>
      <c r="K458" s="28" t="n">
        <f>IF(AND(COUNT(AL458,AM458,AN458)=3,AL458&gt;=AM458,AM458&gt;=0,AN458=30),AL458-AM458,"")</f>
        <v>4</v>
      </c>
      <c r="L458" s="29" t="n">
        <f>IF(ISNUMBER(BI458),BI458/90,"")</f>
        <v>0.1622377195612411</v>
      </c>
      <c r="M458" s="28" t="n">
        <v>22</v>
      </c>
      <c r="N458" s="28" t="n">
        <v>0</v>
      </c>
      <c r="O458" s="28" t="n">
        <v>23</v>
      </c>
      <c r="P458" s="30" t="n">
        <f>IF(AND(ISNUMBER(L458),L458&gt;0,COUNT(M458:O458)=3,MIN(M458:O458)&gt;=0),SUM(M458:O458)/L458,"")</f>
        <v>277.37076261734256</v>
      </c>
      <c r="Q458" s="16" t="str">
        <v>沿用原计划SKU店铺</v>
      </c>
      <c r="R458" s="16" t="str">
        <v>已匹配</v>
      </c>
      <c r="S458" s="16" t="str">
        <v>在售</v>
      </c>
      <c r="T458" s="16" t="str">
        <v>1S01</v>
      </c>
      <c r="U458" s="16" t="str">
        <v>黑色</v>
      </c>
      <c r="V458" s="16" t="n">
        <v>10</v>
      </c>
      <c r="W458" s="8" t="str">
        <v>2026-10-11 至 2026-10-17</v>
      </c>
      <c r="X458" s="8" t="str">
        <v>2026-10-11、2026-10-12、2026-10-13、2026-10-14、2026-10-15、2026-10-16、2026-10-17</v>
      </c>
      <c r="Y458" s="8" t="str">
        <v>无</v>
      </c>
      <c r="Z458" s="8" t="n">
        <v>1</v>
      </c>
      <c r="AA458" s="8" t="n">
        <v>0</v>
      </c>
      <c r="AB458" s="8" t="n">
        <v>7</v>
      </c>
      <c r="AC458" s="8" t="str">
        <v>2026-10-02 至 2026-10-17</v>
      </c>
      <c r="AD458" s="8" t="str">
        <v>2026-10-02、2026-10-03、2026-10-04、2026-10-05、2026-10-08、2026-10-09、2026-10-10、2026-10-11、2026-10-12、2026-10-13、2026-10-14、2026-10-15、2026-10-16、2026-10-17</v>
      </c>
      <c r="AE458" s="8" t="str">
        <v>2026-10-06 大促；2026-10-07 大促</v>
      </c>
      <c r="AF458" s="8" t="n">
        <v>4</v>
      </c>
      <c r="AG458" s="8" t="n">
        <v>1</v>
      </c>
      <c r="AH458" s="8" t="n">
        <v>14</v>
      </c>
      <c r="AI458" s="8" t="str">
        <v>2026-09-16 至 2026-10-17</v>
      </c>
      <c r="AJ4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58" s="8" t="str">
        <v>2026-10-06 大促；2026-10-07 大促</v>
      </c>
      <c r="AL458" s="8" t="n">
        <v>5</v>
      </c>
      <c r="AM458" s="8" t="n">
        <v>1</v>
      </c>
      <c r="AN458" s="8" t="n">
        <v>30</v>
      </c>
      <c r="AO458" s="8" t="str">
        <v>1S01 / 黑色PU / 6574</v>
      </c>
      <c r="AP458" s="11" t="n">
        <v>0.8729500662042875</v>
      </c>
      <c r="AQ458" s="11" t="n">
        <v>0.8729500662042875</v>
      </c>
      <c r="AR458" s="11" t="n">
        <v>1.0921363354767095</v>
      </c>
      <c r="AS458" s="11" t="n">
        <f>IF(AND(COUNT(I458:K458,AP458:AR458)=6,MIN(AP458:AR458)&gt;0),I458/7/AP458*0.5+J458/14/AQ458*0.3+K458/30/AR458*0.2,"")</f>
        <v>0.1798832402779692</v>
      </c>
      <c r="AT458" s="8" t="n">
        <v>17</v>
      </c>
      <c r="AU458" s="8" t="n">
        <v>1</v>
      </c>
      <c r="AV458" s="8" t="n">
        <v>88</v>
      </c>
      <c r="AW458" s="11" t="n">
        <f>IF(AND(COUNT(AT458:AV458)=3,AT458&gt;=AU458,AU458&gt;=0,AV458&gt;0),(AT458-AU458)/AV458,"")</f>
        <v>0.18181818181818182</v>
      </c>
      <c r="AX458" s="8" t="n">
        <v>28</v>
      </c>
      <c r="AY458" s="8" t="n">
        <v>1</v>
      </c>
      <c r="AZ458" s="8" t="n">
        <v>178</v>
      </c>
      <c r="BA458" s="11" t="n">
        <f>IF(AND(COUNT(AX458:AZ458)=3,AX458&gt;=AY458,AY458&gt;=0,AZ458&gt;0),(AX458-AY458)/AZ458,"")</f>
        <v>0.15168539325842698</v>
      </c>
      <c r="BB458" s="8" t="n">
        <f>IF(COUNT(AS458,AW458,BA458)=3,1,0)</f>
        <v>1</v>
      </c>
      <c r="BC458" s="11" t="n">
        <f>IF(SUMIF($AO$11:$AO$1309,AO458,$BB$11:$BB$1309)=COUNTIF($AO$11:$AO$1309,AO458),SUMIF($AO$11:$AO$1309,AO458,$AS$11:$AS$1309),"")</f>
        <v>0.35366223656175183</v>
      </c>
      <c r="BD458" s="11" t="n">
        <f>IF(SUMIF($AO$11:$AO$1309,AO458,$BB$11:$BB$1309)=COUNTIF($AO$11:$AO$1309,AO458),SUMIF($AO$11:$AO$1309,AO458,$AW$11:$AW$1309),"")</f>
        <v>0.25</v>
      </c>
      <c r="BE458" s="11" t="n">
        <f>IF(SUMIF($AO$11:$AO$1309,AO458,$BB$11:$BB$1309)=COUNTIF($AO$11:$AO$1309,AO458),SUMIF($AO$11:$AO$1309,AO458,$BA$11:$BA$1309),"")</f>
        <v>0.3330016051364366</v>
      </c>
      <c r="BF458" s="12" t="n">
        <f>IF(COUNT(BD458:BE458)&lt;&gt;2,"",IF(AND(BD458&gt;0,BE458&gt;0),0.7*AW458/BD458+0.3*BA458/BE458,IF(BD458&gt;0,AW458/BD458,IF(BE458&gt;0,BA458/BE458,IF(AND(ISNUMBER(BH458),BH458=0),0,"")))))</f>
        <v>0.6457437578328352</v>
      </c>
      <c r="BG458" s="11" t="n">
        <f>IF(AND(COUNT(BN458:BU458)=8,MIN(BN458:BU458)&gt;=0),SUMPRODUCT(BN458:BQ458,BR458:BU458),"")</f>
        <v>63.935996265425516</v>
      </c>
      <c r="BH458" s="11" t="n">
        <f>IF(COUNT(BC458,BG458)=2,BC458*BG458,"")</f>
        <v>22.6117474360342</v>
      </c>
      <c r="BI458" s="11" t="n">
        <f>IF(ISNUMBER(CI458),CI458,"")</f>
        <v>14.601394760511699</v>
      </c>
      <c r="BJ458" s="8" t="str"/>
      <c r="BK458" s="8" t="str">
        <v>90天：2026-07-20 至 2026-10-17；180天：2026-04-21 至 2026-10-17</v>
      </c>
      <c r="BL458" s="8" t="str">
        <v>90天：2026-10-06、2026-10-07；180天：2026-10-06、2026-10-07</v>
      </c>
      <c r="BM458" s="8" t="str">
        <v>2026-10：12天 × 0.8729500662042875；2026-11：30天 × 0.8057375774163482；2026-12：31天 × 0.532550303142279；2027-01：17天 × 0.7517299265337036</v>
      </c>
      <c r="BN458" s="11" t="n">
        <v>0.8729500662042875</v>
      </c>
      <c r="BO458" s="11" t="n">
        <v>0.8057375774163482</v>
      </c>
      <c r="BP458" s="11" t="n">
        <v>0.532550303142279</v>
      </c>
      <c r="BQ458" s="11" t="n">
        <v>0.7517299265337036</v>
      </c>
      <c r="BR458" s="8" t="n">
        <v>12</v>
      </c>
      <c r="BS458" s="8" t="n">
        <v>30</v>
      </c>
      <c r="BT458" s="8" t="n">
        <v>31</v>
      </c>
      <c r="BU458" s="8" t="n">
        <v>17</v>
      </c>
      <c r="BV458" s="11" t="n">
        <f>IF(COUNT(BC458,BF458)=2,BC458*BF458,"")</f>
        <v>0.22837518164095075</v>
      </c>
      <c r="BW458" s="11" t="n">
        <f>IF(ISNUMBER(BN458),BN458,"")</f>
        <v>0.8729500662042875</v>
      </c>
      <c r="BX458" s="14" t="n">
        <f>IF(ISNUMBER(BR458),BR458,"")</f>
        <v>12</v>
      </c>
      <c r="BY458" s="13" t="n">
        <f>IF(AND(COUNT(BV458,BW458,BX458)=3,MIN(BV458,BW458,BX458)&gt;=0),BV458*BW458*BX458,"")</f>
        <v>2.3923215591946096</v>
      </c>
      <c r="BZ458" s="11" t="n">
        <f>IF(ISNUMBER(BO458),BO458,"")</f>
        <v>0.8057375774163482</v>
      </c>
      <c r="CA458" s="14" t="n">
        <f>IF(ISNUMBER(BS458),BS458,"")</f>
        <v>30</v>
      </c>
      <c r="CB458" s="13" t="n">
        <f>IF(AND(COUNT(BV458,BZ458,CA458)=3,MIN(BV458,BZ458,CA458)&gt;=0),BV458*BZ458*CA458,"")</f>
        <v>5.520313967921944</v>
      </c>
      <c r="CC458" s="11" t="n">
        <f>IF(ISNUMBER(BP458),BP458,"")</f>
        <v>0.532550303142279</v>
      </c>
      <c r="CD458" s="14" t="n">
        <f>IF(ISNUMBER(BT458),BT458,"")</f>
        <v>31</v>
      </c>
      <c r="CE458" s="13" t="n">
        <f>IF(AND(COUNT(BV458,CC458,CD458)=3,MIN(BV458,CC458,CD458)&gt;=0),BV458*CC458*CD458,"")</f>
        <v>3.7702594386049024</v>
      </c>
      <c r="CF458" s="11" t="n">
        <f>IF(ISNUMBER(BQ458),BQ458,"")</f>
        <v>0.7517299265337036</v>
      </c>
      <c r="CG458" s="14" t="n">
        <f>IF(ISNUMBER(BU458),BU458,"")</f>
        <v>17</v>
      </c>
      <c r="CH458" s="13" t="n">
        <f>IF(AND(COUNT(BV458,CF458,CG458)=3,MIN(BV458,CF458,CG458)&gt;=0),BV458*CF458*CG458,"")</f>
        <v>2.918499794790243</v>
      </c>
      <c r="CI458" s="13" t="n">
        <f>IF(COUNT(BY458,CB458,CE458,CH458)=4,SUM(BY458,CB458,CE458,CH458),"")</f>
        <v>14.601394760511699</v>
      </c>
    </row>
    <row r="459" ht="72" customHeight="1">
      <c r="A459" s="16" t="str">
        <v>1S01-BKP-42</v>
      </c>
      <c r="B459" s="16" t="str">
        <v>3店-SANDIEX-US</v>
      </c>
      <c r="C459" s="16" t="str">
        <v>徐新怡</v>
      </c>
      <c r="D459" s="26" t="n">
        <f>IF(NOT(ISNUMBER(E459)),"",IF(OR(E459&lt;=0,L459=0),0,IF(OR(NOT(ISNUMBER(F459)),F459&lt;0),"",MIN(E459,INT(F459)))))</f>
        <v>0</v>
      </c>
      <c r="E459" s="27" t="n">
        <f>IF(OR(NOT(ISNUMBER(L459)),COUNT(M459:O459)&lt;&gt;3,MIN(M459:O459)&lt;0),"",ROUNDUP(ROUND(BI459-SUM(M459:O459),10),0))</f>
        <v>0</v>
      </c>
      <c r="F459" s="28" t="n">
        <v>49</v>
      </c>
      <c r="G459" s="28" t="n">
        <f>IF(AND(ISNUMBER(D459),ISNUMBER(E459)),IF(OR(E459&lt;=0,L459=0),0,E459-D459),"")</f>
        <v>0</v>
      </c>
      <c r="H459" s="16" t="str">
        <f>IF(NOT(ISNUMBER(E459)),"销量或海外库存待补",IF(OR(E459&lt;=0,L459=0),IF(L459=0,"零日销，本批不发","本批无需补货"),IF(NOT(ISNUMBER(D459)),"国内库存待补",IF(D459=0,"国内无可用库存",IF(G459&gt;0,"先发国内现货","按建议量发货")))))</f>
        <v>零日销，本批不发</v>
      </c>
      <c r="I459" s="28" t="n">
        <f>IF(AND(COUNT(Z459,AA459,AB459)=3,Z459&gt;=AA459,AA459&gt;=0,AB459=7),Z459-AA459,"")</f>
        <v>0</v>
      </c>
      <c r="J459" s="28" t="n">
        <f>IF(AND(COUNT(AF459,AG459,AH459)=3,AF459&gt;=AG459,AG459&gt;=0,AH459=14),AF459-AG459,"")</f>
        <v>0</v>
      </c>
      <c r="K459" s="28" t="n">
        <f>IF(AND(COUNT(AL459,AM459,AN459)=3,AL459&gt;=AM459,AM459&gt;=0,AN459=30),AL459-AM459,"")</f>
        <v>0</v>
      </c>
      <c r="L459" s="29" t="n">
        <f>IF(ISNUMBER(BI459),BI459/90,"")</f>
        <v>0</v>
      </c>
      <c r="M459" s="28" t="n">
        <v>0</v>
      </c>
      <c r="N459" s="28" t="n">
        <v>0</v>
      </c>
      <c r="O459" s="28" t="n">
        <v>0</v>
      </c>
      <c r="P459" s="30" t="str">
        <f>IF(AND(ISNUMBER(L459),L459&gt;0,COUNT(M459:O459)=3,MIN(M459:O459)&gt;=0),SUM(M459:O459)/L459,"")</f>
      </c>
      <c r="Q459" s="16" t="str">
        <v>沿用原计划SKU店铺</v>
      </c>
      <c r="R459" s="16" t="str">
        <v>已匹配</v>
      </c>
      <c r="S459" s="16" t="str">
        <v>停售</v>
      </c>
      <c r="T459" s="16" t="str">
        <v>1S01</v>
      </c>
      <c r="U459" s="16" t="str">
        <v>黑色</v>
      </c>
      <c r="V459" s="16" t="n">
        <v>11</v>
      </c>
      <c r="W459" s="8" t="str">
        <v>2026-10-08 至 2026-10-17</v>
      </c>
      <c r="X459" s="8" t="str">
        <v>2026-10-08、2026-10-09、2026-10-10、2026-10-11、2026-10-14、2026-10-15、2026-10-17</v>
      </c>
      <c r="Y459" s="8" t="str">
        <v>2026-10-12 有记录的停售日；2026-10-13 有记录的停售日；2026-10-16 有记录的停售日</v>
      </c>
      <c r="Z459" s="8" t="n">
        <v>0</v>
      </c>
      <c r="AA459" s="8" t="n">
        <v>0</v>
      </c>
      <c r="AB459" s="8" t="n">
        <v>7</v>
      </c>
      <c r="AC459" s="8" t="str">
        <v>2026-09-29 至 2026-10-17</v>
      </c>
      <c r="AD459" s="8" t="str">
        <v>2026-09-29、2026-09-30、2026-10-01、2026-10-02、2026-10-03、2026-10-04、2026-10-05、2026-10-08、2026-10-09、2026-10-10、2026-10-11、2026-10-14、2026-10-15、2026-10-17</v>
      </c>
      <c r="AE459" s="8" t="str">
        <v>2026-10-06 大促；2026-10-07 大促；2026-10-12 有记录的停售日；2026-10-13 有记录的停售日；2026-10-16 有记录的停售日</v>
      </c>
      <c r="AF459" s="8" t="n">
        <v>0</v>
      </c>
      <c r="AG459" s="8" t="n">
        <v>0</v>
      </c>
      <c r="AH459" s="8" t="n">
        <v>14</v>
      </c>
      <c r="AI459" s="8" t="str">
        <v>2026-09-13 至 2026-10-17</v>
      </c>
      <c r="AJ45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59" s="8" t="str">
        <v>2026-10-06 大促；2026-10-07 大促；2026-10-12 有记录的停售日；2026-10-13 有记录的停售日；2026-10-16 有记录的停售日</v>
      </c>
      <c r="AL459" s="8" t="n">
        <v>0</v>
      </c>
      <c r="AM459" s="8" t="n">
        <v>0</v>
      </c>
      <c r="AN459" s="8" t="n">
        <v>30</v>
      </c>
      <c r="AO459" s="8" t="str">
        <v>1S01 / 黑色PU / 6574</v>
      </c>
      <c r="AP459" s="11" t="n">
        <v>0.8729500662042875</v>
      </c>
      <c r="AQ459" s="11" t="n">
        <v>0.9355747145678367</v>
      </c>
      <c r="AR459" s="11" t="n">
        <v>1.135973589331194</v>
      </c>
      <c r="AS459" s="11" t="n">
        <f>IF(AND(COUNT(I459:K459,AP459:AR459)=6,MIN(AP459:AR459)&gt;0),I459/7/AP459*0.5+J459/14/AQ459*0.3+K459/30/AR459*0.2,"")</f>
        <v>0</v>
      </c>
      <c r="AT459" s="8" t="n">
        <v>0</v>
      </c>
      <c r="AU459" s="8" t="n">
        <v>0</v>
      </c>
      <c r="AV459" s="8" t="n">
        <v>85</v>
      </c>
      <c r="AW459" s="11" t="n">
        <f>IF(AND(COUNT(AT459:AV459)=3,AT459&gt;=AU459,AU459&gt;=0,AV459&gt;0),(AT459-AU459)/AV459,"")</f>
        <v>0</v>
      </c>
      <c r="AX459" s="8" t="n">
        <v>0</v>
      </c>
      <c r="AY459" s="8" t="n">
        <v>0</v>
      </c>
      <c r="AZ459" s="8" t="n">
        <v>175</v>
      </c>
      <c r="BA459" s="11" t="n">
        <f>IF(AND(COUNT(AX459:AZ459)=3,AX459&gt;=AY459,AY459&gt;=0,AZ459&gt;0),(AX459-AY459)/AZ459,"")</f>
        <v>0</v>
      </c>
      <c r="BB459" s="8" t="n">
        <f>IF(COUNT(AS459,AW459,BA459)=3,1,0)</f>
        <v>1</v>
      </c>
      <c r="BC459" s="11" t="n">
        <f>IF(SUMIF($AO$11:$AO$1309,AO459,$BB$11:$BB$1309)=COUNTIF($AO$11:$AO$1309,AO459),SUMIF($AO$11:$AO$1309,AO459,$AS$11:$AS$1309),"")</f>
        <v>0.35366223656175183</v>
      </c>
      <c r="BD459" s="11" t="n">
        <f>IF(SUMIF($AO$11:$AO$1309,AO459,$BB$11:$BB$1309)=COUNTIF($AO$11:$AO$1309,AO459),SUMIF($AO$11:$AO$1309,AO459,$AW$11:$AW$1309),"")</f>
        <v>0.25</v>
      </c>
      <c r="BE459" s="11" t="n">
        <f>IF(SUMIF($AO$11:$AO$1309,AO459,$BB$11:$BB$1309)=COUNTIF($AO$11:$AO$1309,AO459),SUMIF($AO$11:$AO$1309,AO459,$BA$11:$BA$1309),"")</f>
        <v>0.3330016051364366</v>
      </c>
      <c r="BF459" s="12" t="n">
        <f>IF(COUNT(BD459:BE459)&lt;&gt;2,"",IF(AND(BD459&gt;0,BE459&gt;0),0.7*AW459/BD459+0.3*BA459/BE459,IF(BD459&gt;0,AW459/BD459,IF(BE459&gt;0,BA459/BE459,IF(AND(ISNUMBER(BH459),BH459=0),0,"")))))</f>
        <v>0</v>
      </c>
      <c r="BG459" s="11" t="n">
        <f>IF(AND(COUNT(BN459:BU459)=8,MIN(BN459:BU459)&gt;=0),SUMPRODUCT(BN459:BQ459,BR459:BU459),"")</f>
        <v>63.935996265425516</v>
      </c>
      <c r="BH459" s="11" t="n">
        <f>IF(COUNT(BC459,BG459)=2,BC459*BG459,"")</f>
        <v>22.6117474360342</v>
      </c>
      <c r="BI459" s="11" t="n">
        <f>IF(ISNUMBER(CI459),CI459,"")</f>
        <v>0</v>
      </c>
      <c r="BJ459" s="8" t="str"/>
      <c r="BK459" s="8" t="str">
        <v>90天：2026-07-20 至 2026-10-17；180天：2026-04-21 至 2026-10-17</v>
      </c>
      <c r="BL459" s="8" t="str">
        <v>90天：2026-10-06、2026-10-07、2026-10-12、2026-10-13、2026-10-16；180天：2026-10-06、2026-10-07、2026-10-12、2026-10-13、2026-10-16</v>
      </c>
      <c r="BM459" s="8" t="str">
        <v>2026-10：12天 × 0.8729500662042875；2026-11：30天 × 0.8057375774163482；2026-12：31天 × 0.532550303142279；2027-01：17天 × 0.7517299265337036</v>
      </c>
      <c r="BN459" s="11" t="n">
        <v>0.8729500662042875</v>
      </c>
      <c r="BO459" s="11" t="n">
        <v>0.8057375774163482</v>
      </c>
      <c r="BP459" s="11" t="n">
        <v>0.532550303142279</v>
      </c>
      <c r="BQ459" s="11" t="n">
        <v>0.7517299265337036</v>
      </c>
      <c r="BR459" s="8" t="n">
        <v>12</v>
      </c>
      <c r="BS459" s="8" t="n">
        <v>30</v>
      </c>
      <c r="BT459" s="8" t="n">
        <v>31</v>
      </c>
      <c r="BU459" s="8" t="n">
        <v>17</v>
      </c>
      <c r="BV459" s="11" t="n">
        <f>IF(COUNT(BC459,BF459)=2,BC459*BF459,"")</f>
        <v>0</v>
      </c>
      <c r="BW459" s="11" t="n">
        <f>IF(ISNUMBER(BN459),BN459,"")</f>
        <v>0.8729500662042875</v>
      </c>
      <c r="BX459" s="14" t="n">
        <f>IF(ISNUMBER(BR459),BR459,"")</f>
        <v>12</v>
      </c>
      <c r="BY459" s="13" t="n">
        <f>IF(AND(COUNT(BV459,BW459,BX459)=3,MIN(BV459,BW459,BX459)&gt;=0),BV459*BW459*BX459,"")</f>
        <v>0</v>
      </c>
      <c r="BZ459" s="11" t="n">
        <f>IF(ISNUMBER(BO459),BO459,"")</f>
        <v>0.8057375774163482</v>
      </c>
      <c r="CA459" s="14" t="n">
        <f>IF(ISNUMBER(BS459),BS459,"")</f>
        <v>30</v>
      </c>
      <c r="CB459" s="13" t="n">
        <f>IF(AND(COUNT(BV459,BZ459,CA459)=3,MIN(BV459,BZ459,CA459)&gt;=0),BV459*BZ459*CA459,"")</f>
        <v>0</v>
      </c>
      <c r="CC459" s="11" t="n">
        <f>IF(ISNUMBER(BP459),BP459,"")</f>
        <v>0.532550303142279</v>
      </c>
      <c r="CD459" s="14" t="n">
        <f>IF(ISNUMBER(BT459),BT459,"")</f>
        <v>31</v>
      </c>
      <c r="CE459" s="13" t="n">
        <f>IF(AND(COUNT(BV459,CC459,CD459)=3,MIN(BV459,CC459,CD459)&gt;=0),BV459*CC459*CD459,"")</f>
        <v>0</v>
      </c>
      <c r="CF459" s="11" t="n">
        <f>IF(ISNUMBER(BQ459),BQ459,"")</f>
        <v>0.7517299265337036</v>
      </c>
      <c r="CG459" s="14" t="n">
        <f>IF(ISNUMBER(BU459),BU459,"")</f>
        <v>17</v>
      </c>
      <c r="CH459" s="13" t="n">
        <f>IF(AND(COUNT(BV459,CF459,CG459)=3,MIN(BV459,CF459,CG459)&gt;=0),BV459*CF459*CG459,"")</f>
        <v>0</v>
      </c>
      <c r="CI459" s="13" t="n">
        <f>IF(COUNT(BY459,CB459,CE459,CH459)=4,SUM(BY459,CB459,CE459,CH459),"")</f>
        <v>0</v>
      </c>
    </row>
    <row r="460" ht="72" customHeight="1">
      <c r="A460" s="16" t="str">
        <v>1S01-BLK-36</v>
      </c>
      <c r="B460" s="16" t="str">
        <v>3店-SANDIEX-US</v>
      </c>
      <c r="C460" s="16" t="str">
        <v>徐新怡</v>
      </c>
      <c r="D460" s="26" t="n">
        <f>IF(NOT(ISNUMBER(E460)),"",IF(OR(E460&lt;=0,L460=0),0,IF(OR(NOT(ISNUMBER(F460)),F460&lt;0),"",MIN(E460,INT(F460)))))</f>
        <v>0</v>
      </c>
      <c r="E460" s="27" t="n">
        <f>IF(OR(NOT(ISNUMBER(L460)),COUNT(M460:O460)&lt;&gt;3,MIN(M460:O460)&lt;0),"",ROUNDUP(ROUND(BI460-SUM(M460:O460),10),0))</f>
        <v>0</v>
      </c>
      <c r="F460" s="28" t="n">
        <v>0</v>
      </c>
      <c r="G460" s="28" t="n">
        <f>IF(AND(ISNUMBER(D460),ISNUMBER(E460)),IF(OR(E460&lt;=0,L460=0),0,E460-D460),"")</f>
        <v>0</v>
      </c>
      <c r="H460" s="16" t="str">
        <f>IF(NOT(ISNUMBER(E460)),"销量或海外库存待补",IF(OR(E460&lt;=0,L460=0),IF(L460=0,"零日销，本批不发","本批无需补货"),IF(NOT(ISNUMBER(D460)),"国内库存待补",IF(D460=0,"国内无可用库存",IF(G460&gt;0,"先发国内现货","按建议量发货")))))</f>
        <v>零日销，本批不发</v>
      </c>
      <c r="I460" s="28" t="n">
        <f>IF(AND(COUNT(Z460,AA460,AB460)=3,Z460&gt;=AA460,AA460&gt;=0,AB460=7),Z460-AA460,"")</f>
        <v>0</v>
      </c>
      <c r="J460" s="28" t="n">
        <f>IF(AND(COUNT(AF460,AG460,AH460)=3,AF460&gt;=AG460,AG460&gt;=0,AH460=14),AF460-AG460,"")</f>
        <v>0</v>
      </c>
      <c r="K460" s="28" t="n">
        <f>IF(AND(COUNT(AL460,AM460,AN460)=3,AL460&gt;=AM460,AM460&gt;=0,AN460=30),AL460-AM460,"")</f>
        <v>0</v>
      </c>
      <c r="L460" s="29" t="n">
        <f>IF(ISNUMBER(BI460),BI460/90,"")</f>
        <v>0</v>
      </c>
      <c r="M460" s="28" t="n">
        <v>0</v>
      </c>
      <c r="N460" s="28" t="n">
        <v>0</v>
      </c>
      <c r="O460" s="28" t="n">
        <v>0</v>
      </c>
      <c r="P460" s="30" t="str">
        <f>IF(AND(ISNUMBER(L460),L460&gt;0,COUNT(M460:O460)=3,MIN(M460:O460)&gt;=0),SUM(M460:O460)/L460,"")</f>
      </c>
      <c r="Q460" s="16" t="str">
        <v>沿用同SPU原计划店铺</v>
      </c>
      <c r="R460" s="16" t="str">
        <v>已匹配</v>
      </c>
      <c r="S460" s="16" t="str">
        <v>停售</v>
      </c>
      <c r="T460" s="16" t="str">
        <v>1S01</v>
      </c>
      <c r="U460" s="16" t="str">
        <v>黑色</v>
      </c>
      <c r="V460" s="16" t="n">
        <v>5</v>
      </c>
      <c r="W460" s="8" t="str">
        <v>2026-10-08 至 2026-10-17</v>
      </c>
      <c r="X460" s="8" t="str">
        <v>2026-10-08、2026-10-09、2026-10-10、2026-10-11、2026-10-14、2026-10-15、2026-10-17</v>
      </c>
      <c r="Y460" s="8" t="str">
        <v>2026-10-12 有记录的停售日；2026-10-13 有记录的停售日；2026-10-16 有记录的停售日</v>
      </c>
      <c r="Z460" s="8" t="n">
        <v>0</v>
      </c>
      <c r="AA460" s="8" t="n">
        <v>0</v>
      </c>
      <c r="AB460" s="8" t="n">
        <v>7</v>
      </c>
      <c r="AC460" s="8" t="str">
        <v>2026-09-29 至 2026-10-17</v>
      </c>
      <c r="AD460" s="8" t="str">
        <v>2026-09-29、2026-09-30、2026-10-01、2026-10-02、2026-10-03、2026-10-04、2026-10-05、2026-10-08、2026-10-09、2026-10-10、2026-10-11、2026-10-14、2026-10-15、2026-10-17</v>
      </c>
      <c r="AE460" s="8" t="str">
        <v>2026-10-06 大促；2026-10-07 大促；2026-10-12 有记录的停售日；2026-10-13 有记录的停售日；2026-10-16 有记录的停售日</v>
      </c>
      <c r="AF460" s="8" t="n">
        <v>0</v>
      </c>
      <c r="AG460" s="8" t="n">
        <v>0</v>
      </c>
      <c r="AH460" s="8" t="n">
        <v>14</v>
      </c>
      <c r="AI460" s="8" t="str">
        <v>2026-09-13 至 2026-10-17</v>
      </c>
      <c r="AJ46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60" s="8" t="str">
        <v>2026-10-06 大促；2026-10-07 大促；2026-10-12 有记录的停售日；2026-10-13 有记录的停售日；2026-10-16 有记录的停售日</v>
      </c>
      <c r="AL460" s="8" t="n">
        <v>0</v>
      </c>
      <c r="AM460" s="8" t="n">
        <v>0</v>
      </c>
      <c r="AN460" s="8" t="n">
        <v>30</v>
      </c>
      <c r="AO460" s="8" t="str">
        <v>1S01 / 黑色羊京绒 / 6574</v>
      </c>
      <c r="AP460" s="11" t="n">
        <v>0.8729500662042875</v>
      </c>
      <c r="AQ460" s="11" t="n">
        <v>0.9355747145678367</v>
      </c>
      <c r="AR460" s="11" t="n">
        <v>1.135973589331194</v>
      </c>
      <c r="AS460" s="11" t="n">
        <f>IF(AND(COUNT(I460:K460,AP460:AR460)=6,MIN(AP460:AR460)&gt;0),I460/7/AP460*0.5+J460/14/AQ460*0.3+K460/30/AR460*0.2,"")</f>
        <v>0</v>
      </c>
      <c r="AT460" s="8" t="n">
        <v>0</v>
      </c>
      <c r="AU460" s="8" t="n">
        <v>0</v>
      </c>
      <c r="AV460" s="8" t="n">
        <v>85</v>
      </c>
      <c r="AW460" s="11" t="n">
        <f>IF(AND(COUNT(AT460:AV460)=3,AT460&gt;=AU460,AU460&gt;=0,AV460&gt;0),(AT460-AU460)/AV460,"")</f>
        <v>0</v>
      </c>
      <c r="AX460" s="8" t="n">
        <v>0</v>
      </c>
      <c r="AY460" s="8" t="n">
        <v>0</v>
      </c>
      <c r="AZ460" s="8" t="n">
        <v>175</v>
      </c>
      <c r="BA460" s="11" t="n">
        <f>IF(AND(COUNT(AX460:AZ460)=3,AX460&gt;=AY460,AY460&gt;=0,AZ460&gt;0),(AX460-AY460)/AZ460,"")</f>
        <v>0</v>
      </c>
      <c r="BB460" s="8" t="n">
        <f>IF(COUNT(AS460,AW460,BA460)=3,1,0)</f>
        <v>1</v>
      </c>
      <c r="BC460" s="11" t="n">
        <f>IF(SUMIF($AO$11:$AO$1309,AO460,$BB$11:$BB$1309)=COUNTIF($AO$11:$AO$1309,AO460),SUMIF($AO$11:$AO$1309,AO460,$AS$11:$AS$1309),"")</f>
        <v>6.231458447413107</v>
      </c>
      <c r="BD460" s="11" t="n">
        <f>IF(SUMIF($AO$11:$AO$1309,AO460,$BB$11:$BB$1309)=COUNTIF($AO$11:$AO$1309,AO460),SUMIF($AO$11:$AO$1309,AO460,$AW$11:$AW$1309),"")</f>
        <v>5.866248693834901</v>
      </c>
      <c r="BE460" s="11" t="n">
        <f>IF(SUMIF($AO$11:$AO$1309,AO460,$BB$11:$BB$1309)=COUNTIF($AO$11:$AO$1309,AO460),SUMIF($AO$11:$AO$1309,AO460,$BA$11:$BA$1309),"")</f>
        <v>4.27632831841554</v>
      </c>
      <c r="BF460" s="12" t="n">
        <f>IF(COUNT(BD460:BE460)&lt;&gt;2,"",IF(AND(BD460&gt;0,BE460&gt;0),0.7*AW460/BD460+0.3*BA460/BE460,IF(BD460&gt;0,AW460/BD460,IF(BE460&gt;0,BA460/BE460,IF(AND(ISNUMBER(BH460),BH460=0),0,"")))))</f>
        <v>0</v>
      </c>
      <c r="BG460" s="11" t="n">
        <f>IF(AND(COUNT(BN460:BU460)=8,MIN(BN460:BU460)&gt;=0),SUMPRODUCT(BN460:BQ460,BR460:BU460),"")</f>
        <v>63.935996265425516</v>
      </c>
      <c r="BH460" s="11" t="n">
        <f>IF(COUNT(BC460,BG460)=2,BC460*BG460,"")</f>
        <v>398.4145040219587</v>
      </c>
      <c r="BI460" s="11" t="n">
        <f>IF(ISNUMBER(CI460),CI460,"")</f>
        <v>0</v>
      </c>
      <c r="BJ460" s="8" t="str"/>
      <c r="BK460" s="8" t="str">
        <v>90天：2026-07-20 至 2026-10-17；180天：2026-04-21 至 2026-10-17</v>
      </c>
      <c r="BL460" s="8" t="str">
        <v>90天：2026-10-06、2026-10-07、2026-10-12、2026-10-13、2026-10-16；180天：2026-10-06、2026-10-07、2026-10-12、2026-10-13、2026-10-16</v>
      </c>
      <c r="BM460" s="8" t="str">
        <v>2026-10：12天 × 0.8729500662042875；2026-11：30天 × 0.8057375774163482；2026-12：31天 × 0.532550303142279；2027-01：17天 × 0.7517299265337036</v>
      </c>
      <c r="BN460" s="11" t="n">
        <v>0.8729500662042875</v>
      </c>
      <c r="BO460" s="11" t="n">
        <v>0.8057375774163482</v>
      </c>
      <c r="BP460" s="11" t="n">
        <v>0.532550303142279</v>
      </c>
      <c r="BQ460" s="11" t="n">
        <v>0.7517299265337036</v>
      </c>
      <c r="BR460" s="8" t="n">
        <v>12</v>
      </c>
      <c r="BS460" s="8" t="n">
        <v>30</v>
      </c>
      <c r="BT460" s="8" t="n">
        <v>31</v>
      </c>
      <c r="BU460" s="8" t="n">
        <v>17</v>
      </c>
      <c r="BV460" s="11" t="n">
        <f>IF(COUNT(BC460,BF460)=2,BC460*BF460,"")</f>
        <v>0</v>
      </c>
      <c r="BW460" s="11" t="n">
        <f>IF(ISNUMBER(BN460),BN460,"")</f>
        <v>0.8729500662042875</v>
      </c>
      <c r="BX460" s="14" t="n">
        <f>IF(ISNUMBER(BR460),BR460,"")</f>
        <v>12</v>
      </c>
      <c r="BY460" s="13" t="n">
        <f>IF(AND(COUNT(BV460,BW460,BX460)=3,MIN(BV460,BW460,BX460)&gt;=0),BV460*BW460*BX460,"")</f>
        <v>0</v>
      </c>
      <c r="BZ460" s="11" t="n">
        <f>IF(ISNUMBER(BO460),BO460,"")</f>
        <v>0.8057375774163482</v>
      </c>
      <c r="CA460" s="14" t="n">
        <f>IF(ISNUMBER(BS460),BS460,"")</f>
        <v>30</v>
      </c>
      <c r="CB460" s="13" t="n">
        <f>IF(AND(COUNT(BV460,BZ460,CA460)=3,MIN(BV460,BZ460,CA460)&gt;=0),BV460*BZ460*CA460,"")</f>
        <v>0</v>
      </c>
      <c r="CC460" s="11" t="n">
        <f>IF(ISNUMBER(BP460),BP460,"")</f>
        <v>0.532550303142279</v>
      </c>
      <c r="CD460" s="14" t="n">
        <f>IF(ISNUMBER(BT460),BT460,"")</f>
        <v>31</v>
      </c>
      <c r="CE460" s="13" t="n">
        <f>IF(AND(COUNT(BV460,CC460,CD460)=3,MIN(BV460,CC460,CD460)&gt;=0),BV460*CC460*CD460,"")</f>
        <v>0</v>
      </c>
      <c r="CF460" s="11" t="n">
        <f>IF(ISNUMBER(BQ460),BQ460,"")</f>
        <v>0.7517299265337036</v>
      </c>
      <c r="CG460" s="14" t="n">
        <f>IF(ISNUMBER(BU460),BU460,"")</f>
        <v>17</v>
      </c>
      <c r="CH460" s="13" t="n">
        <f>IF(AND(COUNT(BV460,CF460,CG460)=3,MIN(BV460,CF460,CG460)&gt;=0),BV460*CF460*CG460,"")</f>
        <v>0</v>
      </c>
      <c r="CI460" s="13" t="n">
        <f>IF(COUNT(BY460,CB460,CE460,CH460)=4,SUM(BY460,CB460,CE460,CH460),"")</f>
        <v>0</v>
      </c>
    </row>
    <row r="461" ht="72" customHeight="1">
      <c r="A461" s="16" t="str">
        <v>1S01-BLK-37</v>
      </c>
      <c r="B461" s="16" t="str">
        <v>3店-SANDIEX-US</v>
      </c>
      <c r="C461" s="16" t="str">
        <v>徐新怡</v>
      </c>
      <c r="D461" s="26" t="n">
        <f>IF(NOT(ISNUMBER(E461)),"",IF(OR(E461&lt;=0,L461=0),0,IF(OR(NOT(ISNUMBER(F461)),F461&lt;0),"",MIN(E461,INT(F461)))))</f>
        <v>0</v>
      </c>
      <c r="E461" s="27" t="n">
        <f>IF(OR(NOT(ISNUMBER(L461)),COUNT(M461:O461)&lt;&gt;3,MIN(M461:O461)&lt;0),"",ROUNDUP(ROUND(BI461-SUM(M461:O461),10),0))</f>
        <v>-34</v>
      </c>
      <c r="F461" s="28" t="n">
        <v>1</v>
      </c>
      <c r="G461" s="28" t="n">
        <f>IF(AND(ISNUMBER(D461),ISNUMBER(E461)),IF(OR(E461&lt;=0,L461=0),0,E461-D461),"")</f>
        <v>0</v>
      </c>
      <c r="H461" s="16" t="str">
        <f>IF(NOT(ISNUMBER(E461)),"销量或海外库存待补",IF(OR(E461&lt;=0,L461=0),IF(L461=0,"零日销，本批不发","本批无需补货"),IF(NOT(ISNUMBER(D461)),"国内库存待补",IF(D461=0,"国内无可用库存",IF(G461&gt;0,"先发国内现货","按建议量发货")))))</f>
        <v>本批无需补货</v>
      </c>
      <c r="I461" s="28" t="n">
        <f>IF(AND(COUNT(Z461,AA461,AB461)=3,Z461&gt;=AA461,AA461&gt;=0,AB461=7),Z461-AA461,"")</f>
        <v>1</v>
      </c>
      <c r="J461" s="28" t="n">
        <f>IF(AND(COUNT(AF461,AG461,AH461)=3,AF461&gt;=AG461,AG461&gt;=0,AH461=14),AF461-AG461,"")</f>
        <v>1</v>
      </c>
      <c r="K461" s="28" t="n">
        <f>IF(AND(COUNT(AL461,AM461,AN461)=3,AL461&gt;=AM461,AM461&gt;=0,AN461=30),AL461-AM461,"")</f>
        <v>3</v>
      </c>
      <c r="L461" s="29" t="n">
        <f>IF(ISNUMBER(BI461),BI461/90,"")</f>
        <v>0.07265514930733369</v>
      </c>
      <c r="M461" s="28" t="n">
        <v>0</v>
      </c>
      <c r="N461" s="28" t="n">
        <v>0</v>
      </c>
      <c r="O461" s="28" t="n">
        <v>40</v>
      </c>
      <c r="P461" s="30" t="n">
        <f>IF(AND(ISNUMBER(L461),L461&gt;0,COUNT(M461:O461)=3,MIN(M461:O461)&gt;=0),SUM(M461:O461)/L461,"")</f>
        <v>550.5459748048783</v>
      </c>
      <c r="Q461" s="16" t="str">
        <v>沿用原计划SKU店铺</v>
      </c>
      <c r="R461" s="16" t="str">
        <v>已匹配</v>
      </c>
      <c r="S461" s="16" t="str">
        <v>在售</v>
      </c>
      <c r="T461" s="16" t="str">
        <v>1S01</v>
      </c>
      <c r="U461" s="16" t="str">
        <v>黑色</v>
      </c>
      <c r="V461" s="16" t="n">
        <v>6</v>
      </c>
      <c r="W461" s="8" t="str">
        <v>2026-10-11 至 2026-10-17</v>
      </c>
      <c r="X461" s="8" t="str">
        <v>2026-10-11、2026-10-12、2026-10-13、2026-10-14、2026-10-15、2026-10-16、2026-10-17</v>
      </c>
      <c r="Y461" s="8" t="str">
        <v>无</v>
      </c>
      <c r="Z461" s="8" t="n">
        <v>1</v>
      </c>
      <c r="AA461" s="8" t="n">
        <v>0</v>
      </c>
      <c r="AB461" s="8" t="n">
        <v>7</v>
      </c>
      <c r="AC461" s="8" t="str">
        <v>2026-10-02 至 2026-10-17</v>
      </c>
      <c r="AD461" s="8" t="str">
        <v>2026-10-02、2026-10-03、2026-10-04、2026-10-05、2026-10-08、2026-10-09、2026-10-10、2026-10-11、2026-10-12、2026-10-13、2026-10-14、2026-10-15、2026-10-16、2026-10-17</v>
      </c>
      <c r="AE461" s="8" t="str">
        <v>2026-10-06 大促；2026-10-07 大促</v>
      </c>
      <c r="AF461" s="8" t="n">
        <v>2</v>
      </c>
      <c r="AG461" s="8" t="n">
        <v>1</v>
      </c>
      <c r="AH461" s="8" t="n">
        <v>14</v>
      </c>
      <c r="AI461" s="8" t="str">
        <v>2026-09-16 至 2026-10-17</v>
      </c>
      <c r="AJ4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1" s="8" t="str">
        <v>2026-10-06 大促；2026-10-07 大促</v>
      </c>
      <c r="AL461" s="8" t="n">
        <v>4</v>
      </c>
      <c r="AM461" s="8" t="n">
        <v>1</v>
      </c>
      <c r="AN461" s="8" t="n">
        <v>30</v>
      </c>
      <c r="AO461" s="8" t="str">
        <v>1S01 / 黑色羊京绒 / 6574</v>
      </c>
      <c r="AP461" s="11" t="n">
        <v>0.8729500662042875</v>
      </c>
      <c r="AQ461" s="11" t="n">
        <v>0.8729500662042875</v>
      </c>
      <c r="AR461" s="11" t="n">
        <v>1.0921363354767095</v>
      </c>
      <c r="AS461" s="11" t="n">
        <f>IF(AND(COUNT(I461:K461,AP461:AR461)=6,MIN(AP461:AR461)&gt;0),I461/7/AP461*0.5+J461/14/AQ461*0.3+K461/30/AR461*0.2,"")</f>
        <v>0.1246843865044491</v>
      </c>
      <c r="AT461" s="8" t="n">
        <v>7</v>
      </c>
      <c r="AU461" s="8" t="n">
        <v>1</v>
      </c>
      <c r="AV461" s="8" t="n">
        <v>88</v>
      </c>
      <c r="AW461" s="11" t="n">
        <f>IF(AND(COUNT(AT461:AV461)=3,AT461&gt;=AU461,AU461&gt;=0,AV461&gt;0),(AT461-AU461)/AV461,"")</f>
        <v>0.06818181818181818</v>
      </c>
      <c r="AX461" s="8" t="n">
        <v>22</v>
      </c>
      <c r="AY461" s="8" t="n">
        <v>1</v>
      </c>
      <c r="AZ461" s="8" t="n">
        <v>178</v>
      </c>
      <c r="BA461" s="11" t="n">
        <f>IF(AND(COUNT(AX461:AZ461)=3,AX461&gt;=AY461,AY461&gt;=0,AZ461&gt;0),(AX461-AY461)/AZ461,"")</f>
        <v>0.11797752808988764</v>
      </c>
      <c r="BB461" s="8" t="n">
        <f>IF(COUNT(AS461,AW461,BA461)=3,1,0)</f>
        <v>1</v>
      </c>
      <c r="BC461" s="11" t="n">
        <f>IF(SUMIF($AO$11:$AO$1309,AO461,$BB$11:$BB$1309)=COUNTIF($AO$11:$AO$1309,AO461),SUMIF($AO$11:$AO$1309,AO461,$AS$11:$AS$1309),"")</f>
        <v>6.231458447413107</v>
      </c>
      <c r="BD461" s="11" t="n">
        <f>IF(SUMIF($AO$11:$AO$1309,AO461,$BB$11:$BB$1309)=COUNTIF($AO$11:$AO$1309,AO461),SUMIF($AO$11:$AO$1309,AO461,$AW$11:$AW$1309),"")</f>
        <v>5.866248693834901</v>
      </c>
      <c r="BE461" s="11" t="n">
        <f>IF(SUMIF($AO$11:$AO$1309,AO461,$BB$11:$BB$1309)=COUNTIF($AO$11:$AO$1309,AO461),SUMIF($AO$11:$AO$1309,AO461,$BA$11:$BA$1309),"")</f>
        <v>4.27632831841554</v>
      </c>
      <c r="BF461" s="12" t="n">
        <f>IF(COUNT(BD461:BE461)&lt;&gt;2,"",IF(AND(BD461&gt;0,BE461&gt;0),0.7*AW461/BD461+0.3*BA461/BE461,IF(BD461&gt;0,AW461/BD461,IF(BE461&gt;0,BA461/BE461,IF(AND(ISNUMBER(BH461),BH461=0),0,"")))))</f>
        <v>0.016412463330651328</v>
      </c>
      <c r="BG461" s="11" t="n">
        <f>IF(AND(COUNT(BN461:BU461)=8,MIN(BN461:BU461)&gt;=0),SUMPRODUCT(BN461:BQ461,BR461:BU461),"")</f>
        <v>63.935996265425516</v>
      </c>
      <c r="BH461" s="11" t="n">
        <f>IF(COUNT(BC461,BG461)=2,BC461*BG461,"")</f>
        <v>398.4145040219587</v>
      </c>
      <c r="BI461" s="11" t="n">
        <f>IF(ISNUMBER(CI461),CI461,"")</f>
        <v>6.5389634376600325</v>
      </c>
      <c r="BJ461" s="8" t="str"/>
      <c r="BK461" s="8" t="str">
        <v>90天：2026-07-20 至 2026-10-17；180天：2026-04-21 至 2026-10-17</v>
      </c>
      <c r="BL461" s="8" t="str">
        <v>90天：2026-10-06、2026-10-07；180天：2026-10-06、2026-10-07</v>
      </c>
      <c r="BM461" s="8" t="str">
        <v>2026-10：12天 × 0.8729500662042875；2026-11：30天 × 0.8057375774163482；2026-12：31天 × 0.532550303142279；2027-01：17天 × 0.7517299265337036</v>
      </c>
      <c r="BN461" s="11" t="n">
        <v>0.8729500662042875</v>
      </c>
      <c r="BO461" s="11" t="n">
        <v>0.8057375774163482</v>
      </c>
      <c r="BP461" s="11" t="n">
        <v>0.532550303142279</v>
      </c>
      <c r="BQ461" s="11" t="n">
        <v>0.7517299265337036</v>
      </c>
      <c r="BR461" s="8" t="n">
        <v>12</v>
      </c>
      <c r="BS461" s="8" t="n">
        <v>30</v>
      </c>
      <c r="BT461" s="8" t="n">
        <v>31</v>
      </c>
      <c r="BU461" s="8" t="n">
        <v>17</v>
      </c>
      <c r="BV461" s="11" t="n">
        <f>IF(COUNT(BC461,BF461)=2,BC461*BF461,"")</f>
        <v>0.10227358326464508</v>
      </c>
      <c r="BW461" s="11" t="n">
        <f>IF(ISNUMBER(BN461),BN461,"")</f>
        <v>0.8729500662042875</v>
      </c>
      <c r="BX461" s="14" t="n">
        <f>IF(ISNUMBER(BR461),BR461,"")</f>
        <v>12</v>
      </c>
      <c r="BY461" s="13" t="n">
        <f>IF(AND(COUNT(BV461,BW461,BX461)=3,MIN(BV461,BW461,BX461)&gt;=0),BV461*BW461*BX461,"")</f>
        <v>1.0713567753818596</v>
      </c>
      <c r="BZ461" s="11" t="n">
        <f>IF(ISNUMBER(BO461),BO461,"")</f>
        <v>0.8057375774163482</v>
      </c>
      <c r="CA461" s="14" t="n">
        <f>IF(ISNUMBER(BS461),BS461,"")</f>
        <v>30</v>
      </c>
      <c r="CB461" s="13" t="n">
        <f>IF(AND(COUNT(BV461,BZ461,CA461)=3,MIN(BV461,BZ461,CA461)&gt;=0),BV461*BZ461*CA461,"")</f>
        <v>2.472170076400329</v>
      </c>
      <c r="CC461" s="11" t="n">
        <f>IF(ISNUMBER(BP461),BP461,"")</f>
        <v>0.532550303142279</v>
      </c>
      <c r="CD461" s="14" t="n">
        <f>IF(ISNUMBER(BT461),BT461,"")</f>
        <v>31</v>
      </c>
      <c r="CE461" s="13" t="n">
        <f>IF(AND(COUNT(BV461,CC461,CD461)=3,MIN(BV461,CC461,CD461)&gt;=0),BV461*CC461*CD461,"")</f>
        <v>1.6884406609020495</v>
      </c>
      <c r="CF461" s="11" t="n">
        <f>IF(ISNUMBER(BQ461),BQ461,"")</f>
        <v>0.7517299265337036</v>
      </c>
      <c r="CG461" s="14" t="n">
        <f>IF(ISNUMBER(BU461),BU461,"")</f>
        <v>17</v>
      </c>
      <c r="CH461" s="13" t="n">
        <f>IF(AND(COUNT(BV461,CF461,CG461)=3,MIN(BV461,CF461,CG461)&gt;=0),BV461*CF461*CG461,"")</f>
        <v>1.3069959249757945</v>
      </c>
      <c r="CI461" s="13" t="n">
        <f>IF(COUNT(BY461,CB461,CE461,CH461)=4,SUM(BY461,CB461,CE461,CH461),"")</f>
        <v>6.5389634376600325</v>
      </c>
    </row>
    <row r="462" ht="72" customHeight="1">
      <c r="A462" s="16" t="str">
        <v>1S01-BLK-38.5</v>
      </c>
      <c r="B462" s="16" t="str">
        <v>3店-SANDIEX-US</v>
      </c>
      <c r="C462" s="16" t="str">
        <v>徐新怡</v>
      </c>
      <c r="D462" s="26" t="n">
        <f>IF(NOT(ISNUMBER(E462)),"",IF(OR(E462&lt;=0,L462=0),0,IF(OR(NOT(ISNUMBER(F462)),F462&lt;0),"",MIN(E462,INT(F462)))))</f>
        <v>0</v>
      </c>
      <c r="E462" s="27" t="n">
        <f>IF(OR(NOT(ISNUMBER(L462)),COUNT(M462:O462)&lt;&gt;3,MIN(M462:O462)&lt;0),"",ROUNDUP(ROUND(BI462-SUM(M462:O462),10),0))</f>
        <v>0</v>
      </c>
      <c r="F462" s="28" t="n">
        <v>2</v>
      </c>
      <c r="G462" s="28" t="n">
        <f>IF(AND(ISNUMBER(D462),ISNUMBER(E462)),IF(OR(E462&lt;=0,L462=0),0,E462-D462),"")</f>
        <v>0</v>
      </c>
      <c r="H462" s="16" t="str">
        <f>IF(NOT(ISNUMBER(E462)),"销量或海外库存待补",IF(OR(E462&lt;=0,L462=0),IF(L462=0,"零日销，本批不发","本批无需补货"),IF(NOT(ISNUMBER(D462)),"国内库存待补",IF(D462=0,"国内无可用库存",IF(G462&gt;0,"先发国内现货","按建议量发货")))))</f>
        <v>零日销，本批不发</v>
      </c>
      <c r="I462" s="28" t="n">
        <f>IF(AND(COUNT(Z462,AA462,AB462)=3,Z462&gt;=AA462,AA462&gt;=0,AB462=7),Z462-AA462,"")</f>
        <v>0</v>
      </c>
      <c r="J462" s="28" t="n">
        <f>IF(AND(COUNT(AF462,AG462,AH462)=3,AF462&gt;=AG462,AG462&gt;=0,AH462=14),AF462-AG462,"")</f>
        <v>0</v>
      </c>
      <c r="K462" s="28" t="n">
        <f>IF(AND(COUNT(AL462,AM462,AN462)=3,AL462&gt;=AM462,AM462&gt;=0,AN462=30),AL462-AM462,"")</f>
        <v>0</v>
      </c>
      <c r="L462" s="29" t="n">
        <f>IF(ISNUMBER(BI462),BI462/90,"")</f>
        <v>0</v>
      </c>
      <c r="M462" s="28" t="n">
        <v>0</v>
      </c>
      <c r="N462" s="28" t="n">
        <v>0</v>
      </c>
      <c r="O462" s="28" t="n">
        <v>0</v>
      </c>
      <c r="P462" s="30" t="str">
        <f>IF(AND(ISNUMBER(L462),L462&gt;0,COUNT(M462:O462)=3,MIN(M462:O462)&gt;=0),SUM(M462:O462)/L462,"")</f>
      </c>
      <c r="Q462" s="16" t="str">
        <v>沿用同SPU原计划店铺</v>
      </c>
      <c r="R462" s="16" t="str">
        <v>已匹配</v>
      </c>
      <c r="S462" s="16" t="str">
        <v>停售</v>
      </c>
      <c r="T462" s="16" t="str">
        <v>1S01</v>
      </c>
      <c r="U462" s="16" t="str">
        <v>黑色</v>
      </c>
      <c r="V462" s="16" t="n">
        <v>7.5</v>
      </c>
      <c r="W462" s="8" t="str">
        <v>2026-10-08 至 2026-10-17</v>
      </c>
      <c r="X462" s="8" t="str">
        <v>2026-10-08、2026-10-09、2026-10-10、2026-10-11、2026-10-14、2026-10-15、2026-10-17</v>
      </c>
      <c r="Y462" s="8" t="str">
        <v>2026-10-12 有记录的停售日；2026-10-13 有记录的停售日；2026-10-16 有记录的停售日</v>
      </c>
      <c r="Z462" s="8" t="n">
        <v>0</v>
      </c>
      <c r="AA462" s="8" t="n">
        <v>0</v>
      </c>
      <c r="AB462" s="8" t="n">
        <v>7</v>
      </c>
      <c r="AC462" s="8" t="str">
        <v>2026-09-29 至 2026-10-17</v>
      </c>
      <c r="AD462" s="8" t="str">
        <v>2026-09-29、2026-09-30、2026-10-01、2026-10-02、2026-10-03、2026-10-04、2026-10-05、2026-10-08、2026-10-09、2026-10-10、2026-10-11、2026-10-14、2026-10-15、2026-10-17</v>
      </c>
      <c r="AE462" s="8" t="str">
        <v>2026-10-06 大促；2026-10-07 大促；2026-10-12 有记录的停售日；2026-10-13 有记录的停售日；2026-10-16 有记录的停售日</v>
      </c>
      <c r="AF462" s="8" t="n">
        <v>0</v>
      </c>
      <c r="AG462" s="8" t="n">
        <v>0</v>
      </c>
      <c r="AH462" s="8" t="n">
        <v>14</v>
      </c>
      <c r="AI462" s="8" t="str">
        <v>2026-09-13 至 2026-10-17</v>
      </c>
      <c r="AJ46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62" s="8" t="str">
        <v>2026-10-06 大促；2026-10-07 大促；2026-10-12 有记录的停售日；2026-10-13 有记录的停售日；2026-10-16 有记录的停售日</v>
      </c>
      <c r="AL462" s="8" t="n">
        <v>0</v>
      </c>
      <c r="AM462" s="8" t="n">
        <v>0</v>
      </c>
      <c r="AN462" s="8" t="n">
        <v>30</v>
      </c>
      <c r="AO462" s="8" t="str">
        <v>1S01 / 黑色羊京绒 / 6574</v>
      </c>
      <c r="AP462" s="11" t="n">
        <v>0.8729500662042875</v>
      </c>
      <c r="AQ462" s="11" t="n">
        <v>0.9355747145678367</v>
      </c>
      <c r="AR462" s="11" t="n">
        <v>1.135973589331194</v>
      </c>
      <c r="AS462" s="11" t="n">
        <f>IF(AND(COUNT(I462:K462,AP462:AR462)=6,MIN(AP462:AR462)&gt;0),I462/7/AP462*0.5+J462/14/AQ462*0.3+K462/30/AR462*0.2,"")</f>
        <v>0</v>
      </c>
      <c r="AT462" s="8" t="n">
        <v>0</v>
      </c>
      <c r="AU462" s="8" t="n">
        <v>0</v>
      </c>
      <c r="AV462" s="8" t="n">
        <v>85</v>
      </c>
      <c r="AW462" s="11" t="n">
        <f>IF(AND(COUNT(AT462:AV462)=3,AT462&gt;=AU462,AU462&gt;=0,AV462&gt;0),(AT462-AU462)/AV462,"")</f>
        <v>0</v>
      </c>
      <c r="AX462" s="8" t="n">
        <v>0</v>
      </c>
      <c r="AY462" s="8" t="n">
        <v>0</v>
      </c>
      <c r="AZ462" s="8" t="n">
        <v>175</v>
      </c>
      <c r="BA462" s="11" t="n">
        <f>IF(AND(COUNT(AX462:AZ462)=3,AX462&gt;=AY462,AY462&gt;=0,AZ462&gt;0),(AX462-AY462)/AZ462,"")</f>
        <v>0</v>
      </c>
      <c r="BB462" s="8" t="n">
        <f>IF(COUNT(AS462,AW462,BA462)=3,1,0)</f>
        <v>1</v>
      </c>
      <c r="BC462" s="11" t="n">
        <f>IF(SUMIF($AO$11:$AO$1309,AO462,$BB$11:$BB$1309)=COUNTIF($AO$11:$AO$1309,AO462),SUMIF($AO$11:$AO$1309,AO462,$AS$11:$AS$1309),"")</f>
        <v>6.231458447413107</v>
      </c>
      <c r="BD462" s="11" t="n">
        <f>IF(SUMIF($AO$11:$AO$1309,AO462,$BB$11:$BB$1309)=COUNTIF($AO$11:$AO$1309,AO462),SUMIF($AO$11:$AO$1309,AO462,$AW$11:$AW$1309),"")</f>
        <v>5.866248693834901</v>
      </c>
      <c r="BE462" s="11" t="n">
        <f>IF(SUMIF($AO$11:$AO$1309,AO462,$BB$11:$BB$1309)=COUNTIF($AO$11:$AO$1309,AO462),SUMIF($AO$11:$AO$1309,AO462,$BA$11:$BA$1309),"")</f>
        <v>4.27632831841554</v>
      </c>
      <c r="BF462" s="12" t="n">
        <f>IF(COUNT(BD462:BE462)&lt;&gt;2,"",IF(AND(BD462&gt;0,BE462&gt;0),0.7*AW462/BD462+0.3*BA462/BE462,IF(BD462&gt;0,AW462/BD462,IF(BE462&gt;0,BA462/BE462,IF(AND(ISNUMBER(BH462),BH462=0),0,"")))))</f>
        <v>0</v>
      </c>
      <c r="BG462" s="11" t="n">
        <f>IF(AND(COUNT(BN462:BU462)=8,MIN(BN462:BU462)&gt;=0),SUMPRODUCT(BN462:BQ462,BR462:BU462),"")</f>
        <v>63.935996265425516</v>
      </c>
      <c r="BH462" s="11" t="n">
        <f>IF(COUNT(BC462,BG462)=2,BC462*BG462,"")</f>
        <v>398.4145040219587</v>
      </c>
      <c r="BI462" s="11" t="n">
        <f>IF(ISNUMBER(CI462),CI462,"")</f>
        <v>0</v>
      </c>
      <c r="BJ462" s="8" t="str"/>
      <c r="BK462" s="8" t="str">
        <v>90天：2026-07-20 至 2026-10-17；180天：2026-04-21 至 2026-10-17</v>
      </c>
      <c r="BL462" s="8" t="str">
        <v>90天：2026-10-06、2026-10-07、2026-10-12、2026-10-13、2026-10-16；180天：2026-10-06、2026-10-07、2026-10-12、2026-10-13、2026-10-16</v>
      </c>
      <c r="BM462" s="8" t="str">
        <v>2026-10：12天 × 0.8729500662042875；2026-11：30天 × 0.8057375774163482；2026-12：31天 × 0.532550303142279；2027-01：17天 × 0.7517299265337036</v>
      </c>
      <c r="BN462" s="11" t="n">
        <v>0.8729500662042875</v>
      </c>
      <c r="BO462" s="11" t="n">
        <v>0.8057375774163482</v>
      </c>
      <c r="BP462" s="11" t="n">
        <v>0.532550303142279</v>
      </c>
      <c r="BQ462" s="11" t="n">
        <v>0.7517299265337036</v>
      </c>
      <c r="BR462" s="8" t="n">
        <v>12</v>
      </c>
      <c r="BS462" s="8" t="n">
        <v>30</v>
      </c>
      <c r="BT462" s="8" t="n">
        <v>31</v>
      </c>
      <c r="BU462" s="8" t="n">
        <v>17</v>
      </c>
      <c r="BV462" s="11" t="n">
        <f>IF(COUNT(BC462,BF462)=2,BC462*BF462,"")</f>
        <v>0</v>
      </c>
      <c r="BW462" s="11" t="n">
        <f>IF(ISNUMBER(BN462),BN462,"")</f>
        <v>0.8729500662042875</v>
      </c>
      <c r="BX462" s="14" t="n">
        <f>IF(ISNUMBER(BR462),BR462,"")</f>
        <v>12</v>
      </c>
      <c r="BY462" s="13" t="n">
        <f>IF(AND(COUNT(BV462,BW462,BX462)=3,MIN(BV462,BW462,BX462)&gt;=0),BV462*BW462*BX462,"")</f>
        <v>0</v>
      </c>
      <c r="BZ462" s="11" t="n">
        <f>IF(ISNUMBER(BO462),BO462,"")</f>
        <v>0.8057375774163482</v>
      </c>
      <c r="CA462" s="14" t="n">
        <f>IF(ISNUMBER(BS462),BS462,"")</f>
        <v>30</v>
      </c>
      <c r="CB462" s="13" t="n">
        <f>IF(AND(COUNT(BV462,BZ462,CA462)=3,MIN(BV462,BZ462,CA462)&gt;=0),BV462*BZ462*CA462,"")</f>
        <v>0</v>
      </c>
      <c r="CC462" s="11" t="n">
        <f>IF(ISNUMBER(BP462),BP462,"")</f>
        <v>0.532550303142279</v>
      </c>
      <c r="CD462" s="14" t="n">
        <f>IF(ISNUMBER(BT462),BT462,"")</f>
        <v>31</v>
      </c>
      <c r="CE462" s="13" t="n">
        <f>IF(AND(COUNT(BV462,CC462,CD462)=3,MIN(BV462,CC462,CD462)&gt;=0),BV462*CC462*CD462,"")</f>
        <v>0</v>
      </c>
      <c r="CF462" s="11" t="n">
        <f>IF(ISNUMBER(BQ462),BQ462,"")</f>
        <v>0.7517299265337036</v>
      </c>
      <c r="CG462" s="14" t="n">
        <f>IF(ISNUMBER(BU462),BU462,"")</f>
        <v>17</v>
      </c>
      <c r="CH462" s="13" t="n">
        <f>IF(AND(COUNT(BV462,CF462,CG462)=3,MIN(BV462,CF462,CG462)&gt;=0),BV462*CF462*CG462,"")</f>
        <v>0</v>
      </c>
      <c r="CI462" s="13" t="n">
        <f>IF(COUNT(BY462,CB462,CE462,CH462)=4,SUM(BY462,CB462,CE462,CH462),"")</f>
        <v>0</v>
      </c>
    </row>
    <row r="463" ht="72" customHeight="1">
      <c r="A463" s="16" t="str">
        <v>1S01-BLK-39</v>
      </c>
      <c r="B463" s="16" t="str">
        <v>3店-SANDIEX-US</v>
      </c>
      <c r="C463" s="16" t="str">
        <v>徐新怡</v>
      </c>
      <c r="D463" s="26" t="n">
        <f>IF(NOT(ISNUMBER(E463)),"",IF(OR(E463&lt;=0,L463=0),0,IF(OR(NOT(ISNUMBER(F463)),F463&lt;0),"",MIN(E463,INT(F463)))))</f>
        <v>0</v>
      </c>
      <c r="E463" s="27" t="n">
        <f>IF(OR(NOT(ISNUMBER(L463)),COUNT(M463:O463)&lt;&gt;3,MIN(M463:O463)&lt;0),"",ROUNDUP(ROUND(BI463-SUM(M463:O463),10),0))</f>
        <v>-4</v>
      </c>
      <c r="F463" s="28" t="n">
        <v>0</v>
      </c>
      <c r="G463" s="28" t="n">
        <f>IF(AND(ISNUMBER(D463),ISNUMBER(E463)),IF(OR(E463&lt;=0,L463=0),0,E463-D463),"")</f>
        <v>0</v>
      </c>
      <c r="H463" s="16" t="str">
        <f>IF(NOT(ISNUMBER(E463)),"销量或海外库存待补",IF(OR(E463&lt;=0,L463=0),IF(L463=0,"零日销，本批不发","本批无需补货"),IF(NOT(ISNUMBER(D463)),"国内库存待补",IF(D463=0,"国内无可用库存",IF(G463&gt;0,"先发国内现货","按建议量发货")))))</f>
        <v>本批无需补货</v>
      </c>
      <c r="I463" s="28" t="n">
        <f>IF(AND(COUNT(Z463,AA463,AB463)=3,Z463&gt;=AA463,AA463&gt;=0,AB463=7),Z463-AA463,"")</f>
        <v>6</v>
      </c>
      <c r="J463" s="28" t="n">
        <f>IF(AND(COUNT(AF463,AG463,AH463)=3,AF463&gt;=AG463,AG463&gt;=0,AH463=14),AF463-AG463,"")</f>
        <v>17</v>
      </c>
      <c r="K463" s="28" t="n">
        <f>IF(AND(COUNT(AL463,AM463,AN463)=3,AL463&gt;=AM463,AM463&gt;=0,AN463=30),AL463-AM463,"")</f>
        <v>38</v>
      </c>
      <c r="L463" s="29" t="n">
        <f>IF(ISNUMBER(BI463),BI463/90,"")</f>
        <v>0.8127721296628072</v>
      </c>
      <c r="M463" s="28" t="n">
        <v>17</v>
      </c>
      <c r="N463" s="28" t="n">
        <v>0</v>
      </c>
      <c r="O463" s="28" t="n">
        <v>60</v>
      </c>
      <c r="P463" s="30" t="n">
        <f>IF(AND(ISNUMBER(L463),L463&gt;0,COUNT(M463:O463)=3,MIN(M463:O463)&gt;=0),SUM(M463:O463)/L463,"")</f>
        <v>94.7375004503966</v>
      </c>
      <c r="Q463" s="16" t="str">
        <v>沿用原计划SKU店铺</v>
      </c>
      <c r="R463" s="16" t="str">
        <v>已匹配</v>
      </c>
      <c r="S463" s="16" t="str">
        <v>在售</v>
      </c>
      <c r="T463" s="16" t="str">
        <v>1S01</v>
      </c>
      <c r="U463" s="16" t="str">
        <v>黑色</v>
      </c>
      <c r="V463" s="16" t="n">
        <v>8</v>
      </c>
      <c r="W463" s="8" t="str">
        <v>2026-10-11 至 2026-10-17</v>
      </c>
      <c r="X463" s="8" t="str">
        <v>2026-10-11、2026-10-12、2026-10-13、2026-10-14、2026-10-15、2026-10-16、2026-10-17</v>
      </c>
      <c r="Y463" s="8" t="str">
        <v>无</v>
      </c>
      <c r="Z463" s="8" t="n">
        <v>6</v>
      </c>
      <c r="AA463" s="8" t="n">
        <v>0</v>
      </c>
      <c r="AB463" s="8" t="n">
        <v>7</v>
      </c>
      <c r="AC463" s="8" t="str">
        <v>2026-10-02 至 2026-10-17</v>
      </c>
      <c r="AD463" s="8" t="str">
        <v>2026-10-02、2026-10-03、2026-10-04、2026-10-05、2026-10-08、2026-10-09、2026-10-10、2026-10-11、2026-10-12、2026-10-13、2026-10-14、2026-10-15、2026-10-16、2026-10-17</v>
      </c>
      <c r="AE463" s="8" t="str">
        <v>2026-10-06 大促；2026-10-07 大促</v>
      </c>
      <c r="AF463" s="8" t="n">
        <v>26</v>
      </c>
      <c r="AG463" s="8" t="n">
        <v>9</v>
      </c>
      <c r="AH463" s="8" t="n">
        <v>14</v>
      </c>
      <c r="AI463" s="8" t="str">
        <v>2026-09-16 至 2026-10-17</v>
      </c>
      <c r="AJ4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3" s="8" t="str">
        <v>2026-10-06 大促；2026-10-07 大促</v>
      </c>
      <c r="AL463" s="8" t="n">
        <v>47</v>
      </c>
      <c r="AM463" s="8" t="n">
        <v>9</v>
      </c>
      <c r="AN463" s="8" t="n">
        <v>30</v>
      </c>
      <c r="AO463" s="8" t="str">
        <v>1S01 / 黑色羊京绒 / 6574</v>
      </c>
      <c r="AP463" s="11" t="n">
        <v>0.8729500662042875</v>
      </c>
      <c r="AQ463" s="11" t="n">
        <v>0.8729500662042875</v>
      </c>
      <c r="AR463" s="11" t="n">
        <v>1.0921363354767095</v>
      </c>
      <c r="AS463" s="11" t="n">
        <f>IF(AND(COUNT(I463:K463,AP463:AR463)=6,MIN(AP463:AR463)&gt;0),I463/7/AP463*0.5+J463/14/AQ463*0.3+K463/30/AR463*0.2,"")</f>
        <v>1.1402115526967609</v>
      </c>
      <c r="AT463" s="8" t="n">
        <v>104</v>
      </c>
      <c r="AU463" s="8" t="n">
        <v>9</v>
      </c>
      <c r="AV463" s="8" t="n">
        <v>88</v>
      </c>
      <c r="AW463" s="11" t="n">
        <f>IF(AND(COUNT(AT463:AV463)=3,AT463&gt;=AU463,AU463&gt;=0,AV463&gt;0),(AT463-AU463)/AV463,"")</f>
        <v>1.0795454545454546</v>
      </c>
      <c r="AX463" s="8" t="n">
        <v>148</v>
      </c>
      <c r="AY463" s="8" t="n">
        <v>9</v>
      </c>
      <c r="AZ463" s="8" t="n">
        <v>178</v>
      </c>
      <c r="BA463" s="11" t="n">
        <f>IF(AND(COUNT(AX463:AZ463)=3,AX463&gt;=AY463,AY463&gt;=0,AZ463&gt;0),(AX463-AY463)/AZ463,"")</f>
        <v>0.7808988764044944</v>
      </c>
      <c r="BB463" s="8" t="n">
        <f>IF(COUNT(AS463,AW463,BA463)=3,1,0)</f>
        <v>1</v>
      </c>
      <c r="BC463" s="11" t="n">
        <f>IF(SUMIF($AO$11:$AO$1309,AO463,$BB$11:$BB$1309)=COUNTIF($AO$11:$AO$1309,AO463),SUMIF($AO$11:$AO$1309,AO463,$AS$11:$AS$1309),"")</f>
        <v>6.231458447413107</v>
      </c>
      <c r="BD463" s="11" t="n">
        <f>IF(SUMIF($AO$11:$AO$1309,AO463,$BB$11:$BB$1309)=COUNTIF($AO$11:$AO$1309,AO463),SUMIF($AO$11:$AO$1309,AO463,$AW$11:$AW$1309),"")</f>
        <v>5.866248693834901</v>
      </c>
      <c r="BE463" s="11" t="n">
        <f>IF(SUMIF($AO$11:$AO$1309,AO463,$BB$11:$BB$1309)=COUNTIF($AO$11:$AO$1309,AO463),SUMIF($AO$11:$AO$1309,AO463,$BA$11:$BA$1309),"")</f>
        <v>4.27632831841554</v>
      </c>
      <c r="BF463" s="12" t="n">
        <f>IF(COUNT(BD463:BE463)&lt;&gt;2,"",IF(AND(BD463&gt;0,BE463&gt;0),0.7*AW463/BD463+0.3*BA463/BE463,IF(BD463&gt;0,AW463/BD463,IF(BE463&gt;0,BA463/BE463,IF(AND(ISNUMBER(BH463),BH463=0),0,"")))))</f>
        <v>0.18360147768521248</v>
      </c>
      <c r="BG463" s="11" t="n">
        <f>IF(AND(COUNT(BN463:BU463)=8,MIN(BN463:BU463)&gt;=0),SUMPRODUCT(BN463:BQ463,BR463:BU463),"")</f>
        <v>63.935996265425516</v>
      </c>
      <c r="BH463" s="11" t="n">
        <f>IF(COUNT(BC463,BG463)=2,BC463*BG463,"")</f>
        <v>398.4145040219587</v>
      </c>
      <c r="BI463" s="11" t="n">
        <f>IF(ISNUMBER(CI463),CI463,"")</f>
        <v>73.14949166965265</v>
      </c>
      <c r="BJ463" s="8" t="str"/>
      <c r="BK463" s="8" t="str">
        <v>90天：2026-07-20 至 2026-10-17；180天：2026-04-21 至 2026-10-17</v>
      </c>
      <c r="BL463" s="8" t="str">
        <v>90天：2026-10-06、2026-10-07；180天：2026-10-06、2026-10-07</v>
      </c>
      <c r="BM463" s="8" t="str">
        <v>2026-10：12天 × 0.8729500662042875；2026-11：30天 × 0.8057375774163482；2026-12：31天 × 0.532550303142279；2027-01：17天 × 0.7517299265337036</v>
      </c>
      <c r="BN463" s="11" t="n">
        <v>0.8729500662042875</v>
      </c>
      <c r="BO463" s="11" t="n">
        <v>0.8057375774163482</v>
      </c>
      <c r="BP463" s="11" t="n">
        <v>0.532550303142279</v>
      </c>
      <c r="BQ463" s="11" t="n">
        <v>0.7517299265337036</v>
      </c>
      <c r="BR463" s="8" t="n">
        <v>12</v>
      </c>
      <c r="BS463" s="8" t="n">
        <v>30</v>
      </c>
      <c r="BT463" s="8" t="n">
        <v>31</v>
      </c>
      <c r="BU463" s="8" t="n">
        <v>17</v>
      </c>
      <c r="BV463" s="11" t="n">
        <f>IF(COUNT(BC463,BF463)=2,BC463*BF463,"")</f>
        <v>1.1441049790790465</v>
      </c>
      <c r="BW463" s="11" t="n">
        <f>IF(ISNUMBER(BN463),BN463,"")</f>
        <v>0.8729500662042875</v>
      </c>
      <c r="BX463" s="14" t="n">
        <f>IF(ISNUMBER(BR463),BR463,"")</f>
        <v>12</v>
      </c>
      <c r="BY463" s="13" t="n">
        <f>IF(AND(COUNT(BV463,BW463,BX463)=3,MIN(BV463,BW463,BX463)&gt;=0),BV463*BW463*BX463,"")</f>
        <v>11.984958206780503</v>
      </c>
      <c r="BZ463" s="11" t="n">
        <f>IF(ISNUMBER(BO463),BO463,"")</f>
        <v>0.8057375774163482</v>
      </c>
      <c r="CA463" s="14" t="n">
        <f>IF(ISNUMBER(BS463),BS463,"")</f>
        <v>30</v>
      </c>
      <c r="CB463" s="13" t="n">
        <f>IF(AND(COUNT(BV463,BZ463,CA463)=3,MIN(BV463,BZ463,CA463)&gt;=0),BV463*BZ463*CA463,"")</f>
        <v>27.655451224593982</v>
      </c>
      <c r="CC463" s="11" t="n">
        <f>IF(ISNUMBER(BP463),BP463,"")</f>
        <v>0.532550303142279</v>
      </c>
      <c r="CD463" s="14" t="n">
        <f>IF(ISNUMBER(BT463),BT463,"")</f>
        <v>31</v>
      </c>
      <c r="CE463" s="13" t="n">
        <f>IF(AND(COUNT(BV463,CC463,CD463)=3,MIN(BV463,CC463,CD463)&gt;=0),BV463*CC463*CD463,"")</f>
        <v>18.888097056489247</v>
      </c>
      <c r="CF463" s="11" t="n">
        <f>IF(ISNUMBER(BQ463),BQ463,"")</f>
        <v>0.7517299265337036</v>
      </c>
      <c r="CG463" s="14" t="n">
        <f>IF(ISNUMBER(BU463),BU463,"")</f>
        <v>17</v>
      </c>
      <c r="CH463" s="13" t="n">
        <f>IF(AND(COUNT(BV463,CF463,CG463)=3,MIN(BV463,CF463,CG463)&gt;=0),BV463*CF463*CG463,"")</f>
        <v>14.620985181788916</v>
      </c>
      <c r="CI463" s="13" t="n">
        <f>IF(COUNT(BY463,CB463,CE463,CH463)=4,SUM(BY463,CB463,CE463,CH463),"")</f>
        <v>73.14949166965265</v>
      </c>
    </row>
    <row r="464" ht="72" customHeight="1">
      <c r="A464" s="16" t="str">
        <v>1S01-BLK-40</v>
      </c>
      <c r="B464" s="16" t="str">
        <v>3店-SANDIEX-US</v>
      </c>
      <c r="C464" s="16" t="str">
        <v>徐新怡</v>
      </c>
      <c r="D464" s="26" t="n">
        <f>IF(NOT(ISNUMBER(E464)),"",IF(OR(E464&lt;=0,L464=0),0,IF(OR(NOT(ISNUMBER(F464)),F464&lt;0),"",MIN(E464,INT(F464)))))</f>
        <v>0</v>
      </c>
      <c r="E464" s="27" t="n">
        <f>IF(OR(NOT(ISNUMBER(L464)),COUNT(M464:O464)&lt;&gt;3,MIN(M464:O464)&lt;0),"",ROUNDUP(ROUND(BI464-SUM(M464:O464),10),0))</f>
        <v>-72</v>
      </c>
      <c r="F464" s="28" t="n">
        <v>0</v>
      </c>
      <c r="G464" s="28" t="n">
        <f>IF(AND(ISNUMBER(D464),ISNUMBER(E464)),IF(OR(E464&lt;=0,L464=0),0,E464-D464),"")</f>
        <v>0</v>
      </c>
      <c r="H464" s="16" t="str">
        <f>IF(NOT(ISNUMBER(E464)),"销量或海外库存待补",IF(OR(E464&lt;=0,L464=0),IF(L464=0,"零日销，本批不发","本批无需补货"),IF(NOT(ISNUMBER(D464)),"国内库存待补",IF(D464=0,"国内无可用库存",IF(G464&gt;0,"先发国内现货","按建议量发货")))))</f>
        <v>本批无需补货</v>
      </c>
      <c r="I464" s="28" t="n">
        <f>IF(AND(COUNT(Z464,AA464,AB464)=3,Z464&gt;=AA464,AA464&gt;=0,AB464=7),Z464-AA464,"")</f>
        <v>3</v>
      </c>
      <c r="J464" s="28" t="n">
        <f>IF(AND(COUNT(AF464,AG464,AH464)=3,AF464&gt;=AG464,AG464&gt;=0,AH464=14),AF464-AG464,"")</f>
        <v>11</v>
      </c>
      <c r="K464" s="28" t="n">
        <f>IF(AND(COUNT(AL464,AM464,AN464)=3,AL464&gt;=AM464,AM464&gt;=0,AN464=30),AL464-AM464,"")</f>
        <v>38</v>
      </c>
      <c r="L464" s="29" t="n">
        <f>IF(ISNUMBER(BI464),BI464/90,"")</f>
        <v>0.9266776777934456</v>
      </c>
      <c r="M464" s="28" t="n">
        <v>25</v>
      </c>
      <c r="N464" s="28" t="n">
        <v>0</v>
      </c>
      <c r="O464" s="28" t="n">
        <v>130</v>
      </c>
      <c r="P464" s="30" t="n">
        <f>IF(AND(ISNUMBER(L464),L464&gt;0,COUNT(M464:O464)=3,MIN(M464:O464)&gt;=0),SUM(M464:O464)/L464,"")</f>
        <v>167.26419953168352</v>
      </c>
      <c r="Q464" s="16" t="str">
        <v>沿用原计划SKU店铺</v>
      </c>
      <c r="R464" s="16" t="str">
        <v>已匹配</v>
      </c>
      <c r="S464" s="16" t="str">
        <v>在售</v>
      </c>
      <c r="T464" s="16" t="str">
        <v>1S01</v>
      </c>
      <c r="U464" s="16" t="str">
        <v>黑色</v>
      </c>
      <c r="V464" s="16" t="n">
        <v>9</v>
      </c>
      <c r="W464" s="8" t="str">
        <v>2026-10-11 至 2026-10-17</v>
      </c>
      <c r="X464" s="8" t="str">
        <v>2026-10-11、2026-10-12、2026-10-13、2026-10-14、2026-10-15、2026-10-16、2026-10-17</v>
      </c>
      <c r="Y464" s="8" t="str">
        <v>无</v>
      </c>
      <c r="Z464" s="8" t="n">
        <v>3</v>
      </c>
      <c r="AA464" s="8" t="n">
        <v>0</v>
      </c>
      <c r="AB464" s="8" t="n">
        <v>7</v>
      </c>
      <c r="AC464" s="8" t="str">
        <v>2026-10-02 至 2026-10-17</v>
      </c>
      <c r="AD464" s="8" t="str">
        <v>2026-10-02、2026-10-03、2026-10-04、2026-10-05、2026-10-08、2026-10-09、2026-10-10、2026-10-11、2026-10-12、2026-10-13、2026-10-14、2026-10-15、2026-10-16、2026-10-17</v>
      </c>
      <c r="AE464" s="8" t="str">
        <v>2026-10-06 大促；2026-10-07 大促</v>
      </c>
      <c r="AF464" s="8" t="n">
        <v>18</v>
      </c>
      <c r="AG464" s="8" t="n">
        <v>7</v>
      </c>
      <c r="AH464" s="8" t="n">
        <v>14</v>
      </c>
      <c r="AI464" s="8" t="str">
        <v>2026-09-16 至 2026-10-17</v>
      </c>
      <c r="AJ4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4" s="8" t="str">
        <v>2026-10-06 大促；2026-10-07 大促</v>
      </c>
      <c r="AL464" s="8" t="n">
        <v>45</v>
      </c>
      <c r="AM464" s="8" t="n">
        <v>7</v>
      </c>
      <c r="AN464" s="8" t="n">
        <v>30</v>
      </c>
      <c r="AO464" s="8" t="str">
        <v>1S01 / 黑色羊京绒 / 6574</v>
      </c>
      <c r="AP464" s="11" t="n">
        <v>0.8729500662042875</v>
      </c>
      <c r="AQ464" s="11" t="n">
        <v>0.8729500662042875</v>
      </c>
      <c r="AR464" s="11" t="n">
        <v>1.0921363354767095</v>
      </c>
      <c r="AS464" s="11" t="n">
        <f>IF(AND(COUNT(I464:K464,AP464:AR464)=6,MIN(AP464:AR464)&gt;0),I464/7/AP464*0.5+J464/14/AQ464*0.3+K464/30/AR464*0.2,"")</f>
        <v>0.7474546744620929</v>
      </c>
      <c r="AT464" s="8" t="n">
        <v>114</v>
      </c>
      <c r="AU464" s="8" t="n">
        <v>7</v>
      </c>
      <c r="AV464" s="8" t="n">
        <v>88</v>
      </c>
      <c r="AW464" s="11" t="n">
        <f>IF(AND(COUNT(AT464:AV464)=3,AT464&gt;=AU464,AU464&gt;=0,AV464&gt;0),(AT464-AU464)/AV464,"")</f>
        <v>1.2159090909090908</v>
      </c>
      <c r="AX464" s="8" t="n">
        <v>170</v>
      </c>
      <c r="AY464" s="8" t="n">
        <v>7</v>
      </c>
      <c r="AZ464" s="8" t="n">
        <v>178</v>
      </c>
      <c r="BA464" s="11" t="n">
        <f>IF(AND(COUNT(AX464:AZ464)=3,AX464&gt;=AY464,AY464&gt;=0,AZ464&gt;0),(AX464-AY464)/AZ464,"")</f>
        <v>0.9157303370786517</v>
      </c>
      <c r="BB464" s="8" t="n">
        <f>IF(COUNT(AS464,AW464,BA464)=3,1,0)</f>
        <v>1</v>
      </c>
      <c r="BC464" s="11" t="n">
        <f>IF(SUMIF($AO$11:$AO$1309,AO464,$BB$11:$BB$1309)=COUNTIF($AO$11:$AO$1309,AO464),SUMIF($AO$11:$AO$1309,AO464,$AS$11:$AS$1309),"")</f>
        <v>6.231458447413107</v>
      </c>
      <c r="BD464" s="11" t="n">
        <f>IF(SUMIF($AO$11:$AO$1309,AO464,$BB$11:$BB$1309)=COUNTIF($AO$11:$AO$1309,AO464),SUMIF($AO$11:$AO$1309,AO464,$AW$11:$AW$1309),"")</f>
        <v>5.866248693834901</v>
      </c>
      <c r="BE464" s="11" t="n">
        <f>IF(SUMIF($AO$11:$AO$1309,AO464,$BB$11:$BB$1309)=COUNTIF($AO$11:$AO$1309,AO464),SUMIF($AO$11:$AO$1309,AO464,$BA$11:$BA$1309),"")</f>
        <v>4.27632831841554</v>
      </c>
      <c r="BF464" s="12" t="n">
        <f>IF(COUNT(BD464:BE464)&lt;&gt;2,"",IF(AND(BD464&gt;0,BE464&gt;0),0.7*AW464/BD464+0.3*BA464/BE464,IF(BD464&gt;0,AW464/BD464,IF(BE464&gt;0,BA464/BE464,IF(AND(ISNUMBER(BH464),BH464=0),0,"")))))</f>
        <v>0.2093322159697616</v>
      </c>
      <c r="BG464" s="11" t="n">
        <f>IF(AND(COUNT(BN464:BU464)=8,MIN(BN464:BU464)&gt;=0),SUMPRODUCT(BN464:BQ464,BR464:BU464),"")</f>
        <v>63.935996265425516</v>
      </c>
      <c r="BH464" s="11" t="n">
        <f>IF(COUNT(BC464,BG464)=2,BC464*BG464,"")</f>
        <v>398.4145040219587</v>
      </c>
      <c r="BI464" s="11" t="n">
        <f>IF(ISNUMBER(CI464),CI464,"")</f>
        <v>83.4009910014101</v>
      </c>
      <c r="BJ464" s="8" t="str"/>
      <c r="BK464" s="8" t="str">
        <v>90天：2026-07-20 至 2026-10-17；180天：2026-04-21 至 2026-10-17</v>
      </c>
      <c r="BL464" s="8" t="str">
        <v>90天：2026-10-06、2026-10-07；180天：2026-10-06、2026-10-07</v>
      </c>
      <c r="BM464" s="8" t="str">
        <v>2026-10：12天 × 0.8729500662042875；2026-11：30天 × 0.8057375774163482；2026-12：31天 × 0.532550303142279；2027-01：17天 × 0.7517299265337036</v>
      </c>
      <c r="BN464" s="11" t="n">
        <v>0.8729500662042875</v>
      </c>
      <c r="BO464" s="11" t="n">
        <v>0.8057375774163482</v>
      </c>
      <c r="BP464" s="11" t="n">
        <v>0.532550303142279</v>
      </c>
      <c r="BQ464" s="11" t="n">
        <v>0.7517299265337036</v>
      </c>
      <c r="BR464" s="8" t="n">
        <v>12</v>
      </c>
      <c r="BS464" s="8" t="n">
        <v>30</v>
      </c>
      <c r="BT464" s="8" t="n">
        <v>31</v>
      </c>
      <c r="BU464" s="8" t="n">
        <v>17</v>
      </c>
      <c r="BV464" s="11" t="n">
        <f>IF(COUNT(BC464,BF464)=2,BC464*BF464,"")</f>
        <v>1.304445005520476</v>
      </c>
      <c r="BW464" s="11" t="n">
        <f>IF(ISNUMBER(BN464),BN464,"")</f>
        <v>0.8729500662042875</v>
      </c>
      <c r="BX464" s="14" t="n">
        <f>IF(ISNUMBER(BR464),BR464,"")</f>
        <v>12</v>
      </c>
      <c r="BY464" s="13" t="n">
        <f>IF(AND(COUNT(BV464,BW464,BX464)=3,MIN(BV464,BW464,BX464)&gt;=0),BV464*BW464*BX464,"")</f>
        <v>13.66458424714742</v>
      </c>
      <c r="BZ464" s="11" t="n">
        <f>IF(ISNUMBER(BO464),BO464,"")</f>
        <v>0.8057375774163482</v>
      </c>
      <c r="CA464" s="14" t="n">
        <f>IF(ISNUMBER(BS464),BS464,"")</f>
        <v>30</v>
      </c>
      <c r="CB464" s="13" t="n">
        <f>IF(AND(COUNT(BV464,BZ464,CA464)=3,MIN(BV464,BZ464,CA464)&gt;=0),BV464*BZ464*CA464,"")</f>
        <v>31.531210758627694</v>
      </c>
      <c r="CC464" s="11" t="n">
        <f>IF(ISNUMBER(BP464),BP464,"")</f>
        <v>0.532550303142279</v>
      </c>
      <c r="CD464" s="14" t="n">
        <f>IF(ISNUMBER(BT464),BT464,"")</f>
        <v>31</v>
      </c>
      <c r="CE464" s="13" t="n">
        <f>IF(AND(COUNT(BV464,CC464,CD464)=3,MIN(BV464,CC464,CD464)&gt;=0),BV464*CC464*CD464,"")</f>
        <v>21.5351600767932</v>
      </c>
      <c r="CF464" s="11" t="n">
        <f>IF(ISNUMBER(BQ464),BQ464,"")</f>
        <v>0.7517299265337036</v>
      </c>
      <c r="CG464" s="14" t="n">
        <f>IF(ISNUMBER(BU464),BU464,"")</f>
        <v>17</v>
      </c>
      <c r="CH464" s="13" t="n">
        <f>IF(AND(COUNT(BV464,CF464,CG464)=3,MIN(BV464,CF464,CG464)&gt;=0),BV464*CF464*CG464,"")</f>
        <v>16.670035918841787</v>
      </c>
      <c r="CI464" s="13" t="n">
        <f>IF(COUNT(BY464,CB464,CE464,CH464)=4,SUM(BY464,CB464,CE464,CH464),"")</f>
        <v>83.4009910014101</v>
      </c>
    </row>
    <row r="465" ht="72" customHeight="1">
      <c r="A465" s="16" t="str">
        <v>1S01-BLK-40.5</v>
      </c>
      <c r="B465" s="16" t="str">
        <v>3店-SANDIEX-US</v>
      </c>
      <c r="C465" s="16" t="str">
        <v>徐新怡</v>
      </c>
      <c r="D465" s="26" t="n">
        <f>IF(NOT(ISNUMBER(E465)),"",IF(OR(E465&lt;=0,L465=0),0,IF(OR(NOT(ISNUMBER(F465)),F465&lt;0),"",MIN(E465,INT(F465)))))</f>
        <v>0</v>
      </c>
      <c r="E465" s="27" t="n">
        <f>IF(OR(NOT(ISNUMBER(L465)),COUNT(M465:O465)&lt;&gt;3,MIN(M465:O465)&lt;0),"",ROUNDUP(ROUND(BI465-SUM(M465:O465),10),0))</f>
        <v>-14</v>
      </c>
      <c r="F465" s="28" t="n">
        <v>18</v>
      </c>
      <c r="G465" s="28" t="n">
        <f>IF(AND(ISNUMBER(D465),ISNUMBER(E465)),IF(OR(E465&lt;=0,L465=0),0,E465-D465),"")</f>
        <v>0</v>
      </c>
      <c r="H465" s="16" t="str">
        <f>IF(NOT(ISNUMBER(E465)),"销量或海外库存待补",IF(OR(E465&lt;=0,L465=0),IF(L465=0,"零日销，本批不发","本批无需补货"),IF(NOT(ISNUMBER(D465)),"国内库存待补",IF(D465=0,"国内无可用库存",IF(G465&gt;0,"先发国内现货","按建议量发货")))))</f>
        <v>本批无需补货</v>
      </c>
      <c r="I465" s="28" t="n">
        <f>IF(AND(COUNT(Z465,AA465,AB465)=3,Z465&gt;=AA465,AA465&gt;=0,AB465=7),Z465-AA465,"")</f>
        <v>3</v>
      </c>
      <c r="J465" s="28" t="n">
        <f>IF(AND(COUNT(AF465,AG465,AH465)=3,AF465&gt;=AG465,AG465&gt;=0,AH465=14),AF465-AG465,"")</f>
        <v>4</v>
      </c>
      <c r="K465" s="28" t="n">
        <f>IF(AND(COUNT(AL465,AM465,AN465)=3,AL465&gt;=AM465,AM465&gt;=0,AN465=30),AL465-AM465,"")</f>
        <v>13</v>
      </c>
      <c r="L465" s="29" t="n">
        <f>IF(ISNUMBER(BI465),BI465/90,"")</f>
        <v>0.3785015053443166</v>
      </c>
      <c r="M465" s="28" t="n">
        <v>38</v>
      </c>
      <c r="N465" s="28" t="n">
        <v>0</v>
      </c>
      <c r="O465" s="28" t="n">
        <v>10</v>
      </c>
      <c r="P465" s="30" t="n">
        <f>IF(AND(ISNUMBER(L465),L465&gt;0,COUNT(M465:O465)=3,MIN(M465:O465)&gt;=0),SUM(M465:O465)/L465,"")</f>
        <v>126.81587608571118</v>
      </c>
      <c r="Q465" s="16" t="str">
        <v>沿用原计划SKU店铺</v>
      </c>
      <c r="R465" s="16" t="str">
        <v>已匹配</v>
      </c>
      <c r="S465" s="16" t="str">
        <v>在售</v>
      </c>
      <c r="T465" s="16" t="str">
        <v>1S01</v>
      </c>
      <c r="U465" s="16" t="str">
        <v>黑色</v>
      </c>
      <c r="V465" s="16" t="n">
        <v>9.5</v>
      </c>
      <c r="W465" s="8" t="str">
        <v>2026-10-11 至 2026-10-17</v>
      </c>
      <c r="X465" s="8" t="str">
        <v>2026-10-11、2026-10-12、2026-10-13、2026-10-14、2026-10-15、2026-10-16、2026-10-17</v>
      </c>
      <c r="Y465" s="8" t="str">
        <v>无</v>
      </c>
      <c r="Z465" s="8" t="n">
        <v>3</v>
      </c>
      <c r="AA465" s="8" t="n">
        <v>0</v>
      </c>
      <c r="AB465" s="8" t="n">
        <v>7</v>
      </c>
      <c r="AC465" s="8" t="str">
        <v>2026-10-02 至 2026-10-17</v>
      </c>
      <c r="AD465" s="8" t="str">
        <v>2026-10-02、2026-10-03、2026-10-04、2026-10-05、2026-10-08、2026-10-09、2026-10-10、2026-10-11、2026-10-12、2026-10-13、2026-10-14、2026-10-15、2026-10-16、2026-10-17</v>
      </c>
      <c r="AE465" s="8" t="str">
        <v>2026-10-06 大促；2026-10-07 大促</v>
      </c>
      <c r="AF465" s="8" t="n">
        <v>6</v>
      </c>
      <c r="AG465" s="8" t="n">
        <v>2</v>
      </c>
      <c r="AH465" s="8" t="n">
        <v>14</v>
      </c>
      <c r="AI465" s="8" t="str">
        <v>2026-09-16 至 2026-10-17</v>
      </c>
      <c r="AJ4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5" s="8" t="str">
        <v>2026-10-06 大促；2026-10-07 大促</v>
      </c>
      <c r="AL465" s="8" t="n">
        <v>15</v>
      </c>
      <c r="AM465" s="8" t="n">
        <v>2</v>
      </c>
      <c r="AN465" s="8" t="n">
        <v>30</v>
      </c>
      <c r="AO465" s="8" t="str">
        <v>1S01 / 黑色羊京绒 / 6574</v>
      </c>
      <c r="AP465" s="11" t="n">
        <v>0.8729500662042875</v>
      </c>
      <c r="AQ465" s="11" t="n">
        <v>0.8729500662042875</v>
      </c>
      <c r="AR465" s="11" t="n">
        <v>1.0921363354767095</v>
      </c>
      <c r="AS465" s="11" t="n">
        <f>IF(AND(COUNT(I465:K465,AP465:AR465)=6,MIN(AP465:AR465)&gt;0),I465/7/AP465*0.5+J465/14/AQ465*0.3+K465/30/AR465*0.2,"")</f>
        <v>0.42301744037976047</v>
      </c>
      <c r="AT465" s="8" t="n">
        <v>45</v>
      </c>
      <c r="AU465" s="8" t="n">
        <v>2</v>
      </c>
      <c r="AV465" s="8" t="n">
        <v>88</v>
      </c>
      <c r="AW465" s="11" t="n">
        <f>IF(AND(COUNT(AT465:AV465)=3,AT465&gt;=AU465,AU465&gt;=0,AV465&gt;0),(AT465-AU465)/AV465,"")</f>
        <v>0.48863636363636365</v>
      </c>
      <c r="AX465" s="8" t="n">
        <v>71</v>
      </c>
      <c r="AY465" s="8" t="n">
        <v>2</v>
      </c>
      <c r="AZ465" s="8" t="n">
        <v>178</v>
      </c>
      <c r="BA465" s="11" t="n">
        <f>IF(AND(COUNT(AX465:AZ465)=3,AX465&gt;=AY465,AY465&gt;=0,AZ465&gt;0),(AX465-AY465)/AZ465,"")</f>
        <v>0.38764044943820225</v>
      </c>
      <c r="BB465" s="8" t="n">
        <f>IF(COUNT(AS465,AW465,BA465)=3,1,0)</f>
        <v>1</v>
      </c>
      <c r="BC465" s="11" t="n">
        <f>IF(SUMIF($AO$11:$AO$1309,AO465,$BB$11:$BB$1309)=COUNTIF($AO$11:$AO$1309,AO465),SUMIF($AO$11:$AO$1309,AO465,$AS$11:$AS$1309),"")</f>
        <v>6.231458447413107</v>
      </c>
      <c r="BD465" s="11" t="n">
        <f>IF(SUMIF($AO$11:$AO$1309,AO465,$BB$11:$BB$1309)=COUNTIF($AO$11:$AO$1309,AO465),SUMIF($AO$11:$AO$1309,AO465,$AW$11:$AW$1309),"")</f>
        <v>5.866248693834901</v>
      </c>
      <c r="BE465" s="11" t="n">
        <f>IF(SUMIF($AO$11:$AO$1309,AO465,$BB$11:$BB$1309)=COUNTIF($AO$11:$AO$1309,AO465),SUMIF($AO$11:$AO$1309,AO465,$BA$11:$BA$1309),"")</f>
        <v>4.27632831841554</v>
      </c>
      <c r="BF465" s="12" t="n">
        <f>IF(COUNT(BD465:BE465)&lt;&gt;2,"",IF(AND(BD465&gt;0,BE465&gt;0),0.7*AW465/BD465+0.3*BA465/BE465,IF(BD465&gt;0,AW465/BD465,IF(BE465&gt;0,BA465/BE465,IF(AND(ISNUMBER(BH465),BH465=0),0,"")))))</f>
        <v>0.08550174538603392</v>
      </c>
      <c r="BG465" s="11" t="n">
        <f>IF(AND(COUNT(BN465:BU465)=8,MIN(BN465:BU465)&gt;=0),SUMPRODUCT(BN465:BQ465,BR465:BU465),"")</f>
        <v>63.935996265425516</v>
      </c>
      <c r="BH465" s="11" t="n">
        <f>IF(COUNT(BC465,BG465)=2,BC465*BG465,"")</f>
        <v>398.4145040219587</v>
      </c>
      <c r="BI465" s="11" t="n">
        <f>IF(ISNUMBER(CI465),CI465,"")</f>
        <v>34.065135480988495</v>
      </c>
      <c r="BJ465" s="8" t="str"/>
      <c r="BK465" s="8" t="str">
        <v>90天：2026-07-20 至 2026-10-17；180天：2026-04-21 至 2026-10-17</v>
      </c>
      <c r="BL465" s="8" t="str">
        <v>90天：2026-10-06、2026-10-07；180天：2026-10-06、2026-10-07</v>
      </c>
      <c r="BM465" s="8" t="str">
        <v>2026-10：12天 × 0.8729500662042875；2026-11：30天 × 0.8057375774163482；2026-12：31天 × 0.532550303142279；2027-01：17天 × 0.7517299265337036</v>
      </c>
      <c r="BN465" s="11" t="n">
        <v>0.8729500662042875</v>
      </c>
      <c r="BO465" s="11" t="n">
        <v>0.8057375774163482</v>
      </c>
      <c r="BP465" s="11" t="n">
        <v>0.532550303142279</v>
      </c>
      <c r="BQ465" s="11" t="n">
        <v>0.7517299265337036</v>
      </c>
      <c r="BR465" s="8" t="n">
        <v>12</v>
      </c>
      <c r="BS465" s="8" t="n">
        <v>30</v>
      </c>
      <c r="BT465" s="8" t="n">
        <v>31</v>
      </c>
      <c r="BU465" s="8" t="n">
        <v>17</v>
      </c>
      <c r="BV465" s="11" t="n">
        <f>IF(COUNT(BC465,BF465)=2,BC465*BF465,"")</f>
        <v>0.5328005735543657</v>
      </c>
      <c r="BW465" s="11" t="n">
        <f>IF(ISNUMBER(BN465),BN465,"")</f>
        <v>0.8729500662042875</v>
      </c>
      <c r="BX465" s="14" t="n">
        <f>IF(ISNUMBER(BR465),BR465,"")</f>
        <v>12</v>
      </c>
      <c r="BY465" s="13" t="n">
        <f>IF(AND(COUNT(BV465,BW465,BX465)=3,MIN(BV465,BW465,BX465)&gt;=0),BV465*BW465*BX465,"")</f>
        <v>5.581299551495591</v>
      </c>
      <c r="BZ465" s="11" t="n">
        <f>IF(ISNUMBER(BO465),BO465,"")</f>
        <v>0.8057375774163482</v>
      </c>
      <c r="CA465" s="14" t="n">
        <f>IF(ISNUMBER(BS465),BS465,"")</f>
        <v>30</v>
      </c>
      <c r="CB465" s="13" t="n">
        <f>IF(AND(COUNT(BV465,BZ465,CA465)=3,MIN(BV465,BZ465,CA465)&gt;=0),BV465*BZ465*CA465,"")</f>
        <v>12.878923301452064</v>
      </c>
      <c r="CC465" s="11" t="n">
        <f>IF(ISNUMBER(BP465),BP465,"")</f>
        <v>0.532550303142279</v>
      </c>
      <c r="CD465" s="14" t="n">
        <f>IF(ISNUMBER(BT465),BT465,"")</f>
        <v>31</v>
      </c>
      <c r="CE465" s="13" t="n">
        <f>IF(AND(COUNT(BV465,CC465,CD465)=3,MIN(BV465,CC465,CD465)&gt;=0),BV465*CC465*CD465,"")</f>
        <v>8.796036315783486</v>
      </c>
      <c r="CF465" s="11" t="n">
        <f>IF(ISNUMBER(BQ465),BQ465,"")</f>
        <v>0.7517299265337036</v>
      </c>
      <c r="CG465" s="14" t="n">
        <f>IF(ISNUMBER(BU465),BU465,"")</f>
        <v>17</v>
      </c>
      <c r="CH465" s="13" t="n">
        <f>IF(AND(COUNT(BV465,CF465,CG465)=3,MIN(BV465,CF465,CG465)&gt;=0),BV465*CF465*CG465,"")</f>
        <v>6.808876312257354</v>
      </c>
      <c r="CI465" s="13" t="n">
        <f>IF(COUNT(BY465,CB465,CE465,CH465)=4,SUM(BY465,CB465,CE465,CH465),"")</f>
        <v>34.065135480988495</v>
      </c>
    </row>
    <row r="466" ht="72" customHeight="1">
      <c r="A466" s="16" t="str">
        <v>1S01-BLK-42</v>
      </c>
      <c r="B466" s="16" t="str">
        <v>3店-SANDIEX-US</v>
      </c>
      <c r="C466" s="16" t="str">
        <v>徐新怡</v>
      </c>
      <c r="D466" s="26" t="n">
        <f>IF(NOT(ISNUMBER(E466)),"",IF(OR(E466&lt;=0,L466=0),0,IF(OR(NOT(ISNUMBER(F466)),F466&lt;0),"",MIN(E466,INT(F466)))))</f>
        <v>0</v>
      </c>
      <c r="E466" s="27" t="n">
        <f>IF(OR(NOT(ISNUMBER(L466)),COUNT(M466:O466)&lt;&gt;3,MIN(M466:O466)&lt;0),"",ROUNDUP(ROUND(BI466-SUM(M466:O466),10),0))</f>
        <v>-35</v>
      </c>
      <c r="F466" s="28" t="n">
        <v>4</v>
      </c>
      <c r="G466" s="28" t="n">
        <f>IF(AND(ISNUMBER(D466),ISNUMBER(E466)),IF(OR(E466&lt;=0,L466=0),0,E466-D466),"")</f>
        <v>0</v>
      </c>
      <c r="H466" s="16" t="str">
        <f>IF(NOT(ISNUMBER(E466)),"销量或海外库存待补",IF(OR(E466&lt;=0,L466=0),IF(L466=0,"零日销，本批不发","本批无需补货"),IF(NOT(ISNUMBER(D466)),"国内库存待补",IF(D466=0,"国内无可用库存",IF(G466&gt;0,"先发国内现货","按建议量发货")))))</f>
        <v>本批无需补货</v>
      </c>
      <c r="I466" s="28" t="n">
        <f>IF(AND(COUNT(Z466,AA466,AB466)=3,Z466&gt;=AA466,AA466&gt;=0,AB466=7),Z466-AA466,"")</f>
        <v>0</v>
      </c>
      <c r="J466" s="28" t="n">
        <f>IF(AND(COUNT(AF466,AG466,AH466)=3,AF466&gt;=AG466,AG466&gt;=0,AH466=14),AF466-AG466,"")</f>
        <v>3</v>
      </c>
      <c r="K466" s="28" t="n">
        <f>IF(AND(COUNT(AL466,AM466,AN466)=3,AL466&gt;=AM466,AM466&gt;=0,AN466=30),AL466-AM466,"")</f>
        <v>11</v>
      </c>
      <c r="L466" s="29" t="n">
        <f>IF(ISNUMBER(BI466),BI466/90,"")</f>
        <v>0.23088544510034686</v>
      </c>
      <c r="M466" s="28" t="n">
        <v>11</v>
      </c>
      <c r="N466" s="28" t="n">
        <v>0</v>
      </c>
      <c r="O466" s="28" t="n">
        <v>44</v>
      </c>
      <c r="P466" s="30" t="n">
        <f>IF(AND(ISNUMBER(L466),L466&gt;0,COUNT(M466:O466)=3,MIN(M466:O466)&gt;=0),SUM(M466:O466)/L466,"")</f>
        <v>238.21337016759995</v>
      </c>
      <c r="Q466" s="16" t="str">
        <v>沿用原计划SKU店铺</v>
      </c>
      <c r="R466" s="16" t="str">
        <v>已匹配</v>
      </c>
      <c r="S466" s="16" t="str">
        <v>在售</v>
      </c>
      <c r="T466" s="16" t="str">
        <v>1S01</v>
      </c>
      <c r="U466" s="16" t="str">
        <v>黑色</v>
      </c>
      <c r="V466" s="16" t="n">
        <v>11</v>
      </c>
      <c r="W466" s="8" t="str">
        <v>2026-10-11 至 2026-10-17</v>
      </c>
      <c r="X466" s="8" t="str">
        <v>2026-10-11、2026-10-12、2026-10-13、2026-10-14、2026-10-15、2026-10-16、2026-10-17</v>
      </c>
      <c r="Y466" s="8" t="str">
        <v>无</v>
      </c>
      <c r="Z466" s="8" t="n">
        <v>0</v>
      </c>
      <c r="AA466" s="8" t="n">
        <v>0</v>
      </c>
      <c r="AB466" s="8" t="n">
        <v>7</v>
      </c>
      <c r="AC466" s="8" t="str">
        <v>2026-10-02 至 2026-10-17</v>
      </c>
      <c r="AD466" s="8" t="str">
        <v>2026-10-02、2026-10-03、2026-10-04、2026-10-05、2026-10-08、2026-10-09、2026-10-10、2026-10-11、2026-10-12、2026-10-13、2026-10-14、2026-10-15、2026-10-16、2026-10-17</v>
      </c>
      <c r="AE466" s="8" t="str">
        <v>2026-10-06 大促；2026-10-07 大促</v>
      </c>
      <c r="AF466" s="8" t="n">
        <v>4</v>
      </c>
      <c r="AG466" s="8" t="n">
        <v>1</v>
      </c>
      <c r="AH466" s="8" t="n">
        <v>14</v>
      </c>
      <c r="AI466" s="8" t="str">
        <v>2026-09-16 至 2026-10-17</v>
      </c>
      <c r="AJ4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66" s="8" t="str">
        <v>2026-10-06 大促；2026-10-07 大促</v>
      </c>
      <c r="AL466" s="8" t="n">
        <v>12</v>
      </c>
      <c r="AM466" s="8" t="n">
        <v>1</v>
      </c>
      <c r="AN466" s="8" t="n">
        <v>30</v>
      </c>
      <c r="AO466" s="8" t="str">
        <v>1S01 / 黑色羊京绒 / 6574</v>
      </c>
      <c r="AP466" s="11" t="n">
        <v>0.8729500662042875</v>
      </c>
      <c r="AQ466" s="11" t="n">
        <v>0.8729500662042875</v>
      </c>
      <c r="AR466" s="11" t="n">
        <v>1.0921363354767095</v>
      </c>
      <c r="AS466" s="11" t="n">
        <f>IF(AND(COUNT(I466:K466,AP466:AR466)=6,MIN(AP466:AR466)&gt;0),I466/7/AP466*0.5+J466/14/AQ466*0.3+K466/30/AR466*0.2,"")</f>
        <v>0.14078859860505288</v>
      </c>
      <c r="AT466" s="8" t="n">
        <v>29</v>
      </c>
      <c r="AU466" s="8" t="n">
        <v>1</v>
      </c>
      <c r="AV466" s="8" t="n">
        <v>88</v>
      </c>
      <c r="AW466" s="11" t="n">
        <f>IF(AND(COUNT(AT466:AV466)=3,AT466&gt;=AU466,AU466&gt;=0,AV466&gt;0),(AT466-AU466)/AV466,"")</f>
        <v>0.3181818181818182</v>
      </c>
      <c r="AX466" s="8" t="n">
        <v>37</v>
      </c>
      <c r="AY466" s="8" t="n">
        <v>1</v>
      </c>
      <c r="AZ466" s="8" t="n">
        <v>178</v>
      </c>
      <c r="BA466" s="11" t="n">
        <f>IF(AND(COUNT(AX466:AZ466)=3,AX466&gt;=AY466,AY466&gt;=0,AZ466&gt;0),(AX466-AY466)/AZ466,"")</f>
        <v>0.20224719101123595</v>
      </c>
      <c r="BB466" s="8" t="n">
        <f>IF(COUNT(AS466,AW466,BA466)=3,1,0)</f>
        <v>1</v>
      </c>
      <c r="BC466" s="11" t="n">
        <f>IF(SUMIF($AO$11:$AO$1309,AO466,$BB$11:$BB$1309)=COUNTIF($AO$11:$AO$1309,AO466),SUMIF($AO$11:$AO$1309,AO466,$AS$11:$AS$1309),"")</f>
        <v>6.231458447413107</v>
      </c>
      <c r="BD466" s="11" t="n">
        <f>IF(SUMIF($AO$11:$AO$1309,AO466,$BB$11:$BB$1309)=COUNTIF($AO$11:$AO$1309,AO466),SUMIF($AO$11:$AO$1309,AO466,$AW$11:$AW$1309),"")</f>
        <v>5.866248693834901</v>
      </c>
      <c r="BE466" s="11" t="n">
        <f>IF(SUMIF($AO$11:$AO$1309,AO466,$BB$11:$BB$1309)=COUNTIF($AO$11:$AO$1309,AO466),SUMIF($AO$11:$AO$1309,AO466,$BA$11:$BA$1309),"")</f>
        <v>4.27632831841554</v>
      </c>
      <c r="BF466" s="12" t="n">
        <f>IF(COUNT(BD466:BE466)&lt;&gt;2,"",IF(AND(BD466&gt;0,BE466&gt;0),0.7*AW466/BD466+0.3*BA466/BE466,IF(BD466&gt;0,AW466/BD466,IF(BE466&gt;0,BA466/BE466,IF(AND(ISNUMBER(BH466),BH466=0),0,"")))))</f>
        <v>0.05215595780088855</v>
      </c>
      <c r="BG466" s="11" t="n">
        <f>IF(AND(COUNT(BN466:BU466)=8,MIN(BN466:BU466)&gt;=0),SUMPRODUCT(BN466:BQ466,BR466:BU466),"")</f>
        <v>63.935996265425516</v>
      </c>
      <c r="BH466" s="11" t="n">
        <f>IF(COUNT(BC466,BG466)=2,BC466*BG466,"")</f>
        <v>398.4145040219587</v>
      </c>
      <c r="BI466" s="11" t="n">
        <f>IF(ISNUMBER(CI466),CI466,"")</f>
        <v>20.779690059031218</v>
      </c>
      <c r="BJ466" s="8" t="str"/>
      <c r="BK466" s="8" t="str">
        <v>90天：2026-07-20 至 2026-10-17；180天：2026-04-21 至 2026-10-17</v>
      </c>
      <c r="BL466" s="8" t="str">
        <v>90天：2026-10-06、2026-10-07；180天：2026-10-06、2026-10-07</v>
      </c>
      <c r="BM466" s="8" t="str">
        <v>2026-10：12天 × 0.8729500662042875；2026-11：30天 × 0.8057375774163482；2026-12：31天 × 0.532550303142279；2027-01：17天 × 0.7517299265337036</v>
      </c>
      <c r="BN466" s="11" t="n">
        <v>0.8729500662042875</v>
      </c>
      <c r="BO466" s="11" t="n">
        <v>0.8057375774163482</v>
      </c>
      <c r="BP466" s="11" t="n">
        <v>0.532550303142279</v>
      </c>
      <c r="BQ466" s="11" t="n">
        <v>0.7517299265337036</v>
      </c>
      <c r="BR466" s="8" t="n">
        <v>12</v>
      </c>
      <c r="BS466" s="8" t="n">
        <v>30</v>
      </c>
      <c r="BT466" s="8" t="n">
        <v>31</v>
      </c>
      <c r="BU466" s="8" t="n">
        <v>17</v>
      </c>
      <c r="BV466" s="11" t="n">
        <f>IF(COUNT(BC466,BF466)=2,BC466*BF466,"")</f>
        <v>0.32500768382126854</v>
      </c>
      <c r="BW466" s="11" t="n">
        <f>IF(ISNUMBER(BN466),BN466,"")</f>
        <v>0.8729500662042875</v>
      </c>
      <c r="BX466" s="14" t="n">
        <f>IF(ISNUMBER(BR466),BR466,"")</f>
        <v>12</v>
      </c>
      <c r="BY466" s="13" t="n">
        <f>IF(AND(COUNT(BV466,BW466,BX466)=3,MIN(BV466,BW466,BX466)&gt;=0),BV466*BW466*BX466,"")</f>
        <v>3.4045857493041423</v>
      </c>
      <c r="BZ466" s="11" t="n">
        <f>IF(ISNUMBER(BO466),BO466,"")</f>
        <v>0.8057375774163482</v>
      </c>
      <c r="CA466" s="14" t="n">
        <f>IF(ISNUMBER(BS466),BS466,"")</f>
        <v>30</v>
      </c>
      <c r="CB466" s="13" t="n">
        <f>IF(AND(COUNT(BV466,BZ466,CA466)=3,MIN(BV466,BZ466,CA466)&gt;=0),BV466*BZ466*CA466,"")</f>
        <v>7.856127114115421</v>
      </c>
      <c r="CC466" s="11" t="n">
        <f>IF(ISNUMBER(BP466),BP466,"")</f>
        <v>0.532550303142279</v>
      </c>
      <c r="CD466" s="14" t="n">
        <f>IF(ISNUMBER(BT466),BT466,"")</f>
        <v>31</v>
      </c>
      <c r="CE466" s="13" t="n">
        <f>IF(AND(COUNT(BV466,CC466,CD466)=3,MIN(BV466,CC466,CD466)&gt;=0),BV466*CC466*CD466,"")</f>
        <v>5.365571156820183</v>
      </c>
      <c r="CF466" s="11" t="n">
        <f>IF(ISNUMBER(BQ466),BQ466,"")</f>
        <v>0.7517299265337036</v>
      </c>
      <c r="CG466" s="14" t="n">
        <f>IF(ISNUMBER(BU466),BU466,"")</f>
        <v>17</v>
      </c>
      <c r="CH466" s="13" t="n">
        <f>IF(AND(COUNT(BV466,CF466,CG466)=3,MIN(BV466,CF466,CG466)&gt;=0),BV466*CF466*CG466,"")</f>
        <v>4.1534060387914735</v>
      </c>
      <c r="CI466" s="13" t="n">
        <f>IF(COUNT(BY466,CB466,CE466,CH466)=4,SUM(BY466,CB466,CE466,CH466),"")</f>
        <v>20.779690059031218</v>
      </c>
    </row>
    <row r="467" ht="72" customHeight="1">
      <c r="A467" s="16" t="str">
        <v>1S01-BW-10</v>
      </c>
      <c r="B467" s="16" t="str">
        <v>3店-SANDIEX-US</v>
      </c>
      <c r="C467" s="16" t="str">
        <v>徐新怡</v>
      </c>
      <c r="D467" s="26" t="n">
        <f>IF(NOT(ISNUMBER(E467)),"",IF(OR(E467&lt;=0,L467=0),0,IF(OR(NOT(ISNUMBER(F467)),F467&lt;0),"",MIN(E467,INT(F467)))))</f>
        <v>0</v>
      </c>
      <c r="E467" s="27" t="n">
        <f>IF(OR(NOT(ISNUMBER(L467)),COUNT(M467:O467)&lt;&gt;3,MIN(M467:O467)&lt;0),"",ROUNDUP(ROUND(BI467-SUM(M467:O467),10),0))</f>
        <v>0</v>
      </c>
      <c r="F467" s="28" t="n">
        <v>0</v>
      </c>
      <c r="G467" s="28" t="n">
        <f>IF(AND(ISNUMBER(D467),ISNUMBER(E467)),IF(OR(E467&lt;=0,L467=0),0,E467-D467),"")</f>
        <v>0</v>
      </c>
      <c r="H467" s="16" t="str">
        <f>IF(NOT(ISNUMBER(E467)),"销量或海外库存待补",IF(OR(E467&lt;=0,L467=0),IF(L467=0,"零日销，本批不发","本批无需补货"),IF(NOT(ISNUMBER(D467)),"国内库存待补",IF(D467=0,"国内无可用库存",IF(G467&gt;0,"先发国内现货","按建议量发货")))))</f>
        <v>零日销，本批不发</v>
      </c>
      <c r="I467" s="28" t="n">
        <f>IF(AND(COUNT(Z467,AA467,AB467)=3,Z467&gt;=AA467,AA467&gt;=0,AB467=7),Z467-AA467,"")</f>
        <v>0</v>
      </c>
      <c r="J467" s="28" t="n">
        <f>IF(AND(COUNT(AF467,AG467,AH467)=3,AF467&gt;=AG467,AG467&gt;=0,AH467=14),AF467-AG467,"")</f>
        <v>0</v>
      </c>
      <c r="K467" s="28" t="n">
        <f>IF(AND(COUNT(AL467,AM467,AN467)=3,AL467&gt;=AM467,AM467&gt;=0,AN467=30),AL467-AM467,"")</f>
        <v>0</v>
      </c>
      <c r="L467" s="29" t="n">
        <f>IF(ISNUMBER(BI467),BI467/90,"")</f>
        <v>0</v>
      </c>
      <c r="M467" s="28" t="n">
        <v>0</v>
      </c>
      <c r="N467" s="28" t="n">
        <v>0</v>
      </c>
      <c r="O467" s="28" t="n">
        <v>0</v>
      </c>
      <c r="P467" s="30" t="str">
        <f>IF(AND(ISNUMBER(L467),L467&gt;0,COUNT(M467:O467)=3,MIN(M467:O467)&gt;=0),SUM(M467:O467)/L467,"")</f>
      </c>
      <c r="Q467" s="16" t="str">
        <v>沿用原计划SKU店铺</v>
      </c>
      <c r="R467" s="16" t="str">
        <v>已匹配</v>
      </c>
      <c r="S467" s="16" t="str">
        <v>停售</v>
      </c>
      <c r="T467" s="16" t="str">
        <v>1S01</v>
      </c>
      <c r="U467" s="16" t="str">
        <v>深棕色</v>
      </c>
      <c r="V467" s="16" t="n">
        <v>10</v>
      </c>
      <c r="W467" s="8" t="str">
        <v>2026-10-08 至 2026-10-17</v>
      </c>
      <c r="X467" s="8" t="str">
        <v>2026-10-08、2026-10-09、2026-10-10、2026-10-11、2026-10-14、2026-10-15、2026-10-17</v>
      </c>
      <c r="Y467" s="8" t="str">
        <v>2026-10-12 有记录的停售日；2026-10-13 有记录的停售日；2026-10-16 有记录的停售日</v>
      </c>
      <c r="Z467" s="8" t="n">
        <v>0</v>
      </c>
      <c r="AA467" s="8" t="n">
        <v>0</v>
      </c>
      <c r="AB467" s="8" t="n">
        <v>7</v>
      </c>
      <c r="AC467" s="8" t="str">
        <v>2026-09-29 至 2026-10-17</v>
      </c>
      <c r="AD467" s="8" t="str">
        <v>2026-09-29、2026-09-30、2026-10-01、2026-10-02、2026-10-03、2026-10-04、2026-10-05、2026-10-08、2026-10-09、2026-10-10、2026-10-11、2026-10-14、2026-10-15、2026-10-17</v>
      </c>
      <c r="AE467" s="8" t="str">
        <v>2026-10-06 大促；2026-10-07 大促；2026-10-12 有记录的停售日；2026-10-13 有记录的停售日；2026-10-16 有记录的停售日</v>
      </c>
      <c r="AF467" s="8" t="n">
        <v>0</v>
      </c>
      <c r="AG467" s="8" t="n">
        <v>0</v>
      </c>
      <c r="AH467" s="8" t="n">
        <v>14</v>
      </c>
      <c r="AI467" s="8" t="str">
        <v>2026-09-13 至 2026-10-17</v>
      </c>
      <c r="AJ46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67" s="8" t="str">
        <v>2026-10-06 大促；2026-10-07 大促；2026-10-12 有记录的停售日；2026-10-13 有记录的停售日；2026-10-16 有记录的停售日</v>
      </c>
      <c r="AL467" s="8" t="n">
        <v>0</v>
      </c>
      <c r="AM467" s="8" t="n">
        <v>0</v>
      </c>
      <c r="AN467" s="8" t="n">
        <v>30</v>
      </c>
      <c r="AO467" s="8" t="str">
        <v>1S01 / 深棕色PU / 6574</v>
      </c>
      <c r="AP467" s="11" t="n">
        <v>0.8729500662042875</v>
      </c>
      <c r="AQ467" s="11" t="n">
        <v>0.9355747145678367</v>
      </c>
      <c r="AR467" s="11" t="n">
        <v>1.135973589331194</v>
      </c>
      <c r="AS467" s="11" t="n">
        <f>IF(AND(COUNT(I467:K467,AP467:AR467)=6,MIN(AP467:AR467)&gt;0),I467/7/AP467*0.5+J467/14/AQ467*0.3+K467/30/AR467*0.2,"")</f>
        <v>0</v>
      </c>
      <c r="AT467" s="8" t="n">
        <v>0</v>
      </c>
      <c r="AU467" s="8" t="n">
        <v>0</v>
      </c>
      <c r="AV467" s="8" t="n">
        <v>85</v>
      </c>
      <c r="AW467" s="11" t="n">
        <f>IF(AND(COUNT(AT467:AV467)=3,AT467&gt;=AU467,AU467&gt;=0,AV467&gt;0),(AT467-AU467)/AV467,"")</f>
        <v>0</v>
      </c>
      <c r="AX467" s="8" t="n">
        <v>4</v>
      </c>
      <c r="AY467" s="8" t="n">
        <v>0</v>
      </c>
      <c r="AZ467" s="8" t="n">
        <v>175</v>
      </c>
      <c r="BA467" s="11" t="n">
        <f>IF(AND(COUNT(AX467:AZ467)=3,AX467&gt;=AY467,AY467&gt;=0,AZ467&gt;0),(AX467-AY467)/AZ467,"")</f>
        <v>0.022857142857142857</v>
      </c>
      <c r="BB467" s="8" t="n">
        <f>IF(COUNT(AS467,AW467,BA467)=3,1,0)</f>
        <v>1</v>
      </c>
      <c r="BC467" s="11" t="n">
        <f>IF(SUMIF($AO$11:$AO$1309,AO467,$BB$11:$BB$1309)=COUNTIF($AO$11:$AO$1309,AO467),SUMIF($AO$11:$AO$1309,AO467,$AS$11:$AS$1309),"")</f>
        <v>0</v>
      </c>
      <c r="BD467" s="11" t="n">
        <f>IF(SUMIF($AO$11:$AO$1309,AO467,$BB$11:$BB$1309)=COUNTIF($AO$11:$AO$1309,AO467),SUMIF($AO$11:$AO$1309,AO467,$AW$11:$AW$1309),"")</f>
        <v>0.03529411764705882</v>
      </c>
      <c r="BE467" s="11" t="n">
        <f>IF(SUMIF($AO$11:$AO$1309,AO467,$BB$11:$BB$1309)=COUNTIF($AO$11:$AO$1309,AO467),SUMIF($AO$11:$AO$1309,AO467,$BA$11:$BA$1309),"")</f>
        <v>0.1142857142857143</v>
      </c>
      <c r="BF467" s="12" t="n">
        <f>IF(COUNT(BD467:BE467)&lt;&gt;2,"",IF(AND(BD467&gt;0,BE467&gt;0),0.7*AW467/BD467+0.3*BA467/BE467,IF(BD467&gt;0,AW467/BD467,IF(BE467&gt;0,BA467/BE467,IF(AND(ISNUMBER(BH467),BH467=0),0,"")))))</f>
        <v>0.05999999999999999</v>
      </c>
      <c r="BG467" s="11" t="n">
        <f>IF(AND(COUNT(BN467:BU467)=8,MIN(BN467:BU467)&gt;=0),SUMPRODUCT(BN467:BQ467,BR467:BU467),"")</f>
        <v>63.935996265425516</v>
      </c>
      <c r="BH467" s="11" t="n">
        <f>IF(COUNT(BC467,BG467)=2,BC467*BG467,"")</f>
        <v>0</v>
      </c>
      <c r="BI467" s="11" t="n">
        <f>IF(ISNUMBER(CI467),CI467,"")</f>
        <v>0</v>
      </c>
      <c r="BJ467" s="8" t="str">
        <v>近180天本色销量20双（＜90），无有效新采购，请运营判断</v>
      </c>
      <c r="BK467" s="8" t="str">
        <v>90天：2026-07-20 至 2026-10-17；180天：2026-04-21 至 2026-10-17</v>
      </c>
      <c r="BL467" s="8" t="str">
        <v>90天：2026-10-06、2026-10-07、2026-10-12、2026-10-13、2026-10-16；180天：2026-10-06、2026-10-07、2026-10-12、2026-10-13、2026-10-16</v>
      </c>
      <c r="BM467" s="8" t="str">
        <v>2026-10：12天 × 0.8729500662042875；2026-11：30天 × 0.8057375774163482；2026-12：31天 × 0.532550303142279；2027-01：17天 × 0.7517299265337036</v>
      </c>
      <c r="BN467" s="11" t="n">
        <v>0.8729500662042875</v>
      </c>
      <c r="BO467" s="11" t="n">
        <v>0.8057375774163482</v>
      </c>
      <c r="BP467" s="11" t="n">
        <v>0.532550303142279</v>
      </c>
      <c r="BQ467" s="11" t="n">
        <v>0.7517299265337036</v>
      </c>
      <c r="BR467" s="8" t="n">
        <v>12</v>
      </c>
      <c r="BS467" s="8" t="n">
        <v>30</v>
      </c>
      <c r="BT467" s="8" t="n">
        <v>31</v>
      </c>
      <c r="BU467" s="8" t="n">
        <v>17</v>
      </c>
      <c r="BV467" s="11" t="n">
        <f>IF(COUNT(BC467,BF467)=2,BC467*BF467,"")</f>
        <v>0</v>
      </c>
      <c r="BW467" s="11" t="n">
        <f>IF(ISNUMBER(BN467),BN467,"")</f>
        <v>0.8729500662042875</v>
      </c>
      <c r="BX467" s="14" t="n">
        <f>IF(ISNUMBER(BR467),BR467,"")</f>
        <v>12</v>
      </c>
      <c r="BY467" s="13" t="n">
        <f>IF(AND(COUNT(BV467,BW467,BX467)=3,MIN(BV467,BW467,BX467)&gt;=0),BV467*BW467*BX467,"")</f>
        <v>0</v>
      </c>
      <c r="BZ467" s="11" t="n">
        <f>IF(ISNUMBER(BO467),BO467,"")</f>
        <v>0.8057375774163482</v>
      </c>
      <c r="CA467" s="14" t="n">
        <f>IF(ISNUMBER(BS467),BS467,"")</f>
        <v>30</v>
      </c>
      <c r="CB467" s="13" t="n">
        <f>IF(AND(COUNT(BV467,BZ467,CA467)=3,MIN(BV467,BZ467,CA467)&gt;=0),BV467*BZ467*CA467,"")</f>
        <v>0</v>
      </c>
      <c r="CC467" s="11" t="n">
        <f>IF(ISNUMBER(BP467),BP467,"")</f>
        <v>0.532550303142279</v>
      </c>
      <c r="CD467" s="14" t="n">
        <f>IF(ISNUMBER(BT467),BT467,"")</f>
        <v>31</v>
      </c>
      <c r="CE467" s="13" t="n">
        <f>IF(AND(COUNT(BV467,CC467,CD467)=3,MIN(BV467,CC467,CD467)&gt;=0),BV467*CC467*CD467,"")</f>
        <v>0</v>
      </c>
      <c r="CF467" s="11" t="n">
        <f>IF(ISNUMBER(BQ467),BQ467,"")</f>
        <v>0.7517299265337036</v>
      </c>
      <c r="CG467" s="14" t="n">
        <f>IF(ISNUMBER(BU467),BU467,"")</f>
        <v>17</v>
      </c>
      <c r="CH467" s="13" t="n">
        <f>IF(AND(COUNT(BV467,CF467,CG467)=3,MIN(BV467,CF467,CG467)&gt;=0),BV467*CF467*CG467,"")</f>
        <v>0</v>
      </c>
      <c r="CI467" s="13" t="n">
        <f>IF(COUNT(BY467,CB467,CE467,CH467)=4,SUM(BY467,CB467,CE467,CH467),"")</f>
        <v>0</v>
      </c>
    </row>
    <row r="468" ht="72" customHeight="1">
      <c r="A468" s="16" t="str">
        <v>1S01-BW-11</v>
      </c>
      <c r="B468" s="16" t="str">
        <v>3店-SANDIEX-US</v>
      </c>
      <c r="C468" s="16" t="str">
        <v>徐新怡</v>
      </c>
      <c r="D468" s="26" t="n">
        <f>IF(NOT(ISNUMBER(E468)),"",IF(OR(E468&lt;=0,L468=0),0,IF(OR(NOT(ISNUMBER(F468)),F468&lt;0),"",MIN(E468,INT(F468)))))</f>
        <v>0</v>
      </c>
      <c r="E468" s="27" t="n">
        <f>IF(OR(NOT(ISNUMBER(L468)),COUNT(M468:O468)&lt;&gt;3,MIN(M468:O468)&lt;0),"",ROUNDUP(ROUND(BI468-SUM(M468:O468),10),0))</f>
        <v>0</v>
      </c>
      <c r="F468" s="28" t="n">
        <v>0</v>
      </c>
      <c r="G468" s="28" t="n">
        <f>IF(AND(ISNUMBER(D468),ISNUMBER(E468)),IF(OR(E468&lt;=0,L468=0),0,E468-D468),"")</f>
        <v>0</v>
      </c>
      <c r="H468" s="16" t="str">
        <f>IF(NOT(ISNUMBER(E468)),"销量或海外库存待补",IF(OR(E468&lt;=0,L468=0),IF(L468=0,"零日销，本批不发","本批无需补货"),IF(NOT(ISNUMBER(D468)),"国内库存待补",IF(D468=0,"国内无可用库存",IF(G468&gt;0,"先发国内现货","按建议量发货")))))</f>
        <v>零日销，本批不发</v>
      </c>
      <c r="I468" s="28" t="n">
        <f>IF(AND(COUNT(Z468,AA468,AB468)=3,Z468&gt;=AA468,AA468&gt;=0,AB468=7),Z468-AA468,"")</f>
        <v>0</v>
      </c>
      <c r="J468" s="28" t="n">
        <f>IF(AND(COUNT(AF468,AG468,AH468)=3,AF468&gt;=AG468,AG468&gt;=0,AH468=14),AF468-AG468,"")</f>
        <v>0</v>
      </c>
      <c r="K468" s="28" t="n">
        <f>IF(AND(COUNT(AL468,AM468,AN468)=3,AL468&gt;=AM468,AM468&gt;=0,AN468=30),AL468-AM468,"")</f>
        <v>0</v>
      </c>
      <c r="L468" s="29" t="n">
        <f>IF(ISNUMBER(BI468),BI468/90,"")</f>
        <v>0</v>
      </c>
      <c r="M468" s="28" t="n">
        <v>0</v>
      </c>
      <c r="N468" s="28" t="n">
        <v>0</v>
      </c>
      <c r="O468" s="28" t="n">
        <v>0</v>
      </c>
      <c r="P468" s="30" t="str">
        <f>IF(AND(ISNUMBER(L468),L468&gt;0,COUNT(M468:O468)=3,MIN(M468:O468)&gt;=0),SUM(M468:O468)/L468,"")</f>
      </c>
      <c r="Q468" s="16" t="str">
        <v>沿用原计划SKU店铺</v>
      </c>
      <c r="R468" s="16" t="str">
        <v>已匹配</v>
      </c>
      <c r="S468" s="16" t="str">
        <v>停售</v>
      </c>
      <c r="T468" s="16" t="str">
        <v>1S01</v>
      </c>
      <c r="U468" s="16" t="str">
        <v>深棕色</v>
      </c>
      <c r="V468" s="16" t="n">
        <v>11</v>
      </c>
      <c r="W468" s="8" t="str">
        <v>2026-10-08 至 2026-10-17</v>
      </c>
      <c r="X468" s="8" t="str">
        <v>2026-10-08、2026-10-09、2026-10-10、2026-10-11、2026-10-14、2026-10-15、2026-10-17</v>
      </c>
      <c r="Y468" s="8" t="str">
        <v>2026-10-12 有记录的停售日；2026-10-13 有记录的停售日；2026-10-16 有记录的停售日</v>
      </c>
      <c r="Z468" s="8" t="n">
        <v>0</v>
      </c>
      <c r="AA468" s="8" t="n">
        <v>0</v>
      </c>
      <c r="AB468" s="8" t="n">
        <v>7</v>
      </c>
      <c r="AC468" s="8" t="str">
        <v>2026-09-29 至 2026-10-17</v>
      </c>
      <c r="AD468" s="8" t="str">
        <v>2026-09-29、2026-09-30、2026-10-01、2026-10-02、2026-10-03、2026-10-04、2026-10-05、2026-10-08、2026-10-09、2026-10-10、2026-10-11、2026-10-14、2026-10-15、2026-10-17</v>
      </c>
      <c r="AE468" s="8" t="str">
        <v>2026-10-06 大促；2026-10-07 大促；2026-10-12 有记录的停售日；2026-10-13 有记录的停售日；2026-10-16 有记录的停售日</v>
      </c>
      <c r="AF468" s="8" t="n">
        <v>0</v>
      </c>
      <c r="AG468" s="8" t="n">
        <v>0</v>
      </c>
      <c r="AH468" s="8" t="n">
        <v>14</v>
      </c>
      <c r="AI468" s="8" t="str">
        <v>2026-09-13 至 2026-10-17</v>
      </c>
      <c r="AJ46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68" s="8" t="str">
        <v>2026-10-06 大促；2026-10-07 大促；2026-10-12 有记录的停售日；2026-10-13 有记录的停售日；2026-10-16 有记录的停售日</v>
      </c>
      <c r="AL468" s="8" t="n">
        <v>0</v>
      </c>
      <c r="AM468" s="8" t="n">
        <v>0</v>
      </c>
      <c r="AN468" s="8" t="n">
        <v>30</v>
      </c>
      <c r="AO468" s="8" t="str">
        <v>1S01 / 深棕色PU / 6574</v>
      </c>
      <c r="AP468" s="11" t="n">
        <v>0.8729500662042875</v>
      </c>
      <c r="AQ468" s="11" t="n">
        <v>0.9355747145678367</v>
      </c>
      <c r="AR468" s="11" t="n">
        <v>1.135973589331194</v>
      </c>
      <c r="AS468" s="11" t="n">
        <f>IF(AND(COUNT(I468:K468,AP468:AR468)=6,MIN(AP468:AR468)&gt;0),I468/7/AP468*0.5+J468/14/AQ468*0.3+K468/30/AR468*0.2,"")</f>
        <v>0</v>
      </c>
      <c r="AT468" s="8" t="n">
        <v>0</v>
      </c>
      <c r="AU468" s="8" t="n">
        <v>0</v>
      </c>
      <c r="AV468" s="8" t="n">
        <v>85</v>
      </c>
      <c r="AW468" s="11" t="n">
        <f>IF(AND(COUNT(AT468:AV468)=3,AT468&gt;=AU468,AU468&gt;=0,AV468&gt;0),(AT468-AU468)/AV468,"")</f>
        <v>0</v>
      </c>
      <c r="AX468" s="8" t="n">
        <v>3</v>
      </c>
      <c r="AY468" s="8" t="n">
        <v>0</v>
      </c>
      <c r="AZ468" s="8" t="n">
        <v>175</v>
      </c>
      <c r="BA468" s="11" t="n">
        <f>IF(AND(COUNT(AX468:AZ468)=3,AX468&gt;=AY468,AY468&gt;=0,AZ468&gt;0),(AX468-AY468)/AZ468,"")</f>
        <v>0.017142857142857144</v>
      </c>
      <c r="BB468" s="8" t="n">
        <f>IF(COUNT(AS468,AW468,BA468)=3,1,0)</f>
        <v>1</v>
      </c>
      <c r="BC468" s="11" t="n">
        <f>IF(SUMIF($AO$11:$AO$1309,AO468,$BB$11:$BB$1309)=COUNTIF($AO$11:$AO$1309,AO468),SUMIF($AO$11:$AO$1309,AO468,$AS$11:$AS$1309),"")</f>
        <v>0</v>
      </c>
      <c r="BD468" s="11" t="n">
        <f>IF(SUMIF($AO$11:$AO$1309,AO468,$BB$11:$BB$1309)=COUNTIF($AO$11:$AO$1309,AO468),SUMIF($AO$11:$AO$1309,AO468,$AW$11:$AW$1309),"")</f>
        <v>0.03529411764705882</v>
      </c>
      <c r="BE468" s="11" t="n">
        <f>IF(SUMIF($AO$11:$AO$1309,AO468,$BB$11:$BB$1309)=COUNTIF($AO$11:$AO$1309,AO468),SUMIF($AO$11:$AO$1309,AO468,$BA$11:$BA$1309),"")</f>
        <v>0.1142857142857143</v>
      </c>
      <c r="BF468" s="12" t="n">
        <f>IF(COUNT(BD468:BE468)&lt;&gt;2,"",IF(AND(BD468&gt;0,BE468&gt;0),0.7*AW468/BD468+0.3*BA468/BE468,IF(BD468&gt;0,AW468/BD468,IF(BE468&gt;0,BA468/BE468,IF(AND(ISNUMBER(BH468),BH468=0),0,"")))))</f>
        <v>0.04499999999999999</v>
      </c>
      <c r="BG468" s="11" t="n">
        <f>IF(AND(COUNT(BN468:BU468)=8,MIN(BN468:BU468)&gt;=0),SUMPRODUCT(BN468:BQ468,BR468:BU468),"")</f>
        <v>63.935996265425516</v>
      </c>
      <c r="BH468" s="11" t="n">
        <f>IF(COUNT(BC468,BG468)=2,BC468*BG468,"")</f>
        <v>0</v>
      </c>
      <c r="BI468" s="11" t="n">
        <f>IF(ISNUMBER(CI468),CI468,"")</f>
        <v>0</v>
      </c>
      <c r="BJ468" s="8" t="str">
        <v>近180天本色销量20双（＜90），无有效新采购，请运营判断</v>
      </c>
      <c r="BK468" s="8" t="str">
        <v>90天：2026-07-20 至 2026-10-17；180天：2026-04-21 至 2026-10-17</v>
      </c>
      <c r="BL468" s="8" t="str">
        <v>90天：2026-10-06、2026-10-07、2026-10-12、2026-10-13、2026-10-16；180天：2026-10-06、2026-10-07、2026-10-12、2026-10-13、2026-10-16</v>
      </c>
      <c r="BM468" s="8" t="str">
        <v>2026-10：12天 × 0.8729500662042875；2026-11：30天 × 0.8057375774163482；2026-12：31天 × 0.532550303142279；2027-01：17天 × 0.7517299265337036</v>
      </c>
      <c r="BN468" s="11" t="n">
        <v>0.8729500662042875</v>
      </c>
      <c r="BO468" s="11" t="n">
        <v>0.8057375774163482</v>
      </c>
      <c r="BP468" s="11" t="n">
        <v>0.532550303142279</v>
      </c>
      <c r="BQ468" s="11" t="n">
        <v>0.7517299265337036</v>
      </c>
      <c r="BR468" s="8" t="n">
        <v>12</v>
      </c>
      <c r="BS468" s="8" t="n">
        <v>30</v>
      </c>
      <c r="BT468" s="8" t="n">
        <v>31</v>
      </c>
      <c r="BU468" s="8" t="n">
        <v>17</v>
      </c>
      <c r="BV468" s="11" t="n">
        <f>IF(COUNT(BC468,BF468)=2,BC468*BF468,"")</f>
        <v>0</v>
      </c>
      <c r="BW468" s="11" t="n">
        <f>IF(ISNUMBER(BN468),BN468,"")</f>
        <v>0.8729500662042875</v>
      </c>
      <c r="BX468" s="14" t="n">
        <f>IF(ISNUMBER(BR468),BR468,"")</f>
        <v>12</v>
      </c>
      <c r="BY468" s="13" t="n">
        <f>IF(AND(COUNT(BV468,BW468,BX468)=3,MIN(BV468,BW468,BX468)&gt;=0),BV468*BW468*BX468,"")</f>
        <v>0</v>
      </c>
      <c r="BZ468" s="11" t="n">
        <f>IF(ISNUMBER(BO468),BO468,"")</f>
        <v>0.8057375774163482</v>
      </c>
      <c r="CA468" s="14" t="n">
        <f>IF(ISNUMBER(BS468),BS468,"")</f>
        <v>30</v>
      </c>
      <c r="CB468" s="13" t="n">
        <f>IF(AND(COUNT(BV468,BZ468,CA468)=3,MIN(BV468,BZ468,CA468)&gt;=0),BV468*BZ468*CA468,"")</f>
        <v>0</v>
      </c>
      <c r="CC468" s="11" t="n">
        <f>IF(ISNUMBER(BP468),BP468,"")</f>
        <v>0.532550303142279</v>
      </c>
      <c r="CD468" s="14" t="n">
        <f>IF(ISNUMBER(BT468),BT468,"")</f>
        <v>31</v>
      </c>
      <c r="CE468" s="13" t="n">
        <f>IF(AND(COUNT(BV468,CC468,CD468)=3,MIN(BV468,CC468,CD468)&gt;=0),BV468*CC468*CD468,"")</f>
        <v>0</v>
      </c>
      <c r="CF468" s="11" t="n">
        <f>IF(ISNUMBER(BQ468),BQ468,"")</f>
        <v>0.7517299265337036</v>
      </c>
      <c r="CG468" s="14" t="n">
        <f>IF(ISNUMBER(BU468),BU468,"")</f>
        <v>17</v>
      </c>
      <c r="CH468" s="13" t="n">
        <f>IF(AND(COUNT(BV468,CF468,CG468)=3,MIN(BV468,CF468,CG468)&gt;=0),BV468*CF468*CG468,"")</f>
        <v>0</v>
      </c>
      <c r="CI468" s="13" t="n">
        <f>IF(COUNT(BY468,CB468,CE468,CH468)=4,SUM(BY468,CB468,CE468,CH468),"")</f>
        <v>0</v>
      </c>
    </row>
    <row r="469" ht="72" customHeight="1">
      <c r="A469" s="16" t="str">
        <v>1S01-BW-37.5</v>
      </c>
      <c r="B469" s="16" t="str">
        <v>3店-SANDIEX-US</v>
      </c>
      <c r="C469" s="16" t="str">
        <v>徐新怡</v>
      </c>
      <c r="D469" s="26" t="n">
        <f>IF(NOT(ISNUMBER(E469)),"",IF(OR(E469&lt;=0,L469=0),0,IF(OR(NOT(ISNUMBER(F469)),F469&lt;0),"",MIN(E469,INT(F469)))))</f>
        <v>0</v>
      </c>
      <c r="E469" s="27" t="n">
        <f>IF(OR(NOT(ISNUMBER(L469)),COUNT(M469:O469)&lt;&gt;3,MIN(M469:O469)&lt;0),"",ROUNDUP(ROUND(BI469-SUM(M469:O469),10),0))</f>
        <v>0</v>
      </c>
      <c r="F469" s="28" t="n">
        <v>0</v>
      </c>
      <c r="G469" s="28" t="n">
        <f>IF(AND(ISNUMBER(D469),ISNUMBER(E469)),IF(OR(E469&lt;=0,L469=0),0,E469-D469),"")</f>
        <v>0</v>
      </c>
      <c r="H469" s="16" t="str">
        <f>IF(NOT(ISNUMBER(E469)),"销量或海外库存待补",IF(OR(E469&lt;=0,L469=0),IF(L469=0,"零日销，本批不发","本批无需补货"),IF(NOT(ISNUMBER(D469)),"国内库存待补",IF(D469=0,"国内无可用库存",IF(G469&gt;0,"先发国内现货","按建议量发货")))))</f>
        <v>零日销，本批不发</v>
      </c>
      <c r="I469" s="28" t="n">
        <f>IF(AND(COUNT(Z469,AA469,AB469)=3,Z469&gt;=AA469,AA469&gt;=0,AB469=7),Z469-AA469,"")</f>
        <v>0</v>
      </c>
      <c r="J469" s="28" t="n">
        <f>IF(AND(COUNT(AF469,AG469,AH469)=3,AF469&gt;=AG469,AG469&gt;=0,AH469=14),AF469-AG469,"")</f>
        <v>0</v>
      </c>
      <c r="K469" s="28" t="n">
        <f>IF(AND(COUNT(AL469,AM469,AN469)=3,AL469&gt;=AM469,AM469&gt;=0,AN469=30),AL469-AM469,"")</f>
        <v>0</v>
      </c>
      <c r="L469" s="29" t="n">
        <f>IF(ISNUMBER(BI469),BI469/90,"")</f>
        <v>0</v>
      </c>
      <c r="M469" s="28" t="n">
        <v>0</v>
      </c>
      <c r="N469" s="28" t="n">
        <v>0</v>
      </c>
      <c r="O469" s="28" t="n">
        <v>0</v>
      </c>
      <c r="P469" s="30" t="str">
        <f>IF(AND(ISNUMBER(L469),L469&gt;0,COUNT(M469:O469)=3,MIN(M469:O469)&gt;=0),SUM(M469:O469)/L469,"")</f>
      </c>
      <c r="Q469" s="16" t="str">
        <v>沿用同SPU原计划店铺</v>
      </c>
      <c r="R469" s="16" t="str">
        <v>已匹配</v>
      </c>
      <c r="S469" s="16" t="str">
        <v>停售</v>
      </c>
      <c r="T469" s="16" t="str">
        <v>1S01</v>
      </c>
      <c r="U469" s="16" t="str">
        <v>深棕色</v>
      </c>
      <c r="V469" s="16" t="n">
        <v>6.5</v>
      </c>
      <c r="W469" s="8" t="str">
        <v>2026-10-08 至 2026-10-17</v>
      </c>
      <c r="X469" s="8" t="str">
        <v>2026-10-08、2026-10-09、2026-10-10、2026-10-11、2026-10-14、2026-10-15、2026-10-17</v>
      </c>
      <c r="Y469" s="8" t="str">
        <v>2026-10-12 有记录的停售日；2026-10-13 有记录的停售日；2026-10-16 有记录的停售日</v>
      </c>
      <c r="Z469" s="8" t="n">
        <v>0</v>
      </c>
      <c r="AA469" s="8" t="n">
        <v>0</v>
      </c>
      <c r="AB469" s="8" t="n">
        <v>7</v>
      </c>
      <c r="AC469" s="8" t="str">
        <v>2026-09-29 至 2026-10-17</v>
      </c>
      <c r="AD469" s="8" t="str">
        <v>2026-09-29、2026-09-30、2026-10-01、2026-10-02、2026-10-03、2026-10-04、2026-10-05、2026-10-08、2026-10-09、2026-10-10、2026-10-11、2026-10-14、2026-10-15、2026-10-17</v>
      </c>
      <c r="AE469" s="8" t="str">
        <v>2026-10-06 大促；2026-10-07 大促；2026-10-12 有记录的停售日；2026-10-13 有记录的停售日；2026-10-16 有记录的停售日</v>
      </c>
      <c r="AF469" s="8" t="n">
        <v>0</v>
      </c>
      <c r="AG469" s="8" t="n">
        <v>0</v>
      </c>
      <c r="AH469" s="8" t="n">
        <v>14</v>
      </c>
      <c r="AI469" s="8" t="str">
        <v>2026-09-13 至 2026-10-17</v>
      </c>
      <c r="AJ46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69" s="8" t="str">
        <v>2026-10-06 大促；2026-10-07 大促；2026-10-12 有记录的停售日；2026-10-13 有记录的停售日；2026-10-16 有记录的停售日</v>
      </c>
      <c r="AL469" s="8" t="n">
        <v>0</v>
      </c>
      <c r="AM469" s="8" t="n">
        <v>0</v>
      </c>
      <c r="AN469" s="8" t="n">
        <v>30</v>
      </c>
      <c r="AO469" s="8" t="str">
        <v>1S01 / 深棕色PU / 6574</v>
      </c>
      <c r="AP469" s="11" t="n">
        <v>0.8729500662042875</v>
      </c>
      <c r="AQ469" s="11" t="n">
        <v>0.9355747145678367</v>
      </c>
      <c r="AR469" s="11" t="n">
        <v>1.135973589331194</v>
      </c>
      <c r="AS469" s="11" t="n">
        <f>IF(AND(COUNT(I469:K469,AP469:AR469)=6,MIN(AP469:AR469)&gt;0),I469/7/AP469*0.5+J469/14/AQ469*0.3+K469/30/AR469*0.2,"")</f>
        <v>0</v>
      </c>
      <c r="AT469" s="8" t="n">
        <v>0</v>
      </c>
      <c r="AU469" s="8" t="n">
        <v>0</v>
      </c>
      <c r="AV469" s="8" t="n">
        <v>85</v>
      </c>
      <c r="AW469" s="11" t="n">
        <f>IF(AND(COUNT(AT469:AV469)=3,AT469&gt;=AU469,AU469&gt;=0,AV469&gt;0),(AT469-AU469)/AV469,"")</f>
        <v>0</v>
      </c>
      <c r="AX469" s="8" t="n">
        <v>0</v>
      </c>
      <c r="AY469" s="8" t="n">
        <v>0</v>
      </c>
      <c r="AZ469" s="8" t="n">
        <v>175</v>
      </c>
      <c r="BA469" s="11" t="n">
        <f>IF(AND(COUNT(AX469:AZ469)=3,AX469&gt;=AY469,AY469&gt;=0,AZ469&gt;0),(AX469-AY469)/AZ469,"")</f>
        <v>0</v>
      </c>
      <c r="BB469" s="8" t="n">
        <f>IF(COUNT(AS469,AW469,BA469)=3,1,0)</f>
        <v>1</v>
      </c>
      <c r="BC469" s="11" t="n">
        <f>IF(SUMIF($AO$11:$AO$1309,AO469,$BB$11:$BB$1309)=COUNTIF($AO$11:$AO$1309,AO469),SUMIF($AO$11:$AO$1309,AO469,$AS$11:$AS$1309),"")</f>
        <v>0</v>
      </c>
      <c r="BD469" s="11" t="n">
        <f>IF(SUMIF($AO$11:$AO$1309,AO469,$BB$11:$BB$1309)=COUNTIF($AO$11:$AO$1309,AO469),SUMIF($AO$11:$AO$1309,AO469,$AW$11:$AW$1309),"")</f>
        <v>0.03529411764705882</v>
      </c>
      <c r="BE469" s="11" t="n">
        <f>IF(SUMIF($AO$11:$AO$1309,AO469,$BB$11:$BB$1309)=COUNTIF($AO$11:$AO$1309,AO469),SUMIF($AO$11:$AO$1309,AO469,$BA$11:$BA$1309),"")</f>
        <v>0.1142857142857143</v>
      </c>
      <c r="BF469" s="12" t="n">
        <f>IF(COUNT(BD469:BE469)&lt;&gt;2,"",IF(AND(BD469&gt;0,BE469&gt;0),0.7*AW469/BD469+0.3*BA469/BE469,IF(BD469&gt;0,AW469/BD469,IF(BE469&gt;0,BA469/BE469,IF(AND(ISNUMBER(BH469),BH469=0),0,"")))))</f>
        <v>0</v>
      </c>
      <c r="BG469" s="11" t="n">
        <f>IF(AND(COUNT(BN469:BU469)=8,MIN(BN469:BU469)&gt;=0),SUMPRODUCT(BN469:BQ469,BR469:BU469),"")</f>
        <v>63.935996265425516</v>
      </c>
      <c r="BH469" s="11" t="n">
        <f>IF(COUNT(BC469,BG469)=2,BC469*BG469,"")</f>
        <v>0</v>
      </c>
      <c r="BI469" s="11" t="n">
        <f>IF(ISNUMBER(CI469),CI469,"")</f>
        <v>0</v>
      </c>
      <c r="BJ469" s="8" t="str">
        <v>近180天本色销量20双（＜90），无有效新采购，请运营判断</v>
      </c>
      <c r="BK469" s="8" t="str">
        <v>90天：2026-07-20 至 2026-10-17；180天：2026-04-21 至 2026-10-17</v>
      </c>
      <c r="BL469" s="8" t="str">
        <v>90天：2026-10-06、2026-10-07、2026-10-12、2026-10-13、2026-10-16；180天：2026-10-06、2026-10-07、2026-10-12、2026-10-13、2026-10-16</v>
      </c>
      <c r="BM469" s="8" t="str">
        <v>2026-10：12天 × 0.8729500662042875；2026-11：30天 × 0.8057375774163482；2026-12：31天 × 0.532550303142279；2027-01：17天 × 0.7517299265337036</v>
      </c>
      <c r="BN469" s="11" t="n">
        <v>0.8729500662042875</v>
      </c>
      <c r="BO469" s="11" t="n">
        <v>0.8057375774163482</v>
      </c>
      <c r="BP469" s="11" t="n">
        <v>0.532550303142279</v>
      </c>
      <c r="BQ469" s="11" t="n">
        <v>0.7517299265337036</v>
      </c>
      <c r="BR469" s="8" t="n">
        <v>12</v>
      </c>
      <c r="BS469" s="8" t="n">
        <v>30</v>
      </c>
      <c r="BT469" s="8" t="n">
        <v>31</v>
      </c>
      <c r="BU469" s="8" t="n">
        <v>17</v>
      </c>
      <c r="BV469" s="11" t="n">
        <f>IF(COUNT(BC469,BF469)=2,BC469*BF469,"")</f>
        <v>0</v>
      </c>
      <c r="BW469" s="11" t="n">
        <f>IF(ISNUMBER(BN469),BN469,"")</f>
        <v>0.8729500662042875</v>
      </c>
      <c r="BX469" s="14" t="n">
        <f>IF(ISNUMBER(BR469),BR469,"")</f>
        <v>12</v>
      </c>
      <c r="BY469" s="13" t="n">
        <f>IF(AND(COUNT(BV469,BW469,BX469)=3,MIN(BV469,BW469,BX469)&gt;=0),BV469*BW469*BX469,"")</f>
        <v>0</v>
      </c>
      <c r="BZ469" s="11" t="n">
        <f>IF(ISNUMBER(BO469),BO469,"")</f>
        <v>0.8057375774163482</v>
      </c>
      <c r="CA469" s="14" t="n">
        <f>IF(ISNUMBER(BS469),BS469,"")</f>
        <v>30</v>
      </c>
      <c r="CB469" s="13" t="n">
        <f>IF(AND(COUNT(BV469,BZ469,CA469)=3,MIN(BV469,BZ469,CA469)&gt;=0),BV469*BZ469*CA469,"")</f>
        <v>0</v>
      </c>
      <c r="CC469" s="11" t="n">
        <f>IF(ISNUMBER(BP469),BP469,"")</f>
        <v>0.532550303142279</v>
      </c>
      <c r="CD469" s="14" t="n">
        <f>IF(ISNUMBER(BT469),BT469,"")</f>
        <v>31</v>
      </c>
      <c r="CE469" s="13" t="n">
        <f>IF(AND(COUNT(BV469,CC469,CD469)=3,MIN(BV469,CC469,CD469)&gt;=0),BV469*CC469*CD469,"")</f>
        <v>0</v>
      </c>
      <c r="CF469" s="11" t="n">
        <f>IF(ISNUMBER(BQ469),BQ469,"")</f>
        <v>0.7517299265337036</v>
      </c>
      <c r="CG469" s="14" t="n">
        <f>IF(ISNUMBER(BU469),BU469,"")</f>
        <v>17</v>
      </c>
      <c r="CH469" s="13" t="n">
        <f>IF(AND(COUNT(BV469,CF469,CG469)=3,MIN(BV469,CF469,CG469)&gt;=0),BV469*CF469*CG469,"")</f>
        <v>0</v>
      </c>
      <c r="CI469" s="13" t="n">
        <f>IF(COUNT(BY469,CB469,CE469,CH469)=4,SUM(BY469,CB469,CE469,CH469),"")</f>
        <v>0</v>
      </c>
    </row>
    <row r="470" ht="72" customHeight="1">
      <c r="A470" s="16" t="str">
        <v>1S01-BW-38.5</v>
      </c>
      <c r="B470" s="16" t="str">
        <v>3店-SANDIEX-US</v>
      </c>
      <c r="C470" s="16" t="str">
        <v>徐新怡</v>
      </c>
      <c r="D470" s="26" t="n">
        <f>IF(NOT(ISNUMBER(E470)),"",IF(OR(E470&lt;=0,L470=0),0,IF(OR(NOT(ISNUMBER(F470)),F470&lt;0),"",MIN(E470,INT(F470)))))</f>
        <v>0</v>
      </c>
      <c r="E470" s="27" t="n">
        <f>IF(OR(NOT(ISNUMBER(L470)),COUNT(M470:O470)&lt;&gt;3,MIN(M470:O470)&lt;0),"",ROUNDUP(ROUND(BI470-SUM(M470:O470),10),0))</f>
        <v>0</v>
      </c>
      <c r="F470" s="28" t="n">
        <v>0</v>
      </c>
      <c r="G470" s="28" t="n">
        <f>IF(AND(ISNUMBER(D470),ISNUMBER(E470)),IF(OR(E470&lt;=0,L470=0),0,E470-D470),"")</f>
        <v>0</v>
      </c>
      <c r="H470" s="16" t="str">
        <f>IF(NOT(ISNUMBER(E470)),"销量或海外库存待补",IF(OR(E470&lt;=0,L470=0),IF(L470=0,"零日销，本批不发","本批无需补货"),IF(NOT(ISNUMBER(D470)),"国内库存待补",IF(D470=0,"国内无可用库存",IF(G470&gt;0,"先发国内现货","按建议量发货")))))</f>
        <v>零日销，本批不发</v>
      </c>
      <c r="I470" s="28" t="n">
        <f>IF(AND(COUNT(Z470,AA470,AB470)=3,Z470&gt;=AA470,AA470&gt;=0,AB470=7),Z470-AA470,"")</f>
        <v>0</v>
      </c>
      <c r="J470" s="28" t="n">
        <f>IF(AND(COUNT(AF470,AG470,AH470)=3,AF470&gt;=AG470,AG470&gt;=0,AH470=14),AF470-AG470,"")</f>
        <v>0</v>
      </c>
      <c r="K470" s="28" t="n">
        <f>IF(AND(COUNT(AL470,AM470,AN470)=3,AL470&gt;=AM470,AM470&gt;=0,AN470=30),AL470-AM470,"")</f>
        <v>0</v>
      </c>
      <c r="L470" s="29" t="n">
        <f>IF(ISNUMBER(BI470),BI470/90,"")</f>
        <v>0</v>
      </c>
      <c r="M470" s="28" t="n">
        <v>0</v>
      </c>
      <c r="N470" s="28" t="n">
        <v>0</v>
      </c>
      <c r="O470" s="28" t="n">
        <v>0</v>
      </c>
      <c r="P470" s="30" t="str">
        <f>IF(AND(ISNUMBER(L470),L470&gt;0,COUNT(M470:O470)=3,MIN(M470:O470)&gt;=0),SUM(M470:O470)/L470,"")</f>
      </c>
      <c r="Q470" s="16" t="str">
        <v>沿用同SPU原计划店铺</v>
      </c>
      <c r="R470" s="16" t="str">
        <v>已匹配</v>
      </c>
      <c r="S470" s="16" t="str">
        <v>停售</v>
      </c>
      <c r="T470" s="16" t="str">
        <v>1S01</v>
      </c>
      <c r="U470" s="16" t="str">
        <v>深棕色</v>
      </c>
      <c r="V470" s="16" t="n">
        <v>7.5</v>
      </c>
      <c r="W470" s="8" t="str">
        <v>2026-10-08 至 2026-10-17</v>
      </c>
      <c r="X470" s="8" t="str">
        <v>2026-10-08、2026-10-09、2026-10-10、2026-10-11、2026-10-14、2026-10-15、2026-10-17</v>
      </c>
      <c r="Y470" s="8" t="str">
        <v>2026-10-12 有记录的停售日；2026-10-13 有记录的停售日；2026-10-16 有记录的停售日</v>
      </c>
      <c r="Z470" s="8" t="n">
        <v>0</v>
      </c>
      <c r="AA470" s="8" t="n">
        <v>0</v>
      </c>
      <c r="AB470" s="8" t="n">
        <v>7</v>
      </c>
      <c r="AC470" s="8" t="str">
        <v>2026-09-29 至 2026-10-17</v>
      </c>
      <c r="AD470" s="8" t="str">
        <v>2026-09-29、2026-09-30、2026-10-01、2026-10-02、2026-10-03、2026-10-04、2026-10-05、2026-10-08、2026-10-09、2026-10-10、2026-10-11、2026-10-14、2026-10-15、2026-10-17</v>
      </c>
      <c r="AE470" s="8" t="str">
        <v>2026-10-06 大促；2026-10-07 大促；2026-10-12 有记录的停售日；2026-10-13 有记录的停售日；2026-10-16 有记录的停售日</v>
      </c>
      <c r="AF470" s="8" t="n">
        <v>0</v>
      </c>
      <c r="AG470" s="8" t="n">
        <v>0</v>
      </c>
      <c r="AH470" s="8" t="n">
        <v>14</v>
      </c>
      <c r="AI470" s="8" t="str">
        <v>2026-09-13 至 2026-10-17</v>
      </c>
      <c r="AJ47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0" s="8" t="str">
        <v>2026-10-06 大促；2026-10-07 大促；2026-10-12 有记录的停售日；2026-10-13 有记录的停售日；2026-10-16 有记录的停售日</v>
      </c>
      <c r="AL470" s="8" t="n">
        <v>0</v>
      </c>
      <c r="AM470" s="8" t="n">
        <v>0</v>
      </c>
      <c r="AN470" s="8" t="n">
        <v>30</v>
      </c>
      <c r="AO470" s="8" t="str">
        <v>1S01 / 深棕色PU / 6574</v>
      </c>
      <c r="AP470" s="11" t="n">
        <v>0.8729500662042875</v>
      </c>
      <c r="AQ470" s="11" t="n">
        <v>0.9355747145678367</v>
      </c>
      <c r="AR470" s="11" t="n">
        <v>1.135973589331194</v>
      </c>
      <c r="AS470" s="11" t="n">
        <f>IF(AND(COUNT(I470:K470,AP470:AR470)=6,MIN(AP470:AR470)&gt;0),I470/7/AP470*0.5+J470/14/AQ470*0.3+K470/30/AR470*0.2,"")</f>
        <v>0</v>
      </c>
      <c r="AT470" s="8" t="n">
        <v>0</v>
      </c>
      <c r="AU470" s="8" t="n">
        <v>0</v>
      </c>
      <c r="AV470" s="8" t="n">
        <v>85</v>
      </c>
      <c r="AW470" s="11" t="n">
        <f>IF(AND(COUNT(AT470:AV470)=3,AT470&gt;=AU470,AU470&gt;=0,AV470&gt;0),(AT470-AU470)/AV470,"")</f>
        <v>0</v>
      </c>
      <c r="AX470" s="8" t="n">
        <v>0</v>
      </c>
      <c r="AY470" s="8" t="n">
        <v>0</v>
      </c>
      <c r="AZ470" s="8" t="n">
        <v>175</v>
      </c>
      <c r="BA470" s="11" t="n">
        <f>IF(AND(COUNT(AX470:AZ470)=3,AX470&gt;=AY470,AY470&gt;=0,AZ470&gt;0),(AX470-AY470)/AZ470,"")</f>
        <v>0</v>
      </c>
      <c r="BB470" s="8" t="n">
        <f>IF(COUNT(AS470,AW470,BA470)=3,1,0)</f>
        <v>1</v>
      </c>
      <c r="BC470" s="11" t="n">
        <f>IF(SUMIF($AO$11:$AO$1309,AO470,$BB$11:$BB$1309)=COUNTIF($AO$11:$AO$1309,AO470),SUMIF($AO$11:$AO$1309,AO470,$AS$11:$AS$1309),"")</f>
        <v>0</v>
      </c>
      <c r="BD470" s="11" t="n">
        <f>IF(SUMIF($AO$11:$AO$1309,AO470,$BB$11:$BB$1309)=COUNTIF($AO$11:$AO$1309,AO470),SUMIF($AO$11:$AO$1309,AO470,$AW$11:$AW$1309),"")</f>
        <v>0.03529411764705882</v>
      </c>
      <c r="BE470" s="11" t="n">
        <f>IF(SUMIF($AO$11:$AO$1309,AO470,$BB$11:$BB$1309)=COUNTIF($AO$11:$AO$1309,AO470),SUMIF($AO$11:$AO$1309,AO470,$BA$11:$BA$1309),"")</f>
        <v>0.1142857142857143</v>
      </c>
      <c r="BF470" s="12" t="n">
        <f>IF(COUNT(BD470:BE470)&lt;&gt;2,"",IF(AND(BD470&gt;0,BE470&gt;0),0.7*AW470/BD470+0.3*BA470/BE470,IF(BD470&gt;0,AW470/BD470,IF(BE470&gt;0,BA470/BE470,IF(AND(ISNUMBER(BH470),BH470=0),0,"")))))</f>
        <v>0</v>
      </c>
      <c r="BG470" s="11" t="n">
        <f>IF(AND(COUNT(BN470:BU470)=8,MIN(BN470:BU470)&gt;=0),SUMPRODUCT(BN470:BQ470,BR470:BU470),"")</f>
        <v>63.935996265425516</v>
      </c>
      <c r="BH470" s="11" t="n">
        <f>IF(COUNT(BC470,BG470)=2,BC470*BG470,"")</f>
        <v>0</v>
      </c>
      <c r="BI470" s="11" t="n">
        <f>IF(ISNUMBER(CI470),CI470,"")</f>
        <v>0</v>
      </c>
      <c r="BJ470" s="8" t="str">
        <v>近180天本色销量20双（＜90），无有效新采购，请运营判断</v>
      </c>
      <c r="BK470" s="8" t="str">
        <v>90天：2026-07-20 至 2026-10-17；180天：2026-04-21 至 2026-10-17</v>
      </c>
      <c r="BL470" s="8" t="str">
        <v>90天：2026-10-06、2026-10-07、2026-10-12、2026-10-13、2026-10-16；180天：2026-10-06、2026-10-07、2026-10-12、2026-10-13、2026-10-16</v>
      </c>
      <c r="BM470" s="8" t="str">
        <v>2026-10：12天 × 0.8729500662042875；2026-11：30天 × 0.8057375774163482；2026-12：31天 × 0.532550303142279；2027-01：17天 × 0.7517299265337036</v>
      </c>
      <c r="BN470" s="11" t="n">
        <v>0.8729500662042875</v>
      </c>
      <c r="BO470" s="11" t="n">
        <v>0.8057375774163482</v>
      </c>
      <c r="BP470" s="11" t="n">
        <v>0.532550303142279</v>
      </c>
      <c r="BQ470" s="11" t="n">
        <v>0.7517299265337036</v>
      </c>
      <c r="BR470" s="8" t="n">
        <v>12</v>
      </c>
      <c r="BS470" s="8" t="n">
        <v>30</v>
      </c>
      <c r="BT470" s="8" t="n">
        <v>31</v>
      </c>
      <c r="BU470" s="8" t="n">
        <v>17</v>
      </c>
      <c r="BV470" s="11" t="n">
        <f>IF(COUNT(BC470,BF470)=2,BC470*BF470,"")</f>
        <v>0</v>
      </c>
      <c r="BW470" s="11" t="n">
        <f>IF(ISNUMBER(BN470),BN470,"")</f>
        <v>0.8729500662042875</v>
      </c>
      <c r="BX470" s="14" t="n">
        <f>IF(ISNUMBER(BR470),BR470,"")</f>
        <v>12</v>
      </c>
      <c r="BY470" s="13" t="n">
        <f>IF(AND(COUNT(BV470,BW470,BX470)=3,MIN(BV470,BW470,BX470)&gt;=0),BV470*BW470*BX470,"")</f>
        <v>0</v>
      </c>
      <c r="BZ470" s="11" t="n">
        <f>IF(ISNUMBER(BO470),BO470,"")</f>
        <v>0.8057375774163482</v>
      </c>
      <c r="CA470" s="14" t="n">
        <f>IF(ISNUMBER(BS470),BS470,"")</f>
        <v>30</v>
      </c>
      <c r="CB470" s="13" t="n">
        <f>IF(AND(COUNT(BV470,BZ470,CA470)=3,MIN(BV470,BZ470,CA470)&gt;=0),BV470*BZ470*CA470,"")</f>
        <v>0</v>
      </c>
      <c r="CC470" s="11" t="n">
        <f>IF(ISNUMBER(BP470),BP470,"")</f>
        <v>0.532550303142279</v>
      </c>
      <c r="CD470" s="14" t="n">
        <f>IF(ISNUMBER(BT470),BT470,"")</f>
        <v>31</v>
      </c>
      <c r="CE470" s="13" t="n">
        <f>IF(AND(COUNT(BV470,CC470,CD470)=3,MIN(BV470,CC470,CD470)&gt;=0),BV470*CC470*CD470,"")</f>
        <v>0</v>
      </c>
      <c r="CF470" s="11" t="n">
        <f>IF(ISNUMBER(BQ470),BQ470,"")</f>
        <v>0.7517299265337036</v>
      </c>
      <c r="CG470" s="14" t="n">
        <f>IF(ISNUMBER(BU470),BU470,"")</f>
        <v>17</v>
      </c>
      <c r="CH470" s="13" t="n">
        <f>IF(AND(COUNT(BV470,CF470,CG470)=3,MIN(BV470,CF470,CG470)&gt;=0),BV470*CF470*CG470,"")</f>
        <v>0</v>
      </c>
      <c r="CI470" s="13" t="n">
        <f>IF(COUNT(BY470,CB470,CE470,CH470)=4,SUM(BY470,CB470,CE470,CH470),"")</f>
        <v>0</v>
      </c>
    </row>
    <row r="471" ht="72" customHeight="1">
      <c r="A471" s="16" t="str">
        <v>1S01-BW-39.5</v>
      </c>
      <c r="B471" s="16" t="str">
        <v>3店-SANDIEX-US</v>
      </c>
      <c r="C471" s="16" t="str">
        <v>徐新怡</v>
      </c>
      <c r="D471" s="26" t="n">
        <f>IF(NOT(ISNUMBER(E471)),"",IF(OR(E471&lt;=0,L471=0),0,IF(OR(NOT(ISNUMBER(F471)),F471&lt;0),"",MIN(E471,INT(F471)))))</f>
        <v>0</v>
      </c>
      <c r="E471" s="27" t="n">
        <f>IF(OR(NOT(ISNUMBER(L471)),COUNT(M471:O471)&lt;&gt;3,MIN(M471:O471)&lt;0),"",ROUNDUP(ROUND(BI471-SUM(M471:O471),10),0))</f>
        <v>0</v>
      </c>
      <c r="F471" s="28" t="n">
        <v>0</v>
      </c>
      <c r="G471" s="28" t="n">
        <f>IF(AND(ISNUMBER(D471),ISNUMBER(E471)),IF(OR(E471&lt;=0,L471=0),0,E471-D471),"")</f>
        <v>0</v>
      </c>
      <c r="H471" s="16" t="str">
        <f>IF(NOT(ISNUMBER(E471)),"销量或海外库存待补",IF(OR(E471&lt;=0,L471=0),IF(L471=0,"零日销，本批不发","本批无需补货"),IF(NOT(ISNUMBER(D471)),"国内库存待补",IF(D471=0,"国内无可用库存",IF(G471&gt;0,"先发国内现货","按建议量发货")))))</f>
        <v>零日销，本批不发</v>
      </c>
      <c r="I471" s="28" t="n">
        <f>IF(AND(COUNT(Z471,AA471,AB471)=3,Z471&gt;=AA471,AA471&gt;=0,AB471=7),Z471-AA471,"")</f>
        <v>0</v>
      </c>
      <c r="J471" s="28" t="n">
        <f>IF(AND(COUNT(AF471,AG471,AH471)=3,AF471&gt;=AG471,AG471&gt;=0,AH471=14),AF471-AG471,"")</f>
        <v>0</v>
      </c>
      <c r="K471" s="28" t="n">
        <f>IF(AND(COUNT(AL471,AM471,AN471)=3,AL471&gt;=AM471,AM471&gt;=0,AN471=30),AL471-AM471,"")</f>
        <v>0</v>
      </c>
      <c r="L471" s="29" t="n">
        <f>IF(ISNUMBER(BI471),BI471/90,"")</f>
        <v>0</v>
      </c>
      <c r="M471" s="28" t="n">
        <v>0</v>
      </c>
      <c r="N471" s="28" t="n">
        <v>0</v>
      </c>
      <c r="O471" s="28" t="n">
        <v>0</v>
      </c>
      <c r="P471" s="30" t="str">
        <f>IF(AND(ISNUMBER(L471),L471&gt;0,COUNT(M471:O471)=3,MIN(M471:O471)&gt;=0),SUM(M471:O471)/L471,"")</f>
      </c>
      <c r="Q471" s="16" t="str">
        <v>沿用同SPU原计划店铺</v>
      </c>
      <c r="R471" s="16" t="str">
        <v>已匹配</v>
      </c>
      <c r="S471" s="16" t="str">
        <v>停售</v>
      </c>
      <c r="T471" s="16" t="str">
        <v>1S01</v>
      </c>
      <c r="U471" s="16" t="str">
        <v>深棕色</v>
      </c>
      <c r="V471" s="16" t="n">
        <v>8.5</v>
      </c>
      <c r="W471" s="8" t="str">
        <v>2026-10-08 至 2026-10-17</v>
      </c>
      <c r="X471" s="8" t="str">
        <v>2026-10-08、2026-10-09、2026-10-10、2026-10-11、2026-10-14、2026-10-15、2026-10-17</v>
      </c>
      <c r="Y471" s="8" t="str">
        <v>2026-10-12 有记录的停售日；2026-10-13 有记录的停售日；2026-10-16 有记录的停售日</v>
      </c>
      <c r="Z471" s="8" t="n">
        <v>0</v>
      </c>
      <c r="AA471" s="8" t="n">
        <v>0</v>
      </c>
      <c r="AB471" s="8" t="n">
        <v>7</v>
      </c>
      <c r="AC471" s="8" t="str">
        <v>2026-09-29 至 2026-10-17</v>
      </c>
      <c r="AD471" s="8" t="str">
        <v>2026-09-29、2026-09-30、2026-10-01、2026-10-02、2026-10-03、2026-10-04、2026-10-05、2026-10-08、2026-10-09、2026-10-10、2026-10-11、2026-10-14、2026-10-15、2026-10-17</v>
      </c>
      <c r="AE471" s="8" t="str">
        <v>2026-10-06 大促；2026-10-07 大促；2026-10-12 有记录的停售日；2026-10-13 有记录的停售日；2026-10-16 有记录的停售日</v>
      </c>
      <c r="AF471" s="8" t="n">
        <v>0</v>
      </c>
      <c r="AG471" s="8" t="n">
        <v>0</v>
      </c>
      <c r="AH471" s="8" t="n">
        <v>14</v>
      </c>
      <c r="AI471" s="8" t="str">
        <v>2026-09-13 至 2026-10-17</v>
      </c>
      <c r="AJ47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1" s="8" t="str">
        <v>2026-10-06 大促；2026-10-07 大促；2026-10-12 有记录的停售日；2026-10-13 有记录的停售日；2026-10-16 有记录的停售日</v>
      </c>
      <c r="AL471" s="8" t="n">
        <v>0</v>
      </c>
      <c r="AM471" s="8" t="n">
        <v>0</v>
      </c>
      <c r="AN471" s="8" t="n">
        <v>30</v>
      </c>
      <c r="AO471" s="8" t="str">
        <v>1S01 / 深棕色PU / 6574</v>
      </c>
      <c r="AP471" s="11" t="n">
        <v>0.8729500662042875</v>
      </c>
      <c r="AQ471" s="11" t="n">
        <v>0.9355747145678367</v>
      </c>
      <c r="AR471" s="11" t="n">
        <v>1.135973589331194</v>
      </c>
      <c r="AS471" s="11" t="n">
        <f>IF(AND(COUNT(I471:K471,AP471:AR471)=6,MIN(AP471:AR471)&gt;0),I471/7/AP471*0.5+J471/14/AQ471*0.3+K471/30/AR471*0.2,"")</f>
        <v>0</v>
      </c>
      <c r="AT471" s="8" t="n">
        <v>0</v>
      </c>
      <c r="AU471" s="8" t="n">
        <v>0</v>
      </c>
      <c r="AV471" s="8" t="n">
        <v>85</v>
      </c>
      <c r="AW471" s="11" t="n">
        <f>IF(AND(COUNT(AT471:AV471)=3,AT471&gt;=AU471,AU471&gt;=0,AV471&gt;0),(AT471-AU471)/AV471,"")</f>
        <v>0</v>
      </c>
      <c r="AX471" s="8" t="n">
        <v>1</v>
      </c>
      <c r="AY471" s="8" t="n">
        <v>0</v>
      </c>
      <c r="AZ471" s="8" t="n">
        <v>175</v>
      </c>
      <c r="BA471" s="11" t="n">
        <f>IF(AND(COUNT(AX471:AZ471)=3,AX471&gt;=AY471,AY471&gt;=0,AZ471&gt;0),(AX471-AY471)/AZ471,"")</f>
        <v>0.005714285714285714</v>
      </c>
      <c r="BB471" s="8" t="n">
        <f>IF(COUNT(AS471,AW471,BA471)=3,1,0)</f>
        <v>1</v>
      </c>
      <c r="BC471" s="11" t="n">
        <f>IF(SUMIF($AO$11:$AO$1309,AO471,$BB$11:$BB$1309)=COUNTIF($AO$11:$AO$1309,AO471),SUMIF($AO$11:$AO$1309,AO471,$AS$11:$AS$1309),"")</f>
        <v>0</v>
      </c>
      <c r="BD471" s="11" t="n">
        <f>IF(SUMIF($AO$11:$AO$1309,AO471,$BB$11:$BB$1309)=COUNTIF($AO$11:$AO$1309,AO471),SUMIF($AO$11:$AO$1309,AO471,$AW$11:$AW$1309),"")</f>
        <v>0.03529411764705882</v>
      </c>
      <c r="BE471" s="11" t="n">
        <f>IF(SUMIF($AO$11:$AO$1309,AO471,$BB$11:$BB$1309)=COUNTIF($AO$11:$AO$1309,AO471),SUMIF($AO$11:$AO$1309,AO471,$BA$11:$BA$1309),"")</f>
        <v>0.1142857142857143</v>
      </c>
      <c r="BF471" s="12" t="n">
        <f>IF(COUNT(BD471:BE471)&lt;&gt;2,"",IF(AND(BD471&gt;0,BE471&gt;0),0.7*AW471/BD471+0.3*BA471/BE471,IF(BD471&gt;0,AW471/BD471,IF(BE471&gt;0,BA471/BE471,IF(AND(ISNUMBER(BH471),BH471=0),0,"")))))</f>
        <v>0.014999999999999998</v>
      </c>
      <c r="BG471" s="11" t="n">
        <f>IF(AND(COUNT(BN471:BU471)=8,MIN(BN471:BU471)&gt;=0),SUMPRODUCT(BN471:BQ471,BR471:BU471),"")</f>
        <v>63.935996265425516</v>
      </c>
      <c r="BH471" s="11" t="n">
        <f>IF(COUNT(BC471,BG471)=2,BC471*BG471,"")</f>
        <v>0</v>
      </c>
      <c r="BI471" s="11" t="n">
        <f>IF(ISNUMBER(CI471),CI471,"")</f>
        <v>0</v>
      </c>
      <c r="BJ471" s="8" t="str">
        <v>近180天本色销量20双（＜90），无有效新采购，请运营判断</v>
      </c>
      <c r="BK471" s="8" t="str">
        <v>90天：2026-07-20 至 2026-10-17；180天：2026-04-21 至 2026-10-17</v>
      </c>
      <c r="BL471" s="8" t="str">
        <v>90天：2026-10-06、2026-10-07、2026-10-12、2026-10-13、2026-10-16；180天：2026-10-06、2026-10-07、2026-10-12、2026-10-13、2026-10-16</v>
      </c>
      <c r="BM471" s="8" t="str">
        <v>2026-10：12天 × 0.8729500662042875；2026-11：30天 × 0.8057375774163482；2026-12：31天 × 0.532550303142279；2027-01：17天 × 0.7517299265337036</v>
      </c>
      <c r="BN471" s="11" t="n">
        <v>0.8729500662042875</v>
      </c>
      <c r="BO471" s="11" t="n">
        <v>0.8057375774163482</v>
      </c>
      <c r="BP471" s="11" t="n">
        <v>0.532550303142279</v>
      </c>
      <c r="BQ471" s="11" t="n">
        <v>0.7517299265337036</v>
      </c>
      <c r="BR471" s="8" t="n">
        <v>12</v>
      </c>
      <c r="BS471" s="8" t="n">
        <v>30</v>
      </c>
      <c r="BT471" s="8" t="n">
        <v>31</v>
      </c>
      <c r="BU471" s="8" t="n">
        <v>17</v>
      </c>
      <c r="BV471" s="11" t="n">
        <f>IF(COUNT(BC471,BF471)=2,BC471*BF471,"")</f>
        <v>0</v>
      </c>
      <c r="BW471" s="11" t="n">
        <f>IF(ISNUMBER(BN471),BN471,"")</f>
        <v>0.8729500662042875</v>
      </c>
      <c r="BX471" s="14" t="n">
        <f>IF(ISNUMBER(BR471),BR471,"")</f>
        <v>12</v>
      </c>
      <c r="BY471" s="13" t="n">
        <f>IF(AND(COUNT(BV471,BW471,BX471)=3,MIN(BV471,BW471,BX471)&gt;=0),BV471*BW471*BX471,"")</f>
        <v>0</v>
      </c>
      <c r="BZ471" s="11" t="n">
        <f>IF(ISNUMBER(BO471),BO471,"")</f>
        <v>0.8057375774163482</v>
      </c>
      <c r="CA471" s="14" t="n">
        <f>IF(ISNUMBER(BS471),BS471,"")</f>
        <v>30</v>
      </c>
      <c r="CB471" s="13" t="n">
        <f>IF(AND(COUNT(BV471,BZ471,CA471)=3,MIN(BV471,BZ471,CA471)&gt;=0),BV471*BZ471*CA471,"")</f>
        <v>0</v>
      </c>
      <c r="CC471" s="11" t="n">
        <f>IF(ISNUMBER(BP471),BP471,"")</f>
        <v>0.532550303142279</v>
      </c>
      <c r="CD471" s="14" t="n">
        <f>IF(ISNUMBER(BT471),BT471,"")</f>
        <v>31</v>
      </c>
      <c r="CE471" s="13" t="n">
        <f>IF(AND(COUNT(BV471,CC471,CD471)=3,MIN(BV471,CC471,CD471)&gt;=0),BV471*CC471*CD471,"")</f>
        <v>0</v>
      </c>
      <c r="CF471" s="11" t="n">
        <f>IF(ISNUMBER(BQ471),BQ471,"")</f>
        <v>0.7517299265337036</v>
      </c>
      <c r="CG471" s="14" t="n">
        <f>IF(ISNUMBER(BU471),BU471,"")</f>
        <v>17</v>
      </c>
      <c r="CH471" s="13" t="n">
        <f>IF(AND(COUNT(BV471,CF471,CG471)=3,MIN(BV471,CF471,CG471)&gt;=0),BV471*CF471*CG471,"")</f>
        <v>0</v>
      </c>
      <c r="CI471" s="13" t="n">
        <f>IF(COUNT(BY471,CB471,CE471,CH471)=4,SUM(BY471,CB471,CE471,CH471),"")</f>
        <v>0</v>
      </c>
    </row>
    <row r="472" ht="72" customHeight="1">
      <c r="A472" s="16" t="str">
        <v>1S01-BW-40.5</v>
      </c>
      <c r="B472" s="16" t="str">
        <v>3店-SANDIEX-US</v>
      </c>
      <c r="C472" s="16" t="str">
        <v>徐新怡</v>
      </c>
      <c r="D472" s="26" t="n">
        <f>IF(NOT(ISNUMBER(E472)),"",IF(OR(E472&lt;=0,L472=0),0,IF(OR(NOT(ISNUMBER(F472)),F472&lt;0),"",MIN(E472,INT(F472)))))</f>
        <v>0</v>
      </c>
      <c r="E472" s="27" t="n">
        <f>IF(OR(NOT(ISNUMBER(L472)),COUNT(M472:O472)&lt;&gt;3,MIN(M472:O472)&lt;0),"",ROUNDUP(ROUND(BI472-SUM(M472:O472),10),0))</f>
        <v>0</v>
      </c>
      <c r="F472" s="28" t="n">
        <v>1</v>
      </c>
      <c r="G472" s="28" t="n">
        <f>IF(AND(ISNUMBER(D472),ISNUMBER(E472)),IF(OR(E472&lt;=0,L472=0),0,E472-D472),"")</f>
        <v>0</v>
      </c>
      <c r="H472" s="16" t="str">
        <f>IF(NOT(ISNUMBER(E472)),"销量或海外库存待补",IF(OR(E472&lt;=0,L472=0),IF(L472=0,"零日销，本批不发","本批无需补货"),IF(NOT(ISNUMBER(D472)),"国内库存待补",IF(D472=0,"国内无可用库存",IF(G472&gt;0,"先发国内现货","按建议量发货")))))</f>
        <v>零日销，本批不发</v>
      </c>
      <c r="I472" s="28" t="n">
        <f>IF(AND(COUNT(Z472,AA472,AB472)=3,Z472&gt;=AA472,AA472&gt;=0,AB472=7),Z472-AA472,"")</f>
        <v>0</v>
      </c>
      <c r="J472" s="28" t="n">
        <f>IF(AND(COUNT(AF472,AG472,AH472)=3,AF472&gt;=AG472,AG472&gt;=0,AH472=14),AF472-AG472,"")</f>
        <v>0</v>
      </c>
      <c r="K472" s="28" t="n">
        <f>IF(AND(COUNT(AL472,AM472,AN472)=3,AL472&gt;=AM472,AM472&gt;=0,AN472=30),AL472-AM472,"")</f>
        <v>0</v>
      </c>
      <c r="L472" s="29" t="n">
        <f>IF(ISNUMBER(BI472),BI472/90,"")</f>
        <v>0</v>
      </c>
      <c r="M472" s="28" t="n">
        <v>0</v>
      </c>
      <c r="N472" s="28" t="n">
        <v>0</v>
      </c>
      <c r="O472" s="28" t="n">
        <v>0</v>
      </c>
      <c r="P472" s="30" t="str">
        <f>IF(AND(ISNUMBER(L472),L472&gt;0,COUNT(M472:O472)=3,MIN(M472:O472)&gt;=0),SUM(M472:O472)/L472,"")</f>
      </c>
      <c r="Q472" s="16" t="str">
        <v>沿用同SPU原计划店铺</v>
      </c>
      <c r="R472" s="16" t="str">
        <v>已匹配</v>
      </c>
      <c r="S472" s="16" t="str">
        <v>停售</v>
      </c>
      <c r="T472" s="16" t="str">
        <v>1S01</v>
      </c>
      <c r="U472" s="16" t="str">
        <v>深棕色</v>
      </c>
      <c r="V472" s="16" t="n">
        <v>9.5</v>
      </c>
      <c r="W472" s="8" t="str">
        <v>2026-10-08 至 2026-10-17</v>
      </c>
      <c r="X472" s="8" t="str">
        <v>2026-10-08、2026-10-09、2026-10-10、2026-10-11、2026-10-14、2026-10-15、2026-10-17</v>
      </c>
      <c r="Y472" s="8" t="str">
        <v>2026-10-12 有记录的停售日；2026-10-13 有记录的停售日；2026-10-16 有记录的停售日</v>
      </c>
      <c r="Z472" s="8" t="n">
        <v>0</v>
      </c>
      <c r="AA472" s="8" t="n">
        <v>0</v>
      </c>
      <c r="AB472" s="8" t="n">
        <v>7</v>
      </c>
      <c r="AC472" s="8" t="str">
        <v>2026-09-29 至 2026-10-17</v>
      </c>
      <c r="AD472" s="8" t="str">
        <v>2026-09-29、2026-09-30、2026-10-01、2026-10-02、2026-10-03、2026-10-04、2026-10-05、2026-10-08、2026-10-09、2026-10-10、2026-10-11、2026-10-14、2026-10-15、2026-10-17</v>
      </c>
      <c r="AE472" s="8" t="str">
        <v>2026-10-06 大促；2026-10-07 大促；2026-10-12 有记录的停售日；2026-10-13 有记录的停售日；2026-10-16 有记录的停售日</v>
      </c>
      <c r="AF472" s="8" t="n">
        <v>0</v>
      </c>
      <c r="AG472" s="8" t="n">
        <v>0</v>
      </c>
      <c r="AH472" s="8" t="n">
        <v>14</v>
      </c>
      <c r="AI472" s="8" t="str">
        <v>2026-09-13 至 2026-10-17</v>
      </c>
      <c r="AJ47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2" s="8" t="str">
        <v>2026-10-06 大促；2026-10-07 大促；2026-10-12 有记录的停售日；2026-10-13 有记录的停售日；2026-10-16 有记录的停售日</v>
      </c>
      <c r="AL472" s="8" t="n">
        <v>0</v>
      </c>
      <c r="AM472" s="8" t="n">
        <v>0</v>
      </c>
      <c r="AN472" s="8" t="n">
        <v>30</v>
      </c>
      <c r="AO472" s="8" t="str">
        <v>1S01 / 深棕色PU / 6574</v>
      </c>
      <c r="AP472" s="11" t="n">
        <v>0.8729500662042875</v>
      </c>
      <c r="AQ472" s="11" t="n">
        <v>0.9355747145678367</v>
      </c>
      <c r="AR472" s="11" t="n">
        <v>1.135973589331194</v>
      </c>
      <c r="AS472" s="11" t="n">
        <f>IF(AND(COUNT(I472:K472,AP472:AR472)=6,MIN(AP472:AR472)&gt;0),I472/7/AP472*0.5+J472/14/AQ472*0.3+K472/30/AR472*0.2,"")</f>
        <v>0</v>
      </c>
      <c r="AT472" s="8" t="n">
        <v>0</v>
      </c>
      <c r="AU472" s="8" t="n">
        <v>0</v>
      </c>
      <c r="AV472" s="8" t="n">
        <v>85</v>
      </c>
      <c r="AW472" s="11" t="n">
        <f>IF(AND(COUNT(AT472:AV472)=3,AT472&gt;=AU472,AU472&gt;=0,AV472&gt;0),(AT472-AU472)/AV472,"")</f>
        <v>0</v>
      </c>
      <c r="AX472" s="8" t="n">
        <v>0</v>
      </c>
      <c r="AY472" s="8" t="n">
        <v>0</v>
      </c>
      <c r="AZ472" s="8" t="n">
        <v>175</v>
      </c>
      <c r="BA472" s="11" t="n">
        <f>IF(AND(COUNT(AX472:AZ472)=3,AX472&gt;=AY472,AY472&gt;=0,AZ472&gt;0),(AX472-AY472)/AZ472,"")</f>
        <v>0</v>
      </c>
      <c r="BB472" s="8" t="n">
        <f>IF(COUNT(AS472,AW472,BA472)=3,1,0)</f>
        <v>1</v>
      </c>
      <c r="BC472" s="11" t="n">
        <f>IF(SUMIF($AO$11:$AO$1309,AO472,$BB$11:$BB$1309)=COUNTIF($AO$11:$AO$1309,AO472),SUMIF($AO$11:$AO$1309,AO472,$AS$11:$AS$1309),"")</f>
        <v>0</v>
      </c>
      <c r="BD472" s="11" t="n">
        <f>IF(SUMIF($AO$11:$AO$1309,AO472,$BB$11:$BB$1309)=COUNTIF($AO$11:$AO$1309,AO472),SUMIF($AO$11:$AO$1309,AO472,$AW$11:$AW$1309),"")</f>
        <v>0.03529411764705882</v>
      </c>
      <c r="BE472" s="11" t="n">
        <f>IF(SUMIF($AO$11:$AO$1309,AO472,$BB$11:$BB$1309)=COUNTIF($AO$11:$AO$1309,AO472),SUMIF($AO$11:$AO$1309,AO472,$BA$11:$BA$1309),"")</f>
        <v>0.1142857142857143</v>
      </c>
      <c r="BF472" s="12" t="n">
        <f>IF(COUNT(BD472:BE472)&lt;&gt;2,"",IF(AND(BD472&gt;0,BE472&gt;0),0.7*AW472/BD472+0.3*BA472/BE472,IF(BD472&gt;0,AW472/BD472,IF(BE472&gt;0,BA472/BE472,IF(AND(ISNUMBER(BH472),BH472=0),0,"")))))</f>
        <v>0</v>
      </c>
      <c r="BG472" s="11" t="n">
        <f>IF(AND(COUNT(BN472:BU472)=8,MIN(BN472:BU472)&gt;=0),SUMPRODUCT(BN472:BQ472,BR472:BU472),"")</f>
        <v>63.935996265425516</v>
      </c>
      <c r="BH472" s="11" t="n">
        <f>IF(COUNT(BC472,BG472)=2,BC472*BG472,"")</f>
        <v>0</v>
      </c>
      <c r="BI472" s="11" t="n">
        <f>IF(ISNUMBER(CI472),CI472,"")</f>
        <v>0</v>
      </c>
      <c r="BJ472" s="8" t="str">
        <v>近180天本色销量20双（＜90），无有效新采购，请运营判断</v>
      </c>
      <c r="BK472" s="8" t="str">
        <v>90天：2026-07-20 至 2026-10-17；180天：2026-04-21 至 2026-10-17</v>
      </c>
      <c r="BL472" s="8" t="str">
        <v>90天：2026-10-06、2026-10-07、2026-10-12、2026-10-13、2026-10-16；180天：2026-10-06、2026-10-07、2026-10-12、2026-10-13、2026-10-16</v>
      </c>
      <c r="BM472" s="8" t="str">
        <v>2026-10：12天 × 0.8729500662042875；2026-11：30天 × 0.8057375774163482；2026-12：31天 × 0.532550303142279；2027-01：17天 × 0.7517299265337036</v>
      </c>
      <c r="BN472" s="11" t="n">
        <v>0.8729500662042875</v>
      </c>
      <c r="BO472" s="11" t="n">
        <v>0.8057375774163482</v>
      </c>
      <c r="BP472" s="11" t="n">
        <v>0.532550303142279</v>
      </c>
      <c r="BQ472" s="11" t="n">
        <v>0.7517299265337036</v>
      </c>
      <c r="BR472" s="8" t="n">
        <v>12</v>
      </c>
      <c r="BS472" s="8" t="n">
        <v>30</v>
      </c>
      <c r="BT472" s="8" t="n">
        <v>31</v>
      </c>
      <c r="BU472" s="8" t="n">
        <v>17</v>
      </c>
      <c r="BV472" s="11" t="n">
        <f>IF(COUNT(BC472,BF472)=2,BC472*BF472,"")</f>
        <v>0</v>
      </c>
      <c r="BW472" s="11" t="n">
        <f>IF(ISNUMBER(BN472),BN472,"")</f>
        <v>0.8729500662042875</v>
      </c>
      <c r="BX472" s="14" t="n">
        <f>IF(ISNUMBER(BR472),BR472,"")</f>
        <v>12</v>
      </c>
      <c r="BY472" s="13" t="n">
        <f>IF(AND(COUNT(BV472,BW472,BX472)=3,MIN(BV472,BW472,BX472)&gt;=0),BV472*BW472*BX472,"")</f>
        <v>0</v>
      </c>
      <c r="BZ472" s="11" t="n">
        <f>IF(ISNUMBER(BO472),BO472,"")</f>
        <v>0.8057375774163482</v>
      </c>
      <c r="CA472" s="14" t="n">
        <f>IF(ISNUMBER(BS472),BS472,"")</f>
        <v>30</v>
      </c>
      <c r="CB472" s="13" t="n">
        <f>IF(AND(COUNT(BV472,BZ472,CA472)=3,MIN(BV472,BZ472,CA472)&gt;=0),BV472*BZ472*CA472,"")</f>
        <v>0</v>
      </c>
      <c r="CC472" s="11" t="n">
        <f>IF(ISNUMBER(BP472),BP472,"")</f>
        <v>0.532550303142279</v>
      </c>
      <c r="CD472" s="14" t="n">
        <f>IF(ISNUMBER(BT472),BT472,"")</f>
        <v>31</v>
      </c>
      <c r="CE472" s="13" t="n">
        <f>IF(AND(COUNT(BV472,CC472,CD472)=3,MIN(BV472,CC472,CD472)&gt;=0),BV472*CC472*CD472,"")</f>
        <v>0</v>
      </c>
      <c r="CF472" s="11" t="n">
        <f>IF(ISNUMBER(BQ472),BQ472,"")</f>
        <v>0.7517299265337036</v>
      </c>
      <c r="CG472" s="14" t="n">
        <f>IF(ISNUMBER(BU472),BU472,"")</f>
        <v>17</v>
      </c>
      <c r="CH472" s="13" t="n">
        <f>IF(AND(COUNT(BV472,CF472,CG472)=3,MIN(BV472,CF472,CG472)&gt;=0),BV472*CF472*CG472,"")</f>
        <v>0</v>
      </c>
      <c r="CI472" s="13" t="n">
        <f>IF(COUNT(BY472,CB472,CE472,CH472)=4,SUM(BY472,CB472,CE472,CH472),"")</f>
        <v>0</v>
      </c>
    </row>
    <row r="473" ht="72" customHeight="1">
      <c r="A473" s="16" t="str">
        <v>1S01-BW-41.5</v>
      </c>
      <c r="B473" s="16" t="str">
        <v>3店-SANDIEX-US</v>
      </c>
      <c r="C473" s="16" t="str">
        <v>徐新怡</v>
      </c>
      <c r="D473" s="26" t="n">
        <f>IF(NOT(ISNUMBER(E473)),"",IF(OR(E473&lt;=0,L473=0),0,IF(OR(NOT(ISNUMBER(F473)),F473&lt;0),"",MIN(E473,INT(F473)))))</f>
        <v>0</v>
      </c>
      <c r="E473" s="27" t="n">
        <f>IF(OR(NOT(ISNUMBER(L473)),COUNT(M473:O473)&lt;&gt;3,MIN(M473:O473)&lt;0),"",ROUNDUP(ROUND(BI473-SUM(M473:O473),10),0))</f>
        <v>0</v>
      </c>
      <c r="F473" s="28" t="n">
        <v>0</v>
      </c>
      <c r="G473" s="28" t="n">
        <f>IF(AND(ISNUMBER(D473),ISNUMBER(E473)),IF(OR(E473&lt;=0,L473=0),0,E473-D473),"")</f>
        <v>0</v>
      </c>
      <c r="H473" s="16" t="str">
        <f>IF(NOT(ISNUMBER(E473)),"销量或海外库存待补",IF(OR(E473&lt;=0,L473=0),IF(L473=0,"零日销，本批不发","本批无需补货"),IF(NOT(ISNUMBER(D473)),"国内库存待补",IF(D473=0,"国内无可用库存",IF(G473&gt;0,"先发国内现货","按建议量发货")))))</f>
        <v>零日销，本批不发</v>
      </c>
      <c r="I473" s="28" t="n">
        <f>IF(AND(COUNT(Z473,AA473,AB473)=3,Z473&gt;=AA473,AA473&gt;=0,AB473=7),Z473-AA473,"")</f>
        <v>0</v>
      </c>
      <c r="J473" s="28" t="n">
        <f>IF(AND(COUNT(AF473,AG473,AH473)=3,AF473&gt;=AG473,AG473&gt;=0,AH473=14),AF473-AG473,"")</f>
        <v>0</v>
      </c>
      <c r="K473" s="28" t="n">
        <f>IF(AND(COUNT(AL473,AM473,AN473)=3,AL473&gt;=AM473,AM473&gt;=0,AN473=30),AL473-AM473,"")</f>
        <v>0</v>
      </c>
      <c r="L473" s="29" t="n">
        <f>IF(ISNUMBER(BI473),BI473/90,"")</f>
        <v>0</v>
      </c>
      <c r="M473" s="28" t="n">
        <v>0</v>
      </c>
      <c r="N473" s="28" t="n">
        <v>0</v>
      </c>
      <c r="O473" s="28" t="n">
        <v>0</v>
      </c>
      <c r="P473" s="30" t="str">
        <f>IF(AND(ISNUMBER(L473),L473&gt;0,COUNT(M473:O473)=3,MIN(M473:O473)&gt;=0),SUM(M473:O473)/L473,"")</f>
      </c>
      <c r="Q473" s="16" t="str">
        <v>沿用同SPU原计划店铺</v>
      </c>
      <c r="R473" s="16" t="str">
        <v>已匹配</v>
      </c>
      <c r="S473" s="16" t="str">
        <v>停售</v>
      </c>
      <c r="T473" s="16" t="str">
        <v>1S01</v>
      </c>
      <c r="U473" s="16" t="str">
        <v>深棕色</v>
      </c>
      <c r="V473" s="16" t="n">
        <v>10.5</v>
      </c>
      <c r="W473" s="8" t="str">
        <v>2026-10-08 至 2026-10-17</v>
      </c>
      <c r="X473" s="8" t="str">
        <v>2026-10-08、2026-10-09、2026-10-10、2026-10-11、2026-10-14、2026-10-15、2026-10-17</v>
      </c>
      <c r="Y473" s="8" t="str">
        <v>2026-10-12 有记录的停售日；2026-10-13 有记录的停售日；2026-10-16 有记录的停售日</v>
      </c>
      <c r="Z473" s="8" t="n">
        <v>0</v>
      </c>
      <c r="AA473" s="8" t="n">
        <v>0</v>
      </c>
      <c r="AB473" s="8" t="n">
        <v>7</v>
      </c>
      <c r="AC473" s="8" t="str">
        <v>2026-09-29 至 2026-10-17</v>
      </c>
      <c r="AD473" s="8" t="str">
        <v>2026-09-29、2026-09-30、2026-10-01、2026-10-02、2026-10-03、2026-10-04、2026-10-05、2026-10-08、2026-10-09、2026-10-10、2026-10-11、2026-10-14、2026-10-15、2026-10-17</v>
      </c>
      <c r="AE473" s="8" t="str">
        <v>2026-10-06 大促；2026-10-07 大促；2026-10-12 有记录的停售日；2026-10-13 有记录的停售日；2026-10-16 有记录的停售日</v>
      </c>
      <c r="AF473" s="8" t="n">
        <v>0</v>
      </c>
      <c r="AG473" s="8" t="n">
        <v>0</v>
      </c>
      <c r="AH473" s="8" t="n">
        <v>14</v>
      </c>
      <c r="AI473" s="8" t="str">
        <v>2026-09-13 至 2026-10-17</v>
      </c>
      <c r="AJ47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3" s="8" t="str">
        <v>2026-10-06 大促；2026-10-07 大促；2026-10-12 有记录的停售日；2026-10-13 有记录的停售日；2026-10-16 有记录的停售日</v>
      </c>
      <c r="AL473" s="8" t="n">
        <v>0</v>
      </c>
      <c r="AM473" s="8" t="n">
        <v>0</v>
      </c>
      <c r="AN473" s="8" t="n">
        <v>30</v>
      </c>
      <c r="AO473" s="8" t="str">
        <v>1S01 / 深棕色PU / 6574</v>
      </c>
      <c r="AP473" s="11" t="n">
        <v>0.8729500662042875</v>
      </c>
      <c r="AQ473" s="11" t="n">
        <v>0.9355747145678367</v>
      </c>
      <c r="AR473" s="11" t="n">
        <v>1.135973589331194</v>
      </c>
      <c r="AS473" s="11" t="n">
        <f>IF(AND(COUNT(I473:K473,AP473:AR473)=6,MIN(AP473:AR473)&gt;0),I473/7/AP473*0.5+J473/14/AQ473*0.3+K473/30/AR473*0.2,"")</f>
        <v>0</v>
      </c>
      <c r="AT473" s="8" t="n">
        <v>0</v>
      </c>
      <c r="AU473" s="8" t="n">
        <v>0</v>
      </c>
      <c r="AV473" s="8" t="n">
        <v>85</v>
      </c>
      <c r="AW473" s="11" t="n">
        <f>IF(AND(COUNT(AT473:AV473)=3,AT473&gt;=AU473,AU473&gt;=0,AV473&gt;0),(AT473-AU473)/AV473,"")</f>
        <v>0</v>
      </c>
      <c r="AX473" s="8" t="n">
        <v>0</v>
      </c>
      <c r="AY473" s="8" t="n">
        <v>0</v>
      </c>
      <c r="AZ473" s="8" t="n">
        <v>175</v>
      </c>
      <c r="BA473" s="11" t="n">
        <f>IF(AND(COUNT(AX473:AZ473)=3,AX473&gt;=AY473,AY473&gt;=0,AZ473&gt;0),(AX473-AY473)/AZ473,"")</f>
        <v>0</v>
      </c>
      <c r="BB473" s="8" t="n">
        <f>IF(COUNT(AS473,AW473,BA473)=3,1,0)</f>
        <v>1</v>
      </c>
      <c r="BC473" s="11" t="n">
        <f>IF(SUMIF($AO$11:$AO$1309,AO473,$BB$11:$BB$1309)=COUNTIF($AO$11:$AO$1309,AO473),SUMIF($AO$11:$AO$1309,AO473,$AS$11:$AS$1309),"")</f>
        <v>0</v>
      </c>
      <c r="BD473" s="11" t="n">
        <f>IF(SUMIF($AO$11:$AO$1309,AO473,$BB$11:$BB$1309)=COUNTIF($AO$11:$AO$1309,AO473),SUMIF($AO$11:$AO$1309,AO473,$AW$11:$AW$1309),"")</f>
        <v>0.03529411764705882</v>
      </c>
      <c r="BE473" s="11" t="n">
        <f>IF(SUMIF($AO$11:$AO$1309,AO473,$BB$11:$BB$1309)=COUNTIF($AO$11:$AO$1309,AO473),SUMIF($AO$11:$AO$1309,AO473,$BA$11:$BA$1309),"")</f>
        <v>0.1142857142857143</v>
      </c>
      <c r="BF473" s="12" t="n">
        <f>IF(COUNT(BD473:BE473)&lt;&gt;2,"",IF(AND(BD473&gt;0,BE473&gt;0),0.7*AW473/BD473+0.3*BA473/BE473,IF(BD473&gt;0,AW473/BD473,IF(BE473&gt;0,BA473/BE473,IF(AND(ISNUMBER(BH473),BH473=0),0,"")))))</f>
        <v>0</v>
      </c>
      <c r="BG473" s="11" t="n">
        <f>IF(AND(COUNT(BN473:BU473)=8,MIN(BN473:BU473)&gt;=0),SUMPRODUCT(BN473:BQ473,BR473:BU473),"")</f>
        <v>63.935996265425516</v>
      </c>
      <c r="BH473" s="11" t="n">
        <f>IF(COUNT(BC473,BG473)=2,BC473*BG473,"")</f>
        <v>0</v>
      </c>
      <c r="BI473" s="11" t="n">
        <f>IF(ISNUMBER(CI473),CI473,"")</f>
        <v>0</v>
      </c>
      <c r="BJ473" s="8" t="str">
        <v>近180天本色销量20双（＜90），无有效新采购，请运营判断</v>
      </c>
      <c r="BK473" s="8" t="str">
        <v>90天：2026-07-20 至 2026-10-17；180天：2026-04-21 至 2026-10-17</v>
      </c>
      <c r="BL473" s="8" t="str">
        <v>90天：2026-10-06、2026-10-07、2026-10-12、2026-10-13、2026-10-16；180天：2026-10-06、2026-10-07、2026-10-12、2026-10-13、2026-10-16</v>
      </c>
      <c r="BM473" s="8" t="str">
        <v>2026-10：12天 × 0.8729500662042875；2026-11：30天 × 0.8057375774163482；2026-12：31天 × 0.532550303142279；2027-01：17天 × 0.7517299265337036</v>
      </c>
      <c r="BN473" s="11" t="n">
        <v>0.8729500662042875</v>
      </c>
      <c r="BO473" s="11" t="n">
        <v>0.8057375774163482</v>
      </c>
      <c r="BP473" s="11" t="n">
        <v>0.532550303142279</v>
      </c>
      <c r="BQ473" s="11" t="n">
        <v>0.7517299265337036</v>
      </c>
      <c r="BR473" s="8" t="n">
        <v>12</v>
      </c>
      <c r="BS473" s="8" t="n">
        <v>30</v>
      </c>
      <c r="BT473" s="8" t="n">
        <v>31</v>
      </c>
      <c r="BU473" s="8" t="n">
        <v>17</v>
      </c>
      <c r="BV473" s="11" t="n">
        <f>IF(COUNT(BC473,BF473)=2,BC473*BF473,"")</f>
        <v>0</v>
      </c>
      <c r="BW473" s="11" t="n">
        <f>IF(ISNUMBER(BN473),BN473,"")</f>
        <v>0.8729500662042875</v>
      </c>
      <c r="BX473" s="14" t="n">
        <f>IF(ISNUMBER(BR473),BR473,"")</f>
        <v>12</v>
      </c>
      <c r="BY473" s="13" t="n">
        <f>IF(AND(COUNT(BV473,BW473,BX473)=3,MIN(BV473,BW473,BX473)&gt;=0),BV473*BW473*BX473,"")</f>
        <v>0</v>
      </c>
      <c r="BZ473" s="11" t="n">
        <f>IF(ISNUMBER(BO473),BO473,"")</f>
        <v>0.8057375774163482</v>
      </c>
      <c r="CA473" s="14" t="n">
        <f>IF(ISNUMBER(BS473),BS473,"")</f>
        <v>30</v>
      </c>
      <c r="CB473" s="13" t="n">
        <f>IF(AND(COUNT(BV473,BZ473,CA473)=3,MIN(BV473,BZ473,CA473)&gt;=0),BV473*BZ473*CA473,"")</f>
        <v>0</v>
      </c>
      <c r="CC473" s="11" t="n">
        <f>IF(ISNUMBER(BP473),BP473,"")</f>
        <v>0.532550303142279</v>
      </c>
      <c r="CD473" s="14" t="n">
        <f>IF(ISNUMBER(BT473),BT473,"")</f>
        <v>31</v>
      </c>
      <c r="CE473" s="13" t="n">
        <f>IF(AND(COUNT(BV473,CC473,CD473)=3,MIN(BV473,CC473,CD473)&gt;=0),BV473*CC473*CD473,"")</f>
        <v>0</v>
      </c>
      <c r="CF473" s="11" t="n">
        <f>IF(ISNUMBER(BQ473),BQ473,"")</f>
        <v>0.7517299265337036</v>
      </c>
      <c r="CG473" s="14" t="n">
        <f>IF(ISNUMBER(BU473),BU473,"")</f>
        <v>17</v>
      </c>
      <c r="CH473" s="13" t="n">
        <f>IF(AND(COUNT(BV473,CF473,CG473)=3,MIN(BV473,CF473,CG473)&gt;=0),BV473*CF473*CG473,"")</f>
        <v>0</v>
      </c>
      <c r="CI473" s="13" t="n">
        <f>IF(COUNT(BY473,CB473,CE473,CH473)=4,SUM(BY473,CB473,CE473,CH473),"")</f>
        <v>0</v>
      </c>
    </row>
    <row r="474" ht="72" customHeight="1">
      <c r="A474" s="16" t="str">
        <v>1S01-BW-6</v>
      </c>
      <c r="B474" s="16" t="str">
        <v>3店-SANDIEX-US</v>
      </c>
      <c r="C474" s="16" t="str">
        <v>徐新怡</v>
      </c>
      <c r="D474" s="26" t="n">
        <f>IF(NOT(ISNUMBER(E474)),"",IF(OR(E474&lt;=0,L474=0),0,IF(OR(NOT(ISNUMBER(F474)),F474&lt;0),"",MIN(E474,INT(F474)))))</f>
        <v>0</v>
      </c>
      <c r="E474" s="27" t="n">
        <f>IF(OR(NOT(ISNUMBER(L474)),COUNT(M474:O474)&lt;&gt;3,MIN(M474:O474)&lt;0),"",ROUNDUP(ROUND(BI474-SUM(M474:O474),10),0))</f>
        <v>0</v>
      </c>
      <c r="F474" s="28" t="n">
        <v>0</v>
      </c>
      <c r="G474" s="28" t="n">
        <f>IF(AND(ISNUMBER(D474),ISNUMBER(E474)),IF(OR(E474&lt;=0,L474=0),0,E474-D474),"")</f>
        <v>0</v>
      </c>
      <c r="H474" s="16" t="str">
        <f>IF(NOT(ISNUMBER(E474)),"销量或海外库存待补",IF(OR(E474&lt;=0,L474=0),IF(L474=0,"零日销，本批不发","本批无需补货"),IF(NOT(ISNUMBER(D474)),"国内库存待补",IF(D474=0,"国内无可用库存",IF(G474&gt;0,"先发国内现货","按建议量发货")))))</f>
        <v>零日销，本批不发</v>
      </c>
      <c r="I474" s="28" t="n">
        <f>IF(AND(COUNT(Z474,AA474,AB474)=3,Z474&gt;=AA474,AA474&gt;=0,AB474=7),Z474-AA474,"")</f>
        <v>0</v>
      </c>
      <c r="J474" s="28" t="n">
        <f>IF(AND(COUNT(AF474,AG474,AH474)=3,AF474&gt;=AG474,AG474&gt;=0,AH474=14),AF474-AG474,"")</f>
        <v>0</v>
      </c>
      <c r="K474" s="28" t="n">
        <f>IF(AND(COUNT(AL474,AM474,AN474)=3,AL474&gt;=AM474,AM474&gt;=0,AN474=30),AL474-AM474,"")</f>
        <v>0</v>
      </c>
      <c r="L474" s="29" t="n">
        <f>IF(ISNUMBER(BI474),BI474/90,"")</f>
        <v>0</v>
      </c>
      <c r="M474" s="28" t="n">
        <v>0</v>
      </c>
      <c r="N474" s="28" t="n">
        <v>0</v>
      </c>
      <c r="O474" s="28" t="n">
        <v>0</v>
      </c>
      <c r="P474" s="30" t="str">
        <f>IF(AND(ISNUMBER(L474),L474&gt;0,COUNT(M474:O474)=3,MIN(M474:O474)&gt;=0),SUM(M474:O474)/L474,"")</f>
      </c>
      <c r="Q474" s="16" t="str">
        <v>沿用原计划SKU店铺</v>
      </c>
      <c r="R474" s="16" t="str">
        <v>已匹配</v>
      </c>
      <c r="S474" s="16" t="str">
        <v>停售</v>
      </c>
      <c r="T474" s="16" t="str">
        <v>1S01</v>
      </c>
      <c r="U474" s="16" t="str">
        <v>深棕色</v>
      </c>
      <c r="V474" s="16" t="n">
        <v>6</v>
      </c>
      <c r="W474" s="8" t="str">
        <v>2026-10-08 至 2026-10-17</v>
      </c>
      <c r="X474" s="8" t="str">
        <v>2026-10-08、2026-10-09、2026-10-10、2026-10-11、2026-10-14、2026-10-15、2026-10-17</v>
      </c>
      <c r="Y474" s="8" t="str">
        <v>2026-10-12 有记录的停售日；2026-10-13 有记录的停售日；2026-10-16 有记录的停售日</v>
      </c>
      <c r="Z474" s="8" t="n">
        <v>0</v>
      </c>
      <c r="AA474" s="8" t="n">
        <v>0</v>
      </c>
      <c r="AB474" s="8" t="n">
        <v>7</v>
      </c>
      <c r="AC474" s="8" t="str">
        <v>2026-09-29 至 2026-10-17</v>
      </c>
      <c r="AD474" s="8" t="str">
        <v>2026-09-29、2026-09-30、2026-10-01、2026-10-02、2026-10-03、2026-10-04、2026-10-05、2026-10-08、2026-10-09、2026-10-10、2026-10-11、2026-10-14、2026-10-15、2026-10-17</v>
      </c>
      <c r="AE474" s="8" t="str">
        <v>2026-10-06 大促；2026-10-07 大促；2026-10-12 有记录的停售日；2026-10-13 有记录的停售日；2026-10-16 有记录的停售日</v>
      </c>
      <c r="AF474" s="8" t="n">
        <v>0</v>
      </c>
      <c r="AG474" s="8" t="n">
        <v>0</v>
      </c>
      <c r="AH474" s="8" t="n">
        <v>14</v>
      </c>
      <c r="AI474" s="8" t="str">
        <v>2026-09-13 至 2026-10-17</v>
      </c>
      <c r="AJ47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4" s="8" t="str">
        <v>2026-10-06 大促；2026-10-07 大促；2026-10-12 有记录的停售日；2026-10-13 有记录的停售日；2026-10-16 有记录的停售日</v>
      </c>
      <c r="AL474" s="8" t="n">
        <v>0</v>
      </c>
      <c r="AM474" s="8" t="n">
        <v>0</v>
      </c>
      <c r="AN474" s="8" t="n">
        <v>30</v>
      </c>
      <c r="AO474" s="8" t="str">
        <v>1S01 / 深棕色PU / 6574</v>
      </c>
      <c r="AP474" s="11" t="n">
        <v>0.8729500662042875</v>
      </c>
      <c r="AQ474" s="11" t="n">
        <v>0.9355747145678367</v>
      </c>
      <c r="AR474" s="11" t="n">
        <v>1.135973589331194</v>
      </c>
      <c r="AS474" s="11" t="n">
        <f>IF(AND(COUNT(I474:K474,AP474:AR474)=6,MIN(AP474:AR474)&gt;0),I474/7/AP474*0.5+J474/14/AQ474*0.3+K474/30/AR474*0.2,"")</f>
        <v>0</v>
      </c>
      <c r="AT474" s="8" t="n">
        <v>0</v>
      </c>
      <c r="AU474" s="8" t="n">
        <v>0</v>
      </c>
      <c r="AV474" s="8" t="n">
        <v>85</v>
      </c>
      <c r="AW474" s="11" t="n">
        <f>IF(AND(COUNT(AT474:AV474)=3,AT474&gt;=AU474,AU474&gt;=0,AV474&gt;0),(AT474-AU474)/AV474,"")</f>
        <v>0</v>
      </c>
      <c r="AX474" s="8" t="n">
        <v>0</v>
      </c>
      <c r="AY474" s="8" t="n">
        <v>0</v>
      </c>
      <c r="AZ474" s="8" t="n">
        <v>175</v>
      </c>
      <c r="BA474" s="11" t="n">
        <f>IF(AND(COUNT(AX474:AZ474)=3,AX474&gt;=AY474,AY474&gt;=0,AZ474&gt;0),(AX474-AY474)/AZ474,"")</f>
        <v>0</v>
      </c>
      <c r="BB474" s="8" t="n">
        <f>IF(COUNT(AS474,AW474,BA474)=3,1,0)</f>
        <v>1</v>
      </c>
      <c r="BC474" s="11" t="n">
        <f>IF(SUMIF($AO$11:$AO$1309,AO474,$BB$11:$BB$1309)=COUNTIF($AO$11:$AO$1309,AO474),SUMIF($AO$11:$AO$1309,AO474,$AS$11:$AS$1309),"")</f>
        <v>0</v>
      </c>
      <c r="BD474" s="11" t="n">
        <f>IF(SUMIF($AO$11:$AO$1309,AO474,$BB$11:$BB$1309)=COUNTIF($AO$11:$AO$1309,AO474),SUMIF($AO$11:$AO$1309,AO474,$AW$11:$AW$1309),"")</f>
        <v>0.03529411764705882</v>
      </c>
      <c r="BE474" s="11" t="n">
        <f>IF(SUMIF($AO$11:$AO$1309,AO474,$BB$11:$BB$1309)=COUNTIF($AO$11:$AO$1309,AO474),SUMIF($AO$11:$AO$1309,AO474,$BA$11:$BA$1309),"")</f>
        <v>0.1142857142857143</v>
      </c>
      <c r="BF474" s="12" t="n">
        <f>IF(COUNT(BD474:BE474)&lt;&gt;2,"",IF(AND(BD474&gt;0,BE474&gt;0),0.7*AW474/BD474+0.3*BA474/BE474,IF(BD474&gt;0,AW474/BD474,IF(BE474&gt;0,BA474/BE474,IF(AND(ISNUMBER(BH474),BH474=0),0,"")))))</f>
        <v>0</v>
      </c>
      <c r="BG474" s="11" t="n">
        <f>IF(AND(COUNT(BN474:BU474)=8,MIN(BN474:BU474)&gt;=0),SUMPRODUCT(BN474:BQ474,BR474:BU474),"")</f>
        <v>63.935996265425516</v>
      </c>
      <c r="BH474" s="11" t="n">
        <f>IF(COUNT(BC474,BG474)=2,BC474*BG474,"")</f>
        <v>0</v>
      </c>
      <c r="BI474" s="11" t="n">
        <f>IF(ISNUMBER(CI474),CI474,"")</f>
        <v>0</v>
      </c>
      <c r="BJ474" s="8" t="str">
        <v>近180天本色销量20双（＜90），无有效新采购，请运营判断</v>
      </c>
      <c r="BK474" s="8" t="str">
        <v>90天：2026-07-20 至 2026-10-17；180天：2026-04-21 至 2026-10-17</v>
      </c>
      <c r="BL474" s="8" t="str">
        <v>90天：2026-10-06、2026-10-07、2026-10-12、2026-10-13、2026-10-16；180天：2026-10-06、2026-10-07、2026-10-12、2026-10-13、2026-10-16</v>
      </c>
      <c r="BM474" s="8" t="str">
        <v>2026-10：12天 × 0.8729500662042875；2026-11：30天 × 0.8057375774163482；2026-12：31天 × 0.532550303142279；2027-01：17天 × 0.7517299265337036</v>
      </c>
      <c r="BN474" s="11" t="n">
        <v>0.8729500662042875</v>
      </c>
      <c r="BO474" s="11" t="n">
        <v>0.8057375774163482</v>
      </c>
      <c r="BP474" s="11" t="n">
        <v>0.532550303142279</v>
      </c>
      <c r="BQ474" s="11" t="n">
        <v>0.7517299265337036</v>
      </c>
      <c r="BR474" s="8" t="n">
        <v>12</v>
      </c>
      <c r="BS474" s="8" t="n">
        <v>30</v>
      </c>
      <c r="BT474" s="8" t="n">
        <v>31</v>
      </c>
      <c r="BU474" s="8" t="n">
        <v>17</v>
      </c>
      <c r="BV474" s="11" t="n">
        <f>IF(COUNT(BC474,BF474)=2,BC474*BF474,"")</f>
        <v>0</v>
      </c>
      <c r="BW474" s="11" t="n">
        <f>IF(ISNUMBER(BN474),BN474,"")</f>
        <v>0.8729500662042875</v>
      </c>
      <c r="BX474" s="14" t="n">
        <f>IF(ISNUMBER(BR474),BR474,"")</f>
        <v>12</v>
      </c>
      <c r="BY474" s="13" t="n">
        <f>IF(AND(COUNT(BV474,BW474,BX474)=3,MIN(BV474,BW474,BX474)&gt;=0),BV474*BW474*BX474,"")</f>
        <v>0</v>
      </c>
      <c r="BZ474" s="11" t="n">
        <f>IF(ISNUMBER(BO474),BO474,"")</f>
        <v>0.8057375774163482</v>
      </c>
      <c r="CA474" s="14" t="n">
        <f>IF(ISNUMBER(BS474),BS474,"")</f>
        <v>30</v>
      </c>
      <c r="CB474" s="13" t="n">
        <f>IF(AND(COUNT(BV474,BZ474,CA474)=3,MIN(BV474,BZ474,CA474)&gt;=0),BV474*BZ474*CA474,"")</f>
        <v>0</v>
      </c>
      <c r="CC474" s="11" t="n">
        <f>IF(ISNUMBER(BP474),BP474,"")</f>
        <v>0.532550303142279</v>
      </c>
      <c r="CD474" s="14" t="n">
        <f>IF(ISNUMBER(BT474),BT474,"")</f>
        <v>31</v>
      </c>
      <c r="CE474" s="13" t="n">
        <f>IF(AND(COUNT(BV474,CC474,CD474)=3,MIN(BV474,CC474,CD474)&gt;=0),BV474*CC474*CD474,"")</f>
        <v>0</v>
      </c>
      <c r="CF474" s="11" t="n">
        <f>IF(ISNUMBER(BQ474),BQ474,"")</f>
        <v>0.7517299265337036</v>
      </c>
      <c r="CG474" s="14" t="n">
        <f>IF(ISNUMBER(BU474),BU474,"")</f>
        <v>17</v>
      </c>
      <c r="CH474" s="13" t="n">
        <f>IF(AND(COUNT(BV474,CF474,CG474)=3,MIN(BV474,CF474,CG474)&gt;=0),BV474*CF474*CG474,"")</f>
        <v>0</v>
      </c>
      <c r="CI474" s="13" t="n">
        <f>IF(COUNT(BY474,CB474,CE474,CH474)=4,SUM(BY474,CB474,CE474,CH474),"")</f>
        <v>0</v>
      </c>
    </row>
    <row r="475" ht="72" customHeight="1">
      <c r="A475" s="16" t="str">
        <v>1S01-BW-7</v>
      </c>
      <c r="B475" s="16" t="str">
        <v>3店-SANDIEX-US</v>
      </c>
      <c r="C475" s="16" t="str">
        <v>徐新怡</v>
      </c>
      <c r="D475" s="26" t="n">
        <f>IF(NOT(ISNUMBER(E475)),"",IF(OR(E475&lt;=0,L475=0),0,IF(OR(NOT(ISNUMBER(F475)),F475&lt;0),"",MIN(E475,INT(F475)))))</f>
        <v>0</v>
      </c>
      <c r="E475" s="27" t="n">
        <f>IF(OR(NOT(ISNUMBER(L475)),COUNT(M475:O475)&lt;&gt;3,MIN(M475:O475)&lt;0),"",ROUNDUP(ROUND(BI475-SUM(M475:O475),10),0))</f>
        <v>0</v>
      </c>
      <c r="F475" s="28" t="n">
        <v>0</v>
      </c>
      <c r="G475" s="28" t="n">
        <f>IF(AND(ISNUMBER(D475),ISNUMBER(E475)),IF(OR(E475&lt;=0,L475=0),0,E475-D475),"")</f>
        <v>0</v>
      </c>
      <c r="H475" s="16" t="str">
        <f>IF(NOT(ISNUMBER(E475)),"销量或海外库存待补",IF(OR(E475&lt;=0,L475=0),IF(L475=0,"零日销，本批不发","本批无需补货"),IF(NOT(ISNUMBER(D475)),"国内库存待补",IF(D475=0,"国内无可用库存",IF(G475&gt;0,"先发国内现货","按建议量发货")))))</f>
        <v>零日销，本批不发</v>
      </c>
      <c r="I475" s="28" t="n">
        <f>IF(AND(COUNT(Z475,AA475,AB475)=3,Z475&gt;=AA475,AA475&gt;=0,AB475=7),Z475-AA475,"")</f>
        <v>0</v>
      </c>
      <c r="J475" s="28" t="n">
        <f>IF(AND(COUNT(AF475,AG475,AH475)=3,AF475&gt;=AG475,AG475&gt;=0,AH475=14),AF475-AG475,"")</f>
        <v>0</v>
      </c>
      <c r="K475" s="28" t="n">
        <f>IF(AND(COUNT(AL475,AM475,AN475)=3,AL475&gt;=AM475,AM475&gt;=0,AN475=30),AL475-AM475,"")</f>
        <v>0</v>
      </c>
      <c r="L475" s="29" t="n">
        <f>IF(ISNUMBER(BI475),BI475/90,"")</f>
        <v>0</v>
      </c>
      <c r="M475" s="28" t="n">
        <v>0</v>
      </c>
      <c r="N475" s="28" t="n">
        <v>0</v>
      </c>
      <c r="O475" s="28" t="n">
        <v>0</v>
      </c>
      <c r="P475" s="30" t="str">
        <f>IF(AND(ISNUMBER(L475),L475&gt;0,COUNT(M475:O475)=3,MIN(M475:O475)&gt;=0),SUM(M475:O475)/L475,"")</f>
      </c>
      <c r="Q475" s="16" t="str">
        <v>沿用原计划SKU店铺</v>
      </c>
      <c r="R475" s="16" t="str">
        <v>已匹配</v>
      </c>
      <c r="S475" s="16" t="str">
        <v>停售</v>
      </c>
      <c r="T475" s="16" t="str">
        <v>1S01</v>
      </c>
      <c r="U475" s="16" t="str">
        <v>深棕色</v>
      </c>
      <c r="V475" s="16" t="n">
        <v>7</v>
      </c>
      <c r="W475" s="8" t="str">
        <v>2026-10-08 至 2026-10-17</v>
      </c>
      <c r="X475" s="8" t="str">
        <v>2026-10-08、2026-10-09、2026-10-10、2026-10-11、2026-10-14、2026-10-15、2026-10-17</v>
      </c>
      <c r="Y475" s="8" t="str">
        <v>2026-10-12 有记录的停售日；2026-10-13 有记录的停售日；2026-10-16 有记录的停售日</v>
      </c>
      <c r="Z475" s="8" t="n">
        <v>0</v>
      </c>
      <c r="AA475" s="8" t="n">
        <v>0</v>
      </c>
      <c r="AB475" s="8" t="n">
        <v>7</v>
      </c>
      <c r="AC475" s="8" t="str">
        <v>2026-09-29 至 2026-10-17</v>
      </c>
      <c r="AD475" s="8" t="str">
        <v>2026-09-29、2026-09-30、2026-10-01、2026-10-02、2026-10-03、2026-10-04、2026-10-05、2026-10-08、2026-10-09、2026-10-10、2026-10-11、2026-10-14、2026-10-15、2026-10-17</v>
      </c>
      <c r="AE475" s="8" t="str">
        <v>2026-10-06 大促；2026-10-07 大促；2026-10-12 有记录的停售日；2026-10-13 有记录的停售日；2026-10-16 有记录的停售日</v>
      </c>
      <c r="AF475" s="8" t="n">
        <v>0</v>
      </c>
      <c r="AG475" s="8" t="n">
        <v>0</v>
      </c>
      <c r="AH475" s="8" t="n">
        <v>14</v>
      </c>
      <c r="AI475" s="8" t="str">
        <v>2026-09-13 至 2026-10-17</v>
      </c>
      <c r="AJ47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5" s="8" t="str">
        <v>2026-10-06 大促；2026-10-07 大促；2026-10-12 有记录的停售日；2026-10-13 有记录的停售日；2026-10-16 有记录的停售日</v>
      </c>
      <c r="AL475" s="8" t="n">
        <v>0</v>
      </c>
      <c r="AM475" s="8" t="n">
        <v>0</v>
      </c>
      <c r="AN475" s="8" t="n">
        <v>30</v>
      </c>
      <c r="AO475" s="8" t="str">
        <v>1S01 / 深棕色PU / 6574</v>
      </c>
      <c r="AP475" s="11" t="n">
        <v>0.8729500662042875</v>
      </c>
      <c r="AQ475" s="11" t="n">
        <v>0.9355747145678367</v>
      </c>
      <c r="AR475" s="11" t="n">
        <v>1.135973589331194</v>
      </c>
      <c r="AS475" s="11" t="n">
        <f>IF(AND(COUNT(I475:K475,AP475:AR475)=6,MIN(AP475:AR475)&gt;0),I475/7/AP475*0.5+J475/14/AQ475*0.3+K475/30/AR475*0.2,"")</f>
        <v>0</v>
      </c>
      <c r="AT475" s="8" t="n">
        <v>3</v>
      </c>
      <c r="AU475" s="8" t="n">
        <v>0</v>
      </c>
      <c r="AV475" s="8" t="n">
        <v>85</v>
      </c>
      <c r="AW475" s="11" t="n">
        <f>IF(AND(COUNT(AT475:AV475)=3,AT475&gt;=AU475,AU475&gt;=0,AV475&gt;0),(AT475-AU475)/AV475,"")</f>
        <v>0.03529411764705882</v>
      </c>
      <c r="AX475" s="8" t="n">
        <v>5</v>
      </c>
      <c r="AY475" s="8" t="n">
        <v>0</v>
      </c>
      <c r="AZ475" s="8" t="n">
        <v>175</v>
      </c>
      <c r="BA475" s="11" t="n">
        <f>IF(AND(COUNT(AX475:AZ475)=3,AX475&gt;=AY475,AY475&gt;=0,AZ475&gt;0),(AX475-AY475)/AZ475,"")</f>
        <v>0.02857142857142857</v>
      </c>
      <c r="BB475" s="8" t="n">
        <f>IF(COUNT(AS475,AW475,BA475)=3,1,0)</f>
        <v>1</v>
      </c>
      <c r="BC475" s="11" t="n">
        <f>IF(SUMIF($AO$11:$AO$1309,AO475,$BB$11:$BB$1309)=COUNTIF($AO$11:$AO$1309,AO475),SUMIF($AO$11:$AO$1309,AO475,$AS$11:$AS$1309),"")</f>
        <v>0</v>
      </c>
      <c r="BD475" s="11" t="n">
        <f>IF(SUMIF($AO$11:$AO$1309,AO475,$BB$11:$BB$1309)=COUNTIF($AO$11:$AO$1309,AO475),SUMIF($AO$11:$AO$1309,AO475,$AW$11:$AW$1309),"")</f>
        <v>0.03529411764705882</v>
      </c>
      <c r="BE475" s="11" t="n">
        <f>IF(SUMIF($AO$11:$AO$1309,AO475,$BB$11:$BB$1309)=COUNTIF($AO$11:$AO$1309,AO475),SUMIF($AO$11:$AO$1309,AO475,$BA$11:$BA$1309),"")</f>
        <v>0.1142857142857143</v>
      </c>
      <c r="BF475" s="12" t="n">
        <f>IF(COUNT(BD475:BE475)&lt;&gt;2,"",IF(AND(BD475&gt;0,BE475&gt;0),0.7*AW475/BD475+0.3*BA475/BE475,IF(BD475&gt;0,AW475/BD475,IF(BE475&gt;0,BA475/BE475,IF(AND(ISNUMBER(BH475),BH475=0),0,"")))))</f>
        <v>0.7749999999999999</v>
      </c>
      <c r="BG475" s="11" t="n">
        <f>IF(AND(COUNT(BN475:BU475)=8,MIN(BN475:BU475)&gt;=0),SUMPRODUCT(BN475:BQ475,BR475:BU475),"")</f>
        <v>63.935996265425516</v>
      </c>
      <c r="BH475" s="11" t="n">
        <f>IF(COUNT(BC475,BG475)=2,BC475*BG475,"")</f>
        <v>0</v>
      </c>
      <c r="BI475" s="11" t="n">
        <f>IF(ISNUMBER(CI475),CI475,"")</f>
        <v>0</v>
      </c>
      <c r="BJ475" s="8" t="str">
        <v>近180天本色销量20双（＜90），无有效新采购，请运营判断</v>
      </c>
      <c r="BK475" s="8" t="str">
        <v>90天：2026-07-20 至 2026-10-17；180天：2026-04-21 至 2026-10-17</v>
      </c>
      <c r="BL475" s="8" t="str">
        <v>90天：2026-10-06、2026-10-07、2026-10-12、2026-10-13、2026-10-16；180天：2026-10-06、2026-10-07、2026-10-12、2026-10-13、2026-10-16</v>
      </c>
      <c r="BM475" s="8" t="str">
        <v>2026-10：12天 × 0.8729500662042875；2026-11：30天 × 0.8057375774163482；2026-12：31天 × 0.532550303142279；2027-01：17天 × 0.7517299265337036</v>
      </c>
      <c r="BN475" s="11" t="n">
        <v>0.8729500662042875</v>
      </c>
      <c r="BO475" s="11" t="n">
        <v>0.8057375774163482</v>
      </c>
      <c r="BP475" s="11" t="n">
        <v>0.532550303142279</v>
      </c>
      <c r="BQ475" s="11" t="n">
        <v>0.7517299265337036</v>
      </c>
      <c r="BR475" s="8" t="n">
        <v>12</v>
      </c>
      <c r="BS475" s="8" t="n">
        <v>30</v>
      </c>
      <c r="BT475" s="8" t="n">
        <v>31</v>
      </c>
      <c r="BU475" s="8" t="n">
        <v>17</v>
      </c>
      <c r="BV475" s="11" t="n">
        <f>IF(COUNT(BC475,BF475)=2,BC475*BF475,"")</f>
        <v>0</v>
      </c>
      <c r="BW475" s="11" t="n">
        <f>IF(ISNUMBER(BN475),BN475,"")</f>
        <v>0.8729500662042875</v>
      </c>
      <c r="BX475" s="14" t="n">
        <f>IF(ISNUMBER(BR475),BR475,"")</f>
        <v>12</v>
      </c>
      <c r="BY475" s="13" t="n">
        <f>IF(AND(COUNT(BV475,BW475,BX475)=3,MIN(BV475,BW475,BX475)&gt;=0),BV475*BW475*BX475,"")</f>
        <v>0</v>
      </c>
      <c r="BZ475" s="11" t="n">
        <f>IF(ISNUMBER(BO475),BO475,"")</f>
        <v>0.8057375774163482</v>
      </c>
      <c r="CA475" s="14" t="n">
        <f>IF(ISNUMBER(BS475),BS475,"")</f>
        <v>30</v>
      </c>
      <c r="CB475" s="13" t="n">
        <f>IF(AND(COUNT(BV475,BZ475,CA475)=3,MIN(BV475,BZ475,CA475)&gt;=0),BV475*BZ475*CA475,"")</f>
        <v>0</v>
      </c>
      <c r="CC475" s="11" t="n">
        <f>IF(ISNUMBER(BP475),BP475,"")</f>
        <v>0.532550303142279</v>
      </c>
      <c r="CD475" s="14" t="n">
        <f>IF(ISNUMBER(BT475),BT475,"")</f>
        <v>31</v>
      </c>
      <c r="CE475" s="13" t="n">
        <f>IF(AND(COUNT(BV475,CC475,CD475)=3,MIN(BV475,CC475,CD475)&gt;=0),BV475*CC475*CD475,"")</f>
        <v>0</v>
      </c>
      <c r="CF475" s="11" t="n">
        <f>IF(ISNUMBER(BQ475),BQ475,"")</f>
        <v>0.7517299265337036</v>
      </c>
      <c r="CG475" s="14" t="n">
        <f>IF(ISNUMBER(BU475),BU475,"")</f>
        <v>17</v>
      </c>
      <c r="CH475" s="13" t="n">
        <f>IF(AND(COUNT(BV475,CF475,CG475)=3,MIN(BV475,CF475,CG475)&gt;=0),BV475*CF475*CG475,"")</f>
        <v>0</v>
      </c>
      <c r="CI475" s="13" t="n">
        <f>IF(COUNT(BY475,CB475,CE475,CH475)=4,SUM(BY475,CB475,CE475,CH475),"")</f>
        <v>0</v>
      </c>
    </row>
    <row r="476" ht="72" customHeight="1">
      <c r="A476" s="16" t="str">
        <v>1S01-BW-8</v>
      </c>
      <c r="B476" s="16" t="str">
        <v>3店-SANDIEX-US</v>
      </c>
      <c r="C476" s="16" t="str">
        <v>徐新怡</v>
      </c>
      <c r="D476" s="26" t="n">
        <f>IF(NOT(ISNUMBER(E476)),"",IF(OR(E476&lt;=0,L476=0),0,IF(OR(NOT(ISNUMBER(F476)),F476&lt;0),"",MIN(E476,INT(F476)))))</f>
        <v>0</v>
      </c>
      <c r="E476" s="27" t="n">
        <f>IF(OR(NOT(ISNUMBER(L476)),COUNT(M476:O476)&lt;&gt;3,MIN(M476:O476)&lt;0),"",ROUNDUP(ROUND(BI476-SUM(M476:O476),10),0))</f>
        <v>0</v>
      </c>
      <c r="F476" s="28" t="n">
        <v>0</v>
      </c>
      <c r="G476" s="28" t="n">
        <f>IF(AND(ISNUMBER(D476),ISNUMBER(E476)),IF(OR(E476&lt;=0,L476=0),0,E476-D476),"")</f>
        <v>0</v>
      </c>
      <c r="H476" s="16" t="str">
        <f>IF(NOT(ISNUMBER(E476)),"销量或海外库存待补",IF(OR(E476&lt;=0,L476=0),IF(L476=0,"零日销，本批不发","本批无需补货"),IF(NOT(ISNUMBER(D476)),"国内库存待补",IF(D476=0,"国内无可用库存",IF(G476&gt;0,"先发国内现货","按建议量发货")))))</f>
        <v>零日销，本批不发</v>
      </c>
      <c r="I476" s="28" t="n">
        <f>IF(AND(COUNT(Z476,AA476,AB476)=3,Z476&gt;=AA476,AA476&gt;=0,AB476=7),Z476-AA476,"")</f>
        <v>0</v>
      </c>
      <c r="J476" s="28" t="n">
        <f>IF(AND(COUNT(AF476,AG476,AH476)=3,AF476&gt;=AG476,AG476&gt;=0,AH476=14),AF476-AG476,"")</f>
        <v>0</v>
      </c>
      <c r="K476" s="28" t="n">
        <f>IF(AND(COUNT(AL476,AM476,AN476)=3,AL476&gt;=AM476,AM476&gt;=0,AN476=30),AL476-AM476,"")</f>
        <v>0</v>
      </c>
      <c r="L476" s="29" t="n">
        <f>IF(ISNUMBER(BI476),BI476/90,"")</f>
        <v>0</v>
      </c>
      <c r="M476" s="28" t="n">
        <v>0</v>
      </c>
      <c r="N476" s="28" t="n">
        <v>0</v>
      </c>
      <c r="O476" s="28" t="n">
        <v>0</v>
      </c>
      <c r="P476" s="30" t="str">
        <f>IF(AND(ISNUMBER(L476),L476&gt;0,COUNT(M476:O476)=3,MIN(M476:O476)&gt;=0),SUM(M476:O476)/L476,"")</f>
      </c>
      <c r="Q476" s="16" t="str">
        <v>沿用原计划SKU店铺</v>
      </c>
      <c r="R476" s="16" t="str">
        <v>已匹配</v>
      </c>
      <c r="S476" s="16" t="str">
        <v>停售</v>
      </c>
      <c r="T476" s="16" t="str">
        <v>1S01</v>
      </c>
      <c r="U476" s="16" t="str">
        <v>深棕色</v>
      </c>
      <c r="V476" s="16" t="n">
        <v>8</v>
      </c>
      <c r="W476" s="8" t="str">
        <v>2026-10-08 至 2026-10-17</v>
      </c>
      <c r="X476" s="8" t="str">
        <v>2026-10-08、2026-10-09、2026-10-10、2026-10-11、2026-10-14、2026-10-15、2026-10-17</v>
      </c>
      <c r="Y476" s="8" t="str">
        <v>2026-10-12 有记录的停售日；2026-10-13 有记录的停售日；2026-10-16 有记录的停售日</v>
      </c>
      <c r="Z476" s="8" t="n">
        <v>0</v>
      </c>
      <c r="AA476" s="8" t="n">
        <v>0</v>
      </c>
      <c r="AB476" s="8" t="n">
        <v>7</v>
      </c>
      <c r="AC476" s="8" t="str">
        <v>2026-09-29 至 2026-10-17</v>
      </c>
      <c r="AD476" s="8" t="str">
        <v>2026-09-29、2026-09-30、2026-10-01、2026-10-02、2026-10-03、2026-10-04、2026-10-05、2026-10-08、2026-10-09、2026-10-10、2026-10-11、2026-10-14、2026-10-15、2026-10-17</v>
      </c>
      <c r="AE476" s="8" t="str">
        <v>2026-10-06 大促；2026-10-07 大促；2026-10-12 有记录的停售日；2026-10-13 有记录的停售日；2026-10-16 有记录的停售日</v>
      </c>
      <c r="AF476" s="8" t="n">
        <v>0</v>
      </c>
      <c r="AG476" s="8" t="n">
        <v>0</v>
      </c>
      <c r="AH476" s="8" t="n">
        <v>14</v>
      </c>
      <c r="AI476" s="8" t="str">
        <v>2026-09-13 至 2026-10-17</v>
      </c>
      <c r="AJ47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6" s="8" t="str">
        <v>2026-10-06 大促；2026-10-07 大促；2026-10-12 有记录的停售日；2026-10-13 有记录的停售日；2026-10-16 有记录的停售日</v>
      </c>
      <c r="AL476" s="8" t="n">
        <v>0</v>
      </c>
      <c r="AM476" s="8" t="n">
        <v>0</v>
      </c>
      <c r="AN476" s="8" t="n">
        <v>30</v>
      </c>
      <c r="AO476" s="8" t="str">
        <v>1S01 / 深棕色PU / 6574</v>
      </c>
      <c r="AP476" s="11" t="n">
        <v>0.8729500662042875</v>
      </c>
      <c r="AQ476" s="11" t="n">
        <v>0.9355747145678367</v>
      </c>
      <c r="AR476" s="11" t="n">
        <v>1.135973589331194</v>
      </c>
      <c r="AS476" s="11" t="n">
        <f>IF(AND(COUNT(I476:K476,AP476:AR476)=6,MIN(AP476:AR476)&gt;0),I476/7/AP476*0.5+J476/14/AQ476*0.3+K476/30/AR476*0.2,"")</f>
        <v>0</v>
      </c>
      <c r="AT476" s="8" t="n">
        <v>0</v>
      </c>
      <c r="AU476" s="8" t="n">
        <v>0</v>
      </c>
      <c r="AV476" s="8" t="n">
        <v>85</v>
      </c>
      <c r="AW476" s="11" t="n">
        <f>IF(AND(COUNT(AT476:AV476)=3,AT476&gt;=AU476,AU476&gt;=0,AV476&gt;0),(AT476-AU476)/AV476,"")</f>
        <v>0</v>
      </c>
      <c r="AX476" s="8" t="n">
        <v>1</v>
      </c>
      <c r="AY476" s="8" t="n">
        <v>0</v>
      </c>
      <c r="AZ476" s="8" t="n">
        <v>175</v>
      </c>
      <c r="BA476" s="11" t="n">
        <f>IF(AND(COUNT(AX476:AZ476)=3,AX476&gt;=AY476,AY476&gt;=0,AZ476&gt;0),(AX476-AY476)/AZ476,"")</f>
        <v>0.005714285714285714</v>
      </c>
      <c r="BB476" s="8" t="n">
        <f>IF(COUNT(AS476,AW476,BA476)=3,1,0)</f>
        <v>1</v>
      </c>
      <c r="BC476" s="11" t="n">
        <f>IF(SUMIF($AO$11:$AO$1309,AO476,$BB$11:$BB$1309)=COUNTIF($AO$11:$AO$1309,AO476),SUMIF($AO$11:$AO$1309,AO476,$AS$11:$AS$1309),"")</f>
        <v>0</v>
      </c>
      <c r="BD476" s="11" t="n">
        <f>IF(SUMIF($AO$11:$AO$1309,AO476,$BB$11:$BB$1309)=COUNTIF($AO$11:$AO$1309,AO476),SUMIF($AO$11:$AO$1309,AO476,$AW$11:$AW$1309),"")</f>
        <v>0.03529411764705882</v>
      </c>
      <c r="BE476" s="11" t="n">
        <f>IF(SUMIF($AO$11:$AO$1309,AO476,$BB$11:$BB$1309)=COUNTIF($AO$11:$AO$1309,AO476),SUMIF($AO$11:$AO$1309,AO476,$BA$11:$BA$1309),"")</f>
        <v>0.1142857142857143</v>
      </c>
      <c r="BF476" s="12" t="n">
        <f>IF(COUNT(BD476:BE476)&lt;&gt;2,"",IF(AND(BD476&gt;0,BE476&gt;0),0.7*AW476/BD476+0.3*BA476/BE476,IF(BD476&gt;0,AW476/BD476,IF(BE476&gt;0,BA476/BE476,IF(AND(ISNUMBER(BH476),BH476=0),0,"")))))</f>
        <v>0.014999999999999998</v>
      </c>
      <c r="BG476" s="11" t="n">
        <f>IF(AND(COUNT(BN476:BU476)=8,MIN(BN476:BU476)&gt;=0),SUMPRODUCT(BN476:BQ476,BR476:BU476),"")</f>
        <v>63.935996265425516</v>
      </c>
      <c r="BH476" s="11" t="n">
        <f>IF(COUNT(BC476,BG476)=2,BC476*BG476,"")</f>
        <v>0</v>
      </c>
      <c r="BI476" s="11" t="n">
        <f>IF(ISNUMBER(CI476),CI476,"")</f>
        <v>0</v>
      </c>
      <c r="BJ476" s="8" t="str">
        <v>近180天本色销量20双（＜90），无有效新采购，请运营判断</v>
      </c>
      <c r="BK476" s="8" t="str">
        <v>90天：2026-07-20 至 2026-10-17；180天：2026-04-21 至 2026-10-17</v>
      </c>
      <c r="BL476" s="8" t="str">
        <v>90天：2026-10-06、2026-10-07、2026-10-12、2026-10-13、2026-10-16；180天：2026-10-06、2026-10-07、2026-10-12、2026-10-13、2026-10-16</v>
      </c>
      <c r="BM476" s="8" t="str">
        <v>2026-10：12天 × 0.8729500662042875；2026-11：30天 × 0.8057375774163482；2026-12：31天 × 0.532550303142279；2027-01：17天 × 0.7517299265337036</v>
      </c>
      <c r="BN476" s="11" t="n">
        <v>0.8729500662042875</v>
      </c>
      <c r="BO476" s="11" t="n">
        <v>0.8057375774163482</v>
      </c>
      <c r="BP476" s="11" t="n">
        <v>0.532550303142279</v>
      </c>
      <c r="BQ476" s="11" t="n">
        <v>0.7517299265337036</v>
      </c>
      <c r="BR476" s="8" t="n">
        <v>12</v>
      </c>
      <c r="BS476" s="8" t="n">
        <v>30</v>
      </c>
      <c r="BT476" s="8" t="n">
        <v>31</v>
      </c>
      <c r="BU476" s="8" t="n">
        <v>17</v>
      </c>
      <c r="BV476" s="11" t="n">
        <f>IF(COUNT(BC476,BF476)=2,BC476*BF476,"")</f>
        <v>0</v>
      </c>
      <c r="BW476" s="11" t="n">
        <f>IF(ISNUMBER(BN476),BN476,"")</f>
        <v>0.8729500662042875</v>
      </c>
      <c r="BX476" s="14" t="n">
        <f>IF(ISNUMBER(BR476),BR476,"")</f>
        <v>12</v>
      </c>
      <c r="BY476" s="13" t="n">
        <f>IF(AND(COUNT(BV476,BW476,BX476)=3,MIN(BV476,BW476,BX476)&gt;=0),BV476*BW476*BX476,"")</f>
        <v>0</v>
      </c>
      <c r="BZ476" s="11" t="n">
        <f>IF(ISNUMBER(BO476),BO476,"")</f>
        <v>0.8057375774163482</v>
      </c>
      <c r="CA476" s="14" t="n">
        <f>IF(ISNUMBER(BS476),BS476,"")</f>
        <v>30</v>
      </c>
      <c r="CB476" s="13" t="n">
        <f>IF(AND(COUNT(BV476,BZ476,CA476)=3,MIN(BV476,BZ476,CA476)&gt;=0),BV476*BZ476*CA476,"")</f>
        <v>0</v>
      </c>
      <c r="CC476" s="11" t="n">
        <f>IF(ISNUMBER(BP476),BP476,"")</f>
        <v>0.532550303142279</v>
      </c>
      <c r="CD476" s="14" t="n">
        <f>IF(ISNUMBER(BT476),BT476,"")</f>
        <v>31</v>
      </c>
      <c r="CE476" s="13" t="n">
        <f>IF(AND(COUNT(BV476,CC476,CD476)=3,MIN(BV476,CC476,CD476)&gt;=0),BV476*CC476*CD476,"")</f>
        <v>0</v>
      </c>
      <c r="CF476" s="11" t="n">
        <f>IF(ISNUMBER(BQ476),BQ476,"")</f>
        <v>0.7517299265337036</v>
      </c>
      <c r="CG476" s="14" t="n">
        <f>IF(ISNUMBER(BU476),BU476,"")</f>
        <v>17</v>
      </c>
      <c r="CH476" s="13" t="n">
        <f>IF(AND(COUNT(BV476,CF476,CG476)=3,MIN(BV476,CF476,CG476)&gt;=0),BV476*CF476*CG476,"")</f>
        <v>0</v>
      </c>
      <c r="CI476" s="13" t="n">
        <f>IF(COUNT(BY476,CB476,CE476,CH476)=4,SUM(BY476,CB476,CE476,CH476),"")</f>
        <v>0</v>
      </c>
    </row>
    <row r="477" ht="72" customHeight="1">
      <c r="A477" s="16" t="str">
        <v>1S01-BW-9</v>
      </c>
      <c r="B477" s="16" t="str">
        <v>3店-SANDIEX-US</v>
      </c>
      <c r="C477" s="16" t="str">
        <v>徐新怡</v>
      </c>
      <c r="D477" s="26" t="n">
        <f>IF(NOT(ISNUMBER(E477)),"",IF(OR(E477&lt;=0,L477=0),0,IF(OR(NOT(ISNUMBER(F477)),F477&lt;0),"",MIN(E477,INT(F477)))))</f>
        <v>0</v>
      </c>
      <c r="E477" s="27" t="n">
        <f>IF(OR(NOT(ISNUMBER(L477)),COUNT(M477:O477)&lt;&gt;3,MIN(M477:O477)&lt;0),"",ROUNDUP(ROUND(BI477-SUM(M477:O477),10),0))</f>
        <v>0</v>
      </c>
      <c r="F477" s="28" t="n">
        <v>0</v>
      </c>
      <c r="G477" s="28" t="n">
        <f>IF(AND(ISNUMBER(D477),ISNUMBER(E477)),IF(OR(E477&lt;=0,L477=0),0,E477-D477),"")</f>
        <v>0</v>
      </c>
      <c r="H477" s="16" t="str">
        <f>IF(NOT(ISNUMBER(E477)),"销量或海外库存待补",IF(OR(E477&lt;=0,L477=0),IF(L477=0,"零日销，本批不发","本批无需补货"),IF(NOT(ISNUMBER(D477)),"国内库存待补",IF(D477=0,"国内无可用库存",IF(G477&gt;0,"先发国内现货","按建议量发货")))))</f>
        <v>零日销，本批不发</v>
      </c>
      <c r="I477" s="28" t="n">
        <f>IF(AND(COUNT(Z477,AA477,AB477)=3,Z477&gt;=AA477,AA477&gt;=0,AB477=7),Z477-AA477,"")</f>
        <v>0</v>
      </c>
      <c r="J477" s="28" t="n">
        <f>IF(AND(COUNT(AF477,AG477,AH477)=3,AF477&gt;=AG477,AG477&gt;=0,AH477=14),AF477-AG477,"")</f>
        <v>0</v>
      </c>
      <c r="K477" s="28" t="n">
        <f>IF(AND(COUNT(AL477,AM477,AN477)=3,AL477&gt;=AM477,AM477&gt;=0,AN477=30),AL477-AM477,"")</f>
        <v>0</v>
      </c>
      <c r="L477" s="29" t="n">
        <f>IF(ISNUMBER(BI477),BI477/90,"")</f>
        <v>0</v>
      </c>
      <c r="M477" s="28" t="n">
        <v>0</v>
      </c>
      <c r="N477" s="28" t="n">
        <v>0</v>
      </c>
      <c r="O477" s="28" t="n">
        <v>0</v>
      </c>
      <c r="P477" s="30" t="str">
        <f>IF(AND(ISNUMBER(L477),L477&gt;0,COUNT(M477:O477)=3,MIN(M477:O477)&gt;=0),SUM(M477:O477)/L477,"")</f>
      </c>
      <c r="Q477" s="16" t="str">
        <v>沿用原计划SKU店铺</v>
      </c>
      <c r="R477" s="16" t="str">
        <v>已匹配</v>
      </c>
      <c r="S477" s="16" t="str">
        <v>停售</v>
      </c>
      <c r="T477" s="16" t="str">
        <v>1S01</v>
      </c>
      <c r="U477" s="16" t="str">
        <v>深棕色</v>
      </c>
      <c r="V477" s="16" t="n">
        <v>9</v>
      </c>
      <c r="W477" s="8" t="str">
        <v>2026-10-08 至 2026-10-17</v>
      </c>
      <c r="X477" s="8" t="str">
        <v>2026-10-08、2026-10-09、2026-10-10、2026-10-11、2026-10-14、2026-10-15、2026-10-17</v>
      </c>
      <c r="Y477" s="8" t="str">
        <v>2026-10-12 有记录的停售日；2026-10-13 有记录的停售日；2026-10-16 有记录的停售日</v>
      </c>
      <c r="Z477" s="8" t="n">
        <v>0</v>
      </c>
      <c r="AA477" s="8" t="n">
        <v>0</v>
      </c>
      <c r="AB477" s="8" t="n">
        <v>7</v>
      </c>
      <c r="AC477" s="8" t="str">
        <v>2026-09-29 至 2026-10-17</v>
      </c>
      <c r="AD477" s="8" t="str">
        <v>2026-09-29、2026-09-30、2026-10-01、2026-10-02、2026-10-03、2026-10-04、2026-10-05、2026-10-08、2026-10-09、2026-10-10、2026-10-11、2026-10-14、2026-10-15、2026-10-17</v>
      </c>
      <c r="AE477" s="8" t="str">
        <v>2026-10-06 大促；2026-10-07 大促；2026-10-12 有记录的停售日；2026-10-13 有记录的停售日；2026-10-16 有记录的停售日</v>
      </c>
      <c r="AF477" s="8" t="n">
        <v>0</v>
      </c>
      <c r="AG477" s="8" t="n">
        <v>0</v>
      </c>
      <c r="AH477" s="8" t="n">
        <v>14</v>
      </c>
      <c r="AI477" s="8" t="str">
        <v>2026-09-13 至 2026-10-17</v>
      </c>
      <c r="AJ47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7" s="8" t="str">
        <v>2026-10-06 大促；2026-10-07 大促；2026-10-12 有记录的停售日；2026-10-13 有记录的停售日；2026-10-16 有记录的停售日</v>
      </c>
      <c r="AL477" s="8" t="n">
        <v>0</v>
      </c>
      <c r="AM477" s="8" t="n">
        <v>0</v>
      </c>
      <c r="AN477" s="8" t="n">
        <v>30</v>
      </c>
      <c r="AO477" s="8" t="str">
        <v>1S01 / 深棕色PU / 6574</v>
      </c>
      <c r="AP477" s="11" t="n">
        <v>0.8729500662042875</v>
      </c>
      <c r="AQ477" s="11" t="n">
        <v>0.9355747145678367</v>
      </c>
      <c r="AR477" s="11" t="n">
        <v>1.135973589331194</v>
      </c>
      <c r="AS477" s="11" t="n">
        <f>IF(AND(COUNT(I477:K477,AP477:AR477)=6,MIN(AP477:AR477)&gt;0),I477/7/AP477*0.5+J477/14/AQ477*0.3+K477/30/AR477*0.2,"")</f>
        <v>0</v>
      </c>
      <c r="AT477" s="8" t="n">
        <v>0</v>
      </c>
      <c r="AU477" s="8" t="n">
        <v>0</v>
      </c>
      <c r="AV477" s="8" t="n">
        <v>85</v>
      </c>
      <c r="AW477" s="11" t="n">
        <f>IF(AND(COUNT(AT477:AV477)=3,AT477&gt;=AU477,AU477&gt;=0,AV477&gt;0),(AT477-AU477)/AV477,"")</f>
        <v>0</v>
      </c>
      <c r="AX477" s="8" t="n">
        <v>6</v>
      </c>
      <c r="AY477" s="8" t="n">
        <v>0</v>
      </c>
      <c r="AZ477" s="8" t="n">
        <v>175</v>
      </c>
      <c r="BA477" s="11" t="n">
        <f>IF(AND(COUNT(AX477:AZ477)=3,AX477&gt;=AY477,AY477&gt;=0,AZ477&gt;0),(AX477-AY477)/AZ477,"")</f>
        <v>0.03428571428571429</v>
      </c>
      <c r="BB477" s="8" t="n">
        <f>IF(COUNT(AS477,AW477,BA477)=3,1,0)</f>
        <v>1</v>
      </c>
      <c r="BC477" s="11" t="n">
        <f>IF(SUMIF($AO$11:$AO$1309,AO477,$BB$11:$BB$1309)=COUNTIF($AO$11:$AO$1309,AO477),SUMIF($AO$11:$AO$1309,AO477,$AS$11:$AS$1309),"")</f>
        <v>0</v>
      </c>
      <c r="BD477" s="11" t="n">
        <f>IF(SUMIF($AO$11:$AO$1309,AO477,$BB$11:$BB$1309)=COUNTIF($AO$11:$AO$1309,AO477),SUMIF($AO$11:$AO$1309,AO477,$AW$11:$AW$1309),"")</f>
        <v>0.03529411764705882</v>
      </c>
      <c r="BE477" s="11" t="n">
        <f>IF(SUMIF($AO$11:$AO$1309,AO477,$BB$11:$BB$1309)=COUNTIF($AO$11:$AO$1309,AO477),SUMIF($AO$11:$AO$1309,AO477,$BA$11:$BA$1309),"")</f>
        <v>0.1142857142857143</v>
      </c>
      <c r="BF477" s="12" t="n">
        <f>IF(COUNT(BD477:BE477)&lt;&gt;2,"",IF(AND(BD477&gt;0,BE477&gt;0),0.7*AW477/BD477+0.3*BA477/BE477,IF(BD477&gt;0,AW477/BD477,IF(BE477&gt;0,BA477/BE477,IF(AND(ISNUMBER(BH477),BH477=0),0,"")))))</f>
        <v>0.08999999999999998</v>
      </c>
      <c r="BG477" s="11" t="n">
        <f>IF(AND(COUNT(BN477:BU477)=8,MIN(BN477:BU477)&gt;=0),SUMPRODUCT(BN477:BQ477,BR477:BU477),"")</f>
        <v>63.935996265425516</v>
      </c>
      <c r="BH477" s="11" t="n">
        <f>IF(COUNT(BC477,BG477)=2,BC477*BG477,"")</f>
        <v>0</v>
      </c>
      <c r="BI477" s="11" t="n">
        <f>IF(ISNUMBER(CI477),CI477,"")</f>
        <v>0</v>
      </c>
      <c r="BJ477" s="8" t="str">
        <v>近180天本色销量20双（＜90），无有效新采购，请运营判断</v>
      </c>
      <c r="BK477" s="8" t="str">
        <v>90天：2026-07-20 至 2026-10-17；180天：2026-04-21 至 2026-10-17</v>
      </c>
      <c r="BL477" s="8" t="str">
        <v>90天：2026-10-06、2026-10-07、2026-10-12、2026-10-13、2026-10-16；180天：2026-10-06、2026-10-07、2026-10-12、2026-10-13、2026-10-16</v>
      </c>
      <c r="BM477" s="8" t="str">
        <v>2026-10：12天 × 0.8729500662042875；2026-11：30天 × 0.8057375774163482；2026-12：31天 × 0.532550303142279；2027-01：17天 × 0.7517299265337036</v>
      </c>
      <c r="BN477" s="11" t="n">
        <v>0.8729500662042875</v>
      </c>
      <c r="BO477" s="11" t="n">
        <v>0.8057375774163482</v>
      </c>
      <c r="BP477" s="11" t="n">
        <v>0.532550303142279</v>
      </c>
      <c r="BQ477" s="11" t="n">
        <v>0.7517299265337036</v>
      </c>
      <c r="BR477" s="8" t="n">
        <v>12</v>
      </c>
      <c r="BS477" s="8" t="n">
        <v>30</v>
      </c>
      <c r="BT477" s="8" t="n">
        <v>31</v>
      </c>
      <c r="BU477" s="8" t="n">
        <v>17</v>
      </c>
      <c r="BV477" s="11" t="n">
        <f>IF(COUNT(BC477,BF477)=2,BC477*BF477,"")</f>
        <v>0</v>
      </c>
      <c r="BW477" s="11" t="n">
        <f>IF(ISNUMBER(BN477),BN477,"")</f>
        <v>0.8729500662042875</v>
      </c>
      <c r="BX477" s="14" t="n">
        <f>IF(ISNUMBER(BR477),BR477,"")</f>
        <v>12</v>
      </c>
      <c r="BY477" s="13" t="n">
        <f>IF(AND(COUNT(BV477,BW477,BX477)=3,MIN(BV477,BW477,BX477)&gt;=0),BV477*BW477*BX477,"")</f>
        <v>0</v>
      </c>
      <c r="BZ477" s="11" t="n">
        <f>IF(ISNUMBER(BO477),BO477,"")</f>
        <v>0.8057375774163482</v>
      </c>
      <c r="CA477" s="14" t="n">
        <f>IF(ISNUMBER(BS477),BS477,"")</f>
        <v>30</v>
      </c>
      <c r="CB477" s="13" t="n">
        <f>IF(AND(COUNT(BV477,BZ477,CA477)=3,MIN(BV477,BZ477,CA477)&gt;=0),BV477*BZ477*CA477,"")</f>
        <v>0</v>
      </c>
      <c r="CC477" s="11" t="n">
        <f>IF(ISNUMBER(BP477),BP477,"")</f>
        <v>0.532550303142279</v>
      </c>
      <c r="CD477" s="14" t="n">
        <f>IF(ISNUMBER(BT477),BT477,"")</f>
        <v>31</v>
      </c>
      <c r="CE477" s="13" t="n">
        <f>IF(AND(COUNT(BV477,CC477,CD477)=3,MIN(BV477,CC477,CD477)&gt;=0),BV477*CC477*CD477,"")</f>
        <v>0</v>
      </c>
      <c r="CF477" s="11" t="n">
        <f>IF(ISNUMBER(BQ477),BQ477,"")</f>
        <v>0.7517299265337036</v>
      </c>
      <c r="CG477" s="14" t="n">
        <f>IF(ISNUMBER(BU477),BU477,"")</f>
        <v>17</v>
      </c>
      <c r="CH477" s="13" t="n">
        <f>IF(AND(COUNT(BV477,CF477,CG477)=3,MIN(BV477,CF477,CG477)&gt;=0),BV477*CF477*CG477,"")</f>
        <v>0</v>
      </c>
      <c r="CI477" s="13" t="n">
        <f>IF(COUNT(BY477,CB477,CE477,CH477)=4,SUM(BY477,CB477,CE477,CH477),"")</f>
        <v>0</v>
      </c>
    </row>
    <row r="478" ht="72" customHeight="1">
      <c r="A478" s="16" t="str">
        <v>1S01-DB-37</v>
      </c>
      <c r="B478" s="16" t="str">
        <v>3店-SANDIEX-US</v>
      </c>
      <c r="C478" s="16" t="str">
        <v>徐新怡</v>
      </c>
      <c r="D478" s="26" t="n">
        <f>IF(NOT(ISNUMBER(E478)),"",IF(OR(E478&lt;=0,L478=0),0,IF(OR(NOT(ISNUMBER(F478)),F478&lt;0),"",MIN(E478,INT(F478)))))</f>
        <v>0</v>
      </c>
      <c r="E478" s="27" t="n">
        <f>IF(OR(NOT(ISNUMBER(L478)),COUNT(M478:O478)&lt;&gt;3,MIN(M478:O478)&lt;0),"",ROUNDUP(ROUND(BI478-SUM(M478:O478),10),0))</f>
        <v>0</v>
      </c>
      <c r="F478" s="28"/>
      <c r="G478" s="28" t="n">
        <f>IF(AND(ISNUMBER(D478),ISNUMBER(E478)),IF(OR(E478&lt;=0,L478=0),0,E478-D478),"")</f>
        <v>0</v>
      </c>
      <c r="H478" s="16" t="str">
        <f>IF(NOT(ISNUMBER(E478)),"销量或海外库存待补",IF(OR(E478&lt;=0,L478=0),IF(L478=0,"零日销，本批不发","本批无需补货"),IF(NOT(ISNUMBER(D478)),"国内库存待补",IF(D478=0,"国内无可用库存",IF(G478&gt;0,"先发国内现货","按建议量发货")))))</f>
        <v>零日销，本批不发</v>
      </c>
      <c r="I478" s="28" t="n">
        <f>IF(AND(COUNT(Z478,AA478,AB478)=3,Z478&gt;=AA478,AA478&gt;=0,AB478=7),Z478-AA478,"")</f>
        <v>0</v>
      </c>
      <c r="J478" s="28" t="n">
        <f>IF(AND(COUNT(AF478,AG478,AH478)=3,AF478&gt;=AG478,AG478&gt;=0,AH478=14),AF478-AG478,"")</f>
        <v>0</v>
      </c>
      <c r="K478" s="28" t="n">
        <f>IF(AND(COUNT(AL478,AM478,AN478)=3,AL478&gt;=AM478,AM478&gt;=0,AN478=30),AL478-AM478,"")</f>
        <v>0</v>
      </c>
      <c r="L478" s="29" t="n">
        <f>IF(ISNUMBER(BI478),BI478/90,"")</f>
        <v>0</v>
      </c>
      <c r="M478" s="28" t="n">
        <v>0</v>
      </c>
      <c r="N478" s="28" t="n">
        <v>0</v>
      </c>
      <c r="O478" s="28" t="n">
        <v>0</v>
      </c>
      <c r="P478" s="30" t="str">
        <f>IF(AND(ISNUMBER(L478),L478&gt;0,COUNT(M478:O478)=3,MIN(M478:O478)&gt;=0),SUM(M478:O478)/L478,"")</f>
      </c>
      <c r="Q478" s="16" t="str">
        <v>沿用原计划SKU店铺</v>
      </c>
      <c r="R478" s="16" t="str">
        <v>未匹配</v>
      </c>
      <c r="S478" s="16" t="str">
        <v>停售</v>
      </c>
      <c r="T478" s="16" t="str">
        <v>1S01</v>
      </c>
      <c r="U478" s="16" t="str">
        <v>深米色</v>
      </c>
      <c r="V478" s="16" t="n">
        <v>6</v>
      </c>
      <c r="W478" s="8" t="str">
        <v>2026-10-08 至 2026-10-17</v>
      </c>
      <c r="X478" s="8" t="str">
        <v>2026-10-08、2026-10-09、2026-10-10、2026-10-11、2026-10-14、2026-10-15、2026-10-17</v>
      </c>
      <c r="Y478" s="8" t="str">
        <v>2026-10-12 有记录的停售日；2026-10-13 有记录的停售日；2026-10-16 有记录的停售日</v>
      </c>
      <c r="Z478" s="8" t="n">
        <v>0</v>
      </c>
      <c r="AA478" s="8" t="n">
        <v>0</v>
      </c>
      <c r="AB478" s="8" t="n">
        <v>7</v>
      </c>
      <c r="AC478" s="8" t="str">
        <v>2026-09-29 至 2026-10-17</v>
      </c>
      <c r="AD478" s="8" t="str">
        <v>2026-09-29、2026-09-30、2026-10-01、2026-10-02、2026-10-03、2026-10-04、2026-10-05、2026-10-08、2026-10-09、2026-10-10、2026-10-11、2026-10-14、2026-10-15、2026-10-17</v>
      </c>
      <c r="AE478" s="8" t="str">
        <v>2026-10-06 大促；2026-10-07 大促；2026-10-12 有记录的停售日；2026-10-13 有记录的停售日；2026-10-16 有记录的停售日</v>
      </c>
      <c r="AF478" s="8" t="n">
        <v>0</v>
      </c>
      <c r="AG478" s="8" t="n">
        <v>0</v>
      </c>
      <c r="AH478" s="8" t="n">
        <v>14</v>
      </c>
      <c r="AI478" s="8" t="str">
        <v>2026-09-13 至 2026-10-17</v>
      </c>
      <c r="AJ47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8" s="8" t="str">
        <v>2026-10-06 大促；2026-10-07 大促；2026-10-12 有记录的停售日；2026-10-13 有记录的停售日；2026-10-16 有记录的停售日</v>
      </c>
      <c r="AL478" s="8" t="n">
        <v>0</v>
      </c>
      <c r="AM478" s="8" t="n">
        <v>0</v>
      </c>
      <c r="AN478" s="8" t="n">
        <v>30</v>
      </c>
      <c r="AO478" s="8" t="str">
        <v>1S01 / 深米色PU / 6574</v>
      </c>
      <c r="AP478" s="11" t="n">
        <v>0.8729500662042875</v>
      </c>
      <c r="AQ478" s="11" t="n">
        <v>0.9355747145678367</v>
      </c>
      <c r="AR478" s="11" t="n">
        <v>1.135973589331194</v>
      </c>
      <c r="AS478" s="11" t="n">
        <f>IF(AND(COUNT(I478:K478,AP478:AR478)=6,MIN(AP478:AR478)&gt;0),I478/7/AP478*0.5+J478/14/AQ478*0.3+K478/30/AR478*0.2,"")</f>
        <v>0</v>
      </c>
      <c r="AT478" s="8" t="n">
        <v>0</v>
      </c>
      <c r="AU478" s="8" t="n">
        <v>0</v>
      </c>
      <c r="AV478" s="8" t="n">
        <v>85</v>
      </c>
      <c r="AW478" s="11" t="n">
        <f>IF(AND(COUNT(AT478:AV478)=3,AT478&gt;=AU478,AU478&gt;=0,AV478&gt;0),(AT478-AU478)/AV478,"")</f>
        <v>0</v>
      </c>
      <c r="AX478" s="8" t="n">
        <v>0</v>
      </c>
      <c r="AY478" s="8" t="n">
        <v>0</v>
      </c>
      <c r="AZ478" s="8" t="n">
        <v>175</v>
      </c>
      <c r="BA478" s="11" t="n">
        <f>IF(AND(COUNT(AX478:AZ478)=3,AX478&gt;=AY478,AY478&gt;=0,AZ478&gt;0),(AX478-AY478)/AZ478,"")</f>
        <v>0</v>
      </c>
      <c r="BB478" s="8" t="n">
        <f>IF(COUNT(AS478,AW478,BA478)=3,1,0)</f>
        <v>1</v>
      </c>
      <c r="BC478" s="11" t="n">
        <f>IF(SUMIF($AO$11:$AO$1309,AO478,$BB$11:$BB$1309)=COUNTIF($AO$11:$AO$1309,AO478),SUMIF($AO$11:$AO$1309,AO478,$AS$11:$AS$1309),"")</f>
        <v>0</v>
      </c>
      <c r="BD478" s="11" t="n">
        <f>IF(SUMIF($AO$11:$AO$1309,AO478,$BB$11:$BB$1309)=COUNTIF($AO$11:$AO$1309,AO478),SUMIF($AO$11:$AO$1309,AO478,$AW$11:$AW$1309),"")</f>
        <v>0.047058823529411764</v>
      </c>
      <c r="BE478" s="11" t="n">
        <f>IF(SUMIF($AO$11:$AO$1309,AO478,$BB$11:$BB$1309)=COUNTIF($AO$11:$AO$1309,AO478),SUMIF($AO$11:$AO$1309,AO478,$BA$11:$BA$1309),"")</f>
        <v>0.17142857142857143</v>
      </c>
      <c r="BF478" s="12" t="n">
        <f>IF(COUNT(BD478:BE478)&lt;&gt;2,"",IF(AND(BD478&gt;0,BE478&gt;0),0.7*AW478/BD478+0.3*BA478/BE478,IF(BD478&gt;0,AW478/BD478,IF(BE478&gt;0,BA478/BE478,IF(AND(ISNUMBER(BH478),BH478=0),0,"")))))</f>
        <v>0</v>
      </c>
      <c r="BG478" s="11" t="n">
        <f>IF(AND(COUNT(BN478:BU478)=8,MIN(BN478:BU478)&gt;=0),SUMPRODUCT(BN478:BQ478,BR478:BU478),"")</f>
        <v>63.935996265425516</v>
      </c>
      <c r="BH478" s="11" t="n">
        <f>IF(COUNT(BC478,BG478)=2,BC478*BG478,"")</f>
        <v>0</v>
      </c>
      <c r="BI478" s="11" t="n">
        <f>IF(ISNUMBER(CI478),CI478,"")</f>
        <v>0</v>
      </c>
      <c r="BJ478" s="8" t="str">
        <v>近180天本色销量30双（＜90），无有效新采购，请运营判断</v>
      </c>
      <c r="BK478" s="8" t="str">
        <v>90天：2026-07-20 至 2026-10-17；180天：2026-04-21 至 2026-10-17</v>
      </c>
      <c r="BL478" s="8" t="str">
        <v>90天：2026-10-06、2026-10-07、2026-10-12、2026-10-13、2026-10-16；180天：2026-10-06、2026-10-07、2026-10-12、2026-10-13、2026-10-16</v>
      </c>
      <c r="BM478" s="8" t="str">
        <v>2026-10：12天 × 0.8729500662042875；2026-11：30天 × 0.8057375774163482；2026-12：31天 × 0.532550303142279；2027-01：17天 × 0.7517299265337036</v>
      </c>
      <c r="BN478" s="11" t="n">
        <v>0.8729500662042875</v>
      </c>
      <c r="BO478" s="11" t="n">
        <v>0.8057375774163482</v>
      </c>
      <c r="BP478" s="11" t="n">
        <v>0.532550303142279</v>
      </c>
      <c r="BQ478" s="11" t="n">
        <v>0.7517299265337036</v>
      </c>
      <c r="BR478" s="8" t="n">
        <v>12</v>
      </c>
      <c r="BS478" s="8" t="n">
        <v>30</v>
      </c>
      <c r="BT478" s="8" t="n">
        <v>31</v>
      </c>
      <c r="BU478" s="8" t="n">
        <v>17</v>
      </c>
      <c r="BV478" s="11" t="n">
        <f>IF(COUNT(BC478,BF478)=2,BC478*BF478,"")</f>
        <v>0</v>
      </c>
      <c r="BW478" s="11" t="n">
        <f>IF(ISNUMBER(BN478),BN478,"")</f>
        <v>0.8729500662042875</v>
      </c>
      <c r="BX478" s="14" t="n">
        <f>IF(ISNUMBER(BR478),BR478,"")</f>
        <v>12</v>
      </c>
      <c r="BY478" s="13" t="n">
        <f>IF(AND(COUNT(BV478,BW478,BX478)=3,MIN(BV478,BW478,BX478)&gt;=0),BV478*BW478*BX478,"")</f>
        <v>0</v>
      </c>
      <c r="BZ478" s="11" t="n">
        <f>IF(ISNUMBER(BO478),BO478,"")</f>
        <v>0.8057375774163482</v>
      </c>
      <c r="CA478" s="14" t="n">
        <f>IF(ISNUMBER(BS478),BS478,"")</f>
        <v>30</v>
      </c>
      <c r="CB478" s="13" t="n">
        <f>IF(AND(COUNT(BV478,BZ478,CA478)=3,MIN(BV478,BZ478,CA478)&gt;=0),BV478*BZ478*CA478,"")</f>
        <v>0</v>
      </c>
      <c r="CC478" s="11" t="n">
        <f>IF(ISNUMBER(BP478),BP478,"")</f>
        <v>0.532550303142279</v>
      </c>
      <c r="CD478" s="14" t="n">
        <f>IF(ISNUMBER(BT478),BT478,"")</f>
        <v>31</v>
      </c>
      <c r="CE478" s="13" t="n">
        <f>IF(AND(COUNT(BV478,CC478,CD478)=3,MIN(BV478,CC478,CD478)&gt;=0),BV478*CC478*CD478,"")</f>
        <v>0</v>
      </c>
      <c r="CF478" s="11" t="n">
        <f>IF(ISNUMBER(BQ478),BQ478,"")</f>
        <v>0.7517299265337036</v>
      </c>
      <c r="CG478" s="14" t="n">
        <f>IF(ISNUMBER(BU478),BU478,"")</f>
        <v>17</v>
      </c>
      <c r="CH478" s="13" t="n">
        <f>IF(AND(COUNT(BV478,CF478,CG478)=3,MIN(BV478,CF478,CG478)&gt;=0),BV478*CF478*CG478,"")</f>
        <v>0</v>
      </c>
      <c r="CI478" s="13" t="n">
        <f>IF(COUNT(BY478,CB478,CE478,CH478)=4,SUM(BY478,CB478,CE478,CH478),"")</f>
        <v>0</v>
      </c>
    </row>
    <row r="479" ht="72" customHeight="1">
      <c r="A479" s="16" t="str">
        <v>1S01-DB-37.5</v>
      </c>
      <c r="B479" s="16" t="str">
        <v>3店-SANDIEX-US</v>
      </c>
      <c r="C479" s="16" t="str">
        <v>徐新怡</v>
      </c>
      <c r="D479" s="26" t="n">
        <f>IF(NOT(ISNUMBER(E479)),"",IF(OR(E479&lt;=0,L479=0),0,IF(OR(NOT(ISNUMBER(F479)),F479&lt;0),"",MIN(E479,INT(F479)))))</f>
        <v>0</v>
      </c>
      <c r="E479" s="27" t="n">
        <f>IF(OR(NOT(ISNUMBER(L479)),COUNT(M479:O479)&lt;&gt;3,MIN(M479:O479)&lt;0),"",ROUNDUP(ROUND(BI479-SUM(M479:O479),10),0))</f>
        <v>0</v>
      </c>
      <c r="F479" s="28"/>
      <c r="G479" s="28" t="n">
        <f>IF(AND(ISNUMBER(D479),ISNUMBER(E479)),IF(OR(E479&lt;=0,L479=0),0,E479-D479),"")</f>
        <v>0</v>
      </c>
      <c r="H479" s="16" t="str">
        <f>IF(NOT(ISNUMBER(E479)),"销量或海外库存待补",IF(OR(E479&lt;=0,L479=0),IF(L479=0,"零日销，本批不发","本批无需补货"),IF(NOT(ISNUMBER(D479)),"国内库存待补",IF(D479=0,"国内无可用库存",IF(G479&gt;0,"先发国内现货","按建议量发货")))))</f>
        <v>零日销，本批不发</v>
      </c>
      <c r="I479" s="28" t="n">
        <f>IF(AND(COUNT(Z479,AA479,AB479)=3,Z479&gt;=AA479,AA479&gt;=0,AB479=7),Z479-AA479,"")</f>
        <v>0</v>
      </c>
      <c r="J479" s="28" t="n">
        <f>IF(AND(COUNT(AF479,AG479,AH479)=3,AF479&gt;=AG479,AG479&gt;=0,AH479=14),AF479-AG479,"")</f>
        <v>0</v>
      </c>
      <c r="K479" s="28" t="n">
        <f>IF(AND(COUNT(AL479,AM479,AN479)=3,AL479&gt;=AM479,AM479&gt;=0,AN479=30),AL479-AM479,"")</f>
        <v>0</v>
      </c>
      <c r="L479" s="29" t="n">
        <f>IF(ISNUMBER(BI479),BI479/90,"")</f>
        <v>0</v>
      </c>
      <c r="M479" s="28" t="n">
        <v>0</v>
      </c>
      <c r="N479" s="28" t="n">
        <v>0</v>
      </c>
      <c r="O479" s="28" t="n">
        <v>0</v>
      </c>
      <c r="P479" s="30" t="str">
        <f>IF(AND(ISNUMBER(L479),L479&gt;0,COUNT(M479:O479)=3,MIN(M479:O479)&gt;=0),SUM(M479:O479)/L479,"")</f>
      </c>
      <c r="Q479" s="16" t="str">
        <v>沿用同SPU原计划店铺</v>
      </c>
      <c r="R479" s="16" t="str">
        <v>未匹配</v>
      </c>
      <c r="S479" s="16" t="str">
        <v>停售</v>
      </c>
      <c r="T479" s="16" t="str">
        <v>1S01</v>
      </c>
      <c r="U479" s="16" t="str">
        <v>深米色</v>
      </c>
      <c r="V479" s="16" t="n">
        <v>6.5</v>
      </c>
      <c r="W479" s="8" t="str">
        <v>2026-10-08 至 2026-10-17</v>
      </c>
      <c r="X479" s="8" t="str">
        <v>2026-10-08、2026-10-09、2026-10-10、2026-10-11、2026-10-14、2026-10-15、2026-10-17</v>
      </c>
      <c r="Y479" s="8" t="str">
        <v>2026-10-12 有记录的停售日；2026-10-13 有记录的停售日；2026-10-16 有记录的停售日</v>
      </c>
      <c r="Z479" s="8" t="n">
        <v>0</v>
      </c>
      <c r="AA479" s="8" t="n">
        <v>0</v>
      </c>
      <c r="AB479" s="8" t="n">
        <v>7</v>
      </c>
      <c r="AC479" s="8" t="str">
        <v>2026-09-29 至 2026-10-17</v>
      </c>
      <c r="AD479" s="8" t="str">
        <v>2026-09-29、2026-09-30、2026-10-01、2026-10-02、2026-10-03、2026-10-04、2026-10-05、2026-10-08、2026-10-09、2026-10-10、2026-10-11、2026-10-14、2026-10-15、2026-10-17</v>
      </c>
      <c r="AE479" s="8" t="str">
        <v>2026-10-06 大促；2026-10-07 大促；2026-10-12 有记录的停售日；2026-10-13 有记录的停售日；2026-10-16 有记录的停售日</v>
      </c>
      <c r="AF479" s="8" t="n">
        <v>0</v>
      </c>
      <c r="AG479" s="8" t="n">
        <v>0</v>
      </c>
      <c r="AH479" s="8" t="n">
        <v>14</v>
      </c>
      <c r="AI479" s="8" t="str">
        <v>2026-09-13 至 2026-10-17</v>
      </c>
      <c r="AJ47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79" s="8" t="str">
        <v>2026-10-06 大促；2026-10-07 大促；2026-10-12 有记录的停售日；2026-10-13 有记录的停售日；2026-10-16 有记录的停售日</v>
      </c>
      <c r="AL479" s="8" t="n">
        <v>0</v>
      </c>
      <c r="AM479" s="8" t="n">
        <v>0</v>
      </c>
      <c r="AN479" s="8" t="n">
        <v>30</v>
      </c>
      <c r="AO479" s="8" t="str">
        <v>1S01 / 深米色PU / 6574</v>
      </c>
      <c r="AP479" s="11" t="n">
        <v>0.8729500662042875</v>
      </c>
      <c r="AQ479" s="11" t="n">
        <v>0.9355747145678367</v>
      </c>
      <c r="AR479" s="11" t="n">
        <v>1.135973589331194</v>
      </c>
      <c r="AS479" s="11" t="n">
        <f>IF(AND(COUNT(I479:K479,AP479:AR479)=6,MIN(AP479:AR479)&gt;0),I479/7/AP479*0.5+J479/14/AQ479*0.3+K479/30/AR479*0.2,"")</f>
        <v>0</v>
      </c>
      <c r="AT479" s="8" t="n">
        <v>0</v>
      </c>
      <c r="AU479" s="8" t="n">
        <v>0</v>
      </c>
      <c r="AV479" s="8" t="n">
        <v>85</v>
      </c>
      <c r="AW479" s="11" t="n">
        <f>IF(AND(COUNT(AT479:AV479)=3,AT479&gt;=AU479,AU479&gt;=0,AV479&gt;0),(AT479-AU479)/AV479,"")</f>
        <v>0</v>
      </c>
      <c r="AX479" s="8" t="n">
        <v>0</v>
      </c>
      <c r="AY479" s="8" t="n">
        <v>0</v>
      </c>
      <c r="AZ479" s="8" t="n">
        <v>175</v>
      </c>
      <c r="BA479" s="11" t="n">
        <f>IF(AND(COUNT(AX479:AZ479)=3,AX479&gt;=AY479,AY479&gt;=0,AZ479&gt;0),(AX479-AY479)/AZ479,"")</f>
        <v>0</v>
      </c>
      <c r="BB479" s="8" t="n">
        <f>IF(COUNT(AS479,AW479,BA479)=3,1,0)</f>
        <v>1</v>
      </c>
      <c r="BC479" s="11" t="n">
        <f>IF(SUMIF($AO$11:$AO$1309,AO479,$BB$11:$BB$1309)=COUNTIF($AO$11:$AO$1309,AO479),SUMIF($AO$11:$AO$1309,AO479,$AS$11:$AS$1309),"")</f>
        <v>0</v>
      </c>
      <c r="BD479" s="11" t="n">
        <f>IF(SUMIF($AO$11:$AO$1309,AO479,$BB$11:$BB$1309)=COUNTIF($AO$11:$AO$1309,AO479),SUMIF($AO$11:$AO$1309,AO479,$AW$11:$AW$1309),"")</f>
        <v>0.047058823529411764</v>
      </c>
      <c r="BE479" s="11" t="n">
        <f>IF(SUMIF($AO$11:$AO$1309,AO479,$BB$11:$BB$1309)=COUNTIF($AO$11:$AO$1309,AO479),SUMIF($AO$11:$AO$1309,AO479,$BA$11:$BA$1309),"")</f>
        <v>0.17142857142857143</v>
      </c>
      <c r="BF479" s="12" t="n">
        <f>IF(COUNT(BD479:BE479)&lt;&gt;2,"",IF(AND(BD479&gt;0,BE479&gt;0),0.7*AW479/BD479+0.3*BA479/BE479,IF(BD479&gt;0,AW479/BD479,IF(BE479&gt;0,BA479/BE479,IF(AND(ISNUMBER(BH479),BH479=0),0,"")))))</f>
        <v>0</v>
      </c>
      <c r="BG479" s="11" t="n">
        <f>IF(AND(COUNT(BN479:BU479)=8,MIN(BN479:BU479)&gt;=0),SUMPRODUCT(BN479:BQ479,BR479:BU479),"")</f>
        <v>63.935996265425516</v>
      </c>
      <c r="BH479" s="11" t="n">
        <f>IF(COUNT(BC479,BG479)=2,BC479*BG479,"")</f>
        <v>0</v>
      </c>
      <c r="BI479" s="11" t="n">
        <f>IF(ISNUMBER(CI479),CI479,"")</f>
        <v>0</v>
      </c>
      <c r="BJ479" s="8" t="str">
        <v>近180天本色销量30双（＜90），无有效新采购，请运营判断</v>
      </c>
      <c r="BK479" s="8" t="str">
        <v>90天：2026-07-20 至 2026-10-17；180天：2026-04-21 至 2026-10-17</v>
      </c>
      <c r="BL479" s="8" t="str">
        <v>90天：2026-10-06、2026-10-07、2026-10-12、2026-10-13、2026-10-16；180天：2026-10-06、2026-10-07、2026-10-12、2026-10-13、2026-10-16</v>
      </c>
      <c r="BM479" s="8" t="str">
        <v>2026-10：12天 × 0.8729500662042875；2026-11：30天 × 0.8057375774163482；2026-12：31天 × 0.532550303142279；2027-01：17天 × 0.7517299265337036</v>
      </c>
      <c r="BN479" s="11" t="n">
        <v>0.8729500662042875</v>
      </c>
      <c r="BO479" s="11" t="n">
        <v>0.8057375774163482</v>
      </c>
      <c r="BP479" s="11" t="n">
        <v>0.532550303142279</v>
      </c>
      <c r="BQ479" s="11" t="n">
        <v>0.7517299265337036</v>
      </c>
      <c r="BR479" s="8" t="n">
        <v>12</v>
      </c>
      <c r="BS479" s="8" t="n">
        <v>30</v>
      </c>
      <c r="BT479" s="8" t="n">
        <v>31</v>
      </c>
      <c r="BU479" s="8" t="n">
        <v>17</v>
      </c>
      <c r="BV479" s="11" t="n">
        <f>IF(COUNT(BC479,BF479)=2,BC479*BF479,"")</f>
        <v>0</v>
      </c>
      <c r="BW479" s="11" t="n">
        <f>IF(ISNUMBER(BN479),BN479,"")</f>
        <v>0.8729500662042875</v>
      </c>
      <c r="BX479" s="14" t="n">
        <f>IF(ISNUMBER(BR479),BR479,"")</f>
        <v>12</v>
      </c>
      <c r="BY479" s="13" t="n">
        <f>IF(AND(COUNT(BV479,BW479,BX479)=3,MIN(BV479,BW479,BX479)&gt;=0),BV479*BW479*BX479,"")</f>
        <v>0</v>
      </c>
      <c r="BZ479" s="11" t="n">
        <f>IF(ISNUMBER(BO479),BO479,"")</f>
        <v>0.8057375774163482</v>
      </c>
      <c r="CA479" s="14" t="n">
        <f>IF(ISNUMBER(BS479),BS479,"")</f>
        <v>30</v>
      </c>
      <c r="CB479" s="13" t="n">
        <f>IF(AND(COUNT(BV479,BZ479,CA479)=3,MIN(BV479,BZ479,CA479)&gt;=0),BV479*BZ479*CA479,"")</f>
        <v>0</v>
      </c>
      <c r="CC479" s="11" t="n">
        <f>IF(ISNUMBER(BP479),BP479,"")</f>
        <v>0.532550303142279</v>
      </c>
      <c r="CD479" s="14" t="n">
        <f>IF(ISNUMBER(BT479),BT479,"")</f>
        <v>31</v>
      </c>
      <c r="CE479" s="13" t="n">
        <f>IF(AND(COUNT(BV479,CC479,CD479)=3,MIN(BV479,CC479,CD479)&gt;=0),BV479*CC479*CD479,"")</f>
        <v>0</v>
      </c>
      <c r="CF479" s="11" t="n">
        <f>IF(ISNUMBER(BQ479),BQ479,"")</f>
        <v>0.7517299265337036</v>
      </c>
      <c r="CG479" s="14" t="n">
        <f>IF(ISNUMBER(BU479),BU479,"")</f>
        <v>17</v>
      </c>
      <c r="CH479" s="13" t="n">
        <f>IF(AND(COUNT(BV479,CF479,CG479)=3,MIN(BV479,CF479,CG479)&gt;=0),BV479*CF479*CG479,"")</f>
        <v>0</v>
      </c>
      <c r="CI479" s="13" t="n">
        <f>IF(COUNT(BY479,CB479,CE479,CH479)=4,SUM(BY479,CB479,CE479,CH479),"")</f>
        <v>0</v>
      </c>
    </row>
    <row r="480" ht="72" customHeight="1">
      <c r="A480" s="16" t="str">
        <v>1S01-DB-38</v>
      </c>
      <c r="B480" s="16" t="str">
        <v>3店-SANDIEX-US</v>
      </c>
      <c r="C480" s="16" t="str">
        <v>徐新怡</v>
      </c>
      <c r="D480" s="26" t="n">
        <f>IF(NOT(ISNUMBER(E480)),"",IF(OR(E480&lt;=0,L480=0),0,IF(OR(NOT(ISNUMBER(F480)),F480&lt;0),"",MIN(E480,INT(F480)))))</f>
        <v>0</v>
      </c>
      <c r="E480" s="27" t="n">
        <f>IF(OR(NOT(ISNUMBER(L480)),COUNT(M480:O480)&lt;&gt;3,MIN(M480:O480)&lt;0),"",ROUNDUP(ROUND(BI480-SUM(M480:O480),10),0))</f>
        <v>0</v>
      </c>
      <c r="F480" s="28" t="n">
        <v>0</v>
      </c>
      <c r="G480" s="28" t="n">
        <f>IF(AND(ISNUMBER(D480),ISNUMBER(E480)),IF(OR(E480&lt;=0,L480=0),0,E480-D480),"")</f>
        <v>0</v>
      </c>
      <c r="H480" s="16" t="str">
        <f>IF(NOT(ISNUMBER(E480)),"销量或海外库存待补",IF(OR(E480&lt;=0,L480=0),IF(L480=0,"零日销，本批不发","本批无需补货"),IF(NOT(ISNUMBER(D480)),"国内库存待补",IF(D480=0,"国内无可用库存",IF(G480&gt;0,"先发国内现货","按建议量发货")))))</f>
        <v>零日销，本批不发</v>
      </c>
      <c r="I480" s="28" t="n">
        <f>IF(AND(COUNT(Z480,AA480,AB480)=3,Z480&gt;=AA480,AA480&gt;=0,AB480=7),Z480-AA480,"")</f>
        <v>0</v>
      </c>
      <c r="J480" s="28" t="n">
        <f>IF(AND(COUNT(AF480,AG480,AH480)=3,AF480&gt;=AG480,AG480&gt;=0,AH480=14),AF480-AG480,"")</f>
        <v>0</v>
      </c>
      <c r="K480" s="28" t="n">
        <f>IF(AND(COUNT(AL480,AM480,AN480)=3,AL480&gt;=AM480,AM480&gt;=0,AN480=30),AL480-AM480,"")</f>
        <v>0</v>
      </c>
      <c r="L480" s="29" t="n">
        <f>IF(ISNUMBER(BI480),BI480/90,"")</f>
        <v>0</v>
      </c>
      <c r="M480" s="28" t="n">
        <v>0</v>
      </c>
      <c r="N480" s="28" t="n">
        <v>0</v>
      </c>
      <c r="O480" s="28" t="n">
        <v>0</v>
      </c>
      <c r="P480" s="30" t="str">
        <f>IF(AND(ISNUMBER(L480),L480&gt;0,COUNT(M480:O480)=3,MIN(M480:O480)&gt;=0),SUM(M480:O480)/L480,"")</f>
      </c>
      <c r="Q480" s="16" t="str">
        <v>沿用原计划SKU店铺</v>
      </c>
      <c r="R480" s="16" t="str">
        <v>已匹配</v>
      </c>
      <c r="S480" s="16" t="str">
        <v>停售</v>
      </c>
      <c r="T480" s="16" t="str">
        <v>1S01</v>
      </c>
      <c r="U480" s="16" t="str">
        <v>深米色</v>
      </c>
      <c r="V480" s="16" t="n">
        <v>7</v>
      </c>
      <c r="W480" s="8" t="str">
        <v>2026-10-08 至 2026-10-17</v>
      </c>
      <c r="X480" s="8" t="str">
        <v>2026-10-08、2026-10-09、2026-10-10、2026-10-11、2026-10-14、2026-10-15、2026-10-17</v>
      </c>
      <c r="Y480" s="8" t="str">
        <v>2026-10-12 有记录的停售日；2026-10-13 有记录的停售日；2026-10-16 有记录的停售日</v>
      </c>
      <c r="Z480" s="8" t="n">
        <v>0</v>
      </c>
      <c r="AA480" s="8" t="n">
        <v>0</v>
      </c>
      <c r="AB480" s="8" t="n">
        <v>7</v>
      </c>
      <c r="AC480" s="8" t="str">
        <v>2026-09-29 至 2026-10-17</v>
      </c>
      <c r="AD480" s="8" t="str">
        <v>2026-09-29、2026-09-30、2026-10-01、2026-10-02、2026-10-03、2026-10-04、2026-10-05、2026-10-08、2026-10-09、2026-10-10、2026-10-11、2026-10-14、2026-10-15、2026-10-17</v>
      </c>
      <c r="AE480" s="8" t="str">
        <v>2026-10-06 大促；2026-10-07 大促；2026-10-12 有记录的停售日；2026-10-13 有记录的停售日；2026-10-16 有记录的停售日</v>
      </c>
      <c r="AF480" s="8" t="n">
        <v>0</v>
      </c>
      <c r="AG480" s="8" t="n">
        <v>0</v>
      </c>
      <c r="AH480" s="8" t="n">
        <v>14</v>
      </c>
      <c r="AI480" s="8" t="str">
        <v>2026-09-13 至 2026-10-17</v>
      </c>
      <c r="AJ48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0" s="8" t="str">
        <v>2026-10-06 大促；2026-10-07 大促；2026-10-12 有记录的停售日；2026-10-13 有记录的停售日；2026-10-16 有记录的停售日</v>
      </c>
      <c r="AL480" s="8" t="n">
        <v>0</v>
      </c>
      <c r="AM480" s="8" t="n">
        <v>0</v>
      </c>
      <c r="AN480" s="8" t="n">
        <v>30</v>
      </c>
      <c r="AO480" s="8" t="str">
        <v>1S01 / 深米色PU / 6574</v>
      </c>
      <c r="AP480" s="11" t="n">
        <v>0.8729500662042875</v>
      </c>
      <c r="AQ480" s="11" t="n">
        <v>0.9355747145678367</v>
      </c>
      <c r="AR480" s="11" t="n">
        <v>1.135973589331194</v>
      </c>
      <c r="AS480" s="11" t="n">
        <f>IF(AND(COUNT(I480:K480,AP480:AR480)=6,MIN(AP480:AR480)&gt;0),I480/7/AP480*0.5+J480/14/AQ480*0.3+K480/30/AR480*0.2,"")</f>
        <v>0</v>
      </c>
      <c r="AT480" s="8" t="n">
        <v>0</v>
      </c>
      <c r="AU480" s="8" t="n">
        <v>0</v>
      </c>
      <c r="AV480" s="8" t="n">
        <v>85</v>
      </c>
      <c r="AW480" s="11" t="n">
        <f>IF(AND(COUNT(AT480:AV480)=3,AT480&gt;=AU480,AU480&gt;=0,AV480&gt;0),(AT480-AU480)/AV480,"")</f>
        <v>0</v>
      </c>
      <c r="AX480" s="8" t="n">
        <v>2</v>
      </c>
      <c r="AY480" s="8" t="n">
        <v>0</v>
      </c>
      <c r="AZ480" s="8" t="n">
        <v>175</v>
      </c>
      <c r="BA480" s="11" t="n">
        <f>IF(AND(COUNT(AX480:AZ480)=3,AX480&gt;=AY480,AY480&gt;=0,AZ480&gt;0),(AX480-AY480)/AZ480,"")</f>
        <v>0.011428571428571429</v>
      </c>
      <c r="BB480" s="8" t="n">
        <f>IF(COUNT(AS480,AW480,BA480)=3,1,0)</f>
        <v>1</v>
      </c>
      <c r="BC480" s="11" t="n">
        <f>IF(SUMIF($AO$11:$AO$1309,AO480,$BB$11:$BB$1309)=COUNTIF($AO$11:$AO$1309,AO480),SUMIF($AO$11:$AO$1309,AO480,$AS$11:$AS$1309),"")</f>
        <v>0</v>
      </c>
      <c r="BD480" s="11" t="n">
        <f>IF(SUMIF($AO$11:$AO$1309,AO480,$BB$11:$BB$1309)=COUNTIF($AO$11:$AO$1309,AO480),SUMIF($AO$11:$AO$1309,AO480,$AW$11:$AW$1309),"")</f>
        <v>0.047058823529411764</v>
      </c>
      <c r="BE480" s="11" t="n">
        <f>IF(SUMIF($AO$11:$AO$1309,AO480,$BB$11:$BB$1309)=COUNTIF($AO$11:$AO$1309,AO480),SUMIF($AO$11:$AO$1309,AO480,$BA$11:$BA$1309),"")</f>
        <v>0.17142857142857143</v>
      </c>
      <c r="BF480" s="12" t="n">
        <f>IF(COUNT(BD480:BE480)&lt;&gt;2,"",IF(AND(BD480&gt;0,BE480&gt;0),0.7*AW480/BD480+0.3*BA480/BE480,IF(BD480&gt;0,AW480/BD480,IF(BE480&gt;0,BA480/BE480,IF(AND(ISNUMBER(BH480),BH480=0),0,"")))))</f>
        <v>0.02</v>
      </c>
      <c r="BG480" s="11" t="n">
        <f>IF(AND(COUNT(BN480:BU480)=8,MIN(BN480:BU480)&gt;=0),SUMPRODUCT(BN480:BQ480,BR480:BU480),"")</f>
        <v>63.935996265425516</v>
      </c>
      <c r="BH480" s="11" t="n">
        <f>IF(COUNT(BC480,BG480)=2,BC480*BG480,"")</f>
        <v>0</v>
      </c>
      <c r="BI480" s="11" t="n">
        <f>IF(ISNUMBER(CI480),CI480,"")</f>
        <v>0</v>
      </c>
      <c r="BJ480" s="8" t="str">
        <v>近180天本色销量30双（＜90），无有效新采购，请运营判断</v>
      </c>
      <c r="BK480" s="8" t="str">
        <v>90天：2026-07-20 至 2026-10-17；180天：2026-04-21 至 2026-10-17</v>
      </c>
      <c r="BL480" s="8" t="str">
        <v>90天：2026-10-06、2026-10-07、2026-10-12、2026-10-13、2026-10-16；180天：2026-10-06、2026-10-07、2026-10-12、2026-10-13、2026-10-16</v>
      </c>
      <c r="BM480" s="8" t="str">
        <v>2026-10：12天 × 0.8729500662042875；2026-11：30天 × 0.8057375774163482；2026-12：31天 × 0.532550303142279；2027-01：17天 × 0.7517299265337036</v>
      </c>
      <c r="BN480" s="11" t="n">
        <v>0.8729500662042875</v>
      </c>
      <c r="BO480" s="11" t="n">
        <v>0.8057375774163482</v>
      </c>
      <c r="BP480" s="11" t="n">
        <v>0.532550303142279</v>
      </c>
      <c r="BQ480" s="11" t="n">
        <v>0.7517299265337036</v>
      </c>
      <c r="BR480" s="8" t="n">
        <v>12</v>
      </c>
      <c r="BS480" s="8" t="n">
        <v>30</v>
      </c>
      <c r="BT480" s="8" t="n">
        <v>31</v>
      </c>
      <c r="BU480" s="8" t="n">
        <v>17</v>
      </c>
      <c r="BV480" s="11" t="n">
        <f>IF(COUNT(BC480,BF480)=2,BC480*BF480,"")</f>
        <v>0</v>
      </c>
      <c r="BW480" s="11" t="n">
        <f>IF(ISNUMBER(BN480),BN480,"")</f>
        <v>0.8729500662042875</v>
      </c>
      <c r="BX480" s="14" t="n">
        <f>IF(ISNUMBER(BR480),BR480,"")</f>
        <v>12</v>
      </c>
      <c r="BY480" s="13" t="n">
        <f>IF(AND(COUNT(BV480,BW480,BX480)=3,MIN(BV480,BW480,BX480)&gt;=0),BV480*BW480*BX480,"")</f>
        <v>0</v>
      </c>
      <c r="BZ480" s="11" t="n">
        <f>IF(ISNUMBER(BO480),BO480,"")</f>
        <v>0.8057375774163482</v>
      </c>
      <c r="CA480" s="14" t="n">
        <f>IF(ISNUMBER(BS480),BS480,"")</f>
        <v>30</v>
      </c>
      <c r="CB480" s="13" t="n">
        <f>IF(AND(COUNT(BV480,BZ480,CA480)=3,MIN(BV480,BZ480,CA480)&gt;=0),BV480*BZ480*CA480,"")</f>
        <v>0</v>
      </c>
      <c r="CC480" s="11" t="n">
        <f>IF(ISNUMBER(BP480),BP480,"")</f>
        <v>0.532550303142279</v>
      </c>
      <c r="CD480" s="14" t="n">
        <f>IF(ISNUMBER(BT480),BT480,"")</f>
        <v>31</v>
      </c>
      <c r="CE480" s="13" t="n">
        <f>IF(AND(COUNT(BV480,CC480,CD480)=3,MIN(BV480,CC480,CD480)&gt;=0),BV480*CC480*CD480,"")</f>
        <v>0</v>
      </c>
      <c r="CF480" s="11" t="n">
        <f>IF(ISNUMBER(BQ480),BQ480,"")</f>
        <v>0.7517299265337036</v>
      </c>
      <c r="CG480" s="14" t="n">
        <f>IF(ISNUMBER(BU480),BU480,"")</f>
        <v>17</v>
      </c>
      <c r="CH480" s="13" t="n">
        <f>IF(AND(COUNT(BV480,CF480,CG480)=3,MIN(BV480,CF480,CG480)&gt;=0),BV480*CF480*CG480,"")</f>
        <v>0</v>
      </c>
      <c r="CI480" s="13" t="n">
        <f>IF(COUNT(BY480,CB480,CE480,CH480)=4,SUM(BY480,CB480,CE480,CH480),"")</f>
        <v>0</v>
      </c>
    </row>
    <row r="481" ht="72" customHeight="1">
      <c r="A481" s="16" t="str">
        <v>1S01-DB-38.5</v>
      </c>
      <c r="B481" s="16" t="str">
        <v>3店-SANDIEX-US</v>
      </c>
      <c r="C481" s="16" t="str">
        <v>徐新怡</v>
      </c>
      <c r="D481" s="26" t="n">
        <f>IF(NOT(ISNUMBER(E481)),"",IF(OR(E481&lt;=0,L481=0),0,IF(OR(NOT(ISNUMBER(F481)),F481&lt;0),"",MIN(E481,INT(F481)))))</f>
        <v>0</v>
      </c>
      <c r="E481" s="27" t="n">
        <f>IF(OR(NOT(ISNUMBER(L481)),COUNT(M481:O481)&lt;&gt;3,MIN(M481:O481)&lt;0),"",ROUNDUP(ROUND(BI481-SUM(M481:O481),10),0))</f>
        <v>0</v>
      </c>
      <c r="F481" s="28" t="n">
        <v>0</v>
      </c>
      <c r="G481" s="28" t="n">
        <f>IF(AND(ISNUMBER(D481),ISNUMBER(E481)),IF(OR(E481&lt;=0,L481=0),0,E481-D481),"")</f>
        <v>0</v>
      </c>
      <c r="H481" s="16" t="str">
        <f>IF(NOT(ISNUMBER(E481)),"销量或海外库存待补",IF(OR(E481&lt;=0,L481=0),IF(L481=0,"零日销，本批不发","本批无需补货"),IF(NOT(ISNUMBER(D481)),"国内库存待补",IF(D481=0,"国内无可用库存",IF(G481&gt;0,"先发国内现货","按建议量发货")))))</f>
        <v>零日销，本批不发</v>
      </c>
      <c r="I481" s="28" t="n">
        <f>IF(AND(COUNT(Z481,AA481,AB481)=3,Z481&gt;=AA481,AA481&gt;=0,AB481=7),Z481-AA481,"")</f>
        <v>0</v>
      </c>
      <c r="J481" s="28" t="n">
        <f>IF(AND(COUNT(AF481,AG481,AH481)=3,AF481&gt;=AG481,AG481&gt;=0,AH481=14),AF481-AG481,"")</f>
        <v>0</v>
      </c>
      <c r="K481" s="28" t="n">
        <f>IF(AND(COUNT(AL481,AM481,AN481)=3,AL481&gt;=AM481,AM481&gt;=0,AN481=30),AL481-AM481,"")</f>
        <v>0</v>
      </c>
      <c r="L481" s="29" t="n">
        <f>IF(ISNUMBER(BI481),BI481/90,"")</f>
        <v>0</v>
      </c>
      <c r="M481" s="28" t="n">
        <v>0</v>
      </c>
      <c r="N481" s="28" t="n">
        <v>0</v>
      </c>
      <c r="O481" s="28" t="n">
        <v>0</v>
      </c>
      <c r="P481" s="30" t="str">
        <f>IF(AND(ISNUMBER(L481),L481&gt;0,COUNT(M481:O481)=3,MIN(M481:O481)&gt;=0),SUM(M481:O481)/L481,"")</f>
      </c>
      <c r="Q481" s="16" t="str">
        <v>沿用同SPU原计划店铺</v>
      </c>
      <c r="R481" s="16" t="str">
        <v>已匹配</v>
      </c>
      <c r="S481" s="16" t="str">
        <v>停售</v>
      </c>
      <c r="T481" s="16" t="str">
        <v>1S01</v>
      </c>
      <c r="U481" s="16" t="str">
        <v>深米色</v>
      </c>
      <c r="V481" s="16" t="n">
        <v>7.5</v>
      </c>
      <c r="W481" s="8" t="str">
        <v>2026-10-08 至 2026-10-17</v>
      </c>
      <c r="X481" s="8" t="str">
        <v>2026-10-08、2026-10-09、2026-10-10、2026-10-11、2026-10-14、2026-10-15、2026-10-17</v>
      </c>
      <c r="Y481" s="8" t="str">
        <v>2026-10-12 有记录的停售日；2026-10-13 有记录的停售日；2026-10-16 有记录的停售日</v>
      </c>
      <c r="Z481" s="8" t="n">
        <v>0</v>
      </c>
      <c r="AA481" s="8" t="n">
        <v>0</v>
      </c>
      <c r="AB481" s="8" t="n">
        <v>7</v>
      </c>
      <c r="AC481" s="8" t="str">
        <v>2026-09-29 至 2026-10-17</v>
      </c>
      <c r="AD481" s="8" t="str">
        <v>2026-09-29、2026-09-30、2026-10-01、2026-10-02、2026-10-03、2026-10-04、2026-10-05、2026-10-08、2026-10-09、2026-10-10、2026-10-11、2026-10-14、2026-10-15、2026-10-17</v>
      </c>
      <c r="AE481" s="8" t="str">
        <v>2026-10-06 大促；2026-10-07 大促；2026-10-12 有记录的停售日；2026-10-13 有记录的停售日；2026-10-16 有记录的停售日</v>
      </c>
      <c r="AF481" s="8" t="n">
        <v>0</v>
      </c>
      <c r="AG481" s="8" t="n">
        <v>0</v>
      </c>
      <c r="AH481" s="8" t="n">
        <v>14</v>
      </c>
      <c r="AI481" s="8" t="str">
        <v>2026-09-13 至 2026-10-17</v>
      </c>
      <c r="AJ48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1" s="8" t="str">
        <v>2026-10-06 大促；2026-10-07 大促；2026-10-12 有记录的停售日；2026-10-13 有记录的停售日；2026-10-16 有记录的停售日</v>
      </c>
      <c r="AL481" s="8" t="n">
        <v>0</v>
      </c>
      <c r="AM481" s="8" t="n">
        <v>0</v>
      </c>
      <c r="AN481" s="8" t="n">
        <v>30</v>
      </c>
      <c r="AO481" s="8" t="str">
        <v>1S01 / 深米色PU / 6574</v>
      </c>
      <c r="AP481" s="11" t="n">
        <v>0.8729500662042875</v>
      </c>
      <c r="AQ481" s="11" t="n">
        <v>0.9355747145678367</v>
      </c>
      <c r="AR481" s="11" t="n">
        <v>1.135973589331194</v>
      </c>
      <c r="AS481" s="11" t="n">
        <f>IF(AND(COUNT(I481:K481,AP481:AR481)=6,MIN(AP481:AR481)&gt;0),I481/7/AP481*0.5+J481/14/AQ481*0.3+K481/30/AR481*0.2,"")</f>
        <v>0</v>
      </c>
      <c r="AT481" s="8" t="n">
        <v>0</v>
      </c>
      <c r="AU481" s="8" t="n">
        <v>0</v>
      </c>
      <c r="AV481" s="8" t="n">
        <v>85</v>
      </c>
      <c r="AW481" s="11" t="n">
        <f>IF(AND(COUNT(AT481:AV481)=3,AT481&gt;=AU481,AU481&gt;=0,AV481&gt;0),(AT481-AU481)/AV481,"")</f>
        <v>0</v>
      </c>
      <c r="AX481" s="8" t="n">
        <v>0</v>
      </c>
      <c r="AY481" s="8" t="n">
        <v>0</v>
      </c>
      <c r="AZ481" s="8" t="n">
        <v>175</v>
      </c>
      <c r="BA481" s="11" t="n">
        <f>IF(AND(COUNT(AX481:AZ481)=3,AX481&gt;=AY481,AY481&gt;=0,AZ481&gt;0),(AX481-AY481)/AZ481,"")</f>
        <v>0</v>
      </c>
      <c r="BB481" s="8" t="n">
        <f>IF(COUNT(AS481,AW481,BA481)=3,1,0)</f>
        <v>1</v>
      </c>
      <c r="BC481" s="11" t="n">
        <f>IF(SUMIF($AO$11:$AO$1309,AO481,$BB$11:$BB$1309)=COUNTIF($AO$11:$AO$1309,AO481),SUMIF($AO$11:$AO$1309,AO481,$AS$11:$AS$1309),"")</f>
        <v>0</v>
      </c>
      <c r="BD481" s="11" t="n">
        <f>IF(SUMIF($AO$11:$AO$1309,AO481,$BB$11:$BB$1309)=COUNTIF($AO$11:$AO$1309,AO481),SUMIF($AO$11:$AO$1309,AO481,$AW$11:$AW$1309),"")</f>
        <v>0.047058823529411764</v>
      </c>
      <c r="BE481" s="11" t="n">
        <f>IF(SUMIF($AO$11:$AO$1309,AO481,$BB$11:$BB$1309)=COUNTIF($AO$11:$AO$1309,AO481),SUMIF($AO$11:$AO$1309,AO481,$BA$11:$BA$1309),"")</f>
        <v>0.17142857142857143</v>
      </c>
      <c r="BF481" s="12" t="n">
        <f>IF(COUNT(BD481:BE481)&lt;&gt;2,"",IF(AND(BD481&gt;0,BE481&gt;0),0.7*AW481/BD481+0.3*BA481/BE481,IF(BD481&gt;0,AW481/BD481,IF(BE481&gt;0,BA481/BE481,IF(AND(ISNUMBER(BH481),BH481=0),0,"")))))</f>
        <v>0</v>
      </c>
      <c r="BG481" s="11" t="n">
        <f>IF(AND(COUNT(BN481:BU481)=8,MIN(BN481:BU481)&gt;=0),SUMPRODUCT(BN481:BQ481,BR481:BU481),"")</f>
        <v>63.935996265425516</v>
      </c>
      <c r="BH481" s="11" t="n">
        <f>IF(COUNT(BC481,BG481)=2,BC481*BG481,"")</f>
        <v>0</v>
      </c>
      <c r="BI481" s="11" t="n">
        <f>IF(ISNUMBER(CI481),CI481,"")</f>
        <v>0</v>
      </c>
      <c r="BJ481" s="8" t="str">
        <v>近180天本色销量30双（＜90），无有效新采购，请运营判断</v>
      </c>
      <c r="BK481" s="8" t="str">
        <v>90天：2026-07-20 至 2026-10-17；180天：2026-04-21 至 2026-10-17</v>
      </c>
      <c r="BL481" s="8" t="str">
        <v>90天：2026-10-06、2026-10-07、2026-10-12、2026-10-13、2026-10-16；180天：2026-10-06、2026-10-07、2026-10-12、2026-10-13、2026-10-16</v>
      </c>
      <c r="BM481" s="8" t="str">
        <v>2026-10：12天 × 0.8729500662042875；2026-11：30天 × 0.8057375774163482；2026-12：31天 × 0.532550303142279；2027-01：17天 × 0.7517299265337036</v>
      </c>
      <c r="BN481" s="11" t="n">
        <v>0.8729500662042875</v>
      </c>
      <c r="BO481" s="11" t="n">
        <v>0.8057375774163482</v>
      </c>
      <c r="BP481" s="11" t="n">
        <v>0.532550303142279</v>
      </c>
      <c r="BQ481" s="11" t="n">
        <v>0.7517299265337036</v>
      </c>
      <c r="BR481" s="8" t="n">
        <v>12</v>
      </c>
      <c r="BS481" s="8" t="n">
        <v>30</v>
      </c>
      <c r="BT481" s="8" t="n">
        <v>31</v>
      </c>
      <c r="BU481" s="8" t="n">
        <v>17</v>
      </c>
      <c r="BV481" s="11" t="n">
        <f>IF(COUNT(BC481,BF481)=2,BC481*BF481,"")</f>
        <v>0</v>
      </c>
      <c r="BW481" s="11" t="n">
        <f>IF(ISNUMBER(BN481),BN481,"")</f>
        <v>0.8729500662042875</v>
      </c>
      <c r="BX481" s="14" t="n">
        <f>IF(ISNUMBER(BR481),BR481,"")</f>
        <v>12</v>
      </c>
      <c r="BY481" s="13" t="n">
        <f>IF(AND(COUNT(BV481,BW481,BX481)=3,MIN(BV481,BW481,BX481)&gt;=0),BV481*BW481*BX481,"")</f>
        <v>0</v>
      </c>
      <c r="BZ481" s="11" t="n">
        <f>IF(ISNUMBER(BO481),BO481,"")</f>
        <v>0.8057375774163482</v>
      </c>
      <c r="CA481" s="14" t="n">
        <f>IF(ISNUMBER(BS481),BS481,"")</f>
        <v>30</v>
      </c>
      <c r="CB481" s="13" t="n">
        <f>IF(AND(COUNT(BV481,BZ481,CA481)=3,MIN(BV481,BZ481,CA481)&gt;=0),BV481*BZ481*CA481,"")</f>
        <v>0</v>
      </c>
      <c r="CC481" s="11" t="n">
        <f>IF(ISNUMBER(BP481),BP481,"")</f>
        <v>0.532550303142279</v>
      </c>
      <c r="CD481" s="14" t="n">
        <f>IF(ISNUMBER(BT481),BT481,"")</f>
        <v>31</v>
      </c>
      <c r="CE481" s="13" t="n">
        <f>IF(AND(COUNT(BV481,CC481,CD481)=3,MIN(BV481,CC481,CD481)&gt;=0),BV481*CC481*CD481,"")</f>
        <v>0</v>
      </c>
      <c r="CF481" s="11" t="n">
        <f>IF(ISNUMBER(BQ481),BQ481,"")</f>
        <v>0.7517299265337036</v>
      </c>
      <c r="CG481" s="14" t="n">
        <f>IF(ISNUMBER(BU481),BU481,"")</f>
        <v>17</v>
      </c>
      <c r="CH481" s="13" t="n">
        <f>IF(AND(COUNT(BV481,CF481,CG481)=3,MIN(BV481,CF481,CG481)&gt;=0),BV481*CF481*CG481,"")</f>
        <v>0</v>
      </c>
      <c r="CI481" s="13" t="n">
        <f>IF(COUNT(BY481,CB481,CE481,CH481)=4,SUM(BY481,CB481,CE481,CH481),"")</f>
        <v>0</v>
      </c>
    </row>
    <row r="482" ht="72" customHeight="1">
      <c r="A482" s="16" t="str">
        <v>1S01-DB-39</v>
      </c>
      <c r="B482" s="16" t="str">
        <v>3店-SANDIEX-US</v>
      </c>
      <c r="C482" s="16" t="str">
        <v>徐新怡</v>
      </c>
      <c r="D482" s="26" t="n">
        <f>IF(NOT(ISNUMBER(E482)),"",IF(OR(E482&lt;=0,L482=0),0,IF(OR(NOT(ISNUMBER(F482)),F482&lt;0),"",MIN(E482,INT(F482)))))</f>
        <v>0</v>
      </c>
      <c r="E482" s="27" t="n">
        <f>IF(OR(NOT(ISNUMBER(L482)),COUNT(M482:O482)&lt;&gt;3,MIN(M482:O482)&lt;0),"",ROUNDUP(ROUND(BI482-SUM(M482:O482),10),0))</f>
        <v>0</v>
      </c>
      <c r="F482" s="28" t="n">
        <v>0</v>
      </c>
      <c r="G482" s="28" t="n">
        <f>IF(AND(ISNUMBER(D482),ISNUMBER(E482)),IF(OR(E482&lt;=0,L482=0),0,E482-D482),"")</f>
        <v>0</v>
      </c>
      <c r="H482" s="16" t="str">
        <f>IF(NOT(ISNUMBER(E482)),"销量或海外库存待补",IF(OR(E482&lt;=0,L482=0),IF(L482=0,"零日销，本批不发","本批无需补货"),IF(NOT(ISNUMBER(D482)),"国内库存待补",IF(D482=0,"国内无可用库存",IF(G482&gt;0,"先发国内现货","按建议量发货")))))</f>
        <v>零日销，本批不发</v>
      </c>
      <c r="I482" s="28" t="n">
        <f>IF(AND(COUNT(Z482,AA482,AB482)=3,Z482&gt;=AA482,AA482&gt;=0,AB482=7),Z482-AA482,"")</f>
        <v>0</v>
      </c>
      <c r="J482" s="28" t="n">
        <f>IF(AND(COUNT(AF482,AG482,AH482)=3,AF482&gt;=AG482,AG482&gt;=0,AH482=14),AF482-AG482,"")</f>
        <v>0</v>
      </c>
      <c r="K482" s="28" t="n">
        <f>IF(AND(COUNT(AL482,AM482,AN482)=3,AL482&gt;=AM482,AM482&gt;=0,AN482=30),AL482-AM482,"")</f>
        <v>0</v>
      </c>
      <c r="L482" s="29" t="n">
        <f>IF(ISNUMBER(BI482),BI482/90,"")</f>
        <v>0</v>
      </c>
      <c r="M482" s="28" t="n">
        <v>0</v>
      </c>
      <c r="N482" s="28" t="n">
        <v>0</v>
      </c>
      <c r="O482" s="28" t="n">
        <v>0</v>
      </c>
      <c r="P482" s="30" t="str">
        <f>IF(AND(ISNUMBER(L482),L482&gt;0,COUNT(M482:O482)=3,MIN(M482:O482)&gt;=0),SUM(M482:O482)/L482,"")</f>
      </c>
      <c r="Q482" s="16" t="str">
        <v>沿用原计划SKU店铺</v>
      </c>
      <c r="R482" s="16" t="str">
        <v>已匹配</v>
      </c>
      <c r="S482" s="16" t="str">
        <v>停售</v>
      </c>
      <c r="T482" s="16" t="str">
        <v>1S01</v>
      </c>
      <c r="U482" s="16" t="str">
        <v>深米色</v>
      </c>
      <c r="V482" s="16" t="n">
        <v>8</v>
      </c>
      <c r="W482" s="8" t="str">
        <v>2026-10-08 至 2026-10-17</v>
      </c>
      <c r="X482" s="8" t="str">
        <v>2026-10-08、2026-10-09、2026-10-10、2026-10-11、2026-10-14、2026-10-15、2026-10-17</v>
      </c>
      <c r="Y482" s="8" t="str">
        <v>2026-10-12 有记录的停售日；2026-10-13 有记录的停售日；2026-10-16 有记录的停售日</v>
      </c>
      <c r="Z482" s="8" t="n">
        <v>0</v>
      </c>
      <c r="AA482" s="8" t="n">
        <v>0</v>
      </c>
      <c r="AB482" s="8" t="n">
        <v>7</v>
      </c>
      <c r="AC482" s="8" t="str">
        <v>2026-09-29 至 2026-10-17</v>
      </c>
      <c r="AD482" s="8" t="str">
        <v>2026-09-29、2026-09-30、2026-10-01、2026-10-02、2026-10-03、2026-10-04、2026-10-05、2026-10-08、2026-10-09、2026-10-10、2026-10-11、2026-10-14、2026-10-15、2026-10-17</v>
      </c>
      <c r="AE482" s="8" t="str">
        <v>2026-10-06 大促；2026-10-07 大促；2026-10-12 有记录的停售日；2026-10-13 有记录的停售日；2026-10-16 有记录的停售日</v>
      </c>
      <c r="AF482" s="8" t="n">
        <v>0</v>
      </c>
      <c r="AG482" s="8" t="n">
        <v>0</v>
      </c>
      <c r="AH482" s="8" t="n">
        <v>14</v>
      </c>
      <c r="AI482" s="8" t="str">
        <v>2026-09-13 至 2026-10-17</v>
      </c>
      <c r="AJ48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2" s="8" t="str">
        <v>2026-10-06 大促；2026-10-07 大促；2026-10-12 有记录的停售日；2026-10-13 有记录的停售日；2026-10-16 有记录的停售日</v>
      </c>
      <c r="AL482" s="8" t="n">
        <v>0</v>
      </c>
      <c r="AM482" s="8" t="n">
        <v>0</v>
      </c>
      <c r="AN482" s="8" t="n">
        <v>30</v>
      </c>
      <c r="AO482" s="8" t="str">
        <v>1S01 / 深米色PU / 6574</v>
      </c>
      <c r="AP482" s="11" t="n">
        <v>0.8729500662042875</v>
      </c>
      <c r="AQ482" s="11" t="n">
        <v>0.9355747145678367</v>
      </c>
      <c r="AR482" s="11" t="n">
        <v>1.135973589331194</v>
      </c>
      <c r="AS482" s="11" t="n">
        <f>IF(AND(COUNT(I482:K482,AP482:AR482)=6,MIN(AP482:AR482)&gt;0),I482/7/AP482*0.5+J482/14/AQ482*0.3+K482/30/AR482*0.2,"")</f>
        <v>0</v>
      </c>
      <c r="AT482" s="8" t="n">
        <v>4</v>
      </c>
      <c r="AU482" s="8" t="n">
        <v>0</v>
      </c>
      <c r="AV482" s="8" t="n">
        <v>85</v>
      </c>
      <c r="AW482" s="11" t="n">
        <f>IF(AND(COUNT(AT482:AV482)=3,AT482&gt;=AU482,AU482&gt;=0,AV482&gt;0),(AT482-AU482)/AV482,"")</f>
        <v>0.047058823529411764</v>
      </c>
      <c r="AX482" s="8" t="n">
        <v>26</v>
      </c>
      <c r="AY482" s="8" t="n">
        <v>0</v>
      </c>
      <c r="AZ482" s="8" t="n">
        <v>175</v>
      </c>
      <c r="BA482" s="11" t="n">
        <f>IF(AND(COUNT(AX482:AZ482)=3,AX482&gt;=AY482,AY482&gt;=0,AZ482&gt;0),(AX482-AY482)/AZ482,"")</f>
        <v>0.14857142857142858</v>
      </c>
      <c r="BB482" s="8" t="n">
        <f>IF(COUNT(AS482,AW482,BA482)=3,1,0)</f>
        <v>1</v>
      </c>
      <c r="BC482" s="11" t="n">
        <f>IF(SUMIF($AO$11:$AO$1309,AO482,$BB$11:$BB$1309)=COUNTIF($AO$11:$AO$1309,AO482),SUMIF($AO$11:$AO$1309,AO482,$AS$11:$AS$1309),"")</f>
        <v>0</v>
      </c>
      <c r="BD482" s="11" t="n">
        <f>IF(SUMIF($AO$11:$AO$1309,AO482,$BB$11:$BB$1309)=COUNTIF($AO$11:$AO$1309,AO482),SUMIF($AO$11:$AO$1309,AO482,$AW$11:$AW$1309),"")</f>
        <v>0.047058823529411764</v>
      </c>
      <c r="BE482" s="11" t="n">
        <f>IF(SUMIF($AO$11:$AO$1309,AO482,$BB$11:$BB$1309)=COUNTIF($AO$11:$AO$1309,AO482),SUMIF($AO$11:$AO$1309,AO482,$BA$11:$BA$1309),"")</f>
        <v>0.17142857142857143</v>
      </c>
      <c r="BF482" s="12" t="n">
        <f>IF(COUNT(BD482:BE482)&lt;&gt;2,"",IF(AND(BD482&gt;0,BE482&gt;0),0.7*AW482/BD482+0.3*BA482/BE482,IF(BD482&gt;0,AW482/BD482,IF(BE482&gt;0,BA482/BE482,IF(AND(ISNUMBER(BH482),BH482=0),0,"")))))</f>
        <v>0.96</v>
      </c>
      <c r="BG482" s="11" t="n">
        <f>IF(AND(COUNT(BN482:BU482)=8,MIN(BN482:BU482)&gt;=0),SUMPRODUCT(BN482:BQ482,BR482:BU482),"")</f>
        <v>63.935996265425516</v>
      </c>
      <c r="BH482" s="11" t="n">
        <f>IF(COUNT(BC482,BG482)=2,BC482*BG482,"")</f>
        <v>0</v>
      </c>
      <c r="BI482" s="11" t="n">
        <f>IF(ISNUMBER(CI482),CI482,"")</f>
        <v>0</v>
      </c>
      <c r="BJ482" s="8" t="str">
        <v>近180天本色销量30双（＜90），无有效新采购，请运营判断</v>
      </c>
      <c r="BK482" s="8" t="str">
        <v>90天：2026-07-20 至 2026-10-17；180天：2026-04-21 至 2026-10-17</v>
      </c>
      <c r="BL482" s="8" t="str">
        <v>90天：2026-10-06、2026-10-07、2026-10-12、2026-10-13、2026-10-16；180天：2026-10-06、2026-10-07、2026-10-12、2026-10-13、2026-10-16</v>
      </c>
      <c r="BM482" s="8" t="str">
        <v>2026-10：12天 × 0.8729500662042875；2026-11：30天 × 0.8057375774163482；2026-12：31天 × 0.532550303142279；2027-01：17天 × 0.7517299265337036</v>
      </c>
      <c r="BN482" s="11" t="n">
        <v>0.8729500662042875</v>
      </c>
      <c r="BO482" s="11" t="n">
        <v>0.8057375774163482</v>
      </c>
      <c r="BP482" s="11" t="n">
        <v>0.532550303142279</v>
      </c>
      <c r="BQ482" s="11" t="n">
        <v>0.7517299265337036</v>
      </c>
      <c r="BR482" s="8" t="n">
        <v>12</v>
      </c>
      <c r="BS482" s="8" t="n">
        <v>30</v>
      </c>
      <c r="BT482" s="8" t="n">
        <v>31</v>
      </c>
      <c r="BU482" s="8" t="n">
        <v>17</v>
      </c>
      <c r="BV482" s="11" t="n">
        <f>IF(COUNT(BC482,BF482)=2,BC482*BF482,"")</f>
        <v>0</v>
      </c>
      <c r="BW482" s="11" t="n">
        <f>IF(ISNUMBER(BN482),BN482,"")</f>
        <v>0.8729500662042875</v>
      </c>
      <c r="BX482" s="14" t="n">
        <f>IF(ISNUMBER(BR482),BR482,"")</f>
        <v>12</v>
      </c>
      <c r="BY482" s="13" t="n">
        <f>IF(AND(COUNT(BV482,BW482,BX482)=3,MIN(BV482,BW482,BX482)&gt;=0),BV482*BW482*BX482,"")</f>
        <v>0</v>
      </c>
      <c r="BZ482" s="11" t="n">
        <f>IF(ISNUMBER(BO482),BO482,"")</f>
        <v>0.8057375774163482</v>
      </c>
      <c r="CA482" s="14" t="n">
        <f>IF(ISNUMBER(BS482),BS482,"")</f>
        <v>30</v>
      </c>
      <c r="CB482" s="13" t="n">
        <f>IF(AND(COUNT(BV482,BZ482,CA482)=3,MIN(BV482,BZ482,CA482)&gt;=0),BV482*BZ482*CA482,"")</f>
        <v>0</v>
      </c>
      <c r="CC482" s="11" t="n">
        <f>IF(ISNUMBER(BP482),BP482,"")</f>
        <v>0.532550303142279</v>
      </c>
      <c r="CD482" s="14" t="n">
        <f>IF(ISNUMBER(BT482),BT482,"")</f>
        <v>31</v>
      </c>
      <c r="CE482" s="13" t="n">
        <f>IF(AND(COUNT(BV482,CC482,CD482)=3,MIN(BV482,CC482,CD482)&gt;=0),BV482*CC482*CD482,"")</f>
        <v>0</v>
      </c>
      <c r="CF482" s="11" t="n">
        <f>IF(ISNUMBER(BQ482),BQ482,"")</f>
        <v>0.7517299265337036</v>
      </c>
      <c r="CG482" s="14" t="n">
        <f>IF(ISNUMBER(BU482),BU482,"")</f>
        <v>17</v>
      </c>
      <c r="CH482" s="13" t="n">
        <f>IF(AND(COUNT(BV482,CF482,CG482)=3,MIN(BV482,CF482,CG482)&gt;=0),BV482*CF482*CG482,"")</f>
        <v>0</v>
      </c>
      <c r="CI482" s="13" t="n">
        <f>IF(COUNT(BY482,CB482,CE482,CH482)=4,SUM(BY482,CB482,CE482,CH482),"")</f>
        <v>0</v>
      </c>
    </row>
    <row r="483" ht="72" customHeight="1">
      <c r="A483" s="16" t="str">
        <v>1S01-DB-39.5</v>
      </c>
      <c r="B483" s="16" t="str">
        <v>3店-SANDIEX-US</v>
      </c>
      <c r="C483" s="16" t="str">
        <v>徐新怡</v>
      </c>
      <c r="D483" s="26" t="n">
        <f>IF(NOT(ISNUMBER(E483)),"",IF(OR(E483&lt;=0,L483=0),0,IF(OR(NOT(ISNUMBER(F483)),F483&lt;0),"",MIN(E483,INT(F483)))))</f>
        <v>0</v>
      </c>
      <c r="E483" s="27" t="n">
        <f>IF(OR(NOT(ISNUMBER(L483)),COUNT(M483:O483)&lt;&gt;3,MIN(M483:O483)&lt;0),"",ROUNDUP(ROUND(BI483-SUM(M483:O483),10),0))</f>
        <v>0</v>
      </c>
      <c r="F483" s="28" t="n">
        <v>0</v>
      </c>
      <c r="G483" s="28" t="n">
        <f>IF(AND(ISNUMBER(D483),ISNUMBER(E483)),IF(OR(E483&lt;=0,L483=0),0,E483-D483),"")</f>
        <v>0</v>
      </c>
      <c r="H483" s="16" t="str">
        <f>IF(NOT(ISNUMBER(E483)),"销量或海外库存待补",IF(OR(E483&lt;=0,L483=0),IF(L483=0,"零日销，本批不发","本批无需补货"),IF(NOT(ISNUMBER(D483)),"国内库存待补",IF(D483=0,"国内无可用库存",IF(G483&gt;0,"先发国内现货","按建议量发货")))))</f>
        <v>零日销，本批不发</v>
      </c>
      <c r="I483" s="28" t="n">
        <f>IF(AND(COUNT(Z483,AA483,AB483)=3,Z483&gt;=AA483,AA483&gt;=0,AB483=7),Z483-AA483,"")</f>
        <v>0</v>
      </c>
      <c r="J483" s="28" t="n">
        <f>IF(AND(COUNT(AF483,AG483,AH483)=3,AF483&gt;=AG483,AG483&gt;=0,AH483=14),AF483-AG483,"")</f>
        <v>0</v>
      </c>
      <c r="K483" s="28" t="n">
        <f>IF(AND(COUNT(AL483,AM483,AN483)=3,AL483&gt;=AM483,AM483&gt;=0,AN483=30),AL483-AM483,"")</f>
        <v>0</v>
      </c>
      <c r="L483" s="29" t="n">
        <f>IF(ISNUMBER(BI483),BI483/90,"")</f>
        <v>0</v>
      </c>
      <c r="M483" s="28" t="n">
        <v>0</v>
      </c>
      <c r="N483" s="28" t="n">
        <v>0</v>
      </c>
      <c r="O483" s="28" t="n">
        <v>0</v>
      </c>
      <c r="P483" s="30" t="str">
        <f>IF(AND(ISNUMBER(L483),L483&gt;0,COUNT(M483:O483)=3,MIN(M483:O483)&gt;=0),SUM(M483:O483)/L483,"")</f>
      </c>
      <c r="Q483" s="16" t="str">
        <v>沿用同SPU原计划店铺</v>
      </c>
      <c r="R483" s="16" t="str">
        <v>已匹配</v>
      </c>
      <c r="S483" s="16" t="str">
        <v>停售</v>
      </c>
      <c r="T483" s="16" t="str">
        <v>1S01</v>
      </c>
      <c r="U483" s="16" t="str">
        <v>深米色</v>
      </c>
      <c r="V483" s="16" t="n">
        <v>8.5</v>
      </c>
      <c r="W483" s="8" t="str">
        <v>2026-10-08 至 2026-10-17</v>
      </c>
      <c r="X483" s="8" t="str">
        <v>2026-10-08、2026-10-09、2026-10-10、2026-10-11、2026-10-14、2026-10-15、2026-10-17</v>
      </c>
      <c r="Y483" s="8" t="str">
        <v>2026-10-12 有记录的停售日；2026-10-13 有记录的停售日；2026-10-16 有记录的停售日</v>
      </c>
      <c r="Z483" s="8" t="n">
        <v>0</v>
      </c>
      <c r="AA483" s="8" t="n">
        <v>0</v>
      </c>
      <c r="AB483" s="8" t="n">
        <v>7</v>
      </c>
      <c r="AC483" s="8" t="str">
        <v>2026-09-29 至 2026-10-17</v>
      </c>
      <c r="AD483" s="8" t="str">
        <v>2026-09-29、2026-09-30、2026-10-01、2026-10-02、2026-10-03、2026-10-04、2026-10-05、2026-10-08、2026-10-09、2026-10-10、2026-10-11、2026-10-14、2026-10-15、2026-10-17</v>
      </c>
      <c r="AE483" s="8" t="str">
        <v>2026-10-06 大促；2026-10-07 大促；2026-10-12 有记录的停售日；2026-10-13 有记录的停售日；2026-10-16 有记录的停售日</v>
      </c>
      <c r="AF483" s="8" t="n">
        <v>0</v>
      </c>
      <c r="AG483" s="8" t="n">
        <v>0</v>
      </c>
      <c r="AH483" s="8" t="n">
        <v>14</v>
      </c>
      <c r="AI483" s="8" t="str">
        <v>2026-09-13 至 2026-10-17</v>
      </c>
      <c r="AJ48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3" s="8" t="str">
        <v>2026-10-06 大促；2026-10-07 大促；2026-10-12 有记录的停售日；2026-10-13 有记录的停售日；2026-10-16 有记录的停售日</v>
      </c>
      <c r="AL483" s="8" t="n">
        <v>0</v>
      </c>
      <c r="AM483" s="8" t="n">
        <v>0</v>
      </c>
      <c r="AN483" s="8" t="n">
        <v>30</v>
      </c>
      <c r="AO483" s="8" t="str">
        <v>1S01 / 深米色PU / 6574</v>
      </c>
      <c r="AP483" s="11" t="n">
        <v>0.8729500662042875</v>
      </c>
      <c r="AQ483" s="11" t="n">
        <v>0.9355747145678367</v>
      </c>
      <c r="AR483" s="11" t="n">
        <v>1.135973589331194</v>
      </c>
      <c r="AS483" s="11" t="n">
        <f>IF(AND(COUNT(I483:K483,AP483:AR483)=6,MIN(AP483:AR483)&gt;0),I483/7/AP483*0.5+J483/14/AQ483*0.3+K483/30/AR483*0.2,"")</f>
        <v>0</v>
      </c>
      <c r="AT483" s="8" t="n">
        <v>0</v>
      </c>
      <c r="AU483" s="8" t="n">
        <v>0</v>
      </c>
      <c r="AV483" s="8" t="n">
        <v>85</v>
      </c>
      <c r="AW483" s="11" t="n">
        <f>IF(AND(COUNT(AT483:AV483)=3,AT483&gt;=AU483,AU483&gt;=0,AV483&gt;0),(AT483-AU483)/AV483,"")</f>
        <v>0</v>
      </c>
      <c r="AX483" s="8" t="n">
        <v>2</v>
      </c>
      <c r="AY483" s="8" t="n">
        <v>0</v>
      </c>
      <c r="AZ483" s="8" t="n">
        <v>175</v>
      </c>
      <c r="BA483" s="11" t="n">
        <f>IF(AND(COUNT(AX483:AZ483)=3,AX483&gt;=AY483,AY483&gt;=0,AZ483&gt;0),(AX483-AY483)/AZ483,"")</f>
        <v>0.011428571428571429</v>
      </c>
      <c r="BB483" s="8" t="n">
        <f>IF(COUNT(AS483,AW483,BA483)=3,1,0)</f>
        <v>1</v>
      </c>
      <c r="BC483" s="11" t="n">
        <f>IF(SUMIF($AO$11:$AO$1309,AO483,$BB$11:$BB$1309)=COUNTIF($AO$11:$AO$1309,AO483),SUMIF($AO$11:$AO$1309,AO483,$AS$11:$AS$1309),"")</f>
        <v>0</v>
      </c>
      <c r="BD483" s="11" t="n">
        <f>IF(SUMIF($AO$11:$AO$1309,AO483,$BB$11:$BB$1309)=COUNTIF($AO$11:$AO$1309,AO483),SUMIF($AO$11:$AO$1309,AO483,$AW$11:$AW$1309),"")</f>
        <v>0.047058823529411764</v>
      </c>
      <c r="BE483" s="11" t="n">
        <f>IF(SUMIF($AO$11:$AO$1309,AO483,$BB$11:$BB$1309)=COUNTIF($AO$11:$AO$1309,AO483),SUMIF($AO$11:$AO$1309,AO483,$BA$11:$BA$1309),"")</f>
        <v>0.17142857142857143</v>
      </c>
      <c r="BF483" s="12" t="n">
        <f>IF(COUNT(BD483:BE483)&lt;&gt;2,"",IF(AND(BD483&gt;0,BE483&gt;0),0.7*AW483/BD483+0.3*BA483/BE483,IF(BD483&gt;0,AW483/BD483,IF(BE483&gt;0,BA483/BE483,IF(AND(ISNUMBER(BH483),BH483=0),0,"")))))</f>
        <v>0.02</v>
      </c>
      <c r="BG483" s="11" t="n">
        <f>IF(AND(COUNT(BN483:BU483)=8,MIN(BN483:BU483)&gt;=0),SUMPRODUCT(BN483:BQ483,BR483:BU483),"")</f>
        <v>63.935996265425516</v>
      </c>
      <c r="BH483" s="11" t="n">
        <f>IF(COUNT(BC483,BG483)=2,BC483*BG483,"")</f>
        <v>0</v>
      </c>
      <c r="BI483" s="11" t="n">
        <f>IF(ISNUMBER(CI483),CI483,"")</f>
        <v>0</v>
      </c>
      <c r="BJ483" s="8" t="str">
        <v>近180天本色销量30双（＜90），无有效新采购，请运营判断</v>
      </c>
      <c r="BK483" s="8" t="str">
        <v>90天：2026-07-20 至 2026-10-17；180天：2026-04-21 至 2026-10-17</v>
      </c>
      <c r="BL483" s="8" t="str">
        <v>90天：2026-10-06、2026-10-07、2026-10-12、2026-10-13、2026-10-16；180天：2026-10-06、2026-10-07、2026-10-12、2026-10-13、2026-10-16</v>
      </c>
      <c r="BM483" s="8" t="str">
        <v>2026-10：12天 × 0.8729500662042875；2026-11：30天 × 0.8057375774163482；2026-12：31天 × 0.532550303142279；2027-01：17天 × 0.7517299265337036</v>
      </c>
      <c r="BN483" s="11" t="n">
        <v>0.8729500662042875</v>
      </c>
      <c r="BO483" s="11" t="n">
        <v>0.8057375774163482</v>
      </c>
      <c r="BP483" s="11" t="n">
        <v>0.532550303142279</v>
      </c>
      <c r="BQ483" s="11" t="n">
        <v>0.7517299265337036</v>
      </c>
      <c r="BR483" s="8" t="n">
        <v>12</v>
      </c>
      <c r="BS483" s="8" t="n">
        <v>30</v>
      </c>
      <c r="BT483" s="8" t="n">
        <v>31</v>
      </c>
      <c r="BU483" s="8" t="n">
        <v>17</v>
      </c>
      <c r="BV483" s="11" t="n">
        <f>IF(COUNT(BC483,BF483)=2,BC483*BF483,"")</f>
        <v>0</v>
      </c>
      <c r="BW483" s="11" t="n">
        <f>IF(ISNUMBER(BN483),BN483,"")</f>
        <v>0.8729500662042875</v>
      </c>
      <c r="BX483" s="14" t="n">
        <f>IF(ISNUMBER(BR483),BR483,"")</f>
        <v>12</v>
      </c>
      <c r="BY483" s="13" t="n">
        <f>IF(AND(COUNT(BV483,BW483,BX483)=3,MIN(BV483,BW483,BX483)&gt;=0),BV483*BW483*BX483,"")</f>
        <v>0</v>
      </c>
      <c r="BZ483" s="11" t="n">
        <f>IF(ISNUMBER(BO483),BO483,"")</f>
        <v>0.8057375774163482</v>
      </c>
      <c r="CA483" s="14" t="n">
        <f>IF(ISNUMBER(BS483),BS483,"")</f>
        <v>30</v>
      </c>
      <c r="CB483" s="13" t="n">
        <f>IF(AND(COUNT(BV483,BZ483,CA483)=3,MIN(BV483,BZ483,CA483)&gt;=0),BV483*BZ483*CA483,"")</f>
        <v>0</v>
      </c>
      <c r="CC483" s="11" t="n">
        <f>IF(ISNUMBER(BP483),BP483,"")</f>
        <v>0.532550303142279</v>
      </c>
      <c r="CD483" s="14" t="n">
        <f>IF(ISNUMBER(BT483),BT483,"")</f>
        <v>31</v>
      </c>
      <c r="CE483" s="13" t="n">
        <f>IF(AND(COUNT(BV483,CC483,CD483)=3,MIN(BV483,CC483,CD483)&gt;=0),BV483*CC483*CD483,"")</f>
        <v>0</v>
      </c>
      <c r="CF483" s="11" t="n">
        <f>IF(ISNUMBER(BQ483),BQ483,"")</f>
        <v>0.7517299265337036</v>
      </c>
      <c r="CG483" s="14" t="n">
        <f>IF(ISNUMBER(BU483),BU483,"")</f>
        <v>17</v>
      </c>
      <c r="CH483" s="13" t="n">
        <f>IF(AND(COUNT(BV483,CF483,CG483)=3,MIN(BV483,CF483,CG483)&gt;=0),BV483*CF483*CG483,"")</f>
        <v>0</v>
      </c>
      <c r="CI483" s="13" t="n">
        <f>IF(COUNT(BY483,CB483,CE483,CH483)=4,SUM(BY483,CB483,CE483,CH483),"")</f>
        <v>0</v>
      </c>
    </row>
    <row r="484" ht="72" customHeight="1">
      <c r="A484" s="16" t="str">
        <v>1S01-DB-40</v>
      </c>
      <c r="B484" s="16" t="str">
        <v>3店-SANDIEX-US</v>
      </c>
      <c r="C484" s="16" t="str">
        <v>徐新怡</v>
      </c>
      <c r="D484" s="26" t="n">
        <f>IF(NOT(ISNUMBER(E484)),"",IF(OR(E484&lt;=0,L484=0),0,IF(OR(NOT(ISNUMBER(F484)),F484&lt;0),"",MIN(E484,INT(F484)))))</f>
        <v>0</v>
      </c>
      <c r="E484" s="27" t="n">
        <f>IF(OR(NOT(ISNUMBER(L484)),COUNT(M484:O484)&lt;&gt;3,MIN(M484:O484)&lt;0),"",ROUNDUP(ROUND(BI484-SUM(M484:O484),10),0))</f>
        <v>0</v>
      </c>
      <c r="F484" s="28" t="n">
        <v>0</v>
      </c>
      <c r="G484" s="28" t="n">
        <f>IF(AND(ISNUMBER(D484),ISNUMBER(E484)),IF(OR(E484&lt;=0,L484=0),0,E484-D484),"")</f>
        <v>0</v>
      </c>
      <c r="H484" s="16" t="str">
        <f>IF(NOT(ISNUMBER(E484)),"销量或海外库存待补",IF(OR(E484&lt;=0,L484=0),IF(L484=0,"零日销，本批不发","本批无需补货"),IF(NOT(ISNUMBER(D484)),"国内库存待补",IF(D484=0,"国内无可用库存",IF(G484&gt;0,"先发国内现货","按建议量发货")))))</f>
        <v>零日销，本批不发</v>
      </c>
      <c r="I484" s="28" t="n">
        <f>IF(AND(COUNT(Z484,AA484,AB484)=3,Z484&gt;=AA484,AA484&gt;=0,AB484=7),Z484-AA484,"")</f>
        <v>0</v>
      </c>
      <c r="J484" s="28" t="n">
        <f>IF(AND(COUNT(AF484,AG484,AH484)=3,AF484&gt;=AG484,AG484&gt;=0,AH484=14),AF484-AG484,"")</f>
        <v>0</v>
      </c>
      <c r="K484" s="28" t="n">
        <f>IF(AND(COUNT(AL484,AM484,AN484)=3,AL484&gt;=AM484,AM484&gt;=0,AN484=30),AL484-AM484,"")</f>
        <v>0</v>
      </c>
      <c r="L484" s="29" t="n">
        <f>IF(ISNUMBER(BI484),BI484/90,"")</f>
        <v>0</v>
      </c>
      <c r="M484" s="28" t="n">
        <v>0</v>
      </c>
      <c r="N484" s="28" t="n">
        <v>0</v>
      </c>
      <c r="O484" s="28" t="n">
        <v>0</v>
      </c>
      <c r="P484" s="30" t="str">
        <f>IF(AND(ISNUMBER(L484),L484&gt;0,COUNT(M484:O484)=3,MIN(M484:O484)&gt;=0),SUM(M484:O484)/L484,"")</f>
      </c>
      <c r="Q484" s="16" t="str">
        <v>沿用原计划SKU店铺</v>
      </c>
      <c r="R484" s="16" t="str">
        <v>已匹配</v>
      </c>
      <c r="S484" s="16" t="str">
        <v>停售</v>
      </c>
      <c r="T484" s="16" t="str">
        <v>1S01</v>
      </c>
      <c r="U484" s="16" t="str">
        <v>深米色</v>
      </c>
      <c r="V484" s="16" t="n">
        <v>9</v>
      </c>
      <c r="W484" s="8" t="str">
        <v>2026-10-08 至 2026-10-17</v>
      </c>
      <c r="X484" s="8" t="str">
        <v>2026-10-08、2026-10-09、2026-10-10、2026-10-11、2026-10-14、2026-10-15、2026-10-17</v>
      </c>
      <c r="Y484" s="8" t="str">
        <v>2026-10-12 有记录的停售日；2026-10-13 有记录的停售日；2026-10-16 有记录的停售日</v>
      </c>
      <c r="Z484" s="8" t="n">
        <v>0</v>
      </c>
      <c r="AA484" s="8" t="n">
        <v>0</v>
      </c>
      <c r="AB484" s="8" t="n">
        <v>7</v>
      </c>
      <c r="AC484" s="8" t="str">
        <v>2026-09-29 至 2026-10-17</v>
      </c>
      <c r="AD484" s="8" t="str">
        <v>2026-09-29、2026-09-30、2026-10-01、2026-10-02、2026-10-03、2026-10-04、2026-10-05、2026-10-08、2026-10-09、2026-10-10、2026-10-11、2026-10-14、2026-10-15、2026-10-17</v>
      </c>
      <c r="AE484" s="8" t="str">
        <v>2026-10-06 大促；2026-10-07 大促；2026-10-12 有记录的停售日；2026-10-13 有记录的停售日；2026-10-16 有记录的停售日</v>
      </c>
      <c r="AF484" s="8" t="n">
        <v>0</v>
      </c>
      <c r="AG484" s="8" t="n">
        <v>0</v>
      </c>
      <c r="AH484" s="8" t="n">
        <v>14</v>
      </c>
      <c r="AI484" s="8" t="str">
        <v>2026-09-13 至 2026-10-17</v>
      </c>
      <c r="AJ48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4" s="8" t="str">
        <v>2026-10-06 大促；2026-10-07 大促；2026-10-12 有记录的停售日；2026-10-13 有记录的停售日；2026-10-16 有记录的停售日</v>
      </c>
      <c r="AL484" s="8" t="n">
        <v>0</v>
      </c>
      <c r="AM484" s="8" t="n">
        <v>0</v>
      </c>
      <c r="AN484" s="8" t="n">
        <v>30</v>
      </c>
      <c r="AO484" s="8" t="str">
        <v>1S01 / 深米色PU / 6574</v>
      </c>
      <c r="AP484" s="11" t="n">
        <v>0.8729500662042875</v>
      </c>
      <c r="AQ484" s="11" t="n">
        <v>0.9355747145678367</v>
      </c>
      <c r="AR484" s="11" t="n">
        <v>1.135973589331194</v>
      </c>
      <c r="AS484" s="11" t="n">
        <f>IF(AND(COUNT(I484:K484,AP484:AR484)=6,MIN(AP484:AR484)&gt;0),I484/7/AP484*0.5+J484/14/AQ484*0.3+K484/30/AR484*0.2,"")</f>
        <v>0</v>
      </c>
      <c r="AT484" s="8" t="n">
        <v>0</v>
      </c>
      <c r="AU484" s="8" t="n">
        <v>0</v>
      </c>
      <c r="AV484" s="8" t="n">
        <v>85</v>
      </c>
      <c r="AW484" s="11" t="n">
        <f>IF(AND(COUNT(AT484:AV484)=3,AT484&gt;=AU484,AU484&gt;=0,AV484&gt;0),(AT484-AU484)/AV484,"")</f>
        <v>0</v>
      </c>
      <c r="AX484" s="8" t="n">
        <v>0</v>
      </c>
      <c r="AY484" s="8" t="n">
        <v>0</v>
      </c>
      <c r="AZ484" s="8" t="n">
        <v>175</v>
      </c>
      <c r="BA484" s="11" t="n">
        <f>IF(AND(COUNT(AX484:AZ484)=3,AX484&gt;=AY484,AY484&gt;=0,AZ484&gt;0),(AX484-AY484)/AZ484,"")</f>
        <v>0</v>
      </c>
      <c r="BB484" s="8" t="n">
        <f>IF(COUNT(AS484,AW484,BA484)=3,1,0)</f>
        <v>1</v>
      </c>
      <c r="BC484" s="11" t="n">
        <f>IF(SUMIF($AO$11:$AO$1309,AO484,$BB$11:$BB$1309)=COUNTIF($AO$11:$AO$1309,AO484),SUMIF($AO$11:$AO$1309,AO484,$AS$11:$AS$1309),"")</f>
        <v>0</v>
      </c>
      <c r="BD484" s="11" t="n">
        <f>IF(SUMIF($AO$11:$AO$1309,AO484,$BB$11:$BB$1309)=COUNTIF($AO$11:$AO$1309,AO484),SUMIF($AO$11:$AO$1309,AO484,$AW$11:$AW$1309),"")</f>
        <v>0.047058823529411764</v>
      </c>
      <c r="BE484" s="11" t="n">
        <f>IF(SUMIF($AO$11:$AO$1309,AO484,$BB$11:$BB$1309)=COUNTIF($AO$11:$AO$1309,AO484),SUMIF($AO$11:$AO$1309,AO484,$BA$11:$BA$1309),"")</f>
        <v>0.17142857142857143</v>
      </c>
      <c r="BF484" s="12" t="n">
        <f>IF(COUNT(BD484:BE484)&lt;&gt;2,"",IF(AND(BD484&gt;0,BE484&gt;0),0.7*AW484/BD484+0.3*BA484/BE484,IF(BD484&gt;0,AW484/BD484,IF(BE484&gt;0,BA484/BE484,IF(AND(ISNUMBER(BH484),BH484=0),0,"")))))</f>
        <v>0</v>
      </c>
      <c r="BG484" s="11" t="n">
        <f>IF(AND(COUNT(BN484:BU484)=8,MIN(BN484:BU484)&gt;=0),SUMPRODUCT(BN484:BQ484,BR484:BU484),"")</f>
        <v>63.935996265425516</v>
      </c>
      <c r="BH484" s="11" t="n">
        <f>IF(COUNT(BC484,BG484)=2,BC484*BG484,"")</f>
        <v>0</v>
      </c>
      <c r="BI484" s="11" t="n">
        <f>IF(ISNUMBER(CI484),CI484,"")</f>
        <v>0</v>
      </c>
      <c r="BJ484" s="8" t="str">
        <v>近180天本色销量30双（＜90），无有效新采购，请运营判断</v>
      </c>
      <c r="BK484" s="8" t="str">
        <v>90天：2026-07-20 至 2026-10-17；180天：2026-04-21 至 2026-10-17</v>
      </c>
      <c r="BL484" s="8" t="str">
        <v>90天：2026-10-06、2026-10-07、2026-10-12、2026-10-13、2026-10-16；180天：2026-10-06、2026-10-07、2026-10-12、2026-10-13、2026-10-16</v>
      </c>
      <c r="BM484" s="8" t="str">
        <v>2026-10：12天 × 0.8729500662042875；2026-11：30天 × 0.8057375774163482；2026-12：31天 × 0.532550303142279；2027-01：17天 × 0.7517299265337036</v>
      </c>
      <c r="BN484" s="11" t="n">
        <v>0.8729500662042875</v>
      </c>
      <c r="BO484" s="11" t="n">
        <v>0.8057375774163482</v>
      </c>
      <c r="BP484" s="11" t="n">
        <v>0.532550303142279</v>
      </c>
      <c r="BQ484" s="11" t="n">
        <v>0.7517299265337036</v>
      </c>
      <c r="BR484" s="8" t="n">
        <v>12</v>
      </c>
      <c r="BS484" s="8" t="n">
        <v>30</v>
      </c>
      <c r="BT484" s="8" t="n">
        <v>31</v>
      </c>
      <c r="BU484" s="8" t="n">
        <v>17</v>
      </c>
      <c r="BV484" s="11" t="n">
        <f>IF(COUNT(BC484,BF484)=2,BC484*BF484,"")</f>
        <v>0</v>
      </c>
      <c r="BW484" s="11" t="n">
        <f>IF(ISNUMBER(BN484),BN484,"")</f>
        <v>0.8729500662042875</v>
      </c>
      <c r="BX484" s="14" t="n">
        <f>IF(ISNUMBER(BR484),BR484,"")</f>
        <v>12</v>
      </c>
      <c r="BY484" s="13" t="n">
        <f>IF(AND(COUNT(BV484,BW484,BX484)=3,MIN(BV484,BW484,BX484)&gt;=0),BV484*BW484*BX484,"")</f>
        <v>0</v>
      </c>
      <c r="BZ484" s="11" t="n">
        <f>IF(ISNUMBER(BO484),BO484,"")</f>
        <v>0.8057375774163482</v>
      </c>
      <c r="CA484" s="14" t="n">
        <f>IF(ISNUMBER(BS484),BS484,"")</f>
        <v>30</v>
      </c>
      <c r="CB484" s="13" t="n">
        <f>IF(AND(COUNT(BV484,BZ484,CA484)=3,MIN(BV484,BZ484,CA484)&gt;=0),BV484*BZ484*CA484,"")</f>
        <v>0</v>
      </c>
      <c r="CC484" s="11" t="n">
        <f>IF(ISNUMBER(BP484),BP484,"")</f>
        <v>0.532550303142279</v>
      </c>
      <c r="CD484" s="14" t="n">
        <f>IF(ISNUMBER(BT484),BT484,"")</f>
        <v>31</v>
      </c>
      <c r="CE484" s="13" t="n">
        <f>IF(AND(COUNT(BV484,CC484,CD484)=3,MIN(BV484,CC484,CD484)&gt;=0),BV484*CC484*CD484,"")</f>
        <v>0</v>
      </c>
      <c r="CF484" s="11" t="n">
        <f>IF(ISNUMBER(BQ484),BQ484,"")</f>
        <v>0.7517299265337036</v>
      </c>
      <c r="CG484" s="14" t="n">
        <f>IF(ISNUMBER(BU484),BU484,"")</f>
        <v>17</v>
      </c>
      <c r="CH484" s="13" t="n">
        <f>IF(AND(COUNT(BV484,CF484,CG484)=3,MIN(BV484,CF484,CG484)&gt;=0),BV484*CF484*CG484,"")</f>
        <v>0</v>
      </c>
      <c r="CI484" s="13" t="n">
        <f>IF(COUNT(BY484,CB484,CE484,CH484)=4,SUM(BY484,CB484,CE484,CH484),"")</f>
        <v>0</v>
      </c>
    </row>
    <row r="485" ht="72" customHeight="1">
      <c r="A485" s="16" t="str">
        <v>1S01-DB-40.5</v>
      </c>
      <c r="B485" s="16" t="str">
        <v>3店-SANDIEX-US</v>
      </c>
      <c r="C485" s="16" t="str">
        <v>徐新怡</v>
      </c>
      <c r="D485" s="26" t="n">
        <f>IF(NOT(ISNUMBER(E485)),"",IF(OR(E485&lt;=0,L485=0),0,IF(OR(NOT(ISNUMBER(F485)),F485&lt;0),"",MIN(E485,INT(F485)))))</f>
        <v>0</v>
      </c>
      <c r="E485" s="27" t="n">
        <f>IF(OR(NOT(ISNUMBER(L485)),COUNT(M485:O485)&lt;&gt;3,MIN(M485:O485)&lt;0),"",ROUNDUP(ROUND(BI485-SUM(M485:O485),10),0))</f>
        <v>0</v>
      </c>
      <c r="F485" s="28"/>
      <c r="G485" s="28" t="n">
        <f>IF(AND(ISNUMBER(D485),ISNUMBER(E485)),IF(OR(E485&lt;=0,L485=0),0,E485-D485),"")</f>
        <v>0</v>
      </c>
      <c r="H485" s="16" t="str">
        <f>IF(NOT(ISNUMBER(E485)),"销量或海外库存待补",IF(OR(E485&lt;=0,L485=0),IF(L485=0,"零日销，本批不发","本批无需补货"),IF(NOT(ISNUMBER(D485)),"国内库存待补",IF(D485=0,"国内无可用库存",IF(G485&gt;0,"先发国内现货","按建议量发货")))))</f>
        <v>零日销，本批不发</v>
      </c>
      <c r="I485" s="28" t="n">
        <f>IF(AND(COUNT(Z485,AA485,AB485)=3,Z485&gt;=AA485,AA485&gt;=0,AB485=7),Z485-AA485,"")</f>
        <v>0</v>
      </c>
      <c r="J485" s="28" t="n">
        <f>IF(AND(COUNT(AF485,AG485,AH485)=3,AF485&gt;=AG485,AG485&gt;=0,AH485=14),AF485-AG485,"")</f>
        <v>0</v>
      </c>
      <c r="K485" s="28" t="n">
        <f>IF(AND(COUNT(AL485,AM485,AN485)=3,AL485&gt;=AM485,AM485&gt;=0,AN485=30),AL485-AM485,"")</f>
        <v>0</v>
      </c>
      <c r="L485" s="29" t="n">
        <f>IF(ISNUMBER(BI485),BI485/90,"")</f>
        <v>0</v>
      </c>
      <c r="M485" s="28" t="n">
        <v>0</v>
      </c>
      <c r="N485" s="28" t="n">
        <v>0</v>
      </c>
      <c r="O485" s="28" t="n">
        <v>0</v>
      </c>
      <c r="P485" s="30" t="str">
        <f>IF(AND(ISNUMBER(L485),L485&gt;0,COUNT(M485:O485)=3,MIN(M485:O485)&gt;=0),SUM(M485:O485)/L485,"")</f>
      </c>
      <c r="Q485" s="16" t="str">
        <v>沿用同SPU原计划店铺</v>
      </c>
      <c r="R485" s="16" t="str">
        <v>未匹配</v>
      </c>
      <c r="S485" s="16" t="str">
        <v>停售</v>
      </c>
      <c r="T485" s="16" t="str">
        <v>1S01</v>
      </c>
      <c r="U485" s="16" t="str">
        <v>深米色</v>
      </c>
      <c r="V485" s="16" t="n">
        <v>9.5</v>
      </c>
      <c r="W485" s="8" t="str">
        <v>2026-10-08 至 2026-10-17</v>
      </c>
      <c r="X485" s="8" t="str">
        <v>2026-10-08、2026-10-09、2026-10-10、2026-10-11、2026-10-14、2026-10-15、2026-10-17</v>
      </c>
      <c r="Y485" s="8" t="str">
        <v>2026-10-12 有记录的停售日；2026-10-13 有记录的停售日；2026-10-16 有记录的停售日</v>
      </c>
      <c r="Z485" s="8" t="n">
        <v>0</v>
      </c>
      <c r="AA485" s="8" t="n">
        <v>0</v>
      </c>
      <c r="AB485" s="8" t="n">
        <v>7</v>
      </c>
      <c r="AC485" s="8" t="str">
        <v>2026-09-29 至 2026-10-17</v>
      </c>
      <c r="AD485" s="8" t="str">
        <v>2026-09-29、2026-09-30、2026-10-01、2026-10-02、2026-10-03、2026-10-04、2026-10-05、2026-10-08、2026-10-09、2026-10-10、2026-10-11、2026-10-14、2026-10-15、2026-10-17</v>
      </c>
      <c r="AE485" s="8" t="str">
        <v>2026-10-06 大促；2026-10-07 大促；2026-10-12 有记录的停售日；2026-10-13 有记录的停售日；2026-10-16 有记录的停售日</v>
      </c>
      <c r="AF485" s="8" t="n">
        <v>0</v>
      </c>
      <c r="AG485" s="8" t="n">
        <v>0</v>
      </c>
      <c r="AH485" s="8" t="n">
        <v>14</v>
      </c>
      <c r="AI485" s="8" t="str">
        <v>2026-09-13 至 2026-10-17</v>
      </c>
      <c r="AJ48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5" s="8" t="str">
        <v>2026-10-06 大促；2026-10-07 大促；2026-10-12 有记录的停售日；2026-10-13 有记录的停售日；2026-10-16 有记录的停售日</v>
      </c>
      <c r="AL485" s="8" t="n">
        <v>0</v>
      </c>
      <c r="AM485" s="8" t="n">
        <v>0</v>
      </c>
      <c r="AN485" s="8" t="n">
        <v>30</v>
      </c>
      <c r="AO485" s="8" t="str">
        <v>1S01 / 深米色PU / 6574</v>
      </c>
      <c r="AP485" s="11" t="n">
        <v>0.8729500662042875</v>
      </c>
      <c r="AQ485" s="11" t="n">
        <v>0.9355747145678367</v>
      </c>
      <c r="AR485" s="11" t="n">
        <v>1.135973589331194</v>
      </c>
      <c r="AS485" s="11" t="n">
        <f>IF(AND(COUNT(I485:K485,AP485:AR485)=6,MIN(AP485:AR485)&gt;0),I485/7/AP485*0.5+J485/14/AQ485*0.3+K485/30/AR485*0.2,"")</f>
        <v>0</v>
      </c>
      <c r="AT485" s="8" t="n">
        <v>0</v>
      </c>
      <c r="AU485" s="8" t="n">
        <v>0</v>
      </c>
      <c r="AV485" s="8" t="n">
        <v>85</v>
      </c>
      <c r="AW485" s="11" t="n">
        <f>IF(AND(COUNT(AT485:AV485)=3,AT485&gt;=AU485,AU485&gt;=0,AV485&gt;0),(AT485-AU485)/AV485,"")</f>
        <v>0</v>
      </c>
      <c r="AX485" s="8" t="n">
        <v>0</v>
      </c>
      <c r="AY485" s="8" t="n">
        <v>0</v>
      </c>
      <c r="AZ485" s="8" t="n">
        <v>175</v>
      </c>
      <c r="BA485" s="11" t="n">
        <f>IF(AND(COUNT(AX485:AZ485)=3,AX485&gt;=AY485,AY485&gt;=0,AZ485&gt;0),(AX485-AY485)/AZ485,"")</f>
        <v>0</v>
      </c>
      <c r="BB485" s="8" t="n">
        <f>IF(COUNT(AS485,AW485,BA485)=3,1,0)</f>
        <v>1</v>
      </c>
      <c r="BC485" s="11" t="n">
        <f>IF(SUMIF($AO$11:$AO$1309,AO485,$BB$11:$BB$1309)=COUNTIF($AO$11:$AO$1309,AO485),SUMIF($AO$11:$AO$1309,AO485,$AS$11:$AS$1309),"")</f>
        <v>0</v>
      </c>
      <c r="BD485" s="11" t="n">
        <f>IF(SUMIF($AO$11:$AO$1309,AO485,$BB$11:$BB$1309)=COUNTIF($AO$11:$AO$1309,AO485),SUMIF($AO$11:$AO$1309,AO485,$AW$11:$AW$1309),"")</f>
        <v>0.047058823529411764</v>
      </c>
      <c r="BE485" s="11" t="n">
        <f>IF(SUMIF($AO$11:$AO$1309,AO485,$BB$11:$BB$1309)=COUNTIF($AO$11:$AO$1309,AO485),SUMIF($AO$11:$AO$1309,AO485,$BA$11:$BA$1309),"")</f>
        <v>0.17142857142857143</v>
      </c>
      <c r="BF485" s="12" t="n">
        <f>IF(COUNT(BD485:BE485)&lt;&gt;2,"",IF(AND(BD485&gt;0,BE485&gt;0),0.7*AW485/BD485+0.3*BA485/BE485,IF(BD485&gt;0,AW485/BD485,IF(BE485&gt;0,BA485/BE485,IF(AND(ISNUMBER(BH485),BH485=0),0,"")))))</f>
        <v>0</v>
      </c>
      <c r="BG485" s="11" t="n">
        <f>IF(AND(COUNT(BN485:BU485)=8,MIN(BN485:BU485)&gt;=0),SUMPRODUCT(BN485:BQ485,BR485:BU485),"")</f>
        <v>63.935996265425516</v>
      </c>
      <c r="BH485" s="11" t="n">
        <f>IF(COUNT(BC485,BG485)=2,BC485*BG485,"")</f>
        <v>0</v>
      </c>
      <c r="BI485" s="11" t="n">
        <f>IF(ISNUMBER(CI485),CI485,"")</f>
        <v>0</v>
      </c>
      <c r="BJ485" s="8" t="str">
        <v>近180天本色销量30双（＜90），无有效新采购，请运营判断</v>
      </c>
      <c r="BK485" s="8" t="str">
        <v>90天：2026-07-20 至 2026-10-17；180天：2026-04-21 至 2026-10-17</v>
      </c>
      <c r="BL485" s="8" t="str">
        <v>90天：2026-10-06、2026-10-07、2026-10-12、2026-10-13、2026-10-16；180天：2026-10-06、2026-10-07、2026-10-12、2026-10-13、2026-10-16</v>
      </c>
      <c r="BM485" s="8" t="str">
        <v>2026-10：12天 × 0.8729500662042875；2026-11：30天 × 0.8057375774163482；2026-12：31天 × 0.532550303142279；2027-01：17天 × 0.7517299265337036</v>
      </c>
      <c r="BN485" s="11" t="n">
        <v>0.8729500662042875</v>
      </c>
      <c r="BO485" s="11" t="n">
        <v>0.8057375774163482</v>
      </c>
      <c r="BP485" s="11" t="n">
        <v>0.532550303142279</v>
      </c>
      <c r="BQ485" s="11" t="n">
        <v>0.7517299265337036</v>
      </c>
      <c r="BR485" s="8" t="n">
        <v>12</v>
      </c>
      <c r="BS485" s="8" t="n">
        <v>30</v>
      </c>
      <c r="BT485" s="8" t="n">
        <v>31</v>
      </c>
      <c r="BU485" s="8" t="n">
        <v>17</v>
      </c>
      <c r="BV485" s="11" t="n">
        <f>IF(COUNT(BC485,BF485)=2,BC485*BF485,"")</f>
        <v>0</v>
      </c>
      <c r="BW485" s="11" t="n">
        <f>IF(ISNUMBER(BN485),BN485,"")</f>
        <v>0.8729500662042875</v>
      </c>
      <c r="BX485" s="14" t="n">
        <f>IF(ISNUMBER(BR485),BR485,"")</f>
        <v>12</v>
      </c>
      <c r="BY485" s="13" t="n">
        <f>IF(AND(COUNT(BV485,BW485,BX485)=3,MIN(BV485,BW485,BX485)&gt;=0),BV485*BW485*BX485,"")</f>
        <v>0</v>
      </c>
      <c r="BZ485" s="11" t="n">
        <f>IF(ISNUMBER(BO485),BO485,"")</f>
        <v>0.8057375774163482</v>
      </c>
      <c r="CA485" s="14" t="n">
        <f>IF(ISNUMBER(BS485),BS485,"")</f>
        <v>30</v>
      </c>
      <c r="CB485" s="13" t="n">
        <f>IF(AND(COUNT(BV485,BZ485,CA485)=3,MIN(BV485,BZ485,CA485)&gt;=0),BV485*BZ485*CA485,"")</f>
        <v>0</v>
      </c>
      <c r="CC485" s="11" t="n">
        <f>IF(ISNUMBER(BP485),BP485,"")</f>
        <v>0.532550303142279</v>
      </c>
      <c r="CD485" s="14" t="n">
        <f>IF(ISNUMBER(BT485),BT485,"")</f>
        <v>31</v>
      </c>
      <c r="CE485" s="13" t="n">
        <f>IF(AND(COUNT(BV485,CC485,CD485)=3,MIN(BV485,CC485,CD485)&gt;=0),BV485*CC485*CD485,"")</f>
        <v>0</v>
      </c>
      <c r="CF485" s="11" t="n">
        <f>IF(ISNUMBER(BQ485),BQ485,"")</f>
        <v>0.7517299265337036</v>
      </c>
      <c r="CG485" s="14" t="n">
        <f>IF(ISNUMBER(BU485),BU485,"")</f>
        <v>17</v>
      </c>
      <c r="CH485" s="13" t="n">
        <f>IF(AND(COUNT(BV485,CF485,CG485)=3,MIN(BV485,CF485,CG485)&gt;=0),BV485*CF485*CG485,"")</f>
        <v>0</v>
      </c>
      <c r="CI485" s="13" t="n">
        <f>IF(COUNT(BY485,CB485,CE485,CH485)=4,SUM(BY485,CB485,CE485,CH485),"")</f>
        <v>0</v>
      </c>
    </row>
    <row r="486" ht="72" customHeight="1">
      <c r="A486" s="16" t="str">
        <v>1S01-DB-41</v>
      </c>
      <c r="B486" s="16" t="str">
        <v>3店-SANDIEX-US</v>
      </c>
      <c r="C486" s="16" t="str">
        <v>徐新怡</v>
      </c>
      <c r="D486" s="26" t="n">
        <f>IF(NOT(ISNUMBER(E486)),"",IF(OR(E486&lt;=0,L486=0),0,IF(OR(NOT(ISNUMBER(F486)),F486&lt;0),"",MIN(E486,INT(F486)))))</f>
        <v>0</v>
      </c>
      <c r="E486" s="27" t="n">
        <f>IF(OR(NOT(ISNUMBER(L486)),COUNT(M486:O486)&lt;&gt;3,MIN(M486:O486)&lt;0),"",ROUNDUP(ROUND(BI486-SUM(M486:O486),10),0))</f>
        <v>0</v>
      </c>
      <c r="F486" s="28" t="n">
        <v>0</v>
      </c>
      <c r="G486" s="28" t="n">
        <f>IF(AND(ISNUMBER(D486),ISNUMBER(E486)),IF(OR(E486&lt;=0,L486=0),0,E486-D486),"")</f>
        <v>0</v>
      </c>
      <c r="H486" s="16" t="str">
        <f>IF(NOT(ISNUMBER(E486)),"销量或海外库存待补",IF(OR(E486&lt;=0,L486=0),IF(L486=0,"零日销，本批不发","本批无需补货"),IF(NOT(ISNUMBER(D486)),"国内库存待补",IF(D486=0,"国内无可用库存",IF(G486&gt;0,"先发国内现货","按建议量发货")))))</f>
        <v>零日销，本批不发</v>
      </c>
      <c r="I486" s="28" t="n">
        <f>IF(AND(COUNT(Z486,AA486,AB486)=3,Z486&gt;=AA486,AA486&gt;=0,AB486=7),Z486-AA486,"")</f>
        <v>0</v>
      </c>
      <c r="J486" s="28" t="n">
        <f>IF(AND(COUNT(AF486,AG486,AH486)=3,AF486&gt;=AG486,AG486&gt;=0,AH486=14),AF486-AG486,"")</f>
        <v>0</v>
      </c>
      <c r="K486" s="28" t="n">
        <f>IF(AND(COUNT(AL486,AM486,AN486)=3,AL486&gt;=AM486,AM486&gt;=0,AN486=30),AL486-AM486,"")</f>
        <v>0</v>
      </c>
      <c r="L486" s="29" t="n">
        <f>IF(ISNUMBER(BI486),BI486/90,"")</f>
        <v>0</v>
      </c>
      <c r="M486" s="28" t="n">
        <v>0</v>
      </c>
      <c r="N486" s="28" t="n">
        <v>0</v>
      </c>
      <c r="O486" s="28" t="n">
        <v>0</v>
      </c>
      <c r="P486" s="30" t="str">
        <f>IF(AND(ISNUMBER(L486),L486&gt;0,COUNT(M486:O486)=3,MIN(M486:O486)&gt;=0),SUM(M486:O486)/L486,"")</f>
      </c>
      <c r="Q486" s="16" t="str">
        <v>沿用原计划SKU店铺</v>
      </c>
      <c r="R486" s="16" t="str">
        <v>已匹配</v>
      </c>
      <c r="S486" s="16" t="str">
        <v>停售</v>
      </c>
      <c r="T486" s="16" t="str">
        <v>1S01</v>
      </c>
      <c r="U486" s="16" t="str">
        <v>深米色</v>
      </c>
      <c r="V486" s="16" t="n">
        <v>10</v>
      </c>
      <c r="W486" s="8" t="str">
        <v>2026-10-08 至 2026-10-17</v>
      </c>
      <c r="X486" s="8" t="str">
        <v>2026-10-08、2026-10-09、2026-10-10、2026-10-11、2026-10-14、2026-10-15、2026-10-17</v>
      </c>
      <c r="Y486" s="8" t="str">
        <v>2026-10-12 有记录的停售日；2026-10-13 有记录的停售日；2026-10-16 有记录的停售日</v>
      </c>
      <c r="Z486" s="8" t="n">
        <v>0</v>
      </c>
      <c r="AA486" s="8" t="n">
        <v>0</v>
      </c>
      <c r="AB486" s="8" t="n">
        <v>7</v>
      </c>
      <c r="AC486" s="8" t="str">
        <v>2026-09-29 至 2026-10-17</v>
      </c>
      <c r="AD486" s="8" t="str">
        <v>2026-09-29、2026-09-30、2026-10-01、2026-10-02、2026-10-03、2026-10-04、2026-10-05、2026-10-08、2026-10-09、2026-10-10、2026-10-11、2026-10-14、2026-10-15、2026-10-17</v>
      </c>
      <c r="AE486" s="8" t="str">
        <v>2026-10-06 大促；2026-10-07 大促；2026-10-12 有记录的停售日；2026-10-13 有记录的停售日；2026-10-16 有记录的停售日</v>
      </c>
      <c r="AF486" s="8" t="n">
        <v>0</v>
      </c>
      <c r="AG486" s="8" t="n">
        <v>0</v>
      </c>
      <c r="AH486" s="8" t="n">
        <v>14</v>
      </c>
      <c r="AI486" s="8" t="str">
        <v>2026-09-13 至 2026-10-17</v>
      </c>
      <c r="AJ48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6" s="8" t="str">
        <v>2026-10-06 大促；2026-10-07 大促；2026-10-12 有记录的停售日；2026-10-13 有记录的停售日；2026-10-16 有记录的停售日</v>
      </c>
      <c r="AL486" s="8" t="n">
        <v>0</v>
      </c>
      <c r="AM486" s="8" t="n">
        <v>0</v>
      </c>
      <c r="AN486" s="8" t="n">
        <v>30</v>
      </c>
      <c r="AO486" s="8" t="str">
        <v>1S01 / 深米色PU / 6574</v>
      </c>
      <c r="AP486" s="11" t="n">
        <v>0.8729500662042875</v>
      </c>
      <c r="AQ486" s="11" t="n">
        <v>0.9355747145678367</v>
      </c>
      <c r="AR486" s="11" t="n">
        <v>1.135973589331194</v>
      </c>
      <c r="AS486" s="11" t="n">
        <f>IF(AND(COUNT(I486:K486,AP486:AR486)=6,MIN(AP486:AR486)&gt;0),I486/7/AP486*0.5+J486/14/AQ486*0.3+K486/30/AR486*0.2,"")</f>
        <v>0</v>
      </c>
      <c r="AT486" s="8" t="n">
        <v>0</v>
      </c>
      <c r="AU486" s="8" t="n">
        <v>0</v>
      </c>
      <c r="AV486" s="8" t="n">
        <v>85</v>
      </c>
      <c r="AW486" s="11" t="n">
        <f>IF(AND(COUNT(AT486:AV486)=3,AT486&gt;=AU486,AU486&gt;=0,AV486&gt;0),(AT486-AU486)/AV486,"")</f>
        <v>0</v>
      </c>
      <c r="AX486" s="8" t="n">
        <v>0</v>
      </c>
      <c r="AY486" s="8" t="n">
        <v>0</v>
      </c>
      <c r="AZ486" s="8" t="n">
        <v>175</v>
      </c>
      <c r="BA486" s="11" t="n">
        <f>IF(AND(COUNT(AX486:AZ486)=3,AX486&gt;=AY486,AY486&gt;=0,AZ486&gt;0),(AX486-AY486)/AZ486,"")</f>
        <v>0</v>
      </c>
      <c r="BB486" s="8" t="n">
        <f>IF(COUNT(AS486,AW486,BA486)=3,1,0)</f>
        <v>1</v>
      </c>
      <c r="BC486" s="11" t="n">
        <f>IF(SUMIF($AO$11:$AO$1309,AO486,$BB$11:$BB$1309)=COUNTIF($AO$11:$AO$1309,AO486),SUMIF($AO$11:$AO$1309,AO486,$AS$11:$AS$1309),"")</f>
        <v>0</v>
      </c>
      <c r="BD486" s="11" t="n">
        <f>IF(SUMIF($AO$11:$AO$1309,AO486,$BB$11:$BB$1309)=COUNTIF($AO$11:$AO$1309,AO486),SUMIF($AO$11:$AO$1309,AO486,$AW$11:$AW$1309),"")</f>
        <v>0.047058823529411764</v>
      </c>
      <c r="BE486" s="11" t="n">
        <f>IF(SUMIF($AO$11:$AO$1309,AO486,$BB$11:$BB$1309)=COUNTIF($AO$11:$AO$1309,AO486),SUMIF($AO$11:$AO$1309,AO486,$BA$11:$BA$1309),"")</f>
        <v>0.17142857142857143</v>
      </c>
      <c r="BF486" s="12" t="n">
        <f>IF(COUNT(BD486:BE486)&lt;&gt;2,"",IF(AND(BD486&gt;0,BE486&gt;0),0.7*AW486/BD486+0.3*BA486/BE486,IF(BD486&gt;0,AW486/BD486,IF(BE486&gt;0,BA486/BE486,IF(AND(ISNUMBER(BH486),BH486=0),0,"")))))</f>
        <v>0</v>
      </c>
      <c r="BG486" s="11" t="n">
        <f>IF(AND(COUNT(BN486:BU486)=8,MIN(BN486:BU486)&gt;=0),SUMPRODUCT(BN486:BQ486,BR486:BU486),"")</f>
        <v>63.935996265425516</v>
      </c>
      <c r="BH486" s="11" t="n">
        <f>IF(COUNT(BC486,BG486)=2,BC486*BG486,"")</f>
        <v>0</v>
      </c>
      <c r="BI486" s="11" t="n">
        <f>IF(ISNUMBER(CI486),CI486,"")</f>
        <v>0</v>
      </c>
      <c r="BJ486" s="8" t="str">
        <v>近180天本色销量30双（＜90），无有效新采购，请运营判断</v>
      </c>
      <c r="BK486" s="8" t="str">
        <v>90天：2026-07-20 至 2026-10-17；180天：2026-04-21 至 2026-10-17</v>
      </c>
      <c r="BL486" s="8" t="str">
        <v>90天：2026-10-06、2026-10-07、2026-10-12、2026-10-13、2026-10-16；180天：2026-10-06、2026-10-07、2026-10-12、2026-10-13、2026-10-16</v>
      </c>
      <c r="BM486" s="8" t="str">
        <v>2026-10：12天 × 0.8729500662042875；2026-11：30天 × 0.8057375774163482；2026-12：31天 × 0.532550303142279；2027-01：17天 × 0.7517299265337036</v>
      </c>
      <c r="BN486" s="11" t="n">
        <v>0.8729500662042875</v>
      </c>
      <c r="BO486" s="11" t="n">
        <v>0.8057375774163482</v>
      </c>
      <c r="BP486" s="11" t="n">
        <v>0.532550303142279</v>
      </c>
      <c r="BQ486" s="11" t="n">
        <v>0.7517299265337036</v>
      </c>
      <c r="BR486" s="8" t="n">
        <v>12</v>
      </c>
      <c r="BS486" s="8" t="n">
        <v>30</v>
      </c>
      <c r="BT486" s="8" t="n">
        <v>31</v>
      </c>
      <c r="BU486" s="8" t="n">
        <v>17</v>
      </c>
      <c r="BV486" s="11" t="n">
        <f>IF(COUNT(BC486,BF486)=2,BC486*BF486,"")</f>
        <v>0</v>
      </c>
      <c r="BW486" s="11" t="n">
        <f>IF(ISNUMBER(BN486),BN486,"")</f>
        <v>0.8729500662042875</v>
      </c>
      <c r="BX486" s="14" t="n">
        <f>IF(ISNUMBER(BR486),BR486,"")</f>
        <v>12</v>
      </c>
      <c r="BY486" s="13" t="n">
        <f>IF(AND(COUNT(BV486,BW486,BX486)=3,MIN(BV486,BW486,BX486)&gt;=0),BV486*BW486*BX486,"")</f>
        <v>0</v>
      </c>
      <c r="BZ486" s="11" t="n">
        <f>IF(ISNUMBER(BO486),BO486,"")</f>
        <v>0.8057375774163482</v>
      </c>
      <c r="CA486" s="14" t="n">
        <f>IF(ISNUMBER(BS486),BS486,"")</f>
        <v>30</v>
      </c>
      <c r="CB486" s="13" t="n">
        <f>IF(AND(COUNT(BV486,BZ486,CA486)=3,MIN(BV486,BZ486,CA486)&gt;=0),BV486*BZ486*CA486,"")</f>
        <v>0</v>
      </c>
      <c r="CC486" s="11" t="n">
        <f>IF(ISNUMBER(BP486),BP486,"")</f>
        <v>0.532550303142279</v>
      </c>
      <c r="CD486" s="14" t="n">
        <f>IF(ISNUMBER(BT486),BT486,"")</f>
        <v>31</v>
      </c>
      <c r="CE486" s="13" t="n">
        <f>IF(AND(COUNT(BV486,CC486,CD486)=3,MIN(BV486,CC486,CD486)&gt;=0),BV486*CC486*CD486,"")</f>
        <v>0</v>
      </c>
      <c r="CF486" s="11" t="n">
        <f>IF(ISNUMBER(BQ486),BQ486,"")</f>
        <v>0.7517299265337036</v>
      </c>
      <c r="CG486" s="14" t="n">
        <f>IF(ISNUMBER(BU486),BU486,"")</f>
        <v>17</v>
      </c>
      <c r="CH486" s="13" t="n">
        <f>IF(AND(COUNT(BV486,CF486,CG486)=3,MIN(BV486,CF486,CG486)&gt;=0),BV486*CF486*CG486,"")</f>
        <v>0</v>
      </c>
      <c r="CI486" s="13" t="n">
        <f>IF(COUNT(BY486,CB486,CE486,CH486)=4,SUM(BY486,CB486,CE486,CH486),"")</f>
        <v>0</v>
      </c>
    </row>
    <row r="487" ht="72" customHeight="1">
      <c r="A487" s="16" t="str">
        <v>1S01-DB-41.5</v>
      </c>
      <c r="B487" s="16" t="str">
        <v>3店-SANDIEX-US</v>
      </c>
      <c r="C487" s="16" t="str">
        <v>徐新怡</v>
      </c>
      <c r="D487" s="26" t="n">
        <f>IF(NOT(ISNUMBER(E487)),"",IF(OR(E487&lt;=0,L487=0),0,IF(OR(NOT(ISNUMBER(F487)),F487&lt;0),"",MIN(E487,INT(F487)))))</f>
        <v>0</v>
      </c>
      <c r="E487" s="27" t="n">
        <f>IF(OR(NOT(ISNUMBER(L487)),COUNT(M487:O487)&lt;&gt;3,MIN(M487:O487)&lt;0),"",ROUNDUP(ROUND(BI487-SUM(M487:O487),10),0))</f>
        <v>0</v>
      </c>
      <c r="F487" s="28"/>
      <c r="G487" s="28" t="n">
        <f>IF(AND(ISNUMBER(D487),ISNUMBER(E487)),IF(OR(E487&lt;=0,L487=0),0,E487-D487),"")</f>
        <v>0</v>
      </c>
      <c r="H487" s="16" t="str">
        <f>IF(NOT(ISNUMBER(E487)),"销量或海外库存待补",IF(OR(E487&lt;=0,L487=0),IF(L487=0,"零日销，本批不发","本批无需补货"),IF(NOT(ISNUMBER(D487)),"国内库存待补",IF(D487=0,"国内无可用库存",IF(G487&gt;0,"先发国内现货","按建议量发货")))))</f>
        <v>零日销，本批不发</v>
      </c>
      <c r="I487" s="28" t="n">
        <f>IF(AND(COUNT(Z487,AA487,AB487)=3,Z487&gt;=AA487,AA487&gt;=0,AB487=7),Z487-AA487,"")</f>
        <v>0</v>
      </c>
      <c r="J487" s="28" t="n">
        <f>IF(AND(COUNT(AF487,AG487,AH487)=3,AF487&gt;=AG487,AG487&gt;=0,AH487=14),AF487-AG487,"")</f>
        <v>0</v>
      </c>
      <c r="K487" s="28" t="n">
        <f>IF(AND(COUNT(AL487,AM487,AN487)=3,AL487&gt;=AM487,AM487&gt;=0,AN487=30),AL487-AM487,"")</f>
        <v>0</v>
      </c>
      <c r="L487" s="29" t="n">
        <f>IF(ISNUMBER(BI487),BI487/90,"")</f>
        <v>0</v>
      </c>
      <c r="M487" s="28" t="n">
        <v>0</v>
      </c>
      <c r="N487" s="28" t="n">
        <v>0</v>
      </c>
      <c r="O487" s="28" t="n">
        <v>0</v>
      </c>
      <c r="P487" s="30" t="str">
        <f>IF(AND(ISNUMBER(L487),L487&gt;0,COUNT(M487:O487)=3,MIN(M487:O487)&gt;=0),SUM(M487:O487)/L487,"")</f>
      </c>
      <c r="Q487" s="16" t="str">
        <v>沿用同SPU原计划店铺</v>
      </c>
      <c r="R487" s="16" t="str">
        <v>未匹配</v>
      </c>
      <c r="S487" s="16" t="str">
        <v>停售</v>
      </c>
      <c r="T487" s="16" t="str">
        <v>1S01</v>
      </c>
      <c r="U487" s="16" t="str">
        <v>深米色</v>
      </c>
      <c r="V487" s="16" t="n">
        <v>10.5</v>
      </c>
      <c r="W487" s="8" t="str">
        <v>2026-10-08 至 2026-10-17</v>
      </c>
      <c r="X487" s="8" t="str">
        <v>2026-10-08、2026-10-09、2026-10-10、2026-10-11、2026-10-14、2026-10-15、2026-10-17</v>
      </c>
      <c r="Y487" s="8" t="str">
        <v>2026-10-12 有记录的停售日；2026-10-13 有记录的停售日；2026-10-16 有记录的停售日</v>
      </c>
      <c r="Z487" s="8" t="n">
        <v>0</v>
      </c>
      <c r="AA487" s="8" t="n">
        <v>0</v>
      </c>
      <c r="AB487" s="8" t="n">
        <v>7</v>
      </c>
      <c r="AC487" s="8" t="str">
        <v>2026-09-29 至 2026-10-17</v>
      </c>
      <c r="AD487" s="8" t="str">
        <v>2026-09-29、2026-09-30、2026-10-01、2026-10-02、2026-10-03、2026-10-04、2026-10-05、2026-10-08、2026-10-09、2026-10-10、2026-10-11、2026-10-14、2026-10-15、2026-10-17</v>
      </c>
      <c r="AE487" s="8" t="str">
        <v>2026-10-06 大促；2026-10-07 大促；2026-10-12 有记录的停售日；2026-10-13 有记录的停售日；2026-10-16 有记录的停售日</v>
      </c>
      <c r="AF487" s="8" t="n">
        <v>0</v>
      </c>
      <c r="AG487" s="8" t="n">
        <v>0</v>
      </c>
      <c r="AH487" s="8" t="n">
        <v>14</v>
      </c>
      <c r="AI487" s="8" t="str">
        <v>2026-09-13 至 2026-10-17</v>
      </c>
      <c r="AJ4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7" s="8" t="str">
        <v>2026-10-06 大促；2026-10-07 大促；2026-10-12 有记录的停售日；2026-10-13 有记录的停售日；2026-10-16 有记录的停售日</v>
      </c>
      <c r="AL487" s="8" t="n">
        <v>0</v>
      </c>
      <c r="AM487" s="8" t="n">
        <v>0</v>
      </c>
      <c r="AN487" s="8" t="n">
        <v>30</v>
      </c>
      <c r="AO487" s="8" t="str">
        <v>1S01 / 深米色PU / 6574</v>
      </c>
      <c r="AP487" s="11" t="n">
        <v>0.8729500662042875</v>
      </c>
      <c r="AQ487" s="11" t="n">
        <v>0.9355747145678367</v>
      </c>
      <c r="AR487" s="11" t="n">
        <v>1.135973589331194</v>
      </c>
      <c r="AS487" s="11" t="n">
        <f>IF(AND(COUNT(I487:K487,AP487:AR487)=6,MIN(AP487:AR487)&gt;0),I487/7/AP487*0.5+J487/14/AQ487*0.3+K487/30/AR487*0.2,"")</f>
        <v>0</v>
      </c>
      <c r="AT487" s="8" t="n">
        <v>0</v>
      </c>
      <c r="AU487" s="8" t="n">
        <v>0</v>
      </c>
      <c r="AV487" s="8" t="n">
        <v>85</v>
      </c>
      <c r="AW487" s="11" t="n">
        <f>IF(AND(COUNT(AT487:AV487)=3,AT487&gt;=AU487,AU487&gt;=0,AV487&gt;0),(AT487-AU487)/AV487,"")</f>
        <v>0</v>
      </c>
      <c r="AX487" s="8" t="n">
        <v>0</v>
      </c>
      <c r="AY487" s="8" t="n">
        <v>0</v>
      </c>
      <c r="AZ487" s="8" t="n">
        <v>175</v>
      </c>
      <c r="BA487" s="11" t="n">
        <f>IF(AND(COUNT(AX487:AZ487)=3,AX487&gt;=AY487,AY487&gt;=0,AZ487&gt;0),(AX487-AY487)/AZ487,"")</f>
        <v>0</v>
      </c>
      <c r="BB487" s="8" t="n">
        <f>IF(COUNT(AS487,AW487,BA487)=3,1,0)</f>
        <v>1</v>
      </c>
      <c r="BC487" s="11" t="n">
        <f>IF(SUMIF($AO$11:$AO$1309,AO487,$BB$11:$BB$1309)=COUNTIF($AO$11:$AO$1309,AO487),SUMIF($AO$11:$AO$1309,AO487,$AS$11:$AS$1309),"")</f>
        <v>0</v>
      </c>
      <c r="BD487" s="11" t="n">
        <f>IF(SUMIF($AO$11:$AO$1309,AO487,$BB$11:$BB$1309)=COUNTIF($AO$11:$AO$1309,AO487),SUMIF($AO$11:$AO$1309,AO487,$AW$11:$AW$1309),"")</f>
        <v>0.047058823529411764</v>
      </c>
      <c r="BE487" s="11" t="n">
        <f>IF(SUMIF($AO$11:$AO$1309,AO487,$BB$11:$BB$1309)=COUNTIF($AO$11:$AO$1309,AO487),SUMIF($AO$11:$AO$1309,AO487,$BA$11:$BA$1309),"")</f>
        <v>0.17142857142857143</v>
      </c>
      <c r="BF487" s="12" t="n">
        <f>IF(COUNT(BD487:BE487)&lt;&gt;2,"",IF(AND(BD487&gt;0,BE487&gt;0),0.7*AW487/BD487+0.3*BA487/BE487,IF(BD487&gt;0,AW487/BD487,IF(BE487&gt;0,BA487/BE487,IF(AND(ISNUMBER(BH487),BH487=0),0,"")))))</f>
        <v>0</v>
      </c>
      <c r="BG487" s="11" t="n">
        <f>IF(AND(COUNT(BN487:BU487)=8,MIN(BN487:BU487)&gt;=0),SUMPRODUCT(BN487:BQ487,BR487:BU487),"")</f>
        <v>63.935996265425516</v>
      </c>
      <c r="BH487" s="11" t="n">
        <f>IF(COUNT(BC487,BG487)=2,BC487*BG487,"")</f>
        <v>0</v>
      </c>
      <c r="BI487" s="11" t="n">
        <f>IF(ISNUMBER(CI487),CI487,"")</f>
        <v>0</v>
      </c>
      <c r="BJ487" s="8" t="str">
        <v>近180天本色销量30双（＜90），无有效新采购，请运营判断</v>
      </c>
      <c r="BK487" s="8" t="str">
        <v>90天：2026-07-20 至 2026-10-17；180天：2026-04-21 至 2026-10-17</v>
      </c>
      <c r="BL487" s="8" t="str">
        <v>90天：2026-10-06、2026-10-07、2026-10-12、2026-10-13、2026-10-16；180天：2026-10-06、2026-10-07、2026-10-12、2026-10-13、2026-10-16</v>
      </c>
      <c r="BM487" s="8" t="str">
        <v>2026-10：12天 × 0.8729500662042875；2026-11：30天 × 0.8057375774163482；2026-12：31天 × 0.532550303142279；2027-01：17天 × 0.7517299265337036</v>
      </c>
      <c r="BN487" s="11" t="n">
        <v>0.8729500662042875</v>
      </c>
      <c r="BO487" s="11" t="n">
        <v>0.8057375774163482</v>
      </c>
      <c r="BP487" s="11" t="n">
        <v>0.532550303142279</v>
      </c>
      <c r="BQ487" s="11" t="n">
        <v>0.7517299265337036</v>
      </c>
      <c r="BR487" s="8" t="n">
        <v>12</v>
      </c>
      <c r="BS487" s="8" t="n">
        <v>30</v>
      </c>
      <c r="BT487" s="8" t="n">
        <v>31</v>
      </c>
      <c r="BU487" s="8" t="n">
        <v>17</v>
      </c>
      <c r="BV487" s="11" t="n">
        <f>IF(COUNT(BC487,BF487)=2,BC487*BF487,"")</f>
        <v>0</v>
      </c>
      <c r="BW487" s="11" t="n">
        <f>IF(ISNUMBER(BN487),BN487,"")</f>
        <v>0.8729500662042875</v>
      </c>
      <c r="BX487" s="14" t="n">
        <f>IF(ISNUMBER(BR487),BR487,"")</f>
        <v>12</v>
      </c>
      <c r="BY487" s="13" t="n">
        <f>IF(AND(COUNT(BV487,BW487,BX487)=3,MIN(BV487,BW487,BX487)&gt;=0),BV487*BW487*BX487,"")</f>
        <v>0</v>
      </c>
      <c r="BZ487" s="11" t="n">
        <f>IF(ISNUMBER(BO487),BO487,"")</f>
        <v>0.8057375774163482</v>
      </c>
      <c r="CA487" s="14" t="n">
        <f>IF(ISNUMBER(BS487),BS487,"")</f>
        <v>30</v>
      </c>
      <c r="CB487" s="13" t="n">
        <f>IF(AND(COUNT(BV487,BZ487,CA487)=3,MIN(BV487,BZ487,CA487)&gt;=0),BV487*BZ487*CA487,"")</f>
        <v>0</v>
      </c>
      <c r="CC487" s="11" t="n">
        <f>IF(ISNUMBER(BP487),BP487,"")</f>
        <v>0.532550303142279</v>
      </c>
      <c r="CD487" s="14" t="n">
        <f>IF(ISNUMBER(BT487),BT487,"")</f>
        <v>31</v>
      </c>
      <c r="CE487" s="13" t="n">
        <f>IF(AND(COUNT(BV487,CC487,CD487)=3,MIN(BV487,CC487,CD487)&gt;=0),BV487*CC487*CD487,"")</f>
        <v>0</v>
      </c>
      <c r="CF487" s="11" t="n">
        <f>IF(ISNUMBER(BQ487),BQ487,"")</f>
        <v>0.7517299265337036</v>
      </c>
      <c r="CG487" s="14" t="n">
        <f>IF(ISNUMBER(BU487),BU487,"")</f>
        <v>17</v>
      </c>
      <c r="CH487" s="13" t="n">
        <f>IF(AND(COUNT(BV487,CF487,CG487)=3,MIN(BV487,CF487,CG487)&gt;=0),BV487*CF487*CG487,"")</f>
        <v>0</v>
      </c>
      <c r="CI487" s="13" t="n">
        <f>IF(COUNT(BY487,CB487,CE487,CH487)=4,SUM(BY487,CB487,CE487,CH487),"")</f>
        <v>0</v>
      </c>
    </row>
    <row r="488" ht="72" customHeight="1">
      <c r="A488" s="16" t="str">
        <v>1S01-DB-42</v>
      </c>
      <c r="B488" s="16" t="str">
        <v>3店-SANDIEX-US</v>
      </c>
      <c r="C488" s="16" t="str">
        <v>徐新怡</v>
      </c>
      <c r="D488" s="26" t="n">
        <f>IF(NOT(ISNUMBER(E488)),"",IF(OR(E488&lt;=0,L488=0),0,IF(OR(NOT(ISNUMBER(F488)),F488&lt;0),"",MIN(E488,INT(F488)))))</f>
        <v>0</v>
      </c>
      <c r="E488" s="27" t="n">
        <f>IF(OR(NOT(ISNUMBER(L488)),COUNT(M488:O488)&lt;&gt;3,MIN(M488:O488)&lt;0),"",ROUNDUP(ROUND(BI488-SUM(M488:O488),10),0))</f>
        <v>0</v>
      </c>
      <c r="F488" s="28" t="n">
        <v>0</v>
      </c>
      <c r="G488" s="28" t="n">
        <f>IF(AND(ISNUMBER(D488),ISNUMBER(E488)),IF(OR(E488&lt;=0,L488=0),0,E488-D488),"")</f>
        <v>0</v>
      </c>
      <c r="H488" s="16" t="str">
        <f>IF(NOT(ISNUMBER(E488)),"销量或海外库存待补",IF(OR(E488&lt;=0,L488=0),IF(L488=0,"零日销，本批不发","本批无需补货"),IF(NOT(ISNUMBER(D488)),"国内库存待补",IF(D488=0,"国内无可用库存",IF(G488&gt;0,"先发国内现货","按建议量发货")))))</f>
        <v>零日销，本批不发</v>
      </c>
      <c r="I488" s="28" t="n">
        <f>IF(AND(COUNT(Z488,AA488,AB488)=3,Z488&gt;=AA488,AA488&gt;=0,AB488=7),Z488-AA488,"")</f>
        <v>0</v>
      </c>
      <c r="J488" s="28" t="n">
        <f>IF(AND(COUNT(AF488,AG488,AH488)=3,AF488&gt;=AG488,AG488&gt;=0,AH488=14),AF488-AG488,"")</f>
        <v>0</v>
      </c>
      <c r="K488" s="28" t="n">
        <f>IF(AND(COUNT(AL488,AM488,AN488)=3,AL488&gt;=AM488,AM488&gt;=0,AN488=30),AL488-AM488,"")</f>
        <v>0</v>
      </c>
      <c r="L488" s="29" t="n">
        <f>IF(ISNUMBER(BI488),BI488/90,"")</f>
        <v>0</v>
      </c>
      <c r="M488" s="28" t="n">
        <v>0</v>
      </c>
      <c r="N488" s="28" t="n">
        <v>0</v>
      </c>
      <c r="O488" s="28" t="n">
        <v>0</v>
      </c>
      <c r="P488" s="30" t="str">
        <f>IF(AND(ISNUMBER(L488),L488&gt;0,COUNT(M488:O488)=3,MIN(M488:O488)&gt;=0),SUM(M488:O488)/L488,"")</f>
      </c>
      <c r="Q488" s="16" t="str">
        <v>沿用原计划SKU店铺</v>
      </c>
      <c r="R488" s="16" t="str">
        <v>已匹配</v>
      </c>
      <c r="S488" s="16" t="str">
        <v>停售</v>
      </c>
      <c r="T488" s="16" t="str">
        <v>1S01</v>
      </c>
      <c r="U488" s="16" t="str">
        <v>深米色</v>
      </c>
      <c r="V488" s="16" t="n">
        <v>11</v>
      </c>
      <c r="W488" s="8" t="str">
        <v>2026-10-08 至 2026-10-17</v>
      </c>
      <c r="X488" s="8" t="str">
        <v>2026-10-08、2026-10-09、2026-10-10、2026-10-11、2026-10-14、2026-10-15、2026-10-17</v>
      </c>
      <c r="Y488" s="8" t="str">
        <v>2026-10-12 有记录的停售日；2026-10-13 有记录的停售日；2026-10-16 有记录的停售日</v>
      </c>
      <c r="Z488" s="8" t="n">
        <v>0</v>
      </c>
      <c r="AA488" s="8" t="n">
        <v>0</v>
      </c>
      <c r="AB488" s="8" t="n">
        <v>7</v>
      </c>
      <c r="AC488" s="8" t="str">
        <v>2026-09-29 至 2026-10-17</v>
      </c>
      <c r="AD488" s="8" t="str">
        <v>2026-09-29、2026-09-30、2026-10-01、2026-10-02、2026-10-03、2026-10-04、2026-10-05、2026-10-08、2026-10-09、2026-10-10、2026-10-11、2026-10-14、2026-10-15、2026-10-17</v>
      </c>
      <c r="AE488" s="8" t="str">
        <v>2026-10-06 大促；2026-10-07 大促；2026-10-12 有记录的停售日；2026-10-13 有记录的停售日；2026-10-16 有记录的停售日</v>
      </c>
      <c r="AF488" s="8" t="n">
        <v>0</v>
      </c>
      <c r="AG488" s="8" t="n">
        <v>0</v>
      </c>
      <c r="AH488" s="8" t="n">
        <v>14</v>
      </c>
      <c r="AI488" s="8" t="str">
        <v>2026-09-13 至 2026-10-17</v>
      </c>
      <c r="AJ48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88" s="8" t="str">
        <v>2026-10-06 大促；2026-10-07 大促；2026-10-12 有记录的停售日；2026-10-13 有记录的停售日；2026-10-16 有记录的停售日</v>
      </c>
      <c r="AL488" s="8" t="n">
        <v>0</v>
      </c>
      <c r="AM488" s="8" t="n">
        <v>0</v>
      </c>
      <c r="AN488" s="8" t="n">
        <v>30</v>
      </c>
      <c r="AO488" s="8" t="str">
        <v>1S01 / 深米色PU / 6574</v>
      </c>
      <c r="AP488" s="11" t="n">
        <v>0.8729500662042875</v>
      </c>
      <c r="AQ488" s="11" t="n">
        <v>0.9355747145678367</v>
      </c>
      <c r="AR488" s="11" t="n">
        <v>1.135973589331194</v>
      </c>
      <c r="AS488" s="11" t="n">
        <f>IF(AND(COUNT(I488:K488,AP488:AR488)=6,MIN(AP488:AR488)&gt;0),I488/7/AP488*0.5+J488/14/AQ488*0.3+K488/30/AR488*0.2,"")</f>
        <v>0</v>
      </c>
      <c r="AT488" s="8" t="n">
        <v>0</v>
      </c>
      <c r="AU488" s="8" t="n">
        <v>0</v>
      </c>
      <c r="AV488" s="8" t="n">
        <v>85</v>
      </c>
      <c r="AW488" s="11" t="n">
        <f>IF(AND(COUNT(AT488:AV488)=3,AT488&gt;=AU488,AU488&gt;=0,AV488&gt;0),(AT488-AU488)/AV488,"")</f>
        <v>0</v>
      </c>
      <c r="AX488" s="8" t="n">
        <v>0</v>
      </c>
      <c r="AY488" s="8" t="n">
        <v>0</v>
      </c>
      <c r="AZ488" s="8" t="n">
        <v>175</v>
      </c>
      <c r="BA488" s="11" t="n">
        <f>IF(AND(COUNT(AX488:AZ488)=3,AX488&gt;=AY488,AY488&gt;=0,AZ488&gt;0),(AX488-AY488)/AZ488,"")</f>
        <v>0</v>
      </c>
      <c r="BB488" s="8" t="n">
        <f>IF(COUNT(AS488,AW488,BA488)=3,1,0)</f>
        <v>1</v>
      </c>
      <c r="BC488" s="11" t="n">
        <f>IF(SUMIF($AO$11:$AO$1309,AO488,$BB$11:$BB$1309)=COUNTIF($AO$11:$AO$1309,AO488),SUMIF($AO$11:$AO$1309,AO488,$AS$11:$AS$1309),"")</f>
        <v>0</v>
      </c>
      <c r="BD488" s="11" t="n">
        <f>IF(SUMIF($AO$11:$AO$1309,AO488,$BB$11:$BB$1309)=COUNTIF($AO$11:$AO$1309,AO488),SUMIF($AO$11:$AO$1309,AO488,$AW$11:$AW$1309),"")</f>
        <v>0.047058823529411764</v>
      </c>
      <c r="BE488" s="11" t="n">
        <f>IF(SUMIF($AO$11:$AO$1309,AO488,$BB$11:$BB$1309)=COUNTIF($AO$11:$AO$1309,AO488),SUMIF($AO$11:$AO$1309,AO488,$BA$11:$BA$1309),"")</f>
        <v>0.17142857142857143</v>
      </c>
      <c r="BF488" s="12" t="n">
        <f>IF(COUNT(BD488:BE488)&lt;&gt;2,"",IF(AND(BD488&gt;0,BE488&gt;0),0.7*AW488/BD488+0.3*BA488/BE488,IF(BD488&gt;0,AW488/BD488,IF(BE488&gt;0,BA488/BE488,IF(AND(ISNUMBER(BH488),BH488=0),0,"")))))</f>
        <v>0</v>
      </c>
      <c r="BG488" s="11" t="n">
        <f>IF(AND(COUNT(BN488:BU488)=8,MIN(BN488:BU488)&gt;=0),SUMPRODUCT(BN488:BQ488,BR488:BU488),"")</f>
        <v>63.935996265425516</v>
      </c>
      <c r="BH488" s="11" t="n">
        <f>IF(COUNT(BC488,BG488)=2,BC488*BG488,"")</f>
        <v>0</v>
      </c>
      <c r="BI488" s="11" t="n">
        <f>IF(ISNUMBER(CI488),CI488,"")</f>
        <v>0</v>
      </c>
      <c r="BJ488" s="8" t="str">
        <v>近180天本色销量30双（＜90），无有效新采购，请运营判断</v>
      </c>
      <c r="BK488" s="8" t="str">
        <v>90天：2026-07-20 至 2026-10-17；180天：2026-04-21 至 2026-10-17</v>
      </c>
      <c r="BL488" s="8" t="str">
        <v>90天：2026-10-06、2026-10-07、2026-10-12、2026-10-13、2026-10-16；180天：2026-10-06、2026-10-07、2026-10-12、2026-10-13、2026-10-16</v>
      </c>
      <c r="BM488" s="8" t="str">
        <v>2026-10：12天 × 0.8729500662042875；2026-11：30天 × 0.8057375774163482；2026-12：31天 × 0.532550303142279；2027-01：17天 × 0.7517299265337036</v>
      </c>
      <c r="BN488" s="11" t="n">
        <v>0.8729500662042875</v>
      </c>
      <c r="BO488" s="11" t="n">
        <v>0.8057375774163482</v>
      </c>
      <c r="BP488" s="11" t="n">
        <v>0.532550303142279</v>
      </c>
      <c r="BQ488" s="11" t="n">
        <v>0.7517299265337036</v>
      </c>
      <c r="BR488" s="8" t="n">
        <v>12</v>
      </c>
      <c r="BS488" s="8" t="n">
        <v>30</v>
      </c>
      <c r="BT488" s="8" t="n">
        <v>31</v>
      </c>
      <c r="BU488" s="8" t="n">
        <v>17</v>
      </c>
      <c r="BV488" s="11" t="n">
        <f>IF(COUNT(BC488,BF488)=2,BC488*BF488,"")</f>
        <v>0</v>
      </c>
      <c r="BW488" s="11" t="n">
        <f>IF(ISNUMBER(BN488),BN488,"")</f>
        <v>0.8729500662042875</v>
      </c>
      <c r="BX488" s="14" t="n">
        <f>IF(ISNUMBER(BR488),BR488,"")</f>
        <v>12</v>
      </c>
      <c r="BY488" s="13" t="n">
        <f>IF(AND(COUNT(BV488,BW488,BX488)=3,MIN(BV488,BW488,BX488)&gt;=0),BV488*BW488*BX488,"")</f>
        <v>0</v>
      </c>
      <c r="BZ488" s="11" t="n">
        <f>IF(ISNUMBER(BO488),BO488,"")</f>
        <v>0.8057375774163482</v>
      </c>
      <c r="CA488" s="14" t="n">
        <f>IF(ISNUMBER(BS488),BS488,"")</f>
        <v>30</v>
      </c>
      <c r="CB488" s="13" t="n">
        <f>IF(AND(COUNT(BV488,BZ488,CA488)=3,MIN(BV488,BZ488,CA488)&gt;=0),BV488*BZ488*CA488,"")</f>
        <v>0</v>
      </c>
      <c r="CC488" s="11" t="n">
        <f>IF(ISNUMBER(BP488),BP488,"")</f>
        <v>0.532550303142279</v>
      </c>
      <c r="CD488" s="14" t="n">
        <f>IF(ISNUMBER(BT488),BT488,"")</f>
        <v>31</v>
      </c>
      <c r="CE488" s="13" t="n">
        <f>IF(AND(COUNT(BV488,CC488,CD488)=3,MIN(BV488,CC488,CD488)&gt;=0),BV488*CC488*CD488,"")</f>
        <v>0</v>
      </c>
      <c r="CF488" s="11" t="n">
        <f>IF(ISNUMBER(BQ488),BQ488,"")</f>
        <v>0.7517299265337036</v>
      </c>
      <c r="CG488" s="14" t="n">
        <f>IF(ISNUMBER(BU488),BU488,"")</f>
        <v>17</v>
      </c>
      <c r="CH488" s="13" t="n">
        <f>IF(AND(COUNT(BV488,CF488,CG488)=3,MIN(BV488,CF488,CG488)&gt;=0),BV488*CF488*CG488,"")</f>
        <v>0</v>
      </c>
      <c r="CI488" s="13" t="n">
        <f>IF(COUNT(BY488,CB488,CE488,CH488)=4,SUM(BY488,CB488,CE488,CH488),"")</f>
        <v>0</v>
      </c>
    </row>
    <row r="489" ht="72" customHeight="1">
      <c r="A489" s="16" t="str">
        <v>1S01-DPB-10</v>
      </c>
      <c r="B489" s="16" t="str">
        <v>3店-SANDIEX-US</v>
      </c>
      <c r="C489" s="16" t="str">
        <v>徐新怡</v>
      </c>
      <c r="D489" s="26" t="n">
        <f>IF(NOT(ISNUMBER(E489)),"",IF(OR(E489&lt;=0,L489=0),0,IF(OR(NOT(ISNUMBER(F489)),F489&lt;0),"",MIN(E489,INT(F489)))))</f>
        <v>0</v>
      </c>
      <c r="E489" s="27" t="n">
        <f>IF(OR(NOT(ISNUMBER(L489)),COUNT(M489:O489)&lt;&gt;3,MIN(M489:O489)&lt;0),"",ROUNDUP(ROUND(BI489-SUM(M489:O489),10),0))</f>
        <v>-19</v>
      </c>
      <c r="F489" s="28" t="n">
        <v>20</v>
      </c>
      <c r="G489" s="28" t="n">
        <f>IF(AND(ISNUMBER(D489),ISNUMBER(E489)),IF(OR(E489&lt;=0,L489=0),0,E489-D489),"")</f>
        <v>0</v>
      </c>
      <c r="H489" s="16" t="str">
        <f>IF(NOT(ISNUMBER(E489)),"销量或海外库存待补",IF(OR(E489&lt;=0,L489=0),IF(L489=0,"零日销，本批不发","本批无需补货"),IF(NOT(ISNUMBER(D489)),"国内库存待补",IF(D489=0,"国内无可用库存",IF(G489&gt;0,"先发国内现货","按建议量发货")))))</f>
        <v>零日销，本批不发</v>
      </c>
      <c r="I489" s="28" t="n">
        <f>IF(AND(COUNT(Z489,AA489,AB489)=3,Z489&gt;=AA489,AA489&gt;=0,AB489=7),Z489-AA489,"")</f>
        <v>0</v>
      </c>
      <c r="J489" s="28" t="n">
        <f>IF(AND(COUNT(AF489,AG489,AH489)=3,AF489&gt;=AG489,AG489&gt;=0,AH489=14),AF489-AG489,"")</f>
        <v>0</v>
      </c>
      <c r="K489" s="28" t="n">
        <f>IF(AND(COUNT(AL489,AM489,AN489)=3,AL489&gt;=AM489,AM489&gt;=0,AN489=30),AL489-AM489,"")</f>
        <v>0</v>
      </c>
      <c r="L489" s="29" t="n">
        <f>IF(ISNUMBER(BI489),BI489/90,"")</f>
        <v>0</v>
      </c>
      <c r="M489" s="28" t="n">
        <v>0</v>
      </c>
      <c r="N489" s="28" t="n">
        <v>0</v>
      </c>
      <c r="O489" s="28" t="n">
        <v>19</v>
      </c>
      <c r="P489" s="30" t="str">
        <f>IF(AND(ISNUMBER(L489),L489&gt;0,COUNT(M489:O489)=3,MIN(M489:O489)&gt;=0),SUM(M489:O489)/L489,"")</f>
      </c>
      <c r="Q489" s="16" t="str">
        <v>沿用原计划SKU店铺</v>
      </c>
      <c r="R489" s="16" t="str">
        <v>已匹配</v>
      </c>
      <c r="S489" s="16" t="str">
        <v>在售</v>
      </c>
      <c r="T489" s="16" t="str">
        <v>1S01</v>
      </c>
      <c r="U489" s="16" t="str">
        <v>米色</v>
      </c>
      <c r="V489" s="16" t="n">
        <v>10</v>
      </c>
      <c r="W489" s="8" t="str">
        <v>2026-10-11 至 2026-10-17</v>
      </c>
      <c r="X489" s="8" t="str">
        <v>2026-10-11、2026-10-12、2026-10-13、2026-10-14、2026-10-15、2026-10-16、2026-10-17</v>
      </c>
      <c r="Y489" s="8" t="str">
        <v>无</v>
      </c>
      <c r="Z489" s="8" t="n">
        <v>0</v>
      </c>
      <c r="AA489" s="8" t="n">
        <v>0</v>
      </c>
      <c r="AB489" s="8" t="n">
        <v>7</v>
      </c>
      <c r="AC489" s="8" t="str">
        <v>2026-10-02 至 2026-10-17</v>
      </c>
      <c r="AD489" s="8" t="str">
        <v>2026-10-02、2026-10-03、2026-10-04、2026-10-05、2026-10-08、2026-10-09、2026-10-10、2026-10-11、2026-10-12、2026-10-13、2026-10-14、2026-10-15、2026-10-16、2026-10-17</v>
      </c>
      <c r="AE489" s="8" t="str">
        <v>2026-10-06 大促；2026-10-07 大促</v>
      </c>
      <c r="AF489" s="8" t="n">
        <v>0</v>
      </c>
      <c r="AG489" s="8" t="n">
        <v>0</v>
      </c>
      <c r="AH489" s="8" t="n">
        <v>14</v>
      </c>
      <c r="AI489" s="8" t="str">
        <v>2026-09-16 至 2026-10-17</v>
      </c>
      <c r="AJ4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89" s="8" t="str">
        <v>2026-10-06 大促；2026-10-07 大促</v>
      </c>
      <c r="AL489" s="8" t="n">
        <v>0</v>
      </c>
      <c r="AM489" s="8" t="n">
        <v>0</v>
      </c>
      <c r="AN489" s="8" t="n">
        <v>30</v>
      </c>
      <c r="AO489" s="8" t="str">
        <v>1S01 / 米色PU / 6574</v>
      </c>
      <c r="AP489" s="11" t="n">
        <v>0.8729500662042875</v>
      </c>
      <c r="AQ489" s="11" t="n">
        <v>0.8729500662042875</v>
      </c>
      <c r="AR489" s="11" t="n">
        <v>1.0921363354767095</v>
      </c>
      <c r="AS489" s="11" t="n">
        <f>IF(AND(COUNT(I489:K489,AP489:AR489)=6,MIN(AP489:AR489)&gt;0),I489/7/AP489*0.5+J489/14/AQ489*0.3+K489/30/AR489*0.2,"")</f>
        <v>0</v>
      </c>
      <c r="AT489" s="8" t="n">
        <v>0</v>
      </c>
      <c r="AU489" s="8" t="n">
        <v>0</v>
      </c>
      <c r="AV489" s="8" t="n">
        <v>88</v>
      </c>
      <c r="AW489" s="11" t="n">
        <f>IF(AND(COUNT(AT489:AV489)=3,AT489&gt;=AU489,AU489&gt;=0,AV489&gt;0),(AT489-AU489)/AV489,"")</f>
        <v>0</v>
      </c>
      <c r="AX489" s="8" t="n">
        <v>0</v>
      </c>
      <c r="AY489" s="8" t="n">
        <v>0</v>
      </c>
      <c r="AZ489" s="8" t="n">
        <v>178</v>
      </c>
      <c r="BA489" s="11" t="n">
        <f>IF(AND(COUNT(AX489:AZ489)=3,AX489&gt;=AY489,AY489&gt;=0,AZ489&gt;0),(AX489-AY489)/AZ489,"")</f>
        <v>0</v>
      </c>
      <c r="BB489" s="8" t="n">
        <f>IF(COUNT(AS489,AW489,BA489)=3,1,0)</f>
        <v>1</v>
      </c>
      <c r="BC489" s="11" t="n">
        <f>IF(SUMIF($AO$11:$AO$1309,AO489,$BB$11:$BB$1309)=COUNTIF($AO$11:$AO$1309,AO489),SUMIF($AO$11:$AO$1309,AO489,$AS$11:$AS$1309),"")</f>
        <v>0.8134354698195524</v>
      </c>
      <c r="BD489" s="11" t="n">
        <f>IF(SUMIF($AO$11:$AO$1309,AO489,$BB$11:$BB$1309)=COUNTIF($AO$11:$AO$1309,AO489),SUMIF($AO$11:$AO$1309,AO489,$AW$11:$AW$1309),"")</f>
        <v>0.6022727272727273</v>
      </c>
      <c r="BE489" s="11" t="n">
        <f>IF(SUMIF($AO$11:$AO$1309,AO489,$BB$11:$BB$1309)=COUNTIF($AO$11:$AO$1309,AO489),SUMIF($AO$11:$AO$1309,AO489,$BA$11:$BA$1309),"")</f>
        <v>0.5619903691813805</v>
      </c>
      <c r="BF489" s="12" t="n">
        <f>IF(COUNT(BD489:BE489)&lt;&gt;2,"",IF(AND(BD489&gt;0,BE489&gt;0),0.7*AW489/BD489+0.3*BA489/BE489,IF(BD489&gt;0,AW489/BD489,IF(BE489&gt;0,BA489/BE489,IF(AND(ISNUMBER(BH489),BH489=0),0,"")))))</f>
        <v>0</v>
      </c>
      <c r="BG489" s="11" t="n">
        <f>IF(AND(COUNT(BN489:BU489)=8,MIN(BN489:BU489)&gt;=0),SUMPRODUCT(BN489:BQ489,BR489:BU489),"")</f>
        <v>63.935996265425516</v>
      </c>
      <c r="BH489" s="11" t="n">
        <f>IF(COUNT(BC489,BG489)=2,BC489*BG489,"")</f>
        <v>52.00780716054755</v>
      </c>
      <c r="BI489" s="11" t="n">
        <f>IF(ISNUMBER(CI489),CI489,"")</f>
        <v>0</v>
      </c>
      <c r="BJ489" s="8" t="str"/>
      <c r="BK489" s="8" t="str">
        <v>90天：2026-07-20 至 2026-10-17；180天：2026-04-21 至 2026-10-17</v>
      </c>
      <c r="BL489" s="8" t="str">
        <v>90天：2026-10-06、2026-10-07；180天：2026-10-06、2026-10-07</v>
      </c>
      <c r="BM489" s="8" t="str">
        <v>2026-10：12天 × 0.8729500662042875；2026-11：30天 × 0.8057375774163482；2026-12：31天 × 0.532550303142279；2027-01：17天 × 0.7517299265337036</v>
      </c>
      <c r="BN489" s="11" t="n">
        <v>0.8729500662042875</v>
      </c>
      <c r="BO489" s="11" t="n">
        <v>0.8057375774163482</v>
      </c>
      <c r="BP489" s="11" t="n">
        <v>0.532550303142279</v>
      </c>
      <c r="BQ489" s="11" t="n">
        <v>0.7517299265337036</v>
      </c>
      <c r="BR489" s="8" t="n">
        <v>12</v>
      </c>
      <c r="BS489" s="8" t="n">
        <v>30</v>
      </c>
      <c r="BT489" s="8" t="n">
        <v>31</v>
      </c>
      <c r="BU489" s="8" t="n">
        <v>17</v>
      </c>
      <c r="BV489" s="11" t="n">
        <f>IF(COUNT(BC489,BF489)=2,BC489*BF489,"")</f>
        <v>0</v>
      </c>
      <c r="BW489" s="11" t="n">
        <f>IF(ISNUMBER(BN489),BN489,"")</f>
        <v>0.8729500662042875</v>
      </c>
      <c r="BX489" s="14" t="n">
        <f>IF(ISNUMBER(BR489),BR489,"")</f>
        <v>12</v>
      </c>
      <c r="BY489" s="13" t="n">
        <f>IF(AND(COUNT(BV489,BW489,BX489)=3,MIN(BV489,BW489,BX489)&gt;=0),BV489*BW489*BX489,"")</f>
        <v>0</v>
      </c>
      <c r="BZ489" s="11" t="n">
        <f>IF(ISNUMBER(BO489),BO489,"")</f>
        <v>0.8057375774163482</v>
      </c>
      <c r="CA489" s="14" t="n">
        <f>IF(ISNUMBER(BS489),BS489,"")</f>
        <v>30</v>
      </c>
      <c r="CB489" s="13" t="n">
        <f>IF(AND(COUNT(BV489,BZ489,CA489)=3,MIN(BV489,BZ489,CA489)&gt;=0),BV489*BZ489*CA489,"")</f>
        <v>0</v>
      </c>
      <c r="CC489" s="11" t="n">
        <f>IF(ISNUMBER(BP489),BP489,"")</f>
        <v>0.532550303142279</v>
      </c>
      <c r="CD489" s="14" t="n">
        <f>IF(ISNUMBER(BT489),BT489,"")</f>
        <v>31</v>
      </c>
      <c r="CE489" s="13" t="n">
        <f>IF(AND(COUNT(BV489,CC489,CD489)=3,MIN(BV489,CC489,CD489)&gt;=0),BV489*CC489*CD489,"")</f>
        <v>0</v>
      </c>
      <c r="CF489" s="11" t="n">
        <f>IF(ISNUMBER(BQ489),BQ489,"")</f>
        <v>0.7517299265337036</v>
      </c>
      <c r="CG489" s="14" t="n">
        <f>IF(ISNUMBER(BU489),BU489,"")</f>
        <v>17</v>
      </c>
      <c r="CH489" s="13" t="n">
        <f>IF(AND(COUNT(BV489,CF489,CG489)=3,MIN(BV489,CF489,CG489)&gt;=0),BV489*CF489*CG489,"")</f>
        <v>0</v>
      </c>
      <c r="CI489" s="13" t="n">
        <f>IF(COUNT(BY489,CB489,CE489,CH489)=4,SUM(BY489,CB489,CE489,CH489),"")</f>
        <v>0</v>
      </c>
    </row>
    <row r="490" ht="72" customHeight="1">
      <c r="A490" s="16" t="str">
        <v>1S01-DPB-11</v>
      </c>
      <c r="B490" s="16" t="str">
        <v>3店-SANDIEX-US</v>
      </c>
      <c r="C490" s="16" t="str">
        <v>徐新怡</v>
      </c>
      <c r="D490" s="26" t="n">
        <f>IF(NOT(ISNUMBER(E490)),"",IF(OR(E490&lt;=0,L490=0),0,IF(OR(NOT(ISNUMBER(F490)),F490&lt;0),"",MIN(E490,INT(F490)))))</f>
        <v>0</v>
      </c>
      <c r="E490" s="27" t="n">
        <f>IF(OR(NOT(ISNUMBER(L490)),COUNT(M490:O490)&lt;&gt;3,MIN(M490:O490)&lt;0),"",ROUNDUP(ROUND(BI490-SUM(M490:O490),10),0))</f>
        <v>-19</v>
      </c>
      <c r="F490" s="28" t="n">
        <v>20</v>
      </c>
      <c r="G490" s="28" t="n">
        <f>IF(AND(ISNUMBER(D490),ISNUMBER(E490)),IF(OR(E490&lt;=0,L490=0),0,E490-D490),"")</f>
        <v>0</v>
      </c>
      <c r="H490" s="16" t="str">
        <f>IF(NOT(ISNUMBER(E490)),"销量或海外库存待补",IF(OR(E490&lt;=0,L490=0),IF(L490=0,"零日销，本批不发","本批无需补货"),IF(NOT(ISNUMBER(D490)),"国内库存待补",IF(D490=0,"国内无可用库存",IF(G490&gt;0,"先发国内现货","按建议量发货")))))</f>
        <v>本批无需补货</v>
      </c>
      <c r="I490" s="28" t="n">
        <f>IF(AND(COUNT(Z490,AA490,AB490)=3,Z490&gt;=AA490,AA490&gt;=0,AB490=7),Z490-AA490,"")</f>
        <v>0</v>
      </c>
      <c r="J490" s="28" t="n">
        <f>IF(AND(COUNT(AF490,AG490,AH490)=3,AF490&gt;=AG490,AG490&gt;=0,AH490=14),AF490-AG490,"")</f>
        <v>1</v>
      </c>
      <c r="K490" s="28" t="n">
        <f>IF(AND(COUNT(AL490,AM490,AN490)=3,AL490&gt;=AM490,AM490&gt;=0,AN490=30),AL490-AM490,"")</f>
        <v>1</v>
      </c>
      <c r="L490" s="29" t="n">
        <f>IF(ISNUMBER(BI490),BI490/90,"")</f>
        <v>0.00936517235936604</v>
      </c>
      <c r="M490" s="28" t="n">
        <v>0</v>
      </c>
      <c r="N490" s="28" t="n">
        <v>0</v>
      </c>
      <c r="O490" s="28" t="n">
        <v>19</v>
      </c>
      <c r="P490" s="30" t="n">
        <f>IF(AND(ISNUMBER(L490),L490&gt;0,COUNT(M490:O490)=3,MIN(M490:O490)&gt;=0),SUM(M490:O490)/L490,"")</f>
        <v>2028.7934136095466</v>
      </c>
      <c r="Q490" s="16" t="str">
        <v>沿用原计划SKU店铺</v>
      </c>
      <c r="R490" s="16" t="str">
        <v>已匹配</v>
      </c>
      <c r="S490" s="16" t="str">
        <v>在售</v>
      </c>
      <c r="T490" s="16" t="str">
        <v>1S01</v>
      </c>
      <c r="U490" s="16" t="str">
        <v>米色</v>
      </c>
      <c r="V490" s="16" t="n">
        <v>11</v>
      </c>
      <c r="W490" s="8" t="str">
        <v>2026-10-11 至 2026-10-17</v>
      </c>
      <c r="X490" s="8" t="str">
        <v>2026-10-11、2026-10-12、2026-10-13、2026-10-14、2026-10-15、2026-10-16、2026-10-17</v>
      </c>
      <c r="Y490" s="8" t="str">
        <v>无</v>
      </c>
      <c r="Z490" s="8" t="n">
        <v>0</v>
      </c>
      <c r="AA490" s="8" t="n">
        <v>0</v>
      </c>
      <c r="AB490" s="8" t="n">
        <v>7</v>
      </c>
      <c r="AC490" s="8" t="str">
        <v>2026-10-02 至 2026-10-17</v>
      </c>
      <c r="AD490" s="8" t="str">
        <v>2026-10-02、2026-10-03、2026-10-04、2026-10-05、2026-10-08、2026-10-09、2026-10-10、2026-10-11、2026-10-12、2026-10-13、2026-10-14、2026-10-15、2026-10-16、2026-10-17</v>
      </c>
      <c r="AE490" s="8" t="str">
        <v>2026-10-06 大促；2026-10-07 大促</v>
      </c>
      <c r="AF490" s="8" t="n">
        <v>1</v>
      </c>
      <c r="AG490" s="8" t="n">
        <v>0</v>
      </c>
      <c r="AH490" s="8" t="n">
        <v>14</v>
      </c>
      <c r="AI490" s="8" t="str">
        <v>2026-09-16 至 2026-10-17</v>
      </c>
      <c r="AJ4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0" s="8" t="str">
        <v>2026-10-06 大促；2026-10-07 大促</v>
      </c>
      <c r="AL490" s="8" t="n">
        <v>1</v>
      </c>
      <c r="AM490" s="8" t="n">
        <v>0</v>
      </c>
      <c r="AN490" s="8" t="n">
        <v>30</v>
      </c>
      <c r="AO490" s="8" t="str">
        <v>1S01 / 米色PU / 6574</v>
      </c>
      <c r="AP490" s="11" t="n">
        <v>0.8729500662042875</v>
      </c>
      <c r="AQ490" s="11" t="n">
        <v>0.8729500662042875</v>
      </c>
      <c r="AR490" s="11" t="n">
        <v>1.0921363354767095</v>
      </c>
      <c r="AS490" s="11" t="n">
        <f>IF(AND(COUNT(I490:K490,AP490:AR490)=6,MIN(AP490:AR490)&gt;0),I490/7/AP490*0.5+J490/14/AQ490*0.3+K490/30/AR490*0.2,"")</f>
        <v>0.03065154888385336</v>
      </c>
      <c r="AT490" s="8" t="n">
        <v>1</v>
      </c>
      <c r="AU490" s="8" t="n">
        <v>0</v>
      </c>
      <c r="AV490" s="8" t="n">
        <v>88</v>
      </c>
      <c r="AW490" s="11" t="n">
        <f>IF(AND(COUNT(AT490:AV490)=3,AT490&gt;=AU490,AU490&gt;=0,AV490&gt;0),(AT490-AU490)/AV490,"")</f>
        <v>0.011363636363636364</v>
      </c>
      <c r="AX490" s="8" t="n">
        <v>1</v>
      </c>
      <c r="AY490" s="8" t="n">
        <v>0</v>
      </c>
      <c r="AZ490" s="8" t="n">
        <v>178</v>
      </c>
      <c r="BA490" s="11" t="n">
        <f>IF(AND(COUNT(AX490:AZ490)=3,AX490&gt;=AY490,AY490&gt;=0,AZ490&gt;0),(AX490-AY490)/AZ490,"")</f>
        <v>0.0056179775280898875</v>
      </c>
      <c r="BB490" s="8" t="n">
        <f>IF(COUNT(AS490,AW490,BA490)=3,1,0)</f>
        <v>1</v>
      </c>
      <c r="BC490" s="11" t="n">
        <f>IF(SUMIF($AO$11:$AO$1309,AO490,$BB$11:$BB$1309)=COUNTIF($AO$11:$AO$1309,AO490),SUMIF($AO$11:$AO$1309,AO490,$AS$11:$AS$1309),"")</f>
        <v>0.8134354698195524</v>
      </c>
      <c r="BD490" s="11" t="n">
        <f>IF(SUMIF($AO$11:$AO$1309,AO490,$BB$11:$BB$1309)=COUNTIF($AO$11:$AO$1309,AO490),SUMIF($AO$11:$AO$1309,AO490,$AW$11:$AW$1309),"")</f>
        <v>0.6022727272727273</v>
      </c>
      <c r="BE490" s="11" t="n">
        <f>IF(SUMIF($AO$11:$AO$1309,AO490,$BB$11:$BB$1309)=COUNTIF($AO$11:$AO$1309,AO490),SUMIF($AO$11:$AO$1309,AO490,$BA$11:$BA$1309),"")</f>
        <v>0.5619903691813805</v>
      </c>
      <c r="BF490" s="12" t="n">
        <f>IF(COUNT(BD490:BE490)&lt;&gt;2,"",IF(AND(BD490&gt;0,BE490&gt;0),0.7*AW490/BD490+0.3*BA490/BE490,IF(BD490&gt;0,AW490/BD490,IF(BE490&gt;0,BA490/BE490,IF(AND(ISNUMBER(BH490),BH490=0),0,"")))))</f>
        <v>0.01620651895091494</v>
      </c>
      <c r="BG490" s="11" t="n">
        <f>IF(AND(COUNT(BN490:BU490)=8,MIN(BN490:BU490)&gt;=0),SUMPRODUCT(BN490:BQ490,BR490:BU490),"")</f>
        <v>63.935996265425516</v>
      </c>
      <c r="BH490" s="11" t="n">
        <f>IF(COUNT(BC490,BG490)=2,BC490*BG490,"")</f>
        <v>52.00780716054755</v>
      </c>
      <c r="BI490" s="11" t="n">
        <f>IF(ISNUMBER(CI490),CI490,"")</f>
        <v>0.8428655123429436</v>
      </c>
      <c r="BJ490" s="8" t="str"/>
      <c r="BK490" s="8" t="str">
        <v>90天：2026-07-20 至 2026-10-17；180天：2026-04-21 至 2026-10-17</v>
      </c>
      <c r="BL490" s="8" t="str">
        <v>90天：2026-10-06、2026-10-07；180天：2026-10-06、2026-10-07</v>
      </c>
      <c r="BM490" s="8" t="str">
        <v>2026-10：12天 × 0.8729500662042875；2026-11：30天 × 0.8057375774163482；2026-12：31天 × 0.532550303142279；2027-01：17天 × 0.7517299265337036</v>
      </c>
      <c r="BN490" s="11" t="n">
        <v>0.8729500662042875</v>
      </c>
      <c r="BO490" s="11" t="n">
        <v>0.8057375774163482</v>
      </c>
      <c r="BP490" s="11" t="n">
        <v>0.532550303142279</v>
      </c>
      <c r="BQ490" s="11" t="n">
        <v>0.7517299265337036</v>
      </c>
      <c r="BR490" s="8" t="n">
        <v>12</v>
      </c>
      <c r="BS490" s="8" t="n">
        <v>30</v>
      </c>
      <c r="BT490" s="8" t="n">
        <v>31</v>
      </c>
      <c r="BU490" s="8" t="n">
        <v>17</v>
      </c>
      <c r="BV490" s="11" t="n">
        <f>IF(COUNT(BC490,BF490)=2,BC490*BF490,"")</f>
        <v>0.013182957356976974</v>
      </c>
      <c r="BW490" s="11" t="n">
        <f>IF(ISNUMBER(BN490),BN490,"")</f>
        <v>0.8729500662042875</v>
      </c>
      <c r="BX490" s="14" t="n">
        <f>IF(ISNUMBER(BR490),BR490,"")</f>
        <v>12</v>
      </c>
      <c r="BY490" s="13" t="n">
        <f>IF(AND(COUNT(BV490,BW490,BX490)=3,MIN(BV490,BW490,BX490)&gt;=0),BV490*BW490*BX490,"")</f>
        <v>0.1380967619704962</v>
      </c>
      <c r="BZ490" s="11" t="n">
        <f>IF(ISNUMBER(BO490),BO490,"")</f>
        <v>0.8057375774163482</v>
      </c>
      <c r="CA490" s="14" t="n">
        <f>IF(ISNUMBER(BS490),BS490,"")</f>
        <v>30</v>
      </c>
      <c r="CB490" s="13" t="n">
        <f>IF(AND(COUNT(BV490,BZ490,CA490)=3,MIN(BV490,BZ490,CA490)&gt;=0),BV490*BZ490*CA490,"")</f>
        <v>0.31866012371980956</v>
      </c>
      <c r="CC490" s="11" t="n">
        <f>IF(ISNUMBER(BP490),BP490,"")</f>
        <v>0.532550303142279</v>
      </c>
      <c r="CD490" s="14" t="n">
        <f>IF(ISNUMBER(BT490),BT490,"")</f>
        <v>31</v>
      </c>
      <c r="CE490" s="13" t="n">
        <f>IF(AND(COUNT(BV490,CC490,CD490)=3,MIN(BV490,CC490,CD490)&gt;=0),BV490*CC490*CD490,"")</f>
        <v>0.21763822603986457</v>
      </c>
      <c r="CF490" s="11" t="n">
        <f>IF(ISNUMBER(BQ490),BQ490,"")</f>
        <v>0.7517299265337036</v>
      </c>
      <c r="CG490" s="14" t="n">
        <f>IF(ISNUMBER(BU490),BU490,"")</f>
        <v>17</v>
      </c>
      <c r="CH490" s="13" t="n">
        <f>IF(AND(COUNT(BV490,CF490,CG490)=3,MIN(BV490,CF490,CG490)&gt;=0),BV490*CF490*CG490,"")</f>
        <v>0.16847040061277324</v>
      </c>
      <c r="CI490" s="13" t="n">
        <f>IF(COUNT(BY490,CB490,CE490,CH490)=4,SUM(BY490,CB490,CE490,CH490),"")</f>
        <v>0.8428655123429436</v>
      </c>
    </row>
    <row r="491" ht="72" customHeight="1">
      <c r="A491" s="16" t="str">
        <v>1S01-DPB-39.5</v>
      </c>
      <c r="B491" s="16" t="str">
        <v>3店-SANDIEX-US</v>
      </c>
      <c r="C491" s="16" t="str">
        <v>徐新怡</v>
      </c>
      <c r="D491" s="26" t="n">
        <f>IF(NOT(ISNUMBER(E491)),"",IF(OR(E491&lt;=0,L491=0),0,IF(OR(NOT(ISNUMBER(F491)),F491&lt;0),"",MIN(E491,INT(F491)))))</f>
        <v>0</v>
      </c>
      <c r="E491" s="27" t="n">
        <f>IF(OR(NOT(ISNUMBER(L491)),COUNT(M491:O491)&lt;&gt;3,MIN(M491:O491)&lt;0),"",ROUNDUP(ROUND(BI491-SUM(M491:O491),10),0))</f>
        <v>0</v>
      </c>
      <c r="F491" s="28" t="n">
        <v>0</v>
      </c>
      <c r="G491" s="28" t="n">
        <f>IF(AND(ISNUMBER(D491),ISNUMBER(E491)),IF(OR(E491&lt;=0,L491=0),0,E491-D491),"")</f>
        <v>0</v>
      </c>
      <c r="H491" s="16" t="str">
        <f>IF(NOT(ISNUMBER(E491)),"销量或海外库存待补",IF(OR(E491&lt;=0,L491=0),IF(L491=0,"零日销，本批不发","本批无需补货"),IF(NOT(ISNUMBER(D491)),"国内库存待补",IF(D491=0,"国内无可用库存",IF(G491&gt;0,"先发国内现货","按建议量发货")))))</f>
        <v>零日销，本批不发</v>
      </c>
      <c r="I491" s="28" t="n">
        <f>IF(AND(COUNT(Z491,AA491,AB491)=3,Z491&gt;=AA491,AA491&gt;=0,AB491=7),Z491-AA491,"")</f>
        <v>0</v>
      </c>
      <c r="J491" s="28" t="n">
        <f>IF(AND(COUNT(AF491,AG491,AH491)=3,AF491&gt;=AG491,AG491&gt;=0,AH491=14),AF491-AG491,"")</f>
        <v>0</v>
      </c>
      <c r="K491" s="28" t="n">
        <f>IF(AND(COUNT(AL491,AM491,AN491)=3,AL491&gt;=AM491,AM491&gt;=0,AN491=30),AL491-AM491,"")</f>
        <v>0</v>
      </c>
      <c r="L491" s="29" t="n">
        <f>IF(ISNUMBER(BI491),BI491/90,"")</f>
        <v>0</v>
      </c>
      <c r="M491" s="28" t="n">
        <v>0</v>
      </c>
      <c r="N491" s="28" t="n">
        <v>0</v>
      </c>
      <c r="O491" s="28" t="n">
        <v>0</v>
      </c>
      <c r="P491" s="30" t="str">
        <f>IF(AND(ISNUMBER(L491),L491&gt;0,COUNT(M491:O491)=3,MIN(M491:O491)&gt;=0),SUM(M491:O491)/L491,"")</f>
      </c>
      <c r="Q491" s="16" t="str">
        <v>沿用同SPU原计划店铺</v>
      </c>
      <c r="R491" s="16" t="str">
        <v>已匹配</v>
      </c>
      <c r="S491" s="16" t="str">
        <v>停售</v>
      </c>
      <c r="T491" s="16" t="str">
        <v>1S01</v>
      </c>
      <c r="U491" s="16" t="str">
        <v>米色</v>
      </c>
      <c r="V491" s="16" t="n">
        <v>8.5</v>
      </c>
      <c r="W491" s="8" t="str">
        <v>2026-10-08 至 2026-10-17</v>
      </c>
      <c r="X491" s="8" t="str">
        <v>2026-10-08、2026-10-09、2026-10-10、2026-10-11、2026-10-14、2026-10-15、2026-10-17</v>
      </c>
      <c r="Y491" s="8" t="str">
        <v>2026-10-12 有记录的停售日；2026-10-13 有记录的停售日；2026-10-16 有记录的停售日</v>
      </c>
      <c r="Z491" s="8" t="n">
        <v>0</v>
      </c>
      <c r="AA491" s="8" t="n">
        <v>0</v>
      </c>
      <c r="AB491" s="8" t="n">
        <v>7</v>
      </c>
      <c r="AC491" s="8" t="str">
        <v>2026-09-29 至 2026-10-17</v>
      </c>
      <c r="AD491" s="8" t="str">
        <v>2026-09-29、2026-09-30、2026-10-01、2026-10-02、2026-10-03、2026-10-04、2026-10-05、2026-10-08、2026-10-09、2026-10-10、2026-10-11、2026-10-14、2026-10-15、2026-10-17</v>
      </c>
      <c r="AE491" s="8" t="str">
        <v>2026-10-06 大促；2026-10-07 大促；2026-10-12 有记录的停售日；2026-10-13 有记录的停售日；2026-10-16 有记录的停售日</v>
      </c>
      <c r="AF491" s="8" t="n">
        <v>0</v>
      </c>
      <c r="AG491" s="8" t="n">
        <v>0</v>
      </c>
      <c r="AH491" s="8" t="n">
        <v>14</v>
      </c>
      <c r="AI491" s="8" t="str">
        <v>2026-09-13 至 2026-10-17</v>
      </c>
      <c r="AJ49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91" s="8" t="str">
        <v>2026-10-06 大促；2026-10-07 大促；2026-10-12 有记录的停售日；2026-10-13 有记录的停售日；2026-10-16 有记录的停售日</v>
      </c>
      <c r="AL491" s="8" t="n">
        <v>0</v>
      </c>
      <c r="AM491" s="8" t="n">
        <v>0</v>
      </c>
      <c r="AN491" s="8" t="n">
        <v>30</v>
      </c>
      <c r="AO491" s="8" t="str">
        <v>1S01 / 米色PU / 6574</v>
      </c>
      <c r="AP491" s="11" t="n">
        <v>0.8729500662042875</v>
      </c>
      <c r="AQ491" s="11" t="n">
        <v>0.9355747145678367</v>
      </c>
      <c r="AR491" s="11" t="n">
        <v>1.135973589331194</v>
      </c>
      <c r="AS491" s="11" t="n">
        <f>IF(AND(COUNT(I491:K491,AP491:AR491)=6,MIN(AP491:AR491)&gt;0),I491/7/AP491*0.5+J491/14/AQ491*0.3+K491/30/AR491*0.2,"")</f>
        <v>0</v>
      </c>
      <c r="AT491" s="8" t="n">
        <v>0</v>
      </c>
      <c r="AU491" s="8" t="n">
        <v>0</v>
      </c>
      <c r="AV491" s="8" t="n">
        <v>85</v>
      </c>
      <c r="AW491" s="11" t="n">
        <f>IF(AND(COUNT(AT491:AV491)=3,AT491&gt;=AU491,AU491&gt;=0,AV491&gt;0),(AT491-AU491)/AV491,"")</f>
        <v>0</v>
      </c>
      <c r="AX491" s="8" t="n">
        <v>0</v>
      </c>
      <c r="AY491" s="8" t="n">
        <v>0</v>
      </c>
      <c r="AZ491" s="8" t="n">
        <v>175</v>
      </c>
      <c r="BA491" s="11" t="n">
        <f>IF(AND(COUNT(AX491:AZ491)=3,AX491&gt;=AY491,AY491&gt;=0,AZ491&gt;0),(AX491-AY491)/AZ491,"")</f>
        <v>0</v>
      </c>
      <c r="BB491" s="8" t="n">
        <f>IF(COUNT(AS491,AW491,BA491)=3,1,0)</f>
        <v>1</v>
      </c>
      <c r="BC491" s="11" t="n">
        <f>IF(SUMIF($AO$11:$AO$1309,AO491,$BB$11:$BB$1309)=COUNTIF($AO$11:$AO$1309,AO491),SUMIF($AO$11:$AO$1309,AO491,$AS$11:$AS$1309),"")</f>
        <v>0.8134354698195524</v>
      </c>
      <c r="BD491" s="11" t="n">
        <f>IF(SUMIF($AO$11:$AO$1309,AO491,$BB$11:$BB$1309)=COUNTIF($AO$11:$AO$1309,AO491),SUMIF($AO$11:$AO$1309,AO491,$AW$11:$AW$1309),"")</f>
        <v>0.6022727272727273</v>
      </c>
      <c r="BE491" s="11" t="n">
        <f>IF(SUMIF($AO$11:$AO$1309,AO491,$BB$11:$BB$1309)=COUNTIF($AO$11:$AO$1309,AO491),SUMIF($AO$11:$AO$1309,AO491,$BA$11:$BA$1309),"")</f>
        <v>0.5619903691813805</v>
      </c>
      <c r="BF491" s="12" t="n">
        <f>IF(COUNT(BD491:BE491)&lt;&gt;2,"",IF(AND(BD491&gt;0,BE491&gt;0),0.7*AW491/BD491+0.3*BA491/BE491,IF(BD491&gt;0,AW491/BD491,IF(BE491&gt;0,BA491/BE491,IF(AND(ISNUMBER(BH491),BH491=0),0,"")))))</f>
        <v>0</v>
      </c>
      <c r="BG491" s="11" t="n">
        <f>IF(AND(COUNT(BN491:BU491)=8,MIN(BN491:BU491)&gt;=0),SUMPRODUCT(BN491:BQ491,BR491:BU491),"")</f>
        <v>63.935996265425516</v>
      </c>
      <c r="BH491" s="11" t="n">
        <f>IF(COUNT(BC491,BG491)=2,BC491*BG491,"")</f>
        <v>52.00780716054755</v>
      </c>
      <c r="BI491" s="11" t="n">
        <f>IF(ISNUMBER(CI491),CI491,"")</f>
        <v>0</v>
      </c>
      <c r="BJ491" s="8" t="str"/>
      <c r="BK491" s="8" t="str">
        <v>90天：2026-07-20 至 2026-10-17；180天：2026-04-21 至 2026-10-17</v>
      </c>
      <c r="BL491" s="8" t="str">
        <v>90天：2026-10-06、2026-10-07、2026-10-12、2026-10-13、2026-10-16；180天：2026-10-06、2026-10-07、2026-10-12、2026-10-13、2026-10-16</v>
      </c>
      <c r="BM491" s="8" t="str">
        <v>2026-10：12天 × 0.8729500662042875；2026-11：30天 × 0.8057375774163482；2026-12：31天 × 0.532550303142279；2027-01：17天 × 0.7517299265337036</v>
      </c>
      <c r="BN491" s="11" t="n">
        <v>0.8729500662042875</v>
      </c>
      <c r="BO491" s="11" t="n">
        <v>0.8057375774163482</v>
      </c>
      <c r="BP491" s="11" t="n">
        <v>0.532550303142279</v>
      </c>
      <c r="BQ491" s="11" t="n">
        <v>0.7517299265337036</v>
      </c>
      <c r="BR491" s="8" t="n">
        <v>12</v>
      </c>
      <c r="BS491" s="8" t="n">
        <v>30</v>
      </c>
      <c r="BT491" s="8" t="n">
        <v>31</v>
      </c>
      <c r="BU491" s="8" t="n">
        <v>17</v>
      </c>
      <c r="BV491" s="11" t="n">
        <f>IF(COUNT(BC491,BF491)=2,BC491*BF491,"")</f>
        <v>0</v>
      </c>
      <c r="BW491" s="11" t="n">
        <f>IF(ISNUMBER(BN491),BN491,"")</f>
        <v>0.8729500662042875</v>
      </c>
      <c r="BX491" s="14" t="n">
        <f>IF(ISNUMBER(BR491),BR491,"")</f>
        <v>12</v>
      </c>
      <c r="BY491" s="13" t="n">
        <f>IF(AND(COUNT(BV491,BW491,BX491)=3,MIN(BV491,BW491,BX491)&gt;=0),BV491*BW491*BX491,"")</f>
        <v>0</v>
      </c>
      <c r="BZ491" s="11" t="n">
        <f>IF(ISNUMBER(BO491),BO491,"")</f>
        <v>0.8057375774163482</v>
      </c>
      <c r="CA491" s="14" t="n">
        <f>IF(ISNUMBER(BS491),BS491,"")</f>
        <v>30</v>
      </c>
      <c r="CB491" s="13" t="n">
        <f>IF(AND(COUNT(BV491,BZ491,CA491)=3,MIN(BV491,BZ491,CA491)&gt;=0),BV491*BZ491*CA491,"")</f>
        <v>0</v>
      </c>
      <c r="CC491" s="11" t="n">
        <f>IF(ISNUMBER(BP491),BP491,"")</f>
        <v>0.532550303142279</v>
      </c>
      <c r="CD491" s="14" t="n">
        <f>IF(ISNUMBER(BT491),BT491,"")</f>
        <v>31</v>
      </c>
      <c r="CE491" s="13" t="n">
        <f>IF(AND(COUNT(BV491,CC491,CD491)=3,MIN(BV491,CC491,CD491)&gt;=0),BV491*CC491*CD491,"")</f>
        <v>0</v>
      </c>
      <c r="CF491" s="11" t="n">
        <f>IF(ISNUMBER(BQ491),BQ491,"")</f>
        <v>0.7517299265337036</v>
      </c>
      <c r="CG491" s="14" t="n">
        <f>IF(ISNUMBER(BU491),BU491,"")</f>
        <v>17</v>
      </c>
      <c r="CH491" s="13" t="n">
        <f>IF(AND(COUNT(BV491,CF491,CG491)=3,MIN(BV491,CF491,CG491)&gt;=0),BV491*CF491*CG491,"")</f>
        <v>0</v>
      </c>
      <c r="CI491" s="13" t="n">
        <f>IF(COUNT(BY491,CB491,CE491,CH491)=4,SUM(BY491,CB491,CE491,CH491),"")</f>
        <v>0</v>
      </c>
    </row>
    <row r="492" ht="72" customHeight="1">
      <c r="A492" s="16" t="str">
        <v>1S01-DPB-40.5</v>
      </c>
      <c r="B492" s="16" t="str">
        <v>3店-SANDIEX-US</v>
      </c>
      <c r="C492" s="16" t="str">
        <v>徐新怡</v>
      </c>
      <c r="D492" s="26" t="n">
        <f>IF(NOT(ISNUMBER(E492)),"",IF(OR(E492&lt;=0,L492=0),0,IF(OR(NOT(ISNUMBER(F492)),F492&lt;0),"",MIN(E492,INT(F492)))))</f>
        <v>0</v>
      </c>
      <c r="E492" s="27" t="n">
        <f>IF(OR(NOT(ISNUMBER(L492)),COUNT(M492:O492)&lt;&gt;3,MIN(M492:O492)&lt;0),"",ROUNDUP(ROUND(BI492-SUM(M492:O492),10),0))</f>
        <v>0</v>
      </c>
      <c r="F492" s="28"/>
      <c r="G492" s="28" t="n">
        <f>IF(AND(ISNUMBER(D492),ISNUMBER(E492)),IF(OR(E492&lt;=0,L492=0),0,E492-D492),"")</f>
        <v>0</v>
      </c>
      <c r="H492" s="16" t="str">
        <f>IF(NOT(ISNUMBER(E492)),"销量或海外库存待补",IF(OR(E492&lt;=0,L492=0),IF(L492=0,"零日销，本批不发","本批无需补货"),IF(NOT(ISNUMBER(D492)),"国内库存待补",IF(D492=0,"国内无可用库存",IF(G492&gt;0,"先发国内现货","按建议量发货")))))</f>
        <v>零日销，本批不发</v>
      </c>
      <c r="I492" s="28" t="n">
        <f>IF(AND(COUNT(Z492,AA492,AB492)=3,Z492&gt;=AA492,AA492&gt;=0,AB492=7),Z492-AA492,"")</f>
        <v>0</v>
      </c>
      <c r="J492" s="28" t="n">
        <f>IF(AND(COUNT(AF492,AG492,AH492)=3,AF492&gt;=AG492,AG492&gt;=0,AH492=14),AF492-AG492,"")</f>
        <v>0</v>
      </c>
      <c r="K492" s="28" t="n">
        <f>IF(AND(COUNT(AL492,AM492,AN492)=3,AL492&gt;=AM492,AM492&gt;=0,AN492=30),AL492-AM492,"")</f>
        <v>0</v>
      </c>
      <c r="L492" s="29" t="n">
        <f>IF(ISNUMBER(BI492),BI492/90,"")</f>
        <v>0</v>
      </c>
      <c r="M492" s="28" t="n">
        <v>0</v>
      </c>
      <c r="N492" s="28" t="n">
        <v>0</v>
      </c>
      <c r="O492" s="28" t="n">
        <v>0</v>
      </c>
      <c r="P492" s="30" t="str">
        <f>IF(AND(ISNUMBER(L492),L492&gt;0,COUNT(M492:O492)=3,MIN(M492:O492)&gt;=0),SUM(M492:O492)/L492,"")</f>
      </c>
      <c r="Q492" s="16" t="str">
        <v>沿用同SPU原计划店铺</v>
      </c>
      <c r="R492" s="16" t="str">
        <v>未匹配</v>
      </c>
      <c r="S492" s="16" t="str">
        <v>停售</v>
      </c>
      <c r="T492" s="16" t="str">
        <v>1S01</v>
      </c>
      <c r="U492" s="16" t="str">
        <v>米色</v>
      </c>
      <c r="V492" s="16" t="n">
        <v>9.5</v>
      </c>
      <c r="W492" s="8" t="str">
        <v>2026-10-08 至 2026-10-17</v>
      </c>
      <c r="X492" s="8" t="str">
        <v>2026-10-08、2026-10-09、2026-10-10、2026-10-11、2026-10-14、2026-10-15、2026-10-17</v>
      </c>
      <c r="Y492" s="8" t="str">
        <v>2026-10-12 有记录的停售日；2026-10-13 有记录的停售日；2026-10-16 有记录的停售日</v>
      </c>
      <c r="Z492" s="8" t="n">
        <v>0</v>
      </c>
      <c r="AA492" s="8" t="n">
        <v>0</v>
      </c>
      <c r="AB492" s="8" t="n">
        <v>7</v>
      </c>
      <c r="AC492" s="8" t="str">
        <v>2026-09-29 至 2026-10-17</v>
      </c>
      <c r="AD492" s="8" t="str">
        <v>2026-09-29、2026-09-30、2026-10-01、2026-10-02、2026-10-03、2026-10-04、2026-10-05、2026-10-08、2026-10-09、2026-10-10、2026-10-11、2026-10-14、2026-10-15、2026-10-17</v>
      </c>
      <c r="AE492" s="8" t="str">
        <v>2026-10-06 大促；2026-10-07 大促；2026-10-12 有记录的停售日；2026-10-13 有记录的停售日；2026-10-16 有记录的停售日</v>
      </c>
      <c r="AF492" s="8" t="n">
        <v>0</v>
      </c>
      <c r="AG492" s="8" t="n">
        <v>0</v>
      </c>
      <c r="AH492" s="8" t="n">
        <v>14</v>
      </c>
      <c r="AI492" s="8" t="str">
        <v>2026-09-13 至 2026-10-17</v>
      </c>
      <c r="AJ4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92" s="8" t="str">
        <v>2026-10-06 大促；2026-10-07 大促；2026-10-12 有记录的停售日；2026-10-13 有记录的停售日；2026-10-16 有记录的停售日</v>
      </c>
      <c r="AL492" s="8" t="n">
        <v>0</v>
      </c>
      <c r="AM492" s="8" t="n">
        <v>0</v>
      </c>
      <c r="AN492" s="8" t="n">
        <v>30</v>
      </c>
      <c r="AO492" s="8" t="str">
        <v>1S01 / 米色PU / 6574</v>
      </c>
      <c r="AP492" s="11" t="n">
        <v>0.8729500662042875</v>
      </c>
      <c r="AQ492" s="11" t="n">
        <v>0.9355747145678367</v>
      </c>
      <c r="AR492" s="11" t="n">
        <v>1.135973589331194</v>
      </c>
      <c r="AS492" s="11" t="n">
        <f>IF(AND(COUNT(I492:K492,AP492:AR492)=6,MIN(AP492:AR492)&gt;0),I492/7/AP492*0.5+J492/14/AQ492*0.3+K492/30/AR492*0.2,"")</f>
        <v>0</v>
      </c>
      <c r="AT492" s="8" t="n">
        <v>0</v>
      </c>
      <c r="AU492" s="8" t="n">
        <v>0</v>
      </c>
      <c r="AV492" s="8" t="n">
        <v>85</v>
      </c>
      <c r="AW492" s="11" t="n">
        <f>IF(AND(COUNT(AT492:AV492)=3,AT492&gt;=AU492,AU492&gt;=0,AV492&gt;0),(AT492-AU492)/AV492,"")</f>
        <v>0</v>
      </c>
      <c r="AX492" s="8" t="n">
        <v>0</v>
      </c>
      <c r="AY492" s="8" t="n">
        <v>0</v>
      </c>
      <c r="AZ492" s="8" t="n">
        <v>175</v>
      </c>
      <c r="BA492" s="11" t="n">
        <f>IF(AND(COUNT(AX492:AZ492)=3,AX492&gt;=AY492,AY492&gt;=0,AZ492&gt;0),(AX492-AY492)/AZ492,"")</f>
        <v>0</v>
      </c>
      <c r="BB492" s="8" t="n">
        <f>IF(COUNT(AS492,AW492,BA492)=3,1,0)</f>
        <v>1</v>
      </c>
      <c r="BC492" s="11" t="n">
        <f>IF(SUMIF($AO$11:$AO$1309,AO492,$BB$11:$BB$1309)=COUNTIF($AO$11:$AO$1309,AO492),SUMIF($AO$11:$AO$1309,AO492,$AS$11:$AS$1309),"")</f>
        <v>0.8134354698195524</v>
      </c>
      <c r="BD492" s="11" t="n">
        <f>IF(SUMIF($AO$11:$AO$1309,AO492,$BB$11:$BB$1309)=COUNTIF($AO$11:$AO$1309,AO492),SUMIF($AO$11:$AO$1309,AO492,$AW$11:$AW$1309),"")</f>
        <v>0.6022727272727273</v>
      </c>
      <c r="BE492" s="11" t="n">
        <f>IF(SUMIF($AO$11:$AO$1309,AO492,$BB$11:$BB$1309)=COUNTIF($AO$11:$AO$1309,AO492),SUMIF($AO$11:$AO$1309,AO492,$BA$11:$BA$1309),"")</f>
        <v>0.5619903691813805</v>
      </c>
      <c r="BF492" s="12" t="n">
        <f>IF(COUNT(BD492:BE492)&lt;&gt;2,"",IF(AND(BD492&gt;0,BE492&gt;0),0.7*AW492/BD492+0.3*BA492/BE492,IF(BD492&gt;0,AW492/BD492,IF(BE492&gt;0,BA492/BE492,IF(AND(ISNUMBER(BH492),BH492=0),0,"")))))</f>
        <v>0</v>
      </c>
      <c r="BG492" s="11" t="n">
        <f>IF(AND(COUNT(BN492:BU492)=8,MIN(BN492:BU492)&gt;=0),SUMPRODUCT(BN492:BQ492,BR492:BU492),"")</f>
        <v>63.935996265425516</v>
      </c>
      <c r="BH492" s="11" t="n">
        <f>IF(COUNT(BC492,BG492)=2,BC492*BG492,"")</f>
        <v>52.00780716054755</v>
      </c>
      <c r="BI492" s="11" t="n">
        <f>IF(ISNUMBER(CI492),CI492,"")</f>
        <v>0</v>
      </c>
      <c r="BJ492" s="8" t="str"/>
      <c r="BK492" s="8" t="str">
        <v>90天：2026-07-20 至 2026-10-17；180天：2026-04-21 至 2026-10-17</v>
      </c>
      <c r="BL492" s="8" t="str">
        <v>90天：2026-10-06、2026-10-07、2026-10-12、2026-10-13、2026-10-16；180天：2026-10-06、2026-10-07、2026-10-12、2026-10-13、2026-10-16</v>
      </c>
      <c r="BM492" s="8" t="str">
        <v>2026-10：12天 × 0.8729500662042875；2026-11：30天 × 0.8057375774163482；2026-12：31天 × 0.532550303142279；2027-01：17天 × 0.7517299265337036</v>
      </c>
      <c r="BN492" s="11" t="n">
        <v>0.8729500662042875</v>
      </c>
      <c r="BO492" s="11" t="n">
        <v>0.8057375774163482</v>
      </c>
      <c r="BP492" s="11" t="n">
        <v>0.532550303142279</v>
      </c>
      <c r="BQ492" s="11" t="n">
        <v>0.7517299265337036</v>
      </c>
      <c r="BR492" s="8" t="n">
        <v>12</v>
      </c>
      <c r="BS492" s="8" t="n">
        <v>30</v>
      </c>
      <c r="BT492" s="8" t="n">
        <v>31</v>
      </c>
      <c r="BU492" s="8" t="n">
        <v>17</v>
      </c>
      <c r="BV492" s="11" t="n">
        <f>IF(COUNT(BC492,BF492)=2,BC492*BF492,"")</f>
        <v>0</v>
      </c>
      <c r="BW492" s="11" t="n">
        <f>IF(ISNUMBER(BN492),BN492,"")</f>
        <v>0.8729500662042875</v>
      </c>
      <c r="BX492" s="14" t="n">
        <f>IF(ISNUMBER(BR492),BR492,"")</f>
        <v>12</v>
      </c>
      <c r="BY492" s="13" t="n">
        <f>IF(AND(COUNT(BV492,BW492,BX492)=3,MIN(BV492,BW492,BX492)&gt;=0),BV492*BW492*BX492,"")</f>
        <v>0</v>
      </c>
      <c r="BZ492" s="11" t="n">
        <f>IF(ISNUMBER(BO492),BO492,"")</f>
        <v>0.8057375774163482</v>
      </c>
      <c r="CA492" s="14" t="n">
        <f>IF(ISNUMBER(BS492),BS492,"")</f>
        <v>30</v>
      </c>
      <c r="CB492" s="13" t="n">
        <f>IF(AND(COUNT(BV492,BZ492,CA492)=3,MIN(BV492,BZ492,CA492)&gt;=0),BV492*BZ492*CA492,"")</f>
        <v>0</v>
      </c>
      <c r="CC492" s="11" t="n">
        <f>IF(ISNUMBER(BP492),BP492,"")</f>
        <v>0.532550303142279</v>
      </c>
      <c r="CD492" s="14" t="n">
        <f>IF(ISNUMBER(BT492),BT492,"")</f>
        <v>31</v>
      </c>
      <c r="CE492" s="13" t="n">
        <f>IF(AND(COUNT(BV492,CC492,CD492)=3,MIN(BV492,CC492,CD492)&gt;=0),BV492*CC492*CD492,"")</f>
        <v>0</v>
      </c>
      <c r="CF492" s="11" t="n">
        <f>IF(ISNUMBER(BQ492),BQ492,"")</f>
        <v>0.7517299265337036</v>
      </c>
      <c r="CG492" s="14" t="n">
        <f>IF(ISNUMBER(BU492),BU492,"")</f>
        <v>17</v>
      </c>
      <c r="CH492" s="13" t="n">
        <f>IF(AND(COUNT(BV492,CF492,CG492)=3,MIN(BV492,CF492,CG492)&gt;=0),BV492*CF492*CG492,"")</f>
        <v>0</v>
      </c>
      <c r="CI492" s="13" t="n">
        <f>IF(COUNT(BY492,CB492,CE492,CH492)=4,SUM(BY492,CB492,CE492,CH492),"")</f>
        <v>0</v>
      </c>
    </row>
    <row r="493" ht="72" customHeight="1">
      <c r="A493" s="16" t="str">
        <v>1S01-DPB-41.5</v>
      </c>
      <c r="B493" s="16" t="str">
        <v>3店-SANDIEX-US</v>
      </c>
      <c r="C493" s="16" t="str">
        <v>徐新怡</v>
      </c>
      <c r="D493" s="26" t="n">
        <f>IF(NOT(ISNUMBER(E493)),"",IF(OR(E493&lt;=0,L493=0),0,IF(OR(NOT(ISNUMBER(F493)),F493&lt;0),"",MIN(E493,INT(F493)))))</f>
        <v>0</v>
      </c>
      <c r="E493" s="27" t="n">
        <f>IF(OR(NOT(ISNUMBER(L493)),COUNT(M493:O493)&lt;&gt;3,MIN(M493:O493)&lt;0),"",ROUNDUP(ROUND(BI493-SUM(M493:O493),10),0))</f>
        <v>0</v>
      </c>
      <c r="F493" s="28"/>
      <c r="G493" s="28" t="n">
        <f>IF(AND(ISNUMBER(D493),ISNUMBER(E493)),IF(OR(E493&lt;=0,L493=0),0,E493-D493),"")</f>
        <v>0</v>
      </c>
      <c r="H493" s="16" t="str">
        <f>IF(NOT(ISNUMBER(E493)),"销量或海外库存待补",IF(OR(E493&lt;=0,L493=0),IF(L493=0,"零日销，本批不发","本批无需补货"),IF(NOT(ISNUMBER(D493)),"国内库存待补",IF(D493=0,"国内无可用库存",IF(G493&gt;0,"先发国内现货","按建议量发货")))))</f>
        <v>零日销，本批不发</v>
      </c>
      <c r="I493" s="28" t="n">
        <f>IF(AND(COUNT(Z493,AA493,AB493)=3,Z493&gt;=AA493,AA493&gt;=0,AB493=7),Z493-AA493,"")</f>
        <v>0</v>
      </c>
      <c r="J493" s="28" t="n">
        <f>IF(AND(COUNT(AF493,AG493,AH493)=3,AF493&gt;=AG493,AG493&gt;=0,AH493=14),AF493-AG493,"")</f>
        <v>0</v>
      </c>
      <c r="K493" s="28" t="n">
        <f>IF(AND(COUNT(AL493,AM493,AN493)=3,AL493&gt;=AM493,AM493&gt;=0,AN493=30),AL493-AM493,"")</f>
        <v>0</v>
      </c>
      <c r="L493" s="29" t="n">
        <f>IF(ISNUMBER(BI493),BI493/90,"")</f>
        <v>0</v>
      </c>
      <c r="M493" s="28" t="n">
        <v>0</v>
      </c>
      <c r="N493" s="28" t="n">
        <v>0</v>
      </c>
      <c r="O493" s="28" t="n">
        <v>0</v>
      </c>
      <c r="P493" s="30" t="str">
        <f>IF(AND(ISNUMBER(L493),L493&gt;0,COUNT(M493:O493)=3,MIN(M493:O493)&gt;=0),SUM(M493:O493)/L493,"")</f>
      </c>
      <c r="Q493" s="16" t="str">
        <v>沿用同SPU原计划店铺</v>
      </c>
      <c r="R493" s="16" t="str">
        <v>未匹配</v>
      </c>
      <c r="S493" s="16" t="str">
        <v>停售</v>
      </c>
      <c r="T493" s="16" t="str">
        <v>1S01</v>
      </c>
      <c r="U493" s="16" t="str">
        <v>米色</v>
      </c>
      <c r="V493" s="16" t="n">
        <v>10.5</v>
      </c>
      <c r="W493" s="8" t="str">
        <v>2026-10-08 至 2026-10-17</v>
      </c>
      <c r="X493" s="8" t="str">
        <v>2026-10-08、2026-10-09、2026-10-10、2026-10-11、2026-10-14、2026-10-15、2026-10-17</v>
      </c>
      <c r="Y493" s="8" t="str">
        <v>2026-10-12 有记录的停售日；2026-10-13 有记录的停售日；2026-10-16 有记录的停售日</v>
      </c>
      <c r="Z493" s="8" t="n">
        <v>0</v>
      </c>
      <c r="AA493" s="8" t="n">
        <v>0</v>
      </c>
      <c r="AB493" s="8" t="n">
        <v>7</v>
      </c>
      <c r="AC493" s="8" t="str">
        <v>2026-09-29 至 2026-10-17</v>
      </c>
      <c r="AD493" s="8" t="str">
        <v>2026-09-29、2026-09-30、2026-10-01、2026-10-02、2026-10-03、2026-10-04、2026-10-05、2026-10-08、2026-10-09、2026-10-10、2026-10-11、2026-10-14、2026-10-15、2026-10-17</v>
      </c>
      <c r="AE493" s="8" t="str">
        <v>2026-10-06 大促；2026-10-07 大促；2026-10-12 有记录的停售日；2026-10-13 有记录的停售日；2026-10-16 有记录的停售日</v>
      </c>
      <c r="AF493" s="8" t="n">
        <v>0</v>
      </c>
      <c r="AG493" s="8" t="n">
        <v>0</v>
      </c>
      <c r="AH493" s="8" t="n">
        <v>14</v>
      </c>
      <c r="AI493" s="8" t="str">
        <v>2026-09-13 至 2026-10-17</v>
      </c>
      <c r="AJ49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93" s="8" t="str">
        <v>2026-10-06 大促；2026-10-07 大促；2026-10-12 有记录的停售日；2026-10-13 有记录的停售日；2026-10-16 有记录的停售日</v>
      </c>
      <c r="AL493" s="8" t="n">
        <v>0</v>
      </c>
      <c r="AM493" s="8" t="n">
        <v>0</v>
      </c>
      <c r="AN493" s="8" t="n">
        <v>30</v>
      </c>
      <c r="AO493" s="8" t="str">
        <v>1S01 / 米色PU / 6574</v>
      </c>
      <c r="AP493" s="11" t="n">
        <v>0.8729500662042875</v>
      </c>
      <c r="AQ493" s="11" t="n">
        <v>0.9355747145678367</v>
      </c>
      <c r="AR493" s="11" t="n">
        <v>1.135973589331194</v>
      </c>
      <c r="AS493" s="11" t="n">
        <f>IF(AND(COUNT(I493:K493,AP493:AR493)=6,MIN(AP493:AR493)&gt;0),I493/7/AP493*0.5+J493/14/AQ493*0.3+K493/30/AR493*0.2,"")</f>
        <v>0</v>
      </c>
      <c r="AT493" s="8" t="n">
        <v>0</v>
      </c>
      <c r="AU493" s="8" t="n">
        <v>0</v>
      </c>
      <c r="AV493" s="8" t="n">
        <v>85</v>
      </c>
      <c r="AW493" s="11" t="n">
        <f>IF(AND(COUNT(AT493:AV493)=3,AT493&gt;=AU493,AU493&gt;=0,AV493&gt;0),(AT493-AU493)/AV493,"")</f>
        <v>0</v>
      </c>
      <c r="AX493" s="8" t="n">
        <v>0</v>
      </c>
      <c r="AY493" s="8" t="n">
        <v>0</v>
      </c>
      <c r="AZ493" s="8" t="n">
        <v>175</v>
      </c>
      <c r="BA493" s="11" t="n">
        <f>IF(AND(COUNT(AX493:AZ493)=3,AX493&gt;=AY493,AY493&gt;=0,AZ493&gt;0),(AX493-AY493)/AZ493,"")</f>
        <v>0</v>
      </c>
      <c r="BB493" s="8" t="n">
        <f>IF(COUNT(AS493,AW493,BA493)=3,1,0)</f>
        <v>1</v>
      </c>
      <c r="BC493" s="11" t="n">
        <f>IF(SUMIF($AO$11:$AO$1309,AO493,$BB$11:$BB$1309)=COUNTIF($AO$11:$AO$1309,AO493),SUMIF($AO$11:$AO$1309,AO493,$AS$11:$AS$1309),"")</f>
        <v>0.8134354698195524</v>
      </c>
      <c r="BD493" s="11" t="n">
        <f>IF(SUMIF($AO$11:$AO$1309,AO493,$BB$11:$BB$1309)=COUNTIF($AO$11:$AO$1309,AO493),SUMIF($AO$11:$AO$1309,AO493,$AW$11:$AW$1309),"")</f>
        <v>0.6022727272727273</v>
      </c>
      <c r="BE493" s="11" t="n">
        <f>IF(SUMIF($AO$11:$AO$1309,AO493,$BB$11:$BB$1309)=COUNTIF($AO$11:$AO$1309,AO493),SUMIF($AO$11:$AO$1309,AO493,$BA$11:$BA$1309),"")</f>
        <v>0.5619903691813805</v>
      </c>
      <c r="BF493" s="12" t="n">
        <f>IF(COUNT(BD493:BE493)&lt;&gt;2,"",IF(AND(BD493&gt;0,BE493&gt;0),0.7*AW493/BD493+0.3*BA493/BE493,IF(BD493&gt;0,AW493/BD493,IF(BE493&gt;0,BA493/BE493,IF(AND(ISNUMBER(BH493),BH493=0),0,"")))))</f>
        <v>0</v>
      </c>
      <c r="BG493" s="11" t="n">
        <f>IF(AND(COUNT(BN493:BU493)=8,MIN(BN493:BU493)&gt;=0),SUMPRODUCT(BN493:BQ493,BR493:BU493),"")</f>
        <v>63.935996265425516</v>
      </c>
      <c r="BH493" s="11" t="n">
        <f>IF(COUNT(BC493,BG493)=2,BC493*BG493,"")</f>
        <v>52.00780716054755</v>
      </c>
      <c r="BI493" s="11" t="n">
        <f>IF(ISNUMBER(CI493),CI493,"")</f>
        <v>0</v>
      </c>
      <c r="BJ493" s="8" t="str"/>
      <c r="BK493" s="8" t="str">
        <v>90天：2026-07-20 至 2026-10-17；180天：2026-04-21 至 2026-10-17</v>
      </c>
      <c r="BL493" s="8" t="str">
        <v>90天：2026-10-06、2026-10-07、2026-10-12、2026-10-13、2026-10-16；180天：2026-10-06、2026-10-07、2026-10-12、2026-10-13、2026-10-16</v>
      </c>
      <c r="BM493" s="8" t="str">
        <v>2026-10：12天 × 0.8729500662042875；2026-11：30天 × 0.8057375774163482；2026-12：31天 × 0.532550303142279；2027-01：17天 × 0.7517299265337036</v>
      </c>
      <c r="BN493" s="11" t="n">
        <v>0.8729500662042875</v>
      </c>
      <c r="BO493" s="11" t="n">
        <v>0.8057375774163482</v>
      </c>
      <c r="BP493" s="11" t="n">
        <v>0.532550303142279</v>
      </c>
      <c r="BQ493" s="11" t="n">
        <v>0.7517299265337036</v>
      </c>
      <c r="BR493" s="8" t="n">
        <v>12</v>
      </c>
      <c r="BS493" s="8" t="n">
        <v>30</v>
      </c>
      <c r="BT493" s="8" t="n">
        <v>31</v>
      </c>
      <c r="BU493" s="8" t="n">
        <v>17</v>
      </c>
      <c r="BV493" s="11" t="n">
        <f>IF(COUNT(BC493,BF493)=2,BC493*BF493,"")</f>
        <v>0</v>
      </c>
      <c r="BW493" s="11" t="n">
        <f>IF(ISNUMBER(BN493),BN493,"")</f>
        <v>0.8729500662042875</v>
      </c>
      <c r="BX493" s="14" t="n">
        <f>IF(ISNUMBER(BR493),BR493,"")</f>
        <v>12</v>
      </c>
      <c r="BY493" s="13" t="n">
        <f>IF(AND(COUNT(BV493,BW493,BX493)=3,MIN(BV493,BW493,BX493)&gt;=0),BV493*BW493*BX493,"")</f>
        <v>0</v>
      </c>
      <c r="BZ493" s="11" t="n">
        <f>IF(ISNUMBER(BO493),BO493,"")</f>
        <v>0.8057375774163482</v>
      </c>
      <c r="CA493" s="14" t="n">
        <f>IF(ISNUMBER(BS493),BS493,"")</f>
        <v>30</v>
      </c>
      <c r="CB493" s="13" t="n">
        <f>IF(AND(COUNT(BV493,BZ493,CA493)=3,MIN(BV493,BZ493,CA493)&gt;=0),BV493*BZ493*CA493,"")</f>
        <v>0</v>
      </c>
      <c r="CC493" s="11" t="n">
        <f>IF(ISNUMBER(BP493),BP493,"")</f>
        <v>0.532550303142279</v>
      </c>
      <c r="CD493" s="14" t="n">
        <f>IF(ISNUMBER(BT493),BT493,"")</f>
        <v>31</v>
      </c>
      <c r="CE493" s="13" t="n">
        <f>IF(AND(COUNT(BV493,CC493,CD493)=3,MIN(BV493,CC493,CD493)&gt;=0),BV493*CC493*CD493,"")</f>
        <v>0</v>
      </c>
      <c r="CF493" s="11" t="n">
        <f>IF(ISNUMBER(BQ493),BQ493,"")</f>
        <v>0.7517299265337036</v>
      </c>
      <c r="CG493" s="14" t="n">
        <f>IF(ISNUMBER(BU493),BU493,"")</f>
        <v>17</v>
      </c>
      <c r="CH493" s="13" t="n">
        <f>IF(AND(COUNT(BV493,CF493,CG493)=3,MIN(BV493,CF493,CG493)&gt;=0),BV493*CF493*CG493,"")</f>
        <v>0</v>
      </c>
      <c r="CI493" s="13" t="n">
        <f>IF(COUNT(BY493,CB493,CE493,CH493)=4,SUM(BY493,CB493,CE493,CH493),"")</f>
        <v>0</v>
      </c>
    </row>
    <row r="494" ht="72" customHeight="1">
      <c r="A494" s="16" t="str">
        <v>1S01-DPB-5</v>
      </c>
      <c r="B494" s="16" t="str">
        <v>3店-SANDIEX-US</v>
      </c>
      <c r="C494" s="16" t="str">
        <v>徐新怡</v>
      </c>
      <c r="D494" s="26" t="n">
        <f>IF(NOT(ISNUMBER(E494)),"",IF(OR(E494&lt;=0,L494=0),0,IF(OR(NOT(ISNUMBER(F494)),F494&lt;0),"",MIN(E494,INT(F494)))))</f>
        <v>0</v>
      </c>
      <c r="E494" s="27" t="n">
        <f>IF(OR(NOT(ISNUMBER(L494)),COUNT(M494:O494)&lt;&gt;3,MIN(M494:O494)&lt;0),"",ROUNDUP(ROUND(BI494-SUM(M494:O494),10),0))</f>
        <v>0</v>
      </c>
      <c r="F494" s="28"/>
      <c r="G494" s="28" t="n">
        <f>IF(AND(ISNUMBER(D494),ISNUMBER(E494)),IF(OR(E494&lt;=0,L494=0),0,E494-D494),"")</f>
        <v>0</v>
      </c>
      <c r="H494" s="16" t="str">
        <f>IF(NOT(ISNUMBER(E494)),"销量或海外库存待补",IF(OR(E494&lt;=0,L494=0),IF(L494=0,"零日销，本批不发","本批无需补货"),IF(NOT(ISNUMBER(D494)),"国内库存待补",IF(D494=0,"国内无可用库存",IF(G494&gt;0,"先发国内现货","按建议量发货")))))</f>
        <v>零日销，本批不发</v>
      </c>
      <c r="I494" s="28" t="n">
        <f>IF(AND(COUNT(Z494,AA494,AB494)=3,Z494&gt;=AA494,AA494&gt;=0,AB494=7),Z494-AA494,"")</f>
        <v>0</v>
      </c>
      <c r="J494" s="28" t="n">
        <f>IF(AND(COUNT(AF494,AG494,AH494)=3,AF494&gt;=AG494,AG494&gt;=0,AH494=14),AF494-AG494,"")</f>
        <v>0</v>
      </c>
      <c r="K494" s="28" t="n">
        <f>IF(AND(COUNT(AL494,AM494,AN494)=3,AL494&gt;=AM494,AM494&gt;=0,AN494=30),AL494-AM494,"")</f>
        <v>0</v>
      </c>
      <c r="L494" s="29" t="n">
        <f>IF(ISNUMBER(BI494),BI494/90,"")</f>
        <v>0</v>
      </c>
      <c r="M494" s="28" t="n">
        <v>0</v>
      </c>
      <c r="N494" s="28" t="n">
        <v>0</v>
      </c>
      <c r="O494" s="28" t="n">
        <v>0</v>
      </c>
      <c r="P494" s="30" t="str">
        <f>IF(AND(ISNUMBER(L494),L494&gt;0,COUNT(M494:O494)=3,MIN(M494:O494)&gt;=0),SUM(M494:O494)/L494,"")</f>
      </c>
      <c r="Q494" s="16" t="str">
        <v>沿用同SPU原计划店铺</v>
      </c>
      <c r="R494" s="16" t="str">
        <v>未匹配</v>
      </c>
      <c r="S494" s="16" t="str">
        <v>停售</v>
      </c>
      <c r="T494" s="16" t="str">
        <v>1S01</v>
      </c>
      <c r="U494" s="16" t="str">
        <v>米色</v>
      </c>
      <c r="V494" s="16" t="n">
        <v>5</v>
      </c>
      <c r="W494" s="8" t="str">
        <v>2026-10-08 至 2026-10-17</v>
      </c>
      <c r="X494" s="8" t="str">
        <v>2026-10-08、2026-10-09、2026-10-10、2026-10-11、2026-10-14、2026-10-15、2026-10-17</v>
      </c>
      <c r="Y494" s="8" t="str">
        <v>2026-10-12 有记录的停售日；2026-10-13 有记录的停售日；2026-10-16 有记录的停售日</v>
      </c>
      <c r="Z494" s="8" t="n">
        <v>0</v>
      </c>
      <c r="AA494" s="8" t="n">
        <v>0</v>
      </c>
      <c r="AB494" s="8" t="n">
        <v>7</v>
      </c>
      <c r="AC494" s="8" t="str">
        <v>2026-09-29 至 2026-10-17</v>
      </c>
      <c r="AD494" s="8" t="str">
        <v>2026-09-29、2026-09-30、2026-10-01、2026-10-02、2026-10-03、2026-10-04、2026-10-05、2026-10-08、2026-10-09、2026-10-10、2026-10-11、2026-10-14、2026-10-15、2026-10-17</v>
      </c>
      <c r="AE494" s="8" t="str">
        <v>2026-10-06 大促；2026-10-07 大促；2026-10-12 有记录的停售日；2026-10-13 有记录的停售日；2026-10-16 有记录的停售日</v>
      </c>
      <c r="AF494" s="8" t="n">
        <v>0</v>
      </c>
      <c r="AG494" s="8" t="n">
        <v>0</v>
      </c>
      <c r="AH494" s="8" t="n">
        <v>14</v>
      </c>
      <c r="AI494" s="8" t="str">
        <v>2026-09-13 至 2026-10-17</v>
      </c>
      <c r="AJ49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94" s="8" t="str">
        <v>2026-10-06 大促；2026-10-07 大促；2026-10-12 有记录的停售日；2026-10-13 有记录的停售日；2026-10-16 有记录的停售日</v>
      </c>
      <c r="AL494" s="8" t="n">
        <v>0</v>
      </c>
      <c r="AM494" s="8" t="n">
        <v>0</v>
      </c>
      <c r="AN494" s="8" t="n">
        <v>30</v>
      </c>
      <c r="AO494" s="8" t="str">
        <v>1S01 / 米色PU / 6574</v>
      </c>
      <c r="AP494" s="11" t="n">
        <v>0.8729500662042875</v>
      </c>
      <c r="AQ494" s="11" t="n">
        <v>0.9355747145678367</v>
      </c>
      <c r="AR494" s="11" t="n">
        <v>1.135973589331194</v>
      </c>
      <c r="AS494" s="11" t="n">
        <f>IF(AND(COUNT(I494:K494,AP494:AR494)=6,MIN(AP494:AR494)&gt;0),I494/7/AP494*0.5+J494/14/AQ494*0.3+K494/30/AR494*0.2,"")</f>
        <v>0</v>
      </c>
      <c r="AT494" s="8" t="n">
        <v>0</v>
      </c>
      <c r="AU494" s="8" t="n">
        <v>0</v>
      </c>
      <c r="AV494" s="8" t="n">
        <v>85</v>
      </c>
      <c r="AW494" s="11" t="n">
        <f>IF(AND(COUNT(AT494:AV494)=3,AT494&gt;=AU494,AU494&gt;=0,AV494&gt;0),(AT494-AU494)/AV494,"")</f>
        <v>0</v>
      </c>
      <c r="AX494" s="8" t="n">
        <v>0</v>
      </c>
      <c r="AY494" s="8" t="n">
        <v>0</v>
      </c>
      <c r="AZ494" s="8" t="n">
        <v>175</v>
      </c>
      <c r="BA494" s="11" t="n">
        <f>IF(AND(COUNT(AX494:AZ494)=3,AX494&gt;=AY494,AY494&gt;=0,AZ494&gt;0),(AX494-AY494)/AZ494,"")</f>
        <v>0</v>
      </c>
      <c r="BB494" s="8" t="n">
        <f>IF(COUNT(AS494,AW494,BA494)=3,1,0)</f>
        <v>1</v>
      </c>
      <c r="BC494" s="11" t="n">
        <f>IF(SUMIF($AO$11:$AO$1309,AO494,$BB$11:$BB$1309)=COUNTIF($AO$11:$AO$1309,AO494),SUMIF($AO$11:$AO$1309,AO494,$AS$11:$AS$1309),"")</f>
        <v>0.8134354698195524</v>
      </c>
      <c r="BD494" s="11" t="n">
        <f>IF(SUMIF($AO$11:$AO$1309,AO494,$BB$11:$BB$1309)=COUNTIF($AO$11:$AO$1309,AO494),SUMIF($AO$11:$AO$1309,AO494,$AW$11:$AW$1309),"")</f>
        <v>0.6022727272727273</v>
      </c>
      <c r="BE494" s="11" t="n">
        <f>IF(SUMIF($AO$11:$AO$1309,AO494,$BB$11:$BB$1309)=COUNTIF($AO$11:$AO$1309,AO494),SUMIF($AO$11:$AO$1309,AO494,$BA$11:$BA$1309),"")</f>
        <v>0.5619903691813805</v>
      </c>
      <c r="BF494" s="12" t="n">
        <f>IF(COUNT(BD494:BE494)&lt;&gt;2,"",IF(AND(BD494&gt;0,BE494&gt;0),0.7*AW494/BD494+0.3*BA494/BE494,IF(BD494&gt;0,AW494/BD494,IF(BE494&gt;0,BA494/BE494,IF(AND(ISNUMBER(BH494),BH494=0),0,"")))))</f>
        <v>0</v>
      </c>
      <c r="BG494" s="11" t="n">
        <f>IF(AND(COUNT(BN494:BU494)=8,MIN(BN494:BU494)&gt;=0),SUMPRODUCT(BN494:BQ494,BR494:BU494),"")</f>
        <v>63.935996265425516</v>
      </c>
      <c r="BH494" s="11" t="n">
        <f>IF(COUNT(BC494,BG494)=2,BC494*BG494,"")</f>
        <v>52.00780716054755</v>
      </c>
      <c r="BI494" s="11" t="n">
        <f>IF(ISNUMBER(CI494),CI494,"")</f>
        <v>0</v>
      </c>
      <c r="BJ494" s="8" t="str"/>
      <c r="BK494" s="8" t="str">
        <v>90天：2026-07-20 至 2026-10-17；180天：2026-04-21 至 2026-10-17</v>
      </c>
      <c r="BL494" s="8" t="str">
        <v>90天：2026-10-06、2026-10-07、2026-10-12、2026-10-13、2026-10-16；180天：2026-10-06、2026-10-07、2026-10-12、2026-10-13、2026-10-16</v>
      </c>
      <c r="BM494" s="8" t="str">
        <v>2026-10：12天 × 0.8729500662042875；2026-11：30天 × 0.8057375774163482；2026-12：31天 × 0.532550303142279；2027-01：17天 × 0.7517299265337036</v>
      </c>
      <c r="BN494" s="11" t="n">
        <v>0.8729500662042875</v>
      </c>
      <c r="BO494" s="11" t="n">
        <v>0.8057375774163482</v>
      </c>
      <c r="BP494" s="11" t="n">
        <v>0.532550303142279</v>
      </c>
      <c r="BQ494" s="11" t="n">
        <v>0.7517299265337036</v>
      </c>
      <c r="BR494" s="8" t="n">
        <v>12</v>
      </c>
      <c r="BS494" s="8" t="n">
        <v>30</v>
      </c>
      <c r="BT494" s="8" t="n">
        <v>31</v>
      </c>
      <c r="BU494" s="8" t="n">
        <v>17</v>
      </c>
      <c r="BV494" s="11" t="n">
        <f>IF(COUNT(BC494,BF494)=2,BC494*BF494,"")</f>
        <v>0</v>
      </c>
      <c r="BW494" s="11" t="n">
        <f>IF(ISNUMBER(BN494),BN494,"")</f>
        <v>0.8729500662042875</v>
      </c>
      <c r="BX494" s="14" t="n">
        <f>IF(ISNUMBER(BR494),BR494,"")</f>
        <v>12</v>
      </c>
      <c r="BY494" s="13" t="n">
        <f>IF(AND(COUNT(BV494,BW494,BX494)=3,MIN(BV494,BW494,BX494)&gt;=0),BV494*BW494*BX494,"")</f>
        <v>0</v>
      </c>
      <c r="BZ494" s="11" t="n">
        <f>IF(ISNUMBER(BO494),BO494,"")</f>
        <v>0.8057375774163482</v>
      </c>
      <c r="CA494" s="14" t="n">
        <f>IF(ISNUMBER(BS494),BS494,"")</f>
        <v>30</v>
      </c>
      <c r="CB494" s="13" t="n">
        <f>IF(AND(COUNT(BV494,BZ494,CA494)=3,MIN(BV494,BZ494,CA494)&gt;=0),BV494*BZ494*CA494,"")</f>
        <v>0</v>
      </c>
      <c r="CC494" s="11" t="n">
        <f>IF(ISNUMBER(BP494),BP494,"")</f>
        <v>0.532550303142279</v>
      </c>
      <c r="CD494" s="14" t="n">
        <f>IF(ISNUMBER(BT494),BT494,"")</f>
        <v>31</v>
      </c>
      <c r="CE494" s="13" t="n">
        <f>IF(AND(COUNT(BV494,CC494,CD494)=3,MIN(BV494,CC494,CD494)&gt;=0),BV494*CC494*CD494,"")</f>
        <v>0</v>
      </c>
      <c r="CF494" s="11" t="n">
        <f>IF(ISNUMBER(BQ494),BQ494,"")</f>
        <v>0.7517299265337036</v>
      </c>
      <c r="CG494" s="14" t="n">
        <f>IF(ISNUMBER(BU494),BU494,"")</f>
        <v>17</v>
      </c>
      <c r="CH494" s="13" t="n">
        <f>IF(AND(COUNT(BV494,CF494,CG494)=3,MIN(BV494,CF494,CG494)&gt;=0),BV494*CF494*CG494,"")</f>
        <v>0</v>
      </c>
      <c r="CI494" s="13" t="n">
        <f>IF(COUNT(BY494,CB494,CE494,CH494)=4,SUM(BY494,CB494,CE494,CH494),"")</f>
        <v>0</v>
      </c>
    </row>
    <row r="495" ht="72" customHeight="1">
      <c r="A495" s="16" t="str">
        <v>1S01-DPB-6</v>
      </c>
      <c r="B495" s="16" t="str">
        <v>3店-SANDIEX-US</v>
      </c>
      <c r="C495" s="16" t="str">
        <v>徐新怡</v>
      </c>
      <c r="D495" s="26" t="n">
        <f>IF(NOT(ISNUMBER(E495)),"",IF(OR(E495&lt;=0,L495=0),0,IF(OR(NOT(ISNUMBER(F495)),F495&lt;0),"",MIN(E495,INT(F495)))))</f>
        <v>0</v>
      </c>
      <c r="E495" s="27" t="n">
        <f>IF(OR(NOT(ISNUMBER(L495)),COUNT(M495:O495)&lt;&gt;3,MIN(M495:O495)&lt;0),"",ROUNDUP(ROUND(BI495-SUM(M495:O495),10),0))</f>
        <v>-19</v>
      </c>
      <c r="F495" s="28" t="n">
        <v>0</v>
      </c>
      <c r="G495" s="28" t="n">
        <f>IF(AND(ISNUMBER(D495),ISNUMBER(E495)),IF(OR(E495&lt;=0,L495=0),0,E495-D495),"")</f>
        <v>0</v>
      </c>
      <c r="H495" s="16" t="str">
        <f>IF(NOT(ISNUMBER(E495)),"销量或海外库存待补",IF(OR(E495&lt;=0,L495=0),IF(L495=0,"零日销，本批不发","本批无需补货"),IF(NOT(ISNUMBER(D495)),"国内库存待补",IF(D495=0,"国内无可用库存",IF(G495&gt;0,"先发国内现货","按建议量发货")))))</f>
        <v>零日销，本批不发</v>
      </c>
      <c r="I495" s="28" t="n">
        <f>IF(AND(COUNT(Z495,AA495,AB495)=3,Z495&gt;=AA495,AA495&gt;=0,AB495=7),Z495-AA495,"")</f>
        <v>0</v>
      </c>
      <c r="J495" s="28" t="n">
        <f>IF(AND(COUNT(AF495,AG495,AH495)=3,AF495&gt;=AG495,AG495&gt;=0,AH495=14),AF495-AG495,"")</f>
        <v>0</v>
      </c>
      <c r="K495" s="28" t="n">
        <f>IF(AND(COUNT(AL495,AM495,AN495)=3,AL495&gt;=AM495,AM495&gt;=0,AN495=30),AL495-AM495,"")</f>
        <v>0</v>
      </c>
      <c r="L495" s="29" t="n">
        <f>IF(ISNUMBER(BI495),BI495/90,"")</f>
        <v>0</v>
      </c>
      <c r="M495" s="28" t="n">
        <v>0</v>
      </c>
      <c r="N495" s="28" t="n">
        <v>0</v>
      </c>
      <c r="O495" s="28" t="n">
        <v>19</v>
      </c>
      <c r="P495" s="30" t="str">
        <f>IF(AND(ISNUMBER(L495),L495&gt;0,COUNT(M495:O495)=3,MIN(M495:O495)&gt;=0),SUM(M495:O495)/L495,"")</f>
      </c>
      <c r="Q495" s="16" t="str">
        <v>沿用原计划SKU店铺</v>
      </c>
      <c r="R495" s="16" t="str">
        <v>已匹配</v>
      </c>
      <c r="S495" s="16" t="str">
        <v>在售</v>
      </c>
      <c r="T495" s="16" t="str">
        <v>1S01</v>
      </c>
      <c r="U495" s="16" t="str">
        <v>米色</v>
      </c>
      <c r="V495" s="16" t="n">
        <v>6</v>
      </c>
      <c r="W495" s="8" t="str">
        <v>2026-10-11 至 2026-10-17</v>
      </c>
      <c r="X495" s="8" t="str">
        <v>2026-10-11、2026-10-12、2026-10-13、2026-10-14、2026-10-15、2026-10-16、2026-10-17</v>
      </c>
      <c r="Y495" s="8" t="str">
        <v>无</v>
      </c>
      <c r="Z495" s="8" t="n">
        <v>0</v>
      </c>
      <c r="AA495" s="8" t="n">
        <v>0</v>
      </c>
      <c r="AB495" s="8" t="n">
        <v>7</v>
      </c>
      <c r="AC495" s="8" t="str">
        <v>2026-10-02 至 2026-10-17</v>
      </c>
      <c r="AD495" s="8" t="str">
        <v>2026-10-02、2026-10-03、2026-10-04、2026-10-05、2026-10-08、2026-10-09、2026-10-10、2026-10-11、2026-10-12、2026-10-13、2026-10-14、2026-10-15、2026-10-16、2026-10-17</v>
      </c>
      <c r="AE495" s="8" t="str">
        <v>2026-10-06 大促；2026-10-07 大促</v>
      </c>
      <c r="AF495" s="8" t="n">
        <v>0</v>
      </c>
      <c r="AG495" s="8" t="n">
        <v>0</v>
      </c>
      <c r="AH495" s="8" t="n">
        <v>14</v>
      </c>
      <c r="AI495" s="8" t="str">
        <v>2026-09-16 至 2026-10-17</v>
      </c>
      <c r="AJ4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5" s="8" t="str">
        <v>2026-10-06 大促；2026-10-07 大促</v>
      </c>
      <c r="AL495" s="8" t="n">
        <v>0</v>
      </c>
      <c r="AM495" s="8" t="n">
        <v>0</v>
      </c>
      <c r="AN495" s="8" t="n">
        <v>30</v>
      </c>
      <c r="AO495" s="8" t="str">
        <v>1S01 / 米色PU / 6574</v>
      </c>
      <c r="AP495" s="11" t="n">
        <v>0.8729500662042875</v>
      </c>
      <c r="AQ495" s="11" t="n">
        <v>0.8729500662042875</v>
      </c>
      <c r="AR495" s="11" t="n">
        <v>1.0921363354767095</v>
      </c>
      <c r="AS495" s="11" t="n">
        <f>IF(AND(COUNT(I495:K495,AP495:AR495)=6,MIN(AP495:AR495)&gt;0),I495/7/AP495*0.5+J495/14/AQ495*0.3+K495/30/AR495*0.2,"")</f>
        <v>0</v>
      </c>
      <c r="AT495" s="8" t="n">
        <v>0</v>
      </c>
      <c r="AU495" s="8" t="n">
        <v>0</v>
      </c>
      <c r="AV495" s="8" t="n">
        <v>88</v>
      </c>
      <c r="AW495" s="11" t="n">
        <f>IF(AND(COUNT(AT495:AV495)=3,AT495&gt;=AU495,AU495&gt;=0,AV495&gt;0),(AT495-AU495)/AV495,"")</f>
        <v>0</v>
      </c>
      <c r="AX495" s="8" t="n">
        <v>0</v>
      </c>
      <c r="AY495" s="8" t="n">
        <v>0</v>
      </c>
      <c r="AZ495" s="8" t="n">
        <v>178</v>
      </c>
      <c r="BA495" s="11" t="n">
        <f>IF(AND(COUNT(AX495:AZ495)=3,AX495&gt;=AY495,AY495&gt;=0,AZ495&gt;0),(AX495-AY495)/AZ495,"")</f>
        <v>0</v>
      </c>
      <c r="BB495" s="8" t="n">
        <f>IF(COUNT(AS495,AW495,BA495)=3,1,0)</f>
        <v>1</v>
      </c>
      <c r="BC495" s="11" t="n">
        <f>IF(SUMIF($AO$11:$AO$1309,AO495,$BB$11:$BB$1309)=COUNTIF($AO$11:$AO$1309,AO495),SUMIF($AO$11:$AO$1309,AO495,$AS$11:$AS$1309),"")</f>
        <v>0.8134354698195524</v>
      </c>
      <c r="BD495" s="11" t="n">
        <f>IF(SUMIF($AO$11:$AO$1309,AO495,$BB$11:$BB$1309)=COUNTIF($AO$11:$AO$1309,AO495),SUMIF($AO$11:$AO$1309,AO495,$AW$11:$AW$1309),"")</f>
        <v>0.6022727272727273</v>
      </c>
      <c r="BE495" s="11" t="n">
        <f>IF(SUMIF($AO$11:$AO$1309,AO495,$BB$11:$BB$1309)=COUNTIF($AO$11:$AO$1309,AO495),SUMIF($AO$11:$AO$1309,AO495,$BA$11:$BA$1309),"")</f>
        <v>0.5619903691813805</v>
      </c>
      <c r="BF495" s="12" t="n">
        <f>IF(COUNT(BD495:BE495)&lt;&gt;2,"",IF(AND(BD495&gt;0,BE495&gt;0),0.7*AW495/BD495+0.3*BA495/BE495,IF(BD495&gt;0,AW495/BD495,IF(BE495&gt;0,BA495/BE495,IF(AND(ISNUMBER(BH495),BH495=0),0,"")))))</f>
        <v>0</v>
      </c>
      <c r="BG495" s="11" t="n">
        <f>IF(AND(COUNT(BN495:BU495)=8,MIN(BN495:BU495)&gt;=0),SUMPRODUCT(BN495:BQ495,BR495:BU495),"")</f>
        <v>63.935996265425516</v>
      </c>
      <c r="BH495" s="11" t="n">
        <f>IF(COUNT(BC495,BG495)=2,BC495*BG495,"")</f>
        <v>52.00780716054755</v>
      </c>
      <c r="BI495" s="11" t="n">
        <f>IF(ISNUMBER(CI495),CI495,"")</f>
        <v>0</v>
      </c>
      <c r="BJ495" s="8" t="str"/>
      <c r="BK495" s="8" t="str">
        <v>90天：2026-07-20 至 2026-10-17；180天：2026-04-21 至 2026-10-17</v>
      </c>
      <c r="BL495" s="8" t="str">
        <v>90天：2026-10-06、2026-10-07；180天：2026-10-06、2026-10-07</v>
      </c>
      <c r="BM495" s="8" t="str">
        <v>2026-10：12天 × 0.8729500662042875；2026-11：30天 × 0.8057375774163482；2026-12：31天 × 0.532550303142279；2027-01：17天 × 0.7517299265337036</v>
      </c>
      <c r="BN495" s="11" t="n">
        <v>0.8729500662042875</v>
      </c>
      <c r="BO495" s="11" t="n">
        <v>0.8057375774163482</v>
      </c>
      <c r="BP495" s="11" t="n">
        <v>0.532550303142279</v>
      </c>
      <c r="BQ495" s="11" t="n">
        <v>0.7517299265337036</v>
      </c>
      <c r="BR495" s="8" t="n">
        <v>12</v>
      </c>
      <c r="BS495" s="8" t="n">
        <v>30</v>
      </c>
      <c r="BT495" s="8" t="n">
        <v>31</v>
      </c>
      <c r="BU495" s="8" t="n">
        <v>17</v>
      </c>
      <c r="BV495" s="11" t="n">
        <f>IF(COUNT(BC495,BF495)=2,BC495*BF495,"")</f>
        <v>0</v>
      </c>
      <c r="BW495" s="11" t="n">
        <f>IF(ISNUMBER(BN495),BN495,"")</f>
        <v>0.8729500662042875</v>
      </c>
      <c r="BX495" s="14" t="n">
        <f>IF(ISNUMBER(BR495),BR495,"")</f>
        <v>12</v>
      </c>
      <c r="BY495" s="13" t="n">
        <f>IF(AND(COUNT(BV495,BW495,BX495)=3,MIN(BV495,BW495,BX495)&gt;=0),BV495*BW495*BX495,"")</f>
        <v>0</v>
      </c>
      <c r="BZ495" s="11" t="n">
        <f>IF(ISNUMBER(BO495),BO495,"")</f>
        <v>0.8057375774163482</v>
      </c>
      <c r="CA495" s="14" t="n">
        <f>IF(ISNUMBER(BS495),BS495,"")</f>
        <v>30</v>
      </c>
      <c r="CB495" s="13" t="n">
        <f>IF(AND(COUNT(BV495,BZ495,CA495)=3,MIN(BV495,BZ495,CA495)&gt;=0),BV495*BZ495*CA495,"")</f>
        <v>0</v>
      </c>
      <c r="CC495" s="11" t="n">
        <f>IF(ISNUMBER(BP495),BP495,"")</f>
        <v>0.532550303142279</v>
      </c>
      <c r="CD495" s="14" t="n">
        <f>IF(ISNUMBER(BT495),BT495,"")</f>
        <v>31</v>
      </c>
      <c r="CE495" s="13" t="n">
        <f>IF(AND(COUNT(BV495,CC495,CD495)=3,MIN(BV495,CC495,CD495)&gt;=0),BV495*CC495*CD495,"")</f>
        <v>0</v>
      </c>
      <c r="CF495" s="11" t="n">
        <f>IF(ISNUMBER(BQ495),BQ495,"")</f>
        <v>0.7517299265337036</v>
      </c>
      <c r="CG495" s="14" t="n">
        <f>IF(ISNUMBER(BU495),BU495,"")</f>
        <v>17</v>
      </c>
      <c r="CH495" s="13" t="n">
        <f>IF(AND(COUNT(BV495,CF495,CG495)=3,MIN(BV495,CF495,CG495)&gt;=0),BV495*CF495*CG495,"")</f>
        <v>0</v>
      </c>
      <c r="CI495" s="13" t="n">
        <f>IF(COUNT(BY495,CB495,CE495,CH495)=4,SUM(BY495,CB495,CE495,CH495),"")</f>
        <v>0</v>
      </c>
    </row>
    <row r="496" ht="72" customHeight="1">
      <c r="A496" s="16" t="str">
        <v>1S01-DPB-7</v>
      </c>
      <c r="B496" s="16" t="str">
        <v>3店-SANDIEX-US</v>
      </c>
      <c r="C496" s="16" t="str">
        <v>徐新怡</v>
      </c>
      <c r="D496" s="26" t="n">
        <f>IF(NOT(ISNUMBER(E496)),"",IF(OR(E496&lt;=0,L496=0),0,IF(OR(NOT(ISNUMBER(F496)),F496&lt;0),"",MIN(E496,INT(F496)))))</f>
        <v>0</v>
      </c>
      <c r="E496" s="27" t="n">
        <f>IF(OR(NOT(ISNUMBER(L496)),COUNT(M496:O496)&lt;&gt;3,MIN(M496:O496)&lt;0),"",ROUNDUP(ROUND(BI496-SUM(M496:O496),10),0))</f>
        <v>-8</v>
      </c>
      <c r="F496" s="28" t="n">
        <v>40</v>
      </c>
      <c r="G496" s="28" t="n">
        <f>IF(AND(ISNUMBER(D496),ISNUMBER(E496)),IF(OR(E496&lt;=0,L496=0),0,E496-D496),"")</f>
        <v>0</v>
      </c>
      <c r="H496" s="16" t="str">
        <f>IF(NOT(ISNUMBER(E496)),"销量或海外库存待补",IF(OR(E496&lt;=0,L496=0),IF(L496=0,"零日销，本批不发","本批无需补货"),IF(NOT(ISNUMBER(D496)),"国内库存待补",IF(D496=0,"国内无可用库存",IF(G496&gt;0,"先发国内现货","按建议量发货")))))</f>
        <v>本批无需补货</v>
      </c>
      <c r="I496" s="28" t="n">
        <f>IF(AND(COUNT(Z496,AA496,AB496)=3,Z496&gt;=AA496,AA496&gt;=0,AB496=7),Z496-AA496,"")</f>
        <v>3</v>
      </c>
      <c r="J496" s="28" t="n">
        <f>IF(AND(COUNT(AF496,AG496,AH496)=3,AF496&gt;=AG496,AG496&gt;=0,AH496=14),AF496-AG496,"")</f>
        <v>4</v>
      </c>
      <c r="K496" s="28" t="n">
        <f>IF(AND(COUNT(AL496,AM496,AN496)=3,AL496&gt;=AM496,AM496&gt;=0,AN496=30),AL496-AM496,"")</f>
        <v>8</v>
      </c>
      <c r="L496" s="29" t="n">
        <f>IF(ISNUMBER(BI496),BI496/90,"")</f>
        <v>0.15850775475383222</v>
      </c>
      <c r="M496" s="28" t="n">
        <v>22</v>
      </c>
      <c r="N496" s="28" t="n">
        <v>0</v>
      </c>
      <c r="O496" s="28" t="n">
        <v>0</v>
      </c>
      <c r="P496" s="30" t="n">
        <f>IF(AND(ISNUMBER(L496),L496&gt;0,COUNT(M496:O496)=3,MIN(M496:O496)&gt;=0),SUM(M496:O496)/L496,"")</f>
        <v>138.79447118638913</v>
      </c>
      <c r="Q496" s="16" t="str">
        <v>沿用原计划SKU店铺</v>
      </c>
      <c r="R496" s="16" t="str">
        <v>已匹配</v>
      </c>
      <c r="S496" s="16" t="str">
        <v>在售</v>
      </c>
      <c r="T496" s="16" t="str">
        <v>1S01</v>
      </c>
      <c r="U496" s="16" t="str">
        <v>米色</v>
      </c>
      <c r="V496" s="16" t="n">
        <v>7</v>
      </c>
      <c r="W496" s="8" t="str">
        <v>2026-10-11 至 2026-10-17</v>
      </c>
      <c r="X496" s="8" t="str">
        <v>2026-10-11、2026-10-12、2026-10-13、2026-10-14、2026-10-15、2026-10-16、2026-10-17</v>
      </c>
      <c r="Y496" s="8" t="str">
        <v>无</v>
      </c>
      <c r="Z496" s="8" t="n">
        <v>3</v>
      </c>
      <c r="AA496" s="8" t="n">
        <v>0</v>
      </c>
      <c r="AB496" s="8" t="n">
        <v>7</v>
      </c>
      <c r="AC496" s="8" t="str">
        <v>2026-10-02 至 2026-10-17</v>
      </c>
      <c r="AD496" s="8" t="str">
        <v>2026-10-02、2026-10-03、2026-10-04、2026-10-05、2026-10-08、2026-10-09、2026-10-10、2026-10-11、2026-10-12、2026-10-13、2026-10-14、2026-10-15、2026-10-16、2026-10-17</v>
      </c>
      <c r="AE496" s="8" t="str">
        <v>2026-10-06 大促；2026-10-07 大促</v>
      </c>
      <c r="AF496" s="8" t="n">
        <v>6</v>
      </c>
      <c r="AG496" s="8" t="n">
        <v>2</v>
      </c>
      <c r="AH496" s="8" t="n">
        <v>14</v>
      </c>
      <c r="AI496" s="8" t="str">
        <v>2026-09-16 至 2026-10-17</v>
      </c>
      <c r="AJ4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6" s="8" t="str">
        <v>2026-10-06 大促；2026-10-07 大促</v>
      </c>
      <c r="AL496" s="8" t="n">
        <v>10</v>
      </c>
      <c r="AM496" s="8" t="n">
        <v>2</v>
      </c>
      <c r="AN496" s="8" t="n">
        <v>30</v>
      </c>
      <c r="AO496" s="8" t="str">
        <v>1S01 / 米色PU / 6574</v>
      </c>
      <c r="AP496" s="11" t="n">
        <v>0.8729500662042875</v>
      </c>
      <c r="AQ496" s="11" t="n">
        <v>0.8729500662042875</v>
      </c>
      <c r="AR496" s="11" t="n">
        <v>1.0921363354767095</v>
      </c>
      <c r="AS496" s="11" t="n">
        <f>IF(AND(COUNT(I496:K496,AP496:AR496)=6,MIN(AP496:AR496)&gt;0),I496/7/AP496*0.5+J496/14/AQ496*0.3+K496/30/AR496*0.2,"")</f>
        <v>0.3924962204088275</v>
      </c>
      <c r="AT496" s="8" t="n">
        <v>18</v>
      </c>
      <c r="AU496" s="8" t="n">
        <v>2</v>
      </c>
      <c r="AV496" s="8" t="n">
        <v>88</v>
      </c>
      <c r="AW496" s="11" t="n">
        <f>IF(AND(COUNT(AT496:AV496)=3,AT496&gt;=AU496,AU496&gt;=0,AV496&gt;0),(AT496-AU496)/AV496,"")</f>
        <v>0.18181818181818182</v>
      </c>
      <c r="AX496" s="8" t="n">
        <v>23</v>
      </c>
      <c r="AY496" s="8" t="n">
        <v>2</v>
      </c>
      <c r="AZ496" s="8" t="n">
        <v>178</v>
      </c>
      <c r="BA496" s="11" t="n">
        <f>IF(AND(COUNT(AX496:AZ496)=3,AX496&gt;=AY496,AY496&gt;=0,AZ496&gt;0),(AX496-AY496)/AZ496,"")</f>
        <v>0.11797752808988764</v>
      </c>
      <c r="BB496" s="8" t="n">
        <f>IF(COUNT(AS496,AW496,BA496)=3,1,0)</f>
        <v>1</v>
      </c>
      <c r="BC496" s="11" t="n">
        <f>IF(SUMIF($AO$11:$AO$1309,AO496,$BB$11:$BB$1309)=COUNTIF($AO$11:$AO$1309,AO496),SUMIF($AO$11:$AO$1309,AO496,$AS$11:$AS$1309),"")</f>
        <v>0.8134354698195524</v>
      </c>
      <c r="BD496" s="11" t="n">
        <f>IF(SUMIF($AO$11:$AO$1309,AO496,$BB$11:$BB$1309)=COUNTIF($AO$11:$AO$1309,AO496),SUMIF($AO$11:$AO$1309,AO496,$AW$11:$AW$1309),"")</f>
        <v>0.6022727272727273</v>
      </c>
      <c r="BE496" s="11" t="n">
        <f>IF(SUMIF($AO$11:$AO$1309,AO496,$BB$11:$BB$1309)=COUNTIF($AO$11:$AO$1309,AO496),SUMIF($AO$11:$AO$1309,AO496,$BA$11:$BA$1309),"")</f>
        <v>0.5619903691813805</v>
      </c>
      <c r="BF496" s="12" t="n">
        <f>IF(COUNT(BD496:BE496)&lt;&gt;2,"",IF(AND(BD496&gt;0,BE496&gt;0),0.7*AW496/BD496+0.3*BA496/BE496,IF(BD496&gt;0,AW496/BD496,IF(BE496&gt;0,BA496/BE496,IF(AND(ISNUMBER(BH496),BH496=0),0,"")))))</f>
        <v>0.27429916212015715</v>
      </c>
      <c r="BG496" s="11" t="n">
        <f>IF(AND(COUNT(BN496:BU496)=8,MIN(BN496:BU496)&gt;=0),SUMPRODUCT(BN496:BQ496,BR496:BU496),"")</f>
        <v>63.935996265425516</v>
      </c>
      <c r="BH496" s="11" t="n">
        <f>IF(COUNT(BC496,BG496)=2,BC496*BG496,"")</f>
        <v>52.00780716054755</v>
      </c>
      <c r="BI496" s="11" t="n">
        <f>IF(ISNUMBER(CI496),CI496,"")</f>
        <v>14.265697927844899</v>
      </c>
      <c r="BJ496" s="8" t="str"/>
      <c r="BK496" s="8" t="str">
        <v>90天：2026-07-20 至 2026-10-17；180天：2026-04-21 至 2026-10-17</v>
      </c>
      <c r="BL496" s="8" t="str">
        <v>90天：2026-10-06、2026-10-07；180天：2026-10-06、2026-10-07</v>
      </c>
      <c r="BM496" s="8" t="str">
        <v>2026-10：12天 × 0.8729500662042875；2026-11：30天 × 0.8057375774163482；2026-12：31天 × 0.532550303142279；2027-01：17天 × 0.7517299265337036</v>
      </c>
      <c r="BN496" s="11" t="n">
        <v>0.8729500662042875</v>
      </c>
      <c r="BO496" s="11" t="n">
        <v>0.8057375774163482</v>
      </c>
      <c r="BP496" s="11" t="n">
        <v>0.532550303142279</v>
      </c>
      <c r="BQ496" s="11" t="n">
        <v>0.7517299265337036</v>
      </c>
      <c r="BR496" s="8" t="n">
        <v>12</v>
      </c>
      <c r="BS496" s="8" t="n">
        <v>30</v>
      </c>
      <c r="BT496" s="8" t="n">
        <v>31</v>
      </c>
      <c r="BU496" s="8" t="n">
        <v>17</v>
      </c>
      <c r="BV496" s="11" t="n">
        <f>IF(COUNT(BC496,BF496)=2,BC496*BF496,"")</f>
        <v>0.2231246678103196</v>
      </c>
      <c r="BW496" s="11" t="n">
        <f>IF(ISNUMBER(BN496),BN496,"")</f>
        <v>0.8729500662042875</v>
      </c>
      <c r="BX496" s="14" t="n">
        <f>IF(ISNUMBER(BR496),BR496,"")</f>
        <v>12</v>
      </c>
      <c r="BY496" s="13" t="n">
        <f>IF(AND(COUNT(BV496,BW496,BX496)=3,MIN(BV496,BW496,BX496)&gt;=0),BV496*BW496*BX496,"")</f>
        <v>2.3373203224419377</v>
      </c>
      <c r="BZ496" s="11" t="n">
        <f>IF(ISNUMBER(BO496),BO496,"")</f>
        <v>0.8057375774163482</v>
      </c>
      <c r="CA496" s="14" t="n">
        <f>IF(ISNUMBER(BS496),BS496,"")</f>
        <v>30</v>
      </c>
      <c r="CB496" s="13" t="n">
        <f>IF(AND(COUNT(BV496,BZ496,CA496)=3,MIN(BV496,BZ496,CA496)&gt;=0),BV496*BZ496*CA496,"")</f>
        <v>5.393397879099431</v>
      </c>
      <c r="CC496" s="11" t="n">
        <f>IF(ISNUMBER(BP496),BP496,"")</f>
        <v>0.532550303142279</v>
      </c>
      <c r="CD496" s="14" t="n">
        <f>IF(ISNUMBER(BT496),BT496,"")</f>
        <v>31</v>
      </c>
      <c r="CE496" s="13" t="n">
        <f>IF(AND(COUNT(BV496,CC496,CD496)=3,MIN(BV496,CC496,CD496)&gt;=0),BV496*CC496*CD496,"")</f>
        <v>3.6835783939080864</v>
      </c>
      <c r="CF496" s="11" t="n">
        <f>IF(ISNUMBER(BQ496),BQ496,"")</f>
        <v>0.7517299265337036</v>
      </c>
      <c r="CG496" s="14" t="n">
        <f>IF(ISNUMBER(BU496),BU496,"")</f>
        <v>17</v>
      </c>
      <c r="CH496" s="13" t="n">
        <f>IF(AND(COUNT(BV496,CF496,CG496)=3,MIN(BV496,CF496,CG496)&gt;=0),BV496*CF496*CG496,"")</f>
        <v>2.851401332395446</v>
      </c>
      <c r="CI496" s="13" t="n">
        <f>IF(COUNT(BY496,CB496,CE496,CH496)=4,SUM(BY496,CB496,CE496,CH496),"")</f>
        <v>14.265697927844899</v>
      </c>
    </row>
    <row r="497" ht="72" customHeight="1">
      <c r="A497" s="16" t="str">
        <v>1S01-DPB-8</v>
      </c>
      <c r="B497" s="16" t="str">
        <v>3店-SANDIEX-US</v>
      </c>
      <c r="C497" s="16" t="str">
        <v>徐新怡</v>
      </c>
      <c r="D497" s="26" t="n">
        <f>IF(NOT(ISNUMBER(E497)),"",IF(OR(E497&lt;=0,L497=0),0,IF(OR(NOT(ISNUMBER(F497)),F497&lt;0),"",MIN(E497,INT(F497)))))</f>
        <v>0</v>
      </c>
      <c r="E497" s="27" t="n">
        <f>IF(OR(NOT(ISNUMBER(L497)),COUNT(M497:O497)&lt;&gt;3,MIN(M497:O497)&lt;0),"",ROUNDUP(ROUND(BI497-SUM(M497:O497),10),0))</f>
        <v>-31</v>
      </c>
      <c r="F497" s="28" t="n">
        <v>37</v>
      </c>
      <c r="G497" s="28" t="n">
        <f>IF(AND(ISNUMBER(D497),ISNUMBER(E497)),IF(OR(E497&lt;=0,L497=0),0,E497-D497),"")</f>
        <v>0</v>
      </c>
      <c r="H497" s="16" t="str">
        <f>IF(NOT(ISNUMBER(E497)),"销量或海外库存待补",IF(OR(E497&lt;=0,L497=0),IF(L497=0,"零日销，本批不发","本批无需补货"),IF(NOT(ISNUMBER(D497)),"国内库存待补",IF(D497=0,"国内无可用库存",IF(G497&gt;0,"先发国内现货","按建议量发货")))))</f>
        <v>本批无需补货</v>
      </c>
      <c r="I497" s="28" t="n">
        <f>IF(AND(COUNT(Z497,AA497,AB497)=3,Z497&gt;=AA497,AA497&gt;=0,AB497=7),Z497-AA497,"")</f>
        <v>1</v>
      </c>
      <c r="J497" s="28" t="n">
        <f>IF(AND(COUNT(AF497,AG497,AH497)=3,AF497&gt;=AG497,AG497&gt;=0,AH497=14),AF497-AG497,"")</f>
        <v>1</v>
      </c>
      <c r="K497" s="28" t="n">
        <f>IF(AND(COUNT(AL497,AM497,AN497)=3,AL497&gt;=AM497,AM497&gt;=0,AN497=30),AL497-AM497,"")</f>
        <v>3</v>
      </c>
      <c r="L497" s="29" t="n">
        <f>IF(ISNUMBER(BI497),BI497/90,"")</f>
        <v>0.10508254404383581</v>
      </c>
      <c r="M497" s="28" t="n">
        <v>0</v>
      </c>
      <c r="N497" s="28" t="n">
        <v>0</v>
      </c>
      <c r="O497" s="28" t="n">
        <v>40</v>
      </c>
      <c r="P497" s="30" t="n">
        <f>IF(AND(ISNUMBER(L497),L497&gt;0,COUNT(M497:O497)=3,MIN(M497:O497)&gt;=0),SUM(M497:O497)/L497,"")</f>
        <v>380.6531366742868</v>
      </c>
      <c r="Q497" s="16" t="str">
        <v>沿用原计划SKU店铺</v>
      </c>
      <c r="R497" s="16" t="str">
        <v>已匹配</v>
      </c>
      <c r="S497" s="16" t="str">
        <v>在售</v>
      </c>
      <c r="T497" s="16" t="str">
        <v>1S01</v>
      </c>
      <c r="U497" s="16" t="str">
        <v>米色</v>
      </c>
      <c r="V497" s="16" t="n">
        <v>8</v>
      </c>
      <c r="W497" s="8" t="str">
        <v>2026-10-11 至 2026-10-17</v>
      </c>
      <c r="X497" s="8" t="str">
        <v>2026-10-11、2026-10-12、2026-10-13、2026-10-14、2026-10-15、2026-10-16、2026-10-17</v>
      </c>
      <c r="Y497" s="8" t="str">
        <v>无</v>
      </c>
      <c r="Z497" s="8" t="n">
        <v>1</v>
      </c>
      <c r="AA497" s="8" t="n">
        <v>0</v>
      </c>
      <c r="AB497" s="8" t="n">
        <v>7</v>
      </c>
      <c r="AC497" s="8" t="str">
        <v>2026-10-02 至 2026-10-17</v>
      </c>
      <c r="AD497" s="8" t="str">
        <v>2026-10-02、2026-10-03、2026-10-04、2026-10-05、2026-10-08、2026-10-09、2026-10-10、2026-10-11、2026-10-12、2026-10-13、2026-10-14、2026-10-15、2026-10-16、2026-10-17</v>
      </c>
      <c r="AE497" s="8" t="str">
        <v>2026-10-06 大促；2026-10-07 大促</v>
      </c>
      <c r="AF497" s="8" t="n">
        <v>1</v>
      </c>
      <c r="AG497" s="8" t="n">
        <v>0</v>
      </c>
      <c r="AH497" s="8" t="n">
        <v>14</v>
      </c>
      <c r="AI497" s="8" t="str">
        <v>2026-09-16 至 2026-10-17</v>
      </c>
      <c r="AJ4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7" s="8" t="str">
        <v>2026-10-06 大促；2026-10-07 大促</v>
      </c>
      <c r="AL497" s="8" t="n">
        <v>3</v>
      </c>
      <c r="AM497" s="8" t="n">
        <v>0</v>
      </c>
      <c r="AN497" s="8" t="n">
        <v>30</v>
      </c>
      <c r="AO497" s="8" t="str">
        <v>1S01 / 米色PU / 6574</v>
      </c>
      <c r="AP497" s="11" t="n">
        <v>0.8729500662042875</v>
      </c>
      <c r="AQ497" s="11" t="n">
        <v>0.8729500662042875</v>
      </c>
      <c r="AR497" s="11" t="n">
        <v>1.0921363354767095</v>
      </c>
      <c r="AS497" s="11" t="n">
        <f>IF(AND(COUNT(I497:K497,AP497:AR497)=6,MIN(AP497:AR497)&gt;0),I497/7/AP497*0.5+J497/14/AQ497*0.3+K497/30/AR497*0.2,"")</f>
        <v>0.1246843865044491</v>
      </c>
      <c r="AT497" s="8" t="n">
        <v>9</v>
      </c>
      <c r="AU497" s="8" t="n">
        <v>0</v>
      </c>
      <c r="AV497" s="8" t="n">
        <v>88</v>
      </c>
      <c r="AW497" s="11" t="n">
        <f>IF(AND(COUNT(AT497:AV497)=3,AT497&gt;=AU497,AU497&gt;=0,AV497&gt;0),(AT497-AU497)/AV497,"")</f>
        <v>0.10227272727272728</v>
      </c>
      <c r="AX497" s="8" t="n">
        <v>21</v>
      </c>
      <c r="AY497" s="8" t="n">
        <v>0</v>
      </c>
      <c r="AZ497" s="8" t="n">
        <v>178</v>
      </c>
      <c r="BA497" s="11" t="n">
        <f>IF(AND(COUNT(AX497:AZ497)=3,AX497&gt;=AY497,AY497&gt;=0,AZ497&gt;0),(AX497-AY497)/AZ497,"")</f>
        <v>0.11797752808988764</v>
      </c>
      <c r="BB497" s="8" t="n">
        <f>IF(COUNT(AS497,AW497,BA497)=3,1,0)</f>
        <v>1</v>
      </c>
      <c r="BC497" s="11" t="n">
        <f>IF(SUMIF($AO$11:$AO$1309,AO497,$BB$11:$BB$1309)=COUNTIF($AO$11:$AO$1309,AO497),SUMIF($AO$11:$AO$1309,AO497,$AS$11:$AS$1309),"")</f>
        <v>0.8134354698195524</v>
      </c>
      <c r="BD497" s="11" t="n">
        <f>IF(SUMIF($AO$11:$AO$1309,AO497,$BB$11:$BB$1309)=COUNTIF($AO$11:$AO$1309,AO497),SUMIF($AO$11:$AO$1309,AO497,$AW$11:$AW$1309),"")</f>
        <v>0.6022727272727273</v>
      </c>
      <c r="BE497" s="11" t="n">
        <f>IF(SUMIF($AO$11:$AO$1309,AO497,$BB$11:$BB$1309)=COUNTIF($AO$11:$AO$1309,AO497),SUMIF($AO$11:$AO$1309,AO497,$BA$11:$BA$1309),"")</f>
        <v>0.5619903691813805</v>
      </c>
      <c r="BF497" s="12" t="n">
        <f>IF(COUNT(BD497:BE497)&lt;&gt;2,"",IF(AND(BD497&gt;0,BE497&gt;0),0.7*AW497/BD497+0.3*BA497/BE497,IF(BD497&gt;0,AW497/BD497,IF(BE497&gt;0,BA497/BE497,IF(AND(ISNUMBER(BH497),BH497=0),0,"")))))</f>
        <v>0.18184633193147792</v>
      </c>
      <c r="BG497" s="11" t="n">
        <f>IF(AND(COUNT(BN497:BU497)=8,MIN(BN497:BU497)&gt;=0),SUMPRODUCT(BN497:BQ497,BR497:BU497),"")</f>
        <v>63.935996265425516</v>
      </c>
      <c r="BH497" s="11" t="n">
        <f>IF(COUNT(BC497,BG497)=2,BC497*BG497,"")</f>
        <v>52.00780716054755</v>
      </c>
      <c r="BI497" s="11" t="n">
        <f>IF(ISNUMBER(CI497),CI497,"")</f>
        <v>9.457428963945222</v>
      </c>
      <c r="BJ497" s="8" t="str"/>
      <c r="BK497" s="8" t="str">
        <v>90天：2026-07-20 至 2026-10-17；180天：2026-04-21 至 2026-10-17</v>
      </c>
      <c r="BL497" s="8" t="str">
        <v>90天：2026-10-06、2026-10-07；180天：2026-10-06、2026-10-07</v>
      </c>
      <c r="BM497" s="8" t="str">
        <v>2026-10：12天 × 0.8729500662042875；2026-11：30天 × 0.8057375774163482；2026-12：31天 × 0.532550303142279；2027-01：17天 × 0.7517299265337036</v>
      </c>
      <c r="BN497" s="11" t="n">
        <v>0.8729500662042875</v>
      </c>
      <c r="BO497" s="11" t="n">
        <v>0.8057375774163482</v>
      </c>
      <c r="BP497" s="11" t="n">
        <v>0.532550303142279</v>
      </c>
      <c r="BQ497" s="11" t="n">
        <v>0.7517299265337036</v>
      </c>
      <c r="BR497" s="8" t="n">
        <v>12</v>
      </c>
      <c r="BS497" s="8" t="n">
        <v>30</v>
      </c>
      <c r="BT497" s="8" t="n">
        <v>31</v>
      </c>
      <c r="BU497" s="8" t="n">
        <v>17</v>
      </c>
      <c r="BV497" s="11" t="n">
        <f>IF(COUNT(BC497,BF497)=2,BC497*BF497,"")</f>
        <v>0.14792025644964402</v>
      </c>
      <c r="BW497" s="11" t="n">
        <f>IF(ISNUMBER(BN497),BN497,"")</f>
        <v>0.8729500662042875</v>
      </c>
      <c r="BX497" s="14" t="n">
        <f>IF(ISNUMBER(BR497),BR497,"")</f>
        <v>12</v>
      </c>
      <c r="BY497" s="13" t="n">
        <f>IF(AND(COUNT(BV497,BW497,BX497)=3,MIN(BV497,BW497,BX497)&gt;=0),BV497*BW497*BX497,"")</f>
        <v>1.5495239719280631</v>
      </c>
      <c r="BZ497" s="11" t="n">
        <f>IF(ISNUMBER(BO497),BO497,"")</f>
        <v>0.8057375774163482</v>
      </c>
      <c r="CA497" s="14" t="n">
        <f>IF(ISNUMBER(BS497),BS497,"")</f>
        <v>30</v>
      </c>
      <c r="CB497" s="13" t="n">
        <f>IF(AND(COUNT(BV497,BZ497,CA497)=3,MIN(BV497,BZ497,CA497)&gt;=0),BV497*BZ497*CA497,"")</f>
        <v>3.575547272476234</v>
      </c>
      <c r="CC497" s="11" t="n">
        <f>IF(ISNUMBER(BP497),BP497,"")</f>
        <v>0.532550303142279</v>
      </c>
      <c r="CD497" s="14" t="n">
        <f>IF(ISNUMBER(BT497),BT497,"")</f>
        <v>31</v>
      </c>
      <c r="CE497" s="13" t="n">
        <f>IF(AND(COUNT(BV497,CC497,CD497)=3,MIN(BV497,CC497,CD497)&gt;=0),BV497*CC497*CD497,"")</f>
        <v>2.4420242998073887</v>
      </c>
      <c r="CF497" s="11" t="n">
        <f>IF(ISNUMBER(BQ497),BQ497,"")</f>
        <v>0.7517299265337036</v>
      </c>
      <c r="CG497" s="14" t="n">
        <f>IF(ISNUMBER(BU497),BU497,"")</f>
        <v>17</v>
      </c>
      <c r="CH497" s="13" t="n">
        <f>IF(AND(COUNT(BV497,CF497,CG497)=3,MIN(BV497,CF497,CG497)&gt;=0),BV497*CF497*CG497,"")</f>
        <v>1.8903334197335375</v>
      </c>
      <c r="CI497" s="13" t="n">
        <f>IF(COUNT(BY497,CB497,CE497,CH497)=4,SUM(BY497,CB497,CE497,CH497),"")</f>
        <v>9.457428963945222</v>
      </c>
    </row>
    <row r="498" ht="72" customHeight="1">
      <c r="A498" s="16" t="str">
        <v>1S01-DPB-9</v>
      </c>
      <c r="B498" s="16" t="str">
        <v>3店-SANDIEX-US</v>
      </c>
      <c r="C498" s="16" t="str">
        <v>徐新怡</v>
      </c>
      <c r="D498" s="26" t="n">
        <f>IF(NOT(ISNUMBER(E498)),"",IF(OR(E498&lt;=0,L498=0),0,IF(OR(NOT(ISNUMBER(F498)),F498&lt;0),"",MIN(E498,INT(F498)))))</f>
        <v>0</v>
      </c>
      <c r="E498" s="27" t="n">
        <f>IF(OR(NOT(ISNUMBER(L498)),COUNT(M498:O498)&lt;&gt;3,MIN(M498:O498)&lt;0),"",ROUNDUP(ROUND(BI498-SUM(M498:O498),10),0))</f>
        <v>-5</v>
      </c>
      <c r="F498" s="28" t="n">
        <v>40</v>
      </c>
      <c r="G498" s="28" t="n">
        <f>IF(AND(ISNUMBER(D498),ISNUMBER(E498)),IF(OR(E498&lt;=0,L498=0),0,E498-D498),"")</f>
        <v>0</v>
      </c>
      <c r="H498" s="16" t="str">
        <f>IF(NOT(ISNUMBER(E498)),"销量或海外库存待补",IF(OR(E498&lt;=0,L498=0),IF(L498=0,"零日销，本批不发","本批无需补货"),IF(NOT(ISNUMBER(D498)),"国内库存待补",IF(D498=0,"国内无可用库存",IF(G498&gt;0,"先发国内现货","按建议量发货")))))</f>
        <v>本批无需补货</v>
      </c>
      <c r="I498" s="28" t="n">
        <f>IF(AND(COUNT(Z498,AA498,AB498)=3,Z498&gt;=AA498,AA498&gt;=0,AB498=7),Z498-AA498,"")</f>
        <v>0</v>
      </c>
      <c r="J498" s="28" t="n">
        <f>IF(AND(COUNT(AF498,AG498,AH498)=3,AF498&gt;=AG498,AG498&gt;=0,AH498=14),AF498-AG498,"")</f>
        <v>3</v>
      </c>
      <c r="K498" s="28" t="n">
        <f>IF(AND(COUNT(AL498,AM498,AN498)=3,AL498&gt;=AM498,AM498&gt;=0,AN498=30),AL498-AM498,"")</f>
        <v>5</v>
      </c>
      <c r="L498" s="29" t="n">
        <f>IF(ISNUMBER(BI498),BI498/90,"")</f>
        <v>0.21676443700083786</v>
      </c>
      <c r="M498" s="28" t="n">
        <v>4</v>
      </c>
      <c r="N498" s="28" t="n">
        <v>0</v>
      </c>
      <c r="O498" s="28" t="n">
        <v>20</v>
      </c>
      <c r="P498" s="30" t="n">
        <f>IF(AND(ISNUMBER(L498),L498&gt;0,COUNT(M498:O498)=3,MIN(M498:O498)&gt;=0),SUM(M498:O498)/L498,"")</f>
        <v>110.71926895419304</v>
      </c>
      <c r="Q498" s="16" t="str">
        <v>沿用原计划SKU店铺</v>
      </c>
      <c r="R498" s="16" t="str">
        <v>已匹配</v>
      </c>
      <c r="S498" s="16" t="str">
        <v>在售</v>
      </c>
      <c r="T498" s="16" t="str">
        <v>1S01</v>
      </c>
      <c r="U498" s="16" t="str">
        <v>米色</v>
      </c>
      <c r="V498" s="16" t="n">
        <v>9</v>
      </c>
      <c r="W498" s="8" t="str">
        <v>2026-10-11 至 2026-10-17</v>
      </c>
      <c r="X498" s="8" t="str">
        <v>2026-10-11、2026-10-12、2026-10-13、2026-10-14、2026-10-15、2026-10-16、2026-10-17</v>
      </c>
      <c r="Y498" s="8" t="str">
        <v>无</v>
      </c>
      <c r="Z498" s="8" t="n">
        <v>0</v>
      </c>
      <c r="AA498" s="8" t="n">
        <v>0</v>
      </c>
      <c r="AB498" s="8" t="n">
        <v>7</v>
      </c>
      <c r="AC498" s="8" t="str">
        <v>2026-10-02 至 2026-10-17</v>
      </c>
      <c r="AD498" s="8" t="str">
        <v>2026-10-02、2026-10-03、2026-10-04、2026-10-05、2026-10-08、2026-10-09、2026-10-10、2026-10-11、2026-10-12、2026-10-13、2026-10-14、2026-10-15、2026-10-16、2026-10-17</v>
      </c>
      <c r="AE498" s="8" t="str">
        <v>2026-10-06 大促；2026-10-07 大促</v>
      </c>
      <c r="AF498" s="8" t="n">
        <v>4</v>
      </c>
      <c r="AG498" s="8" t="n">
        <v>1</v>
      </c>
      <c r="AH498" s="8" t="n">
        <v>14</v>
      </c>
      <c r="AI498" s="8" t="str">
        <v>2026-09-16 至 2026-10-17</v>
      </c>
      <c r="AJ4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498" s="8" t="str">
        <v>2026-10-06 大促；2026-10-07 大促</v>
      </c>
      <c r="AL498" s="8" t="n">
        <v>6</v>
      </c>
      <c r="AM498" s="8" t="n">
        <v>1</v>
      </c>
      <c r="AN498" s="8" t="n">
        <v>30</v>
      </c>
      <c r="AO498" s="8" t="str">
        <v>1S01 / 米色PU / 6574</v>
      </c>
      <c r="AP498" s="11" t="n">
        <v>0.8729500662042875</v>
      </c>
      <c r="AQ498" s="11" t="n">
        <v>0.8729500662042875</v>
      </c>
      <c r="AR498" s="11" t="n">
        <v>1.0921363354767095</v>
      </c>
      <c r="AS498" s="11" t="n">
        <f>IF(AND(COUNT(I498:K498,AP498:AR498)=6,MIN(AP498:AR498)&gt;0),I498/7/AP498*0.5+J498/14/AQ498*0.3+K498/30/AR498*0.2,"")</f>
        <v>0.10416313463993328</v>
      </c>
      <c r="AT498" s="8" t="n">
        <v>21</v>
      </c>
      <c r="AU498" s="8" t="n">
        <v>1</v>
      </c>
      <c r="AV498" s="8" t="n">
        <v>88</v>
      </c>
      <c r="AW498" s="11" t="n">
        <f>IF(AND(COUNT(AT498:AV498)=3,AT498&gt;=AU498,AU498&gt;=0,AV498&gt;0),(AT498-AU498)/AV498,"")</f>
        <v>0.22727272727272727</v>
      </c>
      <c r="AX498" s="8" t="n">
        <v>38</v>
      </c>
      <c r="AY498" s="8" t="n">
        <v>1</v>
      </c>
      <c r="AZ498" s="8" t="n">
        <v>178</v>
      </c>
      <c r="BA498" s="11" t="n">
        <f>IF(AND(COUNT(AX498:AZ498)=3,AX498&gt;=AY498,AY498&gt;=0,AZ498&gt;0),(AX498-AY498)/AZ498,"")</f>
        <v>0.20786516853932585</v>
      </c>
      <c r="BB498" s="8" t="n">
        <f>IF(COUNT(AS498,AW498,BA498)=3,1,0)</f>
        <v>1</v>
      </c>
      <c r="BC498" s="11" t="n">
        <f>IF(SUMIF($AO$11:$AO$1309,AO498,$BB$11:$BB$1309)=COUNTIF($AO$11:$AO$1309,AO498),SUMIF($AO$11:$AO$1309,AO498,$AS$11:$AS$1309),"")</f>
        <v>0.8134354698195524</v>
      </c>
      <c r="BD498" s="11" t="n">
        <f>IF(SUMIF($AO$11:$AO$1309,AO498,$BB$11:$BB$1309)=COUNTIF($AO$11:$AO$1309,AO498),SUMIF($AO$11:$AO$1309,AO498,$AW$11:$AW$1309),"")</f>
        <v>0.6022727272727273</v>
      </c>
      <c r="BE498" s="11" t="n">
        <f>IF(SUMIF($AO$11:$AO$1309,AO498,$BB$11:$BB$1309)=COUNTIF($AO$11:$AO$1309,AO498),SUMIF($AO$11:$AO$1309,AO498,$BA$11:$BA$1309),"")</f>
        <v>0.5619903691813805</v>
      </c>
      <c r="BF498" s="12" t="n">
        <f>IF(COUNT(BD498:BE498)&lt;&gt;2,"",IF(AND(BD498&gt;0,BE498&gt;0),0.7*AW498/BD498+0.3*BA498/BE498,IF(BD498&gt;0,AW498/BD498,IF(BE498&gt;0,BA498/BE498,IF(AND(ISNUMBER(BH498),BH498=0),0,"")))))</f>
        <v>0.3751128992970604</v>
      </c>
      <c r="BG498" s="11" t="n">
        <f>IF(AND(COUNT(BN498:BU498)=8,MIN(BN498:BU498)&gt;=0),SUMPRODUCT(BN498:BQ498,BR498:BU498),"")</f>
        <v>63.935996265425516</v>
      </c>
      <c r="BH498" s="11" t="n">
        <f>IF(COUNT(BC498,BG498)=2,BC498*BG498,"")</f>
        <v>52.00780716054755</v>
      </c>
      <c r="BI498" s="11" t="n">
        <f>IF(ISNUMBER(CI498),CI498,"")</f>
        <v>19.50879933007541</v>
      </c>
      <c r="BJ498" s="8" t="str"/>
      <c r="BK498" s="8" t="str">
        <v>90天：2026-07-20 至 2026-10-17；180天：2026-04-21 至 2026-10-17</v>
      </c>
      <c r="BL498" s="8" t="str">
        <v>90天：2026-10-06、2026-10-07；180天：2026-10-06、2026-10-07</v>
      </c>
      <c r="BM498" s="8" t="str">
        <v>2026-10：12天 × 0.8729500662042875；2026-11：30天 × 0.8057375774163482；2026-12：31天 × 0.532550303142279；2027-01：17天 × 0.7517299265337036</v>
      </c>
      <c r="BN498" s="11" t="n">
        <v>0.8729500662042875</v>
      </c>
      <c r="BO498" s="11" t="n">
        <v>0.8057375774163482</v>
      </c>
      <c r="BP498" s="11" t="n">
        <v>0.532550303142279</v>
      </c>
      <c r="BQ498" s="11" t="n">
        <v>0.7517299265337036</v>
      </c>
      <c r="BR498" s="8" t="n">
        <v>12</v>
      </c>
      <c r="BS498" s="8" t="n">
        <v>30</v>
      </c>
      <c r="BT498" s="8" t="n">
        <v>31</v>
      </c>
      <c r="BU498" s="8" t="n">
        <v>17</v>
      </c>
      <c r="BV498" s="11" t="n">
        <f>IF(COUNT(BC498,BF498)=2,BC498*BF498,"")</f>
        <v>0.3051301374750788</v>
      </c>
      <c r="BW498" s="11" t="n">
        <f>IF(ISNUMBER(BN498),BN498,"")</f>
        <v>0.8729500662042875</v>
      </c>
      <c r="BX498" s="14" t="n">
        <f>IF(ISNUMBER(BR498),BR498,"")</f>
        <v>12</v>
      </c>
      <c r="BY498" s="13" t="n">
        <f>IF(AND(COUNT(BV498,BW498,BX498)=3,MIN(BV498,BW498,BX498)&gt;=0),BV498*BW498*BX498,"")</f>
        <v>3.19636048451752</v>
      </c>
      <c r="BZ498" s="11" t="n">
        <f>IF(ISNUMBER(BO498),BO498,"")</f>
        <v>0.8057375774163482</v>
      </c>
      <c r="CA498" s="14" t="n">
        <f>IF(ISNUMBER(BS498),BS498,"")</f>
        <v>30</v>
      </c>
      <c r="CB498" s="13" t="n">
        <f>IF(AND(COUNT(BV498,BZ498,CA498)=3,MIN(BV498,BZ498,CA498)&gt;=0),BV498*BZ498*CA498,"")</f>
        <v>7.375644532976618</v>
      </c>
      <c r="CC498" s="11" t="n">
        <f>IF(ISNUMBER(BP498),BP498,"")</f>
        <v>0.532550303142279</v>
      </c>
      <c r="CD498" s="14" t="n">
        <f>IF(ISNUMBER(BT498),BT498,"")</f>
        <v>31</v>
      </c>
      <c r="CE498" s="13" t="n">
        <f>IF(AND(COUNT(BV498,CC498,CD498)=3,MIN(BV498,CC498,CD498)&gt;=0),BV498*CC498*CD498,"")</f>
        <v>5.0374115635161525</v>
      </c>
      <c r="CF498" s="11" t="n">
        <f>IF(ISNUMBER(BQ498),BQ498,"")</f>
        <v>0.7517299265337036</v>
      </c>
      <c r="CG498" s="14" t="n">
        <f>IF(ISNUMBER(BU498),BU498,"")</f>
        <v>17</v>
      </c>
      <c r="CH498" s="13" t="n">
        <f>IF(AND(COUNT(BV498,CF498,CG498)=3,MIN(BV498,CF498,CG498)&gt;=0),BV498*CF498*CG498,"")</f>
        <v>3.8993827490651176</v>
      </c>
      <c r="CI498" s="13" t="n">
        <f>IF(COUNT(BY498,CB498,CE498,CH498)=4,SUM(BY498,CB498,CE498,CH498),"")</f>
        <v>19.50879933007541</v>
      </c>
    </row>
    <row r="499" ht="72" customHeight="1">
      <c r="A499" s="16" t="str">
        <v>1S01-LMN-36</v>
      </c>
      <c r="B499" s="16" t="str">
        <v>3店-SANDIEX-US</v>
      </c>
      <c r="C499" s="16" t="str">
        <v>徐新怡</v>
      </c>
      <c r="D499" s="26" t="n">
        <f>IF(NOT(ISNUMBER(E499)),"",IF(OR(E499&lt;=0,L499=0),0,IF(OR(NOT(ISNUMBER(F499)),F499&lt;0),"",MIN(E499,INT(F499)))))</f>
        <v>0</v>
      </c>
      <c r="E499" s="27" t="n">
        <f>IF(OR(NOT(ISNUMBER(L499)),COUNT(M499:O499)&lt;&gt;3,MIN(M499:O499)&lt;0),"",ROUNDUP(ROUND(BI499-SUM(M499:O499),10),0))</f>
        <v>0</v>
      </c>
      <c r="F499" s="28" t="n">
        <v>0</v>
      </c>
      <c r="G499" s="28" t="n">
        <f>IF(AND(ISNUMBER(D499),ISNUMBER(E499)),IF(OR(E499&lt;=0,L499=0),0,E499-D499),"")</f>
        <v>0</v>
      </c>
      <c r="H499" s="16" t="str">
        <f>IF(NOT(ISNUMBER(E499)),"销量或海外库存待补",IF(OR(E499&lt;=0,L499=0),IF(L499=0,"零日销，本批不发","本批无需补货"),IF(NOT(ISNUMBER(D499)),"国内库存待补",IF(D499=0,"国内无可用库存",IF(G499&gt;0,"先发国内现货","按建议量发货")))))</f>
        <v>零日销，本批不发</v>
      </c>
      <c r="I499" s="28" t="n">
        <f>IF(AND(COUNT(Z499,AA499,AB499)=3,Z499&gt;=AA499,AA499&gt;=0,AB499=7),Z499-AA499,"")</f>
        <v>0</v>
      </c>
      <c r="J499" s="28" t="n">
        <f>IF(AND(COUNT(AF499,AG499,AH499)=3,AF499&gt;=AG499,AG499&gt;=0,AH499=14),AF499-AG499,"")</f>
        <v>0</v>
      </c>
      <c r="K499" s="28" t="n">
        <f>IF(AND(COUNT(AL499,AM499,AN499)=3,AL499&gt;=AM499,AM499&gt;=0,AN499=30),AL499-AM499,"")</f>
        <v>0</v>
      </c>
      <c r="L499" s="29" t="n">
        <f>IF(ISNUMBER(BI499),BI499/90,"")</f>
        <v>0</v>
      </c>
      <c r="M499" s="28" t="n">
        <v>0</v>
      </c>
      <c r="N499" s="28" t="n">
        <v>0</v>
      </c>
      <c r="O499" s="28" t="n">
        <v>0</v>
      </c>
      <c r="P499" s="30" t="str">
        <f>IF(AND(ISNUMBER(L499),L499&gt;0,COUNT(M499:O499)=3,MIN(M499:O499)&gt;=0),SUM(M499:O499)/L499,"")</f>
      </c>
      <c r="Q499" s="16" t="str">
        <v>沿用同SPU原计划店铺</v>
      </c>
      <c r="R499" s="16" t="str">
        <v>已匹配</v>
      </c>
      <c r="S499" s="16" t="str">
        <v>停售</v>
      </c>
      <c r="T499" s="16" t="str">
        <v>1S01</v>
      </c>
      <c r="U499" s="16" t="str">
        <v>豹纹</v>
      </c>
      <c r="V499" s="16" t="n">
        <v>5</v>
      </c>
      <c r="W499" s="8" t="str">
        <v>2026-10-08 至 2026-10-17</v>
      </c>
      <c r="X499" s="8" t="str">
        <v>2026-10-08、2026-10-09、2026-10-10、2026-10-11、2026-10-14、2026-10-15、2026-10-17</v>
      </c>
      <c r="Y499" s="8" t="str">
        <v>2026-10-12 有记录的停售日；2026-10-13 有记录的停售日；2026-10-16 有记录的停售日</v>
      </c>
      <c r="Z499" s="8" t="n">
        <v>0</v>
      </c>
      <c r="AA499" s="8" t="n">
        <v>0</v>
      </c>
      <c r="AB499" s="8" t="n">
        <v>7</v>
      </c>
      <c r="AC499" s="8" t="str">
        <v>2026-09-29 至 2026-10-17</v>
      </c>
      <c r="AD499" s="8" t="str">
        <v>2026-09-29、2026-09-30、2026-10-01、2026-10-02、2026-10-03、2026-10-04、2026-10-05、2026-10-08、2026-10-09、2026-10-10、2026-10-11、2026-10-14、2026-10-15、2026-10-17</v>
      </c>
      <c r="AE499" s="8" t="str">
        <v>2026-10-06 大促；2026-10-07 大促；2026-10-12 有记录的停售日；2026-10-13 有记录的停售日；2026-10-16 有记录的停售日</v>
      </c>
      <c r="AF499" s="8" t="n">
        <v>0</v>
      </c>
      <c r="AG499" s="8" t="n">
        <v>0</v>
      </c>
      <c r="AH499" s="8" t="n">
        <v>14</v>
      </c>
      <c r="AI499" s="8" t="str">
        <v>2026-09-13 至 2026-10-17</v>
      </c>
      <c r="AJ49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499" s="8" t="str">
        <v>2026-10-06 大促；2026-10-07 大促；2026-10-12 有记录的停售日；2026-10-13 有记录的停售日；2026-10-16 有记录的停售日</v>
      </c>
      <c r="AL499" s="8" t="n">
        <v>0</v>
      </c>
      <c r="AM499" s="8" t="n">
        <v>0</v>
      </c>
      <c r="AN499" s="8" t="n">
        <v>30</v>
      </c>
      <c r="AO499" s="8" t="str">
        <v>1S01 / 豹纹羊京绒 / 6574</v>
      </c>
      <c r="AP499" s="11" t="n">
        <v>0.8729500662042875</v>
      </c>
      <c r="AQ499" s="11" t="n">
        <v>0.9355747145678367</v>
      </c>
      <c r="AR499" s="11" t="n">
        <v>1.135973589331194</v>
      </c>
      <c r="AS499" s="11" t="n">
        <f>IF(AND(COUNT(I499:K499,AP499:AR499)=6,MIN(AP499:AR499)&gt;0),I499/7/AP499*0.5+J499/14/AQ499*0.3+K499/30/AR499*0.2,"")</f>
        <v>0</v>
      </c>
      <c r="AT499" s="8" t="n">
        <v>0</v>
      </c>
      <c r="AU499" s="8" t="n">
        <v>0</v>
      </c>
      <c r="AV499" s="8" t="n">
        <v>85</v>
      </c>
      <c r="AW499" s="11" t="n">
        <f>IF(AND(COUNT(AT499:AV499)=3,AT499&gt;=AU499,AU499&gt;=0,AV499&gt;0),(AT499-AU499)/AV499,"")</f>
        <v>0</v>
      </c>
      <c r="AX499" s="8" t="n">
        <v>0</v>
      </c>
      <c r="AY499" s="8" t="n">
        <v>0</v>
      </c>
      <c r="AZ499" s="8" t="n">
        <v>175</v>
      </c>
      <c r="BA499" s="11" t="n">
        <f>IF(AND(COUNT(AX499:AZ499)=3,AX499&gt;=AY499,AY499&gt;=0,AZ499&gt;0),(AX499-AY499)/AZ499,"")</f>
        <v>0</v>
      </c>
      <c r="BB499" s="8" t="n">
        <f>IF(COUNT(AS499,AW499,BA499)=3,1,0)</f>
        <v>1</v>
      </c>
      <c r="BC499" s="11" t="n">
        <f>IF(SUMIF($AO$11:$AO$1309,AO499,$BB$11:$BB$1309)=COUNTIF($AO$11:$AO$1309,AO499),SUMIF($AO$11:$AO$1309,AO499,$AS$11:$AS$1309),"")</f>
        <v>2.9367051066815764</v>
      </c>
      <c r="BD499" s="11" t="n">
        <f>IF(SUMIF($AO$11:$AO$1309,AO499,$BB$11:$BB$1309)=COUNTIF($AO$11:$AO$1309,AO499),SUMIF($AO$11:$AO$1309,AO499,$AW$11:$AW$1309),"")</f>
        <v>1.6598930481283423</v>
      </c>
      <c r="BE499" s="11" t="n">
        <f>IF(SUMIF($AO$11:$AO$1309,AO499,$BB$11:$BB$1309)=COUNTIF($AO$11:$AO$1309,AO499),SUMIF($AO$11:$AO$1309,AO499,$BA$11:$BA$1309),"")</f>
        <v>1.2818619582664526</v>
      </c>
      <c r="BF499" s="12" t="n">
        <f>IF(COUNT(BD499:BE499)&lt;&gt;2,"",IF(AND(BD499&gt;0,BE499&gt;0),0.7*AW499/BD499+0.3*BA499/BE499,IF(BD499&gt;0,AW499/BD499,IF(BE499&gt;0,BA499/BE499,IF(AND(ISNUMBER(BH499),BH499=0),0,"")))))</f>
        <v>0</v>
      </c>
      <c r="BG499" s="11" t="n">
        <f>IF(AND(COUNT(BN499:BU499)=8,MIN(BN499:BU499)&gt;=0),SUMPRODUCT(BN499:BQ499,BR499:BU499),"")</f>
        <v>63.935996265425516</v>
      </c>
      <c r="BH499" s="11" t="n">
        <f>IF(COUNT(BC499,BG499)=2,BC499*BG499,"")</f>
        <v>187.7611667334493</v>
      </c>
      <c r="BI499" s="11" t="n">
        <f>IF(ISNUMBER(CI499),CI499,"")</f>
        <v>0</v>
      </c>
      <c r="BJ499" s="8" t="str"/>
      <c r="BK499" s="8" t="str">
        <v>90天：2026-07-20 至 2026-10-17；180天：2026-04-21 至 2026-10-17</v>
      </c>
      <c r="BL499" s="8" t="str">
        <v>90天：2026-10-06、2026-10-07、2026-10-12、2026-10-13、2026-10-16；180天：2026-10-06、2026-10-07、2026-10-12、2026-10-13、2026-10-16</v>
      </c>
      <c r="BM499" s="8" t="str">
        <v>2026-10：12天 × 0.8729500662042875；2026-11：30天 × 0.8057375774163482；2026-12：31天 × 0.532550303142279；2027-01：17天 × 0.7517299265337036</v>
      </c>
      <c r="BN499" s="11" t="n">
        <v>0.8729500662042875</v>
      </c>
      <c r="BO499" s="11" t="n">
        <v>0.8057375774163482</v>
      </c>
      <c r="BP499" s="11" t="n">
        <v>0.532550303142279</v>
      </c>
      <c r="BQ499" s="11" t="n">
        <v>0.7517299265337036</v>
      </c>
      <c r="BR499" s="8" t="n">
        <v>12</v>
      </c>
      <c r="BS499" s="8" t="n">
        <v>30</v>
      </c>
      <c r="BT499" s="8" t="n">
        <v>31</v>
      </c>
      <c r="BU499" s="8" t="n">
        <v>17</v>
      </c>
      <c r="BV499" s="11" t="n">
        <f>IF(COUNT(BC499,BF499)=2,BC499*BF499,"")</f>
        <v>0</v>
      </c>
      <c r="BW499" s="11" t="n">
        <f>IF(ISNUMBER(BN499),BN499,"")</f>
        <v>0.8729500662042875</v>
      </c>
      <c r="BX499" s="14" t="n">
        <f>IF(ISNUMBER(BR499),BR499,"")</f>
        <v>12</v>
      </c>
      <c r="BY499" s="13" t="n">
        <f>IF(AND(COUNT(BV499,BW499,BX499)=3,MIN(BV499,BW499,BX499)&gt;=0),BV499*BW499*BX499,"")</f>
        <v>0</v>
      </c>
      <c r="BZ499" s="11" t="n">
        <f>IF(ISNUMBER(BO499),BO499,"")</f>
        <v>0.8057375774163482</v>
      </c>
      <c r="CA499" s="14" t="n">
        <f>IF(ISNUMBER(BS499),BS499,"")</f>
        <v>30</v>
      </c>
      <c r="CB499" s="13" t="n">
        <f>IF(AND(COUNT(BV499,BZ499,CA499)=3,MIN(BV499,BZ499,CA499)&gt;=0),BV499*BZ499*CA499,"")</f>
        <v>0</v>
      </c>
      <c r="CC499" s="11" t="n">
        <f>IF(ISNUMBER(BP499),BP499,"")</f>
        <v>0.532550303142279</v>
      </c>
      <c r="CD499" s="14" t="n">
        <f>IF(ISNUMBER(BT499),BT499,"")</f>
        <v>31</v>
      </c>
      <c r="CE499" s="13" t="n">
        <f>IF(AND(COUNT(BV499,CC499,CD499)=3,MIN(BV499,CC499,CD499)&gt;=0),BV499*CC499*CD499,"")</f>
        <v>0</v>
      </c>
      <c r="CF499" s="11" t="n">
        <f>IF(ISNUMBER(BQ499),BQ499,"")</f>
        <v>0.7517299265337036</v>
      </c>
      <c r="CG499" s="14" t="n">
        <f>IF(ISNUMBER(BU499),BU499,"")</f>
        <v>17</v>
      </c>
      <c r="CH499" s="13" t="n">
        <f>IF(AND(COUNT(BV499,CF499,CG499)=3,MIN(BV499,CF499,CG499)&gt;=0),BV499*CF499*CG499,"")</f>
        <v>0</v>
      </c>
      <c r="CI499" s="13" t="n">
        <f>IF(COUNT(BY499,CB499,CE499,CH499)=4,SUM(BY499,CB499,CE499,CH499),"")</f>
        <v>0</v>
      </c>
    </row>
    <row r="500" ht="72" customHeight="1">
      <c r="A500" s="16" t="str">
        <v>1S01-LMN-37</v>
      </c>
      <c r="B500" s="16" t="str">
        <v>3店-SANDIEX-US</v>
      </c>
      <c r="C500" s="16" t="str">
        <v>徐新怡</v>
      </c>
      <c r="D500" s="26" t="n">
        <f>IF(NOT(ISNUMBER(E500)),"",IF(OR(E500&lt;=0,L500=0),0,IF(OR(NOT(ISNUMBER(F500)),F500&lt;0),"",MIN(E500,INT(F500)))))</f>
        <v>0</v>
      </c>
      <c r="E500" s="27" t="n">
        <f>IF(OR(NOT(ISNUMBER(L500)),COUNT(M500:O500)&lt;&gt;3,MIN(M500:O500)&lt;0),"",ROUNDUP(ROUND(BI500-SUM(M500:O500),10),0))</f>
        <v>-13</v>
      </c>
      <c r="F500" s="28" t="n">
        <v>0</v>
      </c>
      <c r="G500" s="28" t="n">
        <f>IF(AND(ISNUMBER(D500),ISNUMBER(E500)),IF(OR(E500&lt;=0,L500=0),0,E500-D500),"")</f>
        <v>0</v>
      </c>
      <c r="H500" s="16" t="str">
        <f>IF(NOT(ISNUMBER(E500)),"销量或海外库存待补",IF(OR(E500&lt;=0,L500=0),IF(L500=0,"零日销，本批不发","本批无需补货"),IF(NOT(ISNUMBER(D500)),"国内库存待补",IF(D500=0,"国内无可用库存",IF(G500&gt;0,"先发国内现货","按建议量发货")))))</f>
        <v>本批无需补货</v>
      </c>
      <c r="I500" s="28" t="n">
        <f>IF(AND(COUNT(Z500,AA500,AB500)=3,Z500&gt;=AA500,AA500&gt;=0,AB500=7),Z500-AA500,"")</f>
        <v>1</v>
      </c>
      <c r="J500" s="28" t="n">
        <f>IF(AND(COUNT(AF500,AG500,AH500)=3,AF500&gt;=AG500,AG500&gt;=0,AH500=14),AF500-AG500,"")</f>
        <v>1</v>
      </c>
      <c r="K500" s="28" t="n">
        <f>IF(AND(COUNT(AL500,AM500,AN500)=3,AL500&gt;=AM500,AM500&gt;=0,AN500=30),AL500-AM500,"")</f>
        <v>3</v>
      </c>
      <c r="L500" s="29" t="n">
        <f>IF(ISNUMBER(BI500),BI500/90,"")</f>
        <v>0.07644388613408086</v>
      </c>
      <c r="M500" s="28" t="n">
        <v>0</v>
      </c>
      <c r="N500" s="28" t="n">
        <v>0</v>
      </c>
      <c r="O500" s="28" t="n">
        <v>19</v>
      </c>
      <c r="P500" s="30" t="n">
        <f>IF(AND(ISNUMBER(L500),L500&gt;0,COUNT(M500:O500)=3,MIN(M500:O500)&gt;=0),SUM(M500:O500)/L500,"")</f>
        <v>248.5483268952919</v>
      </c>
      <c r="Q500" s="16" t="str">
        <v>沿用原计划SKU店铺</v>
      </c>
      <c r="R500" s="16" t="str">
        <v>已匹配</v>
      </c>
      <c r="S500" s="16" t="str">
        <v>在售</v>
      </c>
      <c r="T500" s="16" t="str">
        <v>1S01</v>
      </c>
      <c r="U500" s="16" t="str">
        <v>豹纹</v>
      </c>
      <c r="V500" s="16" t="n">
        <v>6</v>
      </c>
      <c r="W500" s="8" t="str">
        <v>2026-10-11 至 2026-10-17</v>
      </c>
      <c r="X500" s="8" t="str">
        <v>2026-10-11、2026-10-12、2026-10-13、2026-10-14、2026-10-15、2026-10-16、2026-10-17</v>
      </c>
      <c r="Y500" s="8" t="str">
        <v>无</v>
      </c>
      <c r="Z500" s="8" t="n">
        <v>1</v>
      </c>
      <c r="AA500" s="8" t="n">
        <v>0</v>
      </c>
      <c r="AB500" s="8" t="n">
        <v>7</v>
      </c>
      <c r="AC500" s="8" t="str">
        <v>2026-10-02 至 2026-10-17</v>
      </c>
      <c r="AD500" s="8" t="str">
        <v>2026-10-02、2026-10-03、2026-10-04、2026-10-05、2026-10-08、2026-10-09、2026-10-10、2026-10-11、2026-10-12、2026-10-13、2026-10-14、2026-10-15、2026-10-16、2026-10-17</v>
      </c>
      <c r="AE500" s="8" t="str">
        <v>2026-10-06 大促；2026-10-07 大促</v>
      </c>
      <c r="AF500" s="8" t="n">
        <v>2</v>
      </c>
      <c r="AG500" s="8" t="n">
        <v>1</v>
      </c>
      <c r="AH500" s="8" t="n">
        <v>14</v>
      </c>
      <c r="AI500" s="8" t="str">
        <v>2026-09-16 至 2026-10-17</v>
      </c>
      <c r="AJ5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00" s="8" t="str">
        <v>2026-10-06 大促；2026-10-07 大促</v>
      </c>
      <c r="AL500" s="8" t="n">
        <v>4</v>
      </c>
      <c r="AM500" s="8" t="n">
        <v>1</v>
      </c>
      <c r="AN500" s="8" t="n">
        <v>30</v>
      </c>
      <c r="AO500" s="8" t="str">
        <v>1S01 / 豹纹羊京绒 / 6574</v>
      </c>
      <c r="AP500" s="11" t="n">
        <v>0.8729500662042875</v>
      </c>
      <c r="AQ500" s="11" t="n">
        <v>0.8729500662042875</v>
      </c>
      <c r="AR500" s="11" t="n">
        <v>1.0921363354767095</v>
      </c>
      <c r="AS500" s="11" t="n">
        <f>IF(AND(COUNT(I500:K500,AP500:AR500)=6,MIN(AP500:AR500)&gt;0),I500/7/AP500*0.5+J500/14/AQ500*0.3+K500/30/AR500*0.2,"")</f>
        <v>0.1246843865044491</v>
      </c>
      <c r="AT500" s="8" t="n">
        <v>7</v>
      </c>
      <c r="AU500" s="8" t="n">
        <v>1</v>
      </c>
      <c r="AV500" s="8" t="n">
        <v>88</v>
      </c>
      <c r="AW500" s="11" t="n">
        <f>IF(AND(COUNT(AT500:AV500)=3,AT500&gt;=AU500,AU500&gt;=0,AV500&gt;0),(AT500-AU500)/AV500,"")</f>
        <v>0.06818181818181818</v>
      </c>
      <c r="AX500" s="8" t="n">
        <v>7</v>
      </c>
      <c r="AY500" s="8" t="n">
        <v>1</v>
      </c>
      <c r="AZ500" s="8" t="n">
        <v>178</v>
      </c>
      <c r="BA500" s="11" t="n">
        <f>IF(AND(COUNT(AX500:AZ500)=3,AX500&gt;=AY500,AY500&gt;=0,AZ500&gt;0),(AX500-AY500)/AZ500,"")</f>
        <v>0.033707865168539325</v>
      </c>
      <c r="BB500" s="8" t="n">
        <f>IF(COUNT(AS500,AW500,BA500)=3,1,0)</f>
        <v>1</v>
      </c>
      <c r="BC500" s="11" t="n">
        <f>IF(SUMIF($AO$11:$AO$1309,AO500,$BB$11:$BB$1309)=COUNTIF($AO$11:$AO$1309,AO500),SUMIF($AO$11:$AO$1309,AO500,$AS$11:$AS$1309),"")</f>
        <v>2.9367051066815764</v>
      </c>
      <c r="BD500" s="11" t="n">
        <f>IF(SUMIF($AO$11:$AO$1309,AO500,$BB$11:$BB$1309)=COUNTIF($AO$11:$AO$1309,AO500),SUMIF($AO$11:$AO$1309,AO500,$AW$11:$AW$1309),"")</f>
        <v>1.6598930481283423</v>
      </c>
      <c r="BE500" s="11" t="n">
        <f>IF(SUMIF($AO$11:$AO$1309,AO500,$BB$11:$BB$1309)=COUNTIF($AO$11:$AO$1309,AO500),SUMIF($AO$11:$AO$1309,AO500,$BA$11:$BA$1309),"")</f>
        <v>1.2818619582664526</v>
      </c>
      <c r="BF500" s="12" t="n">
        <f>IF(COUNT(BD500:BE500)&lt;&gt;2,"",IF(AND(BD500&gt;0,BE500&gt;0),0.7*AW500/BD500+0.3*BA500/BE500,IF(BD500&gt;0,AW500/BD500,IF(BE500&gt;0,BA500/BE500,IF(AND(ISNUMBER(BH500),BH500=0),0,"")))))</f>
        <v>0.0366420270589511</v>
      </c>
      <c r="BG500" s="11" t="n">
        <f>IF(AND(COUNT(BN500:BU500)=8,MIN(BN500:BU500)&gt;=0),SUMPRODUCT(BN500:BQ500,BR500:BU500),"")</f>
        <v>63.935996265425516</v>
      </c>
      <c r="BH500" s="11" t="n">
        <f>IF(COUNT(BC500,BG500)=2,BC500*BG500,"")</f>
        <v>187.7611667334493</v>
      </c>
      <c r="BI500" s="11" t="n">
        <f>IF(ISNUMBER(CI500),CI500,"")</f>
        <v>6.879949752067278</v>
      </c>
      <c r="BJ500" s="8" t="str"/>
      <c r="BK500" s="8" t="str">
        <v>90天：2026-07-20 至 2026-10-17；180天：2026-04-21 至 2026-10-17</v>
      </c>
      <c r="BL500" s="8" t="str">
        <v>90天：2026-10-06、2026-10-07；180天：2026-10-06、2026-10-07</v>
      </c>
      <c r="BM500" s="8" t="str">
        <v>2026-10：12天 × 0.8729500662042875；2026-11：30天 × 0.8057375774163482；2026-12：31天 × 0.532550303142279；2027-01：17天 × 0.7517299265337036</v>
      </c>
      <c r="BN500" s="11" t="n">
        <v>0.8729500662042875</v>
      </c>
      <c r="BO500" s="11" t="n">
        <v>0.8057375774163482</v>
      </c>
      <c r="BP500" s="11" t="n">
        <v>0.532550303142279</v>
      </c>
      <c r="BQ500" s="11" t="n">
        <v>0.7517299265337036</v>
      </c>
      <c r="BR500" s="8" t="n">
        <v>12</v>
      </c>
      <c r="BS500" s="8" t="n">
        <v>30</v>
      </c>
      <c r="BT500" s="8" t="n">
        <v>31</v>
      </c>
      <c r="BU500" s="8" t="n">
        <v>17</v>
      </c>
      <c r="BV500" s="11" t="n">
        <f>IF(COUNT(BC500,BF500)=2,BC500*BF500,"")</f>
        <v>0.1076068279831862</v>
      </c>
      <c r="BW500" s="11" t="n">
        <f>IF(ISNUMBER(BN500),BN500,"")</f>
        <v>0.8729500662042875</v>
      </c>
      <c r="BX500" s="14" t="n">
        <f>IF(ISNUMBER(BR500),BR500,"")</f>
        <v>12</v>
      </c>
      <c r="BY500" s="13" t="n">
        <f>IF(AND(COUNT(BV500,BW500,BX500)=3,MIN(BV500,BW500,BX500)&gt;=0),BV500*BW500*BX500,"")</f>
        <v>1.1272246513434694</v>
      </c>
      <c r="BZ500" s="11" t="n">
        <f>IF(ISNUMBER(BO500),BO500,"")</f>
        <v>0.8057375774163482</v>
      </c>
      <c r="CA500" s="14" t="n">
        <f>IF(ISNUMBER(BS500),BS500,"")</f>
        <v>30</v>
      </c>
      <c r="CB500" s="13" t="n">
        <f>IF(AND(COUNT(BV500,BZ500,CA500)=3,MIN(BV500,BZ500,CA500)&gt;=0),BV500*BZ500*CA500,"")</f>
        <v>2.6010859467789045</v>
      </c>
      <c r="CC500" s="11" t="n">
        <f>IF(ISNUMBER(BP500),BP500,"")</f>
        <v>0.532550303142279</v>
      </c>
      <c r="CD500" s="14" t="n">
        <f>IF(ISNUMBER(BT500),BT500,"")</f>
        <v>31</v>
      </c>
      <c r="CE500" s="13" t="n">
        <f>IF(AND(COUNT(BV500,CC500,CD500)=3,MIN(BV500,CC500,CD500)&gt;=0),BV500*CC500*CD500,"")</f>
        <v>1.7764875147413715</v>
      </c>
      <c r="CF500" s="11" t="n">
        <f>IF(ISNUMBER(BQ500),BQ500,"")</f>
        <v>0.7517299265337036</v>
      </c>
      <c r="CG500" s="14" t="n">
        <f>IF(ISNUMBER(BU500),BU500,"")</f>
        <v>17</v>
      </c>
      <c r="CH500" s="13" t="n">
        <f>IF(AND(COUNT(BV500,CF500,CG500)=3,MIN(BV500,CF500,CG500)&gt;=0),BV500*CF500*CG500,"")</f>
        <v>1.3751516392035326</v>
      </c>
      <c r="CI500" s="13" t="n">
        <f>IF(COUNT(BY500,CB500,CE500,CH500)=4,SUM(BY500,CB500,CE500,CH500),"")</f>
        <v>6.879949752067278</v>
      </c>
    </row>
    <row r="501" ht="72" customHeight="1">
      <c r="A501" s="16" t="str">
        <v>1S01-LMN-38.5</v>
      </c>
      <c r="B501" s="16" t="str">
        <v>3店-SANDIEX-US</v>
      </c>
      <c r="C501" s="16" t="str">
        <v>徐新怡</v>
      </c>
      <c r="D501" s="26" t="n">
        <f>IF(NOT(ISNUMBER(E501)),"",IF(OR(E501&lt;=0,L501=0),0,IF(OR(NOT(ISNUMBER(F501)),F501&lt;0),"",MIN(E501,INT(F501)))))</f>
        <v>0</v>
      </c>
      <c r="E501" s="27" t="n">
        <f>IF(OR(NOT(ISNUMBER(L501)),COUNT(M501:O501)&lt;&gt;3,MIN(M501:O501)&lt;0),"",ROUNDUP(ROUND(BI501-SUM(M501:O501),10),0))</f>
        <v>0</v>
      </c>
      <c r="F501" s="28" t="n">
        <v>0</v>
      </c>
      <c r="G501" s="28" t="n">
        <f>IF(AND(ISNUMBER(D501),ISNUMBER(E501)),IF(OR(E501&lt;=0,L501=0),0,E501-D501),"")</f>
        <v>0</v>
      </c>
      <c r="H501" s="16" t="str">
        <f>IF(NOT(ISNUMBER(E501)),"销量或海外库存待补",IF(OR(E501&lt;=0,L501=0),IF(L501=0,"零日销，本批不发","本批无需补货"),IF(NOT(ISNUMBER(D501)),"国内库存待补",IF(D501=0,"国内无可用库存",IF(G501&gt;0,"先发国内现货","按建议量发货")))))</f>
        <v>零日销，本批不发</v>
      </c>
      <c r="I501" s="28" t="n">
        <f>IF(AND(COUNT(Z501,AA501,AB501)=3,Z501&gt;=AA501,AA501&gt;=0,AB501=7),Z501-AA501,"")</f>
        <v>0</v>
      </c>
      <c r="J501" s="28" t="n">
        <f>IF(AND(COUNT(AF501,AG501,AH501)=3,AF501&gt;=AG501,AG501&gt;=0,AH501=14),AF501-AG501,"")</f>
        <v>0</v>
      </c>
      <c r="K501" s="28" t="n">
        <f>IF(AND(COUNT(AL501,AM501,AN501)=3,AL501&gt;=AM501,AM501&gt;=0,AN501=30),AL501-AM501,"")</f>
        <v>0</v>
      </c>
      <c r="L501" s="29" t="n">
        <f>IF(ISNUMBER(BI501),BI501/90,"")</f>
        <v>0</v>
      </c>
      <c r="M501" s="28" t="n">
        <v>0</v>
      </c>
      <c r="N501" s="28" t="n">
        <v>0</v>
      </c>
      <c r="O501" s="28" t="n">
        <v>0</v>
      </c>
      <c r="P501" s="30" t="str">
        <f>IF(AND(ISNUMBER(L501),L501&gt;0,COUNT(M501:O501)=3,MIN(M501:O501)&gt;=0),SUM(M501:O501)/L501,"")</f>
      </c>
      <c r="Q501" s="16" t="str">
        <v>沿用同SPU原计划店铺</v>
      </c>
      <c r="R501" s="16" t="str">
        <v>已匹配</v>
      </c>
      <c r="S501" s="16" t="str">
        <v>停售</v>
      </c>
      <c r="T501" s="16" t="str">
        <v>1S01</v>
      </c>
      <c r="U501" s="16" t="str">
        <v>豹纹</v>
      </c>
      <c r="V501" s="16" t="n">
        <v>7.5</v>
      </c>
      <c r="W501" s="8" t="str">
        <v>2026-10-08 至 2026-10-17</v>
      </c>
      <c r="X501" s="8" t="str">
        <v>2026-10-08、2026-10-09、2026-10-10、2026-10-11、2026-10-14、2026-10-15、2026-10-17</v>
      </c>
      <c r="Y501" s="8" t="str">
        <v>2026-10-12 有记录的停售日；2026-10-13 有记录的停售日；2026-10-16 有记录的停售日</v>
      </c>
      <c r="Z501" s="8" t="n">
        <v>0</v>
      </c>
      <c r="AA501" s="8" t="n">
        <v>0</v>
      </c>
      <c r="AB501" s="8" t="n">
        <v>7</v>
      </c>
      <c r="AC501" s="8" t="str">
        <v>2026-09-29 至 2026-10-17</v>
      </c>
      <c r="AD501" s="8" t="str">
        <v>2026-09-29、2026-09-30、2026-10-01、2026-10-02、2026-10-03、2026-10-04、2026-10-05、2026-10-08、2026-10-09、2026-10-10、2026-10-11、2026-10-14、2026-10-15、2026-10-17</v>
      </c>
      <c r="AE501" s="8" t="str">
        <v>2026-10-06 大促；2026-10-07 大促；2026-10-12 有记录的停售日；2026-10-13 有记录的停售日；2026-10-16 有记录的停售日</v>
      </c>
      <c r="AF501" s="8" t="n">
        <v>0</v>
      </c>
      <c r="AG501" s="8" t="n">
        <v>0</v>
      </c>
      <c r="AH501" s="8" t="n">
        <v>14</v>
      </c>
      <c r="AI501" s="8" t="str">
        <v>2026-09-13 至 2026-10-17</v>
      </c>
      <c r="AJ5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1" s="8" t="str">
        <v>2026-10-06 大促；2026-10-07 大促；2026-10-12 有记录的停售日；2026-10-13 有记录的停售日；2026-10-16 有记录的停售日</v>
      </c>
      <c r="AL501" s="8" t="n">
        <v>0</v>
      </c>
      <c r="AM501" s="8" t="n">
        <v>0</v>
      </c>
      <c r="AN501" s="8" t="n">
        <v>30</v>
      </c>
      <c r="AO501" s="8" t="str">
        <v>1S01 / 豹纹羊京绒 / 6574</v>
      </c>
      <c r="AP501" s="11" t="n">
        <v>0.8729500662042875</v>
      </c>
      <c r="AQ501" s="11" t="n">
        <v>0.9355747145678367</v>
      </c>
      <c r="AR501" s="11" t="n">
        <v>1.135973589331194</v>
      </c>
      <c r="AS501" s="11" t="n">
        <f>IF(AND(COUNT(I501:K501,AP501:AR501)=6,MIN(AP501:AR501)&gt;0),I501/7/AP501*0.5+J501/14/AQ501*0.3+K501/30/AR501*0.2,"")</f>
        <v>0</v>
      </c>
      <c r="AT501" s="8" t="n">
        <v>0</v>
      </c>
      <c r="AU501" s="8" t="n">
        <v>0</v>
      </c>
      <c r="AV501" s="8" t="n">
        <v>85</v>
      </c>
      <c r="AW501" s="11" t="n">
        <f>IF(AND(COUNT(AT501:AV501)=3,AT501&gt;=AU501,AU501&gt;=0,AV501&gt;0),(AT501-AU501)/AV501,"")</f>
        <v>0</v>
      </c>
      <c r="AX501" s="8" t="n">
        <v>0</v>
      </c>
      <c r="AY501" s="8" t="n">
        <v>0</v>
      </c>
      <c r="AZ501" s="8" t="n">
        <v>175</v>
      </c>
      <c r="BA501" s="11" t="n">
        <f>IF(AND(COUNT(AX501:AZ501)=3,AX501&gt;=AY501,AY501&gt;=0,AZ501&gt;0),(AX501-AY501)/AZ501,"")</f>
        <v>0</v>
      </c>
      <c r="BB501" s="8" t="n">
        <f>IF(COUNT(AS501,AW501,BA501)=3,1,0)</f>
        <v>1</v>
      </c>
      <c r="BC501" s="11" t="n">
        <f>IF(SUMIF($AO$11:$AO$1309,AO501,$BB$11:$BB$1309)=COUNTIF($AO$11:$AO$1309,AO501),SUMIF($AO$11:$AO$1309,AO501,$AS$11:$AS$1309),"")</f>
        <v>2.9367051066815764</v>
      </c>
      <c r="BD501" s="11" t="n">
        <f>IF(SUMIF($AO$11:$AO$1309,AO501,$BB$11:$BB$1309)=COUNTIF($AO$11:$AO$1309,AO501),SUMIF($AO$11:$AO$1309,AO501,$AW$11:$AW$1309),"")</f>
        <v>1.6598930481283423</v>
      </c>
      <c r="BE501" s="11" t="n">
        <f>IF(SUMIF($AO$11:$AO$1309,AO501,$BB$11:$BB$1309)=COUNTIF($AO$11:$AO$1309,AO501),SUMIF($AO$11:$AO$1309,AO501,$BA$11:$BA$1309),"")</f>
        <v>1.2818619582664526</v>
      </c>
      <c r="BF501" s="12" t="n">
        <f>IF(COUNT(BD501:BE501)&lt;&gt;2,"",IF(AND(BD501&gt;0,BE501&gt;0),0.7*AW501/BD501+0.3*BA501/BE501,IF(BD501&gt;0,AW501/BD501,IF(BE501&gt;0,BA501/BE501,IF(AND(ISNUMBER(BH501),BH501=0),0,"")))))</f>
        <v>0</v>
      </c>
      <c r="BG501" s="11" t="n">
        <f>IF(AND(COUNT(BN501:BU501)=8,MIN(BN501:BU501)&gt;=0),SUMPRODUCT(BN501:BQ501,BR501:BU501),"")</f>
        <v>63.935996265425516</v>
      </c>
      <c r="BH501" s="11" t="n">
        <f>IF(COUNT(BC501,BG501)=2,BC501*BG501,"")</f>
        <v>187.7611667334493</v>
      </c>
      <c r="BI501" s="11" t="n">
        <f>IF(ISNUMBER(CI501),CI501,"")</f>
        <v>0</v>
      </c>
      <c r="BJ501" s="8" t="str"/>
      <c r="BK501" s="8" t="str">
        <v>90天：2026-07-20 至 2026-10-17；180天：2026-04-21 至 2026-10-17</v>
      </c>
      <c r="BL501" s="8" t="str">
        <v>90天：2026-10-06、2026-10-07、2026-10-12、2026-10-13、2026-10-16；180天：2026-10-06、2026-10-07、2026-10-12、2026-10-13、2026-10-16</v>
      </c>
      <c r="BM501" s="8" t="str">
        <v>2026-10：12天 × 0.8729500662042875；2026-11：30天 × 0.8057375774163482；2026-12：31天 × 0.532550303142279；2027-01：17天 × 0.7517299265337036</v>
      </c>
      <c r="BN501" s="11" t="n">
        <v>0.8729500662042875</v>
      </c>
      <c r="BO501" s="11" t="n">
        <v>0.8057375774163482</v>
      </c>
      <c r="BP501" s="11" t="n">
        <v>0.532550303142279</v>
      </c>
      <c r="BQ501" s="11" t="n">
        <v>0.7517299265337036</v>
      </c>
      <c r="BR501" s="8" t="n">
        <v>12</v>
      </c>
      <c r="BS501" s="8" t="n">
        <v>30</v>
      </c>
      <c r="BT501" s="8" t="n">
        <v>31</v>
      </c>
      <c r="BU501" s="8" t="n">
        <v>17</v>
      </c>
      <c r="BV501" s="11" t="n">
        <f>IF(COUNT(BC501,BF501)=2,BC501*BF501,"")</f>
        <v>0</v>
      </c>
      <c r="BW501" s="11" t="n">
        <f>IF(ISNUMBER(BN501),BN501,"")</f>
        <v>0.8729500662042875</v>
      </c>
      <c r="BX501" s="14" t="n">
        <f>IF(ISNUMBER(BR501),BR501,"")</f>
        <v>12</v>
      </c>
      <c r="BY501" s="13" t="n">
        <f>IF(AND(COUNT(BV501,BW501,BX501)=3,MIN(BV501,BW501,BX501)&gt;=0),BV501*BW501*BX501,"")</f>
        <v>0</v>
      </c>
      <c r="BZ501" s="11" t="n">
        <f>IF(ISNUMBER(BO501),BO501,"")</f>
        <v>0.8057375774163482</v>
      </c>
      <c r="CA501" s="14" t="n">
        <f>IF(ISNUMBER(BS501),BS501,"")</f>
        <v>30</v>
      </c>
      <c r="CB501" s="13" t="n">
        <f>IF(AND(COUNT(BV501,BZ501,CA501)=3,MIN(BV501,BZ501,CA501)&gt;=0),BV501*BZ501*CA501,"")</f>
        <v>0</v>
      </c>
      <c r="CC501" s="11" t="n">
        <f>IF(ISNUMBER(BP501),BP501,"")</f>
        <v>0.532550303142279</v>
      </c>
      <c r="CD501" s="14" t="n">
        <f>IF(ISNUMBER(BT501),BT501,"")</f>
        <v>31</v>
      </c>
      <c r="CE501" s="13" t="n">
        <f>IF(AND(COUNT(BV501,CC501,CD501)=3,MIN(BV501,CC501,CD501)&gt;=0),BV501*CC501*CD501,"")</f>
        <v>0</v>
      </c>
      <c r="CF501" s="11" t="n">
        <f>IF(ISNUMBER(BQ501),BQ501,"")</f>
        <v>0.7517299265337036</v>
      </c>
      <c r="CG501" s="14" t="n">
        <f>IF(ISNUMBER(BU501),BU501,"")</f>
        <v>17</v>
      </c>
      <c r="CH501" s="13" t="n">
        <f>IF(AND(COUNT(BV501,CF501,CG501)=3,MIN(BV501,CF501,CG501)&gt;=0),BV501*CF501*CG501,"")</f>
        <v>0</v>
      </c>
      <c r="CI501" s="13" t="n">
        <f>IF(COUNT(BY501,CB501,CE501,CH501)=4,SUM(BY501,CB501,CE501,CH501),"")</f>
        <v>0</v>
      </c>
    </row>
    <row r="502" ht="72" customHeight="1">
      <c r="A502" s="16" t="str">
        <v>1S01-LMN-39.5</v>
      </c>
      <c r="B502" s="16" t="str">
        <v>3店-SANDIEX-US</v>
      </c>
      <c r="C502" s="16" t="str">
        <v>徐新怡</v>
      </c>
      <c r="D502" s="26" t="n">
        <f>IF(NOT(ISNUMBER(E502)),"",IF(OR(E502&lt;=0,L502=0),0,IF(OR(NOT(ISNUMBER(F502)),F502&lt;0),"",MIN(E502,INT(F502)))))</f>
        <v>0</v>
      </c>
      <c r="E502" s="27" t="n">
        <f>IF(OR(NOT(ISNUMBER(L502)),COUNT(M502:O502)&lt;&gt;3,MIN(M502:O502)&lt;0),"",ROUNDUP(ROUND(BI502-SUM(M502:O502),10),0))</f>
        <v>0</v>
      </c>
      <c r="F502" s="28" t="n">
        <v>0</v>
      </c>
      <c r="G502" s="28" t="n">
        <f>IF(AND(ISNUMBER(D502),ISNUMBER(E502)),IF(OR(E502&lt;=0,L502=0),0,E502-D502),"")</f>
        <v>0</v>
      </c>
      <c r="H502" s="16" t="str">
        <f>IF(NOT(ISNUMBER(E502)),"销量或海外库存待补",IF(OR(E502&lt;=0,L502=0),IF(L502=0,"零日销，本批不发","本批无需补货"),IF(NOT(ISNUMBER(D502)),"国内库存待补",IF(D502=0,"国内无可用库存",IF(G502&gt;0,"先发国内现货","按建议量发货")))))</f>
        <v>零日销，本批不发</v>
      </c>
      <c r="I502" s="28" t="n">
        <f>IF(AND(COUNT(Z502,AA502,AB502)=3,Z502&gt;=AA502,AA502&gt;=0,AB502=7),Z502-AA502,"")</f>
        <v>0</v>
      </c>
      <c r="J502" s="28" t="n">
        <f>IF(AND(COUNT(AF502,AG502,AH502)=3,AF502&gt;=AG502,AG502&gt;=0,AH502=14),AF502-AG502,"")</f>
        <v>0</v>
      </c>
      <c r="K502" s="28" t="n">
        <f>IF(AND(COUNT(AL502,AM502,AN502)=3,AL502&gt;=AM502,AM502&gt;=0,AN502=30),AL502-AM502,"")</f>
        <v>0</v>
      </c>
      <c r="L502" s="29" t="n">
        <f>IF(ISNUMBER(BI502),BI502/90,"")</f>
        <v>0</v>
      </c>
      <c r="M502" s="28" t="n">
        <v>0</v>
      </c>
      <c r="N502" s="28" t="n">
        <v>0</v>
      </c>
      <c r="O502" s="28" t="n">
        <v>0</v>
      </c>
      <c r="P502" s="30" t="str">
        <f>IF(AND(ISNUMBER(L502),L502&gt;0,COUNT(M502:O502)=3,MIN(M502:O502)&gt;=0),SUM(M502:O502)/L502,"")</f>
      </c>
      <c r="Q502" s="16" t="str">
        <v>沿用同SPU原计划店铺</v>
      </c>
      <c r="R502" s="16" t="str">
        <v>已匹配</v>
      </c>
      <c r="S502" s="16" t="str">
        <v>停售</v>
      </c>
      <c r="T502" s="16" t="str">
        <v>1S01</v>
      </c>
      <c r="U502" s="16" t="str">
        <v>豹纹</v>
      </c>
      <c r="V502" s="16" t="n">
        <v>8.5</v>
      </c>
      <c r="W502" s="8" t="str">
        <v>2026-10-08 至 2026-10-17</v>
      </c>
      <c r="X502" s="8" t="str">
        <v>2026-10-08、2026-10-09、2026-10-10、2026-10-11、2026-10-14、2026-10-15、2026-10-17</v>
      </c>
      <c r="Y502" s="8" t="str">
        <v>2026-10-12 有记录的停售日；2026-10-13 有记录的停售日；2026-10-16 有记录的停售日</v>
      </c>
      <c r="Z502" s="8" t="n">
        <v>0</v>
      </c>
      <c r="AA502" s="8" t="n">
        <v>0</v>
      </c>
      <c r="AB502" s="8" t="n">
        <v>7</v>
      </c>
      <c r="AC502" s="8" t="str">
        <v>2026-09-29 至 2026-10-17</v>
      </c>
      <c r="AD502" s="8" t="str">
        <v>2026-09-29、2026-09-30、2026-10-01、2026-10-02、2026-10-03、2026-10-04、2026-10-05、2026-10-08、2026-10-09、2026-10-10、2026-10-11、2026-10-14、2026-10-15、2026-10-17</v>
      </c>
      <c r="AE502" s="8" t="str">
        <v>2026-10-06 大促；2026-10-07 大促；2026-10-12 有记录的停售日；2026-10-13 有记录的停售日；2026-10-16 有记录的停售日</v>
      </c>
      <c r="AF502" s="8" t="n">
        <v>0</v>
      </c>
      <c r="AG502" s="8" t="n">
        <v>0</v>
      </c>
      <c r="AH502" s="8" t="n">
        <v>14</v>
      </c>
      <c r="AI502" s="8" t="str">
        <v>2026-09-13 至 2026-10-17</v>
      </c>
      <c r="AJ5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2" s="8" t="str">
        <v>2026-10-06 大促；2026-10-07 大促；2026-10-12 有记录的停售日；2026-10-13 有记录的停售日；2026-10-16 有记录的停售日</v>
      </c>
      <c r="AL502" s="8" t="n">
        <v>0</v>
      </c>
      <c r="AM502" s="8" t="n">
        <v>0</v>
      </c>
      <c r="AN502" s="8" t="n">
        <v>30</v>
      </c>
      <c r="AO502" s="8" t="str">
        <v>1S01 / 豹纹羊京绒 / 6574</v>
      </c>
      <c r="AP502" s="11" t="n">
        <v>0.8729500662042875</v>
      </c>
      <c r="AQ502" s="11" t="n">
        <v>0.9355747145678367</v>
      </c>
      <c r="AR502" s="11" t="n">
        <v>1.135973589331194</v>
      </c>
      <c r="AS502" s="11" t="n">
        <f>IF(AND(COUNT(I502:K502,AP502:AR502)=6,MIN(AP502:AR502)&gt;0),I502/7/AP502*0.5+J502/14/AQ502*0.3+K502/30/AR502*0.2,"")</f>
        <v>0</v>
      </c>
      <c r="AT502" s="8" t="n">
        <v>0</v>
      </c>
      <c r="AU502" s="8" t="n">
        <v>0</v>
      </c>
      <c r="AV502" s="8" t="n">
        <v>85</v>
      </c>
      <c r="AW502" s="11" t="n">
        <f>IF(AND(COUNT(AT502:AV502)=3,AT502&gt;=AU502,AU502&gt;=0,AV502&gt;0),(AT502-AU502)/AV502,"")</f>
        <v>0</v>
      </c>
      <c r="AX502" s="8" t="n">
        <v>0</v>
      </c>
      <c r="AY502" s="8" t="n">
        <v>0</v>
      </c>
      <c r="AZ502" s="8" t="n">
        <v>175</v>
      </c>
      <c r="BA502" s="11" t="n">
        <f>IF(AND(COUNT(AX502:AZ502)=3,AX502&gt;=AY502,AY502&gt;=0,AZ502&gt;0),(AX502-AY502)/AZ502,"")</f>
        <v>0</v>
      </c>
      <c r="BB502" s="8" t="n">
        <f>IF(COUNT(AS502,AW502,BA502)=3,1,0)</f>
        <v>1</v>
      </c>
      <c r="BC502" s="11" t="n">
        <f>IF(SUMIF($AO$11:$AO$1309,AO502,$BB$11:$BB$1309)=COUNTIF($AO$11:$AO$1309,AO502),SUMIF($AO$11:$AO$1309,AO502,$AS$11:$AS$1309),"")</f>
        <v>2.9367051066815764</v>
      </c>
      <c r="BD502" s="11" t="n">
        <f>IF(SUMIF($AO$11:$AO$1309,AO502,$BB$11:$BB$1309)=COUNTIF($AO$11:$AO$1309,AO502),SUMIF($AO$11:$AO$1309,AO502,$AW$11:$AW$1309),"")</f>
        <v>1.6598930481283423</v>
      </c>
      <c r="BE502" s="11" t="n">
        <f>IF(SUMIF($AO$11:$AO$1309,AO502,$BB$11:$BB$1309)=COUNTIF($AO$11:$AO$1309,AO502),SUMIF($AO$11:$AO$1309,AO502,$BA$11:$BA$1309),"")</f>
        <v>1.2818619582664526</v>
      </c>
      <c r="BF502" s="12" t="n">
        <f>IF(COUNT(BD502:BE502)&lt;&gt;2,"",IF(AND(BD502&gt;0,BE502&gt;0),0.7*AW502/BD502+0.3*BA502/BE502,IF(BD502&gt;0,AW502/BD502,IF(BE502&gt;0,BA502/BE502,IF(AND(ISNUMBER(BH502),BH502=0),0,"")))))</f>
        <v>0</v>
      </c>
      <c r="BG502" s="11" t="n">
        <f>IF(AND(COUNT(BN502:BU502)=8,MIN(BN502:BU502)&gt;=0),SUMPRODUCT(BN502:BQ502,BR502:BU502),"")</f>
        <v>63.935996265425516</v>
      </c>
      <c r="BH502" s="11" t="n">
        <f>IF(COUNT(BC502,BG502)=2,BC502*BG502,"")</f>
        <v>187.7611667334493</v>
      </c>
      <c r="BI502" s="11" t="n">
        <f>IF(ISNUMBER(CI502),CI502,"")</f>
        <v>0</v>
      </c>
      <c r="BJ502" s="8" t="str"/>
      <c r="BK502" s="8" t="str">
        <v>90天：2026-07-20 至 2026-10-17；180天：2026-04-21 至 2026-10-17</v>
      </c>
      <c r="BL502" s="8" t="str">
        <v>90天：2026-10-06、2026-10-07、2026-10-12、2026-10-13、2026-10-16；180天：2026-10-06、2026-10-07、2026-10-12、2026-10-13、2026-10-16</v>
      </c>
      <c r="BM502" s="8" t="str">
        <v>2026-10：12天 × 0.8729500662042875；2026-11：30天 × 0.8057375774163482；2026-12：31天 × 0.532550303142279；2027-01：17天 × 0.7517299265337036</v>
      </c>
      <c r="BN502" s="11" t="n">
        <v>0.8729500662042875</v>
      </c>
      <c r="BO502" s="11" t="n">
        <v>0.8057375774163482</v>
      </c>
      <c r="BP502" s="11" t="n">
        <v>0.532550303142279</v>
      </c>
      <c r="BQ502" s="11" t="n">
        <v>0.7517299265337036</v>
      </c>
      <c r="BR502" s="8" t="n">
        <v>12</v>
      </c>
      <c r="BS502" s="8" t="n">
        <v>30</v>
      </c>
      <c r="BT502" s="8" t="n">
        <v>31</v>
      </c>
      <c r="BU502" s="8" t="n">
        <v>17</v>
      </c>
      <c r="BV502" s="11" t="n">
        <f>IF(COUNT(BC502,BF502)=2,BC502*BF502,"")</f>
        <v>0</v>
      </c>
      <c r="BW502" s="11" t="n">
        <f>IF(ISNUMBER(BN502),BN502,"")</f>
        <v>0.8729500662042875</v>
      </c>
      <c r="BX502" s="14" t="n">
        <f>IF(ISNUMBER(BR502),BR502,"")</f>
        <v>12</v>
      </c>
      <c r="BY502" s="13" t="n">
        <f>IF(AND(COUNT(BV502,BW502,BX502)=3,MIN(BV502,BW502,BX502)&gt;=0),BV502*BW502*BX502,"")</f>
        <v>0</v>
      </c>
      <c r="BZ502" s="11" t="n">
        <f>IF(ISNUMBER(BO502),BO502,"")</f>
        <v>0.8057375774163482</v>
      </c>
      <c r="CA502" s="14" t="n">
        <f>IF(ISNUMBER(BS502),BS502,"")</f>
        <v>30</v>
      </c>
      <c r="CB502" s="13" t="n">
        <f>IF(AND(COUNT(BV502,BZ502,CA502)=3,MIN(BV502,BZ502,CA502)&gt;=0),BV502*BZ502*CA502,"")</f>
        <v>0</v>
      </c>
      <c r="CC502" s="11" t="n">
        <f>IF(ISNUMBER(BP502),BP502,"")</f>
        <v>0.532550303142279</v>
      </c>
      <c r="CD502" s="14" t="n">
        <f>IF(ISNUMBER(BT502),BT502,"")</f>
        <v>31</v>
      </c>
      <c r="CE502" s="13" t="n">
        <f>IF(AND(COUNT(BV502,CC502,CD502)=3,MIN(BV502,CC502,CD502)&gt;=0),BV502*CC502*CD502,"")</f>
        <v>0</v>
      </c>
      <c r="CF502" s="11" t="n">
        <f>IF(ISNUMBER(BQ502),BQ502,"")</f>
        <v>0.7517299265337036</v>
      </c>
      <c r="CG502" s="14" t="n">
        <f>IF(ISNUMBER(BU502),BU502,"")</f>
        <v>17</v>
      </c>
      <c r="CH502" s="13" t="n">
        <f>IF(AND(COUNT(BV502,CF502,CG502)=3,MIN(BV502,CF502,CG502)&gt;=0),BV502*CF502*CG502,"")</f>
        <v>0</v>
      </c>
      <c r="CI502" s="13" t="n">
        <f>IF(COUNT(BY502,CB502,CE502,CH502)=4,SUM(BY502,CB502,CE502,CH502),"")</f>
        <v>0</v>
      </c>
    </row>
    <row r="503" ht="72" customHeight="1">
      <c r="A503" s="16" t="str">
        <v>1S01-LMN-40.5</v>
      </c>
      <c r="B503" s="16" t="str">
        <v>3店-SANDIEX-US</v>
      </c>
      <c r="C503" s="16" t="str">
        <v>徐新怡</v>
      </c>
      <c r="D503" s="26" t="n">
        <f>IF(NOT(ISNUMBER(E503)),"",IF(OR(E503&lt;=0,L503=0),0,IF(OR(NOT(ISNUMBER(F503)),F503&lt;0),"",MIN(E503,INT(F503)))))</f>
        <v>0</v>
      </c>
      <c r="E503" s="27" t="n">
        <f>IF(OR(NOT(ISNUMBER(L503)),COUNT(M503:O503)&lt;&gt;3,MIN(M503:O503)&lt;0),"",ROUNDUP(ROUND(BI503-SUM(M503:O503),10),0))</f>
        <v>0</v>
      </c>
      <c r="F503" s="28" t="n">
        <v>0</v>
      </c>
      <c r="G503" s="28" t="n">
        <f>IF(AND(ISNUMBER(D503),ISNUMBER(E503)),IF(OR(E503&lt;=0,L503=0),0,E503-D503),"")</f>
        <v>0</v>
      </c>
      <c r="H503" s="16" t="str">
        <f>IF(NOT(ISNUMBER(E503)),"销量或海外库存待补",IF(OR(E503&lt;=0,L503=0),IF(L503=0,"零日销，本批不发","本批无需补货"),IF(NOT(ISNUMBER(D503)),"国内库存待补",IF(D503=0,"国内无可用库存",IF(G503&gt;0,"先发国内现货","按建议量发货")))))</f>
        <v>零日销，本批不发</v>
      </c>
      <c r="I503" s="28" t="n">
        <f>IF(AND(COUNT(Z503,AA503,AB503)=3,Z503&gt;=AA503,AA503&gt;=0,AB503=7),Z503-AA503,"")</f>
        <v>0</v>
      </c>
      <c r="J503" s="28" t="n">
        <f>IF(AND(COUNT(AF503,AG503,AH503)=3,AF503&gt;=AG503,AG503&gt;=0,AH503=14),AF503-AG503,"")</f>
        <v>0</v>
      </c>
      <c r="K503" s="28" t="n">
        <f>IF(AND(COUNT(AL503,AM503,AN503)=3,AL503&gt;=AM503,AM503&gt;=0,AN503=30),AL503-AM503,"")</f>
        <v>0</v>
      </c>
      <c r="L503" s="29" t="n">
        <f>IF(ISNUMBER(BI503),BI503/90,"")</f>
        <v>0</v>
      </c>
      <c r="M503" s="28" t="n">
        <v>0</v>
      </c>
      <c r="N503" s="28" t="n">
        <v>0</v>
      </c>
      <c r="O503" s="28" t="n">
        <v>0</v>
      </c>
      <c r="P503" s="30" t="str">
        <f>IF(AND(ISNUMBER(L503),L503&gt;0,COUNT(M503:O503)=3,MIN(M503:O503)&gt;=0),SUM(M503:O503)/L503,"")</f>
      </c>
      <c r="Q503" s="16" t="str">
        <v>沿用同SPU原计划店铺</v>
      </c>
      <c r="R503" s="16" t="str">
        <v>已匹配</v>
      </c>
      <c r="S503" s="16" t="str">
        <v>停售</v>
      </c>
      <c r="T503" s="16" t="str">
        <v>1S01</v>
      </c>
      <c r="U503" s="16" t="str">
        <v>豹纹</v>
      </c>
      <c r="V503" s="16" t="n">
        <v>9.5</v>
      </c>
      <c r="W503" s="8" t="str">
        <v>2026-10-08 至 2026-10-17</v>
      </c>
      <c r="X503" s="8" t="str">
        <v>2026-10-08、2026-10-09、2026-10-10、2026-10-11、2026-10-14、2026-10-15、2026-10-17</v>
      </c>
      <c r="Y503" s="8" t="str">
        <v>2026-10-12 有记录的停售日；2026-10-13 有记录的停售日；2026-10-16 有记录的停售日</v>
      </c>
      <c r="Z503" s="8" t="n">
        <v>0</v>
      </c>
      <c r="AA503" s="8" t="n">
        <v>0</v>
      </c>
      <c r="AB503" s="8" t="n">
        <v>7</v>
      </c>
      <c r="AC503" s="8" t="str">
        <v>2026-09-29 至 2026-10-17</v>
      </c>
      <c r="AD503" s="8" t="str">
        <v>2026-09-29、2026-09-30、2026-10-01、2026-10-02、2026-10-03、2026-10-04、2026-10-05、2026-10-08、2026-10-09、2026-10-10、2026-10-11、2026-10-14、2026-10-15、2026-10-17</v>
      </c>
      <c r="AE503" s="8" t="str">
        <v>2026-10-06 大促；2026-10-07 大促；2026-10-12 有记录的停售日；2026-10-13 有记录的停售日；2026-10-16 有记录的停售日</v>
      </c>
      <c r="AF503" s="8" t="n">
        <v>0</v>
      </c>
      <c r="AG503" s="8" t="n">
        <v>0</v>
      </c>
      <c r="AH503" s="8" t="n">
        <v>14</v>
      </c>
      <c r="AI503" s="8" t="str">
        <v>2026-09-13 至 2026-10-17</v>
      </c>
      <c r="AJ50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3" s="8" t="str">
        <v>2026-10-06 大促；2026-10-07 大促；2026-10-12 有记录的停售日；2026-10-13 有记录的停售日；2026-10-16 有记录的停售日</v>
      </c>
      <c r="AL503" s="8" t="n">
        <v>0</v>
      </c>
      <c r="AM503" s="8" t="n">
        <v>0</v>
      </c>
      <c r="AN503" s="8" t="n">
        <v>30</v>
      </c>
      <c r="AO503" s="8" t="str">
        <v>1S01 / 豹纹羊京绒 / 6574</v>
      </c>
      <c r="AP503" s="11" t="n">
        <v>0.8729500662042875</v>
      </c>
      <c r="AQ503" s="11" t="n">
        <v>0.9355747145678367</v>
      </c>
      <c r="AR503" s="11" t="n">
        <v>1.135973589331194</v>
      </c>
      <c r="AS503" s="11" t="n">
        <f>IF(AND(COUNT(I503:K503,AP503:AR503)=6,MIN(AP503:AR503)&gt;0),I503/7/AP503*0.5+J503/14/AQ503*0.3+K503/30/AR503*0.2,"")</f>
        <v>0</v>
      </c>
      <c r="AT503" s="8" t="n">
        <v>0</v>
      </c>
      <c r="AU503" s="8" t="n">
        <v>0</v>
      </c>
      <c r="AV503" s="8" t="n">
        <v>85</v>
      </c>
      <c r="AW503" s="11" t="n">
        <f>IF(AND(COUNT(AT503:AV503)=3,AT503&gt;=AU503,AU503&gt;=0,AV503&gt;0),(AT503-AU503)/AV503,"")</f>
        <v>0</v>
      </c>
      <c r="AX503" s="8" t="n">
        <v>0</v>
      </c>
      <c r="AY503" s="8" t="n">
        <v>0</v>
      </c>
      <c r="AZ503" s="8" t="n">
        <v>175</v>
      </c>
      <c r="BA503" s="11" t="n">
        <f>IF(AND(COUNT(AX503:AZ503)=3,AX503&gt;=AY503,AY503&gt;=0,AZ503&gt;0),(AX503-AY503)/AZ503,"")</f>
        <v>0</v>
      </c>
      <c r="BB503" s="8" t="n">
        <f>IF(COUNT(AS503,AW503,BA503)=3,1,0)</f>
        <v>1</v>
      </c>
      <c r="BC503" s="11" t="n">
        <f>IF(SUMIF($AO$11:$AO$1309,AO503,$BB$11:$BB$1309)=COUNTIF($AO$11:$AO$1309,AO503),SUMIF($AO$11:$AO$1309,AO503,$AS$11:$AS$1309),"")</f>
        <v>2.9367051066815764</v>
      </c>
      <c r="BD503" s="11" t="n">
        <f>IF(SUMIF($AO$11:$AO$1309,AO503,$BB$11:$BB$1309)=COUNTIF($AO$11:$AO$1309,AO503),SUMIF($AO$11:$AO$1309,AO503,$AW$11:$AW$1309),"")</f>
        <v>1.6598930481283423</v>
      </c>
      <c r="BE503" s="11" t="n">
        <f>IF(SUMIF($AO$11:$AO$1309,AO503,$BB$11:$BB$1309)=COUNTIF($AO$11:$AO$1309,AO503),SUMIF($AO$11:$AO$1309,AO503,$BA$11:$BA$1309),"")</f>
        <v>1.2818619582664526</v>
      </c>
      <c r="BF503" s="12" t="n">
        <f>IF(COUNT(BD503:BE503)&lt;&gt;2,"",IF(AND(BD503&gt;0,BE503&gt;0),0.7*AW503/BD503+0.3*BA503/BE503,IF(BD503&gt;0,AW503/BD503,IF(BE503&gt;0,BA503/BE503,IF(AND(ISNUMBER(BH503),BH503=0),0,"")))))</f>
        <v>0</v>
      </c>
      <c r="BG503" s="11" t="n">
        <f>IF(AND(COUNT(BN503:BU503)=8,MIN(BN503:BU503)&gt;=0),SUMPRODUCT(BN503:BQ503,BR503:BU503),"")</f>
        <v>63.935996265425516</v>
      </c>
      <c r="BH503" s="11" t="n">
        <f>IF(COUNT(BC503,BG503)=2,BC503*BG503,"")</f>
        <v>187.7611667334493</v>
      </c>
      <c r="BI503" s="11" t="n">
        <f>IF(ISNUMBER(CI503),CI503,"")</f>
        <v>0</v>
      </c>
      <c r="BJ503" s="8" t="str"/>
      <c r="BK503" s="8" t="str">
        <v>90天：2026-07-20 至 2026-10-17；180天：2026-04-21 至 2026-10-17</v>
      </c>
      <c r="BL503" s="8" t="str">
        <v>90天：2026-10-06、2026-10-07、2026-10-12、2026-10-13、2026-10-16；180天：2026-10-06、2026-10-07、2026-10-12、2026-10-13、2026-10-16</v>
      </c>
      <c r="BM503" s="8" t="str">
        <v>2026-10：12天 × 0.8729500662042875；2026-11：30天 × 0.8057375774163482；2026-12：31天 × 0.532550303142279；2027-01：17天 × 0.7517299265337036</v>
      </c>
      <c r="BN503" s="11" t="n">
        <v>0.8729500662042875</v>
      </c>
      <c r="BO503" s="11" t="n">
        <v>0.8057375774163482</v>
      </c>
      <c r="BP503" s="11" t="n">
        <v>0.532550303142279</v>
      </c>
      <c r="BQ503" s="11" t="n">
        <v>0.7517299265337036</v>
      </c>
      <c r="BR503" s="8" t="n">
        <v>12</v>
      </c>
      <c r="BS503" s="8" t="n">
        <v>30</v>
      </c>
      <c r="BT503" s="8" t="n">
        <v>31</v>
      </c>
      <c r="BU503" s="8" t="n">
        <v>17</v>
      </c>
      <c r="BV503" s="11" t="n">
        <f>IF(COUNT(BC503,BF503)=2,BC503*BF503,"")</f>
        <v>0</v>
      </c>
      <c r="BW503" s="11" t="n">
        <f>IF(ISNUMBER(BN503),BN503,"")</f>
        <v>0.8729500662042875</v>
      </c>
      <c r="BX503" s="14" t="n">
        <f>IF(ISNUMBER(BR503),BR503,"")</f>
        <v>12</v>
      </c>
      <c r="BY503" s="13" t="n">
        <f>IF(AND(COUNT(BV503,BW503,BX503)=3,MIN(BV503,BW503,BX503)&gt;=0),BV503*BW503*BX503,"")</f>
        <v>0</v>
      </c>
      <c r="BZ503" s="11" t="n">
        <f>IF(ISNUMBER(BO503),BO503,"")</f>
        <v>0.8057375774163482</v>
      </c>
      <c r="CA503" s="14" t="n">
        <f>IF(ISNUMBER(BS503),BS503,"")</f>
        <v>30</v>
      </c>
      <c r="CB503" s="13" t="n">
        <f>IF(AND(COUNT(BV503,BZ503,CA503)=3,MIN(BV503,BZ503,CA503)&gt;=0),BV503*BZ503*CA503,"")</f>
        <v>0</v>
      </c>
      <c r="CC503" s="11" t="n">
        <f>IF(ISNUMBER(BP503),BP503,"")</f>
        <v>0.532550303142279</v>
      </c>
      <c r="CD503" s="14" t="n">
        <f>IF(ISNUMBER(BT503),BT503,"")</f>
        <v>31</v>
      </c>
      <c r="CE503" s="13" t="n">
        <f>IF(AND(COUNT(BV503,CC503,CD503)=3,MIN(BV503,CC503,CD503)&gt;=0),BV503*CC503*CD503,"")</f>
        <v>0</v>
      </c>
      <c r="CF503" s="11" t="n">
        <f>IF(ISNUMBER(BQ503),BQ503,"")</f>
        <v>0.7517299265337036</v>
      </c>
      <c r="CG503" s="14" t="n">
        <f>IF(ISNUMBER(BU503),BU503,"")</f>
        <v>17</v>
      </c>
      <c r="CH503" s="13" t="n">
        <f>IF(AND(COUNT(BV503,CF503,CG503)=3,MIN(BV503,CF503,CG503)&gt;=0),BV503*CF503*CG503,"")</f>
        <v>0</v>
      </c>
      <c r="CI503" s="13" t="n">
        <f>IF(COUNT(BY503,CB503,CE503,CH503)=4,SUM(BY503,CB503,CE503,CH503),"")</f>
        <v>0</v>
      </c>
    </row>
    <row r="504" ht="72" customHeight="1">
      <c r="A504" s="16" t="str">
        <v>1S01-LP-36</v>
      </c>
      <c r="B504" s="16" t="str">
        <v>3店-SANDIEX-US</v>
      </c>
      <c r="C504" s="16" t="str">
        <v>徐新怡</v>
      </c>
      <c r="D504" s="26" t="n">
        <f>IF(NOT(ISNUMBER(E504)),"",IF(OR(E504&lt;=0,L504=0),0,IF(OR(NOT(ISNUMBER(F504)),F504&lt;0),"",MIN(E504,INT(F504)))))</f>
        <v>0</v>
      </c>
      <c r="E504" s="27" t="n">
        <f>IF(OR(NOT(ISNUMBER(L504)),COUNT(M504:O504)&lt;&gt;3,MIN(M504:O504)&lt;0),"",ROUNDUP(ROUND(BI504-SUM(M504:O504),10),0))</f>
        <v>0</v>
      </c>
      <c r="F504" s="28"/>
      <c r="G504" s="28" t="n">
        <f>IF(AND(ISNUMBER(D504),ISNUMBER(E504)),IF(OR(E504&lt;=0,L504=0),0,E504-D504),"")</f>
        <v>0</v>
      </c>
      <c r="H504" s="16" t="str">
        <f>IF(NOT(ISNUMBER(E504)),"销量或海外库存待补",IF(OR(E504&lt;=0,L504=0),IF(L504=0,"零日销，本批不发","本批无需补货"),IF(NOT(ISNUMBER(D504)),"国内库存待补",IF(D504=0,"国内无可用库存",IF(G504&gt;0,"先发国内现货","按建议量发货")))))</f>
        <v>零日销，本批不发</v>
      </c>
      <c r="I504" s="28" t="n">
        <f>IF(AND(COUNT(Z504,AA504,AB504)=3,Z504&gt;=AA504,AA504&gt;=0,AB504=7),Z504-AA504,"")</f>
        <v>0</v>
      </c>
      <c r="J504" s="28" t="n">
        <f>IF(AND(COUNT(AF504,AG504,AH504)=3,AF504&gt;=AG504,AG504&gt;=0,AH504=14),AF504-AG504,"")</f>
        <v>0</v>
      </c>
      <c r="K504" s="28" t="n">
        <f>IF(AND(COUNT(AL504,AM504,AN504)=3,AL504&gt;=AM504,AM504&gt;=0,AN504=30),AL504-AM504,"")</f>
        <v>0</v>
      </c>
      <c r="L504" s="29" t="n">
        <f>IF(ISNUMBER(BI504),BI504/90,"")</f>
        <v>0</v>
      </c>
      <c r="M504" s="28" t="n">
        <v>0</v>
      </c>
      <c r="N504" s="28" t="n">
        <v>0</v>
      </c>
      <c r="O504" s="28" t="n">
        <v>0</v>
      </c>
      <c r="P504" s="30" t="str">
        <f>IF(AND(ISNUMBER(L504),L504&gt;0,COUNT(M504:O504)=3,MIN(M504:O504)&gt;=0),SUM(M504:O504)/L504,"")</f>
      </c>
      <c r="Q504" s="16" t="str">
        <v>沿用同SPU原计划店铺</v>
      </c>
      <c r="R504" s="16" t="str">
        <v>未匹配</v>
      </c>
      <c r="S504" s="16" t="str">
        <v>停售</v>
      </c>
      <c r="T504" s="16" t="str">
        <v>1S01</v>
      </c>
      <c r="U504" s="16" t="str">
        <v>香芋紫</v>
      </c>
      <c r="V504" s="16" t="n">
        <v>5</v>
      </c>
      <c r="W504" s="8" t="str">
        <v>2026-10-08 至 2026-10-17</v>
      </c>
      <c r="X504" s="8" t="str">
        <v>2026-10-08、2026-10-09、2026-10-10、2026-10-11、2026-10-14、2026-10-15、2026-10-17</v>
      </c>
      <c r="Y504" s="8" t="str">
        <v>2026-10-12 有记录的停售日；2026-10-13 有记录的停售日；2026-10-16 有记录的停售日</v>
      </c>
      <c r="Z504" s="8" t="n">
        <v>0</v>
      </c>
      <c r="AA504" s="8" t="n">
        <v>0</v>
      </c>
      <c r="AB504" s="8" t="n">
        <v>7</v>
      </c>
      <c r="AC504" s="8" t="str">
        <v>2026-09-29 至 2026-10-17</v>
      </c>
      <c r="AD504" s="8" t="str">
        <v>2026-09-29、2026-09-30、2026-10-01、2026-10-02、2026-10-03、2026-10-04、2026-10-05、2026-10-08、2026-10-09、2026-10-10、2026-10-11、2026-10-14、2026-10-15、2026-10-17</v>
      </c>
      <c r="AE504" s="8" t="str">
        <v>2026-10-06 大促；2026-10-07 大促；2026-10-12 有记录的停售日；2026-10-13 有记录的停售日；2026-10-16 有记录的停售日</v>
      </c>
      <c r="AF504" s="8" t="n">
        <v>0</v>
      </c>
      <c r="AG504" s="8" t="n">
        <v>0</v>
      </c>
      <c r="AH504" s="8" t="n">
        <v>14</v>
      </c>
      <c r="AI504" s="8" t="str">
        <v>2026-09-13 至 2026-10-17</v>
      </c>
      <c r="AJ5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4" s="8" t="str">
        <v>2026-10-06 大促；2026-10-07 大促；2026-10-12 有记录的停售日；2026-10-13 有记录的停售日；2026-10-16 有记录的停售日</v>
      </c>
      <c r="AL504" s="8" t="n">
        <v>0</v>
      </c>
      <c r="AM504" s="8" t="n">
        <v>0</v>
      </c>
      <c r="AN504" s="8" t="n">
        <v>30</v>
      </c>
      <c r="AO504" s="8" t="str">
        <v>1S01 / 香芋紫羊京绒 / 6574</v>
      </c>
      <c r="AP504" s="11" t="n">
        <v>0.8729500662042875</v>
      </c>
      <c r="AQ504" s="11" t="n">
        <v>0.9355747145678367</v>
      </c>
      <c r="AR504" s="11" t="n">
        <v>1.135973589331194</v>
      </c>
      <c r="AS504" s="11" t="n">
        <f>IF(AND(COUNT(I504:K504,AP504:AR504)=6,MIN(AP504:AR504)&gt;0),I504/7/AP504*0.5+J504/14/AQ504*0.3+K504/30/AR504*0.2,"")</f>
        <v>0</v>
      </c>
      <c r="AT504" s="8" t="n">
        <v>0</v>
      </c>
      <c r="AU504" s="8" t="n">
        <v>0</v>
      </c>
      <c r="AV504" s="8" t="n">
        <v>85</v>
      </c>
      <c r="AW504" s="11" t="n">
        <f>IF(AND(COUNT(AT504:AV504)=3,AT504&gt;=AU504,AU504&gt;=0,AV504&gt;0),(AT504-AU504)/AV504,"")</f>
        <v>0</v>
      </c>
      <c r="AX504" s="8" t="n">
        <v>0</v>
      </c>
      <c r="AY504" s="8" t="n">
        <v>0</v>
      </c>
      <c r="AZ504" s="8" t="n">
        <v>175</v>
      </c>
      <c r="BA504" s="11" t="n">
        <f>IF(AND(COUNT(AX504:AZ504)=3,AX504&gt;=AY504,AY504&gt;=0,AZ504&gt;0),(AX504-AY504)/AZ504,"")</f>
        <v>0</v>
      </c>
      <c r="BB504" s="8" t="n">
        <f>IF(COUNT(AS504,AW504,BA504)=3,1,0)</f>
        <v>1</v>
      </c>
      <c r="BC504" s="11" t="n">
        <f>IF(SUMIF($AO$11:$AO$1309,AO504,$BB$11:$BB$1309)=COUNTIF($AO$11:$AO$1309,AO504),SUMIF($AO$11:$AO$1309,AO504,$AS$11:$AS$1309),"")</f>
        <v>0</v>
      </c>
      <c r="BD504" s="11" t="n">
        <f>IF(SUMIF($AO$11:$AO$1309,AO504,$BB$11:$BB$1309)=COUNTIF($AO$11:$AO$1309,AO504),SUMIF($AO$11:$AO$1309,AO504,$AW$11:$AW$1309),"")</f>
        <v>0.056818181818181816</v>
      </c>
      <c r="BE504" s="11" t="n">
        <f>IF(SUMIF($AO$11:$AO$1309,AO504,$BB$11:$BB$1309)=COUNTIF($AO$11:$AO$1309,AO504),SUMIF($AO$11:$AO$1309,AO504,$BA$11:$BA$1309),"")</f>
        <v>0.1016051364365971</v>
      </c>
      <c r="BF504" s="12" t="n">
        <f>IF(COUNT(BD504:BE504)&lt;&gt;2,"",IF(AND(BD504&gt;0,BE504&gt;0),0.7*AW504/BD504+0.3*BA504/BE504,IF(BD504&gt;0,AW504/BD504,IF(BE504&gt;0,BA504/BE504,IF(AND(ISNUMBER(BH504),BH504=0),0,"")))))</f>
        <v>0</v>
      </c>
      <c r="BG504" s="11" t="n">
        <f>IF(AND(COUNT(BN504:BU504)=8,MIN(BN504:BU504)&gt;=0),SUMPRODUCT(BN504:BQ504,BR504:BU504),"")</f>
        <v>63.935996265425516</v>
      </c>
      <c r="BH504" s="11" t="n">
        <f>IF(COUNT(BC504,BG504)=2,BC504*BG504,"")</f>
        <v>0</v>
      </c>
      <c r="BI504" s="11" t="n">
        <f>IF(ISNUMBER(CI504),CI504,"")</f>
        <v>0</v>
      </c>
      <c r="BJ504" s="8" t="str">
        <v>低销提醒依据不完整</v>
      </c>
      <c r="BK504" s="8" t="str">
        <v>90天：2026-07-20 至 2026-10-17；180天：2026-04-21 至 2026-10-17</v>
      </c>
      <c r="BL504" s="8" t="str">
        <v>90天：2026-10-06、2026-10-07、2026-10-12、2026-10-13、2026-10-16；180天：2026-10-06、2026-10-07、2026-10-12、2026-10-13、2026-10-16</v>
      </c>
      <c r="BM504" s="8" t="str">
        <v>2026-10：12天 × 0.8729500662042875；2026-11：30天 × 0.8057375774163482；2026-12：31天 × 0.532550303142279；2027-01：17天 × 0.7517299265337036</v>
      </c>
      <c r="BN504" s="11" t="n">
        <v>0.8729500662042875</v>
      </c>
      <c r="BO504" s="11" t="n">
        <v>0.8057375774163482</v>
      </c>
      <c r="BP504" s="11" t="n">
        <v>0.532550303142279</v>
      </c>
      <c r="BQ504" s="11" t="n">
        <v>0.7517299265337036</v>
      </c>
      <c r="BR504" s="8" t="n">
        <v>12</v>
      </c>
      <c r="BS504" s="8" t="n">
        <v>30</v>
      </c>
      <c r="BT504" s="8" t="n">
        <v>31</v>
      </c>
      <c r="BU504" s="8" t="n">
        <v>17</v>
      </c>
      <c r="BV504" s="11" t="n">
        <f>IF(COUNT(BC504,BF504)=2,BC504*BF504,"")</f>
        <v>0</v>
      </c>
      <c r="BW504" s="11" t="n">
        <f>IF(ISNUMBER(BN504),BN504,"")</f>
        <v>0.8729500662042875</v>
      </c>
      <c r="BX504" s="14" t="n">
        <f>IF(ISNUMBER(BR504),BR504,"")</f>
        <v>12</v>
      </c>
      <c r="BY504" s="13" t="n">
        <f>IF(AND(COUNT(BV504,BW504,BX504)=3,MIN(BV504,BW504,BX504)&gt;=0),BV504*BW504*BX504,"")</f>
        <v>0</v>
      </c>
      <c r="BZ504" s="11" t="n">
        <f>IF(ISNUMBER(BO504),BO504,"")</f>
        <v>0.8057375774163482</v>
      </c>
      <c r="CA504" s="14" t="n">
        <f>IF(ISNUMBER(BS504),BS504,"")</f>
        <v>30</v>
      </c>
      <c r="CB504" s="13" t="n">
        <f>IF(AND(COUNT(BV504,BZ504,CA504)=3,MIN(BV504,BZ504,CA504)&gt;=0),BV504*BZ504*CA504,"")</f>
        <v>0</v>
      </c>
      <c r="CC504" s="11" t="n">
        <f>IF(ISNUMBER(BP504),BP504,"")</f>
        <v>0.532550303142279</v>
      </c>
      <c r="CD504" s="14" t="n">
        <f>IF(ISNUMBER(BT504),BT504,"")</f>
        <v>31</v>
      </c>
      <c r="CE504" s="13" t="n">
        <f>IF(AND(COUNT(BV504,CC504,CD504)=3,MIN(BV504,CC504,CD504)&gt;=0),BV504*CC504*CD504,"")</f>
        <v>0</v>
      </c>
      <c r="CF504" s="11" t="n">
        <f>IF(ISNUMBER(BQ504),BQ504,"")</f>
        <v>0.7517299265337036</v>
      </c>
      <c r="CG504" s="14" t="n">
        <f>IF(ISNUMBER(BU504),BU504,"")</f>
        <v>17</v>
      </c>
      <c r="CH504" s="13" t="n">
        <f>IF(AND(COUNT(BV504,CF504,CG504)=3,MIN(BV504,CF504,CG504)&gt;=0),BV504*CF504*CG504,"")</f>
        <v>0</v>
      </c>
      <c r="CI504" s="13" t="n">
        <f>IF(COUNT(BY504,CB504,CE504,CH504)=4,SUM(BY504,CB504,CE504,CH504),"")</f>
        <v>0</v>
      </c>
    </row>
    <row r="505" ht="72" customHeight="1">
      <c r="A505" s="16" t="str">
        <v>1S01-LP-37</v>
      </c>
      <c r="B505" s="16" t="str">
        <v>3店-SANDIEX-US</v>
      </c>
      <c r="C505" s="16" t="str">
        <v>徐新怡</v>
      </c>
      <c r="D505" s="26" t="n">
        <f>IF(NOT(ISNUMBER(E505)),"",IF(OR(E505&lt;=0,L505=0),0,IF(OR(NOT(ISNUMBER(F505)),F505&lt;0),"",MIN(E505,INT(F505)))))</f>
        <v>0</v>
      </c>
      <c r="E505" s="27" t="n">
        <f>IF(OR(NOT(ISNUMBER(L505)),COUNT(M505:O505)&lt;&gt;3,MIN(M505:O505)&lt;0),"",ROUNDUP(ROUND(BI505-SUM(M505:O505),10),0))</f>
        <v>0</v>
      </c>
      <c r="F505" s="28" t="n">
        <v>0</v>
      </c>
      <c r="G505" s="28" t="n">
        <f>IF(AND(ISNUMBER(D505),ISNUMBER(E505)),IF(OR(E505&lt;=0,L505=0),0,E505-D505),"")</f>
        <v>0</v>
      </c>
      <c r="H505" s="16" t="str">
        <f>IF(NOT(ISNUMBER(E505)),"销量或海外库存待补",IF(OR(E505&lt;=0,L505=0),IF(L505=0,"零日销，本批不发","本批无需补货"),IF(NOT(ISNUMBER(D505)),"国内库存待补",IF(D505=0,"国内无可用库存",IF(G505&gt;0,"先发国内现货","按建议量发货")))))</f>
        <v>零日销，本批不发</v>
      </c>
      <c r="I505" s="28" t="n">
        <f>IF(AND(COUNT(Z505,AA505,AB505)=3,Z505&gt;=AA505,AA505&gt;=0,AB505=7),Z505-AA505,"")</f>
        <v>0</v>
      </c>
      <c r="J505" s="28" t="n">
        <f>IF(AND(COUNT(AF505,AG505,AH505)=3,AF505&gt;=AG505,AG505&gt;=0,AH505=14),AF505-AG505,"")</f>
        <v>0</v>
      </c>
      <c r="K505" s="28" t="n">
        <f>IF(AND(COUNT(AL505,AM505,AN505)=3,AL505&gt;=AM505,AM505&gt;=0,AN505=30),AL505-AM505,"")</f>
        <v>0</v>
      </c>
      <c r="L505" s="29" t="n">
        <f>IF(ISNUMBER(BI505),BI505/90,"")</f>
        <v>0</v>
      </c>
      <c r="M505" s="28" t="n">
        <v>0</v>
      </c>
      <c r="N505" s="28" t="n">
        <v>0</v>
      </c>
      <c r="O505" s="28" t="n">
        <v>0</v>
      </c>
      <c r="P505" s="30" t="str">
        <f>IF(AND(ISNUMBER(L505),L505&gt;0,COUNT(M505:O505)=3,MIN(M505:O505)&gt;=0),SUM(M505:O505)/L505,"")</f>
      </c>
      <c r="Q505" s="16" t="str">
        <v>沿用原计划SKU店铺</v>
      </c>
      <c r="R505" s="16" t="str">
        <v>已匹配</v>
      </c>
      <c r="S505" s="16" t="str">
        <v>停售</v>
      </c>
      <c r="T505" s="16" t="str">
        <v>1S01</v>
      </c>
      <c r="U505" s="16" t="str">
        <v>香芋紫</v>
      </c>
      <c r="V505" s="16" t="n">
        <v>6</v>
      </c>
      <c r="W505" s="8" t="str">
        <v>2026-10-08 至 2026-10-17</v>
      </c>
      <c r="X505" s="8" t="str">
        <v>2026-10-08、2026-10-09、2026-10-10、2026-10-11、2026-10-14、2026-10-15、2026-10-17</v>
      </c>
      <c r="Y505" s="8" t="str">
        <v>2026-10-12 有记录的停售日；2026-10-13 有记录的停售日；2026-10-16 有记录的停售日</v>
      </c>
      <c r="Z505" s="8" t="n">
        <v>0</v>
      </c>
      <c r="AA505" s="8" t="n">
        <v>0</v>
      </c>
      <c r="AB505" s="8" t="n">
        <v>7</v>
      </c>
      <c r="AC505" s="8" t="str">
        <v>2026-09-29 至 2026-10-17</v>
      </c>
      <c r="AD505" s="8" t="str">
        <v>2026-09-29、2026-09-30、2026-10-01、2026-10-02、2026-10-03、2026-10-04、2026-10-05、2026-10-08、2026-10-09、2026-10-10、2026-10-11、2026-10-14、2026-10-15、2026-10-17</v>
      </c>
      <c r="AE505" s="8" t="str">
        <v>2026-10-06 大促；2026-10-07 大促；2026-10-12 有记录的停售日；2026-10-13 有记录的停售日；2026-10-16 有记录的停售日</v>
      </c>
      <c r="AF505" s="8" t="n">
        <v>0</v>
      </c>
      <c r="AG505" s="8" t="n">
        <v>0</v>
      </c>
      <c r="AH505" s="8" t="n">
        <v>14</v>
      </c>
      <c r="AI505" s="8" t="str">
        <v>2026-09-13 至 2026-10-17</v>
      </c>
      <c r="AJ50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5" s="8" t="str">
        <v>2026-10-06 大促；2026-10-07 大促；2026-10-12 有记录的停售日；2026-10-13 有记录的停售日；2026-10-16 有记录的停售日</v>
      </c>
      <c r="AL505" s="8" t="n">
        <v>0</v>
      </c>
      <c r="AM505" s="8" t="n">
        <v>0</v>
      </c>
      <c r="AN505" s="8" t="n">
        <v>30</v>
      </c>
      <c r="AO505" s="8" t="str">
        <v>1S01 / 香芋紫羊京绒 / 6574</v>
      </c>
      <c r="AP505" s="11" t="n">
        <v>0.8729500662042875</v>
      </c>
      <c r="AQ505" s="11" t="n">
        <v>0.9355747145678367</v>
      </c>
      <c r="AR505" s="11" t="n">
        <v>1.135973589331194</v>
      </c>
      <c r="AS505" s="11" t="n">
        <f>IF(AND(COUNT(I505:K505,AP505:AR505)=6,MIN(AP505:AR505)&gt;0),I505/7/AP505*0.5+J505/14/AQ505*0.3+K505/30/AR505*0.2,"")</f>
        <v>0</v>
      </c>
      <c r="AT505" s="8" t="n">
        <v>0</v>
      </c>
      <c r="AU505" s="8" t="n">
        <v>0</v>
      </c>
      <c r="AV505" s="8" t="n">
        <v>85</v>
      </c>
      <c r="AW505" s="11" t="n">
        <f>IF(AND(COUNT(AT505:AV505)=3,AT505&gt;=AU505,AU505&gt;=0,AV505&gt;0),(AT505-AU505)/AV505,"")</f>
        <v>0</v>
      </c>
      <c r="AX505" s="8" t="n">
        <v>0</v>
      </c>
      <c r="AY505" s="8" t="n">
        <v>0</v>
      </c>
      <c r="AZ505" s="8" t="n">
        <v>175</v>
      </c>
      <c r="BA505" s="11" t="n">
        <f>IF(AND(COUNT(AX505:AZ505)=3,AX505&gt;=AY505,AY505&gt;=0,AZ505&gt;0),(AX505-AY505)/AZ505,"")</f>
        <v>0</v>
      </c>
      <c r="BB505" s="8" t="n">
        <f>IF(COUNT(AS505,AW505,BA505)=3,1,0)</f>
        <v>1</v>
      </c>
      <c r="BC505" s="11" t="n">
        <f>IF(SUMIF($AO$11:$AO$1309,AO505,$BB$11:$BB$1309)=COUNTIF($AO$11:$AO$1309,AO505),SUMIF($AO$11:$AO$1309,AO505,$AS$11:$AS$1309),"")</f>
        <v>0</v>
      </c>
      <c r="BD505" s="11" t="n">
        <f>IF(SUMIF($AO$11:$AO$1309,AO505,$BB$11:$BB$1309)=COUNTIF($AO$11:$AO$1309,AO505),SUMIF($AO$11:$AO$1309,AO505,$AW$11:$AW$1309),"")</f>
        <v>0.056818181818181816</v>
      </c>
      <c r="BE505" s="11" t="n">
        <f>IF(SUMIF($AO$11:$AO$1309,AO505,$BB$11:$BB$1309)=COUNTIF($AO$11:$AO$1309,AO505),SUMIF($AO$11:$AO$1309,AO505,$BA$11:$BA$1309),"")</f>
        <v>0.1016051364365971</v>
      </c>
      <c r="BF505" s="12" t="n">
        <f>IF(COUNT(BD505:BE505)&lt;&gt;2,"",IF(AND(BD505&gt;0,BE505&gt;0),0.7*AW505/BD505+0.3*BA505/BE505,IF(BD505&gt;0,AW505/BD505,IF(BE505&gt;0,BA505/BE505,IF(AND(ISNUMBER(BH505),BH505=0),0,"")))))</f>
        <v>0</v>
      </c>
      <c r="BG505" s="11" t="n">
        <f>IF(AND(COUNT(BN505:BU505)=8,MIN(BN505:BU505)&gt;=0),SUMPRODUCT(BN505:BQ505,BR505:BU505),"")</f>
        <v>63.935996265425516</v>
      </c>
      <c r="BH505" s="11" t="n">
        <f>IF(COUNT(BC505,BG505)=2,BC505*BG505,"")</f>
        <v>0</v>
      </c>
      <c r="BI505" s="11" t="n">
        <f>IF(ISNUMBER(CI505),CI505,"")</f>
        <v>0</v>
      </c>
      <c r="BJ505" s="8" t="str">
        <v>低销提醒依据不完整</v>
      </c>
      <c r="BK505" s="8" t="str">
        <v>90天：2026-07-20 至 2026-10-17；180天：2026-04-21 至 2026-10-17</v>
      </c>
      <c r="BL505" s="8" t="str">
        <v>90天：2026-10-06、2026-10-07、2026-10-12、2026-10-13、2026-10-16；180天：2026-10-06、2026-10-07、2026-10-12、2026-10-13、2026-10-16</v>
      </c>
      <c r="BM505" s="8" t="str">
        <v>2026-10：12天 × 0.8729500662042875；2026-11：30天 × 0.8057375774163482；2026-12：31天 × 0.532550303142279；2027-01：17天 × 0.7517299265337036</v>
      </c>
      <c r="BN505" s="11" t="n">
        <v>0.8729500662042875</v>
      </c>
      <c r="BO505" s="11" t="n">
        <v>0.8057375774163482</v>
      </c>
      <c r="BP505" s="11" t="n">
        <v>0.532550303142279</v>
      </c>
      <c r="BQ505" s="11" t="n">
        <v>0.7517299265337036</v>
      </c>
      <c r="BR505" s="8" t="n">
        <v>12</v>
      </c>
      <c r="BS505" s="8" t="n">
        <v>30</v>
      </c>
      <c r="BT505" s="8" t="n">
        <v>31</v>
      </c>
      <c r="BU505" s="8" t="n">
        <v>17</v>
      </c>
      <c r="BV505" s="11" t="n">
        <f>IF(COUNT(BC505,BF505)=2,BC505*BF505,"")</f>
        <v>0</v>
      </c>
      <c r="BW505" s="11" t="n">
        <f>IF(ISNUMBER(BN505),BN505,"")</f>
        <v>0.8729500662042875</v>
      </c>
      <c r="BX505" s="14" t="n">
        <f>IF(ISNUMBER(BR505),BR505,"")</f>
        <v>12</v>
      </c>
      <c r="BY505" s="13" t="n">
        <f>IF(AND(COUNT(BV505,BW505,BX505)=3,MIN(BV505,BW505,BX505)&gt;=0),BV505*BW505*BX505,"")</f>
        <v>0</v>
      </c>
      <c r="BZ505" s="11" t="n">
        <f>IF(ISNUMBER(BO505),BO505,"")</f>
        <v>0.8057375774163482</v>
      </c>
      <c r="CA505" s="14" t="n">
        <f>IF(ISNUMBER(BS505),BS505,"")</f>
        <v>30</v>
      </c>
      <c r="CB505" s="13" t="n">
        <f>IF(AND(COUNT(BV505,BZ505,CA505)=3,MIN(BV505,BZ505,CA505)&gt;=0),BV505*BZ505*CA505,"")</f>
        <v>0</v>
      </c>
      <c r="CC505" s="11" t="n">
        <f>IF(ISNUMBER(BP505),BP505,"")</f>
        <v>0.532550303142279</v>
      </c>
      <c r="CD505" s="14" t="n">
        <f>IF(ISNUMBER(BT505),BT505,"")</f>
        <v>31</v>
      </c>
      <c r="CE505" s="13" t="n">
        <f>IF(AND(COUNT(BV505,CC505,CD505)=3,MIN(BV505,CC505,CD505)&gt;=0),BV505*CC505*CD505,"")</f>
        <v>0</v>
      </c>
      <c r="CF505" s="11" t="n">
        <f>IF(ISNUMBER(BQ505),BQ505,"")</f>
        <v>0.7517299265337036</v>
      </c>
      <c r="CG505" s="14" t="n">
        <f>IF(ISNUMBER(BU505),BU505,"")</f>
        <v>17</v>
      </c>
      <c r="CH505" s="13" t="n">
        <f>IF(AND(COUNT(BV505,CF505,CG505)=3,MIN(BV505,CF505,CG505)&gt;=0),BV505*CF505*CG505,"")</f>
        <v>0</v>
      </c>
      <c r="CI505" s="13" t="n">
        <f>IF(COUNT(BY505,CB505,CE505,CH505)=4,SUM(BY505,CB505,CE505,CH505),"")</f>
        <v>0</v>
      </c>
    </row>
    <row r="506" ht="72" customHeight="1">
      <c r="A506" s="16" t="str">
        <v>1S01-LP-37.5</v>
      </c>
      <c r="B506" s="16" t="str">
        <v>3店-SANDIEX-US</v>
      </c>
      <c r="C506" s="16" t="str">
        <v>徐新怡</v>
      </c>
      <c r="D506" s="26" t="n">
        <f>IF(NOT(ISNUMBER(E506)),"",IF(OR(E506&lt;=0,L506=0),0,IF(OR(NOT(ISNUMBER(F506)),F506&lt;0),"",MIN(E506,INT(F506)))))</f>
        <v>0</v>
      </c>
      <c r="E506" s="27" t="n">
        <f>IF(OR(NOT(ISNUMBER(L506)),COUNT(M506:O506)&lt;&gt;3,MIN(M506:O506)&lt;0),"",ROUNDUP(ROUND(BI506-SUM(M506:O506),10),0))</f>
        <v>0</v>
      </c>
      <c r="F506" s="28" t="n">
        <v>0</v>
      </c>
      <c r="G506" s="28" t="n">
        <f>IF(AND(ISNUMBER(D506),ISNUMBER(E506)),IF(OR(E506&lt;=0,L506=0),0,E506-D506),"")</f>
        <v>0</v>
      </c>
      <c r="H506" s="16" t="str">
        <f>IF(NOT(ISNUMBER(E506)),"销量或海外库存待补",IF(OR(E506&lt;=0,L506=0),IF(L506=0,"零日销，本批不发","本批无需补货"),IF(NOT(ISNUMBER(D506)),"国内库存待补",IF(D506=0,"国内无可用库存",IF(G506&gt;0,"先发国内现货","按建议量发货")))))</f>
        <v>零日销，本批不发</v>
      </c>
      <c r="I506" s="28" t="n">
        <f>IF(AND(COUNT(Z506,AA506,AB506)=3,Z506&gt;=AA506,AA506&gt;=0,AB506=7),Z506-AA506,"")</f>
        <v>0</v>
      </c>
      <c r="J506" s="28" t="n">
        <f>IF(AND(COUNT(AF506,AG506,AH506)=3,AF506&gt;=AG506,AG506&gt;=0,AH506=14),AF506-AG506,"")</f>
        <v>0</v>
      </c>
      <c r="K506" s="28" t="n">
        <f>IF(AND(COUNT(AL506,AM506,AN506)=3,AL506&gt;=AM506,AM506&gt;=0,AN506=30),AL506-AM506,"")</f>
        <v>0</v>
      </c>
      <c r="L506" s="29" t="n">
        <f>IF(ISNUMBER(BI506),BI506/90,"")</f>
        <v>0</v>
      </c>
      <c r="M506" s="28" t="n">
        <v>0</v>
      </c>
      <c r="N506" s="28" t="n">
        <v>0</v>
      </c>
      <c r="O506" s="28" t="n">
        <v>0</v>
      </c>
      <c r="P506" s="30" t="str">
        <f>IF(AND(ISNUMBER(L506),L506&gt;0,COUNT(M506:O506)=3,MIN(M506:O506)&gt;=0),SUM(M506:O506)/L506,"")</f>
      </c>
      <c r="Q506" s="16" t="str">
        <v>沿用同SPU原计划店铺</v>
      </c>
      <c r="R506" s="16" t="str">
        <v>已匹配</v>
      </c>
      <c r="S506" s="16" t="str">
        <v>停售</v>
      </c>
      <c r="T506" s="16" t="str">
        <v>1S01</v>
      </c>
      <c r="U506" s="16" t="str">
        <v>香芋紫</v>
      </c>
      <c r="V506" s="16" t="n">
        <v>6.5</v>
      </c>
      <c r="W506" s="8" t="str">
        <v>2026-10-08 至 2026-10-17</v>
      </c>
      <c r="X506" s="8" t="str">
        <v>2026-10-08、2026-10-09、2026-10-10、2026-10-11、2026-10-14、2026-10-15、2026-10-17</v>
      </c>
      <c r="Y506" s="8" t="str">
        <v>2026-10-12 有记录的停售日；2026-10-13 有记录的停售日；2026-10-16 有记录的停售日</v>
      </c>
      <c r="Z506" s="8" t="n">
        <v>0</v>
      </c>
      <c r="AA506" s="8" t="n">
        <v>0</v>
      </c>
      <c r="AB506" s="8" t="n">
        <v>7</v>
      </c>
      <c r="AC506" s="8" t="str">
        <v>2026-09-29 至 2026-10-17</v>
      </c>
      <c r="AD506" s="8" t="str">
        <v>2026-09-29、2026-09-30、2026-10-01、2026-10-02、2026-10-03、2026-10-04、2026-10-05、2026-10-08、2026-10-09、2026-10-10、2026-10-11、2026-10-14、2026-10-15、2026-10-17</v>
      </c>
      <c r="AE506" s="8" t="str">
        <v>2026-10-06 大促；2026-10-07 大促；2026-10-12 有记录的停售日；2026-10-13 有记录的停售日；2026-10-16 有记录的停售日</v>
      </c>
      <c r="AF506" s="8" t="n">
        <v>0</v>
      </c>
      <c r="AG506" s="8" t="n">
        <v>0</v>
      </c>
      <c r="AH506" s="8" t="n">
        <v>14</v>
      </c>
      <c r="AI506" s="8" t="str">
        <v>2026-09-13 至 2026-10-17</v>
      </c>
      <c r="AJ50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6" s="8" t="str">
        <v>2026-10-06 大促；2026-10-07 大促；2026-10-12 有记录的停售日；2026-10-13 有记录的停售日；2026-10-16 有记录的停售日</v>
      </c>
      <c r="AL506" s="8" t="n">
        <v>0</v>
      </c>
      <c r="AM506" s="8" t="n">
        <v>0</v>
      </c>
      <c r="AN506" s="8" t="n">
        <v>30</v>
      </c>
      <c r="AO506" s="8" t="str">
        <v>1S01 / 香芋紫羊京绒 / 6574</v>
      </c>
      <c r="AP506" s="11" t="n">
        <v>0.8729500662042875</v>
      </c>
      <c r="AQ506" s="11" t="n">
        <v>0.9355747145678367</v>
      </c>
      <c r="AR506" s="11" t="n">
        <v>1.135973589331194</v>
      </c>
      <c r="AS506" s="11" t="n">
        <f>IF(AND(COUNT(I506:K506,AP506:AR506)=6,MIN(AP506:AR506)&gt;0),I506/7/AP506*0.5+J506/14/AQ506*0.3+K506/30/AR506*0.2,"")</f>
        <v>0</v>
      </c>
      <c r="AT506" s="8" t="n">
        <v>0</v>
      </c>
      <c r="AU506" s="8" t="n">
        <v>0</v>
      </c>
      <c r="AV506" s="8" t="n">
        <v>85</v>
      </c>
      <c r="AW506" s="11" t="n">
        <f>IF(AND(COUNT(AT506:AV506)=3,AT506&gt;=AU506,AU506&gt;=0,AV506&gt;0),(AT506-AU506)/AV506,"")</f>
        <v>0</v>
      </c>
      <c r="AX506" s="8" t="n">
        <v>0</v>
      </c>
      <c r="AY506" s="8" t="n">
        <v>0</v>
      </c>
      <c r="AZ506" s="8" t="n">
        <v>175</v>
      </c>
      <c r="BA506" s="11" t="n">
        <f>IF(AND(COUNT(AX506:AZ506)=3,AX506&gt;=AY506,AY506&gt;=0,AZ506&gt;0),(AX506-AY506)/AZ506,"")</f>
        <v>0</v>
      </c>
      <c r="BB506" s="8" t="n">
        <f>IF(COUNT(AS506,AW506,BA506)=3,1,0)</f>
        <v>1</v>
      </c>
      <c r="BC506" s="11" t="n">
        <f>IF(SUMIF($AO$11:$AO$1309,AO506,$BB$11:$BB$1309)=COUNTIF($AO$11:$AO$1309,AO506),SUMIF($AO$11:$AO$1309,AO506,$AS$11:$AS$1309),"")</f>
        <v>0</v>
      </c>
      <c r="BD506" s="11" t="n">
        <f>IF(SUMIF($AO$11:$AO$1309,AO506,$BB$11:$BB$1309)=COUNTIF($AO$11:$AO$1309,AO506),SUMIF($AO$11:$AO$1309,AO506,$AW$11:$AW$1309),"")</f>
        <v>0.056818181818181816</v>
      </c>
      <c r="BE506" s="11" t="n">
        <f>IF(SUMIF($AO$11:$AO$1309,AO506,$BB$11:$BB$1309)=COUNTIF($AO$11:$AO$1309,AO506),SUMIF($AO$11:$AO$1309,AO506,$BA$11:$BA$1309),"")</f>
        <v>0.1016051364365971</v>
      </c>
      <c r="BF506" s="12" t="n">
        <f>IF(COUNT(BD506:BE506)&lt;&gt;2,"",IF(AND(BD506&gt;0,BE506&gt;0),0.7*AW506/BD506+0.3*BA506/BE506,IF(BD506&gt;0,AW506/BD506,IF(BE506&gt;0,BA506/BE506,IF(AND(ISNUMBER(BH506),BH506=0),0,"")))))</f>
        <v>0</v>
      </c>
      <c r="BG506" s="11" t="n">
        <f>IF(AND(COUNT(BN506:BU506)=8,MIN(BN506:BU506)&gt;=0),SUMPRODUCT(BN506:BQ506,BR506:BU506),"")</f>
        <v>63.935996265425516</v>
      </c>
      <c r="BH506" s="11" t="n">
        <f>IF(COUNT(BC506,BG506)=2,BC506*BG506,"")</f>
        <v>0</v>
      </c>
      <c r="BI506" s="11" t="n">
        <f>IF(ISNUMBER(CI506),CI506,"")</f>
        <v>0</v>
      </c>
      <c r="BJ506" s="8" t="str">
        <v>低销提醒依据不完整</v>
      </c>
      <c r="BK506" s="8" t="str">
        <v>90天：2026-07-20 至 2026-10-17；180天：2026-04-21 至 2026-10-17</v>
      </c>
      <c r="BL506" s="8" t="str">
        <v>90天：2026-10-06、2026-10-07、2026-10-12、2026-10-13、2026-10-16；180天：2026-10-06、2026-10-07、2026-10-12、2026-10-13、2026-10-16</v>
      </c>
      <c r="BM506" s="8" t="str">
        <v>2026-10：12天 × 0.8729500662042875；2026-11：30天 × 0.8057375774163482；2026-12：31天 × 0.532550303142279；2027-01：17天 × 0.7517299265337036</v>
      </c>
      <c r="BN506" s="11" t="n">
        <v>0.8729500662042875</v>
      </c>
      <c r="BO506" s="11" t="n">
        <v>0.8057375774163482</v>
      </c>
      <c r="BP506" s="11" t="n">
        <v>0.532550303142279</v>
      </c>
      <c r="BQ506" s="11" t="n">
        <v>0.7517299265337036</v>
      </c>
      <c r="BR506" s="8" t="n">
        <v>12</v>
      </c>
      <c r="BS506" s="8" t="n">
        <v>30</v>
      </c>
      <c r="BT506" s="8" t="n">
        <v>31</v>
      </c>
      <c r="BU506" s="8" t="n">
        <v>17</v>
      </c>
      <c r="BV506" s="11" t="n">
        <f>IF(COUNT(BC506,BF506)=2,BC506*BF506,"")</f>
        <v>0</v>
      </c>
      <c r="BW506" s="11" t="n">
        <f>IF(ISNUMBER(BN506),BN506,"")</f>
        <v>0.8729500662042875</v>
      </c>
      <c r="BX506" s="14" t="n">
        <f>IF(ISNUMBER(BR506),BR506,"")</f>
        <v>12</v>
      </c>
      <c r="BY506" s="13" t="n">
        <f>IF(AND(COUNT(BV506,BW506,BX506)=3,MIN(BV506,BW506,BX506)&gt;=0),BV506*BW506*BX506,"")</f>
        <v>0</v>
      </c>
      <c r="BZ506" s="11" t="n">
        <f>IF(ISNUMBER(BO506),BO506,"")</f>
        <v>0.8057375774163482</v>
      </c>
      <c r="CA506" s="14" t="n">
        <f>IF(ISNUMBER(BS506),BS506,"")</f>
        <v>30</v>
      </c>
      <c r="CB506" s="13" t="n">
        <f>IF(AND(COUNT(BV506,BZ506,CA506)=3,MIN(BV506,BZ506,CA506)&gt;=0),BV506*BZ506*CA506,"")</f>
        <v>0</v>
      </c>
      <c r="CC506" s="11" t="n">
        <f>IF(ISNUMBER(BP506),BP506,"")</f>
        <v>0.532550303142279</v>
      </c>
      <c r="CD506" s="14" t="n">
        <f>IF(ISNUMBER(BT506),BT506,"")</f>
        <v>31</v>
      </c>
      <c r="CE506" s="13" t="n">
        <f>IF(AND(COUNT(BV506,CC506,CD506)=3,MIN(BV506,CC506,CD506)&gt;=0),BV506*CC506*CD506,"")</f>
        <v>0</v>
      </c>
      <c r="CF506" s="11" t="n">
        <f>IF(ISNUMBER(BQ506),BQ506,"")</f>
        <v>0.7517299265337036</v>
      </c>
      <c r="CG506" s="14" t="n">
        <f>IF(ISNUMBER(BU506),BU506,"")</f>
        <v>17</v>
      </c>
      <c r="CH506" s="13" t="n">
        <f>IF(AND(COUNT(BV506,CF506,CG506)=3,MIN(BV506,CF506,CG506)&gt;=0),BV506*CF506*CG506,"")</f>
        <v>0</v>
      </c>
      <c r="CI506" s="13" t="n">
        <f>IF(COUNT(BY506,CB506,CE506,CH506)=4,SUM(BY506,CB506,CE506,CH506),"")</f>
        <v>0</v>
      </c>
    </row>
    <row r="507" ht="72" customHeight="1">
      <c r="A507" s="16" t="str">
        <v>1S01-LP-38</v>
      </c>
      <c r="B507" s="16" t="str">
        <v>3店-SANDIEX-US</v>
      </c>
      <c r="C507" s="16" t="str">
        <v>徐新怡</v>
      </c>
      <c r="D507" s="26" t="n">
        <f>IF(NOT(ISNUMBER(E507)),"",IF(OR(E507&lt;=0,L507=0),0,IF(OR(NOT(ISNUMBER(F507)),F507&lt;0),"",MIN(E507,INT(F507)))))</f>
        <v>0</v>
      </c>
      <c r="E507" s="27" t="n">
        <f>IF(OR(NOT(ISNUMBER(L507)),COUNT(M507:O507)&lt;&gt;3,MIN(M507:O507)&lt;0),"",ROUNDUP(ROUND(BI507-SUM(M507:O507),10),0))</f>
        <v>0</v>
      </c>
      <c r="F507" s="28" t="n">
        <v>0</v>
      </c>
      <c r="G507" s="28" t="n">
        <f>IF(AND(ISNUMBER(D507),ISNUMBER(E507)),IF(OR(E507&lt;=0,L507=0),0,E507-D507),"")</f>
        <v>0</v>
      </c>
      <c r="H507" s="16" t="str">
        <f>IF(NOT(ISNUMBER(E507)),"销量或海外库存待补",IF(OR(E507&lt;=0,L507=0),IF(L507=0,"零日销，本批不发","本批无需补货"),IF(NOT(ISNUMBER(D507)),"国内库存待补",IF(D507=0,"国内无可用库存",IF(G507&gt;0,"先发国内现货","按建议量发货")))))</f>
        <v>零日销，本批不发</v>
      </c>
      <c r="I507" s="28" t="n">
        <f>IF(AND(COUNT(Z507,AA507,AB507)=3,Z507&gt;=AA507,AA507&gt;=0,AB507=7),Z507-AA507,"")</f>
        <v>0</v>
      </c>
      <c r="J507" s="28" t="n">
        <f>IF(AND(COUNT(AF507,AG507,AH507)=3,AF507&gt;=AG507,AG507&gt;=0,AH507=14),AF507-AG507,"")</f>
        <v>0</v>
      </c>
      <c r="K507" s="28" t="n">
        <f>IF(AND(COUNT(AL507,AM507,AN507)=3,AL507&gt;=AM507,AM507&gt;=0,AN507=30),AL507-AM507,"")</f>
        <v>0</v>
      </c>
      <c r="L507" s="29" t="n">
        <f>IF(ISNUMBER(BI507),BI507/90,"")</f>
        <v>0</v>
      </c>
      <c r="M507" s="28" t="n">
        <v>0</v>
      </c>
      <c r="N507" s="28" t="n">
        <v>0</v>
      </c>
      <c r="O507" s="28" t="n">
        <v>0</v>
      </c>
      <c r="P507" s="30" t="str">
        <f>IF(AND(ISNUMBER(L507),L507&gt;0,COUNT(M507:O507)=3,MIN(M507:O507)&gt;=0),SUM(M507:O507)/L507,"")</f>
      </c>
      <c r="Q507" s="16" t="str">
        <v>沿用原计划SKU店铺</v>
      </c>
      <c r="R507" s="16" t="str">
        <v>已匹配</v>
      </c>
      <c r="S507" s="16" t="str">
        <v>停售</v>
      </c>
      <c r="T507" s="16" t="str">
        <v>1S01</v>
      </c>
      <c r="U507" s="16" t="str">
        <v>香芋紫</v>
      </c>
      <c r="V507" s="16" t="n">
        <v>7</v>
      </c>
      <c r="W507" s="8" t="str">
        <v>2026-10-08 至 2026-10-17</v>
      </c>
      <c r="X507" s="8" t="str">
        <v>2026-10-08、2026-10-09、2026-10-10、2026-10-11、2026-10-14、2026-10-15、2026-10-17</v>
      </c>
      <c r="Y507" s="8" t="str">
        <v>2026-10-12 有记录的停售日；2026-10-13 有记录的停售日；2026-10-16 有记录的停售日</v>
      </c>
      <c r="Z507" s="8" t="n">
        <v>0</v>
      </c>
      <c r="AA507" s="8" t="n">
        <v>0</v>
      </c>
      <c r="AB507" s="8" t="n">
        <v>7</v>
      </c>
      <c r="AC507" s="8" t="str">
        <v>2026-09-29 至 2026-10-17</v>
      </c>
      <c r="AD507" s="8" t="str">
        <v>2026-09-29、2026-09-30、2026-10-01、2026-10-02、2026-10-03、2026-10-04、2026-10-05、2026-10-08、2026-10-09、2026-10-10、2026-10-11、2026-10-14、2026-10-15、2026-10-17</v>
      </c>
      <c r="AE507" s="8" t="str">
        <v>2026-10-06 大促；2026-10-07 大促；2026-10-12 有记录的停售日；2026-10-13 有记录的停售日；2026-10-16 有记录的停售日</v>
      </c>
      <c r="AF507" s="8" t="n">
        <v>0</v>
      </c>
      <c r="AG507" s="8" t="n">
        <v>0</v>
      </c>
      <c r="AH507" s="8" t="n">
        <v>14</v>
      </c>
      <c r="AI507" s="8" t="str">
        <v>2026-09-13 至 2026-10-17</v>
      </c>
      <c r="AJ50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7" s="8" t="str">
        <v>2026-10-06 大促；2026-10-07 大促；2026-10-12 有记录的停售日；2026-10-13 有记录的停售日；2026-10-16 有记录的停售日</v>
      </c>
      <c r="AL507" s="8" t="n">
        <v>0</v>
      </c>
      <c r="AM507" s="8" t="n">
        <v>0</v>
      </c>
      <c r="AN507" s="8" t="n">
        <v>30</v>
      </c>
      <c r="AO507" s="8" t="str">
        <v>1S01 / 香芋紫羊京绒 / 6574</v>
      </c>
      <c r="AP507" s="11" t="n">
        <v>0.8729500662042875</v>
      </c>
      <c r="AQ507" s="11" t="n">
        <v>0.9355747145678367</v>
      </c>
      <c r="AR507" s="11" t="n">
        <v>1.135973589331194</v>
      </c>
      <c r="AS507" s="11" t="n">
        <f>IF(AND(COUNT(I507:K507,AP507:AR507)=6,MIN(AP507:AR507)&gt;0),I507/7/AP507*0.5+J507/14/AQ507*0.3+K507/30/AR507*0.2,"")</f>
        <v>0</v>
      </c>
      <c r="AT507" s="8" t="n">
        <v>0</v>
      </c>
      <c r="AU507" s="8" t="n">
        <v>0</v>
      </c>
      <c r="AV507" s="8" t="n">
        <v>85</v>
      </c>
      <c r="AW507" s="11" t="n">
        <f>IF(AND(COUNT(AT507:AV507)=3,AT507&gt;=AU507,AU507&gt;=0,AV507&gt;0),(AT507-AU507)/AV507,"")</f>
        <v>0</v>
      </c>
      <c r="AX507" s="8" t="n">
        <v>1</v>
      </c>
      <c r="AY507" s="8" t="n">
        <v>0</v>
      </c>
      <c r="AZ507" s="8" t="n">
        <v>175</v>
      </c>
      <c r="BA507" s="11" t="n">
        <f>IF(AND(COUNT(AX507:AZ507)=3,AX507&gt;=AY507,AY507&gt;=0,AZ507&gt;0),(AX507-AY507)/AZ507,"")</f>
        <v>0.005714285714285714</v>
      </c>
      <c r="BB507" s="8" t="n">
        <f>IF(COUNT(AS507,AW507,BA507)=3,1,0)</f>
        <v>1</v>
      </c>
      <c r="BC507" s="11" t="n">
        <f>IF(SUMIF($AO$11:$AO$1309,AO507,$BB$11:$BB$1309)=COUNTIF($AO$11:$AO$1309,AO507),SUMIF($AO$11:$AO$1309,AO507,$AS$11:$AS$1309),"")</f>
        <v>0</v>
      </c>
      <c r="BD507" s="11" t="n">
        <f>IF(SUMIF($AO$11:$AO$1309,AO507,$BB$11:$BB$1309)=COUNTIF($AO$11:$AO$1309,AO507),SUMIF($AO$11:$AO$1309,AO507,$AW$11:$AW$1309),"")</f>
        <v>0.056818181818181816</v>
      </c>
      <c r="BE507" s="11" t="n">
        <f>IF(SUMIF($AO$11:$AO$1309,AO507,$BB$11:$BB$1309)=COUNTIF($AO$11:$AO$1309,AO507),SUMIF($AO$11:$AO$1309,AO507,$BA$11:$BA$1309),"")</f>
        <v>0.1016051364365971</v>
      </c>
      <c r="BF507" s="12" t="n">
        <f>IF(COUNT(BD507:BE507)&lt;&gt;2,"",IF(AND(BD507&gt;0,BE507&gt;0),0.7*AW507/BD507+0.3*BA507/BE507,IF(BD507&gt;0,AW507/BD507,IF(BE507&gt;0,BA507/BE507,IF(AND(ISNUMBER(BH507),BH507=0),0,"")))))</f>
        <v>0.016872037914691943</v>
      </c>
      <c r="BG507" s="11" t="n">
        <f>IF(AND(COUNT(BN507:BU507)=8,MIN(BN507:BU507)&gt;=0),SUMPRODUCT(BN507:BQ507,BR507:BU507),"")</f>
        <v>63.935996265425516</v>
      </c>
      <c r="BH507" s="11" t="n">
        <f>IF(COUNT(BC507,BG507)=2,BC507*BG507,"")</f>
        <v>0</v>
      </c>
      <c r="BI507" s="11" t="n">
        <f>IF(ISNUMBER(CI507),CI507,"")</f>
        <v>0</v>
      </c>
      <c r="BJ507" s="8" t="str">
        <v>低销提醒依据不完整</v>
      </c>
      <c r="BK507" s="8" t="str">
        <v>90天：2026-07-20 至 2026-10-17；180天：2026-04-21 至 2026-10-17</v>
      </c>
      <c r="BL507" s="8" t="str">
        <v>90天：2026-10-06、2026-10-07、2026-10-12、2026-10-13、2026-10-16；180天：2026-10-06、2026-10-07、2026-10-12、2026-10-13、2026-10-16</v>
      </c>
      <c r="BM507" s="8" t="str">
        <v>2026-10：12天 × 0.8729500662042875；2026-11：30天 × 0.8057375774163482；2026-12：31天 × 0.532550303142279；2027-01：17天 × 0.7517299265337036</v>
      </c>
      <c r="BN507" s="11" t="n">
        <v>0.8729500662042875</v>
      </c>
      <c r="BO507" s="11" t="n">
        <v>0.8057375774163482</v>
      </c>
      <c r="BP507" s="11" t="n">
        <v>0.532550303142279</v>
      </c>
      <c r="BQ507" s="11" t="n">
        <v>0.7517299265337036</v>
      </c>
      <c r="BR507" s="8" t="n">
        <v>12</v>
      </c>
      <c r="BS507" s="8" t="n">
        <v>30</v>
      </c>
      <c r="BT507" s="8" t="n">
        <v>31</v>
      </c>
      <c r="BU507" s="8" t="n">
        <v>17</v>
      </c>
      <c r="BV507" s="11" t="n">
        <f>IF(COUNT(BC507,BF507)=2,BC507*BF507,"")</f>
        <v>0</v>
      </c>
      <c r="BW507" s="11" t="n">
        <f>IF(ISNUMBER(BN507),BN507,"")</f>
        <v>0.8729500662042875</v>
      </c>
      <c r="BX507" s="14" t="n">
        <f>IF(ISNUMBER(BR507),BR507,"")</f>
        <v>12</v>
      </c>
      <c r="BY507" s="13" t="n">
        <f>IF(AND(COUNT(BV507,BW507,BX507)=3,MIN(BV507,BW507,BX507)&gt;=0),BV507*BW507*BX507,"")</f>
        <v>0</v>
      </c>
      <c r="BZ507" s="11" t="n">
        <f>IF(ISNUMBER(BO507),BO507,"")</f>
        <v>0.8057375774163482</v>
      </c>
      <c r="CA507" s="14" t="n">
        <f>IF(ISNUMBER(BS507),BS507,"")</f>
        <v>30</v>
      </c>
      <c r="CB507" s="13" t="n">
        <f>IF(AND(COUNT(BV507,BZ507,CA507)=3,MIN(BV507,BZ507,CA507)&gt;=0),BV507*BZ507*CA507,"")</f>
        <v>0</v>
      </c>
      <c r="CC507" s="11" t="n">
        <f>IF(ISNUMBER(BP507),BP507,"")</f>
        <v>0.532550303142279</v>
      </c>
      <c r="CD507" s="14" t="n">
        <f>IF(ISNUMBER(BT507),BT507,"")</f>
        <v>31</v>
      </c>
      <c r="CE507" s="13" t="n">
        <f>IF(AND(COUNT(BV507,CC507,CD507)=3,MIN(BV507,CC507,CD507)&gt;=0),BV507*CC507*CD507,"")</f>
        <v>0</v>
      </c>
      <c r="CF507" s="11" t="n">
        <f>IF(ISNUMBER(BQ507),BQ507,"")</f>
        <v>0.7517299265337036</v>
      </c>
      <c r="CG507" s="14" t="n">
        <f>IF(ISNUMBER(BU507),BU507,"")</f>
        <v>17</v>
      </c>
      <c r="CH507" s="13" t="n">
        <f>IF(AND(COUNT(BV507,CF507,CG507)=3,MIN(BV507,CF507,CG507)&gt;=0),BV507*CF507*CG507,"")</f>
        <v>0</v>
      </c>
      <c r="CI507" s="13" t="n">
        <f>IF(COUNT(BY507,CB507,CE507,CH507)=4,SUM(BY507,CB507,CE507,CH507),"")</f>
        <v>0</v>
      </c>
    </row>
    <row r="508" ht="72" customHeight="1">
      <c r="A508" s="16" t="str">
        <v>1S01-LP-38.5</v>
      </c>
      <c r="B508" s="16" t="str">
        <v>3店-SANDIEX-US</v>
      </c>
      <c r="C508" s="16" t="str">
        <v>徐新怡</v>
      </c>
      <c r="D508" s="26" t="n">
        <f>IF(NOT(ISNUMBER(E508)),"",IF(OR(E508&lt;=0,L508=0),0,IF(OR(NOT(ISNUMBER(F508)),F508&lt;0),"",MIN(E508,INT(F508)))))</f>
        <v>0</v>
      </c>
      <c r="E508" s="27" t="n">
        <f>IF(OR(NOT(ISNUMBER(L508)),COUNT(M508:O508)&lt;&gt;3,MIN(M508:O508)&lt;0),"",ROUNDUP(ROUND(BI508-SUM(M508:O508),10),0))</f>
        <v>0</v>
      </c>
      <c r="F508" s="28" t="n">
        <v>0</v>
      </c>
      <c r="G508" s="28" t="n">
        <f>IF(AND(ISNUMBER(D508),ISNUMBER(E508)),IF(OR(E508&lt;=0,L508=0),0,E508-D508),"")</f>
        <v>0</v>
      </c>
      <c r="H508" s="16" t="str">
        <f>IF(NOT(ISNUMBER(E508)),"销量或海外库存待补",IF(OR(E508&lt;=0,L508=0),IF(L508=0,"零日销，本批不发","本批无需补货"),IF(NOT(ISNUMBER(D508)),"国内库存待补",IF(D508=0,"国内无可用库存",IF(G508&gt;0,"先发国内现货","按建议量发货")))))</f>
        <v>零日销，本批不发</v>
      </c>
      <c r="I508" s="28" t="n">
        <f>IF(AND(COUNT(Z508,AA508,AB508)=3,Z508&gt;=AA508,AA508&gt;=0,AB508=7),Z508-AA508,"")</f>
        <v>0</v>
      </c>
      <c r="J508" s="28" t="n">
        <f>IF(AND(COUNT(AF508,AG508,AH508)=3,AF508&gt;=AG508,AG508&gt;=0,AH508=14),AF508-AG508,"")</f>
        <v>0</v>
      </c>
      <c r="K508" s="28" t="n">
        <f>IF(AND(COUNT(AL508,AM508,AN508)=3,AL508&gt;=AM508,AM508&gt;=0,AN508=30),AL508-AM508,"")</f>
        <v>0</v>
      </c>
      <c r="L508" s="29" t="n">
        <f>IF(ISNUMBER(BI508),BI508/90,"")</f>
        <v>0</v>
      </c>
      <c r="M508" s="28" t="n">
        <v>0</v>
      </c>
      <c r="N508" s="28" t="n">
        <v>0</v>
      </c>
      <c r="O508" s="28" t="n">
        <v>0</v>
      </c>
      <c r="P508" s="30" t="str">
        <f>IF(AND(ISNUMBER(L508),L508&gt;0,COUNT(M508:O508)=3,MIN(M508:O508)&gt;=0),SUM(M508:O508)/L508,"")</f>
      </c>
      <c r="Q508" s="16" t="str">
        <v>沿用同SPU原计划店铺</v>
      </c>
      <c r="R508" s="16" t="str">
        <v>已匹配</v>
      </c>
      <c r="S508" s="16" t="str">
        <v>停售</v>
      </c>
      <c r="T508" s="16" t="str">
        <v>1S01</v>
      </c>
      <c r="U508" s="16" t="str">
        <v>香芋紫</v>
      </c>
      <c r="V508" s="16" t="n">
        <v>7.5</v>
      </c>
      <c r="W508" s="8" t="str">
        <v>2026-10-08 至 2026-10-17</v>
      </c>
      <c r="X508" s="8" t="str">
        <v>2026-10-08、2026-10-09、2026-10-10、2026-10-11、2026-10-14、2026-10-15、2026-10-17</v>
      </c>
      <c r="Y508" s="8" t="str">
        <v>2026-10-12 有记录的停售日；2026-10-13 有记录的停售日；2026-10-16 有记录的停售日</v>
      </c>
      <c r="Z508" s="8" t="n">
        <v>0</v>
      </c>
      <c r="AA508" s="8" t="n">
        <v>0</v>
      </c>
      <c r="AB508" s="8" t="n">
        <v>7</v>
      </c>
      <c r="AC508" s="8" t="str">
        <v>2026-09-29 至 2026-10-17</v>
      </c>
      <c r="AD508" s="8" t="str">
        <v>2026-09-29、2026-09-30、2026-10-01、2026-10-02、2026-10-03、2026-10-04、2026-10-05、2026-10-08、2026-10-09、2026-10-10、2026-10-11、2026-10-14、2026-10-15、2026-10-17</v>
      </c>
      <c r="AE508" s="8" t="str">
        <v>2026-10-06 大促；2026-10-07 大促；2026-10-12 有记录的停售日；2026-10-13 有记录的停售日；2026-10-16 有记录的停售日</v>
      </c>
      <c r="AF508" s="8" t="n">
        <v>0</v>
      </c>
      <c r="AG508" s="8" t="n">
        <v>0</v>
      </c>
      <c r="AH508" s="8" t="n">
        <v>14</v>
      </c>
      <c r="AI508" s="8" t="str">
        <v>2026-09-13 至 2026-10-17</v>
      </c>
      <c r="AJ5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8" s="8" t="str">
        <v>2026-10-06 大促；2026-10-07 大促；2026-10-12 有记录的停售日；2026-10-13 有记录的停售日；2026-10-16 有记录的停售日</v>
      </c>
      <c r="AL508" s="8" t="n">
        <v>0</v>
      </c>
      <c r="AM508" s="8" t="n">
        <v>0</v>
      </c>
      <c r="AN508" s="8" t="n">
        <v>30</v>
      </c>
      <c r="AO508" s="8" t="str">
        <v>1S01 / 香芋紫羊京绒 / 6574</v>
      </c>
      <c r="AP508" s="11" t="n">
        <v>0.8729500662042875</v>
      </c>
      <c r="AQ508" s="11" t="n">
        <v>0.9355747145678367</v>
      </c>
      <c r="AR508" s="11" t="n">
        <v>1.135973589331194</v>
      </c>
      <c r="AS508" s="11" t="n">
        <f>IF(AND(COUNT(I508:K508,AP508:AR508)=6,MIN(AP508:AR508)&gt;0),I508/7/AP508*0.5+J508/14/AQ508*0.3+K508/30/AR508*0.2,"")</f>
        <v>0</v>
      </c>
      <c r="AT508" s="8" t="n">
        <v>0</v>
      </c>
      <c r="AU508" s="8" t="n">
        <v>0</v>
      </c>
      <c r="AV508" s="8" t="n">
        <v>85</v>
      </c>
      <c r="AW508" s="11" t="n">
        <f>IF(AND(COUNT(AT508:AV508)=3,AT508&gt;=AU508,AU508&gt;=0,AV508&gt;0),(AT508-AU508)/AV508,"")</f>
        <v>0</v>
      </c>
      <c r="AX508" s="8" t="n">
        <v>0</v>
      </c>
      <c r="AY508" s="8" t="n">
        <v>0</v>
      </c>
      <c r="AZ508" s="8" t="n">
        <v>175</v>
      </c>
      <c r="BA508" s="11" t="n">
        <f>IF(AND(COUNT(AX508:AZ508)=3,AX508&gt;=AY508,AY508&gt;=0,AZ508&gt;0),(AX508-AY508)/AZ508,"")</f>
        <v>0</v>
      </c>
      <c r="BB508" s="8" t="n">
        <f>IF(COUNT(AS508,AW508,BA508)=3,1,0)</f>
        <v>1</v>
      </c>
      <c r="BC508" s="11" t="n">
        <f>IF(SUMIF($AO$11:$AO$1309,AO508,$BB$11:$BB$1309)=COUNTIF($AO$11:$AO$1309,AO508),SUMIF($AO$11:$AO$1309,AO508,$AS$11:$AS$1309),"")</f>
        <v>0</v>
      </c>
      <c r="BD508" s="11" t="n">
        <f>IF(SUMIF($AO$11:$AO$1309,AO508,$BB$11:$BB$1309)=COUNTIF($AO$11:$AO$1309,AO508),SUMIF($AO$11:$AO$1309,AO508,$AW$11:$AW$1309),"")</f>
        <v>0.056818181818181816</v>
      </c>
      <c r="BE508" s="11" t="n">
        <f>IF(SUMIF($AO$11:$AO$1309,AO508,$BB$11:$BB$1309)=COUNTIF($AO$11:$AO$1309,AO508),SUMIF($AO$11:$AO$1309,AO508,$BA$11:$BA$1309),"")</f>
        <v>0.1016051364365971</v>
      </c>
      <c r="BF508" s="12" t="n">
        <f>IF(COUNT(BD508:BE508)&lt;&gt;2,"",IF(AND(BD508&gt;0,BE508&gt;0),0.7*AW508/BD508+0.3*BA508/BE508,IF(BD508&gt;0,AW508/BD508,IF(BE508&gt;0,BA508/BE508,IF(AND(ISNUMBER(BH508),BH508=0),0,"")))))</f>
        <v>0</v>
      </c>
      <c r="BG508" s="11" t="n">
        <f>IF(AND(COUNT(BN508:BU508)=8,MIN(BN508:BU508)&gt;=0),SUMPRODUCT(BN508:BQ508,BR508:BU508),"")</f>
        <v>63.935996265425516</v>
      </c>
      <c r="BH508" s="11" t="n">
        <f>IF(COUNT(BC508,BG508)=2,BC508*BG508,"")</f>
        <v>0</v>
      </c>
      <c r="BI508" s="11" t="n">
        <f>IF(ISNUMBER(CI508),CI508,"")</f>
        <v>0</v>
      </c>
      <c r="BJ508" s="8" t="str">
        <v>低销提醒依据不完整</v>
      </c>
      <c r="BK508" s="8" t="str">
        <v>90天：2026-07-20 至 2026-10-17；180天：2026-04-21 至 2026-10-17</v>
      </c>
      <c r="BL508" s="8" t="str">
        <v>90天：2026-10-06、2026-10-07、2026-10-12、2026-10-13、2026-10-16；180天：2026-10-06、2026-10-07、2026-10-12、2026-10-13、2026-10-16</v>
      </c>
      <c r="BM508" s="8" t="str">
        <v>2026-10：12天 × 0.8729500662042875；2026-11：30天 × 0.8057375774163482；2026-12：31天 × 0.532550303142279；2027-01：17天 × 0.7517299265337036</v>
      </c>
      <c r="BN508" s="11" t="n">
        <v>0.8729500662042875</v>
      </c>
      <c r="BO508" s="11" t="n">
        <v>0.8057375774163482</v>
      </c>
      <c r="BP508" s="11" t="n">
        <v>0.532550303142279</v>
      </c>
      <c r="BQ508" s="11" t="n">
        <v>0.7517299265337036</v>
      </c>
      <c r="BR508" s="8" t="n">
        <v>12</v>
      </c>
      <c r="BS508" s="8" t="n">
        <v>30</v>
      </c>
      <c r="BT508" s="8" t="n">
        <v>31</v>
      </c>
      <c r="BU508" s="8" t="n">
        <v>17</v>
      </c>
      <c r="BV508" s="11" t="n">
        <f>IF(COUNT(BC508,BF508)=2,BC508*BF508,"")</f>
        <v>0</v>
      </c>
      <c r="BW508" s="11" t="n">
        <f>IF(ISNUMBER(BN508),BN508,"")</f>
        <v>0.8729500662042875</v>
      </c>
      <c r="BX508" s="14" t="n">
        <f>IF(ISNUMBER(BR508),BR508,"")</f>
        <v>12</v>
      </c>
      <c r="BY508" s="13" t="n">
        <f>IF(AND(COUNT(BV508,BW508,BX508)=3,MIN(BV508,BW508,BX508)&gt;=0),BV508*BW508*BX508,"")</f>
        <v>0</v>
      </c>
      <c r="BZ508" s="11" t="n">
        <f>IF(ISNUMBER(BO508),BO508,"")</f>
        <v>0.8057375774163482</v>
      </c>
      <c r="CA508" s="14" t="n">
        <f>IF(ISNUMBER(BS508),BS508,"")</f>
        <v>30</v>
      </c>
      <c r="CB508" s="13" t="n">
        <f>IF(AND(COUNT(BV508,BZ508,CA508)=3,MIN(BV508,BZ508,CA508)&gt;=0),BV508*BZ508*CA508,"")</f>
        <v>0</v>
      </c>
      <c r="CC508" s="11" t="n">
        <f>IF(ISNUMBER(BP508),BP508,"")</f>
        <v>0.532550303142279</v>
      </c>
      <c r="CD508" s="14" t="n">
        <f>IF(ISNUMBER(BT508),BT508,"")</f>
        <v>31</v>
      </c>
      <c r="CE508" s="13" t="n">
        <f>IF(AND(COUNT(BV508,CC508,CD508)=3,MIN(BV508,CC508,CD508)&gt;=0),BV508*CC508*CD508,"")</f>
        <v>0</v>
      </c>
      <c r="CF508" s="11" t="n">
        <f>IF(ISNUMBER(BQ508),BQ508,"")</f>
        <v>0.7517299265337036</v>
      </c>
      <c r="CG508" s="14" t="n">
        <f>IF(ISNUMBER(BU508),BU508,"")</f>
        <v>17</v>
      </c>
      <c r="CH508" s="13" t="n">
        <f>IF(AND(COUNT(BV508,CF508,CG508)=3,MIN(BV508,CF508,CG508)&gt;=0),BV508*CF508*CG508,"")</f>
        <v>0</v>
      </c>
      <c r="CI508" s="13" t="n">
        <f>IF(COUNT(BY508,CB508,CE508,CH508)=4,SUM(BY508,CB508,CE508,CH508),"")</f>
        <v>0</v>
      </c>
    </row>
    <row r="509" ht="72" customHeight="1">
      <c r="A509" s="16" t="str">
        <v>1S01-LP-39</v>
      </c>
      <c r="B509" s="16" t="str">
        <v>3店-SANDIEX-US</v>
      </c>
      <c r="C509" s="16" t="str">
        <v>徐新怡</v>
      </c>
      <c r="D509" s="26" t="n">
        <f>IF(NOT(ISNUMBER(E509)),"",IF(OR(E509&lt;=0,L509=0),0,IF(OR(NOT(ISNUMBER(F509)),F509&lt;0),"",MIN(E509,INT(F509)))))</f>
        <v>0</v>
      </c>
      <c r="E509" s="27" t="n">
        <f>IF(OR(NOT(ISNUMBER(L509)),COUNT(M509:O509)&lt;&gt;3,MIN(M509:O509)&lt;0),"",ROUNDUP(ROUND(BI509-SUM(M509:O509),10),0))</f>
        <v>0</v>
      </c>
      <c r="F509" s="28" t="n">
        <v>0</v>
      </c>
      <c r="G509" s="28" t="n">
        <f>IF(AND(ISNUMBER(D509),ISNUMBER(E509)),IF(OR(E509&lt;=0,L509=0),0,E509-D509),"")</f>
        <v>0</v>
      </c>
      <c r="H509" s="16" t="str">
        <f>IF(NOT(ISNUMBER(E509)),"销量或海外库存待补",IF(OR(E509&lt;=0,L509=0),IF(L509=0,"零日销，本批不发","本批无需补货"),IF(NOT(ISNUMBER(D509)),"国内库存待补",IF(D509=0,"国内无可用库存",IF(G509&gt;0,"先发国内现货","按建议量发货")))))</f>
        <v>零日销，本批不发</v>
      </c>
      <c r="I509" s="28" t="n">
        <f>IF(AND(COUNT(Z509,AA509,AB509)=3,Z509&gt;=AA509,AA509&gt;=0,AB509=7),Z509-AA509,"")</f>
        <v>0</v>
      </c>
      <c r="J509" s="28" t="n">
        <f>IF(AND(COUNT(AF509,AG509,AH509)=3,AF509&gt;=AG509,AG509&gt;=0,AH509=14),AF509-AG509,"")</f>
        <v>0</v>
      </c>
      <c r="K509" s="28" t="n">
        <f>IF(AND(COUNT(AL509,AM509,AN509)=3,AL509&gt;=AM509,AM509&gt;=0,AN509=30),AL509-AM509,"")</f>
        <v>0</v>
      </c>
      <c r="L509" s="29" t="n">
        <f>IF(ISNUMBER(BI509),BI509/90,"")</f>
        <v>0</v>
      </c>
      <c r="M509" s="28" t="n">
        <v>0</v>
      </c>
      <c r="N509" s="28" t="n">
        <v>0</v>
      </c>
      <c r="O509" s="28" t="n">
        <v>0</v>
      </c>
      <c r="P509" s="30" t="str">
        <f>IF(AND(ISNUMBER(L509),L509&gt;0,COUNT(M509:O509)=3,MIN(M509:O509)&gt;=0),SUM(M509:O509)/L509,"")</f>
      </c>
      <c r="Q509" s="16" t="str">
        <v>沿用原计划SKU店铺</v>
      </c>
      <c r="R509" s="16" t="str">
        <v>已匹配</v>
      </c>
      <c r="S509" s="16" t="str">
        <v>停售</v>
      </c>
      <c r="T509" s="16" t="str">
        <v>1S01</v>
      </c>
      <c r="U509" s="16" t="str">
        <v>香芋紫</v>
      </c>
      <c r="V509" s="16" t="n">
        <v>8</v>
      </c>
      <c r="W509" s="8" t="str">
        <v>2026-10-08 至 2026-10-17</v>
      </c>
      <c r="X509" s="8" t="str">
        <v>2026-10-08、2026-10-09、2026-10-10、2026-10-11、2026-10-14、2026-10-15、2026-10-17</v>
      </c>
      <c r="Y509" s="8" t="str">
        <v>2026-10-12 有记录的停售日；2026-10-13 有记录的停售日；2026-10-16 有记录的停售日</v>
      </c>
      <c r="Z509" s="8" t="n">
        <v>0</v>
      </c>
      <c r="AA509" s="8" t="n">
        <v>0</v>
      </c>
      <c r="AB509" s="8" t="n">
        <v>7</v>
      </c>
      <c r="AC509" s="8" t="str">
        <v>2026-09-29 至 2026-10-17</v>
      </c>
      <c r="AD509" s="8" t="str">
        <v>2026-09-29、2026-09-30、2026-10-01、2026-10-02、2026-10-03、2026-10-04、2026-10-05、2026-10-08、2026-10-09、2026-10-10、2026-10-11、2026-10-14、2026-10-15、2026-10-17</v>
      </c>
      <c r="AE509" s="8" t="str">
        <v>2026-10-06 大促；2026-10-07 大促；2026-10-12 有记录的停售日；2026-10-13 有记录的停售日；2026-10-16 有记录的停售日</v>
      </c>
      <c r="AF509" s="8" t="n">
        <v>0</v>
      </c>
      <c r="AG509" s="8" t="n">
        <v>0</v>
      </c>
      <c r="AH509" s="8" t="n">
        <v>14</v>
      </c>
      <c r="AI509" s="8" t="str">
        <v>2026-09-13 至 2026-10-17</v>
      </c>
      <c r="AJ50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09" s="8" t="str">
        <v>2026-10-06 大促；2026-10-07 大促；2026-10-12 有记录的停售日；2026-10-13 有记录的停售日；2026-10-16 有记录的停售日</v>
      </c>
      <c r="AL509" s="8" t="n">
        <v>0</v>
      </c>
      <c r="AM509" s="8" t="n">
        <v>0</v>
      </c>
      <c r="AN509" s="8" t="n">
        <v>30</v>
      </c>
      <c r="AO509" s="8" t="str">
        <v>1S01 / 香芋紫羊京绒 / 6574</v>
      </c>
      <c r="AP509" s="11" t="n">
        <v>0.8729500662042875</v>
      </c>
      <c r="AQ509" s="11" t="n">
        <v>0.9355747145678367</v>
      </c>
      <c r="AR509" s="11" t="n">
        <v>1.135973589331194</v>
      </c>
      <c r="AS509" s="11" t="n">
        <f>IF(AND(COUNT(I509:K509,AP509:AR509)=6,MIN(AP509:AR509)&gt;0),I509/7/AP509*0.5+J509/14/AQ509*0.3+K509/30/AR509*0.2,"")</f>
        <v>0</v>
      </c>
      <c r="AT509" s="8" t="n">
        <v>0</v>
      </c>
      <c r="AU509" s="8" t="n">
        <v>0</v>
      </c>
      <c r="AV509" s="8" t="n">
        <v>85</v>
      </c>
      <c r="AW509" s="11" t="n">
        <f>IF(AND(COUNT(AT509:AV509)=3,AT509&gt;=AU509,AU509&gt;=0,AV509&gt;0),(AT509-AU509)/AV509,"")</f>
        <v>0</v>
      </c>
      <c r="AX509" s="8" t="n">
        <v>4</v>
      </c>
      <c r="AY509" s="8" t="n">
        <v>0</v>
      </c>
      <c r="AZ509" s="8" t="n">
        <v>175</v>
      </c>
      <c r="BA509" s="11" t="n">
        <f>IF(AND(COUNT(AX509:AZ509)=3,AX509&gt;=AY509,AY509&gt;=0,AZ509&gt;0),(AX509-AY509)/AZ509,"")</f>
        <v>0.022857142857142857</v>
      </c>
      <c r="BB509" s="8" t="n">
        <f>IF(COUNT(AS509,AW509,BA509)=3,1,0)</f>
        <v>1</v>
      </c>
      <c r="BC509" s="11" t="n">
        <f>IF(SUMIF($AO$11:$AO$1309,AO509,$BB$11:$BB$1309)=COUNTIF($AO$11:$AO$1309,AO509),SUMIF($AO$11:$AO$1309,AO509,$AS$11:$AS$1309),"")</f>
        <v>0</v>
      </c>
      <c r="BD509" s="11" t="n">
        <f>IF(SUMIF($AO$11:$AO$1309,AO509,$BB$11:$BB$1309)=COUNTIF($AO$11:$AO$1309,AO509),SUMIF($AO$11:$AO$1309,AO509,$AW$11:$AW$1309),"")</f>
        <v>0.056818181818181816</v>
      </c>
      <c r="BE509" s="11" t="n">
        <f>IF(SUMIF($AO$11:$AO$1309,AO509,$BB$11:$BB$1309)=COUNTIF($AO$11:$AO$1309,AO509),SUMIF($AO$11:$AO$1309,AO509,$BA$11:$BA$1309),"")</f>
        <v>0.1016051364365971</v>
      </c>
      <c r="BF509" s="12" t="n">
        <f>IF(COUNT(BD509:BE509)&lt;&gt;2,"",IF(AND(BD509&gt;0,BE509&gt;0),0.7*AW509/BD509+0.3*BA509/BE509,IF(BD509&gt;0,AW509/BD509,IF(BE509&gt;0,BA509/BE509,IF(AND(ISNUMBER(BH509),BH509=0),0,"")))))</f>
        <v>0.06748815165876777</v>
      </c>
      <c r="BG509" s="11" t="n">
        <f>IF(AND(COUNT(BN509:BU509)=8,MIN(BN509:BU509)&gt;=0),SUMPRODUCT(BN509:BQ509,BR509:BU509),"")</f>
        <v>63.935996265425516</v>
      </c>
      <c r="BH509" s="11" t="n">
        <f>IF(COUNT(BC509,BG509)=2,BC509*BG509,"")</f>
        <v>0</v>
      </c>
      <c r="BI509" s="11" t="n">
        <f>IF(ISNUMBER(CI509),CI509,"")</f>
        <v>0</v>
      </c>
      <c r="BJ509" s="8" t="str">
        <v>低销提醒依据不完整</v>
      </c>
      <c r="BK509" s="8" t="str">
        <v>90天：2026-07-20 至 2026-10-17；180天：2026-04-21 至 2026-10-17</v>
      </c>
      <c r="BL509" s="8" t="str">
        <v>90天：2026-10-06、2026-10-07、2026-10-12、2026-10-13、2026-10-16；180天：2026-10-06、2026-10-07、2026-10-12、2026-10-13、2026-10-16</v>
      </c>
      <c r="BM509" s="8" t="str">
        <v>2026-10：12天 × 0.8729500662042875；2026-11：30天 × 0.8057375774163482；2026-12：31天 × 0.532550303142279；2027-01：17天 × 0.7517299265337036</v>
      </c>
      <c r="BN509" s="11" t="n">
        <v>0.8729500662042875</v>
      </c>
      <c r="BO509" s="11" t="n">
        <v>0.8057375774163482</v>
      </c>
      <c r="BP509" s="11" t="n">
        <v>0.532550303142279</v>
      </c>
      <c r="BQ509" s="11" t="n">
        <v>0.7517299265337036</v>
      </c>
      <c r="BR509" s="8" t="n">
        <v>12</v>
      </c>
      <c r="BS509" s="8" t="n">
        <v>30</v>
      </c>
      <c r="BT509" s="8" t="n">
        <v>31</v>
      </c>
      <c r="BU509" s="8" t="n">
        <v>17</v>
      </c>
      <c r="BV509" s="11" t="n">
        <f>IF(COUNT(BC509,BF509)=2,BC509*BF509,"")</f>
        <v>0</v>
      </c>
      <c r="BW509" s="11" t="n">
        <f>IF(ISNUMBER(BN509),BN509,"")</f>
        <v>0.8729500662042875</v>
      </c>
      <c r="BX509" s="14" t="n">
        <f>IF(ISNUMBER(BR509),BR509,"")</f>
        <v>12</v>
      </c>
      <c r="BY509" s="13" t="n">
        <f>IF(AND(COUNT(BV509,BW509,BX509)=3,MIN(BV509,BW509,BX509)&gt;=0),BV509*BW509*BX509,"")</f>
        <v>0</v>
      </c>
      <c r="BZ509" s="11" t="n">
        <f>IF(ISNUMBER(BO509),BO509,"")</f>
        <v>0.8057375774163482</v>
      </c>
      <c r="CA509" s="14" t="n">
        <f>IF(ISNUMBER(BS509),BS509,"")</f>
        <v>30</v>
      </c>
      <c r="CB509" s="13" t="n">
        <f>IF(AND(COUNT(BV509,BZ509,CA509)=3,MIN(BV509,BZ509,CA509)&gt;=0),BV509*BZ509*CA509,"")</f>
        <v>0</v>
      </c>
      <c r="CC509" s="11" t="n">
        <f>IF(ISNUMBER(BP509),BP509,"")</f>
        <v>0.532550303142279</v>
      </c>
      <c r="CD509" s="14" t="n">
        <f>IF(ISNUMBER(BT509),BT509,"")</f>
        <v>31</v>
      </c>
      <c r="CE509" s="13" t="n">
        <f>IF(AND(COUNT(BV509,CC509,CD509)=3,MIN(BV509,CC509,CD509)&gt;=0),BV509*CC509*CD509,"")</f>
        <v>0</v>
      </c>
      <c r="CF509" s="11" t="n">
        <f>IF(ISNUMBER(BQ509),BQ509,"")</f>
        <v>0.7517299265337036</v>
      </c>
      <c r="CG509" s="14" t="n">
        <f>IF(ISNUMBER(BU509),BU509,"")</f>
        <v>17</v>
      </c>
      <c r="CH509" s="13" t="n">
        <f>IF(AND(COUNT(BV509,CF509,CG509)=3,MIN(BV509,CF509,CG509)&gt;=0),BV509*CF509*CG509,"")</f>
        <v>0</v>
      </c>
      <c r="CI509" s="13" t="n">
        <f>IF(COUNT(BY509,CB509,CE509,CH509)=4,SUM(BY509,CB509,CE509,CH509),"")</f>
        <v>0</v>
      </c>
    </row>
    <row r="510" ht="72" customHeight="1">
      <c r="A510" s="16" t="str">
        <v>1S01-LP-39.5</v>
      </c>
      <c r="B510" s="16" t="str">
        <v>3店-SANDIEX-US</v>
      </c>
      <c r="C510" s="16" t="str">
        <v>徐新怡</v>
      </c>
      <c r="D510" s="26" t="n">
        <f>IF(NOT(ISNUMBER(E510)),"",IF(OR(E510&lt;=0,L510=0),0,IF(OR(NOT(ISNUMBER(F510)),F510&lt;0),"",MIN(E510,INT(F510)))))</f>
        <v>0</v>
      </c>
      <c r="E510" s="27" t="n">
        <f>IF(OR(NOT(ISNUMBER(L510)),COUNT(M510:O510)&lt;&gt;3,MIN(M510:O510)&lt;0),"",ROUNDUP(ROUND(BI510-SUM(M510:O510),10),0))</f>
        <v>-9</v>
      </c>
      <c r="F510" s="28" t="n">
        <v>0</v>
      </c>
      <c r="G510" s="28" t="n">
        <f>IF(AND(ISNUMBER(D510),ISNUMBER(E510)),IF(OR(E510&lt;=0,L510=0),0,E510-D510),"")</f>
        <v>0</v>
      </c>
      <c r="H510" s="16" t="str">
        <f>IF(NOT(ISNUMBER(E510)),"销量或海外库存待补",IF(OR(E510&lt;=0,L510=0),IF(L510=0,"零日销，本批不发","本批无需补货"),IF(NOT(ISNUMBER(D510)),"国内库存待补",IF(D510=0,"国内无可用库存",IF(G510&gt;0,"先发国内现货","按建议量发货")))))</f>
        <v>零日销，本批不发</v>
      </c>
      <c r="I510" s="28" t="n">
        <f>IF(AND(COUNT(Z510,AA510,AB510)=3,Z510&gt;=AA510,AA510&gt;=0,AB510=7),Z510-AA510,"")</f>
        <v>0</v>
      </c>
      <c r="J510" s="28" t="n">
        <f>IF(AND(COUNT(AF510,AG510,AH510)=3,AF510&gt;=AG510,AG510&gt;=0,AH510=14),AF510-AG510,"")</f>
        <v>0</v>
      </c>
      <c r="K510" s="28" t="n">
        <f>IF(AND(COUNT(AL510,AM510,AN510)=3,AL510&gt;=AM510,AM510&gt;=0,AN510=30),AL510-AM510,"")</f>
        <v>0</v>
      </c>
      <c r="L510" s="29" t="n">
        <f>IF(ISNUMBER(BI510),BI510/90,"")</f>
        <v>0</v>
      </c>
      <c r="M510" s="28" t="n">
        <v>9</v>
      </c>
      <c r="N510" s="28" t="n">
        <v>0</v>
      </c>
      <c r="O510" s="28" t="n">
        <v>0</v>
      </c>
      <c r="P510" s="30" t="str">
        <f>IF(AND(ISNUMBER(L510),L510&gt;0,COUNT(M510:O510)=3,MIN(M510:O510)&gt;=0),SUM(M510:O510)/L510,"")</f>
      </c>
      <c r="Q510" s="16" t="str">
        <v>沿用原计划SKU店铺</v>
      </c>
      <c r="R510" s="16" t="str">
        <v>已匹配</v>
      </c>
      <c r="S510" s="16" t="str">
        <v>在售</v>
      </c>
      <c r="T510" s="16" t="str">
        <v>1S01</v>
      </c>
      <c r="U510" s="16" t="str">
        <v>香芋紫</v>
      </c>
      <c r="V510" s="16" t="n">
        <v>8.5</v>
      </c>
      <c r="W510" s="8" t="str">
        <v>2026-10-11 至 2026-10-17</v>
      </c>
      <c r="X510" s="8" t="str">
        <v>2026-10-11、2026-10-12、2026-10-13、2026-10-14、2026-10-15、2026-10-16、2026-10-17</v>
      </c>
      <c r="Y510" s="8" t="str">
        <v>无</v>
      </c>
      <c r="Z510" s="8" t="n">
        <v>0</v>
      </c>
      <c r="AA510" s="8" t="n">
        <v>0</v>
      </c>
      <c r="AB510" s="8" t="n">
        <v>7</v>
      </c>
      <c r="AC510" s="8" t="str">
        <v>2026-10-02 至 2026-10-17</v>
      </c>
      <c r="AD510" s="8" t="str">
        <v>2026-10-02、2026-10-03、2026-10-04、2026-10-05、2026-10-08、2026-10-09、2026-10-10、2026-10-11、2026-10-12、2026-10-13、2026-10-14、2026-10-15、2026-10-16、2026-10-17</v>
      </c>
      <c r="AE510" s="8" t="str">
        <v>2026-10-06 大促；2026-10-07 大促</v>
      </c>
      <c r="AF510" s="8" t="n">
        <v>0</v>
      </c>
      <c r="AG510" s="8" t="n">
        <v>0</v>
      </c>
      <c r="AH510" s="8" t="n">
        <v>14</v>
      </c>
      <c r="AI510" s="8" t="str">
        <v>2026-09-16 至 2026-10-17</v>
      </c>
      <c r="AJ5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10" s="8" t="str">
        <v>2026-10-06 大促；2026-10-07 大促</v>
      </c>
      <c r="AL510" s="8" t="n">
        <v>0</v>
      </c>
      <c r="AM510" s="8" t="n">
        <v>0</v>
      </c>
      <c r="AN510" s="8" t="n">
        <v>30</v>
      </c>
      <c r="AO510" s="8" t="str">
        <v>1S01 / 香芋紫羊京绒 / 6574</v>
      </c>
      <c r="AP510" s="11" t="n">
        <v>0.8729500662042875</v>
      </c>
      <c r="AQ510" s="11" t="n">
        <v>0.8729500662042875</v>
      </c>
      <c r="AR510" s="11" t="n">
        <v>1.0921363354767095</v>
      </c>
      <c r="AS510" s="11" t="n">
        <f>IF(AND(COUNT(I510:K510,AP510:AR510)=6,MIN(AP510:AR510)&gt;0),I510/7/AP510*0.5+J510/14/AQ510*0.3+K510/30/AR510*0.2,"")</f>
        <v>0</v>
      </c>
      <c r="AT510" s="8" t="n">
        <v>0</v>
      </c>
      <c r="AU510" s="8" t="n">
        <v>0</v>
      </c>
      <c r="AV510" s="8" t="n">
        <v>88</v>
      </c>
      <c r="AW510" s="11" t="n">
        <f>IF(AND(COUNT(AT510:AV510)=3,AT510&gt;=AU510,AU510&gt;=0,AV510&gt;0),(AT510-AU510)/AV510,"")</f>
        <v>0</v>
      </c>
      <c r="AX510" s="8" t="n">
        <v>4</v>
      </c>
      <c r="AY510" s="8" t="n">
        <v>0</v>
      </c>
      <c r="AZ510" s="8" t="n">
        <v>178</v>
      </c>
      <c r="BA510" s="11" t="n">
        <f>IF(AND(COUNT(AX510:AZ510)=3,AX510&gt;=AY510,AY510&gt;=0,AZ510&gt;0),(AX510-AY510)/AZ510,"")</f>
        <v>0.02247191011235955</v>
      </c>
      <c r="BB510" s="8" t="n">
        <f>IF(COUNT(AS510,AW510,BA510)=3,1,0)</f>
        <v>1</v>
      </c>
      <c r="BC510" s="11" t="n">
        <f>IF(SUMIF($AO$11:$AO$1309,AO510,$BB$11:$BB$1309)=COUNTIF($AO$11:$AO$1309,AO510),SUMIF($AO$11:$AO$1309,AO510,$AS$11:$AS$1309),"")</f>
        <v>0</v>
      </c>
      <c r="BD510" s="11" t="n">
        <f>IF(SUMIF($AO$11:$AO$1309,AO510,$BB$11:$BB$1309)=COUNTIF($AO$11:$AO$1309,AO510),SUMIF($AO$11:$AO$1309,AO510,$AW$11:$AW$1309),"")</f>
        <v>0.056818181818181816</v>
      </c>
      <c r="BE510" s="11" t="n">
        <f>IF(SUMIF($AO$11:$AO$1309,AO510,$BB$11:$BB$1309)=COUNTIF($AO$11:$AO$1309,AO510),SUMIF($AO$11:$AO$1309,AO510,$BA$11:$BA$1309),"")</f>
        <v>0.1016051364365971</v>
      </c>
      <c r="BF510" s="12" t="n">
        <f>IF(COUNT(BD510:BE510)&lt;&gt;2,"",IF(AND(BD510&gt;0,BE510&gt;0),0.7*AW510/BD510+0.3*BA510/BE510,IF(BD510&gt;0,AW510/BD510,IF(BE510&gt;0,BA510/BE510,IF(AND(ISNUMBER(BH510),BH510=0),0,"")))))</f>
        <v>0.06635071090047392</v>
      </c>
      <c r="BG510" s="11" t="n">
        <f>IF(AND(COUNT(BN510:BU510)=8,MIN(BN510:BU510)&gt;=0),SUMPRODUCT(BN510:BQ510,BR510:BU510),"")</f>
        <v>63.935996265425516</v>
      </c>
      <c r="BH510" s="11" t="n">
        <f>IF(COUNT(BC510,BG510)=2,BC510*BG510,"")</f>
        <v>0</v>
      </c>
      <c r="BI510" s="11" t="n">
        <f>IF(ISNUMBER(CI510),CI510,"")</f>
        <v>0</v>
      </c>
      <c r="BJ510" s="8" t="str">
        <v>低销提醒依据不完整</v>
      </c>
      <c r="BK510" s="8" t="str">
        <v>90天：2026-07-20 至 2026-10-17；180天：2026-04-21 至 2026-10-17</v>
      </c>
      <c r="BL510" s="8" t="str">
        <v>90天：2026-10-06、2026-10-07；180天：2026-10-06、2026-10-07</v>
      </c>
      <c r="BM510" s="8" t="str">
        <v>2026-10：12天 × 0.8729500662042875；2026-11：30天 × 0.8057375774163482；2026-12：31天 × 0.532550303142279；2027-01：17天 × 0.7517299265337036</v>
      </c>
      <c r="BN510" s="11" t="n">
        <v>0.8729500662042875</v>
      </c>
      <c r="BO510" s="11" t="n">
        <v>0.8057375774163482</v>
      </c>
      <c r="BP510" s="11" t="n">
        <v>0.532550303142279</v>
      </c>
      <c r="BQ510" s="11" t="n">
        <v>0.7517299265337036</v>
      </c>
      <c r="BR510" s="8" t="n">
        <v>12</v>
      </c>
      <c r="BS510" s="8" t="n">
        <v>30</v>
      </c>
      <c r="BT510" s="8" t="n">
        <v>31</v>
      </c>
      <c r="BU510" s="8" t="n">
        <v>17</v>
      </c>
      <c r="BV510" s="11" t="n">
        <f>IF(COUNT(BC510,BF510)=2,BC510*BF510,"")</f>
        <v>0</v>
      </c>
      <c r="BW510" s="11" t="n">
        <f>IF(ISNUMBER(BN510),BN510,"")</f>
        <v>0.8729500662042875</v>
      </c>
      <c r="BX510" s="14" t="n">
        <f>IF(ISNUMBER(BR510),BR510,"")</f>
        <v>12</v>
      </c>
      <c r="BY510" s="13" t="n">
        <f>IF(AND(COUNT(BV510,BW510,BX510)=3,MIN(BV510,BW510,BX510)&gt;=0),BV510*BW510*BX510,"")</f>
        <v>0</v>
      </c>
      <c r="BZ510" s="11" t="n">
        <f>IF(ISNUMBER(BO510),BO510,"")</f>
        <v>0.8057375774163482</v>
      </c>
      <c r="CA510" s="14" t="n">
        <f>IF(ISNUMBER(BS510),BS510,"")</f>
        <v>30</v>
      </c>
      <c r="CB510" s="13" t="n">
        <f>IF(AND(COUNT(BV510,BZ510,CA510)=3,MIN(BV510,BZ510,CA510)&gt;=0),BV510*BZ510*CA510,"")</f>
        <v>0</v>
      </c>
      <c r="CC510" s="11" t="n">
        <f>IF(ISNUMBER(BP510),BP510,"")</f>
        <v>0.532550303142279</v>
      </c>
      <c r="CD510" s="14" t="n">
        <f>IF(ISNUMBER(BT510),BT510,"")</f>
        <v>31</v>
      </c>
      <c r="CE510" s="13" t="n">
        <f>IF(AND(COUNT(BV510,CC510,CD510)=3,MIN(BV510,CC510,CD510)&gt;=0),BV510*CC510*CD510,"")</f>
        <v>0</v>
      </c>
      <c r="CF510" s="11" t="n">
        <f>IF(ISNUMBER(BQ510),BQ510,"")</f>
        <v>0.7517299265337036</v>
      </c>
      <c r="CG510" s="14" t="n">
        <f>IF(ISNUMBER(BU510),BU510,"")</f>
        <v>17</v>
      </c>
      <c r="CH510" s="13" t="n">
        <f>IF(AND(COUNT(BV510,CF510,CG510)=3,MIN(BV510,CF510,CG510)&gt;=0),BV510*CF510*CG510,"")</f>
        <v>0</v>
      </c>
      <c r="CI510" s="13" t="n">
        <f>IF(COUNT(BY510,CB510,CE510,CH510)=4,SUM(BY510,CB510,CE510,CH510),"")</f>
        <v>0</v>
      </c>
    </row>
    <row r="511" ht="72" customHeight="1">
      <c r="A511" s="16" t="str">
        <v>1S01-LP-40</v>
      </c>
      <c r="B511" s="16" t="str">
        <v>3店-SANDIEX-US</v>
      </c>
      <c r="C511" s="16" t="str">
        <v>徐新怡</v>
      </c>
      <c r="D511" s="26" t="n">
        <f>IF(NOT(ISNUMBER(E511)),"",IF(OR(E511&lt;=0,L511=0),0,IF(OR(NOT(ISNUMBER(F511)),F511&lt;0),"",MIN(E511,INT(F511)))))</f>
        <v>0</v>
      </c>
      <c r="E511" s="27" t="n">
        <f>IF(OR(NOT(ISNUMBER(L511)),COUNT(M511:O511)&lt;&gt;3,MIN(M511:O511)&lt;0),"",ROUNDUP(ROUND(BI511-SUM(M511:O511),10),0))</f>
        <v>-10</v>
      </c>
      <c r="F511" s="28" t="n">
        <v>30</v>
      </c>
      <c r="G511" s="28" t="n">
        <f>IF(AND(ISNUMBER(D511),ISNUMBER(E511)),IF(OR(E511&lt;=0,L511=0),0,E511-D511),"")</f>
        <v>0</v>
      </c>
      <c r="H511" s="16" t="str">
        <f>IF(NOT(ISNUMBER(E511)),"销量或海外库存待补",IF(OR(E511&lt;=0,L511=0),IF(L511=0,"零日销，本批不发","本批无需补货"),IF(NOT(ISNUMBER(D511)),"国内库存待补",IF(D511=0,"国内无可用库存",IF(G511&gt;0,"先发国内现货","按建议量发货")))))</f>
        <v>零日销，本批不发</v>
      </c>
      <c r="I511" s="28" t="n">
        <f>IF(AND(COUNT(Z511,AA511,AB511)=3,Z511&gt;=AA511,AA511&gt;=0,AB511=7),Z511-AA511,"")</f>
        <v>0</v>
      </c>
      <c r="J511" s="28" t="n">
        <f>IF(AND(COUNT(AF511,AG511,AH511)=3,AF511&gt;=AG511,AG511&gt;=0,AH511=14),AF511-AG511,"")</f>
        <v>0</v>
      </c>
      <c r="K511" s="28" t="n">
        <f>IF(AND(COUNT(AL511,AM511,AN511)=3,AL511&gt;=AM511,AM511&gt;=0,AN511=30),AL511-AM511,"")</f>
        <v>0</v>
      </c>
      <c r="L511" s="29" t="n">
        <f>IF(ISNUMBER(BI511),BI511/90,"")</f>
        <v>0</v>
      </c>
      <c r="M511" s="28" t="n">
        <v>0</v>
      </c>
      <c r="N511" s="28" t="n">
        <v>0</v>
      </c>
      <c r="O511" s="28" t="n">
        <v>10</v>
      </c>
      <c r="P511" s="30" t="str">
        <f>IF(AND(ISNUMBER(L511),L511&gt;0,COUNT(M511:O511)=3,MIN(M511:O511)&gt;=0),SUM(M511:O511)/L511,"")</f>
      </c>
      <c r="Q511" s="16" t="str">
        <v>沿用原计划SKU店铺</v>
      </c>
      <c r="R511" s="16" t="str">
        <v>已匹配</v>
      </c>
      <c r="S511" s="16" t="str">
        <v>在售</v>
      </c>
      <c r="T511" s="16" t="str">
        <v>1S01</v>
      </c>
      <c r="U511" s="16" t="str">
        <v>香芋紫</v>
      </c>
      <c r="V511" s="16" t="n">
        <v>9</v>
      </c>
      <c r="W511" s="8" t="str">
        <v>2026-10-11 至 2026-10-17</v>
      </c>
      <c r="X511" s="8" t="str">
        <v>2026-10-11、2026-10-12、2026-10-13、2026-10-14、2026-10-15、2026-10-16、2026-10-17</v>
      </c>
      <c r="Y511" s="8" t="str">
        <v>无</v>
      </c>
      <c r="Z511" s="8" t="n">
        <v>0</v>
      </c>
      <c r="AA511" s="8" t="n">
        <v>0</v>
      </c>
      <c r="AB511" s="8" t="n">
        <v>7</v>
      </c>
      <c r="AC511" s="8" t="str">
        <v>2026-10-02 至 2026-10-17</v>
      </c>
      <c r="AD511" s="8" t="str">
        <v>2026-10-02、2026-10-03、2026-10-04、2026-10-05、2026-10-08、2026-10-09、2026-10-10、2026-10-11、2026-10-12、2026-10-13、2026-10-14、2026-10-15、2026-10-16、2026-10-17</v>
      </c>
      <c r="AE511" s="8" t="str">
        <v>2026-10-06 大促；2026-10-07 大促</v>
      </c>
      <c r="AF511" s="8" t="n">
        <v>2</v>
      </c>
      <c r="AG511" s="8" t="n">
        <v>2</v>
      </c>
      <c r="AH511" s="8" t="n">
        <v>14</v>
      </c>
      <c r="AI511" s="8" t="str">
        <v>2026-09-16 至 2026-10-17</v>
      </c>
      <c r="AJ5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11" s="8" t="str">
        <v>2026-10-06 大促；2026-10-07 大促</v>
      </c>
      <c r="AL511" s="8" t="n">
        <v>2</v>
      </c>
      <c r="AM511" s="8" t="n">
        <v>2</v>
      </c>
      <c r="AN511" s="8" t="n">
        <v>30</v>
      </c>
      <c r="AO511" s="8" t="str">
        <v>1S01 / 香芋紫羊京绒 / 6574</v>
      </c>
      <c r="AP511" s="11" t="n">
        <v>0.8729500662042875</v>
      </c>
      <c r="AQ511" s="11" t="n">
        <v>0.8729500662042875</v>
      </c>
      <c r="AR511" s="11" t="n">
        <v>1.0921363354767095</v>
      </c>
      <c r="AS511" s="11" t="n">
        <f>IF(AND(COUNT(I511:K511,AP511:AR511)=6,MIN(AP511:AR511)&gt;0),I511/7/AP511*0.5+J511/14/AQ511*0.3+K511/30/AR511*0.2,"")</f>
        <v>0</v>
      </c>
      <c r="AT511" s="8" t="n">
        <v>5</v>
      </c>
      <c r="AU511" s="8" t="n">
        <v>2</v>
      </c>
      <c r="AV511" s="8" t="n">
        <v>88</v>
      </c>
      <c r="AW511" s="11" t="n">
        <f>IF(AND(COUNT(AT511:AV511)=3,AT511&gt;=AU511,AU511&gt;=0,AV511&gt;0),(AT511-AU511)/AV511,"")</f>
        <v>0.03409090909090909</v>
      </c>
      <c r="AX511" s="8" t="n">
        <v>9</v>
      </c>
      <c r="AY511" s="8" t="n">
        <v>2</v>
      </c>
      <c r="AZ511" s="8" t="n">
        <v>178</v>
      </c>
      <c r="BA511" s="11" t="n">
        <f>IF(AND(COUNT(AX511:AZ511)=3,AX511&gt;=AY511,AY511&gt;=0,AZ511&gt;0),(AX511-AY511)/AZ511,"")</f>
        <v>0.03932584269662921</v>
      </c>
      <c r="BB511" s="8" t="n">
        <f>IF(COUNT(AS511,AW511,BA511)=3,1,0)</f>
        <v>1</v>
      </c>
      <c r="BC511" s="11" t="n">
        <f>IF(SUMIF($AO$11:$AO$1309,AO511,$BB$11:$BB$1309)=COUNTIF($AO$11:$AO$1309,AO511),SUMIF($AO$11:$AO$1309,AO511,$AS$11:$AS$1309),"")</f>
        <v>0</v>
      </c>
      <c r="BD511" s="11" t="n">
        <f>IF(SUMIF($AO$11:$AO$1309,AO511,$BB$11:$BB$1309)=COUNTIF($AO$11:$AO$1309,AO511),SUMIF($AO$11:$AO$1309,AO511,$AW$11:$AW$1309),"")</f>
        <v>0.056818181818181816</v>
      </c>
      <c r="BE511" s="11" t="n">
        <f>IF(SUMIF($AO$11:$AO$1309,AO511,$BB$11:$BB$1309)=COUNTIF($AO$11:$AO$1309,AO511),SUMIF($AO$11:$AO$1309,AO511,$BA$11:$BA$1309),"")</f>
        <v>0.1016051364365971</v>
      </c>
      <c r="BF511" s="12" t="n">
        <f>IF(COUNT(BD511:BE511)&lt;&gt;2,"",IF(AND(BD511&gt;0,BE511&gt;0),0.7*AW511/BD511+0.3*BA511/BE511,IF(BD511&gt;0,AW511/BD511,IF(BE511&gt;0,BA511/BE511,IF(AND(ISNUMBER(BH511),BH511=0),0,"")))))</f>
        <v>0.5361137440758293</v>
      </c>
      <c r="BG511" s="11" t="n">
        <f>IF(AND(COUNT(BN511:BU511)=8,MIN(BN511:BU511)&gt;=0),SUMPRODUCT(BN511:BQ511,BR511:BU511),"")</f>
        <v>63.935996265425516</v>
      </c>
      <c r="BH511" s="11" t="n">
        <f>IF(COUNT(BC511,BG511)=2,BC511*BG511,"")</f>
        <v>0</v>
      </c>
      <c r="BI511" s="11" t="n">
        <f>IF(ISNUMBER(CI511),CI511,"")</f>
        <v>0</v>
      </c>
      <c r="BJ511" s="8" t="str">
        <v>低销提醒依据不完整</v>
      </c>
      <c r="BK511" s="8" t="str">
        <v>90天：2026-07-20 至 2026-10-17；180天：2026-04-21 至 2026-10-17</v>
      </c>
      <c r="BL511" s="8" t="str">
        <v>90天：2026-10-06、2026-10-07；180天：2026-10-06、2026-10-07</v>
      </c>
      <c r="BM511" s="8" t="str">
        <v>2026-10：12天 × 0.8729500662042875；2026-11：30天 × 0.8057375774163482；2026-12：31天 × 0.532550303142279；2027-01：17天 × 0.7517299265337036</v>
      </c>
      <c r="BN511" s="11" t="n">
        <v>0.8729500662042875</v>
      </c>
      <c r="BO511" s="11" t="n">
        <v>0.8057375774163482</v>
      </c>
      <c r="BP511" s="11" t="n">
        <v>0.532550303142279</v>
      </c>
      <c r="BQ511" s="11" t="n">
        <v>0.7517299265337036</v>
      </c>
      <c r="BR511" s="8" t="n">
        <v>12</v>
      </c>
      <c r="BS511" s="8" t="n">
        <v>30</v>
      </c>
      <c r="BT511" s="8" t="n">
        <v>31</v>
      </c>
      <c r="BU511" s="8" t="n">
        <v>17</v>
      </c>
      <c r="BV511" s="11" t="n">
        <f>IF(COUNT(BC511,BF511)=2,BC511*BF511,"")</f>
        <v>0</v>
      </c>
      <c r="BW511" s="11" t="n">
        <f>IF(ISNUMBER(BN511),BN511,"")</f>
        <v>0.8729500662042875</v>
      </c>
      <c r="BX511" s="14" t="n">
        <f>IF(ISNUMBER(BR511),BR511,"")</f>
        <v>12</v>
      </c>
      <c r="BY511" s="13" t="n">
        <f>IF(AND(COUNT(BV511,BW511,BX511)=3,MIN(BV511,BW511,BX511)&gt;=0),BV511*BW511*BX511,"")</f>
        <v>0</v>
      </c>
      <c r="BZ511" s="11" t="n">
        <f>IF(ISNUMBER(BO511),BO511,"")</f>
        <v>0.8057375774163482</v>
      </c>
      <c r="CA511" s="14" t="n">
        <f>IF(ISNUMBER(BS511),BS511,"")</f>
        <v>30</v>
      </c>
      <c r="CB511" s="13" t="n">
        <f>IF(AND(COUNT(BV511,BZ511,CA511)=3,MIN(BV511,BZ511,CA511)&gt;=0),BV511*BZ511*CA511,"")</f>
        <v>0</v>
      </c>
      <c r="CC511" s="11" t="n">
        <f>IF(ISNUMBER(BP511),BP511,"")</f>
        <v>0.532550303142279</v>
      </c>
      <c r="CD511" s="14" t="n">
        <f>IF(ISNUMBER(BT511),BT511,"")</f>
        <v>31</v>
      </c>
      <c r="CE511" s="13" t="n">
        <f>IF(AND(COUNT(BV511,CC511,CD511)=3,MIN(BV511,CC511,CD511)&gt;=0),BV511*CC511*CD511,"")</f>
        <v>0</v>
      </c>
      <c r="CF511" s="11" t="n">
        <f>IF(ISNUMBER(BQ511),BQ511,"")</f>
        <v>0.7517299265337036</v>
      </c>
      <c r="CG511" s="14" t="n">
        <f>IF(ISNUMBER(BU511),BU511,"")</f>
        <v>17</v>
      </c>
      <c r="CH511" s="13" t="n">
        <f>IF(AND(COUNT(BV511,CF511,CG511)=3,MIN(BV511,CF511,CG511)&gt;=0),BV511*CF511*CG511,"")</f>
        <v>0</v>
      </c>
      <c r="CI511" s="13" t="n">
        <f>IF(COUNT(BY511,CB511,CE511,CH511)=4,SUM(BY511,CB511,CE511,CH511),"")</f>
        <v>0</v>
      </c>
    </row>
    <row r="512" ht="72" customHeight="1">
      <c r="A512" s="16" t="str">
        <v>1S01-LP-40.5</v>
      </c>
      <c r="B512" s="16" t="str">
        <v>3店-SANDIEX-US</v>
      </c>
      <c r="C512" s="16" t="str">
        <v>徐新怡</v>
      </c>
      <c r="D512" s="26" t="n">
        <f>IF(NOT(ISNUMBER(E512)),"",IF(OR(E512&lt;=0,L512=0),0,IF(OR(NOT(ISNUMBER(F512)),F512&lt;0),"",MIN(E512,INT(F512)))))</f>
        <v>0</v>
      </c>
      <c r="E512" s="27" t="n">
        <f>IF(OR(NOT(ISNUMBER(L512)),COUNT(M512:O512)&lt;&gt;3,MIN(M512:O512)&lt;0),"",ROUNDUP(ROUND(BI512-SUM(M512:O512),10),0))</f>
        <v>0</v>
      </c>
      <c r="F512" s="28" t="n">
        <v>0</v>
      </c>
      <c r="G512" s="28" t="n">
        <f>IF(AND(ISNUMBER(D512),ISNUMBER(E512)),IF(OR(E512&lt;=0,L512=0),0,E512-D512),"")</f>
        <v>0</v>
      </c>
      <c r="H512" s="16" t="str">
        <f>IF(NOT(ISNUMBER(E512)),"销量或海外库存待补",IF(OR(E512&lt;=0,L512=0),IF(L512=0,"零日销，本批不发","本批无需补货"),IF(NOT(ISNUMBER(D512)),"国内库存待补",IF(D512=0,"国内无可用库存",IF(G512&gt;0,"先发国内现货","按建议量发货")))))</f>
        <v>零日销，本批不发</v>
      </c>
      <c r="I512" s="28" t="n">
        <f>IF(AND(COUNT(Z512,AA512,AB512)=3,Z512&gt;=AA512,AA512&gt;=0,AB512=7),Z512-AA512,"")</f>
        <v>0</v>
      </c>
      <c r="J512" s="28" t="n">
        <f>IF(AND(COUNT(AF512,AG512,AH512)=3,AF512&gt;=AG512,AG512&gt;=0,AH512=14),AF512-AG512,"")</f>
        <v>0</v>
      </c>
      <c r="K512" s="28" t="n">
        <f>IF(AND(COUNT(AL512,AM512,AN512)=3,AL512&gt;=AM512,AM512&gt;=0,AN512=30),AL512-AM512,"")</f>
        <v>0</v>
      </c>
      <c r="L512" s="29" t="n">
        <f>IF(ISNUMBER(BI512),BI512/90,"")</f>
        <v>0</v>
      </c>
      <c r="M512" s="28" t="n">
        <v>0</v>
      </c>
      <c r="N512" s="28" t="n">
        <v>0</v>
      </c>
      <c r="O512" s="28" t="n">
        <v>0</v>
      </c>
      <c r="P512" s="30" t="str">
        <f>IF(AND(ISNUMBER(L512),L512&gt;0,COUNT(M512:O512)=3,MIN(M512:O512)&gt;=0),SUM(M512:O512)/L512,"")</f>
      </c>
      <c r="Q512" s="16" t="str">
        <v>沿用同SPU原计划店铺</v>
      </c>
      <c r="R512" s="16" t="str">
        <v>已匹配</v>
      </c>
      <c r="S512" s="16" t="str">
        <v>停售</v>
      </c>
      <c r="T512" s="16" t="str">
        <v>1S01</v>
      </c>
      <c r="U512" s="16" t="str">
        <v>香芋紫</v>
      </c>
      <c r="V512" s="16" t="n">
        <v>9.5</v>
      </c>
      <c r="W512" s="8" t="str">
        <v>2026-10-08 至 2026-10-17</v>
      </c>
      <c r="X512" s="8" t="str">
        <v>2026-10-08、2026-10-09、2026-10-10、2026-10-11、2026-10-14、2026-10-15、2026-10-17</v>
      </c>
      <c r="Y512" s="8" t="str">
        <v>2026-10-12 有记录的停售日；2026-10-13 有记录的停售日；2026-10-16 有记录的停售日</v>
      </c>
      <c r="Z512" s="8" t="n">
        <v>0</v>
      </c>
      <c r="AA512" s="8" t="n">
        <v>0</v>
      </c>
      <c r="AB512" s="8" t="n">
        <v>7</v>
      </c>
      <c r="AC512" s="8" t="str">
        <v>2026-09-29 至 2026-10-17</v>
      </c>
      <c r="AD512" s="8" t="str">
        <v>2026-09-29、2026-09-30、2026-10-01、2026-10-02、2026-10-03、2026-10-04、2026-10-05、2026-10-08、2026-10-09、2026-10-10、2026-10-11、2026-10-14、2026-10-15、2026-10-17</v>
      </c>
      <c r="AE512" s="8" t="str">
        <v>2026-10-06 大促；2026-10-07 大促；2026-10-12 有记录的停售日；2026-10-13 有记录的停售日；2026-10-16 有记录的停售日</v>
      </c>
      <c r="AF512" s="8" t="n">
        <v>0</v>
      </c>
      <c r="AG512" s="8" t="n">
        <v>0</v>
      </c>
      <c r="AH512" s="8" t="n">
        <v>14</v>
      </c>
      <c r="AI512" s="8" t="str">
        <v>2026-09-13 至 2026-10-17</v>
      </c>
      <c r="AJ51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2" s="8" t="str">
        <v>2026-10-06 大促；2026-10-07 大促；2026-10-12 有记录的停售日；2026-10-13 有记录的停售日；2026-10-16 有记录的停售日</v>
      </c>
      <c r="AL512" s="8" t="n">
        <v>0</v>
      </c>
      <c r="AM512" s="8" t="n">
        <v>0</v>
      </c>
      <c r="AN512" s="8" t="n">
        <v>30</v>
      </c>
      <c r="AO512" s="8" t="str">
        <v>1S01 / 香芋紫羊京绒 / 6574</v>
      </c>
      <c r="AP512" s="11" t="n">
        <v>0.8729500662042875</v>
      </c>
      <c r="AQ512" s="11" t="n">
        <v>0.9355747145678367</v>
      </c>
      <c r="AR512" s="11" t="n">
        <v>1.135973589331194</v>
      </c>
      <c r="AS512" s="11" t="n">
        <f>IF(AND(COUNT(I512:K512,AP512:AR512)=6,MIN(AP512:AR512)&gt;0),I512/7/AP512*0.5+J512/14/AQ512*0.3+K512/30/AR512*0.2,"")</f>
        <v>0</v>
      </c>
      <c r="AT512" s="8" t="n">
        <v>0</v>
      </c>
      <c r="AU512" s="8" t="n">
        <v>0</v>
      </c>
      <c r="AV512" s="8" t="n">
        <v>85</v>
      </c>
      <c r="AW512" s="11" t="n">
        <f>IF(AND(COUNT(AT512:AV512)=3,AT512&gt;=AU512,AU512&gt;=0,AV512&gt;0),(AT512-AU512)/AV512,"")</f>
        <v>0</v>
      </c>
      <c r="AX512" s="8" t="n">
        <v>0</v>
      </c>
      <c r="AY512" s="8" t="n">
        <v>0</v>
      </c>
      <c r="AZ512" s="8" t="n">
        <v>175</v>
      </c>
      <c r="BA512" s="11" t="n">
        <f>IF(AND(COUNT(AX512:AZ512)=3,AX512&gt;=AY512,AY512&gt;=0,AZ512&gt;0),(AX512-AY512)/AZ512,"")</f>
        <v>0</v>
      </c>
      <c r="BB512" s="8" t="n">
        <f>IF(COUNT(AS512,AW512,BA512)=3,1,0)</f>
        <v>1</v>
      </c>
      <c r="BC512" s="11" t="n">
        <f>IF(SUMIF($AO$11:$AO$1309,AO512,$BB$11:$BB$1309)=COUNTIF($AO$11:$AO$1309,AO512),SUMIF($AO$11:$AO$1309,AO512,$AS$11:$AS$1309),"")</f>
        <v>0</v>
      </c>
      <c r="BD512" s="11" t="n">
        <f>IF(SUMIF($AO$11:$AO$1309,AO512,$BB$11:$BB$1309)=COUNTIF($AO$11:$AO$1309,AO512),SUMIF($AO$11:$AO$1309,AO512,$AW$11:$AW$1309),"")</f>
        <v>0.056818181818181816</v>
      </c>
      <c r="BE512" s="11" t="n">
        <f>IF(SUMIF($AO$11:$AO$1309,AO512,$BB$11:$BB$1309)=COUNTIF($AO$11:$AO$1309,AO512),SUMIF($AO$11:$AO$1309,AO512,$BA$11:$BA$1309),"")</f>
        <v>0.1016051364365971</v>
      </c>
      <c r="BF512" s="12" t="n">
        <f>IF(COUNT(BD512:BE512)&lt;&gt;2,"",IF(AND(BD512&gt;0,BE512&gt;0),0.7*AW512/BD512+0.3*BA512/BE512,IF(BD512&gt;0,AW512/BD512,IF(BE512&gt;0,BA512/BE512,IF(AND(ISNUMBER(BH512),BH512=0),0,"")))))</f>
        <v>0</v>
      </c>
      <c r="BG512" s="11" t="n">
        <f>IF(AND(COUNT(BN512:BU512)=8,MIN(BN512:BU512)&gt;=0),SUMPRODUCT(BN512:BQ512,BR512:BU512),"")</f>
        <v>63.935996265425516</v>
      </c>
      <c r="BH512" s="11" t="n">
        <f>IF(COUNT(BC512,BG512)=2,BC512*BG512,"")</f>
        <v>0</v>
      </c>
      <c r="BI512" s="11" t="n">
        <f>IF(ISNUMBER(CI512),CI512,"")</f>
        <v>0</v>
      </c>
      <c r="BJ512" s="8" t="str">
        <v>低销提醒依据不完整</v>
      </c>
      <c r="BK512" s="8" t="str">
        <v>90天：2026-07-20 至 2026-10-17；180天：2026-04-21 至 2026-10-17</v>
      </c>
      <c r="BL512" s="8" t="str">
        <v>90天：2026-10-06、2026-10-07、2026-10-12、2026-10-13、2026-10-16；180天：2026-10-06、2026-10-07、2026-10-12、2026-10-13、2026-10-16</v>
      </c>
      <c r="BM512" s="8" t="str">
        <v>2026-10：12天 × 0.8729500662042875；2026-11：30天 × 0.8057375774163482；2026-12：31天 × 0.532550303142279；2027-01：17天 × 0.7517299265337036</v>
      </c>
      <c r="BN512" s="11" t="n">
        <v>0.8729500662042875</v>
      </c>
      <c r="BO512" s="11" t="n">
        <v>0.8057375774163482</v>
      </c>
      <c r="BP512" s="11" t="n">
        <v>0.532550303142279</v>
      </c>
      <c r="BQ512" s="11" t="n">
        <v>0.7517299265337036</v>
      </c>
      <c r="BR512" s="8" t="n">
        <v>12</v>
      </c>
      <c r="BS512" s="8" t="n">
        <v>30</v>
      </c>
      <c r="BT512" s="8" t="n">
        <v>31</v>
      </c>
      <c r="BU512" s="8" t="n">
        <v>17</v>
      </c>
      <c r="BV512" s="11" t="n">
        <f>IF(COUNT(BC512,BF512)=2,BC512*BF512,"")</f>
        <v>0</v>
      </c>
      <c r="BW512" s="11" t="n">
        <f>IF(ISNUMBER(BN512),BN512,"")</f>
        <v>0.8729500662042875</v>
      </c>
      <c r="BX512" s="14" t="n">
        <f>IF(ISNUMBER(BR512),BR512,"")</f>
        <v>12</v>
      </c>
      <c r="BY512" s="13" t="n">
        <f>IF(AND(COUNT(BV512,BW512,BX512)=3,MIN(BV512,BW512,BX512)&gt;=0),BV512*BW512*BX512,"")</f>
        <v>0</v>
      </c>
      <c r="BZ512" s="11" t="n">
        <f>IF(ISNUMBER(BO512),BO512,"")</f>
        <v>0.8057375774163482</v>
      </c>
      <c r="CA512" s="14" t="n">
        <f>IF(ISNUMBER(BS512),BS512,"")</f>
        <v>30</v>
      </c>
      <c r="CB512" s="13" t="n">
        <f>IF(AND(COUNT(BV512,BZ512,CA512)=3,MIN(BV512,BZ512,CA512)&gt;=0),BV512*BZ512*CA512,"")</f>
        <v>0</v>
      </c>
      <c r="CC512" s="11" t="n">
        <f>IF(ISNUMBER(BP512),BP512,"")</f>
        <v>0.532550303142279</v>
      </c>
      <c r="CD512" s="14" t="n">
        <f>IF(ISNUMBER(BT512),BT512,"")</f>
        <v>31</v>
      </c>
      <c r="CE512" s="13" t="n">
        <f>IF(AND(COUNT(BV512,CC512,CD512)=3,MIN(BV512,CC512,CD512)&gt;=0),BV512*CC512*CD512,"")</f>
        <v>0</v>
      </c>
      <c r="CF512" s="11" t="n">
        <f>IF(ISNUMBER(BQ512),BQ512,"")</f>
        <v>0.7517299265337036</v>
      </c>
      <c r="CG512" s="14" t="n">
        <f>IF(ISNUMBER(BU512),BU512,"")</f>
        <v>17</v>
      </c>
      <c r="CH512" s="13" t="n">
        <f>IF(AND(COUNT(BV512,CF512,CG512)=3,MIN(BV512,CF512,CG512)&gt;=0),BV512*CF512*CG512,"")</f>
        <v>0</v>
      </c>
      <c r="CI512" s="13" t="n">
        <f>IF(COUNT(BY512,CB512,CE512,CH512)=4,SUM(BY512,CB512,CE512,CH512),"")</f>
        <v>0</v>
      </c>
    </row>
    <row r="513" ht="72" customHeight="1">
      <c r="A513" s="16" t="str">
        <v>1S01-LP-41</v>
      </c>
      <c r="B513" s="16" t="str">
        <v>3店-SANDIEX-US</v>
      </c>
      <c r="C513" s="16" t="str">
        <v>徐新怡</v>
      </c>
      <c r="D513" s="26" t="n">
        <f>IF(NOT(ISNUMBER(E513)),"",IF(OR(E513&lt;=0,L513=0),0,IF(OR(NOT(ISNUMBER(F513)),F513&lt;0),"",MIN(E513,INT(F513)))))</f>
        <v>0</v>
      </c>
      <c r="E513" s="27" t="n">
        <f>IF(OR(NOT(ISNUMBER(L513)),COUNT(M513:O513)&lt;&gt;3,MIN(M513:O513)&lt;0),"",ROUNDUP(ROUND(BI513-SUM(M513:O513),10),0))</f>
        <v>-12</v>
      </c>
      <c r="F513" s="28" t="n">
        <v>0</v>
      </c>
      <c r="G513" s="28" t="n">
        <f>IF(AND(ISNUMBER(D513),ISNUMBER(E513)),IF(OR(E513&lt;=0,L513=0),0,E513-D513),"")</f>
        <v>0</v>
      </c>
      <c r="H513" s="16" t="str">
        <f>IF(NOT(ISNUMBER(E513)),"销量或海外库存待补",IF(OR(E513&lt;=0,L513=0),IF(L513=0,"零日销，本批不发","本批无需补货"),IF(NOT(ISNUMBER(D513)),"国内库存待补",IF(D513=0,"国内无可用库存",IF(G513&gt;0,"先发国内现货","按建议量发货")))))</f>
        <v>零日销，本批不发</v>
      </c>
      <c r="I513" s="28" t="n">
        <f>IF(AND(COUNT(Z513,AA513,AB513)=3,Z513&gt;=AA513,AA513&gt;=0,AB513=7),Z513-AA513,"")</f>
        <v>0</v>
      </c>
      <c r="J513" s="28" t="n">
        <f>IF(AND(COUNT(AF513,AG513,AH513)=3,AF513&gt;=AG513,AG513&gt;=0,AH513=14),AF513-AG513,"")</f>
        <v>0</v>
      </c>
      <c r="K513" s="28" t="n">
        <f>IF(AND(COUNT(AL513,AM513,AN513)=3,AL513&gt;=AM513,AM513&gt;=0,AN513=30),AL513-AM513,"")</f>
        <v>0</v>
      </c>
      <c r="L513" s="29" t="n">
        <f>IF(ISNUMBER(BI513),BI513/90,"")</f>
        <v>0</v>
      </c>
      <c r="M513" s="28" t="n">
        <v>12</v>
      </c>
      <c r="N513" s="28" t="n">
        <v>0</v>
      </c>
      <c r="O513" s="28" t="n">
        <v>0</v>
      </c>
      <c r="P513" s="30" t="str">
        <f>IF(AND(ISNUMBER(L513),L513&gt;0,COUNT(M513:O513)=3,MIN(M513:O513)&gt;=0),SUM(M513:O513)/L513,"")</f>
      </c>
      <c r="Q513" s="16" t="str">
        <v>沿用原计划SKU店铺</v>
      </c>
      <c r="R513" s="16" t="str">
        <v>已匹配</v>
      </c>
      <c r="S513" s="16" t="str">
        <v>在售</v>
      </c>
      <c r="T513" s="16" t="str">
        <v>1S01</v>
      </c>
      <c r="U513" s="16" t="str">
        <v>香芋紫</v>
      </c>
      <c r="V513" s="16" t="n">
        <v>10</v>
      </c>
      <c r="W513" s="8" t="str">
        <v>2026-10-11 至 2026-10-17</v>
      </c>
      <c r="X513" s="8" t="str">
        <v>2026-10-11、2026-10-12、2026-10-13、2026-10-14、2026-10-15、2026-10-16、2026-10-17</v>
      </c>
      <c r="Y513" s="8" t="str">
        <v>无</v>
      </c>
      <c r="Z513" s="8" t="n">
        <v>0</v>
      </c>
      <c r="AA513" s="8" t="n">
        <v>0</v>
      </c>
      <c r="AB513" s="8" t="n">
        <v>7</v>
      </c>
      <c r="AC513" s="8" t="str">
        <v>2026-10-02 至 2026-10-17</v>
      </c>
      <c r="AD513" s="8" t="str">
        <v>2026-10-02、2026-10-03、2026-10-04、2026-10-05、2026-10-08、2026-10-09、2026-10-10、2026-10-11、2026-10-12、2026-10-13、2026-10-14、2026-10-15、2026-10-16、2026-10-17</v>
      </c>
      <c r="AE513" s="8" t="str">
        <v>2026-10-06 大促；2026-10-07 大促</v>
      </c>
      <c r="AF513" s="8" t="n">
        <v>0</v>
      </c>
      <c r="AG513" s="8" t="n">
        <v>0</v>
      </c>
      <c r="AH513" s="8" t="n">
        <v>14</v>
      </c>
      <c r="AI513" s="8" t="str">
        <v>2026-09-16 至 2026-10-17</v>
      </c>
      <c r="AJ5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13" s="8" t="str">
        <v>2026-10-06 大促；2026-10-07 大促</v>
      </c>
      <c r="AL513" s="8" t="n">
        <v>0</v>
      </c>
      <c r="AM513" s="8" t="n">
        <v>0</v>
      </c>
      <c r="AN513" s="8" t="n">
        <v>30</v>
      </c>
      <c r="AO513" s="8" t="str">
        <v>1S01 / 香芋紫羊京绒 / 6574</v>
      </c>
      <c r="AP513" s="11" t="n">
        <v>0.8729500662042875</v>
      </c>
      <c r="AQ513" s="11" t="n">
        <v>0.8729500662042875</v>
      </c>
      <c r="AR513" s="11" t="n">
        <v>1.0921363354767095</v>
      </c>
      <c r="AS513" s="11" t="n">
        <f>IF(AND(COUNT(I513:K513,AP513:AR513)=6,MIN(AP513:AR513)&gt;0),I513/7/AP513*0.5+J513/14/AQ513*0.3+K513/30/AR513*0.2,"")</f>
        <v>0</v>
      </c>
      <c r="AT513" s="8" t="n">
        <v>2</v>
      </c>
      <c r="AU513" s="8" t="n">
        <v>0</v>
      </c>
      <c r="AV513" s="8" t="n">
        <v>88</v>
      </c>
      <c r="AW513" s="11" t="n">
        <f>IF(AND(COUNT(AT513:AV513)=3,AT513&gt;=AU513,AU513&gt;=0,AV513&gt;0),(AT513-AU513)/AV513,"")</f>
        <v>0.022727272727272728</v>
      </c>
      <c r="AX513" s="8" t="n">
        <v>2</v>
      </c>
      <c r="AY513" s="8" t="n">
        <v>0</v>
      </c>
      <c r="AZ513" s="8" t="n">
        <v>178</v>
      </c>
      <c r="BA513" s="11" t="n">
        <f>IF(AND(COUNT(AX513:AZ513)=3,AX513&gt;=AY513,AY513&gt;=0,AZ513&gt;0),(AX513-AY513)/AZ513,"")</f>
        <v>0.011235955056179775</v>
      </c>
      <c r="BB513" s="8" t="n">
        <f>IF(COUNT(AS513,AW513,BA513)=3,1,0)</f>
        <v>1</v>
      </c>
      <c r="BC513" s="11" t="n">
        <f>IF(SUMIF($AO$11:$AO$1309,AO513,$BB$11:$BB$1309)=COUNTIF($AO$11:$AO$1309,AO513),SUMIF($AO$11:$AO$1309,AO513,$AS$11:$AS$1309),"")</f>
        <v>0</v>
      </c>
      <c r="BD513" s="11" t="n">
        <f>IF(SUMIF($AO$11:$AO$1309,AO513,$BB$11:$BB$1309)=COUNTIF($AO$11:$AO$1309,AO513),SUMIF($AO$11:$AO$1309,AO513,$AW$11:$AW$1309),"")</f>
        <v>0.056818181818181816</v>
      </c>
      <c r="BE513" s="11" t="n">
        <f>IF(SUMIF($AO$11:$AO$1309,AO513,$BB$11:$BB$1309)=COUNTIF($AO$11:$AO$1309,AO513),SUMIF($AO$11:$AO$1309,AO513,$BA$11:$BA$1309),"")</f>
        <v>0.1016051364365971</v>
      </c>
      <c r="BF513" s="12" t="n">
        <f>IF(COUNT(BD513:BE513)&lt;&gt;2,"",IF(AND(BD513&gt;0,BE513&gt;0),0.7*AW513/BD513+0.3*BA513/BE513,IF(BD513&gt;0,AW513/BD513,IF(BE513&gt;0,BA513/BE513,IF(AND(ISNUMBER(BH513),BH513=0),0,"")))))</f>
        <v>0.31317535545023695</v>
      </c>
      <c r="BG513" s="11" t="n">
        <f>IF(AND(COUNT(BN513:BU513)=8,MIN(BN513:BU513)&gt;=0),SUMPRODUCT(BN513:BQ513,BR513:BU513),"")</f>
        <v>63.935996265425516</v>
      </c>
      <c r="BH513" s="11" t="n">
        <f>IF(COUNT(BC513,BG513)=2,BC513*BG513,"")</f>
        <v>0</v>
      </c>
      <c r="BI513" s="11" t="n">
        <f>IF(ISNUMBER(CI513),CI513,"")</f>
        <v>0</v>
      </c>
      <c r="BJ513" s="8" t="str">
        <v>低销提醒依据不完整</v>
      </c>
      <c r="BK513" s="8" t="str">
        <v>90天：2026-07-20 至 2026-10-17；180天：2026-04-21 至 2026-10-17</v>
      </c>
      <c r="BL513" s="8" t="str">
        <v>90天：2026-10-06、2026-10-07；180天：2026-10-06、2026-10-07</v>
      </c>
      <c r="BM513" s="8" t="str">
        <v>2026-10：12天 × 0.8729500662042875；2026-11：30天 × 0.8057375774163482；2026-12：31天 × 0.532550303142279；2027-01：17天 × 0.7517299265337036</v>
      </c>
      <c r="BN513" s="11" t="n">
        <v>0.8729500662042875</v>
      </c>
      <c r="BO513" s="11" t="n">
        <v>0.8057375774163482</v>
      </c>
      <c r="BP513" s="11" t="n">
        <v>0.532550303142279</v>
      </c>
      <c r="BQ513" s="11" t="n">
        <v>0.7517299265337036</v>
      </c>
      <c r="BR513" s="8" t="n">
        <v>12</v>
      </c>
      <c r="BS513" s="8" t="n">
        <v>30</v>
      </c>
      <c r="BT513" s="8" t="n">
        <v>31</v>
      </c>
      <c r="BU513" s="8" t="n">
        <v>17</v>
      </c>
      <c r="BV513" s="11" t="n">
        <f>IF(COUNT(BC513,BF513)=2,BC513*BF513,"")</f>
        <v>0</v>
      </c>
      <c r="BW513" s="11" t="n">
        <f>IF(ISNUMBER(BN513),BN513,"")</f>
        <v>0.8729500662042875</v>
      </c>
      <c r="BX513" s="14" t="n">
        <f>IF(ISNUMBER(BR513),BR513,"")</f>
        <v>12</v>
      </c>
      <c r="BY513" s="13" t="n">
        <f>IF(AND(COUNT(BV513,BW513,BX513)=3,MIN(BV513,BW513,BX513)&gt;=0),BV513*BW513*BX513,"")</f>
        <v>0</v>
      </c>
      <c r="BZ513" s="11" t="n">
        <f>IF(ISNUMBER(BO513),BO513,"")</f>
        <v>0.8057375774163482</v>
      </c>
      <c r="CA513" s="14" t="n">
        <f>IF(ISNUMBER(BS513),BS513,"")</f>
        <v>30</v>
      </c>
      <c r="CB513" s="13" t="n">
        <f>IF(AND(COUNT(BV513,BZ513,CA513)=3,MIN(BV513,BZ513,CA513)&gt;=0),BV513*BZ513*CA513,"")</f>
        <v>0</v>
      </c>
      <c r="CC513" s="11" t="n">
        <f>IF(ISNUMBER(BP513),BP513,"")</f>
        <v>0.532550303142279</v>
      </c>
      <c r="CD513" s="14" t="n">
        <f>IF(ISNUMBER(BT513),BT513,"")</f>
        <v>31</v>
      </c>
      <c r="CE513" s="13" t="n">
        <f>IF(AND(COUNT(BV513,CC513,CD513)=3,MIN(BV513,CC513,CD513)&gt;=0),BV513*CC513*CD513,"")</f>
        <v>0</v>
      </c>
      <c r="CF513" s="11" t="n">
        <f>IF(ISNUMBER(BQ513),BQ513,"")</f>
        <v>0.7517299265337036</v>
      </c>
      <c r="CG513" s="14" t="n">
        <f>IF(ISNUMBER(BU513),BU513,"")</f>
        <v>17</v>
      </c>
      <c r="CH513" s="13" t="n">
        <f>IF(AND(COUNT(BV513,CF513,CG513)=3,MIN(BV513,CF513,CG513)&gt;=0),BV513*CF513*CG513,"")</f>
        <v>0</v>
      </c>
      <c r="CI513" s="13" t="n">
        <f>IF(COUNT(BY513,CB513,CE513,CH513)=4,SUM(BY513,CB513,CE513,CH513),"")</f>
        <v>0</v>
      </c>
    </row>
    <row r="514" ht="72" customHeight="1">
      <c r="A514" s="16" t="str">
        <v>1S01-LP-41.5</v>
      </c>
      <c r="B514" s="16" t="str">
        <v>3店-SANDIEX-US</v>
      </c>
      <c r="C514" s="16" t="str">
        <v>徐新怡</v>
      </c>
      <c r="D514" s="26" t="n">
        <f>IF(NOT(ISNUMBER(E514)),"",IF(OR(E514&lt;=0,L514=0),0,IF(OR(NOT(ISNUMBER(F514)),F514&lt;0),"",MIN(E514,INT(F514)))))</f>
        <v>0</v>
      </c>
      <c r="E514" s="27" t="n">
        <f>IF(OR(NOT(ISNUMBER(L514)),COUNT(M514:O514)&lt;&gt;3,MIN(M514:O514)&lt;0),"",ROUNDUP(ROUND(BI514-SUM(M514:O514),10),0))</f>
        <v>0</v>
      </c>
      <c r="F514" s="28" t="n">
        <v>0</v>
      </c>
      <c r="G514" s="28" t="n">
        <f>IF(AND(ISNUMBER(D514),ISNUMBER(E514)),IF(OR(E514&lt;=0,L514=0),0,E514-D514),"")</f>
        <v>0</v>
      </c>
      <c r="H514" s="16" t="str">
        <f>IF(NOT(ISNUMBER(E514)),"销量或海外库存待补",IF(OR(E514&lt;=0,L514=0),IF(L514=0,"零日销，本批不发","本批无需补货"),IF(NOT(ISNUMBER(D514)),"国内库存待补",IF(D514=0,"国内无可用库存",IF(G514&gt;0,"先发国内现货","按建议量发货")))))</f>
        <v>零日销，本批不发</v>
      </c>
      <c r="I514" s="28" t="n">
        <f>IF(AND(COUNT(Z514,AA514,AB514)=3,Z514&gt;=AA514,AA514&gt;=0,AB514=7),Z514-AA514,"")</f>
        <v>0</v>
      </c>
      <c r="J514" s="28" t="n">
        <f>IF(AND(COUNT(AF514,AG514,AH514)=3,AF514&gt;=AG514,AG514&gt;=0,AH514=14),AF514-AG514,"")</f>
        <v>0</v>
      </c>
      <c r="K514" s="28" t="n">
        <f>IF(AND(COUNT(AL514,AM514,AN514)=3,AL514&gt;=AM514,AM514&gt;=0,AN514=30),AL514-AM514,"")</f>
        <v>0</v>
      </c>
      <c r="L514" s="29" t="n">
        <f>IF(ISNUMBER(BI514),BI514/90,"")</f>
        <v>0</v>
      </c>
      <c r="M514" s="28" t="n">
        <v>0</v>
      </c>
      <c r="N514" s="28" t="n">
        <v>0</v>
      </c>
      <c r="O514" s="28" t="n">
        <v>0</v>
      </c>
      <c r="P514" s="30" t="str">
        <f>IF(AND(ISNUMBER(L514),L514&gt;0,COUNT(M514:O514)=3,MIN(M514:O514)&gt;=0),SUM(M514:O514)/L514,"")</f>
      </c>
      <c r="Q514" s="16" t="str">
        <v>沿用同SPU原计划店铺</v>
      </c>
      <c r="R514" s="16" t="str">
        <v>已匹配</v>
      </c>
      <c r="S514" s="16" t="str">
        <v>停售</v>
      </c>
      <c r="T514" s="16" t="str">
        <v>1S01</v>
      </c>
      <c r="U514" s="16" t="str">
        <v>香芋紫</v>
      </c>
      <c r="V514" s="16" t="n">
        <v>10.5</v>
      </c>
      <c r="W514" s="8" t="str">
        <v>2026-10-08 至 2026-10-17</v>
      </c>
      <c r="X514" s="8" t="str">
        <v>2026-10-08、2026-10-09、2026-10-10、2026-10-11、2026-10-14、2026-10-15、2026-10-17</v>
      </c>
      <c r="Y514" s="8" t="str">
        <v>2026-10-12 有记录的停售日；2026-10-13 有记录的停售日；2026-10-16 有记录的停售日</v>
      </c>
      <c r="Z514" s="8" t="n">
        <v>0</v>
      </c>
      <c r="AA514" s="8" t="n">
        <v>0</v>
      </c>
      <c r="AB514" s="8" t="n">
        <v>7</v>
      </c>
      <c r="AC514" s="8" t="str">
        <v>2026-09-29 至 2026-10-17</v>
      </c>
      <c r="AD514" s="8" t="str">
        <v>2026-09-29、2026-09-30、2026-10-01、2026-10-02、2026-10-03、2026-10-04、2026-10-05、2026-10-08、2026-10-09、2026-10-10、2026-10-11、2026-10-14、2026-10-15、2026-10-17</v>
      </c>
      <c r="AE514" s="8" t="str">
        <v>2026-10-06 大促；2026-10-07 大促；2026-10-12 有记录的停售日；2026-10-13 有记录的停售日；2026-10-16 有记录的停售日</v>
      </c>
      <c r="AF514" s="8" t="n">
        <v>0</v>
      </c>
      <c r="AG514" s="8" t="n">
        <v>0</v>
      </c>
      <c r="AH514" s="8" t="n">
        <v>14</v>
      </c>
      <c r="AI514" s="8" t="str">
        <v>2026-09-13 至 2026-10-17</v>
      </c>
      <c r="AJ51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4" s="8" t="str">
        <v>2026-10-06 大促；2026-10-07 大促；2026-10-12 有记录的停售日；2026-10-13 有记录的停售日；2026-10-16 有记录的停售日</v>
      </c>
      <c r="AL514" s="8" t="n">
        <v>0</v>
      </c>
      <c r="AM514" s="8" t="n">
        <v>0</v>
      </c>
      <c r="AN514" s="8" t="n">
        <v>30</v>
      </c>
      <c r="AO514" s="8" t="str">
        <v>1S01 / 香芋紫羊京绒 / 6574</v>
      </c>
      <c r="AP514" s="11" t="n">
        <v>0.8729500662042875</v>
      </c>
      <c r="AQ514" s="11" t="n">
        <v>0.9355747145678367</v>
      </c>
      <c r="AR514" s="11" t="n">
        <v>1.135973589331194</v>
      </c>
      <c r="AS514" s="11" t="n">
        <f>IF(AND(COUNT(I514:K514,AP514:AR514)=6,MIN(AP514:AR514)&gt;0),I514/7/AP514*0.5+J514/14/AQ514*0.3+K514/30/AR514*0.2,"")</f>
        <v>0</v>
      </c>
      <c r="AT514" s="8" t="n">
        <v>0</v>
      </c>
      <c r="AU514" s="8" t="n">
        <v>0</v>
      </c>
      <c r="AV514" s="8" t="n">
        <v>85</v>
      </c>
      <c r="AW514" s="11" t="n">
        <f>IF(AND(COUNT(AT514:AV514)=3,AT514&gt;=AU514,AU514&gt;=0,AV514&gt;0),(AT514-AU514)/AV514,"")</f>
        <v>0</v>
      </c>
      <c r="AX514" s="8" t="n">
        <v>0</v>
      </c>
      <c r="AY514" s="8" t="n">
        <v>0</v>
      </c>
      <c r="AZ514" s="8" t="n">
        <v>175</v>
      </c>
      <c r="BA514" s="11" t="n">
        <f>IF(AND(COUNT(AX514:AZ514)=3,AX514&gt;=AY514,AY514&gt;=0,AZ514&gt;0),(AX514-AY514)/AZ514,"")</f>
        <v>0</v>
      </c>
      <c r="BB514" s="8" t="n">
        <f>IF(COUNT(AS514,AW514,BA514)=3,1,0)</f>
        <v>1</v>
      </c>
      <c r="BC514" s="11" t="n">
        <f>IF(SUMIF($AO$11:$AO$1309,AO514,$BB$11:$BB$1309)=COUNTIF($AO$11:$AO$1309,AO514),SUMIF($AO$11:$AO$1309,AO514,$AS$11:$AS$1309),"")</f>
        <v>0</v>
      </c>
      <c r="BD514" s="11" t="n">
        <f>IF(SUMIF($AO$11:$AO$1309,AO514,$BB$11:$BB$1309)=COUNTIF($AO$11:$AO$1309,AO514),SUMIF($AO$11:$AO$1309,AO514,$AW$11:$AW$1309),"")</f>
        <v>0.056818181818181816</v>
      </c>
      <c r="BE514" s="11" t="n">
        <f>IF(SUMIF($AO$11:$AO$1309,AO514,$BB$11:$BB$1309)=COUNTIF($AO$11:$AO$1309,AO514),SUMIF($AO$11:$AO$1309,AO514,$BA$11:$BA$1309),"")</f>
        <v>0.1016051364365971</v>
      </c>
      <c r="BF514" s="12" t="n">
        <f>IF(COUNT(BD514:BE514)&lt;&gt;2,"",IF(AND(BD514&gt;0,BE514&gt;0),0.7*AW514/BD514+0.3*BA514/BE514,IF(BD514&gt;0,AW514/BD514,IF(BE514&gt;0,BA514/BE514,IF(AND(ISNUMBER(BH514),BH514=0),0,"")))))</f>
        <v>0</v>
      </c>
      <c r="BG514" s="11" t="n">
        <f>IF(AND(COUNT(BN514:BU514)=8,MIN(BN514:BU514)&gt;=0),SUMPRODUCT(BN514:BQ514,BR514:BU514),"")</f>
        <v>63.935996265425516</v>
      </c>
      <c r="BH514" s="11" t="n">
        <f>IF(COUNT(BC514,BG514)=2,BC514*BG514,"")</f>
        <v>0</v>
      </c>
      <c r="BI514" s="11" t="n">
        <f>IF(ISNUMBER(CI514),CI514,"")</f>
        <v>0</v>
      </c>
      <c r="BJ514" s="8" t="str">
        <v>低销提醒依据不完整</v>
      </c>
      <c r="BK514" s="8" t="str">
        <v>90天：2026-07-20 至 2026-10-17；180天：2026-04-21 至 2026-10-17</v>
      </c>
      <c r="BL514" s="8" t="str">
        <v>90天：2026-10-06、2026-10-07、2026-10-12、2026-10-13、2026-10-16；180天：2026-10-06、2026-10-07、2026-10-12、2026-10-13、2026-10-16</v>
      </c>
      <c r="BM514" s="8" t="str">
        <v>2026-10：12天 × 0.8729500662042875；2026-11：30天 × 0.8057375774163482；2026-12：31天 × 0.532550303142279；2027-01：17天 × 0.7517299265337036</v>
      </c>
      <c r="BN514" s="11" t="n">
        <v>0.8729500662042875</v>
      </c>
      <c r="BO514" s="11" t="n">
        <v>0.8057375774163482</v>
      </c>
      <c r="BP514" s="11" t="n">
        <v>0.532550303142279</v>
      </c>
      <c r="BQ514" s="11" t="n">
        <v>0.7517299265337036</v>
      </c>
      <c r="BR514" s="8" t="n">
        <v>12</v>
      </c>
      <c r="BS514" s="8" t="n">
        <v>30</v>
      </c>
      <c r="BT514" s="8" t="n">
        <v>31</v>
      </c>
      <c r="BU514" s="8" t="n">
        <v>17</v>
      </c>
      <c r="BV514" s="11" t="n">
        <f>IF(COUNT(BC514,BF514)=2,BC514*BF514,"")</f>
        <v>0</v>
      </c>
      <c r="BW514" s="11" t="n">
        <f>IF(ISNUMBER(BN514),BN514,"")</f>
        <v>0.8729500662042875</v>
      </c>
      <c r="BX514" s="14" t="n">
        <f>IF(ISNUMBER(BR514),BR514,"")</f>
        <v>12</v>
      </c>
      <c r="BY514" s="13" t="n">
        <f>IF(AND(COUNT(BV514,BW514,BX514)=3,MIN(BV514,BW514,BX514)&gt;=0),BV514*BW514*BX514,"")</f>
        <v>0</v>
      </c>
      <c r="BZ514" s="11" t="n">
        <f>IF(ISNUMBER(BO514),BO514,"")</f>
        <v>0.8057375774163482</v>
      </c>
      <c r="CA514" s="14" t="n">
        <f>IF(ISNUMBER(BS514),BS514,"")</f>
        <v>30</v>
      </c>
      <c r="CB514" s="13" t="n">
        <f>IF(AND(COUNT(BV514,BZ514,CA514)=3,MIN(BV514,BZ514,CA514)&gt;=0),BV514*BZ514*CA514,"")</f>
        <v>0</v>
      </c>
      <c r="CC514" s="11" t="n">
        <f>IF(ISNUMBER(BP514),BP514,"")</f>
        <v>0.532550303142279</v>
      </c>
      <c r="CD514" s="14" t="n">
        <f>IF(ISNUMBER(BT514),BT514,"")</f>
        <v>31</v>
      </c>
      <c r="CE514" s="13" t="n">
        <f>IF(AND(COUNT(BV514,CC514,CD514)=3,MIN(BV514,CC514,CD514)&gt;=0),BV514*CC514*CD514,"")</f>
        <v>0</v>
      </c>
      <c r="CF514" s="11" t="n">
        <f>IF(ISNUMBER(BQ514),BQ514,"")</f>
        <v>0.7517299265337036</v>
      </c>
      <c r="CG514" s="14" t="n">
        <f>IF(ISNUMBER(BU514),BU514,"")</f>
        <v>17</v>
      </c>
      <c r="CH514" s="13" t="n">
        <f>IF(AND(COUNT(BV514,CF514,CG514)=3,MIN(BV514,CF514,CG514)&gt;=0),BV514*CF514*CG514,"")</f>
        <v>0</v>
      </c>
      <c r="CI514" s="13" t="n">
        <f>IF(COUNT(BY514,CB514,CE514,CH514)=4,SUM(BY514,CB514,CE514,CH514),"")</f>
        <v>0</v>
      </c>
    </row>
    <row r="515" ht="72" customHeight="1">
      <c r="A515" s="16" t="str">
        <v>1S01-LP-42</v>
      </c>
      <c r="B515" s="16" t="str">
        <v>3店-SANDIEX-US</v>
      </c>
      <c r="C515" s="16" t="str">
        <v>徐新怡</v>
      </c>
      <c r="D515" s="26" t="n">
        <f>IF(NOT(ISNUMBER(E515)),"",IF(OR(E515&lt;=0,L515=0),0,IF(OR(NOT(ISNUMBER(F515)),F515&lt;0),"",MIN(E515,INT(F515)))))</f>
        <v>0</v>
      </c>
      <c r="E515" s="27" t="n">
        <f>IF(OR(NOT(ISNUMBER(L515)),COUNT(M515:O515)&lt;&gt;3,MIN(M515:O515)&lt;0),"",ROUNDUP(ROUND(BI515-SUM(M515:O515),10),0))</f>
        <v>0</v>
      </c>
      <c r="F515" s="28"/>
      <c r="G515" s="28" t="n">
        <f>IF(AND(ISNUMBER(D515),ISNUMBER(E515)),IF(OR(E515&lt;=0,L515=0),0,E515-D515),"")</f>
        <v>0</v>
      </c>
      <c r="H515" s="16" t="str">
        <f>IF(NOT(ISNUMBER(E515)),"销量或海外库存待补",IF(OR(E515&lt;=0,L515=0),IF(L515=0,"零日销，本批不发","本批无需补货"),IF(NOT(ISNUMBER(D515)),"国内库存待补",IF(D515=0,"国内无可用库存",IF(G515&gt;0,"先发国内现货","按建议量发货")))))</f>
        <v>零日销，本批不发</v>
      </c>
      <c r="I515" s="28" t="n">
        <f>IF(AND(COUNT(Z515,AA515,AB515)=3,Z515&gt;=AA515,AA515&gt;=0,AB515=7),Z515-AA515,"")</f>
        <v>0</v>
      </c>
      <c r="J515" s="28" t="n">
        <f>IF(AND(COUNT(AF515,AG515,AH515)=3,AF515&gt;=AG515,AG515&gt;=0,AH515=14),AF515-AG515,"")</f>
        <v>0</v>
      </c>
      <c r="K515" s="28" t="n">
        <f>IF(AND(COUNT(AL515,AM515,AN515)=3,AL515&gt;=AM515,AM515&gt;=0,AN515=30),AL515-AM515,"")</f>
        <v>0</v>
      </c>
      <c r="L515" s="29" t="n">
        <f>IF(ISNUMBER(BI515),BI515/90,"")</f>
        <v>0</v>
      </c>
      <c r="M515" s="28" t="n">
        <v>0</v>
      </c>
      <c r="N515" s="28" t="n">
        <v>0</v>
      </c>
      <c r="O515" s="28" t="n">
        <v>0</v>
      </c>
      <c r="P515" s="30" t="str">
        <f>IF(AND(ISNUMBER(L515),L515&gt;0,COUNT(M515:O515)=3,MIN(M515:O515)&gt;=0),SUM(M515:O515)/L515,"")</f>
      </c>
      <c r="Q515" s="16" t="str">
        <v>沿用原计划SKU店铺</v>
      </c>
      <c r="R515" s="16" t="str">
        <v>未匹配</v>
      </c>
      <c r="S515" s="16" t="str">
        <v>停售</v>
      </c>
      <c r="T515" s="16" t="str">
        <v>1S01</v>
      </c>
      <c r="U515" s="16" t="str">
        <v>香芋紫</v>
      </c>
      <c r="V515" s="16" t="n">
        <v>11</v>
      </c>
      <c r="W515" s="8" t="str">
        <v>2026-10-08 至 2026-10-17</v>
      </c>
      <c r="X515" s="8" t="str">
        <v>2026-10-08、2026-10-09、2026-10-10、2026-10-11、2026-10-14、2026-10-15、2026-10-17</v>
      </c>
      <c r="Y515" s="8" t="str">
        <v>2026-10-12 有记录的停售日；2026-10-13 有记录的停售日；2026-10-16 有记录的停售日</v>
      </c>
      <c r="Z515" s="8" t="n">
        <v>0</v>
      </c>
      <c r="AA515" s="8" t="n">
        <v>0</v>
      </c>
      <c r="AB515" s="8" t="n">
        <v>7</v>
      </c>
      <c r="AC515" s="8" t="str">
        <v>2026-09-29 至 2026-10-17</v>
      </c>
      <c r="AD515" s="8" t="str">
        <v>2026-09-29、2026-09-30、2026-10-01、2026-10-02、2026-10-03、2026-10-04、2026-10-05、2026-10-08、2026-10-09、2026-10-10、2026-10-11、2026-10-14、2026-10-15、2026-10-17</v>
      </c>
      <c r="AE515" s="8" t="str">
        <v>2026-10-06 大促；2026-10-07 大促；2026-10-12 有记录的停售日；2026-10-13 有记录的停售日；2026-10-16 有记录的停售日</v>
      </c>
      <c r="AF515" s="8" t="n">
        <v>0</v>
      </c>
      <c r="AG515" s="8" t="n">
        <v>0</v>
      </c>
      <c r="AH515" s="8" t="n">
        <v>14</v>
      </c>
      <c r="AI515" s="8" t="str">
        <v>2026-09-13 至 2026-10-17</v>
      </c>
      <c r="AJ5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5" s="8" t="str">
        <v>2026-10-06 大促；2026-10-07 大促；2026-10-12 有记录的停售日；2026-10-13 有记录的停售日；2026-10-16 有记录的停售日</v>
      </c>
      <c r="AL515" s="8" t="n">
        <v>0</v>
      </c>
      <c r="AM515" s="8" t="n">
        <v>0</v>
      </c>
      <c r="AN515" s="8" t="n">
        <v>30</v>
      </c>
      <c r="AO515" s="8" t="str">
        <v>1S01 / 香芋紫羊京绒 / 6574</v>
      </c>
      <c r="AP515" s="11" t="n">
        <v>0.8729500662042875</v>
      </c>
      <c r="AQ515" s="11" t="n">
        <v>0.9355747145678367</v>
      </c>
      <c r="AR515" s="11" t="n">
        <v>1.135973589331194</v>
      </c>
      <c r="AS515" s="11" t="n">
        <f>IF(AND(COUNT(I515:K515,AP515:AR515)=6,MIN(AP515:AR515)&gt;0),I515/7/AP515*0.5+J515/14/AQ515*0.3+K515/30/AR515*0.2,"")</f>
        <v>0</v>
      </c>
      <c r="AT515" s="8" t="n">
        <v>0</v>
      </c>
      <c r="AU515" s="8" t="n">
        <v>0</v>
      </c>
      <c r="AV515" s="8" t="n">
        <v>85</v>
      </c>
      <c r="AW515" s="11" t="n">
        <f>IF(AND(COUNT(AT515:AV515)=3,AT515&gt;=AU515,AU515&gt;=0,AV515&gt;0),(AT515-AU515)/AV515,"")</f>
        <v>0</v>
      </c>
      <c r="AX515" s="8" t="n">
        <v>0</v>
      </c>
      <c r="AY515" s="8" t="n">
        <v>0</v>
      </c>
      <c r="AZ515" s="8" t="n">
        <v>175</v>
      </c>
      <c r="BA515" s="11" t="n">
        <f>IF(AND(COUNT(AX515:AZ515)=3,AX515&gt;=AY515,AY515&gt;=0,AZ515&gt;0),(AX515-AY515)/AZ515,"")</f>
        <v>0</v>
      </c>
      <c r="BB515" s="8" t="n">
        <f>IF(COUNT(AS515,AW515,BA515)=3,1,0)</f>
        <v>1</v>
      </c>
      <c r="BC515" s="11" t="n">
        <f>IF(SUMIF($AO$11:$AO$1309,AO515,$BB$11:$BB$1309)=COUNTIF($AO$11:$AO$1309,AO515),SUMIF($AO$11:$AO$1309,AO515,$AS$11:$AS$1309),"")</f>
        <v>0</v>
      </c>
      <c r="BD515" s="11" t="n">
        <f>IF(SUMIF($AO$11:$AO$1309,AO515,$BB$11:$BB$1309)=COUNTIF($AO$11:$AO$1309,AO515),SUMIF($AO$11:$AO$1309,AO515,$AW$11:$AW$1309),"")</f>
        <v>0.056818181818181816</v>
      </c>
      <c r="BE515" s="11" t="n">
        <f>IF(SUMIF($AO$11:$AO$1309,AO515,$BB$11:$BB$1309)=COUNTIF($AO$11:$AO$1309,AO515),SUMIF($AO$11:$AO$1309,AO515,$BA$11:$BA$1309),"")</f>
        <v>0.1016051364365971</v>
      </c>
      <c r="BF515" s="12" t="n">
        <f>IF(COUNT(BD515:BE515)&lt;&gt;2,"",IF(AND(BD515&gt;0,BE515&gt;0),0.7*AW515/BD515+0.3*BA515/BE515,IF(BD515&gt;0,AW515/BD515,IF(BE515&gt;0,BA515/BE515,IF(AND(ISNUMBER(BH515),BH515=0),0,"")))))</f>
        <v>0</v>
      </c>
      <c r="BG515" s="11" t="n">
        <f>IF(AND(COUNT(BN515:BU515)=8,MIN(BN515:BU515)&gt;=0),SUMPRODUCT(BN515:BQ515,BR515:BU515),"")</f>
        <v>63.935996265425516</v>
      </c>
      <c r="BH515" s="11" t="n">
        <f>IF(COUNT(BC515,BG515)=2,BC515*BG515,"")</f>
        <v>0</v>
      </c>
      <c r="BI515" s="11" t="n">
        <f>IF(ISNUMBER(CI515),CI515,"")</f>
        <v>0</v>
      </c>
      <c r="BJ515" s="8" t="str">
        <v>低销提醒依据不完整</v>
      </c>
      <c r="BK515" s="8" t="str">
        <v>90天：2026-07-20 至 2026-10-17；180天：2026-04-21 至 2026-10-17</v>
      </c>
      <c r="BL515" s="8" t="str">
        <v>90天：2026-10-06、2026-10-07、2026-10-12、2026-10-13、2026-10-16；180天：2026-10-06、2026-10-07、2026-10-12、2026-10-13、2026-10-16</v>
      </c>
      <c r="BM515" s="8" t="str">
        <v>2026-10：12天 × 0.8729500662042875；2026-11：30天 × 0.8057375774163482；2026-12：31天 × 0.532550303142279；2027-01：17天 × 0.7517299265337036</v>
      </c>
      <c r="BN515" s="11" t="n">
        <v>0.8729500662042875</v>
      </c>
      <c r="BO515" s="11" t="n">
        <v>0.8057375774163482</v>
      </c>
      <c r="BP515" s="11" t="n">
        <v>0.532550303142279</v>
      </c>
      <c r="BQ515" s="11" t="n">
        <v>0.7517299265337036</v>
      </c>
      <c r="BR515" s="8" t="n">
        <v>12</v>
      </c>
      <c r="BS515" s="8" t="n">
        <v>30</v>
      </c>
      <c r="BT515" s="8" t="n">
        <v>31</v>
      </c>
      <c r="BU515" s="8" t="n">
        <v>17</v>
      </c>
      <c r="BV515" s="11" t="n">
        <f>IF(COUNT(BC515,BF515)=2,BC515*BF515,"")</f>
        <v>0</v>
      </c>
      <c r="BW515" s="11" t="n">
        <f>IF(ISNUMBER(BN515),BN515,"")</f>
        <v>0.8729500662042875</v>
      </c>
      <c r="BX515" s="14" t="n">
        <f>IF(ISNUMBER(BR515),BR515,"")</f>
        <v>12</v>
      </c>
      <c r="BY515" s="13" t="n">
        <f>IF(AND(COUNT(BV515,BW515,BX515)=3,MIN(BV515,BW515,BX515)&gt;=0),BV515*BW515*BX515,"")</f>
        <v>0</v>
      </c>
      <c r="BZ515" s="11" t="n">
        <f>IF(ISNUMBER(BO515),BO515,"")</f>
        <v>0.8057375774163482</v>
      </c>
      <c r="CA515" s="14" t="n">
        <f>IF(ISNUMBER(BS515),BS515,"")</f>
        <v>30</v>
      </c>
      <c r="CB515" s="13" t="n">
        <f>IF(AND(COUNT(BV515,BZ515,CA515)=3,MIN(BV515,BZ515,CA515)&gt;=0),BV515*BZ515*CA515,"")</f>
        <v>0</v>
      </c>
      <c r="CC515" s="11" t="n">
        <f>IF(ISNUMBER(BP515),BP515,"")</f>
        <v>0.532550303142279</v>
      </c>
      <c r="CD515" s="14" t="n">
        <f>IF(ISNUMBER(BT515),BT515,"")</f>
        <v>31</v>
      </c>
      <c r="CE515" s="13" t="n">
        <f>IF(AND(COUNT(BV515,CC515,CD515)=3,MIN(BV515,CC515,CD515)&gt;=0),BV515*CC515*CD515,"")</f>
        <v>0</v>
      </c>
      <c r="CF515" s="11" t="n">
        <f>IF(ISNUMBER(BQ515),BQ515,"")</f>
        <v>0.7517299265337036</v>
      </c>
      <c r="CG515" s="14" t="n">
        <f>IF(ISNUMBER(BU515),BU515,"")</f>
        <v>17</v>
      </c>
      <c r="CH515" s="13" t="n">
        <f>IF(AND(COUNT(BV515,CF515,CG515)=3,MIN(BV515,CF515,CG515)&gt;=0),BV515*CF515*CG515,"")</f>
        <v>0</v>
      </c>
      <c r="CI515" s="13" t="n">
        <f>IF(COUNT(BY515,CB515,CE515,CH515)=4,SUM(BY515,CB515,CE515,CH515),"")</f>
        <v>0</v>
      </c>
    </row>
    <row r="516" ht="72" customHeight="1">
      <c r="A516" s="16" t="str">
        <v>1S01-ND-10</v>
      </c>
      <c r="B516" s="16" t="str">
        <v>3店-SANDIEX-US</v>
      </c>
      <c r="C516" s="16" t="str">
        <v>徐新怡</v>
      </c>
      <c r="D516" s="26" t="n">
        <f>IF(NOT(ISNUMBER(E516)),"",IF(OR(E516&lt;=0,L516=0),0,IF(OR(NOT(ISNUMBER(F516)),F516&lt;0),"",MIN(E516,INT(F516)))))</f>
        <v>0</v>
      </c>
      <c r="E516" s="27" t="n">
        <f>IF(OR(NOT(ISNUMBER(L516)),COUNT(M516:O516)&lt;&gt;3,MIN(M516:O516)&lt;0),"",ROUNDUP(ROUND(BI516-SUM(M516:O516),10),0))</f>
        <v>0</v>
      </c>
      <c r="F516" s="28" t="n">
        <v>20</v>
      </c>
      <c r="G516" s="28" t="n">
        <f>IF(AND(ISNUMBER(D516),ISNUMBER(E516)),IF(OR(E516&lt;=0,L516=0),0,E516-D516),"")</f>
        <v>0</v>
      </c>
      <c r="H516" s="16" t="str">
        <f>IF(NOT(ISNUMBER(E516)),"销量或海外库存待补",IF(OR(E516&lt;=0,L516=0),IF(L516=0,"零日销，本批不发","本批无需补货"),IF(NOT(ISNUMBER(D516)),"国内库存待补",IF(D516=0,"国内无可用库存",IF(G516&gt;0,"先发国内现货","按建议量发货")))))</f>
        <v>零日销，本批不发</v>
      </c>
      <c r="I516" s="28" t="n">
        <f>IF(AND(COUNT(Z516,AA516,AB516)=3,Z516&gt;=AA516,AA516&gt;=0,AB516=7),Z516-AA516,"")</f>
        <v>0</v>
      </c>
      <c r="J516" s="28" t="n">
        <f>IF(AND(COUNT(AF516,AG516,AH516)=3,AF516&gt;=AG516,AG516&gt;=0,AH516=14),AF516-AG516,"")</f>
        <v>0</v>
      </c>
      <c r="K516" s="28" t="n">
        <f>IF(AND(COUNT(AL516,AM516,AN516)=3,AL516&gt;=AM516,AM516&gt;=0,AN516=30),AL516-AM516,"")</f>
        <v>0</v>
      </c>
      <c r="L516" s="29" t="n">
        <f>IF(ISNUMBER(BI516),BI516/90,"")</f>
        <v>0</v>
      </c>
      <c r="M516" s="28" t="n">
        <v>0</v>
      </c>
      <c r="N516" s="28" t="n">
        <v>0</v>
      </c>
      <c r="O516" s="28" t="n">
        <v>0</v>
      </c>
      <c r="P516" s="30" t="str">
        <f>IF(AND(ISNUMBER(L516),L516&gt;0,COUNT(M516:O516)=3,MIN(M516:O516)&gt;=0),SUM(M516:O516)/L516,"")</f>
      </c>
      <c r="Q516" s="16" t="str">
        <v>沿用原计划SKU店铺</v>
      </c>
      <c r="R516" s="16" t="str">
        <v>已匹配</v>
      </c>
      <c r="S516" s="16" t="str">
        <v>在售</v>
      </c>
      <c r="T516" s="16" t="str">
        <v>1S01</v>
      </c>
      <c r="U516" s="16" t="str">
        <v>裸色</v>
      </c>
      <c r="V516" s="16" t="n">
        <v>10</v>
      </c>
      <c r="W516" s="8" t="str">
        <v>2026-10-08 至 2026-10-17</v>
      </c>
      <c r="X516" s="8" t="str">
        <v>2026-10-08、2026-10-09、2026-10-10、2026-10-11、2026-10-14、2026-10-15、2026-10-17</v>
      </c>
      <c r="Y516" s="8" t="str">
        <v>2026-10-12 有记录的停售日；2026-10-13 有记录的停售日；2026-10-16 有记录的停售日</v>
      </c>
      <c r="Z516" s="8" t="n">
        <v>0</v>
      </c>
      <c r="AA516" s="8" t="n">
        <v>0</v>
      </c>
      <c r="AB516" s="8" t="n">
        <v>7</v>
      </c>
      <c r="AC516" s="8" t="str">
        <v>2026-09-29 至 2026-10-17</v>
      </c>
      <c r="AD516" s="8" t="str">
        <v>2026-09-29、2026-09-30、2026-10-01、2026-10-02、2026-10-03、2026-10-04、2026-10-05、2026-10-08、2026-10-09、2026-10-10、2026-10-11、2026-10-14、2026-10-15、2026-10-17</v>
      </c>
      <c r="AE516" s="8" t="str">
        <v>2026-10-06 大促；2026-10-07 大促；2026-10-12 有记录的停售日；2026-10-13 有记录的停售日；2026-10-16 有记录的停售日</v>
      </c>
      <c r="AF516" s="8" t="n">
        <v>0</v>
      </c>
      <c r="AG516" s="8" t="n">
        <v>0</v>
      </c>
      <c r="AH516" s="8" t="n">
        <v>14</v>
      </c>
      <c r="AI516" s="8" t="str">
        <v>2026-09-13 至 2026-10-17</v>
      </c>
      <c r="AJ51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6" s="8" t="str">
        <v>2026-10-06 大促；2026-10-07 大促；2026-10-12 有记录的停售日；2026-10-13 有记录的停售日；2026-10-16 有记录的停售日</v>
      </c>
      <c r="AL516" s="8" t="n">
        <v>0</v>
      </c>
      <c r="AM516" s="8" t="n">
        <v>0</v>
      </c>
      <c r="AN516" s="8" t="n">
        <v>30</v>
      </c>
      <c r="AO516" s="8" t="str">
        <v>1S01 / 裸色PU / 6574</v>
      </c>
      <c r="AP516" s="11" t="n">
        <v>0.8729500662042875</v>
      </c>
      <c r="AQ516" s="11" t="n">
        <v>0.9355747145678367</v>
      </c>
      <c r="AR516" s="11" t="n">
        <v>1.135973589331194</v>
      </c>
      <c r="AS516" s="11" t="n">
        <f>IF(AND(COUNT(I516:K516,AP516:AR516)=6,MIN(AP516:AR516)&gt;0),I516/7/AP516*0.5+J516/14/AQ516*0.3+K516/30/AR516*0.2,"")</f>
        <v>0</v>
      </c>
      <c r="AT516" s="8" t="n">
        <v>0</v>
      </c>
      <c r="AU516" s="8" t="n">
        <v>0</v>
      </c>
      <c r="AV516" s="8" t="n">
        <v>85</v>
      </c>
      <c r="AW516" s="11" t="n">
        <f>IF(AND(COUNT(AT516:AV516)=3,AT516&gt;=AU516,AU516&gt;=0,AV516&gt;0),(AT516-AU516)/AV516,"")</f>
        <v>0</v>
      </c>
      <c r="AX516" s="8" t="n">
        <v>0</v>
      </c>
      <c r="AY516" s="8" t="n">
        <v>0</v>
      </c>
      <c r="AZ516" s="8" t="n">
        <v>175</v>
      </c>
      <c r="BA516" s="11" t="n">
        <f>IF(AND(COUNT(AX516:AZ516)=3,AX516&gt;=AY516,AY516&gt;=0,AZ516&gt;0),(AX516-AY516)/AZ516,"")</f>
        <v>0</v>
      </c>
      <c r="BB516" s="8" t="n">
        <f>IF(COUNT(AS516,AW516,BA516)=3,1,0)</f>
        <v>1</v>
      </c>
      <c r="BC516" s="11" t="n">
        <f>IF(SUMIF($AO$11:$AO$1309,AO516,$BB$11:$BB$1309)=COUNTIF($AO$11:$AO$1309,AO516),SUMIF($AO$11:$AO$1309,AO516,$AS$11:$AS$1309),"")</f>
        <v>0.2859633770638296</v>
      </c>
      <c r="BD516" s="11" t="n">
        <f>IF(SUMIF($AO$11:$AO$1309,AO516,$BB$11:$BB$1309)=COUNTIF($AO$11:$AO$1309,AO516),SUMIF($AO$11:$AO$1309,AO516,$AW$11:$AW$1309),"")</f>
        <v>0.262539184952978</v>
      </c>
      <c r="BE516" s="11" t="n">
        <f>IF(SUMIF($AO$11:$AO$1309,AO516,$BB$11:$BB$1309)=COUNTIF($AO$11:$AO$1309,AO516),SUMIF($AO$11:$AO$1309,AO516,$BA$11:$BA$1309),"")</f>
        <v>0.3826890116168349</v>
      </c>
      <c r="BF516" s="12" t="n">
        <f>IF(COUNT(BD516:BE516)&lt;&gt;2,"",IF(AND(BD516&gt;0,BE516&gt;0),0.7*AW516/BD516+0.3*BA516/BE516,IF(BD516&gt;0,AW516/BD516,IF(BE516&gt;0,BA516/BE516,IF(AND(ISNUMBER(BH516),BH516=0),0,"")))))</f>
        <v>0</v>
      </c>
      <c r="BG516" s="11" t="n">
        <f>IF(AND(COUNT(BN516:BU516)=8,MIN(BN516:BU516)&gt;=0),SUMPRODUCT(BN516:BQ516,BR516:BU516),"")</f>
        <v>63.935996265425516</v>
      </c>
      <c r="BH516" s="11" t="n">
        <f>IF(COUNT(BC516,BG516)=2,BC516*BG516,"")</f>
        <v>18.283353408001478</v>
      </c>
      <c r="BI516" s="11" t="n">
        <f>IF(ISNUMBER(CI516),CI516,"")</f>
        <v>0</v>
      </c>
      <c r="BJ516" s="8" t="str">
        <v>低销提醒依据不完整</v>
      </c>
      <c r="BK516" s="8" t="str">
        <v>90天：2026-07-20 至 2026-10-17；180天：2026-04-21 至 2026-10-17</v>
      </c>
      <c r="BL516" s="8" t="str">
        <v>90天：2026-10-06、2026-10-07、2026-10-12、2026-10-13、2026-10-16；180天：2026-10-06、2026-10-07、2026-10-12、2026-10-13、2026-10-16</v>
      </c>
      <c r="BM516" s="8" t="str">
        <v>2026-10：12天 × 0.8729500662042875；2026-11：30天 × 0.8057375774163482；2026-12：31天 × 0.532550303142279；2027-01：17天 × 0.7517299265337036</v>
      </c>
      <c r="BN516" s="11" t="n">
        <v>0.8729500662042875</v>
      </c>
      <c r="BO516" s="11" t="n">
        <v>0.8057375774163482</v>
      </c>
      <c r="BP516" s="11" t="n">
        <v>0.532550303142279</v>
      </c>
      <c r="BQ516" s="11" t="n">
        <v>0.7517299265337036</v>
      </c>
      <c r="BR516" s="8" t="n">
        <v>12</v>
      </c>
      <c r="BS516" s="8" t="n">
        <v>30</v>
      </c>
      <c r="BT516" s="8" t="n">
        <v>31</v>
      </c>
      <c r="BU516" s="8" t="n">
        <v>17</v>
      </c>
      <c r="BV516" s="11" t="n">
        <f>IF(COUNT(BC516,BF516)=2,BC516*BF516,"")</f>
        <v>0</v>
      </c>
      <c r="BW516" s="11" t="n">
        <f>IF(ISNUMBER(BN516),BN516,"")</f>
        <v>0.8729500662042875</v>
      </c>
      <c r="BX516" s="14" t="n">
        <f>IF(ISNUMBER(BR516),BR516,"")</f>
        <v>12</v>
      </c>
      <c r="BY516" s="13" t="n">
        <f>IF(AND(COUNT(BV516,BW516,BX516)=3,MIN(BV516,BW516,BX516)&gt;=0),BV516*BW516*BX516,"")</f>
        <v>0</v>
      </c>
      <c r="BZ516" s="11" t="n">
        <f>IF(ISNUMBER(BO516),BO516,"")</f>
        <v>0.8057375774163482</v>
      </c>
      <c r="CA516" s="14" t="n">
        <f>IF(ISNUMBER(BS516),BS516,"")</f>
        <v>30</v>
      </c>
      <c r="CB516" s="13" t="n">
        <f>IF(AND(COUNT(BV516,BZ516,CA516)=3,MIN(BV516,BZ516,CA516)&gt;=0),BV516*BZ516*CA516,"")</f>
        <v>0</v>
      </c>
      <c r="CC516" s="11" t="n">
        <f>IF(ISNUMBER(BP516),BP516,"")</f>
        <v>0.532550303142279</v>
      </c>
      <c r="CD516" s="14" t="n">
        <f>IF(ISNUMBER(BT516),BT516,"")</f>
        <v>31</v>
      </c>
      <c r="CE516" s="13" t="n">
        <f>IF(AND(COUNT(BV516,CC516,CD516)=3,MIN(BV516,CC516,CD516)&gt;=0),BV516*CC516*CD516,"")</f>
        <v>0</v>
      </c>
      <c r="CF516" s="11" t="n">
        <f>IF(ISNUMBER(BQ516),BQ516,"")</f>
        <v>0.7517299265337036</v>
      </c>
      <c r="CG516" s="14" t="n">
        <f>IF(ISNUMBER(BU516),BU516,"")</f>
        <v>17</v>
      </c>
      <c r="CH516" s="13" t="n">
        <f>IF(AND(COUNT(BV516,CF516,CG516)=3,MIN(BV516,CF516,CG516)&gt;=0),BV516*CF516*CG516,"")</f>
        <v>0</v>
      </c>
      <c r="CI516" s="13" t="n">
        <f>IF(COUNT(BY516,CB516,CE516,CH516)=4,SUM(BY516,CB516,CE516,CH516),"")</f>
        <v>0</v>
      </c>
    </row>
    <row r="517" ht="72" customHeight="1">
      <c r="A517" s="16" t="str">
        <v>1S01-ND-11</v>
      </c>
      <c r="B517" s="16" t="str">
        <v>3店-SANDIEX-US</v>
      </c>
      <c r="C517" s="16" t="str">
        <v>徐新怡</v>
      </c>
      <c r="D517" s="26" t="n">
        <f>IF(NOT(ISNUMBER(E517)),"",IF(OR(E517&lt;=0,L517=0),0,IF(OR(NOT(ISNUMBER(F517)),F517&lt;0),"",MIN(E517,INT(F517)))))</f>
        <v>0</v>
      </c>
      <c r="E517" s="27" t="n">
        <f>IF(OR(NOT(ISNUMBER(L517)),COUNT(M517:O517)&lt;&gt;3,MIN(M517:O517)&lt;0),"",ROUNDUP(ROUND(BI517-SUM(M517:O517),10),0))</f>
        <v>-18</v>
      </c>
      <c r="F517" s="28" t="n">
        <v>0</v>
      </c>
      <c r="G517" s="28" t="n">
        <f>IF(AND(ISNUMBER(D517),ISNUMBER(E517)),IF(OR(E517&lt;=0,L517=0),0,E517-D517),"")</f>
        <v>0</v>
      </c>
      <c r="H517" s="16" t="str">
        <f>IF(NOT(ISNUMBER(E517)),"销量或海外库存待补",IF(OR(E517&lt;=0,L517=0),IF(L517=0,"零日销，本批不发","本批无需补货"),IF(NOT(ISNUMBER(D517)),"国内库存待补",IF(D517=0,"国内无可用库存",IF(G517&gt;0,"先发国内现货","按建议量发货")))))</f>
        <v>本批无需补货</v>
      </c>
      <c r="I517" s="28" t="n">
        <f>IF(AND(COUNT(Z517,AA517,AB517)=3,Z517&gt;=AA517,AA517&gt;=0,AB517=7),Z517-AA517,"")</f>
        <v>0</v>
      </c>
      <c r="J517" s="28" t="n">
        <f>IF(AND(COUNT(AF517,AG517,AH517)=3,AF517&gt;=AG517,AG517&gt;=0,AH517=14),AF517-AG517,"")</f>
        <v>0</v>
      </c>
      <c r="K517" s="28" t="n">
        <f>IF(AND(COUNT(AL517,AM517,AN517)=3,AL517&gt;=AM517,AM517&gt;=0,AN517=30),AL517-AM517,"")</f>
        <v>0</v>
      </c>
      <c r="L517" s="29" t="n">
        <f>IF(ISNUMBER(BI517),BI517/90,"")</f>
        <v>0.024835730137548244</v>
      </c>
      <c r="M517" s="28" t="n">
        <v>0</v>
      </c>
      <c r="N517" s="28" t="n">
        <v>0</v>
      </c>
      <c r="O517" s="28" t="n">
        <v>20</v>
      </c>
      <c r="P517" s="30" t="n">
        <f>IF(AND(ISNUMBER(L517),L517&gt;0,COUNT(M517:O517)=3,MIN(M517:O517)&gt;=0),SUM(M517:O517)/L517,"")</f>
        <v>805.2914043289077</v>
      </c>
      <c r="Q517" s="16" t="str">
        <v>沿用原计划SKU店铺</v>
      </c>
      <c r="R517" s="16" t="str">
        <v>已匹配</v>
      </c>
      <c r="S517" s="16" t="str">
        <v>在售</v>
      </c>
      <c r="T517" s="16" t="str">
        <v>1S01</v>
      </c>
      <c r="U517" s="16" t="str">
        <v>裸色</v>
      </c>
      <c r="V517" s="16" t="n">
        <v>11</v>
      </c>
      <c r="W517" s="8" t="str">
        <v>2026-10-11 至 2026-10-17</v>
      </c>
      <c r="X517" s="8" t="str">
        <v>2026-10-11、2026-10-12、2026-10-13、2026-10-14、2026-10-15、2026-10-16、2026-10-17</v>
      </c>
      <c r="Y517" s="8" t="str">
        <v>无</v>
      </c>
      <c r="Z517" s="8" t="n">
        <v>0</v>
      </c>
      <c r="AA517" s="8" t="n">
        <v>0</v>
      </c>
      <c r="AB517" s="8" t="n">
        <v>7</v>
      </c>
      <c r="AC517" s="8" t="str">
        <v>2026-10-02 至 2026-10-17</v>
      </c>
      <c r="AD517" s="8" t="str">
        <v>2026-10-02、2026-10-03、2026-10-04、2026-10-05、2026-10-08、2026-10-09、2026-10-10、2026-10-11、2026-10-12、2026-10-13、2026-10-14、2026-10-15、2026-10-16、2026-10-17</v>
      </c>
      <c r="AE517" s="8" t="str">
        <v>2026-10-06 大促；2026-10-07 大促</v>
      </c>
      <c r="AF517" s="8" t="n">
        <v>0</v>
      </c>
      <c r="AG517" s="8" t="n">
        <v>0</v>
      </c>
      <c r="AH517" s="8" t="n">
        <v>14</v>
      </c>
      <c r="AI517" s="8" t="str">
        <v>2026-09-16 至 2026-10-17</v>
      </c>
      <c r="AJ5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17" s="8" t="str">
        <v>2026-10-06 大促；2026-10-07 大促</v>
      </c>
      <c r="AL517" s="8" t="n">
        <v>0</v>
      </c>
      <c r="AM517" s="8" t="n">
        <v>0</v>
      </c>
      <c r="AN517" s="8" t="n">
        <v>30</v>
      </c>
      <c r="AO517" s="8" t="str">
        <v>1S01 / 裸色PU / 6574</v>
      </c>
      <c r="AP517" s="11" t="n">
        <v>0.8729500662042875</v>
      </c>
      <c r="AQ517" s="11" t="n">
        <v>0.8729500662042875</v>
      </c>
      <c r="AR517" s="11" t="n">
        <v>1.0921363354767095</v>
      </c>
      <c r="AS517" s="11" t="n">
        <f>IF(AND(COUNT(I517:K517,AP517:AR517)=6,MIN(AP517:AR517)&gt;0),I517/7/AP517*0.5+J517/14/AQ517*0.3+K517/30/AR517*0.2,"")</f>
        <v>0</v>
      </c>
      <c r="AT517" s="8" t="n">
        <v>2</v>
      </c>
      <c r="AU517" s="8" t="n">
        <v>0</v>
      </c>
      <c r="AV517" s="8" t="n">
        <v>88</v>
      </c>
      <c r="AW517" s="11" t="n">
        <f>IF(AND(COUNT(AT517:AV517)=3,AT517&gt;=AU517,AU517&gt;=0,AV517&gt;0),(AT517-AU517)/AV517,"")</f>
        <v>0.022727272727272728</v>
      </c>
      <c r="AX517" s="8" t="n">
        <v>14</v>
      </c>
      <c r="AY517" s="8" t="n">
        <v>0</v>
      </c>
      <c r="AZ517" s="8" t="n">
        <v>178</v>
      </c>
      <c r="BA517" s="11" t="n">
        <f>IF(AND(COUNT(AX517:AZ517)=3,AX517&gt;=AY517,AY517&gt;=0,AZ517&gt;0),(AX517-AY517)/AZ517,"")</f>
        <v>0.07865168539325842</v>
      </c>
      <c r="BB517" s="8" t="n">
        <f>IF(COUNT(AS517,AW517,BA517)=3,1,0)</f>
        <v>1</v>
      </c>
      <c r="BC517" s="11" t="n">
        <f>IF(SUMIF($AO$11:$AO$1309,AO517,$BB$11:$BB$1309)=COUNTIF($AO$11:$AO$1309,AO517),SUMIF($AO$11:$AO$1309,AO517,$AS$11:$AS$1309),"")</f>
        <v>0.2859633770638296</v>
      </c>
      <c r="BD517" s="11" t="n">
        <f>IF(SUMIF($AO$11:$AO$1309,AO517,$BB$11:$BB$1309)=COUNTIF($AO$11:$AO$1309,AO517),SUMIF($AO$11:$AO$1309,AO517,$AW$11:$AW$1309),"")</f>
        <v>0.262539184952978</v>
      </c>
      <c r="BE517" s="11" t="n">
        <f>IF(SUMIF($AO$11:$AO$1309,AO517,$BB$11:$BB$1309)=COUNTIF($AO$11:$AO$1309,AO517),SUMIF($AO$11:$AO$1309,AO517,$BA$11:$BA$1309),"")</f>
        <v>0.3826890116168349</v>
      </c>
      <c r="BF517" s="12" t="n">
        <f>IF(COUNT(BD517:BE517)&lt;&gt;2,"",IF(AND(BD517&gt;0,BE517&gt;0),0.7*AW517/BD517+0.3*BA517/BE517,IF(BD517&gt;0,AW517/BD517,IF(BE517&gt;0,BA517/BE517,IF(AND(ISNUMBER(BH517),BH517=0),0,"")))))</f>
        <v>0.12225414356433806</v>
      </c>
      <c r="BG517" s="11" t="n">
        <f>IF(AND(COUNT(BN517:BU517)=8,MIN(BN517:BU517)&gt;=0),SUMPRODUCT(BN517:BQ517,BR517:BU517),"")</f>
        <v>63.935996265425516</v>
      </c>
      <c r="BH517" s="11" t="n">
        <f>IF(COUNT(BC517,BG517)=2,BC517*BG517,"")</f>
        <v>18.283353408001478</v>
      </c>
      <c r="BI517" s="11" t="n">
        <f>IF(ISNUMBER(CI517),CI517,"")</f>
        <v>2.235215712379342</v>
      </c>
      <c r="BJ517" s="8" t="str">
        <v>低销提醒依据不完整</v>
      </c>
      <c r="BK517" s="8" t="str">
        <v>90天：2026-07-20 至 2026-10-17；180天：2026-04-21 至 2026-10-17</v>
      </c>
      <c r="BL517" s="8" t="str">
        <v>90天：2026-10-06、2026-10-07；180天：2026-10-06、2026-10-07</v>
      </c>
      <c r="BM517" s="8" t="str">
        <v>2026-10：12天 × 0.8729500662042875；2026-11：30天 × 0.8057375774163482；2026-12：31天 × 0.532550303142279；2027-01：17天 × 0.7517299265337036</v>
      </c>
      <c r="BN517" s="11" t="n">
        <v>0.8729500662042875</v>
      </c>
      <c r="BO517" s="11" t="n">
        <v>0.8057375774163482</v>
      </c>
      <c r="BP517" s="11" t="n">
        <v>0.532550303142279</v>
      </c>
      <c r="BQ517" s="11" t="n">
        <v>0.7517299265337036</v>
      </c>
      <c r="BR517" s="8" t="n">
        <v>12</v>
      </c>
      <c r="BS517" s="8" t="n">
        <v>30</v>
      </c>
      <c r="BT517" s="8" t="n">
        <v>31</v>
      </c>
      <c r="BU517" s="8" t="n">
        <v>17</v>
      </c>
      <c r="BV517" s="11" t="n">
        <f>IF(COUNT(BC517,BF517)=2,BC517*BF517,"")</f>
        <v>0.03496020775370436</v>
      </c>
      <c r="BW517" s="11" t="n">
        <f>IF(ISNUMBER(BN517),BN517,"")</f>
        <v>0.8729500662042875</v>
      </c>
      <c r="BX517" s="14" t="n">
        <f>IF(ISNUMBER(BR517),BR517,"")</f>
        <v>12</v>
      </c>
      <c r="BY517" s="13" t="n">
        <f>IF(AND(COUNT(BV517,BW517,BX517)=3,MIN(BV517,BW517,BX517)&gt;=0),BV517*BW517*BX517,"")</f>
        <v>0.3662221880773424</v>
      </c>
      <c r="BZ517" s="11" t="n">
        <f>IF(ISNUMBER(BO517),BO517,"")</f>
        <v>0.8057375774163482</v>
      </c>
      <c r="CA517" s="14" t="n">
        <f>IF(ISNUMBER(BS517),BS517,"")</f>
        <v>30</v>
      </c>
      <c r="CB517" s="13" t="n">
        <f>IF(AND(COUNT(BV517,BZ517,CA517)=3,MIN(BV517,BZ517,CA517)&gt;=0),BV517*BZ517*CA517,"")</f>
        <v>0.8450625930432596</v>
      </c>
      <c r="CC517" s="11" t="n">
        <f>IF(ISNUMBER(BP517),BP517,"")</f>
        <v>0.532550303142279</v>
      </c>
      <c r="CD517" s="14" t="n">
        <f>IF(ISNUMBER(BT517),BT517,"")</f>
        <v>31</v>
      </c>
      <c r="CE517" s="13" t="n">
        <f>IF(AND(COUNT(BV517,CC517,CD517)=3,MIN(BV517,CC517,CD517)&gt;=0),BV517*CC517*CD517,"")</f>
        <v>0.5771601463517217</v>
      </c>
      <c r="CF517" s="11" t="n">
        <f>IF(ISNUMBER(BQ517),BQ517,"")</f>
        <v>0.7517299265337036</v>
      </c>
      <c r="CG517" s="14" t="n">
        <f>IF(ISNUMBER(BU517),BU517,"")</f>
        <v>17</v>
      </c>
      <c r="CH517" s="13" t="n">
        <f>IF(AND(COUNT(BV517,CF517,CG517)=3,MIN(BV517,CF517,CG517)&gt;=0),BV517*CF517*CG517,"")</f>
        <v>0.4467707849070183</v>
      </c>
      <c r="CI517" s="13" t="n">
        <f>IF(COUNT(BY517,CB517,CE517,CH517)=4,SUM(BY517,CB517,CE517,CH517),"")</f>
        <v>2.235215712379342</v>
      </c>
    </row>
    <row r="518" ht="72" customHeight="1">
      <c r="A518" s="16" t="str">
        <v>1S01-ND-36</v>
      </c>
      <c r="B518" s="16" t="str">
        <v>3店-SANDIEX-US</v>
      </c>
      <c r="C518" s="16" t="str">
        <v>徐新怡</v>
      </c>
      <c r="D518" s="26" t="n">
        <f>IF(NOT(ISNUMBER(E518)),"",IF(OR(E518&lt;=0,L518=0),0,IF(OR(NOT(ISNUMBER(F518)),F518&lt;0),"",MIN(E518,INT(F518)))))</f>
        <v>0</v>
      </c>
      <c r="E518" s="27" t="n">
        <f>IF(OR(NOT(ISNUMBER(L518)),COUNT(M518:O518)&lt;&gt;3,MIN(M518:O518)&lt;0),"",ROUNDUP(ROUND(BI518-SUM(M518:O518),10),0))</f>
        <v>0</v>
      </c>
      <c r="F518" s="28"/>
      <c r="G518" s="28" t="n">
        <f>IF(AND(ISNUMBER(D518),ISNUMBER(E518)),IF(OR(E518&lt;=0,L518=0),0,E518-D518),"")</f>
        <v>0</v>
      </c>
      <c r="H518" s="16" t="str">
        <f>IF(NOT(ISNUMBER(E518)),"销量或海外库存待补",IF(OR(E518&lt;=0,L518=0),IF(L518=0,"零日销，本批不发","本批无需补货"),IF(NOT(ISNUMBER(D518)),"国内库存待补",IF(D518=0,"国内无可用库存",IF(G518&gt;0,"先发国内现货","按建议量发货")))))</f>
        <v>零日销，本批不发</v>
      </c>
      <c r="I518" s="28" t="n">
        <f>IF(AND(COUNT(Z518,AA518,AB518)=3,Z518&gt;=AA518,AA518&gt;=0,AB518=7),Z518-AA518,"")</f>
        <v>0</v>
      </c>
      <c r="J518" s="28" t="n">
        <f>IF(AND(COUNT(AF518,AG518,AH518)=3,AF518&gt;=AG518,AG518&gt;=0,AH518=14),AF518-AG518,"")</f>
        <v>0</v>
      </c>
      <c r="K518" s="28" t="n">
        <f>IF(AND(COUNT(AL518,AM518,AN518)=3,AL518&gt;=AM518,AM518&gt;=0,AN518=30),AL518-AM518,"")</f>
        <v>0</v>
      </c>
      <c r="L518" s="29" t="n">
        <f>IF(ISNUMBER(BI518),BI518/90,"")</f>
        <v>0</v>
      </c>
      <c r="M518" s="28" t="n">
        <v>0</v>
      </c>
      <c r="N518" s="28" t="n">
        <v>0</v>
      </c>
      <c r="O518" s="28" t="n">
        <v>0</v>
      </c>
      <c r="P518" s="30" t="str">
        <f>IF(AND(ISNUMBER(L518),L518&gt;0,COUNT(M518:O518)=3,MIN(M518:O518)&gt;=0),SUM(M518:O518)/L518,"")</f>
      </c>
      <c r="Q518" s="16" t="str">
        <v>沿用同SPU原计划店铺</v>
      </c>
      <c r="R518" s="16" t="str">
        <v>未匹配</v>
      </c>
      <c r="S518" s="16" t="str">
        <v>停售</v>
      </c>
      <c r="T518" s="16" t="str">
        <v>1S01</v>
      </c>
      <c r="U518" s="16" t="str">
        <v>裸色</v>
      </c>
      <c r="V518" s="16" t="n">
        <v>5</v>
      </c>
      <c r="W518" s="8" t="str">
        <v>2026-10-08 至 2026-10-17</v>
      </c>
      <c r="X518" s="8" t="str">
        <v>2026-10-08、2026-10-09、2026-10-10、2026-10-11、2026-10-14、2026-10-15、2026-10-17</v>
      </c>
      <c r="Y518" s="8" t="str">
        <v>2026-10-12 有记录的停售日；2026-10-13 有记录的停售日；2026-10-16 有记录的停售日</v>
      </c>
      <c r="Z518" s="8" t="n">
        <v>0</v>
      </c>
      <c r="AA518" s="8" t="n">
        <v>0</v>
      </c>
      <c r="AB518" s="8" t="n">
        <v>7</v>
      </c>
      <c r="AC518" s="8" t="str">
        <v>2026-09-29 至 2026-10-17</v>
      </c>
      <c r="AD518" s="8" t="str">
        <v>2026-09-29、2026-09-30、2026-10-01、2026-10-02、2026-10-03、2026-10-04、2026-10-05、2026-10-08、2026-10-09、2026-10-10、2026-10-11、2026-10-14、2026-10-15、2026-10-17</v>
      </c>
      <c r="AE518" s="8" t="str">
        <v>2026-10-06 大促；2026-10-07 大促；2026-10-12 有记录的停售日；2026-10-13 有记录的停售日；2026-10-16 有记录的停售日</v>
      </c>
      <c r="AF518" s="8" t="n">
        <v>0</v>
      </c>
      <c r="AG518" s="8" t="n">
        <v>0</v>
      </c>
      <c r="AH518" s="8" t="n">
        <v>14</v>
      </c>
      <c r="AI518" s="8" t="str">
        <v>2026-09-13 至 2026-10-17</v>
      </c>
      <c r="AJ5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8" s="8" t="str">
        <v>2026-10-06 大促；2026-10-07 大促；2026-10-12 有记录的停售日；2026-10-13 有记录的停售日；2026-10-16 有记录的停售日</v>
      </c>
      <c r="AL518" s="8" t="n">
        <v>0</v>
      </c>
      <c r="AM518" s="8" t="n">
        <v>0</v>
      </c>
      <c r="AN518" s="8" t="n">
        <v>30</v>
      </c>
      <c r="AO518" s="8" t="str">
        <v>1S01 / 裸色PU / 6574</v>
      </c>
      <c r="AP518" s="11" t="n">
        <v>0.8729500662042875</v>
      </c>
      <c r="AQ518" s="11" t="n">
        <v>0.9355747145678367</v>
      </c>
      <c r="AR518" s="11" t="n">
        <v>1.135973589331194</v>
      </c>
      <c r="AS518" s="11" t="n">
        <f>IF(AND(COUNT(I518:K518,AP518:AR518)=6,MIN(AP518:AR518)&gt;0),I518/7/AP518*0.5+J518/14/AQ518*0.3+K518/30/AR518*0.2,"")</f>
        <v>0</v>
      </c>
      <c r="AT518" s="8" t="n">
        <v>0</v>
      </c>
      <c r="AU518" s="8" t="n">
        <v>0</v>
      </c>
      <c r="AV518" s="8" t="n">
        <v>85</v>
      </c>
      <c r="AW518" s="11" t="n">
        <f>IF(AND(COUNT(AT518:AV518)=3,AT518&gt;=AU518,AU518&gt;=0,AV518&gt;0),(AT518-AU518)/AV518,"")</f>
        <v>0</v>
      </c>
      <c r="AX518" s="8" t="n">
        <v>0</v>
      </c>
      <c r="AY518" s="8" t="n">
        <v>0</v>
      </c>
      <c r="AZ518" s="8" t="n">
        <v>175</v>
      </c>
      <c r="BA518" s="11" t="n">
        <f>IF(AND(COUNT(AX518:AZ518)=3,AX518&gt;=AY518,AY518&gt;=0,AZ518&gt;0),(AX518-AY518)/AZ518,"")</f>
        <v>0</v>
      </c>
      <c r="BB518" s="8" t="n">
        <f>IF(COUNT(AS518,AW518,BA518)=3,1,0)</f>
        <v>1</v>
      </c>
      <c r="BC518" s="11" t="n">
        <f>IF(SUMIF($AO$11:$AO$1309,AO518,$BB$11:$BB$1309)=COUNTIF($AO$11:$AO$1309,AO518),SUMIF($AO$11:$AO$1309,AO518,$AS$11:$AS$1309),"")</f>
        <v>0.2859633770638296</v>
      </c>
      <c r="BD518" s="11" t="n">
        <f>IF(SUMIF($AO$11:$AO$1309,AO518,$BB$11:$BB$1309)=COUNTIF($AO$11:$AO$1309,AO518),SUMIF($AO$11:$AO$1309,AO518,$AW$11:$AW$1309),"")</f>
        <v>0.262539184952978</v>
      </c>
      <c r="BE518" s="11" t="n">
        <f>IF(SUMIF($AO$11:$AO$1309,AO518,$BB$11:$BB$1309)=COUNTIF($AO$11:$AO$1309,AO518),SUMIF($AO$11:$AO$1309,AO518,$BA$11:$BA$1309),"")</f>
        <v>0.3826890116168349</v>
      </c>
      <c r="BF518" s="12" t="n">
        <f>IF(COUNT(BD518:BE518)&lt;&gt;2,"",IF(AND(BD518&gt;0,BE518&gt;0),0.7*AW518/BD518+0.3*BA518/BE518,IF(BD518&gt;0,AW518/BD518,IF(BE518&gt;0,BA518/BE518,IF(AND(ISNUMBER(BH518),BH518=0),0,"")))))</f>
        <v>0</v>
      </c>
      <c r="BG518" s="11" t="n">
        <f>IF(AND(COUNT(BN518:BU518)=8,MIN(BN518:BU518)&gt;=0),SUMPRODUCT(BN518:BQ518,BR518:BU518),"")</f>
        <v>63.935996265425516</v>
      </c>
      <c r="BH518" s="11" t="n">
        <f>IF(COUNT(BC518,BG518)=2,BC518*BG518,"")</f>
        <v>18.283353408001478</v>
      </c>
      <c r="BI518" s="11" t="n">
        <f>IF(ISNUMBER(CI518),CI518,"")</f>
        <v>0</v>
      </c>
      <c r="BJ518" s="8" t="str">
        <v>低销提醒依据不完整</v>
      </c>
      <c r="BK518" s="8" t="str">
        <v>90天：2026-07-20 至 2026-10-17；180天：2026-04-21 至 2026-10-17</v>
      </c>
      <c r="BL518" s="8" t="str">
        <v>90天：2026-10-06、2026-10-07、2026-10-12、2026-10-13、2026-10-16；180天：2026-10-06、2026-10-07、2026-10-12、2026-10-13、2026-10-16</v>
      </c>
      <c r="BM518" s="8" t="str">
        <v>2026-10：12天 × 0.8729500662042875；2026-11：30天 × 0.8057375774163482；2026-12：31天 × 0.532550303142279；2027-01：17天 × 0.7517299265337036</v>
      </c>
      <c r="BN518" s="11" t="n">
        <v>0.8729500662042875</v>
      </c>
      <c r="BO518" s="11" t="n">
        <v>0.8057375774163482</v>
      </c>
      <c r="BP518" s="11" t="n">
        <v>0.532550303142279</v>
      </c>
      <c r="BQ518" s="11" t="n">
        <v>0.7517299265337036</v>
      </c>
      <c r="BR518" s="8" t="n">
        <v>12</v>
      </c>
      <c r="BS518" s="8" t="n">
        <v>30</v>
      </c>
      <c r="BT518" s="8" t="n">
        <v>31</v>
      </c>
      <c r="BU518" s="8" t="n">
        <v>17</v>
      </c>
      <c r="BV518" s="11" t="n">
        <f>IF(COUNT(BC518,BF518)=2,BC518*BF518,"")</f>
        <v>0</v>
      </c>
      <c r="BW518" s="11" t="n">
        <f>IF(ISNUMBER(BN518),BN518,"")</f>
        <v>0.8729500662042875</v>
      </c>
      <c r="BX518" s="14" t="n">
        <f>IF(ISNUMBER(BR518),BR518,"")</f>
        <v>12</v>
      </c>
      <c r="BY518" s="13" t="n">
        <f>IF(AND(COUNT(BV518,BW518,BX518)=3,MIN(BV518,BW518,BX518)&gt;=0),BV518*BW518*BX518,"")</f>
        <v>0</v>
      </c>
      <c r="BZ518" s="11" t="n">
        <f>IF(ISNUMBER(BO518),BO518,"")</f>
        <v>0.8057375774163482</v>
      </c>
      <c r="CA518" s="14" t="n">
        <f>IF(ISNUMBER(BS518),BS518,"")</f>
        <v>30</v>
      </c>
      <c r="CB518" s="13" t="n">
        <f>IF(AND(COUNT(BV518,BZ518,CA518)=3,MIN(BV518,BZ518,CA518)&gt;=0),BV518*BZ518*CA518,"")</f>
        <v>0</v>
      </c>
      <c r="CC518" s="11" t="n">
        <f>IF(ISNUMBER(BP518),BP518,"")</f>
        <v>0.532550303142279</v>
      </c>
      <c r="CD518" s="14" t="n">
        <f>IF(ISNUMBER(BT518),BT518,"")</f>
        <v>31</v>
      </c>
      <c r="CE518" s="13" t="n">
        <f>IF(AND(COUNT(BV518,CC518,CD518)=3,MIN(BV518,CC518,CD518)&gt;=0),BV518*CC518*CD518,"")</f>
        <v>0</v>
      </c>
      <c r="CF518" s="11" t="n">
        <f>IF(ISNUMBER(BQ518),BQ518,"")</f>
        <v>0.7517299265337036</v>
      </c>
      <c r="CG518" s="14" t="n">
        <f>IF(ISNUMBER(BU518),BU518,"")</f>
        <v>17</v>
      </c>
      <c r="CH518" s="13" t="n">
        <f>IF(AND(COUNT(BV518,CF518,CG518)=3,MIN(BV518,CF518,CG518)&gt;=0),BV518*CF518*CG518,"")</f>
        <v>0</v>
      </c>
      <c r="CI518" s="13" t="n">
        <f>IF(COUNT(BY518,CB518,CE518,CH518)=4,SUM(BY518,CB518,CE518,CH518),"")</f>
        <v>0</v>
      </c>
    </row>
    <row r="519" ht="72" customHeight="1">
      <c r="A519" s="16" t="str">
        <v>1S01-ND-37.5</v>
      </c>
      <c r="B519" s="16" t="str">
        <v>3店-SANDIEX-US</v>
      </c>
      <c r="C519" s="16" t="str">
        <v>徐新怡</v>
      </c>
      <c r="D519" s="26" t="n">
        <f>IF(NOT(ISNUMBER(E519)),"",IF(OR(E519&lt;=0,L519=0),0,IF(OR(NOT(ISNUMBER(F519)),F519&lt;0),"",MIN(E519,INT(F519)))))</f>
        <v>0</v>
      </c>
      <c r="E519" s="27" t="n">
        <f>IF(OR(NOT(ISNUMBER(L519)),COUNT(M519:O519)&lt;&gt;3,MIN(M519:O519)&lt;0),"",ROUNDUP(ROUND(BI519-SUM(M519:O519),10),0))</f>
        <v>0</v>
      </c>
      <c r="F519" s="28"/>
      <c r="G519" s="28" t="n">
        <f>IF(AND(ISNUMBER(D519),ISNUMBER(E519)),IF(OR(E519&lt;=0,L519=0),0,E519-D519),"")</f>
        <v>0</v>
      </c>
      <c r="H519" s="16" t="str">
        <f>IF(NOT(ISNUMBER(E519)),"销量或海外库存待补",IF(OR(E519&lt;=0,L519=0),IF(L519=0,"零日销，本批不发","本批无需补货"),IF(NOT(ISNUMBER(D519)),"国内库存待补",IF(D519=0,"国内无可用库存",IF(G519&gt;0,"先发国内现货","按建议量发货")))))</f>
        <v>零日销，本批不发</v>
      </c>
      <c r="I519" s="28" t="n">
        <f>IF(AND(COUNT(Z519,AA519,AB519)=3,Z519&gt;=AA519,AA519&gt;=0,AB519=7),Z519-AA519,"")</f>
        <v>0</v>
      </c>
      <c r="J519" s="28" t="n">
        <f>IF(AND(COUNT(AF519,AG519,AH519)=3,AF519&gt;=AG519,AG519&gt;=0,AH519=14),AF519-AG519,"")</f>
        <v>0</v>
      </c>
      <c r="K519" s="28" t="n">
        <f>IF(AND(COUNT(AL519,AM519,AN519)=3,AL519&gt;=AM519,AM519&gt;=0,AN519=30),AL519-AM519,"")</f>
        <v>0</v>
      </c>
      <c r="L519" s="29" t="n">
        <f>IF(ISNUMBER(BI519),BI519/90,"")</f>
        <v>0</v>
      </c>
      <c r="M519" s="28" t="n">
        <v>0</v>
      </c>
      <c r="N519" s="28" t="n">
        <v>0</v>
      </c>
      <c r="O519" s="28" t="n">
        <v>0</v>
      </c>
      <c r="P519" s="30" t="str">
        <f>IF(AND(ISNUMBER(L519),L519&gt;0,COUNT(M519:O519)=3,MIN(M519:O519)&gt;=0),SUM(M519:O519)/L519,"")</f>
      </c>
      <c r="Q519" s="16" t="str">
        <v>沿用同SPU原计划店铺</v>
      </c>
      <c r="R519" s="16" t="str">
        <v>未匹配</v>
      </c>
      <c r="S519" s="16" t="str">
        <v>停售</v>
      </c>
      <c r="T519" s="16" t="str">
        <v>1S01</v>
      </c>
      <c r="U519" s="16" t="str">
        <v>裸色</v>
      </c>
      <c r="V519" s="16" t="n">
        <v>6.5</v>
      </c>
      <c r="W519" s="8" t="str">
        <v>2026-10-08 至 2026-10-17</v>
      </c>
      <c r="X519" s="8" t="str">
        <v>2026-10-08、2026-10-09、2026-10-10、2026-10-11、2026-10-14、2026-10-15、2026-10-17</v>
      </c>
      <c r="Y519" s="8" t="str">
        <v>2026-10-12 有记录的停售日；2026-10-13 有记录的停售日；2026-10-16 有记录的停售日</v>
      </c>
      <c r="Z519" s="8" t="n">
        <v>0</v>
      </c>
      <c r="AA519" s="8" t="n">
        <v>0</v>
      </c>
      <c r="AB519" s="8" t="n">
        <v>7</v>
      </c>
      <c r="AC519" s="8" t="str">
        <v>2026-09-29 至 2026-10-17</v>
      </c>
      <c r="AD519" s="8" t="str">
        <v>2026-09-29、2026-09-30、2026-10-01、2026-10-02、2026-10-03、2026-10-04、2026-10-05、2026-10-08、2026-10-09、2026-10-10、2026-10-11、2026-10-14、2026-10-15、2026-10-17</v>
      </c>
      <c r="AE519" s="8" t="str">
        <v>2026-10-06 大促；2026-10-07 大促；2026-10-12 有记录的停售日；2026-10-13 有记录的停售日；2026-10-16 有记录的停售日</v>
      </c>
      <c r="AF519" s="8" t="n">
        <v>0</v>
      </c>
      <c r="AG519" s="8" t="n">
        <v>0</v>
      </c>
      <c r="AH519" s="8" t="n">
        <v>14</v>
      </c>
      <c r="AI519" s="8" t="str">
        <v>2026-09-13 至 2026-10-17</v>
      </c>
      <c r="AJ51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19" s="8" t="str">
        <v>2026-10-06 大促；2026-10-07 大促；2026-10-12 有记录的停售日；2026-10-13 有记录的停售日；2026-10-16 有记录的停售日</v>
      </c>
      <c r="AL519" s="8" t="n">
        <v>0</v>
      </c>
      <c r="AM519" s="8" t="n">
        <v>0</v>
      </c>
      <c r="AN519" s="8" t="n">
        <v>30</v>
      </c>
      <c r="AO519" s="8" t="str">
        <v>1S01 / 裸色PU / 6574</v>
      </c>
      <c r="AP519" s="11" t="n">
        <v>0.8729500662042875</v>
      </c>
      <c r="AQ519" s="11" t="n">
        <v>0.9355747145678367</v>
      </c>
      <c r="AR519" s="11" t="n">
        <v>1.135973589331194</v>
      </c>
      <c r="AS519" s="11" t="n">
        <f>IF(AND(COUNT(I519:K519,AP519:AR519)=6,MIN(AP519:AR519)&gt;0),I519/7/AP519*0.5+J519/14/AQ519*0.3+K519/30/AR519*0.2,"")</f>
        <v>0</v>
      </c>
      <c r="AT519" s="8" t="n">
        <v>0</v>
      </c>
      <c r="AU519" s="8" t="n">
        <v>0</v>
      </c>
      <c r="AV519" s="8" t="n">
        <v>85</v>
      </c>
      <c r="AW519" s="11" t="n">
        <f>IF(AND(COUNT(AT519:AV519)=3,AT519&gt;=AU519,AU519&gt;=0,AV519&gt;0),(AT519-AU519)/AV519,"")</f>
        <v>0</v>
      </c>
      <c r="AX519" s="8" t="n">
        <v>0</v>
      </c>
      <c r="AY519" s="8" t="n">
        <v>0</v>
      </c>
      <c r="AZ519" s="8" t="n">
        <v>175</v>
      </c>
      <c r="BA519" s="11" t="n">
        <f>IF(AND(COUNT(AX519:AZ519)=3,AX519&gt;=AY519,AY519&gt;=0,AZ519&gt;0),(AX519-AY519)/AZ519,"")</f>
        <v>0</v>
      </c>
      <c r="BB519" s="8" t="n">
        <f>IF(COUNT(AS519,AW519,BA519)=3,1,0)</f>
        <v>1</v>
      </c>
      <c r="BC519" s="11" t="n">
        <f>IF(SUMIF($AO$11:$AO$1309,AO519,$BB$11:$BB$1309)=COUNTIF($AO$11:$AO$1309,AO519),SUMIF($AO$11:$AO$1309,AO519,$AS$11:$AS$1309),"")</f>
        <v>0.2859633770638296</v>
      </c>
      <c r="BD519" s="11" t="n">
        <f>IF(SUMIF($AO$11:$AO$1309,AO519,$BB$11:$BB$1309)=COUNTIF($AO$11:$AO$1309,AO519),SUMIF($AO$11:$AO$1309,AO519,$AW$11:$AW$1309),"")</f>
        <v>0.262539184952978</v>
      </c>
      <c r="BE519" s="11" t="n">
        <f>IF(SUMIF($AO$11:$AO$1309,AO519,$BB$11:$BB$1309)=COUNTIF($AO$11:$AO$1309,AO519),SUMIF($AO$11:$AO$1309,AO519,$BA$11:$BA$1309),"")</f>
        <v>0.3826890116168349</v>
      </c>
      <c r="BF519" s="12" t="n">
        <f>IF(COUNT(BD519:BE519)&lt;&gt;2,"",IF(AND(BD519&gt;0,BE519&gt;0),0.7*AW519/BD519+0.3*BA519/BE519,IF(BD519&gt;0,AW519/BD519,IF(BE519&gt;0,BA519/BE519,IF(AND(ISNUMBER(BH519),BH519=0),0,"")))))</f>
        <v>0</v>
      </c>
      <c r="BG519" s="11" t="n">
        <f>IF(AND(COUNT(BN519:BU519)=8,MIN(BN519:BU519)&gt;=0),SUMPRODUCT(BN519:BQ519,BR519:BU519),"")</f>
        <v>63.935996265425516</v>
      </c>
      <c r="BH519" s="11" t="n">
        <f>IF(COUNT(BC519,BG519)=2,BC519*BG519,"")</f>
        <v>18.283353408001478</v>
      </c>
      <c r="BI519" s="11" t="n">
        <f>IF(ISNUMBER(CI519),CI519,"")</f>
        <v>0</v>
      </c>
      <c r="BJ519" s="8" t="str">
        <v>低销提醒依据不完整</v>
      </c>
      <c r="BK519" s="8" t="str">
        <v>90天：2026-07-20 至 2026-10-17；180天：2026-04-21 至 2026-10-17</v>
      </c>
      <c r="BL519" s="8" t="str">
        <v>90天：2026-10-06、2026-10-07、2026-10-12、2026-10-13、2026-10-16；180天：2026-10-06、2026-10-07、2026-10-12、2026-10-13、2026-10-16</v>
      </c>
      <c r="BM519" s="8" t="str">
        <v>2026-10：12天 × 0.8729500662042875；2026-11：30天 × 0.8057375774163482；2026-12：31天 × 0.532550303142279；2027-01：17天 × 0.7517299265337036</v>
      </c>
      <c r="BN519" s="11" t="n">
        <v>0.8729500662042875</v>
      </c>
      <c r="BO519" s="11" t="n">
        <v>0.8057375774163482</v>
      </c>
      <c r="BP519" s="11" t="n">
        <v>0.532550303142279</v>
      </c>
      <c r="BQ519" s="11" t="n">
        <v>0.7517299265337036</v>
      </c>
      <c r="BR519" s="8" t="n">
        <v>12</v>
      </c>
      <c r="BS519" s="8" t="n">
        <v>30</v>
      </c>
      <c r="BT519" s="8" t="n">
        <v>31</v>
      </c>
      <c r="BU519" s="8" t="n">
        <v>17</v>
      </c>
      <c r="BV519" s="11" t="n">
        <f>IF(COUNT(BC519,BF519)=2,BC519*BF519,"")</f>
        <v>0</v>
      </c>
      <c r="BW519" s="11" t="n">
        <f>IF(ISNUMBER(BN519),BN519,"")</f>
        <v>0.8729500662042875</v>
      </c>
      <c r="BX519" s="14" t="n">
        <f>IF(ISNUMBER(BR519),BR519,"")</f>
        <v>12</v>
      </c>
      <c r="BY519" s="13" t="n">
        <f>IF(AND(COUNT(BV519,BW519,BX519)=3,MIN(BV519,BW519,BX519)&gt;=0),BV519*BW519*BX519,"")</f>
        <v>0</v>
      </c>
      <c r="BZ519" s="11" t="n">
        <f>IF(ISNUMBER(BO519),BO519,"")</f>
        <v>0.8057375774163482</v>
      </c>
      <c r="CA519" s="14" t="n">
        <f>IF(ISNUMBER(BS519),BS519,"")</f>
        <v>30</v>
      </c>
      <c r="CB519" s="13" t="n">
        <f>IF(AND(COUNT(BV519,BZ519,CA519)=3,MIN(BV519,BZ519,CA519)&gt;=0),BV519*BZ519*CA519,"")</f>
        <v>0</v>
      </c>
      <c r="CC519" s="11" t="n">
        <f>IF(ISNUMBER(BP519),BP519,"")</f>
        <v>0.532550303142279</v>
      </c>
      <c r="CD519" s="14" t="n">
        <f>IF(ISNUMBER(BT519),BT519,"")</f>
        <v>31</v>
      </c>
      <c r="CE519" s="13" t="n">
        <f>IF(AND(COUNT(BV519,CC519,CD519)=3,MIN(BV519,CC519,CD519)&gt;=0),BV519*CC519*CD519,"")</f>
        <v>0</v>
      </c>
      <c r="CF519" s="11" t="n">
        <f>IF(ISNUMBER(BQ519),BQ519,"")</f>
        <v>0.7517299265337036</v>
      </c>
      <c r="CG519" s="14" t="n">
        <f>IF(ISNUMBER(BU519),BU519,"")</f>
        <v>17</v>
      </c>
      <c r="CH519" s="13" t="n">
        <f>IF(AND(COUNT(BV519,CF519,CG519)=3,MIN(BV519,CF519,CG519)&gt;=0),BV519*CF519*CG519,"")</f>
        <v>0</v>
      </c>
      <c r="CI519" s="13" t="n">
        <f>IF(COUNT(BY519,CB519,CE519,CH519)=4,SUM(BY519,CB519,CE519,CH519),"")</f>
        <v>0</v>
      </c>
    </row>
    <row r="520" ht="72" customHeight="1">
      <c r="A520" s="16" t="str">
        <v>1S01-ND-39.5</v>
      </c>
      <c r="B520" s="16" t="str">
        <v>3店-SANDIEX-US</v>
      </c>
      <c r="C520" s="16" t="str">
        <v>徐新怡</v>
      </c>
      <c r="D520" s="26" t="n">
        <f>IF(NOT(ISNUMBER(E520)),"",IF(OR(E520&lt;=0,L520=0),0,IF(OR(NOT(ISNUMBER(F520)),F520&lt;0),"",MIN(E520,INT(F520)))))</f>
        <v>0</v>
      </c>
      <c r="E520" s="27" t="n">
        <f>IF(OR(NOT(ISNUMBER(L520)),COUNT(M520:O520)&lt;&gt;3,MIN(M520:O520)&lt;0),"",ROUNDUP(ROUND(BI520-SUM(M520:O520),10),0))</f>
        <v>0</v>
      </c>
      <c r="F520" s="28" t="n">
        <v>0</v>
      </c>
      <c r="G520" s="28" t="n">
        <f>IF(AND(ISNUMBER(D520),ISNUMBER(E520)),IF(OR(E520&lt;=0,L520=0),0,E520-D520),"")</f>
        <v>0</v>
      </c>
      <c r="H520" s="16" t="str">
        <f>IF(NOT(ISNUMBER(E520)),"销量或海外库存待补",IF(OR(E520&lt;=0,L520=0),IF(L520=0,"零日销，本批不发","本批无需补货"),IF(NOT(ISNUMBER(D520)),"国内库存待补",IF(D520=0,"国内无可用库存",IF(G520&gt;0,"先发国内现货","按建议量发货")))))</f>
        <v>零日销，本批不发</v>
      </c>
      <c r="I520" s="28" t="n">
        <f>IF(AND(COUNT(Z520,AA520,AB520)=3,Z520&gt;=AA520,AA520&gt;=0,AB520=7),Z520-AA520,"")</f>
        <v>0</v>
      </c>
      <c r="J520" s="28" t="n">
        <f>IF(AND(COUNT(AF520,AG520,AH520)=3,AF520&gt;=AG520,AG520&gt;=0,AH520=14),AF520-AG520,"")</f>
        <v>0</v>
      </c>
      <c r="K520" s="28" t="n">
        <f>IF(AND(COUNT(AL520,AM520,AN520)=3,AL520&gt;=AM520,AM520&gt;=0,AN520=30),AL520-AM520,"")</f>
        <v>0</v>
      </c>
      <c r="L520" s="29" t="n">
        <f>IF(ISNUMBER(BI520),BI520/90,"")</f>
        <v>0</v>
      </c>
      <c r="M520" s="28" t="n">
        <v>0</v>
      </c>
      <c r="N520" s="28" t="n">
        <v>0</v>
      </c>
      <c r="O520" s="28" t="n">
        <v>0</v>
      </c>
      <c r="P520" s="30" t="str">
        <f>IF(AND(ISNUMBER(L520),L520&gt;0,COUNT(M520:O520)=3,MIN(M520:O520)&gt;=0),SUM(M520:O520)/L520,"")</f>
      </c>
      <c r="Q520" s="16" t="str">
        <v>沿用同SPU原计划店铺</v>
      </c>
      <c r="R520" s="16" t="str">
        <v>已匹配</v>
      </c>
      <c r="S520" s="16" t="str">
        <v>停售</v>
      </c>
      <c r="T520" s="16" t="str">
        <v>1S01</v>
      </c>
      <c r="U520" s="16" t="str">
        <v>裸色</v>
      </c>
      <c r="V520" s="16" t="n">
        <v>8.5</v>
      </c>
      <c r="W520" s="8" t="str">
        <v>2026-10-08 至 2026-10-17</v>
      </c>
      <c r="X520" s="8" t="str">
        <v>2026-10-08、2026-10-09、2026-10-10、2026-10-11、2026-10-14、2026-10-15、2026-10-17</v>
      </c>
      <c r="Y520" s="8" t="str">
        <v>2026-10-12 有记录的停售日；2026-10-13 有记录的停售日；2026-10-16 有记录的停售日</v>
      </c>
      <c r="Z520" s="8" t="n">
        <v>0</v>
      </c>
      <c r="AA520" s="8" t="n">
        <v>0</v>
      </c>
      <c r="AB520" s="8" t="n">
        <v>7</v>
      </c>
      <c r="AC520" s="8" t="str">
        <v>2026-09-29 至 2026-10-17</v>
      </c>
      <c r="AD520" s="8" t="str">
        <v>2026-09-29、2026-09-30、2026-10-01、2026-10-02、2026-10-03、2026-10-04、2026-10-05、2026-10-08、2026-10-09、2026-10-10、2026-10-11、2026-10-14、2026-10-15、2026-10-17</v>
      </c>
      <c r="AE520" s="8" t="str">
        <v>2026-10-06 大促；2026-10-07 大促；2026-10-12 有记录的停售日；2026-10-13 有记录的停售日；2026-10-16 有记录的停售日</v>
      </c>
      <c r="AF520" s="8" t="n">
        <v>0</v>
      </c>
      <c r="AG520" s="8" t="n">
        <v>0</v>
      </c>
      <c r="AH520" s="8" t="n">
        <v>14</v>
      </c>
      <c r="AI520" s="8" t="str">
        <v>2026-09-13 至 2026-10-17</v>
      </c>
      <c r="AJ52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0" s="8" t="str">
        <v>2026-10-06 大促；2026-10-07 大促；2026-10-12 有记录的停售日；2026-10-13 有记录的停售日；2026-10-16 有记录的停售日</v>
      </c>
      <c r="AL520" s="8" t="n">
        <v>0</v>
      </c>
      <c r="AM520" s="8" t="n">
        <v>0</v>
      </c>
      <c r="AN520" s="8" t="n">
        <v>30</v>
      </c>
      <c r="AO520" s="8" t="str">
        <v>1S01 / 裸色PU / 6574</v>
      </c>
      <c r="AP520" s="11" t="n">
        <v>0.8729500662042875</v>
      </c>
      <c r="AQ520" s="11" t="n">
        <v>0.9355747145678367</v>
      </c>
      <c r="AR520" s="11" t="n">
        <v>1.135973589331194</v>
      </c>
      <c r="AS520" s="11" t="n">
        <f>IF(AND(COUNT(I520:K520,AP520:AR520)=6,MIN(AP520:AR520)&gt;0),I520/7/AP520*0.5+J520/14/AQ520*0.3+K520/30/AR520*0.2,"")</f>
        <v>0</v>
      </c>
      <c r="AT520" s="8" t="n">
        <v>0</v>
      </c>
      <c r="AU520" s="8" t="n">
        <v>0</v>
      </c>
      <c r="AV520" s="8" t="n">
        <v>85</v>
      </c>
      <c r="AW520" s="11" t="n">
        <f>IF(AND(COUNT(AT520:AV520)=3,AT520&gt;=AU520,AU520&gt;=0,AV520&gt;0),(AT520-AU520)/AV520,"")</f>
        <v>0</v>
      </c>
      <c r="AX520" s="8" t="n">
        <v>0</v>
      </c>
      <c r="AY520" s="8" t="n">
        <v>0</v>
      </c>
      <c r="AZ520" s="8" t="n">
        <v>175</v>
      </c>
      <c r="BA520" s="11" t="n">
        <f>IF(AND(COUNT(AX520:AZ520)=3,AX520&gt;=AY520,AY520&gt;=0,AZ520&gt;0),(AX520-AY520)/AZ520,"")</f>
        <v>0</v>
      </c>
      <c r="BB520" s="8" t="n">
        <f>IF(COUNT(AS520,AW520,BA520)=3,1,0)</f>
        <v>1</v>
      </c>
      <c r="BC520" s="11" t="n">
        <f>IF(SUMIF($AO$11:$AO$1309,AO520,$BB$11:$BB$1309)=COUNTIF($AO$11:$AO$1309,AO520),SUMIF($AO$11:$AO$1309,AO520,$AS$11:$AS$1309),"")</f>
        <v>0.2859633770638296</v>
      </c>
      <c r="BD520" s="11" t="n">
        <f>IF(SUMIF($AO$11:$AO$1309,AO520,$BB$11:$BB$1309)=COUNTIF($AO$11:$AO$1309,AO520),SUMIF($AO$11:$AO$1309,AO520,$AW$11:$AW$1309),"")</f>
        <v>0.262539184952978</v>
      </c>
      <c r="BE520" s="11" t="n">
        <f>IF(SUMIF($AO$11:$AO$1309,AO520,$BB$11:$BB$1309)=COUNTIF($AO$11:$AO$1309,AO520),SUMIF($AO$11:$AO$1309,AO520,$BA$11:$BA$1309),"")</f>
        <v>0.3826890116168349</v>
      </c>
      <c r="BF520" s="12" t="n">
        <f>IF(COUNT(BD520:BE520)&lt;&gt;2,"",IF(AND(BD520&gt;0,BE520&gt;0),0.7*AW520/BD520+0.3*BA520/BE520,IF(BD520&gt;0,AW520/BD520,IF(BE520&gt;0,BA520/BE520,IF(AND(ISNUMBER(BH520),BH520=0),0,"")))))</f>
        <v>0</v>
      </c>
      <c r="BG520" s="11" t="n">
        <f>IF(AND(COUNT(BN520:BU520)=8,MIN(BN520:BU520)&gt;=0),SUMPRODUCT(BN520:BQ520,BR520:BU520),"")</f>
        <v>63.935996265425516</v>
      </c>
      <c r="BH520" s="11" t="n">
        <f>IF(COUNT(BC520,BG520)=2,BC520*BG520,"")</f>
        <v>18.283353408001478</v>
      </c>
      <c r="BI520" s="11" t="n">
        <f>IF(ISNUMBER(CI520),CI520,"")</f>
        <v>0</v>
      </c>
      <c r="BJ520" s="8" t="str">
        <v>低销提醒依据不完整</v>
      </c>
      <c r="BK520" s="8" t="str">
        <v>90天：2026-07-20 至 2026-10-17；180天：2026-04-21 至 2026-10-17</v>
      </c>
      <c r="BL520" s="8" t="str">
        <v>90天：2026-10-06、2026-10-07、2026-10-12、2026-10-13、2026-10-16；180天：2026-10-06、2026-10-07、2026-10-12、2026-10-13、2026-10-16</v>
      </c>
      <c r="BM520" s="8" t="str">
        <v>2026-10：12天 × 0.8729500662042875；2026-11：30天 × 0.8057375774163482；2026-12：31天 × 0.532550303142279；2027-01：17天 × 0.7517299265337036</v>
      </c>
      <c r="BN520" s="11" t="n">
        <v>0.8729500662042875</v>
      </c>
      <c r="BO520" s="11" t="n">
        <v>0.8057375774163482</v>
      </c>
      <c r="BP520" s="11" t="n">
        <v>0.532550303142279</v>
      </c>
      <c r="BQ520" s="11" t="n">
        <v>0.7517299265337036</v>
      </c>
      <c r="BR520" s="8" t="n">
        <v>12</v>
      </c>
      <c r="BS520" s="8" t="n">
        <v>30</v>
      </c>
      <c r="BT520" s="8" t="n">
        <v>31</v>
      </c>
      <c r="BU520" s="8" t="n">
        <v>17</v>
      </c>
      <c r="BV520" s="11" t="n">
        <f>IF(COUNT(BC520,BF520)=2,BC520*BF520,"")</f>
        <v>0</v>
      </c>
      <c r="BW520" s="11" t="n">
        <f>IF(ISNUMBER(BN520),BN520,"")</f>
        <v>0.8729500662042875</v>
      </c>
      <c r="BX520" s="14" t="n">
        <f>IF(ISNUMBER(BR520),BR520,"")</f>
        <v>12</v>
      </c>
      <c r="BY520" s="13" t="n">
        <f>IF(AND(COUNT(BV520,BW520,BX520)=3,MIN(BV520,BW520,BX520)&gt;=0),BV520*BW520*BX520,"")</f>
        <v>0</v>
      </c>
      <c r="BZ520" s="11" t="n">
        <f>IF(ISNUMBER(BO520),BO520,"")</f>
        <v>0.8057375774163482</v>
      </c>
      <c r="CA520" s="14" t="n">
        <f>IF(ISNUMBER(BS520),BS520,"")</f>
        <v>30</v>
      </c>
      <c r="CB520" s="13" t="n">
        <f>IF(AND(COUNT(BV520,BZ520,CA520)=3,MIN(BV520,BZ520,CA520)&gt;=0),BV520*BZ520*CA520,"")</f>
        <v>0</v>
      </c>
      <c r="CC520" s="11" t="n">
        <f>IF(ISNUMBER(BP520),BP520,"")</f>
        <v>0.532550303142279</v>
      </c>
      <c r="CD520" s="14" t="n">
        <f>IF(ISNUMBER(BT520),BT520,"")</f>
        <v>31</v>
      </c>
      <c r="CE520" s="13" t="n">
        <f>IF(AND(COUNT(BV520,CC520,CD520)=3,MIN(BV520,CC520,CD520)&gt;=0),BV520*CC520*CD520,"")</f>
        <v>0</v>
      </c>
      <c r="CF520" s="11" t="n">
        <f>IF(ISNUMBER(BQ520),BQ520,"")</f>
        <v>0.7517299265337036</v>
      </c>
      <c r="CG520" s="14" t="n">
        <f>IF(ISNUMBER(BU520),BU520,"")</f>
        <v>17</v>
      </c>
      <c r="CH520" s="13" t="n">
        <f>IF(AND(COUNT(BV520,CF520,CG520)=3,MIN(BV520,CF520,CG520)&gt;=0),BV520*CF520*CG520,"")</f>
        <v>0</v>
      </c>
      <c r="CI520" s="13" t="n">
        <f>IF(COUNT(BY520,CB520,CE520,CH520)=4,SUM(BY520,CB520,CE520,CH520),"")</f>
        <v>0</v>
      </c>
    </row>
    <row r="521" ht="72" customHeight="1">
      <c r="A521" s="16" t="str">
        <v>1S01-ND-40.5</v>
      </c>
      <c r="B521" s="16" t="str">
        <v>3店-SANDIEX-US</v>
      </c>
      <c r="C521" s="16" t="str">
        <v>徐新怡</v>
      </c>
      <c r="D521" s="26" t="n">
        <f>IF(NOT(ISNUMBER(E521)),"",IF(OR(E521&lt;=0,L521=0),0,IF(OR(NOT(ISNUMBER(F521)),F521&lt;0),"",MIN(E521,INT(F521)))))</f>
        <v>0</v>
      </c>
      <c r="E521" s="27" t="n">
        <f>IF(OR(NOT(ISNUMBER(L521)),COUNT(M521:O521)&lt;&gt;3,MIN(M521:O521)&lt;0),"",ROUNDUP(ROUND(BI521-SUM(M521:O521),10),0))</f>
        <v>0</v>
      </c>
      <c r="F521" s="28"/>
      <c r="G521" s="28" t="n">
        <f>IF(AND(ISNUMBER(D521),ISNUMBER(E521)),IF(OR(E521&lt;=0,L521=0),0,E521-D521),"")</f>
        <v>0</v>
      </c>
      <c r="H521" s="16" t="str">
        <f>IF(NOT(ISNUMBER(E521)),"销量或海外库存待补",IF(OR(E521&lt;=0,L521=0),IF(L521=0,"零日销，本批不发","本批无需补货"),IF(NOT(ISNUMBER(D521)),"国内库存待补",IF(D521=0,"国内无可用库存",IF(G521&gt;0,"先发国内现货","按建议量发货")))))</f>
        <v>零日销，本批不发</v>
      </c>
      <c r="I521" s="28" t="n">
        <f>IF(AND(COUNT(Z521,AA521,AB521)=3,Z521&gt;=AA521,AA521&gt;=0,AB521=7),Z521-AA521,"")</f>
        <v>0</v>
      </c>
      <c r="J521" s="28" t="n">
        <f>IF(AND(COUNT(AF521,AG521,AH521)=3,AF521&gt;=AG521,AG521&gt;=0,AH521=14),AF521-AG521,"")</f>
        <v>0</v>
      </c>
      <c r="K521" s="28" t="n">
        <f>IF(AND(COUNT(AL521,AM521,AN521)=3,AL521&gt;=AM521,AM521&gt;=0,AN521=30),AL521-AM521,"")</f>
        <v>0</v>
      </c>
      <c r="L521" s="29" t="n">
        <f>IF(ISNUMBER(BI521),BI521/90,"")</f>
        <v>0</v>
      </c>
      <c r="M521" s="28" t="n">
        <v>0</v>
      </c>
      <c r="N521" s="28" t="n">
        <v>0</v>
      </c>
      <c r="O521" s="28" t="n">
        <v>0</v>
      </c>
      <c r="P521" s="30" t="str">
        <f>IF(AND(ISNUMBER(L521),L521&gt;0,COUNT(M521:O521)=3,MIN(M521:O521)&gt;=0),SUM(M521:O521)/L521,"")</f>
      </c>
      <c r="Q521" s="16" t="str">
        <v>沿用同SPU原计划店铺</v>
      </c>
      <c r="R521" s="16" t="str">
        <v>未匹配</v>
      </c>
      <c r="S521" s="16" t="str">
        <v>停售</v>
      </c>
      <c r="T521" s="16" t="str">
        <v>1S01</v>
      </c>
      <c r="U521" s="16" t="str">
        <v>裸色</v>
      </c>
      <c r="V521" s="16" t="n">
        <v>9.5</v>
      </c>
      <c r="W521" s="8" t="str">
        <v>2026-10-08 至 2026-10-17</v>
      </c>
      <c r="X521" s="8" t="str">
        <v>2026-10-08、2026-10-09、2026-10-10、2026-10-11、2026-10-14、2026-10-15、2026-10-17</v>
      </c>
      <c r="Y521" s="8" t="str">
        <v>2026-10-12 有记录的停售日；2026-10-13 有记录的停售日；2026-10-16 有记录的停售日</v>
      </c>
      <c r="Z521" s="8" t="n">
        <v>0</v>
      </c>
      <c r="AA521" s="8" t="n">
        <v>0</v>
      </c>
      <c r="AB521" s="8" t="n">
        <v>7</v>
      </c>
      <c r="AC521" s="8" t="str">
        <v>2026-09-29 至 2026-10-17</v>
      </c>
      <c r="AD521" s="8" t="str">
        <v>2026-09-29、2026-09-30、2026-10-01、2026-10-02、2026-10-03、2026-10-04、2026-10-05、2026-10-08、2026-10-09、2026-10-10、2026-10-11、2026-10-14、2026-10-15、2026-10-17</v>
      </c>
      <c r="AE521" s="8" t="str">
        <v>2026-10-06 大促；2026-10-07 大促；2026-10-12 有记录的停售日；2026-10-13 有记录的停售日；2026-10-16 有记录的停售日</v>
      </c>
      <c r="AF521" s="8" t="n">
        <v>0</v>
      </c>
      <c r="AG521" s="8" t="n">
        <v>0</v>
      </c>
      <c r="AH521" s="8" t="n">
        <v>14</v>
      </c>
      <c r="AI521" s="8" t="str">
        <v>2026-09-13 至 2026-10-17</v>
      </c>
      <c r="AJ52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1" s="8" t="str">
        <v>2026-10-06 大促；2026-10-07 大促；2026-10-12 有记录的停售日；2026-10-13 有记录的停售日；2026-10-16 有记录的停售日</v>
      </c>
      <c r="AL521" s="8" t="n">
        <v>0</v>
      </c>
      <c r="AM521" s="8" t="n">
        <v>0</v>
      </c>
      <c r="AN521" s="8" t="n">
        <v>30</v>
      </c>
      <c r="AO521" s="8" t="str">
        <v>1S01 / 裸色PU / 6574</v>
      </c>
      <c r="AP521" s="11" t="n">
        <v>0.8729500662042875</v>
      </c>
      <c r="AQ521" s="11" t="n">
        <v>0.9355747145678367</v>
      </c>
      <c r="AR521" s="11" t="n">
        <v>1.135973589331194</v>
      </c>
      <c r="AS521" s="11" t="n">
        <f>IF(AND(COUNT(I521:K521,AP521:AR521)=6,MIN(AP521:AR521)&gt;0),I521/7/AP521*0.5+J521/14/AQ521*0.3+K521/30/AR521*0.2,"")</f>
        <v>0</v>
      </c>
      <c r="AT521" s="8" t="n">
        <v>0</v>
      </c>
      <c r="AU521" s="8" t="n">
        <v>0</v>
      </c>
      <c r="AV521" s="8" t="n">
        <v>85</v>
      </c>
      <c r="AW521" s="11" t="n">
        <f>IF(AND(COUNT(AT521:AV521)=3,AT521&gt;=AU521,AU521&gt;=0,AV521&gt;0),(AT521-AU521)/AV521,"")</f>
        <v>0</v>
      </c>
      <c r="AX521" s="8" t="n">
        <v>0</v>
      </c>
      <c r="AY521" s="8" t="n">
        <v>0</v>
      </c>
      <c r="AZ521" s="8" t="n">
        <v>175</v>
      </c>
      <c r="BA521" s="11" t="n">
        <f>IF(AND(COUNT(AX521:AZ521)=3,AX521&gt;=AY521,AY521&gt;=0,AZ521&gt;0),(AX521-AY521)/AZ521,"")</f>
        <v>0</v>
      </c>
      <c r="BB521" s="8" t="n">
        <f>IF(COUNT(AS521,AW521,BA521)=3,1,0)</f>
        <v>1</v>
      </c>
      <c r="BC521" s="11" t="n">
        <f>IF(SUMIF($AO$11:$AO$1309,AO521,$BB$11:$BB$1309)=COUNTIF($AO$11:$AO$1309,AO521),SUMIF($AO$11:$AO$1309,AO521,$AS$11:$AS$1309),"")</f>
        <v>0.2859633770638296</v>
      </c>
      <c r="BD521" s="11" t="n">
        <f>IF(SUMIF($AO$11:$AO$1309,AO521,$BB$11:$BB$1309)=COUNTIF($AO$11:$AO$1309,AO521),SUMIF($AO$11:$AO$1309,AO521,$AW$11:$AW$1309),"")</f>
        <v>0.262539184952978</v>
      </c>
      <c r="BE521" s="11" t="n">
        <f>IF(SUMIF($AO$11:$AO$1309,AO521,$BB$11:$BB$1309)=COUNTIF($AO$11:$AO$1309,AO521),SUMIF($AO$11:$AO$1309,AO521,$BA$11:$BA$1309),"")</f>
        <v>0.3826890116168349</v>
      </c>
      <c r="BF521" s="12" t="n">
        <f>IF(COUNT(BD521:BE521)&lt;&gt;2,"",IF(AND(BD521&gt;0,BE521&gt;0),0.7*AW521/BD521+0.3*BA521/BE521,IF(BD521&gt;0,AW521/BD521,IF(BE521&gt;0,BA521/BE521,IF(AND(ISNUMBER(BH521),BH521=0),0,"")))))</f>
        <v>0</v>
      </c>
      <c r="BG521" s="11" t="n">
        <f>IF(AND(COUNT(BN521:BU521)=8,MIN(BN521:BU521)&gt;=0),SUMPRODUCT(BN521:BQ521,BR521:BU521),"")</f>
        <v>63.935996265425516</v>
      </c>
      <c r="BH521" s="11" t="n">
        <f>IF(COUNT(BC521,BG521)=2,BC521*BG521,"")</f>
        <v>18.283353408001478</v>
      </c>
      <c r="BI521" s="11" t="n">
        <f>IF(ISNUMBER(CI521),CI521,"")</f>
        <v>0</v>
      </c>
      <c r="BJ521" s="8" t="str">
        <v>低销提醒依据不完整</v>
      </c>
      <c r="BK521" s="8" t="str">
        <v>90天：2026-07-20 至 2026-10-17；180天：2026-04-21 至 2026-10-17</v>
      </c>
      <c r="BL521" s="8" t="str">
        <v>90天：2026-10-06、2026-10-07、2026-10-12、2026-10-13、2026-10-16；180天：2026-10-06、2026-10-07、2026-10-12、2026-10-13、2026-10-16</v>
      </c>
      <c r="BM521" s="8" t="str">
        <v>2026-10：12天 × 0.8729500662042875；2026-11：30天 × 0.8057375774163482；2026-12：31天 × 0.532550303142279；2027-01：17天 × 0.7517299265337036</v>
      </c>
      <c r="BN521" s="11" t="n">
        <v>0.8729500662042875</v>
      </c>
      <c r="BO521" s="11" t="n">
        <v>0.8057375774163482</v>
      </c>
      <c r="BP521" s="11" t="n">
        <v>0.532550303142279</v>
      </c>
      <c r="BQ521" s="11" t="n">
        <v>0.7517299265337036</v>
      </c>
      <c r="BR521" s="8" t="n">
        <v>12</v>
      </c>
      <c r="BS521" s="8" t="n">
        <v>30</v>
      </c>
      <c r="BT521" s="8" t="n">
        <v>31</v>
      </c>
      <c r="BU521" s="8" t="n">
        <v>17</v>
      </c>
      <c r="BV521" s="11" t="n">
        <f>IF(COUNT(BC521,BF521)=2,BC521*BF521,"")</f>
        <v>0</v>
      </c>
      <c r="BW521" s="11" t="n">
        <f>IF(ISNUMBER(BN521),BN521,"")</f>
        <v>0.8729500662042875</v>
      </c>
      <c r="BX521" s="14" t="n">
        <f>IF(ISNUMBER(BR521),BR521,"")</f>
        <v>12</v>
      </c>
      <c r="BY521" s="13" t="n">
        <f>IF(AND(COUNT(BV521,BW521,BX521)=3,MIN(BV521,BW521,BX521)&gt;=0),BV521*BW521*BX521,"")</f>
        <v>0</v>
      </c>
      <c r="BZ521" s="11" t="n">
        <f>IF(ISNUMBER(BO521),BO521,"")</f>
        <v>0.8057375774163482</v>
      </c>
      <c r="CA521" s="14" t="n">
        <f>IF(ISNUMBER(BS521),BS521,"")</f>
        <v>30</v>
      </c>
      <c r="CB521" s="13" t="n">
        <f>IF(AND(COUNT(BV521,BZ521,CA521)=3,MIN(BV521,BZ521,CA521)&gt;=0),BV521*BZ521*CA521,"")</f>
        <v>0</v>
      </c>
      <c r="CC521" s="11" t="n">
        <f>IF(ISNUMBER(BP521),BP521,"")</f>
        <v>0.532550303142279</v>
      </c>
      <c r="CD521" s="14" t="n">
        <f>IF(ISNUMBER(BT521),BT521,"")</f>
        <v>31</v>
      </c>
      <c r="CE521" s="13" t="n">
        <f>IF(AND(COUNT(BV521,CC521,CD521)=3,MIN(BV521,CC521,CD521)&gt;=0),BV521*CC521*CD521,"")</f>
        <v>0</v>
      </c>
      <c r="CF521" s="11" t="n">
        <f>IF(ISNUMBER(BQ521),BQ521,"")</f>
        <v>0.7517299265337036</v>
      </c>
      <c r="CG521" s="14" t="n">
        <f>IF(ISNUMBER(BU521),BU521,"")</f>
        <v>17</v>
      </c>
      <c r="CH521" s="13" t="n">
        <f>IF(AND(COUNT(BV521,CF521,CG521)=3,MIN(BV521,CF521,CG521)&gt;=0),BV521*CF521*CG521,"")</f>
        <v>0</v>
      </c>
      <c r="CI521" s="13" t="n">
        <f>IF(COUNT(BY521,CB521,CE521,CH521)=4,SUM(BY521,CB521,CE521,CH521),"")</f>
        <v>0</v>
      </c>
    </row>
    <row r="522" ht="72" customHeight="1">
      <c r="A522" s="16" t="str">
        <v>1S01-ND-41.5</v>
      </c>
      <c r="B522" s="16" t="str">
        <v>3店-SANDIEX-US</v>
      </c>
      <c r="C522" s="16" t="str">
        <v>徐新怡</v>
      </c>
      <c r="D522" s="26" t="n">
        <f>IF(NOT(ISNUMBER(E522)),"",IF(OR(E522&lt;=0,L522=0),0,IF(OR(NOT(ISNUMBER(F522)),F522&lt;0),"",MIN(E522,INT(F522)))))</f>
        <v>0</v>
      </c>
      <c r="E522" s="27" t="n">
        <f>IF(OR(NOT(ISNUMBER(L522)),COUNT(M522:O522)&lt;&gt;3,MIN(M522:O522)&lt;0),"",ROUNDUP(ROUND(BI522-SUM(M522:O522),10),0))</f>
        <v>0</v>
      </c>
      <c r="F522" s="28"/>
      <c r="G522" s="28" t="n">
        <f>IF(AND(ISNUMBER(D522),ISNUMBER(E522)),IF(OR(E522&lt;=0,L522=0),0,E522-D522),"")</f>
        <v>0</v>
      </c>
      <c r="H522" s="16" t="str">
        <f>IF(NOT(ISNUMBER(E522)),"销量或海外库存待补",IF(OR(E522&lt;=0,L522=0),IF(L522=0,"零日销，本批不发","本批无需补货"),IF(NOT(ISNUMBER(D522)),"国内库存待补",IF(D522=0,"国内无可用库存",IF(G522&gt;0,"先发国内现货","按建议量发货")))))</f>
        <v>零日销，本批不发</v>
      </c>
      <c r="I522" s="28" t="n">
        <f>IF(AND(COUNT(Z522,AA522,AB522)=3,Z522&gt;=AA522,AA522&gt;=0,AB522=7),Z522-AA522,"")</f>
        <v>0</v>
      </c>
      <c r="J522" s="28" t="n">
        <f>IF(AND(COUNT(AF522,AG522,AH522)=3,AF522&gt;=AG522,AG522&gt;=0,AH522=14),AF522-AG522,"")</f>
        <v>0</v>
      </c>
      <c r="K522" s="28" t="n">
        <f>IF(AND(COUNT(AL522,AM522,AN522)=3,AL522&gt;=AM522,AM522&gt;=0,AN522=30),AL522-AM522,"")</f>
        <v>0</v>
      </c>
      <c r="L522" s="29" t="n">
        <f>IF(ISNUMBER(BI522),BI522/90,"")</f>
        <v>0</v>
      </c>
      <c r="M522" s="28" t="n">
        <v>0</v>
      </c>
      <c r="N522" s="28" t="n">
        <v>0</v>
      </c>
      <c r="O522" s="28" t="n">
        <v>0</v>
      </c>
      <c r="P522" s="30" t="str">
        <f>IF(AND(ISNUMBER(L522),L522&gt;0,COUNT(M522:O522)=3,MIN(M522:O522)&gt;=0),SUM(M522:O522)/L522,"")</f>
      </c>
      <c r="Q522" s="16" t="str">
        <v>沿用同SPU原计划店铺</v>
      </c>
      <c r="R522" s="16" t="str">
        <v>未匹配</v>
      </c>
      <c r="S522" s="16" t="str">
        <v>停售</v>
      </c>
      <c r="T522" s="16" t="str">
        <v>1S01</v>
      </c>
      <c r="U522" s="16" t="str">
        <v>裸色</v>
      </c>
      <c r="V522" s="16" t="n">
        <v>10.5</v>
      </c>
      <c r="W522" s="8" t="str">
        <v>2026-10-08 至 2026-10-17</v>
      </c>
      <c r="X522" s="8" t="str">
        <v>2026-10-08、2026-10-09、2026-10-10、2026-10-11、2026-10-14、2026-10-15、2026-10-17</v>
      </c>
      <c r="Y522" s="8" t="str">
        <v>2026-10-12 有记录的停售日；2026-10-13 有记录的停售日；2026-10-16 有记录的停售日</v>
      </c>
      <c r="Z522" s="8" t="n">
        <v>0</v>
      </c>
      <c r="AA522" s="8" t="n">
        <v>0</v>
      </c>
      <c r="AB522" s="8" t="n">
        <v>7</v>
      </c>
      <c r="AC522" s="8" t="str">
        <v>2026-09-29 至 2026-10-17</v>
      </c>
      <c r="AD522" s="8" t="str">
        <v>2026-09-29、2026-09-30、2026-10-01、2026-10-02、2026-10-03、2026-10-04、2026-10-05、2026-10-08、2026-10-09、2026-10-10、2026-10-11、2026-10-14、2026-10-15、2026-10-17</v>
      </c>
      <c r="AE522" s="8" t="str">
        <v>2026-10-06 大促；2026-10-07 大促；2026-10-12 有记录的停售日；2026-10-13 有记录的停售日；2026-10-16 有记录的停售日</v>
      </c>
      <c r="AF522" s="8" t="n">
        <v>0</v>
      </c>
      <c r="AG522" s="8" t="n">
        <v>0</v>
      </c>
      <c r="AH522" s="8" t="n">
        <v>14</v>
      </c>
      <c r="AI522" s="8" t="str">
        <v>2026-09-13 至 2026-10-17</v>
      </c>
      <c r="AJ52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2" s="8" t="str">
        <v>2026-10-06 大促；2026-10-07 大促；2026-10-12 有记录的停售日；2026-10-13 有记录的停售日；2026-10-16 有记录的停售日</v>
      </c>
      <c r="AL522" s="8" t="n">
        <v>0</v>
      </c>
      <c r="AM522" s="8" t="n">
        <v>0</v>
      </c>
      <c r="AN522" s="8" t="n">
        <v>30</v>
      </c>
      <c r="AO522" s="8" t="str">
        <v>1S01 / 裸色PU / 6574</v>
      </c>
      <c r="AP522" s="11" t="n">
        <v>0.8729500662042875</v>
      </c>
      <c r="AQ522" s="11" t="n">
        <v>0.9355747145678367</v>
      </c>
      <c r="AR522" s="11" t="n">
        <v>1.135973589331194</v>
      </c>
      <c r="AS522" s="11" t="n">
        <f>IF(AND(COUNT(I522:K522,AP522:AR522)=6,MIN(AP522:AR522)&gt;0),I522/7/AP522*0.5+J522/14/AQ522*0.3+K522/30/AR522*0.2,"")</f>
        <v>0</v>
      </c>
      <c r="AT522" s="8" t="n">
        <v>0</v>
      </c>
      <c r="AU522" s="8" t="n">
        <v>0</v>
      </c>
      <c r="AV522" s="8" t="n">
        <v>85</v>
      </c>
      <c r="AW522" s="11" t="n">
        <f>IF(AND(COUNT(AT522:AV522)=3,AT522&gt;=AU522,AU522&gt;=0,AV522&gt;0),(AT522-AU522)/AV522,"")</f>
        <v>0</v>
      </c>
      <c r="AX522" s="8" t="n">
        <v>0</v>
      </c>
      <c r="AY522" s="8" t="n">
        <v>0</v>
      </c>
      <c r="AZ522" s="8" t="n">
        <v>175</v>
      </c>
      <c r="BA522" s="11" t="n">
        <f>IF(AND(COUNT(AX522:AZ522)=3,AX522&gt;=AY522,AY522&gt;=0,AZ522&gt;0),(AX522-AY522)/AZ522,"")</f>
        <v>0</v>
      </c>
      <c r="BB522" s="8" t="n">
        <f>IF(COUNT(AS522,AW522,BA522)=3,1,0)</f>
        <v>1</v>
      </c>
      <c r="BC522" s="11" t="n">
        <f>IF(SUMIF($AO$11:$AO$1309,AO522,$BB$11:$BB$1309)=COUNTIF($AO$11:$AO$1309,AO522),SUMIF($AO$11:$AO$1309,AO522,$AS$11:$AS$1309),"")</f>
        <v>0.2859633770638296</v>
      </c>
      <c r="BD522" s="11" t="n">
        <f>IF(SUMIF($AO$11:$AO$1309,AO522,$BB$11:$BB$1309)=COUNTIF($AO$11:$AO$1309,AO522),SUMIF($AO$11:$AO$1309,AO522,$AW$11:$AW$1309),"")</f>
        <v>0.262539184952978</v>
      </c>
      <c r="BE522" s="11" t="n">
        <f>IF(SUMIF($AO$11:$AO$1309,AO522,$BB$11:$BB$1309)=COUNTIF($AO$11:$AO$1309,AO522),SUMIF($AO$11:$AO$1309,AO522,$BA$11:$BA$1309),"")</f>
        <v>0.3826890116168349</v>
      </c>
      <c r="BF522" s="12" t="n">
        <f>IF(COUNT(BD522:BE522)&lt;&gt;2,"",IF(AND(BD522&gt;0,BE522&gt;0),0.7*AW522/BD522+0.3*BA522/BE522,IF(BD522&gt;0,AW522/BD522,IF(BE522&gt;0,BA522/BE522,IF(AND(ISNUMBER(BH522),BH522=0),0,"")))))</f>
        <v>0</v>
      </c>
      <c r="BG522" s="11" t="n">
        <f>IF(AND(COUNT(BN522:BU522)=8,MIN(BN522:BU522)&gt;=0),SUMPRODUCT(BN522:BQ522,BR522:BU522),"")</f>
        <v>63.935996265425516</v>
      </c>
      <c r="BH522" s="11" t="n">
        <f>IF(COUNT(BC522,BG522)=2,BC522*BG522,"")</f>
        <v>18.283353408001478</v>
      </c>
      <c r="BI522" s="11" t="n">
        <f>IF(ISNUMBER(CI522),CI522,"")</f>
        <v>0</v>
      </c>
      <c r="BJ522" s="8" t="str">
        <v>低销提醒依据不完整</v>
      </c>
      <c r="BK522" s="8" t="str">
        <v>90天：2026-07-20 至 2026-10-17；180天：2026-04-21 至 2026-10-17</v>
      </c>
      <c r="BL522" s="8" t="str">
        <v>90天：2026-10-06、2026-10-07、2026-10-12、2026-10-13、2026-10-16；180天：2026-10-06、2026-10-07、2026-10-12、2026-10-13、2026-10-16</v>
      </c>
      <c r="BM522" s="8" t="str">
        <v>2026-10：12天 × 0.8729500662042875；2026-11：30天 × 0.8057375774163482；2026-12：31天 × 0.532550303142279；2027-01：17天 × 0.7517299265337036</v>
      </c>
      <c r="BN522" s="11" t="n">
        <v>0.8729500662042875</v>
      </c>
      <c r="BO522" s="11" t="n">
        <v>0.8057375774163482</v>
      </c>
      <c r="BP522" s="11" t="n">
        <v>0.532550303142279</v>
      </c>
      <c r="BQ522" s="11" t="n">
        <v>0.7517299265337036</v>
      </c>
      <c r="BR522" s="8" t="n">
        <v>12</v>
      </c>
      <c r="BS522" s="8" t="n">
        <v>30</v>
      </c>
      <c r="BT522" s="8" t="n">
        <v>31</v>
      </c>
      <c r="BU522" s="8" t="n">
        <v>17</v>
      </c>
      <c r="BV522" s="11" t="n">
        <f>IF(COUNT(BC522,BF522)=2,BC522*BF522,"")</f>
        <v>0</v>
      </c>
      <c r="BW522" s="11" t="n">
        <f>IF(ISNUMBER(BN522),BN522,"")</f>
        <v>0.8729500662042875</v>
      </c>
      <c r="BX522" s="14" t="n">
        <f>IF(ISNUMBER(BR522),BR522,"")</f>
        <v>12</v>
      </c>
      <c r="BY522" s="13" t="n">
        <f>IF(AND(COUNT(BV522,BW522,BX522)=3,MIN(BV522,BW522,BX522)&gt;=0),BV522*BW522*BX522,"")</f>
        <v>0</v>
      </c>
      <c r="BZ522" s="11" t="n">
        <f>IF(ISNUMBER(BO522),BO522,"")</f>
        <v>0.8057375774163482</v>
      </c>
      <c r="CA522" s="14" t="n">
        <f>IF(ISNUMBER(BS522),BS522,"")</f>
        <v>30</v>
      </c>
      <c r="CB522" s="13" t="n">
        <f>IF(AND(COUNT(BV522,BZ522,CA522)=3,MIN(BV522,BZ522,CA522)&gt;=0),BV522*BZ522*CA522,"")</f>
        <v>0</v>
      </c>
      <c r="CC522" s="11" t="n">
        <f>IF(ISNUMBER(BP522),BP522,"")</f>
        <v>0.532550303142279</v>
      </c>
      <c r="CD522" s="14" t="n">
        <f>IF(ISNUMBER(BT522),BT522,"")</f>
        <v>31</v>
      </c>
      <c r="CE522" s="13" t="n">
        <f>IF(AND(COUNT(BV522,CC522,CD522)=3,MIN(BV522,CC522,CD522)&gt;=0),BV522*CC522*CD522,"")</f>
        <v>0</v>
      </c>
      <c r="CF522" s="11" t="n">
        <f>IF(ISNUMBER(BQ522),BQ522,"")</f>
        <v>0.7517299265337036</v>
      </c>
      <c r="CG522" s="14" t="n">
        <f>IF(ISNUMBER(BU522),BU522,"")</f>
        <v>17</v>
      </c>
      <c r="CH522" s="13" t="n">
        <f>IF(AND(COUNT(BV522,CF522,CG522)=3,MIN(BV522,CF522,CG522)&gt;=0),BV522*CF522*CG522,"")</f>
        <v>0</v>
      </c>
      <c r="CI522" s="13" t="n">
        <f>IF(COUNT(BY522,CB522,CE522,CH522)=4,SUM(BY522,CB522,CE522,CH522),"")</f>
        <v>0</v>
      </c>
    </row>
    <row r="523" ht="72" customHeight="1">
      <c r="A523" s="16" t="str">
        <v>1S01-ND-6</v>
      </c>
      <c r="B523" s="16" t="str">
        <v>3店-SANDIEX-US</v>
      </c>
      <c r="C523" s="16" t="str">
        <v>徐新怡</v>
      </c>
      <c r="D523" s="26" t="n">
        <f>IF(NOT(ISNUMBER(E523)),"",IF(OR(E523&lt;=0,L523=0),0,IF(OR(NOT(ISNUMBER(F523)),F523&lt;0),"",MIN(E523,INT(F523)))))</f>
        <v>0</v>
      </c>
      <c r="E523" s="27" t="n">
        <f>IF(OR(NOT(ISNUMBER(L523)),COUNT(M523:O523)&lt;&gt;3,MIN(M523:O523)&lt;0),"",ROUNDUP(ROUND(BI523-SUM(M523:O523),10),0))</f>
        <v>-17</v>
      </c>
      <c r="F523" s="28" t="n">
        <v>2</v>
      </c>
      <c r="G523" s="28" t="n">
        <f>IF(AND(ISNUMBER(D523),ISNUMBER(E523)),IF(OR(E523&lt;=0,L523=0),0,E523-D523),"")</f>
        <v>0</v>
      </c>
      <c r="H523" s="16" t="str">
        <f>IF(NOT(ISNUMBER(E523)),"销量或海外库存待补",IF(OR(E523&lt;=0,L523=0),IF(L523=0,"零日销，本批不发","本批无需补货"),IF(NOT(ISNUMBER(D523)),"国内库存待补",IF(D523=0,"国内无可用库存",IF(G523&gt;0,"先发国内现货","按建议量发货")))))</f>
        <v>本批无需补货</v>
      </c>
      <c r="I523" s="28" t="n">
        <f>IF(AND(COUNT(Z523,AA523,AB523)=3,Z523&gt;=AA523,AA523&gt;=0,AB523=7),Z523-AA523,"")</f>
        <v>1</v>
      </c>
      <c r="J523" s="28" t="n">
        <f>IF(AND(COUNT(AF523,AG523,AH523)=3,AF523&gt;=AG523,AG523&gt;=0,AH523=14),AF523-AG523,"")</f>
        <v>1</v>
      </c>
      <c r="K523" s="28" t="n">
        <f>IF(AND(COUNT(AL523,AM523,AN523)=3,AL523&gt;=AM523,AM523&gt;=0,AN523=30),AL523-AM523,"")</f>
        <v>1</v>
      </c>
      <c r="L523" s="29" t="n">
        <f>IF(ISNUMBER(BI523),BI523/90,"")</f>
        <v>0.02136468310868527</v>
      </c>
      <c r="M523" s="28" t="n">
        <v>0</v>
      </c>
      <c r="N523" s="28" t="n">
        <v>0</v>
      </c>
      <c r="O523" s="28" t="n">
        <v>18</v>
      </c>
      <c r="P523" s="30" t="n">
        <f>IF(AND(ISNUMBER(L523),L523&gt;0,COUNT(M523:O523)=3,MIN(M523:O523)&gt;=0),SUM(M523:O523)/L523,"")</f>
        <v>842.5119112898312</v>
      </c>
      <c r="Q523" s="16" t="str">
        <v>沿用原计划SKU店铺</v>
      </c>
      <c r="R523" s="16" t="str">
        <v>已匹配</v>
      </c>
      <c r="S523" s="16" t="str">
        <v>在售</v>
      </c>
      <c r="T523" s="16" t="str">
        <v>1S01</v>
      </c>
      <c r="U523" s="16" t="str">
        <v>裸色</v>
      </c>
      <c r="V523" s="16" t="n">
        <v>6</v>
      </c>
      <c r="W523" s="8" t="str">
        <v>2026-10-11 至 2026-10-17</v>
      </c>
      <c r="X523" s="8" t="str">
        <v>2026-10-11、2026-10-12、2026-10-13、2026-10-14、2026-10-15、2026-10-16、2026-10-17</v>
      </c>
      <c r="Y523" s="8" t="str">
        <v>无</v>
      </c>
      <c r="Z523" s="8" t="n">
        <v>1</v>
      </c>
      <c r="AA523" s="8" t="n">
        <v>0</v>
      </c>
      <c r="AB523" s="8" t="n">
        <v>7</v>
      </c>
      <c r="AC523" s="8" t="str">
        <v>2026-10-02 至 2026-10-17</v>
      </c>
      <c r="AD523" s="8" t="str">
        <v>2026-10-02、2026-10-03、2026-10-04、2026-10-05、2026-10-08、2026-10-09、2026-10-10、2026-10-11、2026-10-12、2026-10-13、2026-10-14、2026-10-15、2026-10-16、2026-10-17</v>
      </c>
      <c r="AE523" s="8" t="str">
        <v>2026-10-06 大促；2026-10-07 大促</v>
      </c>
      <c r="AF523" s="8" t="n">
        <v>3</v>
      </c>
      <c r="AG523" s="8" t="n">
        <v>2</v>
      </c>
      <c r="AH523" s="8" t="n">
        <v>14</v>
      </c>
      <c r="AI523" s="8" t="str">
        <v>2026-09-16 至 2026-10-17</v>
      </c>
      <c r="AJ5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23" s="8" t="str">
        <v>2026-10-06 大促；2026-10-07 大促</v>
      </c>
      <c r="AL523" s="8" t="n">
        <v>3</v>
      </c>
      <c r="AM523" s="8" t="n">
        <v>2</v>
      </c>
      <c r="AN523" s="8" t="n">
        <v>30</v>
      </c>
      <c r="AO523" s="8" t="str">
        <v>1S01 / 裸色PU / 6574</v>
      </c>
      <c r="AP523" s="11" t="n">
        <v>0.8729500662042875</v>
      </c>
      <c r="AQ523" s="11" t="n">
        <v>0.8729500662042875</v>
      </c>
      <c r="AR523" s="11" t="n">
        <v>1.0921363354767095</v>
      </c>
      <c r="AS523" s="11" t="n">
        <f>IF(AND(COUNT(I523:K523,AP523:AR523)=6,MIN(AP523:AR523)&gt;0),I523/7/AP523*0.5+J523/14/AQ523*0.3+K523/30/AR523*0.2,"")</f>
        <v>0.1124758985160759</v>
      </c>
      <c r="AT523" s="8" t="n">
        <v>3</v>
      </c>
      <c r="AU523" s="8" t="n">
        <v>2</v>
      </c>
      <c r="AV523" s="8" t="n">
        <v>88</v>
      </c>
      <c r="AW523" s="11" t="n">
        <f>IF(AND(COUNT(AT523:AV523)=3,AT523&gt;=AU523,AU523&gt;=0,AV523&gt;0),(AT523-AU523)/AV523,"")</f>
        <v>0.011363636363636364</v>
      </c>
      <c r="AX523" s="8" t="n">
        <v>19</v>
      </c>
      <c r="AY523" s="8" t="n">
        <v>2</v>
      </c>
      <c r="AZ523" s="8" t="n">
        <v>178</v>
      </c>
      <c r="BA523" s="11" t="n">
        <f>IF(AND(COUNT(AX523:AZ523)=3,AX523&gt;=AY523,AY523&gt;=0,AZ523&gt;0),(AX523-AY523)/AZ523,"")</f>
        <v>0.09550561797752809</v>
      </c>
      <c r="BB523" s="8" t="n">
        <f>IF(COUNT(AS523,AW523,BA523)=3,1,0)</f>
        <v>1</v>
      </c>
      <c r="BC523" s="11" t="n">
        <f>IF(SUMIF($AO$11:$AO$1309,AO523,$BB$11:$BB$1309)=COUNTIF($AO$11:$AO$1309,AO523),SUMIF($AO$11:$AO$1309,AO523,$AS$11:$AS$1309),"")</f>
        <v>0.2859633770638296</v>
      </c>
      <c r="BD523" s="11" t="n">
        <f>IF(SUMIF($AO$11:$AO$1309,AO523,$BB$11:$BB$1309)=COUNTIF($AO$11:$AO$1309,AO523),SUMIF($AO$11:$AO$1309,AO523,$AW$11:$AW$1309),"")</f>
        <v>0.262539184952978</v>
      </c>
      <c r="BE523" s="11" t="n">
        <f>IF(SUMIF($AO$11:$AO$1309,AO523,$BB$11:$BB$1309)=COUNTIF($AO$11:$AO$1309,AO523),SUMIF($AO$11:$AO$1309,AO523,$BA$11:$BA$1309),"")</f>
        <v>0.3826890116168349</v>
      </c>
      <c r="BF523" s="12" t="n">
        <f>IF(COUNT(BD523:BE523)&lt;&gt;2,"",IF(AND(BD523&gt;0,BE523&gt;0),0.7*AW523/BD523+0.3*BA523/BE523,IF(BD523&gt;0,AW523/BD523,IF(BE523&gt;0,BA523/BE523,IF(AND(ISNUMBER(BH523),BH523=0),0,"")))))</f>
        <v>0.10516787795285826</v>
      </c>
      <c r="BG523" s="11" t="n">
        <f>IF(AND(COUNT(BN523:BU523)=8,MIN(BN523:BU523)&gt;=0),SUMPRODUCT(BN523:BQ523,BR523:BU523),"")</f>
        <v>63.935996265425516</v>
      </c>
      <c r="BH523" s="11" t="n">
        <f>IF(COUNT(BC523,BG523)=2,BC523*BG523,"")</f>
        <v>18.283353408001478</v>
      </c>
      <c r="BI523" s="11" t="n">
        <f>IF(ISNUMBER(CI523),CI523,"")</f>
        <v>1.9228214797816743</v>
      </c>
      <c r="BJ523" s="8" t="str">
        <v>低销提醒依据不完整</v>
      </c>
      <c r="BK523" s="8" t="str">
        <v>90天：2026-07-20 至 2026-10-17；180天：2026-04-21 至 2026-10-17</v>
      </c>
      <c r="BL523" s="8" t="str">
        <v>90天：2026-10-06、2026-10-07；180天：2026-10-06、2026-10-07</v>
      </c>
      <c r="BM523" s="8" t="str">
        <v>2026-10：12天 × 0.8729500662042875；2026-11：30天 × 0.8057375774163482；2026-12：31天 × 0.532550303142279；2027-01：17天 × 0.7517299265337036</v>
      </c>
      <c r="BN523" s="11" t="n">
        <v>0.8729500662042875</v>
      </c>
      <c r="BO523" s="11" t="n">
        <v>0.8057375774163482</v>
      </c>
      <c r="BP523" s="11" t="n">
        <v>0.532550303142279</v>
      </c>
      <c r="BQ523" s="11" t="n">
        <v>0.7517299265337036</v>
      </c>
      <c r="BR523" s="8" t="n">
        <v>12</v>
      </c>
      <c r="BS523" s="8" t="n">
        <v>30</v>
      </c>
      <c r="BT523" s="8" t="n">
        <v>31</v>
      </c>
      <c r="BU523" s="8" t="n">
        <v>17</v>
      </c>
      <c r="BV523" s="11" t="n">
        <f>IF(COUNT(BC523,BF523)=2,BC523*BF523,"")</f>
        <v>0.03007416153803602</v>
      </c>
      <c r="BW523" s="11" t="n">
        <f>IF(ISNUMBER(BN523),BN523,"")</f>
        <v>0.8729500662042875</v>
      </c>
      <c r="BX523" s="14" t="n">
        <f>IF(ISNUMBER(BR523),BR523,"")</f>
        <v>12</v>
      </c>
      <c r="BY523" s="13" t="n">
        <f>IF(AND(COUNT(BV523,BW523,BX523)=3,MIN(BV523,BW523,BX523)&gt;=0),BV523*BW523*BX523,"")</f>
        <v>0.3150388956680038</v>
      </c>
      <c r="BZ523" s="11" t="n">
        <f>IF(ISNUMBER(BO523),BO523,"")</f>
        <v>0.8057375774163482</v>
      </c>
      <c r="CA523" s="14" t="n">
        <f>IF(ISNUMBER(BS523),BS523,"")</f>
        <v>30</v>
      </c>
      <c r="CB523" s="13" t="n">
        <f>IF(AND(COUNT(BV523,BZ523,CA523)=3,MIN(BV523,BZ523,CA523)&gt;=0),BV523*BZ523*CA523,"")</f>
        <v>0.7269564618145519</v>
      </c>
      <c r="CC523" s="11" t="n">
        <f>IF(ISNUMBER(BP523),BP523,"")</f>
        <v>0.532550303142279</v>
      </c>
      <c r="CD523" s="14" t="n">
        <f>IF(ISNUMBER(BT523),BT523,"")</f>
        <v>31</v>
      </c>
      <c r="CE523" s="13" t="n">
        <f>IF(AND(COUNT(BV523,CC523,CD523)=3,MIN(BV523,CC523,CD523)&gt;=0),BV523*CC523*CD523,"")</f>
        <v>0.49649611915875946</v>
      </c>
      <c r="CF523" s="11" t="n">
        <f>IF(ISNUMBER(BQ523),BQ523,"")</f>
        <v>0.7517299265337036</v>
      </c>
      <c r="CG523" s="14" t="n">
        <f>IF(ISNUMBER(BU523),BU523,"")</f>
        <v>17</v>
      </c>
      <c r="CH523" s="13" t="n">
        <f>IF(AND(COUNT(BV523,CF523,CG523)=3,MIN(BV523,CF523,CG523)&gt;=0),BV523*CF523*CG523,"")</f>
        <v>0.3843300031403594</v>
      </c>
      <c r="CI523" s="13" t="n">
        <f>IF(COUNT(BY523,CB523,CE523,CH523)=4,SUM(BY523,CB523,CE523,CH523),"")</f>
        <v>1.9228214797816743</v>
      </c>
    </row>
    <row r="524" ht="72" customHeight="1">
      <c r="A524" s="16" t="str">
        <v>1S01-ND-7</v>
      </c>
      <c r="B524" s="16" t="str">
        <v>3店-SANDIEX-US</v>
      </c>
      <c r="C524" s="16" t="str">
        <v>徐新怡</v>
      </c>
      <c r="D524" s="26" t="n">
        <f>IF(NOT(ISNUMBER(E524)),"",IF(OR(E524&lt;=0,L524=0),0,IF(OR(NOT(ISNUMBER(F524)),F524&lt;0),"",MIN(E524,INT(F524)))))</f>
        <v>0</v>
      </c>
      <c r="E524" s="27" t="n">
        <f>IF(OR(NOT(ISNUMBER(L524)),COUNT(M524:O524)&lt;&gt;3,MIN(M524:O524)&lt;0),"",ROUNDUP(ROUND(BI524-SUM(M524:O524),10),0))</f>
        <v>-39</v>
      </c>
      <c r="F524" s="28" t="n">
        <v>36</v>
      </c>
      <c r="G524" s="28" t="n">
        <f>IF(AND(ISNUMBER(D524),ISNUMBER(E524)),IF(OR(E524&lt;=0,L524=0),0,E524-D524),"")</f>
        <v>0</v>
      </c>
      <c r="H524" s="16" t="str">
        <f>IF(NOT(ISNUMBER(E524)),"销量或海外库存待补",IF(OR(E524&lt;=0,L524=0),IF(L524=0,"零日销，本批不发","本批无需补货"),IF(NOT(ISNUMBER(D524)),"国内库存待补",IF(D524=0,"国内无可用库存",IF(G524&gt;0,"先发国内现货","按建议量发货")))))</f>
        <v>本批无需补货</v>
      </c>
      <c r="I524" s="28" t="n">
        <f>IF(AND(COUNT(Z524,AA524,AB524)=3,Z524&gt;=AA524,AA524&gt;=0,AB524=7),Z524-AA524,"")</f>
        <v>1</v>
      </c>
      <c r="J524" s="28" t="n">
        <f>IF(AND(COUNT(AF524,AG524,AH524)=3,AF524&gt;=AG524,AG524&gt;=0,AH524=14),AF524-AG524,"")</f>
        <v>2</v>
      </c>
      <c r="K524" s="28" t="n">
        <f>IF(AND(COUNT(AL524,AM524,AN524)=3,AL524&gt;=AM524,AM524&gt;=0,AN524=30),AL524-AM524,"")</f>
        <v>5</v>
      </c>
      <c r="L524" s="29" t="n">
        <f>IF(ISNUMBER(BI524),BI524/90,"")</f>
        <v>0.08202092571305734</v>
      </c>
      <c r="M524" s="28" t="n">
        <v>46</v>
      </c>
      <c r="N524" s="28" t="n">
        <v>0</v>
      </c>
      <c r="O524" s="28" t="n">
        <v>0</v>
      </c>
      <c r="P524" s="30" t="n">
        <f>IF(AND(ISNUMBER(L524),L524&gt;0,COUNT(M524:O524)=3,MIN(M524:O524)&gt;=0),SUM(M524:O524)/L524,"")</f>
        <v>560.8324900029386</v>
      </c>
      <c r="Q524" s="16" t="str">
        <v>沿用原计划SKU店铺</v>
      </c>
      <c r="R524" s="16" t="str">
        <v>已匹配</v>
      </c>
      <c r="S524" s="16" t="str">
        <v>在售</v>
      </c>
      <c r="T524" s="16" t="str">
        <v>1S01</v>
      </c>
      <c r="U524" s="16" t="str">
        <v>裸色</v>
      </c>
      <c r="V524" s="16" t="n">
        <v>7</v>
      </c>
      <c r="W524" s="8" t="str">
        <v>2026-10-11 至 2026-10-17</v>
      </c>
      <c r="X524" s="8" t="str">
        <v>2026-10-11、2026-10-12、2026-10-13、2026-10-14、2026-10-15、2026-10-16、2026-10-17</v>
      </c>
      <c r="Y524" s="8" t="str">
        <v>无</v>
      </c>
      <c r="Z524" s="8" t="n">
        <v>1</v>
      </c>
      <c r="AA524" s="8" t="n">
        <v>0</v>
      </c>
      <c r="AB524" s="8" t="n">
        <v>7</v>
      </c>
      <c r="AC524" s="8" t="str">
        <v>2026-10-02 至 2026-10-17</v>
      </c>
      <c r="AD524" s="8" t="str">
        <v>2026-10-02、2026-10-03、2026-10-04、2026-10-05、2026-10-08、2026-10-09、2026-10-10、2026-10-11、2026-10-12、2026-10-13、2026-10-14、2026-10-15、2026-10-16、2026-10-17</v>
      </c>
      <c r="AE524" s="8" t="str">
        <v>2026-10-06 大促；2026-10-07 大促</v>
      </c>
      <c r="AF524" s="8" t="n">
        <v>5</v>
      </c>
      <c r="AG524" s="8" t="n">
        <v>3</v>
      </c>
      <c r="AH524" s="8" t="n">
        <v>14</v>
      </c>
      <c r="AI524" s="8" t="str">
        <v>2026-09-16 至 2026-10-17</v>
      </c>
      <c r="AJ5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24" s="8" t="str">
        <v>2026-10-06 大促；2026-10-07 大促</v>
      </c>
      <c r="AL524" s="8" t="n">
        <v>8</v>
      </c>
      <c r="AM524" s="8" t="n">
        <v>3</v>
      </c>
      <c r="AN524" s="8" t="n">
        <v>30</v>
      </c>
      <c r="AO524" s="8" t="str">
        <v>1S01 / 裸色PU / 6574</v>
      </c>
      <c r="AP524" s="11" t="n">
        <v>0.8729500662042875</v>
      </c>
      <c r="AQ524" s="11" t="n">
        <v>0.8729500662042875</v>
      </c>
      <c r="AR524" s="11" t="n">
        <v>1.0921363354767095</v>
      </c>
      <c r="AS524" s="11" t="n">
        <f>IF(AND(COUNT(I524:K524,AP524:AR524)=6,MIN(AP524:AR524)&gt;0),I524/7/AP524*0.5+J524/14/AQ524*0.3+K524/30/AR524*0.2,"")</f>
        <v>0.16144017938248906</v>
      </c>
      <c r="AT524" s="8" t="n">
        <v>14</v>
      </c>
      <c r="AU524" s="8" t="n">
        <v>3</v>
      </c>
      <c r="AV524" s="8" t="n">
        <v>88</v>
      </c>
      <c r="AW524" s="11" t="n">
        <f>IF(AND(COUNT(AT524:AV524)=3,AT524&gt;=AU524,AU524&gt;=0,AV524&gt;0),(AT524-AU524)/AV524,"")</f>
        <v>0.125</v>
      </c>
      <c r="AX524" s="8" t="n">
        <v>19</v>
      </c>
      <c r="AY524" s="8" t="n">
        <v>3</v>
      </c>
      <c r="AZ524" s="8" t="n">
        <v>178</v>
      </c>
      <c r="BA524" s="11" t="n">
        <f>IF(AND(COUNT(AX524:AZ524)=3,AX524&gt;=AY524,AY524&gt;=0,AZ524&gt;0),(AX524-AY524)/AZ524,"")</f>
        <v>0.0898876404494382</v>
      </c>
      <c r="BB524" s="8" t="n">
        <f>IF(COUNT(AS524,AW524,BA524)=3,1,0)</f>
        <v>1</v>
      </c>
      <c r="BC524" s="11" t="n">
        <f>IF(SUMIF($AO$11:$AO$1309,AO524,$BB$11:$BB$1309)=COUNTIF($AO$11:$AO$1309,AO524),SUMIF($AO$11:$AO$1309,AO524,$AS$11:$AS$1309),"")</f>
        <v>0.2859633770638296</v>
      </c>
      <c r="BD524" s="11" t="n">
        <f>IF(SUMIF($AO$11:$AO$1309,AO524,$BB$11:$BB$1309)=COUNTIF($AO$11:$AO$1309,AO524),SUMIF($AO$11:$AO$1309,AO524,$AW$11:$AW$1309),"")</f>
        <v>0.262539184952978</v>
      </c>
      <c r="BE524" s="11" t="n">
        <f>IF(SUMIF($AO$11:$AO$1309,AO524,$BB$11:$BB$1309)=COUNTIF($AO$11:$AO$1309,AO524),SUMIF($AO$11:$AO$1309,AO524,$BA$11:$BA$1309),"")</f>
        <v>0.3826890116168349</v>
      </c>
      <c r="BF524" s="12" t="n">
        <f>IF(COUNT(BD524:BE524)&lt;&gt;2,"",IF(AND(BD524&gt;0,BE524&gt;0),0.7*AW524/BD524+0.3*BA524/BE524,IF(BD524&gt;0,AW524/BD524,IF(BE524&gt;0,BA524/BE524,IF(AND(ISNUMBER(BH524),BH524=0),0,"")))))</f>
        <v>0.403748871962655</v>
      </c>
      <c r="BG524" s="11" t="n">
        <f>IF(AND(COUNT(BN524:BU524)=8,MIN(BN524:BU524)&gt;=0),SUMPRODUCT(BN524:BQ524,BR524:BU524),"")</f>
        <v>63.935996265425516</v>
      </c>
      <c r="BH524" s="11" t="n">
        <f>IF(COUNT(BC524,BG524)=2,BC524*BG524,"")</f>
        <v>18.283353408001478</v>
      </c>
      <c r="BI524" s="11" t="n">
        <f>IF(ISNUMBER(CI524),CI524,"")</f>
        <v>7.381883314175161</v>
      </c>
      <c r="BJ524" s="8" t="str">
        <v>低销提醒依据不完整</v>
      </c>
      <c r="BK524" s="8" t="str">
        <v>90天：2026-07-20 至 2026-10-17；180天：2026-04-21 至 2026-10-17</v>
      </c>
      <c r="BL524" s="8" t="str">
        <v>90天：2026-10-06、2026-10-07；180天：2026-10-06、2026-10-07</v>
      </c>
      <c r="BM524" s="8" t="str">
        <v>2026-10：12天 × 0.8729500662042875；2026-11：30天 × 0.8057375774163482；2026-12：31天 × 0.532550303142279；2027-01：17天 × 0.7517299265337036</v>
      </c>
      <c r="BN524" s="11" t="n">
        <v>0.8729500662042875</v>
      </c>
      <c r="BO524" s="11" t="n">
        <v>0.8057375774163482</v>
      </c>
      <c r="BP524" s="11" t="n">
        <v>0.532550303142279</v>
      </c>
      <c r="BQ524" s="11" t="n">
        <v>0.7517299265337036</v>
      </c>
      <c r="BR524" s="8" t="n">
        <v>12</v>
      </c>
      <c r="BS524" s="8" t="n">
        <v>30</v>
      </c>
      <c r="BT524" s="8" t="n">
        <v>31</v>
      </c>
      <c r="BU524" s="8" t="n">
        <v>17</v>
      </c>
      <c r="BV524" s="11" t="n">
        <f>IF(COUNT(BC524,BF524)=2,BC524*BF524,"")</f>
        <v>0.11545739091215258</v>
      </c>
      <c r="BW524" s="11" t="n">
        <f>IF(ISNUMBER(BN524),BN524,"")</f>
        <v>0.8729500662042875</v>
      </c>
      <c r="BX524" s="14" t="n">
        <f>IF(ISNUMBER(BR524),BR524,"")</f>
        <v>12</v>
      </c>
      <c r="BY524" s="13" t="n">
        <f>IF(AND(COUNT(BV524,BW524,BX524)=3,MIN(BV524,BW524,BX524)&gt;=0),BV524*BW524*BX524,"")</f>
        <v>1.2094624444864548</v>
      </c>
      <c r="BZ524" s="11" t="n">
        <f>IF(ISNUMBER(BO524),BO524,"")</f>
        <v>0.8057375774163482</v>
      </c>
      <c r="CA524" s="14" t="n">
        <f>IF(ISNUMBER(BS524),BS524,"")</f>
        <v>30</v>
      </c>
      <c r="CB524" s="13" t="n">
        <f>IF(AND(COUNT(BV524,BZ524,CA524)=3,MIN(BV524,BZ524,CA524)&gt;=0),BV524*BZ524*CA524,"")</f>
        <v>2.7908507534511036</v>
      </c>
      <c r="CC524" s="11" t="n">
        <f>IF(ISNUMBER(BP524),BP524,"")</f>
        <v>0.532550303142279</v>
      </c>
      <c r="CD524" s="14" t="n">
        <f>IF(ISNUMBER(BT524),BT524,"")</f>
        <v>31</v>
      </c>
      <c r="CE524" s="13" t="n">
        <f>IF(AND(COUNT(BV524,CC524,CD524)=3,MIN(BV524,CC524,CD524)&gt;=0),BV524*CC524*CD524,"")</f>
        <v>1.9060929244387876</v>
      </c>
      <c r="CF524" s="11" t="n">
        <f>IF(ISNUMBER(BQ524),BQ524,"")</f>
        <v>0.7517299265337036</v>
      </c>
      <c r="CG524" s="14" t="n">
        <f>IF(ISNUMBER(BU524),BU524,"")</f>
        <v>17</v>
      </c>
      <c r="CH524" s="13" t="n">
        <f>IF(AND(COUNT(BV524,CF524,CG524)=3,MIN(BV524,CF524,CG524)&gt;=0),BV524*CF524*CG524,"")</f>
        <v>1.4754771917988145</v>
      </c>
      <c r="CI524" s="13" t="n">
        <f>IF(COUNT(BY524,CB524,CE524,CH524)=4,SUM(BY524,CB524,CE524,CH524),"")</f>
        <v>7.381883314175161</v>
      </c>
    </row>
    <row r="525" ht="72" customHeight="1">
      <c r="A525" s="16" t="str">
        <v>1S01-ND-8</v>
      </c>
      <c r="B525" s="16" t="str">
        <v>3店-SANDIEX-US</v>
      </c>
      <c r="C525" s="16" t="str">
        <v>徐新怡</v>
      </c>
      <c r="D525" s="26" t="n">
        <f>IF(NOT(ISNUMBER(E525)),"",IF(OR(E525&lt;=0,L525=0),0,IF(OR(NOT(ISNUMBER(F525)),F525&lt;0),"",MIN(E525,INT(F525)))))</f>
        <v>0</v>
      </c>
      <c r="E525" s="27" t="n">
        <f>IF(OR(NOT(ISNUMBER(L525)),COUNT(M525:O525)&lt;&gt;3,MIN(M525:O525)&lt;0),"",ROUNDUP(ROUND(BI525-SUM(M525:O525),10),0))</f>
        <v>0</v>
      </c>
      <c r="F525" s="28" t="n">
        <v>49</v>
      </c>
      <c r="G525" s="28" t="n">
        <f>IF(AND(ISNUMBER(D525),ISNUMBER(E525)),IF(OR(E525&lt;=0,L525=0),0,E525-D525),"")</f>
        <v>0</v>
      </c>
      <c r="H525" s="16" t="str">
        <f>IF(NOT(ISNUMBER(E525)),"销量或海外库存待补",IF(OR(E525&lt;=0,L525=0),IF(L525=0,"零日销，本批不发","本批无需补货"),IF(NOT(ISNUMBER(D525)),"国内库存待补",IF(D525=0,"国内无可用库存",IF(G525&gt;0,"先发国内现货","按建议量发货")))))</f>
        <v>零日销，本批不发</v>
      </c>
      <c r="I525" s="28" t="n">
        <f>IF(AND(COUNT(Z525,AA525,AB525)=3,Z525&gt;=AA525,AA525&gt;=0,AB525=7),Z525-AA525,"")</f>
        <v>0</v>
      </c>
      <c r="J525" s="28" t="n">
        <f>IF(AND(COUNT(AF525,AG525,AH525)=3,AF525&gt;=AG525,AG525&gt;=0,AH525=14),AF525-AG525,"")</f>
        <v>0</v>
      </c>
      <c r="K525" s="28" t="n">
        <f>IF(AND(COUNT(AL525,AM525,AN525)=3,AL525&gt;=AM525,AM525&gt;=0,AN525=30),AL525-AM525,"")</f>
        <v>0</v>
      </c>
      <c r="L525" s="29" t="n">
        <f>IF(ISNUMBER(BI525),BI525/90,"")</f>
        <v>0</v>
      </c>
      <c r="M525" s="28" t="n">
        <v>0</v>
      </c>
      <c r="N525" s="28" t="n">
        <v>0</v>
      </c>
      <c r="O525" s="28" t="n">
        <v>0</v>
      </c>
      <c r="P525" s="30" t="str">
        <f>IF(AND(ISNUMBER(L525),L525&gt;0,COUNT(M525:O525)=3,MIN(M525:O525)&gt;=0),SUM(M525:O525)/L525,"")</f>
      </c>
      <c r="Q525" s="16" t="str">
        <v>沿用原计划SKU店铺</v>
      </c>
      <c r="R525" s="16" t="str">
        <v>已匹配</v>
      </c>
      <c r="S525" s="16" t="str">
        <v>停售</v>
      </c>
      <c r="T525" s="16" t="str">
        <v>1S01</v>
      </c>
      <c r="U525" s="16" t="str">
        <v>裸色</v>
      </c>
      <c r="V525" s="16" t="n">
        <v>8</v>
      </c>
      <c r="W525" s="8" t="str">
        <v>2026-10-08 至 2026-10-17</v>
      </c>
      <c r="X525" s="8" t="str">
        <v>2026-10-08、2026-10-09、2026-10-10、2026-10-11、2026-10-14、2026-10-15、2026-10-17</v>
      </c>
      <c r="Y525" s="8" t="str">
        <v>2026-10-12 有记录的停售日；2026-10-13 有记录的停售日；2026-10-16 有记录的停售日</v>
      </c>
      <c r="Z525" s="8" t="n">
        <v>0</v>
      </c>
      <c r="AA525" s="8" t="n">
        <v>0</v>
      </c>
      <c r="AB525" s="8" t="n">
        <v>7</v>
      </c>
      <c r="AC525" s="8" t="str">
        <v>2026-09-29 至 2026-10-17</v>
      </c>
      <c r="AD525" s="8" t="str">
        <v>2026-09-29、2026-09-30、2026-10-01、2026-10-02、2026-10-03、2026-10-04、2026-10-05、2026-10-08、2026-10-09、2026-10-10、2026-10-11、2026-10-14、2026-10-15、2026-10-17</v>
      </c>
      <c r="AE525" s="8" t="str">
        <v>2026-10-06 大促；2026-10-07 大促；2026-10-12 有记录的停售日；2026-10-13 有记录的停售日；2026-10-16 有记录的停售日</v>
      </c>
      <c r="AF525" s="8" t="n">
        <v>0</v>
      </c>
      <c r="AG525" s="8" t="n">
        <v>0</v>
      </c>
      <c r="AH525" s="8" t="n">
        <v>14</v>
      </c>
      <c r="AI525" s="8" t="str">
        <v>2026-09-13 至 2026-10-17</v>
      </c>
      <c r="AJ52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5" s="8" t="str">
        <v>2026-10-06 大促；2026-10-07 大促；2026-10-12 有记录的停售日；2026-10-13 有记录的停售日；2026-10-16 有记录的停售日</v>
      </c>
      <c r="AL525" s="8" t="n">
        <v>0</v>
      </c>
      <c r="AM525" s="8" t="n">
        <v>0</v>
      </c>
      <c r="AN525" s="8" t="n">
        <v>30</v>
      </c>
      <c r="AO525" s="8" t="str">
        <v>1S01 / 裸色PU / 6574</v>
      </c>
      <c r="AP525" s="11" t="n">
        <v>0.8729500662042875</v>
      </c>
      <c r="AQ525" s="11" t="n">
        <v>0.9355747145678367</v>
      </c>
      <c r="AR525" s="11" t="n">
        <v>1.135973589331194</v>
      </c>
      <c r="AS525" s="11" t="n">
        <f>IF(AND(COUNT(I525:K525,AP525:AR525)=6,MIN(AP525:AR525)&gt;0),I525/7/AP525*0.5+J525/14/AQ525*0.3+K525/30/AR525*0.2,"")</f>
        <v>0</v>
      </c>
      <c r="AT525" s="8" t="n">
        <v>0</v>
      </c>
      <c r="AU525" s="8" t="n">
        <v>0</v>
      </c>
      <c r="AV525" s="8" t="n">
        <v>85</v>
      </c>
      <c r="AW525" s="11" t="n">
        <f>IF(AND(COUNT(AT525:AV525)=3,AT525&gt;=AU525,AU525&gt;=0,AV525&gt;0),(AT525-AU525)/AV525,"")</f>
        <v>0</v>
      </c>
      <c r="AX525" s="8" t="n">
        <v>0</v>
      </c>
      <c r="AY525" s="8" t="n">
        <v>0</v>
      </c>
      <c r="AZ525" s="8" t="n">
        <v>175</v>
      </c>
      <c r="BA525" s="11" t="n">
        <f>IF(AND(COUNT(AX525:AZ525)=3,AX525&gt;=AY525,AY525&gt;=0,AZ525&gt;0),(AX525-AY525)/AZ525,"")</f>
        <v>0</v>
      </c>
      <c r="BB525" s="8" t="n">
        <f>IF(COUNT(AS525,AW525,BA525)=3,1,0)</f>
        <v>1</v>
      </c>
      <c r="BC525" s="11" t="n">
        <f>IF(SUMIF($AO$11:$AO$1309,AO525,$BB$11:$BB$1309)=COUNTIF($AO$11:$AO$1309,AO525),SUMIF($AO$11:$AO$1309,AO525,$AS$11:$AS$1309),"")</f>
        <v>0.2859633770638296</v>
      </c>
      <c r="BD525" s="11" t="n">
        <f>IF(SUMIF($AO$11:$AO$1309,AO525,$BB$11:$BB$1309)=COUNTIF($AO$11:$AO$1309,AO525),SUMIF($AO$11:$AO$1309,AO525,$AW$11:$AW$1309),"")</f>
        <v>0.262539184952978</v>
      </c>
      <c r="BE525" s="11" t="n">
        <f>IF(SUMIF($AO$11:$AO$1309,AO525,$BB$11:$BB$1309)=COUNTIF($AO$11:$AO$1309,AO525),SUMIF($AO$11:$AO$1309,AO525,$BA$11:$BA$1309),"")</f>
        <v>0.3826890116168349</v>
      </c>
      <c r="BF525" s="12" t="n">
        <f>IF(COUNT(BD525:BE525)&lt;&gt;2,"",IF(AND(BD525&gt;0,BE525&gt;0),0.7*AW525/BD525+0.3*BA525/BE525,IF(BD525&gt;0,AW525/BD525,IF(BE525&gt;0,BA525/BE525,IF(AND(ISNUMBER(BH525),BH525=0),0,"")))))</f>
        <v>0</v>
      </c>
      <c r="BG525" s="11" t="n">
        <f>IF(AND(COUNT(BN525:BU525)=8,MIN(BN525:BU525)&gt;=0),SUMPRODUCT(BN525:BQ525,BR525:BU525),"")</f>
        <v>63.935996265425516</v>
      </c>
      <c r="BH525" s="11" t="n">
        <f>IF(COUNT(BC525,BG525)=2,BC525*BG525,"")</f>
        <v>18.283353408001478</v>
      </c>
      <c r="BI525" s="11" t="n">
        <f>IF(ISNUMBER(CI525),CI525,"")</f>
        <v>0</v>
      </c>
      <c r="BJ525" s="8" t="str">
        <v>低销提醒依据不完整</v>
      </c>
      <c r="BK525" s="8" t="str">
        <v>90天：2026-07-20 至 2026-10-17；180天：2026-04-21 至 2026-10-17</v>
      </c>
      <c r="BL525" s="8" t="str">
        <v>90天：2026-10-06、2026-10-07、2026-10-12、2026-10-13、2026-10-16；180天：2026-10-06、2026-10-07、2026-10-12、2026-10-13、2026-10-16</v>
      </c>
      <c r="BM525" s="8" t="str">
        <v>2026-10：12天 × 0.8729500662042875；2026-11：30天 × 0.8057375774163482；2026-12：31天 × 0.532550303142279；2027-01：17天 × 0.7517299265337036</v>
      </c>
      <c r="BN525" s="11" t="n">
        <v>0.8729500662042875</v>
      </c>
      <c r="BO525" s="11" t="n">
        <v>0.8057375774163482</v>
      </c>
      <c r="BP525" s="11" t="n">
        <v>0.532550303142279</v>
      </c>
      <c r="BQ525" s="11" t="n">
        <v>0.7517299265337036</v>
      </c>
      <c r="BR525" s="8" t="n">
        <v>12</v>
      </c>
      <c r="BS525" s="8" t="n">
        <v>30</v>
      </c>
      <c r="BT525" s="8" t="n">
        <v>31</v>
      </c>
      <c r="BU525" s="8" t="n">
        <v>17</v>
      </c>
      <c r="BV525" s="11" t="n">
        <f>IF(COUNT(BC525,BF525)=2,BC525*BF525,"")</f>
        <v>0</v>
      </c>
      <c r="BW525" s="11" t="n">
        <f>IF(ISNUMBER(BN525),BN525,"")</f>
        <v>0.8729500662042875</v>
      </c>
      <c r="BX525" s="14" t="n">
        <f>IF(ISNUMBER(BR525),BR525,"")</f>
        <v>12</v>
      </c>
      <c r="BY525" s="13" t="n">
        <f>IF(AND(COUNT(BV525,BW525,BX525)=3,MIN(BV525,BW525,BX525)&gt;=0),BV525*BW525*BX525,"")</f>
        <v>0</v>
      </c>
      <c r="BZ525" s="11" t="n">
        <f>IF(ISNUMBER(BO525),BO525,"")</f>
        <v>0.8057375774163482</v>
      </c>
      <c r="CA525" s="14" t="n">
        <f>IF(ISNUMBER(BS525),BS525,"")</f>
        <v>30</v>
      </c>
      <c r="CB525" s="13" t="n">
        <f>IF(AND(COUNT(BV525,BZ525,CA525)=3,MIN(BV525,BZ525,CA525)&gt;=0),BV525*BZ525*CA525,"")</f>
        <v>0</v>
      </c>
      <c r="CC525" s="11" t="n">
        <f>IF(ISNUMBER(BP525),BP525,"")</f>
        <v>0.532550303142279</v>
      </c>
      <c r="CD525" s="14" t="n">
        <f>IF(ISNUMBER(BT525),BT525,"")</f>
        <v>31</v>
      </c>
      <c r="CE525" s="13" t="n">
        <f>IF(AND(COUNT(BV525,CC525,CD525)=3,MIN(BV525,CC525,CD525)&gt;=0),BV525*CC525*CD525,"")</f>
        <v>0</v>
      </c>
      <c r="CF525" s="11" t="n">
        <f>IF(ISNUMBER(BQ525),BQ525,"")</f>
        <v>0.7517299265337036</v>
      </c>
      <c r="CG525" s="14" t="n">
        <f>IF(ISNUMBER(BU525),BU525,"")</f>
        <v>17</v>
      </c>
      <c r="CH525" s="13" t="n">
        <f>IF(AND(COUNT(BV525,CF525,CG525)=3,MIN(BV525,CF525,CG525)&gt;=0),BV525*CF525*CG525,"")</f>
        <v>0</v>
      </c>
      <c r="CI525" s="13" t="n">
        <f>IF(COUNT(BY525,CB525,CE525,CH525)=4,SUM(BY525,CB525,CE525,CH525),"")</f>
        <v>0</v>
      </c>
    </row>
    <row r="526" ht="72" customHeight="1">
      <c r="A526" s="16" t="str">
        <v>1S01-SB-36</v>
      </c>
      <c r="B526" s="16" t="str">
        <v>3店-SANDIEX-US</v>
      </c>
      <c r="C526" s="16" t="str">
        <v>徐新怡</v>
      </c>
      <c r="D526" s="26" t="n">
        <f>IF(NOT(ISNUMBER(E526)),"",IF(OR(E526&lt;=0,L526=0),0,IF(OR(NOT(ISNUMBER(F526)),F526&lt;0),"",MIN(E526,INT(F526)))))</f>
        <v>0</v>
      </c>
      <c r="E526" s="27" t="n">
        <f>IF(OR(NOT(ISNUMBER(L526)),COUNT(M526:O526)&lt;&gt;3,MIN(M526:O526)&lt;0),"",ROUNDUP(ROUND(BI526-SUM(M526:O526),10),0))</f>
        <v>0</v>
      </c>
      <c r="F526" s="28"/>
      <c r="G526" s="28" t="n">
        <f>IF(AND(ISNUMBER(D526),ISNUMBER(E526)),IF(OR(E526&lt;=0,L526=0),0,E526-D526),"")</f>
        <v>0</v>
      </c>
      <c r="H526" s="16" t="str">
        <f>IF(NOT(ISNUMBER(E526)),"销量或海外库存待补",IF(OR(E526&lt;=0,L526=0),IF(L526=0,"零日销，本批不发","本批无需补货"),IF(NOT(ISNUMBER(D526)),"国内库存待补",IF(D526=0,"国内无可用库存",IF(G526&gt;0,"先发国内现货","按建议量发货")))))</f>
        <v>零日销，本批不发</v>
      </c>
      <c r="I526" s="28" t="n">
        <f>IF(AND(COUNT(Z526,AA526,AB526)=3,Z526&gt;=AA526,AA526&gt;=0,AB526=7),Z526-AA526,"")</f>
        <v>0</v>
      </c>
      <c r="J526" s="28" t="n">
        <f>IF(AND(COUNT(AF526,AG526,AH526)=3,AF526&gt;=AG526,AG526&gt;=0,AH526=14),AF526-AG526,"")</f>
        <v>0</v>
      </c>
      <c r="K526" s="28" t="n">
        <f>IF(AND(COUNT(AL526,AM526,AN526)=3,AL526&gt;=AM526,AM526&gt;=0,AN526=30),AL526-AM526,"")</f>
        <v>0</v>
      </c>
      <c r="L526" s="29" t="n">
        <f>IF(ISNUMBER(BI526),BI526/90,"")</f>
        <v>0</v>
      </c>
      <c r="M526" s="28" t="n">
        <v>0</v>
      </c>
      <c r="N526" s="28" t="n">
        <v>0</v>
      </c>
      <c r="O526" s="28" t="n">
        <v>0</v>
      </c>
      <c r="P526" s="30" t="str">
        <f>IF(AND(ISNUMBER(L526),L526&gt;0,COUNT(M526:O526)=3,MIN(M526:O526)&gt;=0),SUM(M526:O526)/L526,"")</f>
      </c>
      <c r="Q526" s="16" t="str">
        <v>沿用同SPU原计划店铺</v>
      </c>
      <c r="R526" s="16" t="str">
        <v>未匹配</v>
      </c>
      <c r="S526" s="16" t="str">
        <v>停售</v>
      </c>
      <c r="T526" s="16" t="str">
        <v>1S01</v>
      </c>
      <c r="U526" s="16" t="str">
        <v>黑色蛇纹</v>
      </c>
      <c r="V526" s="16" t="n">
        <v>5</v>
      </c>
      <c r="W526" s="8" t="str">
        <v>2026-10-08 至 2026-10-17</v>
      </c>
      <c r="X526" s="8" t="str">
        <v>2026-10-08、2026-10-09、2026-10-10、2026-10-11、2026-10-14、2026-10-15、2026-10-17</v>
      </c>
      <c r="Y526" s="8" t="str">
        <v>2026-10-12 有记录的停售日；2026-10-13 有记录的停售日；2026-10-16 有记录的停售日</v>
      </c>
      <c r="Z526" s="8" t="n">
        <v>0</v>
      </c>
      <c r="AA526" s="8" t="n">
        <v>0</v>
      </c>
      <c r="AB526" s="8" t="n">
        <v>7</v>
      </c>
      <c r="AC526" s="8" t="str">
        <v>2026-09-29 至 2026-10-17</v>
      </c>
      <c r="AD526" s="8" t="str">
        <v>2026-09-29、2026-09-30、2026-10-01、2026-10-02、2026-10-03、2026-10-04、2026-10-05、2026-10-08、2026-10-09、2026-10-10、2026-10-11、2026-10-14、2026-10-15、2026-10-17</v>
      </c>
      <c r="AE526" s="8" t="str">
        <v>2026-10-06 大促；2026-10-07 大促；2026-10-12 有记录的停售日；2026-10-13 有记录的停售日；2026-10-16 有记录的停售日</v>
      </c>
      <c r="AF526" s="8" t="n">
        <v>0</v>
      </c>
      <c r="AG526" s="8" t="n">
        <v>0</v>
      </c>
      <c r="AH526" s="8" t="n">
        <v>14</v>
      </c>
      <c r="AI526" s="8" t="str">
        <v>2026-09-13 至 2026-10-17</v>
      </c>
      <c r="AJ52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6" s="8" t="str">
        <v>2026-10-06 大促；2026-10-07 大促；2026-10-12 有记录的停售日；2026-10-13 有记录的停售日；2026-10-16 有记录的停售日</v>
      </c>
      <c r="AL526" s="8" t="n">
        <v>0</v>
      </c>
      <c r="AM526" s="8" t="n">
        <v>0</v>
      </c>
      <c r="AN526" s="8" t="n">
        <v>30</v>
      </c>
      <c r="AO526" s="8" t="str">
        <v>1S01 / 黑色蛇纹PU / 6574</v>
      </c>
      <c r="AP526" s="11" t="n">
        <v>0.8729500662042875</v>
      </c>
      <c r="AQ526" s="11" t="n">
        <v>0.9355747145678367</v>
      </c>
      <c r="AR526" s="11" t="n">
        <v>1.135973589331194</v>
      </c>
      <c r="AS526" s="11" t="n">
        <f>IF(AND(COUNT(I526:K526,AP526:AR526)=6,MIN(AP526:AR526)&gt;0),I526/7/AP526*0.5+J526/14/AQ526*0.3+K526/30/AR526*0.2,"")</f>
        <v>0</v>
      </c>
      <c r="AT526" s="8" t="n">
        <v>0</v>
      </c>
      <c r="AU526" s="8" t="n">
        <v>0</v>
      </c>
      <c r="AV526" s="8" t="n">
        <v>85</v>
      </c>
      <c r="AW526" s="11" t="n">
        <f>IF(AND(COUNT(AT526:AV526)=3,AT526&gt;=AU526,AU526&gt;=0,AV526&gt;0),(AT526-AU526)/AV526,"")</f>
        <v>0</v>
      </c>
      <c r="AX526" s="8" t="n">
        <v>0</v>
      </c>
      <c r="AY526" s="8" t="n">
        <v>0</v>
      </c>
      <c r="AZ526" s="8" t="n">
        <v>175</v>
      </c>
      <c r="BA526" s="11" t="n">
        <f>IF(AND(COUNT(AX526:AZ526)=3,AX526&gt;=AY526,AY526&gt;=0,AZ526&gt;0),(AX526-AY526)/AZ526,"")</f>
        <v>0</v>
      </c>
      <c r="BB526" s="8" t="n">
        <f>IF(COUNT(AS526,AW526,BA526)=3,1,0)</f>
        <v>1</v>
      </c>
      <c r="BC526" s="11" t="n">
        <f>IF(SUMIF($AO$11:$AO$1309,AO526,$BB$11:$BB$1309)=COUNTIF($AO$11:$AO$1309,AO526),SUMIF($AO$11:$AO$1309,AO526,$AS$11:$AS$1309),"")</f>
        <v>1.001631473973664</v>
      </c>
      <c r="BD526" s="11" t="n">
        <f>IF(SUMIF($AO$11:$AO$1309,AO526,$BB$11:$BB$1309)=COUNTIF($AO$11:$AO$1309,AO526),SUMIF($AO$11:$AO$1309,AO526,$AW$11:$AW$1309),"")</f>
        <v>0.6254010695187165</v>
      </c>
      <c r="BE526" s="11" t="n">
        <f>IF(SUMIF($AO$11:$AO$1309,AO526,$BB$11:$BB$1309)=COUNTIF($AO$11:$AO$1309,AO526),SUMIF($AO$11:$AO$1309,AO526,$BA$11:$BA$1309),"")</f>
        <v>0.5735152487961477</v>
      </c>
      <c r="BF526" s="12" t="n">
        <f>IF(COUNT(BD526:BE526)&lt;&gt;2,"",IF(AND(BD526&gt;0,BE526&gt;0),0.7*AW526/BD526+0.3*BA526/BE526,IF(BD526&gt;0,AW526/BD526,IF(BE526&gt;0,BA526/BE526,IF(AND(ISNUMBER(BH526),BH526=0),0,"")))))</f>
        <v>0</v>
      </c>
      <c r="BG526" s="11" t="n">
        <f>IF(AND(COUNT(BN526:BU526)=8,MIN(BN526:BU526)&gt;=0),SUMPRODUCT(BN526:BQ526,BR526:BU526),"")</f>
        <v>63.935996265425516</v>
      </c>
      <c r="BH526" s="11" t="n">
        <f>IF(COUNT(BC526,BG526)=2,BC526*BG526,"")</f>
        <v>64.04030617931284</v>
      </c>
      <c r="BI526" s="11" t="n">
        <f>IF(ISNUMBER(CI526),CI526,"")</f>
        <v>0</v>
      </c>
      <c r="BJ526" s="8" t="str"/>
      <c r="BK526" s="8" t="str">
        <v>90天：2026-07-20 至 2026-10-17；180天：2026-04-21 至 2026-10-17</v>
      </c>
      <c r="BL526" s="8" t="str">
        <v>90天：2026-10-06、2026-10-07、2026-10-12、2026-10-13、2026-10-16；180天：2026-10-06、2026-10-07、2026-10-12、2026-10-13、2026-10-16</v>
      </c>
      <c r="BM526" s="8" t="str">
        <v>2026-10：12天 × 0.8729500662042875；2026-11：30天 × 0.8057375774163482；2026-12：31天 × 0.532550303142279；2027-01：17天 × 0.7517299265337036</v>
      </c>
      <c r="BN526" s="11" t="n">
        <v>0.8729500662042875</v>
      </c>
      <c r="BO526" s="11" t="n">
        <v>0.8057375774163482</v>
      </c>
      <c r="BP526" s="11" t="n">
        <v>0.532550303142279</v>
      </c>
      <c r="BQ526" s="11" t="n">
        <v>0.7517299265337036</v>
      </c>
      <c r="BR526" s="8" t="n">
        <v>12</v>
      </c>
      <c r="BS526" s="8" t="n">
        <v>30</v>
      </c>
      <c r="BT526" s="8" t="n">
        <v>31</v>
      </c>
      <c r="BU526" s="8" t="n">
        <v>17</v>
      </c>
      <c r="BV526" s="11" t="n">
        <f>IF(COUNT(BC526,BF526)=2,BC526*BF526,"")</f>
        <v>0</v>
      </c>
      <c r="BW526" s="11" t="n">
        <f>IF(ISNUMBER(BN526),BN526,"")</f>
        <v>0.8729500662042875</v>
      </c>
      <c r="BX526" s="14" t="n">
        <f>IF(ISNUMBER(BR526),BR526,"")</f>
        <v>12</v>
      </c>
      <c r="BY526" s="13" t="n">
        <f>IF(AND(COUNT(BV526,BW526,BX526)=3,MIN(BV526,BW526,BX526)&gt;=0),BV526*BW526*BX526,"")</f>
        <v>0</v>
      </c>
      <c r="BZ526" s="11" t="n">
        <f>IF(ISNUMBER(BO526),BO526,"")</f>
        <v>0.8057375774163482</v>
      </c>
      <c r="CA526" s="14" t="n">
        <f>IF(ISNUMBER(BS526),BS526,"")</f>
        <v>30</v>
      </c>
      <c r="CB526" s="13" t="n">
        <f>IF(AND(COUNT(BV526,BZ526,CA526)=3,MIN(BV526,BZ526,CA526)&gt;=0),BV526*BZ526*CA526,"")</f>
        <v>0</v>
      </c>
      <c r="CC526" s="11" t="n">
        <f>IF(ISNUMBER(BP526),BP526,"")</f>
        <v>0.532550303142279</v>
      </c>
      <c r="CD526" s="14" t="n">
        <f>IF(ISNUMBER(BT526),BT526,"")</f>
        <v>31</v>
      </c>
      <c r="CE526" s="13" t="n">
        <f>IF(AND(COUNT(BV526,CC526,CD526)=3,MIN(BV526,CC526,CD526)&gt;=0),BV526*CC526*CD526,"")</f>
        <v>0</v>
      </c>
      <c r="CF526" s="11" t="n">
        <f>IF(ISNUMBER(BQ526),BQ526,"")</f>
        <v>0.7517299265337036</v>
      </c>
      <c r="CG526" s="14" t="n">
        <f>IF(ISNUMBER(BU526),BU526,"")</f>
        <v>17</v>
      </c>
      <c r="CH526" s="13" t="n">
        <f>IF(AND(COUNT(BV526,CF526,CG526)=3,MIN(BV526,CF526,CG526)&gt;=0),BV526*CF526*CG526,"")</f>
        <v>0</v>
      </c>
      <c r="CI526" s="13" t="n">
        <f>IF(COUNT(BY526,CB526,CE526,CH526)=4,SUM(BY526,CB526,CE526,CH526),"")</f>
        <v>0</v>
      </c>
    </row>
    <row r="527" ht="72" customHeight="1">
      <c r="A527" s="16" t="str">
        <v>1S01-SB-37</v>
      </c>
      <c r="B527" s="16" t="str">
        <v>3店-SANDIEX-US</v>
      </c>
      <c r="C527" s="16" t="str">
        <v>徐新怡</v>
      </c>
      <c r="D527" s="26" t="n">
        <f>IF(NOT(ISNUMBER(E527)),"",IF(OR(E527&lt;=0,L527=0),0,IF(OR(NOT(ISNUMBER(F527)),F527&lt;0),"",MIN(E527,INT(F527)))))</f>
        <v>0</v>
      </c>
      <c r="E527" s="27" t="n">
        <f>IF(OR(NOT(ISNUMBER(L527)),COUNT(M527:O527)&lt;&gt;3,MIN(M527:O527)&lt;0),"",ROUNDUP(ROUND(BI527-SUM(M527:O527),10),0))</f>
        <v>0</v>
      </c>
      <c r="F527" s="28" t="n">
        <v>0</v>
      </c>
      <c r="G527" s="28" t="n">
        <f>IF(AND(ISNUMBER(D527),ISNUMBER(E527)),IF(OR(E527&lt;=0,L527=0),0,E527-D527),"")</f>
        <v>0</v>
      </c>
      <c r="H527" s="16" t="str">
        <f>IF(NOT(ISNUMBER(E527)),"销量或海外库存待补",IF(OR(E527&lt;=0,L527=0),IF(L527=0,"零日销，本批不发","本批无需补货"),IF(NOT(ISNUMBER(D527)),"国内库存待补",IF(D527=0,"国内无可用库存",IF(G527&gt;0,"先发国内现货","按建议量发货")))))</f>
        <v>零日销，本批不发</v>
      </c>
      <c r="I527" s="28" t="n">
        <f>IF(AND(COUNT(Z527,AA527,AB527)=3,Z527&gt;=AA527,AA527&gt;=0,AB527=7),Z527-AA527,"")</f>
        <v>0</v>
      </c>
      <c r="J527" s="28" t="n">
        <f>IF(AND(COUNT(AF527,AG527,AH527)=3,AF527&gt;=AG527,AG527&gt;=0,AH527=14),AF527-AG527,"")</f>
        <v>0</v>
      </c>
      <c r="K527" s="28" t="n">
        <f>IF(AND(COUNT(AL527,AM527,AN527)=3,AL527&gt;=AM527,AM527&gt;=0,AN527=30),AL527-AM527,"")</f>
        <v>0</v>
      </c>
      <c r="L527" s="29" t="n">
        <f>IF(ISNUMBER(BI527),BI527/90,"")</f>
        <v>0</v>
      </c>
      <c r="M527" s="28" t="n">
        <v>0</v>
      </c>
      <c r="N527" s="28" t="n">
        <v>0</v>
      </c>
      <c r="O527" s="28" t="n">
        <v>0</v>
      </c>
      <c r="P527" s="30" t="str">
        <f>IF(AND(ISNUMBER(L527),L527&gt;0,COUNT(M527:O527)=3,MIN(M527:O527)&gt;=0),SUM(M527:O527)/L527,"")</f>
      </c>
      <c r="Q527" s="16" t="str">
        <v>沿用原计划SKU店铺</v>
      </c>
      <c r="R527" s="16" t="str">
        <v>已匹配</v>
      </c>
      <c r="S527" s="16" t="str">
        <v>停售</v>
      </c>
      <c r="T527" s="16" t="str">
        <v>1S01</v>
      </c>
      <c r="U527" s="16" t="str">
        <v>黑色蛇纹</v>
      </c>
      <c r="V527" s="16" t="n">
        <v>6</v>
      </c>
      <c r="W527" s="8" t="str">
        <v>2026-10-08 至 2026-10-17</v>
      </c>
      <c r="X527" s="8" t="str">
        <v>2026-10-08、2026-10-09、2026-10-10、2026-10-11、2026-10-14、2026-10-15、2026-10-17</v>
      </c>
      <c r="Y527" s="8" t="str">
        <v>2026-10-12 有记录的停售日；2026-10-13 有记录的停售日；2026-10-16 有记录的停售日</v>
      </c>
      <c r="Z527" s="8" t="n">
        <v>0</v>
      </c>
      <c r="AA527" s="8" t="n">
        <v>0</v>
      </c>
      <c r="AB527" s="8" t="n">
        <v>7</v>
      </c>
      <c r="AC527" s="8" t="str">
        <v>2026-09-29 至 2026-10-17</v>
      </c>
      <c r="AD527" s="8" t="str">
        <v>2026-09-29、2026-09-30、2026-10-01、2026-10-02、2026-10-03、2026-10-04、2026-10-05、2026-10-08、2026-10-09、2026-10-10、2026-10-11、2026-10-14、2026-10-15、2026-10-17</v>
      </c>
      <c r="AE527" s="8" t="str">
        <v>2026-10-06 大促；2026-10-07 大促；2026-10-12 有记录的停售日；2026-10-13 有记录的停售日；2026-10-16 有记录的停售日</v>
      </c>
      <c r="AF527" s="8" t="n">
        <v>0</v>
      </c>
      <c r="AG527" s="8" t="n">
        <v>0</v>
      </c>
      <c r="AH527" s="8" t="n">
        <v>14</v>
      </c>
      <c r="AI527" s="8" t="str">
        <v>2026-09-13 至 2026-10-17</v>
      </c>
      <c r="AJ52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7" s="8" t="str">
        <v>2026-10-06 大促；2026-10-07 大促；2026-10-12 有记录的停售日；2026-10-13 有记录的停售日；2026-10-16 有记录的停售日</v>
      </c>
      <c r="AL527" s="8" t="n">
        <v>0</v>
      </c>
      <c r="AM527" s="8" t="n">
        <v>0</v>
      </c>
      <c r="AN527" s="8" t="n">
        <v>30</v>
      </c>
      <c r="AO527" s="8" t="str">
        <v>1S01 / 黑色蛇纹PU / 6574</v>
      </c>
      <c r="AP527" s="11" t="n">
        <v>0.8729500662042875</v>
      </c>
      <c r="AQ527" s="11" t="n">
        <v>0.9355747145678367</v>
      </c>
      <c r="AR527" s="11" t="n">
        <v>1.135973589331194</v>
      </c>
      <c r="AS527" s="11" t="n">
        <f>IF(AND(COUNT(I527:K527,AP527:AR527)=6,MIN(AP527:AR527)&gt;0),I527/7/AP527*0.5+J527/14/AQ527*0.3+K527/30/AR527*0.2,"")</f>
        <v>0</v>
      </c>
      <c r="AT527" s="8" t="n">
        <v>0</v>
      </c>
      <c r="AU527" s="8" t="n">
        <v>0</v>
      </c>
      <c r="AV527" s="8" t="n">
        <v>85</v>
      </c>
      <c r="AW527" s="11" t="n">
        <f>IF(AND(COUNT(AT527:AV527)=3,AT527&gt;=AU527,AU527&gt;=0,AV527&gt;0),(AT527-AU527)/AV527,"")</f>
        <v>0</v>
      </c>
      <c r="AX527" s="8" t="n">
        <v>0</v>
      </c>
      <c r="AY527" s="8" t="n">
        <v>0</v>
      </c>
      <c r="AZ527" s="8" t="n">
        <v>175</v>
      </c>
      <c r="BA527" s="11" t="n">
        <f>IF(AND(COUNT(AX527:AZ527)=3,AX527&gt;=AY527,AY527&gt;=0,AZ527&gt;0),(AX527-AY527)/AZ527,"")</f>
        <v>0</v>
      </c>
      <c r="BB527" s="8" t="n">
        <f>IF(COUNT(AS527,AW527,BA527)=3,1,0)</f>
        <v>1</v>
      </c>
      <c r="BC527" s="11" t="n">
        <f>IF(SUMIF($AO$11:$AO$1309,AO527,$BB$11:$BB$1309)=COUNTIF($AO$11:$AO$1309,AO527),SUMIF($AO$11:$AO$1309,AO527,$AS$11:$AS$1309),"")</f>
        <v>1.001631473973664</v>
      </c>
      <c r="BD527" s="11" t="n">
        <f>IF(SUMIF($AO$11:$AO$1309,AO527,$BB$11:$BB$1309)=COUNTIF($AO$11:$AO$1309,AO527),SUMIF($AO$11:$AO$1309,AO527,$AW$11:$AW$1309),"")</f>
        <v>0.6254010695187165</v>
      </c>
      <c r="BE527" s="11" t="n">
        <f>IF(SUMIF($AO$11:$AO$1309,AO527,$BB$11:$BB$1309)=COUNTIF($AO$11:$AO$1309,AO527),SUMIF($AO$11:$AO$1309,AO527,$BA$11:$BA$1309),"")</f>
        <v>0.5735152487961477</v>
      </c>
      <c r="BF527" s="12" t="n">
        <f>IF(COUNT(BD527:BE527)&lt;&gt;2,"",IF(AND(BD527&gt;0,BE527&gt;0),0.7*AW527/BD527+0.3*BA527/BE527,IF(BD527&gt;0,AW527/BD527,IF(BE527&gt;0,BA527/BE527,IF(AND(ISNUMBER(BH527),BH527=0),0,"")))))</f>
        <v>0</v>
      </c>
      <c r="BG527" s="11" t="n">
        <f>IF(AND(COUNT(BN527:BU527)=8,MIN(BN527:BU527)&gt;=0),SUMPRODUCT(BN527:BQ527,BR527:BU527),"")</f>
        <v>63.935996265425516</v>
      </c>
      <c r="BH527" s="11" t="n">
        <f>IF(COUNT(BC527,BG527)=2,BC527*BG527,"")</f>
        <v>64.04030617931284</v>
      </c>
      <c r="BI527" s="11" t="n">
        <f>IF(ISNUMBER(CI527),CI527,"")</f>
        <v>0</v>
      </c>
      <c r="BJ527" s="8" t="str"/>
      <c r="BK527" s="8" t="str">
        <v>90天：2026-07-20 至 2026-10-17；180天：2026-04-21 至 2026-10-17</v>
      </c>
      <c r="BL527" s="8" t="str">
        <v>90天：2026-10-06、2026-10-07、2026-10-12、2026-10-13、2026-10-16；180天：2026-10-06、2026-10-07、2026-10-12、2026-10-13、2026-10-16</v>
      </c>
      <c r="BM527" s="8" t="str">
        <v>2026-10：12天 × 0.8729500662042875；2026-11：30天 × 0.8057375774163482；2026-12：31天 × 0.532550303142279；2027-01：17天 × 0.7517299265337036</v>
      </c>
      <c r="BN527" s="11" t="n">
        <v>0.8729500662042875</v>
      </c>
      <c r="BO527" s="11" t="n">
        <v>0.8057375774163482</v>
      </c>
      <c r="BP527" s="11" t="n">
        <v>0.532550303142279</v>
      </c>
      <c r="BQ527" s="11" t="n">
        <v>0.7517299265337036</v>
      </c>
      <c r="BR527" s="8" t="n">
        <v>12</v>
      </c>
      <c r="BS527" s="8" t="n">
        <v>30</v>
      </c>
      <c r="BT527" s="8" t="n">
        <v>31</v>
      </c>
      <c r="BU527" s="8" t="n">
        <v>17</v>
      </c>
      <c r="BV527" s="11" t="n">
        <f>IF(COUNT(BC527,BF527)=2,BC527*BF527,"")</f>
        <v>0</v>
      </c>
      <c r="BW527" s="11" t="n">
        <f>IF(ISNUMBER(BN527),BN527,"")</f>
        <v>0.8729500662042875</v>
      </c>
      <c r="BX527" s="14" t="n">
        <f>IF(ISNUMBER(BR527),BR527,"")</f>
        <v>12</v>
      </c>
      <c r="BY527" s="13" t="n">
        <f>IF(AND(COUNT(BV527,BW527,BX527)=3,MIN(BV527,BW527,BX527)&gt;=0),BV527*BW527*BX527,"")</f>
        <v>0</v>
      </c>
      <c r="BZ527" s="11" t="n">
        <f>IF(ISNUMBER(BO527),BO527,"")</f>
        <v>0.8057375774163482</v>
      </c>
      <c r="CA527" s="14" t="n">
        <f>IF(ISNUMBER(BS527),BS527,"")</f>
        <v>30</v>
      </c>
      <c r="CB527" s="13" t="n">
        <f>IF(AND(COUNT(BV527,BZ527,CA527)=3,MIN(BV527,BZ527,CA527)&gt;=0),BV527*BZ527*CA527,"")</f>
        <v>0</v>
      </c>
      <c r="CC527" s="11" t="n">
        <f>IF(ISNUMBER(BP527),BP527,"")</f>
        <v>0.532550303142279</v>
      </c>
      <c r="CD527" s="14" t="n">
        <f>IF(ISNUMBER(BT527),BT527,"")</f>
        <v>31</v>
      </c>
      <c r="CE527" s="13" t="n">
        <f>IF(AND(COUNT(BV527,CC527,CD527)=3,MIN(BV527,CC527,CD527)&gt;=0),BV527*CC527*CD527,"")</f>
        <v>0</v>
      </c>
      <c r="CF527" s="11" t="n">
        <f>IF(ISNUMBER(BQ527),BQ527,"")</f>
        <v>0.7517299265337036</v>
      </c>
      <c r="CG527" s="14" t="n">
        <f>IF(ISNUMBER(BU527),BU527,"")</f>
        <v>17</v>
      </c>
      <c r="CH527" s="13" t="n">
        <f>IF(AND(COUNT(BV527,CF527,CG527)=3,MIN(BV527,CF527,CG527)&gt;=0),BV527*CF527*CG527,"")</f>
        <v>0</v>
      </c>
      <c r="CI527" s="13" t="n">
        <f>IF(COUNT(BY527,CB527,CE527,CH527)=4,SUM(BY527,CB527,CE527,CH527),"")</f>
        <v>0</v>
      </c>
    </row>
    <row r="528" ht="72" customHeight="1">
      <c r="A528" s="16" t="str">
        <v>1S01-SB-37.5</v>
      </c>
      <c r="B528" s="16" t="str">
        <v>3店-SANDIEX-US</v>
      </c>
      <c r="C528" s="16" t="str">
        <v>徐新怡</v>
      </c>
      <c r="D528" s="26" t="n">
        <f>IF(NOT(ISNUMBER(E528)),"",IF(OR(E528&lt;=0,L528=0),0,IF(OR(NOT(ISNUMBER(F528)),F528&lt;0),"",MIN(E528,INT(F528)))))</f>
        <v>0</v>
      </c>
      <c r="E528" s="27" t="n">
        <f>IF(OR(NOT(ISNUMBER(L528)),COUNT(M528:O528)&lt;&gt;3,MIN(M528:O528)&lt;0),"",ROUNDUP(ROUND(BI528-SUM(M528:O528),10),0))</f>
        <v>0</v>
      </c>
      <c r="F528" s="28" t="n">
        <v>0</v>
      </c>
      <c r="G528" s="28" t="n">
        <f>IF(AND(ISNUMBER(D528),ISNUMBER(E528)),IF(OR(E528&lt;=0,L528=0),0,E528-D528),"")</f>
        <v>0</v>
      </c>
      <c r="H528" s="16" t="str">
        <f>IF(NOT(ISNUMBER(E528)),"销量或海外库存待补",IF(OR(E528&lt;=0,L528=0),IF(L528=0,"零日销，本批不发","本批无需补货"),IF(NOT(ISNUMBER(D528)),"国内库存待补",IF(D528=0,"国内无可用库存",IF(G528&gt;0,"先发国内现货","按建议量发货")))))</f>
        <v>零日销，本批不发</v>
      </c>
      <c r="I528" s="28" t="n">
        <f>IF(AND(COUNT(Z528,AA528,AB528)=3,Z528&gt;=AA528,AA528&gt;=0,AB528=7),Z528-AA528,"")</f>
        <v>0</v>
      </c>
      <c r="J528" s="28" t="n">
        <f>IF(AND(COUNT(AF528,AG528,AH528)=3,AF528&gt;=AG528,AG528&gt;=0,AH528=14),AF528-AG528,"")</f>
        <v>0</v>
      </c>
      <c r="K528" s="28" t="n">
        <f>IF(AND(COUNT(AL528,AM528,AN528)=3,AL528&gt;=AM528,AM528&gt;=0,AN528=30),AL528-AM528,"")</f>
        <v>0</v>
      </c>
      <c r="L528" s="29" t="n">
        <f>IF(ISNUMBER(BI528),BI528/90,"")</f>
        <v>0</v>
      </c>
      <c r="M528" s="28" t="n">
        <v>0</v>
      </c>
      <c r="N528" s="28" t="n">
        <v>0</v>
      </c>
      <c r="O528" s="28" t="n">
        <v>0</v>
      </c>
      <c r="P528" s="30" t="str">
        <f>IF(AND(ISNUMBER(L528),L528&gt;0,COUNT(M528:O528)=3,MIN(M528:O528)&gt;=0),SUM(M528:O528)/L528,"")</f>
      </c>
      <c r="Q528" s="16" t="str">
        <v>沿用原计划SKU店铺</v>
      </c>
      <c r="R528" s="16" t="str">
        <v>已匹配</v>
      </c>
      <c r="S528" s="16" t="str">
        <v>在售</v>
      </c>
      <c r="T528" s="16" t="str">
        <v>1S01</v>
      </c>
      <c r="U528" s="16" t="str">
        <v>黑色蛇纹</v>
      </c>
      <c r="V528" s="16" t="n">
        <v>6.5</v>
      </c>
      <c r="W528" s="8" t="str">
        <v>2026-10-08 至 2026-10-17</v>
      </c>
      <c r="X528" s="8" t="str">
        <v>2026-10-08、2026-10-09、2026-10-10、2026-10-11、2026-10-14、2026-10-15、2026-10-17</v>
      </c>
      <c r="Y528" s="8" t="str">
        <v>2026-10-12 有记录的停售日；2026-10-13 有记录的停售日；2026-10-16 有记录的停售日</v>
      </c>
      <c r="Z528" s="8" t="n">
        <v>0</v>
      </c>
      <c r="AA528" s="8" t="n">
        <v>0</v>
      </c>
      <c r="AB528" s="8" t="n">
        <v>7</v>
      </c>
      <c r="AC528" s="8" t="str">
        <v>2026-09-29 至 2026-10-17</v>
      </c>
      <c r="AD528" s="8" t="str">
        <v>2026-09-29、2026-09-30、2026-10-01、2026-10-02、2026-10-03、2026-10-04、2026-10-05、2026-10-08、2026-10-09、2026-10-10、2026-10-11、2026-10-14、2026-10-15、2026-10-17</v>
      </c>
      <c r="AE528" s="8" t="str">
        <v>2026-10-06 大促；2026-10-07 大促；2026-10-12 有记录的停售日；2026-10-13 有记录的停售日；2026-10-16 有记录的停售日</v>
      </c>
      <c r="AF528" s="8" t="n">
        <v>0</v>
      </c>
      <c r="AG528" s="8" t="n">
        <v>0</v>
      </c>
      <c r="AH528" s="8" t="n">
        <v>14</v>
      </c>
      <c r="AI528" s="8" t="str">
        <v>2026-09-13 至 2026-10-17</v>
      </c>
      <c r="AJ52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8" s="8" t="str">
        <v>2026-10-06 大促；2026-10-07 大促；2026-10-12 有记录的停售日；2026-10-13 有记录的停售日；2026-10-16 有记录的停售日</v>
      </c>
      <c r="AL528" s="8" t="n">
        <v>0</v>
      </c>
      <c r="AM528" s="8" t="n">
        <v>0</v>
      </c>
      <c r="AN528" s="8" t="n">
        <v>30</v>
      </c>
      <c r="AO528" s="8" t="str">
        <v>1S01 / 黑色蛇纹PU / 6574</v>
      </c>
      <c r="AP528" s="11" t="n">
        <v>0.8729500662042875</v>
      </c>
      <c r="AQ528" s="11" t="n">
        <v>0.9355747145678367</v>
      </c>
      <c r="AR528" s="11" t="n">
        <v>1.135973589331194</v>
      </c>
      <c r="AS528" s="11" t="n">
        <f>IF(AND(COUNT(I528:K528,AP528:AR528)=6,MIN(AP528:AR528)&gt;0),I528/7/AP528*0.5+J528/14/AQ528*0.3+K528/30/AR528*0.2,"")</f>
        <v>0</v>
      </c>
      <c r="AT528" s="8" t="n">
        <v>0</v>
      </c>
      <c r="AU528" s="8" t="n">
        <v>0</v>
      </c>
      <c r="AV528" s="8" t="n">
        <v>85</v>
      </c>
      <c r="AW528" s="11" t="n">
        <f>IF(AND(COUNT(AT528:AV528)=3,AT528&gt;=AU528,AU528&gt;=0,AV528&gt;0),(AT528-AU528)/AV528,"")</f>
        <v>0</v>
      </c>
      <c r="AX528" s="8" t="n">
        <v>0</v>
      </c>
      <c r="AY528" s="8" t="n">
        <v>0</v>
      </c>
      <c r="AZ528" s="8" t="n">
        <v>175</v>
      </c>
      <c r="BA528" s="11" t="n">
        <f>IF(AND(COUNT(AX528:AZ528)=3,AX528&gt;=AY528,AY528&gt;=0,AZ528&gt;0),(AX528-AY528)/AZ528,"")</f>
        <v>0</v>
      </c>
      <c r="BB528" s="8" t="n">
        <f>IF(COUNT(AS528,AW528,BA528)=3,1,0)</f>
        <v>1</v>
      </c>
      <c r="BC528" s="11" t="n">
        <f>IF(SUMIF($AO$11:$AO$1309,AO528,$BB$11:$BB$1309)=COUNTIF($AO$11:$AO$1309,AO528),SUMIF($AO$11:$AO$1309,AO528,$AS$11:$AS$1309),"")</f>
        <v>1.001631473973664</v>
      </c>
      <c r="BD528" s="11" t="n">
        <f>IF(SUMIF($AO$11:$AO$1309,AO528,$BB$11:$BB$1309)=COUNTIF($AO$11:$AO$1309,AO528),SUMIF($AO$11:$AO$1309,AO528,$AW$11:$AW$1309),"")</f>
        <v>0.6254010695187165</v>
      </c>
      <c r="BE528" s="11" t="n">
        <f>IF(SUMIF($AO$11:$AO$1309,AO528,$BB$11:$BB$1309)=COUNTIF($AO$11:$AO$1309,AO528),SUMIF($AO$11:$AO$1309,AO528,$BA$11:$BA$1309),"")</f>
        <v>0.5735152487961477</v>
      </c>
      <c r="BF528" s="12" t="n">
        <f>IF(COUNT(BD528:BE528)&lt;&gt;2,"",IF(AND(BD528&gt;0,BE528&gt;0),0.7*AW528/BD528+0.3*BA528/BE528,IF(BD528&gt;0,AW528/BD528,IF(BE528&gt;0,BA528/BE528,IF(AND(ISNUMBER(BH528),BH528=0),0,"")))))</f>
        <v>0</v>
      </c>
      <c r="BG528" s="11" t="n">
        <f>IF(AND(COUNT(BN528:BU528)=8,MIN(BN528:BU528)&gt;=0),SUMPRODUCT(BN528:BQ528,BR528:BU528),"")</f>
        <v>63.935996265425516</v>
      </c>
      <c r="BH528" s="11" t="n">
        <f>IF(COUNT(BC528,BG528)=2,BC528*BG528,"")</f>
        <v>64.04030617931284</v>
      </c>
      <c r="BI528" s="11" t="n">
        <f>IF(ISNUMBER(CI528),CI528,"")</f>
        <v>0</v>
      </c>
      <c r="BJ528" s="8" t="str"/>
      <c r="BK528" s="8" t="str">
        <v>90天：2026-07-20 至 2026-10-17；180天：2026-04-21 至 2026-10-17</v>
      </c>
      <c r="BL528" s="8" t="str">
        <v>90天：2026-10-06、2026-10-07、2026-10-12、2026-10-13、2026-10-16；180天：2026-10-06、2026-10-07、2026-10-12、2026-10-13、2026-10-16</v>
      </c>
      <c r="BM528" s="8" t="str">
        <v>2026-10：12天 × 0.8729500662042875；2026-11：30天 × 0.8057375774163482；2026-12：31天 × 0.532550303142279；2027-01：17天 × 0.7517299265337036</v>
      </c>
      <c r="BN528" s="11" t="n">
        <v>0.8729500662042875</v>
      </c>
      <c r="BO528" s="11" t="n">
        <v>0.8057375774163482</v>
      </c>
      <c r="BP528" s="11" t="n">
        <v>0.532550303142279</v>
      </c>
      <c r="BQ528" s="11" t="n">
        <v>0.7517299265337036</v>
      </c>
      <c r="BR528" s="8" t="n">
        <v>12</v>
      </c>
      <c r="BS528" s="8" t="n">
        <v>30</v>
      </c>
      <c r="BT528" s="8" t="n">
        <v>31</v>
      </c>
      <c r="BU528" s="8" t="n">
        <v>17</v>
      </c>
      <c r="BV528" s="11" t="n">
        <f>IF(COUNT(BC528,BF528)=2,BC528*BF528,"")</f>
        <v>0</v>
      </c>
      <c r="BW528" s="11" t="n">
        <f>IF(ISNUMBER(BN528),BN528,"")</f>
        <v>0.8729500662042875</v>
      </c>
      <c r="BX528" s="14" t="n">
        <f>IF(ISNUMBER(BR528),BR528,"")</f>
        <v>12</v>
      </c>
      <c r="BY528" s="13" t="n">
        <f>IF(AND(COUNT(BV528,BW528,BX528)=3,MIN(BV528,BW528,BX528)&gt;=0),BV528*BW528*BX528,"")</f>
        <v>0</v>
      </c>
      <c r="BZ528" s="11" t="n">
        <f>IF(ISNUMBER(BO528),BO528,"")</f>
        <v>0.8057375774163482</v>
      </c>
      <c r="CA528" s="14" t="n">
        <f>IF(ISNUMBER(BS528),BS528,"")</f>
        <v>30</v>
      </c>
      <c r="CB528" s="13" t="n">
        <f>IF(AND(COUNT(BV528,BZ528,CA528)=3,MIN(BV528,BZ528,CA528)&gt;=0),BV528*BZ528*CA528,"")</f>
        <v>0</v>
      </c>
      <c r="CC528" s="11" t="n">
        <f>IF(ISNUMBER(BP528),BP528,"")</f>
        <v>0.532550303142279</v>
      </c>
      <c r="CD528" s="14" t="n">
        <f>IF(ISNUMBER(BT528),BT528,"")</f>
        <v>31</v>
      </c>
      <c r="CE528" s="13" t="n">
        <f>IF(AND(COUNT(BV528,CC528,CD528)=3,MIN(BV528,CC528,CD528)&gt;=0),BV528*CC528*CD528,"")</f>
        <v>0</v>
      </c>
      <c r="CF528" s="11" t="n">
        <f>IF(ISNUMBER(BQ528),BQ528,"")</f>
        <v>0.7517299265337036</v>
      </c>
      <c r="CG528" s="14" t="n">
        <f>IF(ISNUMBER(BU528),BU528,"")</f>
        <v>17</v>
      </c>
      <c r="CH528" s="13" t="n">
        <f>IF(AND(COUNT(BV528,CF528,CG528)=3,MIN(BV528,CF528,CG528)&gt;=0),BV528*CF528*CG528,"")</f>
        <v>0</v>
      </c>
      <c r="CI528" s="13" t="n">
        <f>IF(COUNT(BY528,CB528,CE528,CH528)=4,SUM(BY528,CB528,CE528,CH528),"")</f>
        <v>0</v>
      </c>
    </row>
    <row r="529" ht="72" customHeight="1">
      <c r="A529" s="16" t="str">
        <v>1S01-SB-38</v>
      </c>
      <c r="B529" s="16" t="str">
        <v>3店-SANDIEX-US</v>
      </c>
      <c r="C529" s="16" t="str">
        <v>徐新怡</v>
      </c>
      <c r="D529" s="26" t="n">
        <f>IF(NOT(ISNUMBER(E529)),"",IF(OR(E529&lt;=0,L529=0),0,IF(OR(NOT(ISNUMBER(F529)),F529&lt;0),"",MIN(E529,INT(F529)))))</f>
        <v>0</v>
      </c>
      <c r="E529" s="27" t="n">
        <f>IF(OR(NOT(ISNUMBER(L529)),COUNT(M529:O529)&lt;&gt;3,MIN(M529:O529)&lt;0),"",ROUNDUP(ROUND(BI529-SUM(M529:O529),10),0))</f>
        <v>0</v>
      </c>
      <c r="F529" s="28" t="n">
        <v>1</v>
      </c>
      <c r="G529" s="28" t="n">
        <f>IF(AND(ISNUMBER(D529),ISNUMBER(E529)),IF(OR(E529&lt;=0,L529=0),0,E529-D529),"")</f>
        <v>0</v>
      </c>
      <c r="H529" s="16" t="str">
        <f>IF(NOT(ISNUMBER(E529)),"销量或海外库存待补",IF(OR(E529&lt;=0,L529=0),IF(L529=0,"零日销，本批不发","本批无需补货"),IF(NOT(ISNUMBER(D529)),"国内库存待补",IF(D529=0,"国内无可用库存",IF(G529&gt;0,"先发国内现货","按建议量发货")))))</f>
        <v>零日销，本批不发</v>
      </c>
      <c r="I529" s="28" t="n">
        <f>IF(AND(COUNT(Z529,AA529,AB529)=3,Z529&gt;=AA529,AA529&gt;=0,AB529=7),Z529-AA529,"")</f>
        <v>0</v>
      </c>
      <c r="J529" s="28" t="n">
        <f>IF(AND(COUNT(AF529,AG529,AH529)=3,AF529&gt;=AG529,AG529&gt;=0,AH529=14),AF529-AG529,"")</f>
        <v>0</v>
      </c>
      <c r="K529" s="28" t="n">
        <f>IF(AND(COUNT(AL529,AM529,AN529)=3,AL529&gt;=AM529,AM529&gt;=0,AN529=30),AL529-AM529,"")</f>
        <v>0</v>
      </c>
      <c r="L529" s="29" t="n">
        <f>IF(ISNUMBER(BI529),BI529/90,"")</f>
        <v>0</v>
      </c>
      <c r="M529" s="28" t="n">
        <v>0</v>
      </c>
      <c r="N529" s="28" t="n">
        <v>0</v>
      </c>
      <c r="O529" s="28" t="n">
        <v>0</v>
      </c>
      <c r="P529" s="30" t="str">
        <f>IF(AND(ISNUMBER(L529),L529&gt;0,COUNT(M529:O529)=3,MIN(M529:O529)&gt;=0),SUM(M529:O529)/L529,"")</f>
      </c>
      <c r="Q529" s="16" t="str">
        <v>沿用原计划SKU店铺</v>
      </c>
      <c r="R529" s="16" t="str">
        <v>已匹配</v>
      </c>
      <c r="S529" s="16" t="str">
        <v>停售</v>
      </c>
      <c r="T529" s="16" t="str">
        <v>1S01</v>
      </c>
      <c r="U529" s="16" t="str">
        <v>黑色蛇纹</v>
      </c>
      <c r="V529" s="16" t="n">
        <v>7</v>
      </c>
      <c r="W529" s="8" t="str">
        <v>2026-10-08 至 2026-10-17</v>
      </c>
      <c r="X529" s="8" t="str">
        <v>2026-10-08、2026-10-09、2026-10-10、2026-10-11、2026-10-14、2026-10-15、2026-10-17</v>
      </c>
      <c r="Y529" s="8" t="str">
        <v>2026-10-12 有记录的停售日；2026-10-13 有记录的停售日；2026-10-16 有记录的停售日</v>
      </c>
      <c r="Z529" s="8" t="n">
        <v>0</v>
      </c>
      <c r="AA529" s="8" t="n">
        <v>0</v>
      </c>
      <c r="AB529" s="8" t="n">
        <v>7</v>
      </c>
      <c r="AC529" s="8" t="str">
        <v>2026-09-29 至 2026-10-17</v>
      </c>
      <c r="AD529" s="8" t="str">
        <v>2026-09-29、2026-09-30、2026-10-01、2026-10-02、2026-10-03、2026-10-04、2026-10-05、2026-10-08、2026-10-09、2026-10-10、2026-10-11、2026-10-14、2026-10-15、2026-10-17</v>
      </c>
      <c r="AE529" s="8" t="str">
        <v>2026-10-06 大促；2026-10-07 大促；2026-10-12 有记录的停售日；2026-10-13 有记录的停售日；2026-10-16 有记录的停售日</v>
      </c>
      <c r="AF529" s="8" t="n">
        <v>0</v>
      </c>
      <c r="AG529" s="8" t="n">
        <v>0</v>
      </c>
      <c r="AH529" s="8" t="n">
        <v>14</v>
      </c>
      <c r="AI529" s="8" t="str">
        <v>2026-09-13 至 2026-10-17</v>
      </c>
      <c r="AJ52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29" s="8" t="str">
        <v>2026-10-06 大促；2026-10-07 大促；2026-10-12 有记录的停售日；2026-10-13 有记录的停售日；2026-10-16 有记录的停售日</v>
      </c>
      <c r="AL529" s="8" t="n">
        <v>0</v>
      </c>
      <c r="AM529" s="8" t="n">
        <v>0</v>
      </c>
      <c r="AN529" s="8" t="n">
        <v>30</v>
      </c>
      <c r="AO529" s="8" t="str">
        <v>1S01 / 黑色蛇纹PU / 6574</v>
      </c>
      <c r="AP529" s="11" t="n">
        <v>0.8729500662042875</v>
      </c>
      <c r="AQ529" s="11" t="n">
        <v>0.9355747145678367</v>
      </c>
      <c r="AR529" s="11" t="n">
        <v>1.135973589331194</v>
      </c>
      <c r="AS529" s="11" t="n">
        <f>IF(AND(COUNT(I529:K529,AP529:AR529)=6,MIN(AP529:AR529)&gt;0),I529/7/AP529*0.5+J529/14/AQ529*0.3+K529/30/AR529*0.2,"")</f>
        <v>0</v>
      </c>
      <c r="AT529" s="8" t="n">
        <v>0</v>
      </c>
      <c r="AU529" s="8" t="n">
        <v>0</v>
      </c>
      <c r="AV529" s="8" t="n">
        <v>85</v>
      </c>
      <c r="AW529" s="11" t="n">
        <f>IF(AND(COUNT(AT529:AV529)=3,AT529&gt;=AU529,AU529&gt;=0,AV529&gt;0),(AT529-AU529)/AV529,"")</f>
        <v>0</v>
      </c>
      <c r="AX529" s="8" t="n">
        <v>0</v>
      </c>
      <c r="AY529" s="8" t="n">
        <v>0</v>
      </c>
      <c r="AZ529" s="8" t="n">
        <v>175</v>
      </c>
      <c r="BA529" s="11" t="n">
        <f>IF(AND(COUNT(AX529:AZ529)=3,AX529&gt;=AY529,AY529&gt;=0,AZ529&gt;0),(AX529-AY529)/AZ529,"")</f>
        <v>0</v>
      </c>
      <c r="BB529" s="8" t="n">
        <f>IF(COUNT(AS529,AW529,BA529)=3,1,0)</f>
        <v>1</v>
      </c>
      <c r="BC529" s="11" t="n">
        <f>IF(SUMIF($AO$11:$AO$1309,AO529,$BB$11:$BB$1309)=COUNTIF($AO$11:$AO$1309,AO529),SUMIF($AO$11:$AO$1309,AO529,$AS$11:$AS$1309),"")</f>
        <v>1.001631473973664</v>
      </c>
      <c r="BD529" s="11" t="n">
        <f>IF(SUMIF($AO$11:$AO$1309,AO529,$BB$11:$BB$1309)=COUNTIF($AO$11:$AO$1309,AO529),SUMIF($AO$11:$AO$1309,AO529,$AW$11:$AW$1309),"")</f>
        <v>0.6254010695187165</v>
      </c>
      <c r="BE529" s="11" t="n">
        <f>IF(SUMIF($AO$11:$AO$1309,AO529,$BB$11:$BB$1309)=COUNTIF($AO$11:$AO$1309,AO529),SUMIF($AO$11:$AO$1309,AO529,$BA$11:$BA$1309),"")</f>
        <v>0.5735152487961477</v>
      </c>
      <c r="BF529" s="12" t="n">
        <f>IF(COUNT(BD529:BE529)&lt;&gt;2,"",IF(AND(BD529&gt;0,BE529&gt;0),0.7*AW529/BD529+0.3*BA529/BE529,IF(BD529&gt;0,AW529/BD529,IF(BE529&gt;0,BA529/BE529,IF(AND(ISNUMBER(BH529),BH529=0),0,"")))))</f>
        <v>0</v>
      </c>
      <c r="BG529" s="11" t="n">
        <f>IF(AND(COUNT(BN529:BU529)=8,MIN(BN529:BU529)&gt;=0),SUMPRODUCT(BN529:BQ529,BR529:BU529),"")</f>
        <v>63.935996265425516</v>
      </c>
      <c r="BH529" s="11" t="n">
        <f>IF(COUNT(BC529,BG529)=2,BC529*BG529,"")</f>
        <v>64.04030617931284</v>
      </c>
      <c r="BI529" s="11" t="n">
        <f>IF(ISNUMBER(CI529),CI529,"")</f>
        <v>0</v>
      </c>
      <c r="BJ529" s="8" t="str"/>
      <c r="BK529" s="8" t="str">
        <v>90天：2026-07-20 至 2026-10-17；180天：2026-04-21 至 2026-10-17</v>
      </c>
      <c r="BL529" s="8" t="str">
        <v>90天：2026-10-06、2026-10-07、2026-10-12、2026-10-13、2026-10-16；180天：2026-10-06、2026-10-07、2026-10-12、2026-10-13、2026-10-16</v>
      </c>
      <c r="BM529" s="8" t="str">
        <v>2026-10：12天 × 0.8729500662042875；2026-11：30天 × 0.8057375774163482；2026-12：31天 × 0.532550303142279；2027-01：17天 × 0.7517299265337036</v>
      </c>
      <c r="BN529" s="11" t="n">
        <v>0.8729500662042875</v>
      </c>
      <c r="BO529" s="11" t="n">
        <v>0.8057375774163482</v>
      </c>
      <c r="BP529" s="11" t="n">
        <v>0.532550303142279</v>
      </c>
      <c r="BQ529" s="11" t="n">
        <v>0.7517299265337036</v>
      </c>
      <c r="BR529" s="8" t="n">
        <v>12</v>
      </c>
      <c r="BS529" s="8" t="n">
        <v>30</v>
      </c>
      <c r="BT529" s="8" t="n">
        <v>31</v>
      </c>
      <c r="BU529" s="8" t="n">
        <v>17</v>
      </c>
      <c r="BV529" s="11" t="n">
        <f>IF(COUNT(BC529,BF529)=2,BC529*BF529,"")</f>
        <v>0</v>
      </c>
      <c r="BW529" s="11" t="n">
        <f>IF(ISNUMBER(BN529),BN529,"")</f>
        <v>0.8729500662042875</v>
      </c>
      <c r="BX529" s="14" t="n">
        <f>IF(ISNUMBER(BR529),BR529,"")</f>
        <v>12</v>
      </c>
      <c r="BY529" s="13" t="n">
        <f>IF(AND(COUNT(BV529,BW529,BX529)=3,MIN(BV529,BW529,BX529)&gt;=0),BV529*BW529*BX529,"")</f>
        <v>0</v>
      </c>
      <c r="BZ529" s="11" t="n">
        <f>IF(ISNUMBER(BO529),BO529,"")</f>
        <v>0.8057375774163482</v>
      </c>
      <c r="CA529" s="14" t="n">
        <f>IF(ISNUMBER(BS529),BS529,"")</f>
        <v>30</v>
      </c>
      <c r="CB529" s="13" t="n">
        <f>IF(AND(COUNT(BV529,BZ529,CA529)=3,MIN(BV529,BZ529,CA529)&gt;=0),BV529*BZ529*CA529,"")</f>
        <v>0</v>
      </c>
      <c r="CC529" s="11" t="n">
        <f>IF(ISNUMBER(BP529),BP529,"")</f>
        <v>0.532550303142279</v>
      </c>
      <c r="CD529" s="14" t="n">
        <f>IF(ISNUMBER(BT529),BT529,"")</f>
        <v>31</v>
      </c>
      <c r="CE529" s="13" t="n">
        <f>IF(AND(COUNT(BV529,CC529,CD529)=3,MIN(BV529,CC529,CD529)&gt;=0),BV529*CC529*CD529,"")</f>
        <v>0</v>
      </c>
      <c r="CF529" s="11" t="n">
        <f>IF(ISNUMBER(BQ529),BQ529,"")</f>
        <v>0.7517299265337036</v>
      </c>
      <c r="CG529" s="14" t="n">
        <f>IF(ISNUMBER(BU529),BU529,"")</f>
        <v>17</v>
      </c>
      <c r="CH529" s="13" t="n">
        <f>IF(AND(COUNT(BV529,CF529,CG529)=3,MIN(BV529,CF529,CG529)&gt;=0),BV529*CF529*CG529,"")</f>
        <v>0</v>
      </c>
      <c r="CI529" s="13" t="n">
        <f>IF(COUNT(BY529,CB529,CE529,CH529)=4,SUM(BY529,CB529,CE529,CH529),"")</f>
        <v>0</v>
      </c>
    </row>
    <row r="530" ht="72" customHeight="1">
      <c r="A530" s="16" t="str">
        <v>1S01-SB-39</v>
      </c>
      <c r="B530" s="16" t="str">
        <v>3店-SANDIEX-US</v>
      </c>
      <c r="C530" s="16" t="str">
        <v>徐新怡</v>
      </c>
      <c r="D530" s="26" t="n">
        <f>IF(NOT(ISNUMBER(E530)),"",IF(OR(E530&lt;=0,L530=0),0,IF(OR(NOT(ISNUMBER(F530)),F530&lt;0),"",MIN(E530,INT(F530)))))</f>
        <v>0</v>
      </c>
      <c r="E530" s="27" t="n">
        <f>IF(OR(NOT(ISNUMBER(L530)),COUNT(M530:O530)&lt;&gt;3,MIN(M530:O530)&lt;0),"",ROUNDUP(ROUND(BI530-SUM(M530:O530),10),0))</f>
        <v>0</v>
      </c>
      <c r="F530" s="28" t="n">
        <v>3</v>
      </c>
      <c r="G530" s="28" t="n">
        <f>IF(AND(ISNUMBER(D530),ISNUMBER(E530)),IF(OR(E530&lt;=0,L530=0),0,E530-D530),"")</f>
        <v>0</v>
      </c>
      <c r="H530" s="16" t="str">
        <f>IF(NOT(ISNUMBER(E530)),"销量或海外库存待补",IF(OR(E530&lt;=0,L530=0),IF(L530=0,"零日销，本批不发","本批无需补货"),IF(NOT(ISNUMBER(D530)),"国内库存待补",IF(D530=0,"国内无可用库存",IF(G530&gt;0,"先发国内现货","按建议量发货")))))</f>
        <v>零日销，本批不发</v>
      </c>
      <c r="I530" s="28" t="n">
        <f>IF(AND(COUNT(Z530,AA530,AB530)=3,Z530&gt;=AA530,AA530&gt;=0,AB530=7),Z530-AA530,"")</f>
        <v>0</v>
      </c>
      <c r="J530" s="28" t="n">
        <f>IF(AND(COUNT(AF530,AG530,AH530)=3,AF530&gt;=AG530,AG530&gt;=0,AH530=14),AF530-AG530,"")</f>
        <v>0</v>
      </c>
      <c r="K530" s="28" t="n">
        <f>IF(AND(COUNT(AL530,AM530,AN530)=3,AL530&gt;=AM530,AM530&gt;=0,AN530=30),AL530-AM530,"")</f>
        <v>0</v>
      </c>
      <c r="L530" s="29" t="n">
        <f>IF(ISNUMBER(BI530),BI530/90,"")</f>
        <v>0</v>
      </c>
      <c r="M530" s="28" t="n">
        <v>0</v>
      </c>
      <c r="N530" s="28" t="n">
        <v>0</v>
      </c>
      <c r="O530" s="28" t="n">
        <v>0</v>
      </c>
      <c r="P530" s="30" t="str">
        <f>IF(AND(ISNUMBER(L530),L530&gt;0,COUNT(M530:O530)=3,MIN(M530:O530)&gt;=0),SUM(M530:O530)/L530,"")</f>
      </c>
      <c r="Q530" s="16" t="str">
        <v>沿用原计划SKU店铺</v>
      </c>
      <c r="R530" s="16" t="str">
        <v>已匹配</v>
      </c>
      <c r="S530" s="16" t="str">
        <v>停售</v>
      </c>
      <c r="T530" s="16" t="str">
        <v>1S01</v>
      </c>
      <c r="U530" s="16" t="str">
        <v>黑色蛇纹</v>
      </c>
      <c r="V530" s="16" t="n">
        <v>8</v>
      </c>
      <c r="W530" s="8" t="str">
        <v>2026-10-08 至 2026-10-17</v>
      </c>
      <c r="X530" s="8" t="str">
        <v>2026-10-08、2026-10-09、2026-10-10、2026-10-11、2026-10-14、2026-10-15、2026-10-17</v>
      </c>
      <c r="Y530" s="8" t="str">
        <v>2026-10-12 有记录的停售日；2026-10-13 有记录的停售日；2026-10-16 有记录的停售日</v>
      </c>
      <c r="Z530" s="8" t="n">
        <v>0</v>
      </c>
      <c r="AA530" s="8" t="n">
        <v>0</v>
      </c>
      <c r="AB530" s="8" t="n">
        <v>7</v>
      </c>
      <c r="AC530" s="8" t="str">
        <v>2026-09-29 至 2026-10-17</v>
      </c>
      <c r="AD530" s="8" t="str">
        <v>2026-09-29、2026-09-30、2026-10-01、2026-10-02、2026-10-03、2026-10-04、2026-10-05、2026-10-08、2026-10-09、2026-10-10、2026-10-11、2026-10-14、2026-10-15、2026-10-17</v>
      </c>
      <c r="AE530" s="8" t="str">
        <v>2026-10-06 大促；2026-10-07 大促；2026-10-12 有记录的停售日；2026-10-13 有记录的停售日；2026-10-16 有记录的停售日</v>
      </c>
      <c r="AF530" s="8" t="n">
        <v>0</v>
      </c>
      <c r="AG530" s="8" t="n">
        <v>0</v>
      </c>
      <c r="AH530" s="8" t="n">
        <v>14</v>
      </c>
      <c r="AI530" s="8" t="str">
        <v>2026-09-13 至 2026-10-17</v>
      </c>
      <c r="AJ53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0" s="8" t="str">
        <v>2026-10-06 大促；2026-10-07 大促；2026-10-12 有记录的停售日；2026-10-13 有记录的停售日；2026-10-16 有记录的停售日</v>
      </c>
      <c r="AL530" s="8" t="n">
        <v>0</v>
      </c>
      <c r="AM530" s="8" t="n">
        <v>0</v>
      </c>
      <c r="AN530" s="8" t="n">
        <v>30</v>
      </c>
      <c r="AO530" s="8" t="str">
        <v>1S01 / 黑色蛇纹PU / 6574</v>
      </c>
      <c r="AP530" s="11" t="n">
        <v>0.8729500662042875</v>
      </c>
      <c r="AQ530" s="11" t="n">
        <v>0.9355747145678367</v>
      </c>
      <c r="AR530" s="11" t="n">
        <v>1.135973589331194</v>
      </c>
      <c r="AS530" s="11" t="n">
        <f>IF(AND(COUNT(I530:K530,AP530:AR530)=6,MIN(AP530:AR530)&gt;0),I530/7/AP530*0.5+J530/14/AQ530*0.3+K530/30/AR530*0.2,"")</f>
        <v>0</v>
      </c>
      <c r="AT530" s="8" t="n">
        <v>0</v>
      </c>
      <c r="AU530" s="8" t="n">
        <v>0</v>
      </c>
      <c r="AV530" s="8" t="n">
        <v>85</v>
      </c>
      <c r="AW530" s="11" t="n">
        <f>IF(AND(COUNT(AT530:AV530)=3,AT530&gt;=AU530,AU530&gt;=0,AV530&gt;0),(AT530-AU530)/AV530,"")</f>
        <v>0</v>
      </c>
      <c r="AX530" s="8" t="n">
        <v>0</v>
      </c>
      <c r="AY530" s="8" t="n">
        <v>0</v>
      </c>
      <c r="AZ530" s="8" t="n">
        <v>175</v>
      </c>
      <c r="BA530" s="11" t="n">
        <f>IF(AND(COUNT(AX530:AZ530)=3,AX530&gt;=AY530,AY530&gt;=0,AZ530&gt;0),(AX530-AY530)/AZ530,"")</f>
        <v>0</v>
      </c>
      <c r="BB530" s="8" t="n">
        <f>IF(COUNT(AS530,AW530,BA530)=3,1,0)</f>
        <v>1</v>
      </c>
      <c r="BC530" s="11" t="n">
        <f>IF(SUMIF($AO$11:$AO$1309,AO530,$BB$11:$BB$1309)=COUNTIF($AO$11:$AO$1309,AO530),SUMIF($AO$11:$AO$1309,AO530,$AS$11:$AS$1309),"")</f>
        <v>1.001631473973664</v>
      </c>
      <c r="BD530" s="11" t="n">
        <f>IF(SUMIF($AO$11:$AO$1309,AO530,$BB$11:$BB$1309)=COUNTIF($AO$11:$AO$1309,AO530),SUMIF($AO$11:$AO$1309,AO530,$AW$11:$AW$1309),"")</f>
        <v>0.6254010695187165</v>
      </c>
      <c r="BE530" s="11" t="n">
        <f>IF(SUMIF($AO$11:$AO$1309,AO530,$BB$11:$BB$1309)=COUNTIF($AO$11:$AO$1309,AO530),SUMIF($AO$11:$AO$1309,AO530,$BA$11:$BA$1309),"")</f>
        <v>0.5735152487961477</v>
      </c>
      <c r="BF530" s="12" t="n">
        <f>IF(COUNT(BD530:BE530)&lt;&gt;2,"",IF(AND(BD530&gt;0,BE530&gt;0),0.7*AW530/BD530+0.3*BA530/BE530,IF(BD530&gt;0,AW530/BD530,IF(BE530&gt;0,BA530/BE530,IF(AND(ISNUMBER(BH530),BH530=0),0,"")))))</f>
        <v>0</v>
      </c>
      <c r="BG530" s="11" t="n">
        <f>IF(AND(COUNT(BN530:BU530)=8,MIN(BN530:BU530)&gt;=0),SUMPRODUCT(BN530:BQ530,BR530:BU530),"")</f>
        <v>63.935996265425516</v>
      </c>
      <c r="BH530" s="11" t="n">
        <f>IF(COUNT(BC530,BG530)=2,BC530*BG530,"")</f>
        <v>64.04030617931284</v>
      </c>
      <c r="BI530" s="11" t="n">
        <f>IF(ISNUMBER(CI530),CI530,"")</f>
        <v>0</v>
      </c>
      <c r="BJ530" s="8" t="str"/>
      <c r="BK530" s="8" t="str">
        <v>90天：2026-07-20 至 2026-10-17；180天：2026-04-21 至 2026-10-17</v>
      </c>
      <c r="BL530" s="8" t="str">
        <v>90天：2026-10-06、2026-10-07、2026-10-12、2026-10-13、2026-10-16；180天：2026-10-06、2026-10-07、2026-10-12、2026-10-13、2026-10-16</v>
      </c>
      <c r="BM530" s="8" t="str">
        <v>2026-10：12天 × 0.8729500662042875；2026-11：30天 × 0.8057375774163482；2026-12：31天 × 0.532550303142279；2027-01：17天 × 0.7517299265337036</v>
      </c>
      <c r="BN530" s="11" t="n">
        <v>0.8729500662042875</v>
      </c>
      <c r="BO530" s="11" t="n">
        <v>0.8057375774163482</v>
      </c>
      <c r="BP530" s="11" t="n">
        <v>0.532550303142279</v>
      </c>
      <c r="BQ530" s="11" t="n">
        <v>0.7517299265337036</v>
      </c>
      <c r="BR530" s="8" t="n">
        <v>12</v>
      </c>
      <c r="BS530" s="8" t="n">
        <v>30</v>
      </c>
      <c r="BT530" s="8" t="n">
        <v>31</v>
      </c>
      <c r="BU530" s="8" t="n">
        <v>17</v>
      </c>
      <c r="BV530" s="11" t="n">
        <f>IF(COUNT(BC530,BF530)=2,BC530*BF530,"")</f>
        <v>0</v>
      </c>
      <c r="BW530" s="11" t="n">
        <f>IF(ISNUMBER(BN530),BN530,"")</f>
        <v>0.8729500662042875</v>
      </c>
      <c r="BX530" s="14" t="n">
        <f>IF(ISNUMBER(BR530),BR530,"")</f>
        <v>12</v>
      </c>
      <c r="BY530" s="13" t="n">
        <f>IF(AND(COUNT(BV530,BW530,BX530)=3,MIN(BV530,BW530,BX530)&gt;=0),BV530*BW530*BX530,"")</f>
        <v>0</v>
      </c>
      <c r="BZ530" s="11" t="n">
        <f>IF(ISNUMBER(BO530),BO530,"")</f>
        <v>0.8057375774163482</v>
      </c>
      <c r="CA530" s="14" t="n">
        <f>IF(ISNUMBER(BS530),BS530,"")</f>
        <v>30</v>
      </c>
      <c r="CB530" s="13" t="n">
        <f>IF(AND(COUNT(BV530,BZ530,CA530)=3,MIN(BV530,BZ530,CA530)&gt;=0),BV530*BZ530*CA530,"")</f>
        <v>0</v>
      </c>
      <c r="CC530" s="11" t="n">
        <f>IF(ISNUMBER(BP530),BP530,"")</f>
        <v>0.532550303142279</v>
      </c>
      <c r="CD530" s="14" t="n">
        <f>IF(ISNUMBER(BT530),BT530,"")</f>
        <v>31</v>
      </c>
      <c r="CE530" s="13" t="n">
        <f>IF(AND(COUNT(BV530,CC530,CD530)=3,MIN(BV530,CC530,CD530)&gt;=0),BV530*CC530*CD530,"")</f>
        <v>0</v>
      </c>
      <c r="CF530" s="11" t="n">
        <f>IF(ISNUMBER(BQ530),BQ530,"")</f>
        <v>0.7517299265337036</v>
      </c>
      <c r="CG530" s="14" t="n">
        <f>IF(ISNUMBER(BU530),BU530,"")</f>
        <v>17</v>
      </c>
      <c r="CH530" s="13" t="n">
        <f>IF(AND(COUNT(BV530,CF530,CG530)=3,MIN(BV530,CF530,CG530)&gt;=0),BV530*CF530*CG530,"")</f>
        <v>0</v>
      </c>
      <c r="CI530" s="13" t="n">
        <f>IF(COUNT(BY530,CB530,CE530,CH530)=4,SUM(BY530,CB530,CE530,CH530),"")</f>
        <v>0</v>
      </c>
    </row>
    <row r="531" ht="72" customHeight="1">
      <c r="A531" s="16" t="str">
        <v>1S01-SB-39.5</v>
      </c>
      <c r="B531" s="16" t="str">
        <v>3店-SANDIEX-US</v>
      </c>
      <c r="C531" s="16" t="str">
        <v>徐新怡</v>
      </c>
      <c r="D531" s="26" t="n">
        <f>IF(NOT(ISNUMBER(E531)),"",IF(OR(E531&lt;=0,L531=0),0,IF(OR(NOT(ISNUMBER(F531)),F531&lt;0),"",MIN(E531,INT(F531)))))</f>
        <v>0</v>
      </c>
      <c r="E531" s="27" t="n">
        <f>IF(OR(NOT(ISNUMBER(L531)),COUNT(M531:O531)&lt;&gt;3,MIN(M531:O531)&lt;0),"",ROUNDUP(ROUND(BI531-SUM(M531:O531),10),0))</f>
        <v>0</v>
      </c>
      <c r="F531" s="28" t="n">
        <v>0</v>
      </c>
      <c r="G531" s="28" t="n">
        <f>IF(AND(ISNUMBER(D531),ISNUMBER(E531)),IF(OR(E531&lt;=0,L531=0),0,E531-D531),"")</f>
        <v>0</v>
      </c>
      <c r="H531" s="16" t="str">
        <f>IF(NOT(ISNUMBER(E531)),"销量或海外库存待补",IF(OR(E531&lt;=0,L531=0),IF(L531=0,"零日销，本批不发","本批无需补货"),IF(NOT(ISNUMBER(D531)),"国内库存待补",IF(D531=0,"国内无可用库存",IF(G531&gt;0,"先发国内现货","按建议量发货")))))</f>
        <v>零日销，本批不发</v>
      </c>
      <c r="I531" s="28" t="n">
        <f>IF(AND(COUNT(Z531,AA531,AB531)=3,Z531&gt;=AA531,AA531&gt;=0,AB531=7),Z531-AA531,"")</f>
        <v>0</v>
      </c>
      <c r="J531" s="28" t="n">
        <f>IF(AND(COUNT(AF531,AG531,AH531)=3,AF531&gt;=AG531,AG531&gt;=0,AH531=14),AF531-AG531,"")</f>
        <v>0</v>
      </c>
      <c r="K531" s="28" t="n">
        <f>IF(AND(COUNT(AL531,AM531,AN531)=3,AL531&gt;=AM531,AM531&gt;=0,AN531=30),AL531-AM531,"")</f>
        <v>0</v>
      </c>
      <c r="L531" s="29" t="n">
        <f>IF(ISNUMBER(BI531),BI531/90,"")</f>
        <v>0</v>
      </c>
      <c r="M531" s="28" t="n">
        <v>0</v>
      </c>
      <c r="N531" s="28" t="n">
        <v>0</v>
      </c>
      <c r="O531" s="28" t="n">
        <v>0</v>
      </c>
      <c r="P531" s="30" t="str">
        <f>IF(AND(ISNUMBER(L531),L531&gt;0,COUNT(M531:O531)=3,MIN(M531:O531)&gt;=0),SUM(M531:O531)/L531,"")</f>
      </c>
      <c r="Q531" s="16" t="str">
        <v>沿用同SPU原计划店铺</v>
      </c>
      <c r="R531" s="16" t="str">
        <v>已匹配</v>
      </c>
      <c r="S531" s="16" t="str">
        <v>停售</v>
      </c>
      <c r="T531" s="16" t="str">
        <v>1S01</v>
      </c>
      <c r="U531" s="16" t="str">
        <v>黑色蛇纹</v>
      </c>
      <c r="V531" s="16" t="n">
        <v>8.5</v>
      </c>
      <c r="W531" s="8" t="str">
        <v>2026-10-08 至 2026-10-17</v>
      </c>
      <c r="X531" s="8" t="str">
        <v>2026-10-08、2026-10-09、2026-10-10、2026-10-11、2026-10-14、2026-10-15、2026-10-17</v>
      </c>
      <c r="Y531" s="8" t="str">
        <v>2026-10-12 有记录的停售日；2026-10-13 有记录的停售日；2026-10-16 有记录的停售日</v>
      </c>
      <c r="Z531" s="8" t="n">
        <v>0</v>
      </c>
      <c r="AA531" s="8" t="n">
        <v>0</v>
      </c>
      <c r="AB531" s="8" t="n">
        <v>7</v>
      </c>
      <c r="AC531" s="8" t="str">
        <v>2026-09-29 至 2026-10-17</v>
      </c>
      <c r="AD531" s="8" t="str">
        <v>2026-09-29、2026-09-30、2026-10-01、2026-10-02、2026-10-03、2026-10-04、2026-10-05、2026-10-08、2026-10-09、2026-10-10、2026-10-11、2026-10-14、2026-10-15、2026-10-17</v>
      </c>
      <c r="AE531" s="8" t="str">
        <v>2026-10-06 大促；2026-10-07 大促；2026-10-12 有记录的停售日；2026-10-13 有记录的停售日；2026-10-16 有记录的停售日</v>
      </c>
      <c r="AF531" s="8" t="n">
        <v>0</v>
      </c>
      <c r="AG531" s="8" t="n">
        <v>0</v>
      </c>
      <c r="AH531" s="8" t="n">
        <v>14</v>
      </c>
      <c r="AI531" s="8" t="str">
        <v>2026-09-13 至 2026-10-17</v>
      </c>
      <c r="AJ53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1" s="8" t="str">
        <v>2026-10-06 大促；2026-10-07 大促；2026-10-12 有记录的停售日；2026-10-13 有记录的停售日；2026-10-16 有记录的停售日</v>
      </c>
      <c r="AL531" s="8" t="n">
        <v>0</v>
      </c>
      <c r="AM531" s="8" t="n">
        <v>0</v>
      </c>
      <c r="AN531" s="8" t="n">
        <v>30</v>
      </c>
      <c r="AO531" s="8" t="str">
        <v>1S01 / 黑色蛇纹PU / 6574</v>
      </c>
      <c r="AP531" s="11" t="n">
        <v>0.8729500662042875</v>
      </c>
      <c r="AQ531" s="11" t="n">
        <v>0.9355747145678367</v>
      </c>
      <c r="AR531" s="11" t="n">
        <v>1.135973589331194</v>
      </c>
      <c r="AS531" s="11" t="n">
        <f>IF(AND(COUNT(I531:K531,AP531:AR531)=6,MIN(AP531:AR531)&gt;0),I531/7/AP531*0.5+J531/14/AQ531*0.3+K531/30/AR531*0.2,"")</f>
        <v>0</v>
      </c>
      <c r="AT531" s="8" t="n">
        <v>0</v>
      </c>
      <c r="AU531" s="8" t="n">
        <v>0</v>
      </c>
      <c r="AV531" s="8" t="n">
        <v>85</v>
      </c>
      <c r="AW531" s="11" t="n">
        <f>IF(AND(COUNT(AT531:AV531)=3,AT531&gt;=AU531,AU531&gt;=0,AV531&gt;0),(AT531-AU531)/AV531,"")</f>
        <v>0</v>
      </c>
      <c r="AX531" s="8" t="n">
        <v>0</v>
      </c>
      <c r="AY531" s="8" t="n">
        <v>0</v>
      </c>
      <c r="AZ531" s="8" t="n">
        <v>175</v>
      </c>
      <c r="BA531" s="11" t="n">
        <f>IF(AND(COUNT(AX531:AZ531)=3,AX531&gt;=AY531,AY531&gt;=0,AZ531&gt;0),(AX531-AY531)/AZ531,"")</f>
        <v>0</v>
      </c>
      <c r="BB531" s="8" t="n">
        <f>IF(COUNT(AS531,AW531,BA531)=3,1,0)</f>
        <v>1</v>
      </c>
      <c r="BC531" s="11" t="n">
        <f>IF(SUMIF($AO$11:$AO$1309,AO531,$BB$11:$BB$1309)=COUNTIF($AO$11:$AO$1309,AO531),SUMIF($AO$11:$AO$1309,AO531,$AS$11:$AS$1309),"")</f>
        <v>1.001631473973664</v>
      </c>
      <c r="BD531" s="11" t="n">
        <f>IF(SUMIF($AO$11:$AO$1309,AO531,$BB$11:$BB$1309)=COUNTIF($AO$11:$AO$1309,AO531),SUMIF($AO$11:$AO$1309,AO531,$AW$11:$AW$1309),"")</f>
        <v>0.6254010695187165</v>
      </c>
      <c r="BE531" s="11" t="n">
        <f>IF(SUMIF($AO$11:$AO$1309,AO531,$BB$11:$BB$1309)=COUNTIF($AO$11:$AO$1309,AO531),SUMIF($AO$11:$AO$1309,AO531,$BA$11:$BA$1309),"")</f>
        <v>0.5735152487961477</v>
      </c>
      <c r="BF531" s="12" t="n">
        <f>IF(COUNT(BD531:BE531)&lt;&gt;2,"",IF(AND(BD531&gt;0,BE531&gt;0),0.7*AW531/BD531+0.3*BA531/BE531,IF(BD531&gt;0,AW531/BD531,IF(BE531&gt;0,BA531/BE531,IF(AND(ISNUMBER(BH531),BH531=0),0,"")))))</f>
        <v>0</v>
      </c>
      <c r="BG531" s="11" t="n">
        <f>IF(AND(COUNT(BN531:BU531)=8,MIN(BN531:BU531)&gt;=0),SUMPRODUCT(BN531:BQ531,BR531:BU531),"")</f>
        <v>63.935996265425516</v>
      </c>
      <c r="BH531" s="11" t="n">
        <f>IF(COUNT(BC531,BG531)=2,BC531*BG531,"")</f>
        <v>64.04030617931284</v>
      </c>
      <c r="BI531" s="11" t="n">
        <f>IF(ISNUMBER(CI531),CI531,"")</f>
        <v>0</v>
      </c>
      <c r="BJ531" s="8" t="str"/>
      <c r="BK531" s="8" t="str">
        <v>90天：2026-07-20 至 2026-10-17；180天：2026-04-21 至 2026-10-17</v>
      </c>
      <c r="BL531" s="8" t="str">
        <v>90天：2026-10-06、2026-10-07、2026-10-12、2026-10-13、2026-10-16；180天：2026-10-06、2026-10-07、2026-10-12、2026-10-13、2026-10-16</v>
      </c>
      <c r="BM531" s="8" t="str">
        <v>2026-10：12天 × 0.8729500662042875；2026-11：30天 × 0.8057375774163482；2026-12：31天 × 0.532550303142279；2027-01：17天 × 0.7517299265337036</v>
      </c>
      <c r="BN531" s="11" t="n">
        <v>0.8729500662042875</v>
      </c>
      <c r="BO531" s="11" t="n">
        <v>0.8057375774163482</v>
      </c>
      <c r="BP531" s="11" t="n">
        <v>0.532550303142279</v>
      </c>
      <c r="BQ531" s="11" t="n">
        <v>0.7517299265337036</v>
      </c>
      <c r="BR531" s="8" t="n">
        <v>12</v>
      </c>
      <c r="BS531" s="8" t="n">
        <v>30</v>
      </c>
      <c r="BT531" s="8" t="n">
        <v>31</v>
      </c>
      <c r="BU531" s="8" t="n">
        <v>17</v>
      </c>
      <c r="BV531" s="11" t="n">
        <f>IF(COUNT(BC531,BF531)=2,BC531*BF531,"")</f>
        <v>0</v>
      </c>
      <c r="BW531" s="11" t="n">
        <f>IF(ISNUMBER(BN531),BN531,"")</f>
        <v>0.8729500662042875</v>
      </c>
      <c r="BX531" s="14" t="n">
        <f>IF(ISNUMBER(BR531),BR531,"")</f>
        <v>12</v>
      </c>
      <c r="BY531" s="13" t="n">
        <f>IF(AND(COUNT(BV531,BW531,BX531)=3,MIN(BV531,BW531,BX531)&gt;=0),BV531*BW531*BX531,"")</f>
        <v>0</v>
      </c>
      <c r="BZ531" s="11" t="n">
        <f>IF(ISNUMBER(BO531),BO531,"")</f>
        <v>0.8057375774163482</v>
      </c>
      <c r="CA531" s="14" t="n">
        <f>IF(ISNUMBER(BS531),BS531,"")</f>
        <v>30</v>
      </c>
      <c r="CB531" s="13" t="n">
        <f>IF(AND(COUNT(BV531,BZ531,CA531)=3,MIN(BV531,BZ531,CA531)&gt;=0),BV531*BZ531*CA531,"")</f>
        <v>0</v>
      </c>
      <c r="CC531" s="11" t="n">
        <f>IF(ISNUMBER(BP531),BP531,"")</f>
        <v>0.532550303142279</v>
      </c>
      <c r="CD531" s="14" t="n">
        <f>IF(ISNUMBER(BT531),BT531,"")</f>
        <v>31</v>
      </c>
      <c r="CE531" s="13" t="n">
        <f>IF(AND(COUNT(BV531,CC531,CD531)=3,MIN(BV531,CC531,CD531)&gt;=0),BV531*CC531*CD531,"")</f>
        <v>0</v>
      </c>
      <c r="CF531" s="11" t="n">
        <f>IF(ISNUMBER(BQ531),BQ531,"")</f>
        <v>0.7517299265337036</v>
      </c>
      <c r="CG531" s="14" t="n">
        <f>IF(ISNUMBER(BU531),BU531,"")</f>
        <v>17</v>
      </c>
      <c r="CH531" s="13" t="n">
        <f>IF(AND(COUNT(BV531,CF531,CG531)=3,MIN(BV531,CF531,CG531)&gt;=0),BV531*CF531*CG531,"")</f>
        <v>0</v>
      </c>
      <c r="CI531" s="13" t="n">
        <f>IF(COUNT(BY531,CB531,CE531,CH531)=4,SUM(BY531,CB531,CE531,CH531),"")</f>
        <v>0</v>
      </c>
    </row>
    <row r="532" ht="72" customHeight="1">
      <c r="A532" s="16" t="str">
        <v>1S01-SB-40.5</v>
      </c>
      <c r="B532" s="16" t="str">
        <v>3店-SANDIEX-US</v>
      </c>
      <c r="C532" s="16" t="str">
        <v>徐新怡</v>
      </c>
      <c r="D532" s="26" t="n">
        <f>IF(NOT(ISNUMBER(E532)),"",IF(OR(E532&lt;=0,L532=0),0,IF(OR(NOT(ISNUMBER(F532)),F532&lt;0),"",MIN(E532,INT(F532)))))</f>
        <v>0</v>
      </c>
      <c r="E532" s="27" t="n">
        <f>IF(OR(NOT(ISNUMBER(L532)),COUNT(M532:O532)&lt;&gt;3,MIN(M532:O532)&lt;0),"",ROUNDUP(ROUND(BI532-SUM(M532:O532),10),0))</f>
        <v>0</v>
      </c>
      <c r="F532" s="28"/>
      <c r="G532" s="28" t="n">
        <f>IF(AND(ISNUMBER(D532),ISNUMBER(E532)),IF(OR(E532&lt;=0,L532=0),0,E532-D532),"")</f>
        <v>0</v>
      </c>
      <c r="H532" s="16" t="str">
        <f>IF(NOT(ISNUMBER(E532)),"销量或海外库存待补",IF(OR(E532&lt;=0,L532=0),IF(L532=0,"零日销，本批不发","本批无需补货"),IF(NOT(ISNUMBER(D532)),"国内库存待补",IF(D532=0,"国内无可用库存",IF(G532&gt;0,"先发国内现货","按建议量发货")))))</f>
        <v>零日销，本批不发</v>
      </c>
      <c r="I532" s="28" t="n">
        <f>IF(AND(COUNT(Z532,AA532,AB532)=3,Z532&gt;=AA532,AA532&gt;=0,AB532=7),Z532-AA532,"")</f>
        <v>0</v>
      </c>
      <c r="J532" s="28" t="n">
        <f>IF(AND(COUNT(AF532,AG532,AH532)=3,AF532&gt;=AG532,AG532&gt;=0,AH532=14),AF532-AG532,"")</f>
        <v>0</v>
      </c>
      <c r="K532" s="28" t="n">
        <f>IF(AND(COUNT(AL532,AM532,AN532)=3,AL532&gt;=AM532,AM532&gt;=0,AN532=30),AL532-AM532,"")</f>
        <v>0</v>
      </c>
      <c r="L532" s="29" t="n">
        <f>IF(ISNUMBER(BI532),BI532/90,"")</f>
        <v>0</v>
      </c>
      <c r="M532" s="28" t="n">
        <v>0</v>
      </c>
      <c r="N532" s="28" t="n">
        <v>0</v>
      </c>
      <c r="O532" s="28" t="n">
        <v>0</v>
      </c>
      <c r="P532" s="30" t="str">
        <f>IF(AND(ISNUMBER(L532),L532&gt;0,COUNT(M532:O532)=3,MIN(M532:O532)&gt;=0),SUM(M532:O532)/L532,"")</f>
      </c>
      <c r="Q532" s="16" t="str">
        <v>沿用同SPU原计划店铺</v>
      </c>
      <c r="R532" s="16" t="str">
        <v>未匹配</v>
      </c>
      <c r="S532" s="16" t="str">
        <v>停售</v>
      </c>
      <c r="T532" s="16" t="str">
        <v>1S01</v>
      </c>
      <c r="U532" s="16" t="str">
        <v>黑色蛇纹</v>
      </c>
      <c r="V532" s="16" t="n">
        <v>9.5</v>
      </c>
      <c r="W532" s="8" t="str">
        <v>2026-10-08 至 2026-10-17</v>
      </c>
      <c r="X532" s="8" t="str">
        <v>2026-10-08、2026-10-09、2026-10-10、2026-10-11、2026-10-14、2026-10-15、2026-10-17</v>
      </c>
      <c r="Y532" s="8" t="str">
        <v>2026-10-12 有记录的停售日；2026-10-13 有记录的停售日；2026-10-16 有记录的停售日</v>
      </c>
      <c r="Z532" s="8" t="n">
        <v>0</v>
      </c>
      <c r="AA532" s="8" t="n">
        <v>0</v>
      </c>
      <c r="AB532" s="8" t="n">
        <v>7</v>
      </c>
      <c r="AC532" s="8" t="str">
        <v>2026-09-29 至 2026-10-17</v>
      </c>
      <c r="AD532" s="8" t="str">
        <v>2026-09-29、2026-09-30、2026-10-01、2026-10-02、2026-10-03、2026-10-04、2026-10-05、2026-10-08、2026-10-09、2026-10-10、2026-10-11、2026-10-14、2026-10-15、2026-10-17</v>
      </c>
      <c r="AE532" s="8" t="str">
        <v>2026-10-06 大促；2026-10-07 大促；2026-10-12 有记录的停售日；2026-10-13 有记录的停售日；2026-10-16 有记录的停售日</v>
      </c>
      <c r="AF532" s="8" t="n">
        <v>0</v>
      </c>
      <c r="AG532" s="8" t="n">
        <v>0</v>
      </c>
      <c r="AH532" s="8" t="n">
        <v>14</v>
      </c>
      <c r="AI532" s="8" t="str">
        <v>2026-09-13 至 2026-10-17</v>
      </c>
      <c r="AJ53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2" s="8" t="str">
        <v>2026-10-06 大促；2026-10-07 大促；2026-10-12 有记录的停售日；2026-10-13 有记录的停售日；2026-10-16 有记录的停售日</v>
      </c>
      <c r="AL532" s="8" t="n">
        <v>0</v>
      </c>
      <c r="AM532" s="8" t="n">
        <v>0</v>
      </c>
      <c r="AN532" s="8" t="n">
        <v>30</v>
      </c>
      <c r="AO532" s="8" t="str">
        <v>1S01 / 黑色蛇纹PU / 6574</v>
      </c>
      <c r="AP532" s="11" t="n">
        <v>0.8729500662042875</v>
      </c>
      <c r="AQ532" s="11" t="n">
        <v>0.9355747145678367</v>
      </c>
      <c r="AR532" s="11" t="n">
        <v>1.135973589331194</v>
      </c>
      <c r="AS532" s="11" t="n">
        <f>IF(AND(COUNT(I532:K532,AP532:AR532)=6,MIN(AP532:AR532)&gt;0),I532/7/AP532*0.5+J532/14/AQ532*0.3+K532/30/AR532*0.2,"")</f>
        <v>0</v>
      </c>
      <c r="AT532" s="8" t="n">
        <v>0</v>
      </c>
      <c r="AU532" s="8" t="n">
        <v>0</v>
      </c>
      <c r="AV532" s="8" t="n">
        <v>85</v>
      </c>
      <c r="AW532" s="11" t="n">
        <f>IF(AND(COUNT(AT532:AV532)=3,AT532&gt;=AU532,AU532&gt;=0,AV532&gt;0),(AT532-AU532)/AV532,"")</f>
        <v>0</v>
      </c>
      <c r="AX532" s="8" t="n">
        <v>0</v>
      </c>
      <c r="AY532" s="8" t="n">
        <v>0</v>
      </c>
      <c r="AZ532" s="8" t="n">
        <v>175</v>
      </c>
      <c r="BA532" s="11" t="n">
        <f>IF(AND(COUNT(AX532:AZ532)=3,AX532&gt;=AY532,AY532&gt;=0,AZ532&gt;0),(AX532-AY532)/AZ532,"")</f>
        <v>0</v>
      </c>
      <c r="BB532" s="8" t="n">
        <f>IF(COUNT(AS532,AW532,BA532)=3,1,0)</f>
        <v>1</v>
      </c>
      <c r="BC532" s="11" t="n">
        <f>IF(SUMIF($AO$11:$AO$1309,AO532,$BB$11:$BB$1309)=COUNTIF($AO$11:$AO$1309,AO532),SUMIF($AO$11:$AO$1309,AO532,$AS$11:$AS$1309),"")</f>
        <v>1.001631473973664</v>
      </c>
      <c r="BD532" s="11" t="n">
        <f>IF(SUMIF($AO$11:$AO$1309,AO532,$BB$11:$BB$1309)=COUNTIF($AO$11:$AO$1309,AO532),SUMIF($AO$11:$AO$1309,AO532,$AW$11:$AW$1309),"")</f>
        <v>0.6254010695187165</v>
      </c>
      <c r="BE532" s="11" t="n">
        <f>IF(SUMIF($AO$11:$AO$1309,AO532,$BB$11:$BB$1309)=COUNTIF($AO$11:$AO$1309,AO532),SUMIF($AO$11:$AO$1309,AO532,$BA$11:$BA$1309),"")</f>
        <v>0.5735152487961477</v>
      </c>
      <c r="BF532" s="12" t="n">
        <f>IF(COUNT(BD532:BE532)&lt;&gt;2,"",IF(AND(BD532&gt;0,BE532&gt;0),0.7*AW532/BD532+0.3*BA532/BE532,IF(BD532&gt;0,AW532/BD532,IF(BE532&gt;0,BA532/BE532,IF(AND(ISNUMBER(BH532),BH532=0),0,"")))))</f>
        <v>0</v>
      </c>
      <c r="BG532" s="11" t="n">
        <f>IF(AND(COUNT(BN532:BU532)=8,MIN(BN532:BU532)&gt;=0),SUMPRODUCT(BN532:BQ532,BR532:BU532),"")</f>
        <v>63.935996265425516</v>
      </c>
      <c r="BH532" s="11" t="n">
        <f>IF(COUNT(BC532,BG532)=2,BC532*BG532,"")</f>
        <v>64.04030617931284</v>
      </c>
      <c r="BI532" s="11" t="n">
        <f>IF(ISNUMBER(CI532),CI532,"")</f>
        <v>0</v>
      </c>
      <c r="BJ532" s="8" t="str"/>
      <c r="BK532" s="8" t="str">
        <v>90天：2026-07-20 至 2026-10-17；180天：2026-04-21 至 2026-10-17</v>
      </c>
      <c r="BL532" s="8" t="str">
        <v>90天：2026-10-06、2026-10-07、2026-10-12、2026-10-13、2026-10-16；180天：2026-10-06、2026-10-07、2026-10-12、2026-10-13、2026-10-16</v>
      </c>
      <c r="BM532" s="8" t="str">
        <v>2026-10：12天 × 0.8729500662042875；2026-11：30天 × 0.8057375774163482；2026-12：31天 × 0.532550303142279；2027-01：17天 × 0.7517299265337036</v>
      </c>
      <c r="BN532" s="11" t="n">
        <v>0.8729500662042875</v>
      </c>
      <c r="BO532" s="11" t="n">
        <v>0.8057375774163482</v>
      </c>
      <c r="BP532" s="11" t="n">
        <v>0.532550303142279</v>
      </c>
      <c r="BQ532" s="11" t="n">
        <v>0.7517299265337036</v>
      </c>
      <c r="BR532" s="8" t="n">
        <v>12</v>
      </c>
      <c r="BS532" s="8" t="n">
        <v>30</v>
      </c>
      <c r="BT532" s="8" t="n">
        <v>31</v>
      </c>
      <c r="BU532" s="8" t="n">
        <v>17</v>
      </c>
      <c r="BV532" s="11" t="n">
        <f>IF(COUNT(BC532,BF532)=2,BC532*BF532,"")</f>
        <v>0</v>
      </c>
      <c r="BW532" s="11" t="n">
        <f>IF(ISNUMBER(BN532),BN532,"")</f>
        <v>0.8729500662042875</v>
      </c>
      <c r="BX532" s="14" t="n">
        <f>IF(ISNUMBER(BR532),BR532,"")</f>
        <v>12</v>
      </c>
      <c r="BY532" s="13" t="n">
        <f>IF(AND(COUNT(BV532,BW532,BX532)=3,MIN(BV532,BW532,BX532)&gt;=0),BV532*BW532*BX532,"")</f>
        <v>0</v>
      </c>
      <c r="BZ532" s="11" t="n">
        <f>IF(ISNUMBER(BO532),BO532,"")</f>
        <v>0.8057375774163482</v>
      </c>
      <c r="CA532" s="14" t="n">
        <f>IF(ISNUMBER(BS532),BS532,"")</f>
        <v>30</v>
      </c>
      <c r="CB532" s="13" t="n">
        <f>IF(AND(COUNT(BV532,BZ532,CA532)=3,MIN(BV532,BZ532,CA532)&gt;=0),BV532*BZ532*CA532,"")</f>
        <v>0</v>
      </c>
      <c r="CC532" s="11" t="n">
        <f>IF(ISNUMBER(BP532),BP532,"")</f>
        <v>0.532550303142279</v>
      </c>
      <c r="CD532" s="14" t="n">
        <f>IF(ISNUMBER(BT532),BT532,"")</f>
        <v>31</v>
      </c>
      <c r="CE532" s="13" t="n">
        <f>IF(AND(COUNT(BV532,CC532,CD532)=3,MIN(BV532,CC532,CD532)&gt;=0),BV532*CC532*CD532,"")</f>
        <v>0</v>
      </c>
      <c r="CF532" s="11" t="n">
        <f>IF(ISNUMBER(BQ532),BQ532,"")</f>
        <v>0.7517299265337036</v>
      </c>
      <c r="CG532" s="14" t="n">
        <f>IF(ISNUMBER(BU532),BU532,"")</f>
        <v>17</v>
      </c>
      <c r="CH532" s="13" t="n">
        <f>IF(AND(COUNT(BV532,CF532,CG532)=3,MIN(BV532,CF532,CG532)&gt;=0),BV532*CF532*CG532,"")</f>
        <v>0</v>
      </c>
      <c r="CI532" s="13" t="n">
        <f>IF(COUNT(BY532,CB532,CE532,CH532)=4,SUM(BY532,CB532,CE532,CH532),"")</f>
        <v>0</v>
      </c>
    </row>
    <row r="533" ht="72" customHeight="1">
      <c r="A533" s="16" t="str">
        <v>1S01-SB-41.5</v>
      </c>
      <c r="B533" s="16" t="str">
        <v>3店-SANDIEX-US</v>
      </c>
      <c r="C533" s="16" t="str">
        <v>徐新怡</v>
      </c>
      <c r="D533" s="26" t="n">
        <f>IF(NOT(ISNUMBER(E533)),"",IF(OR(E533&lt;=0,L533=0),0,IF(OR(NOT(ISNUMBER(F533)),F533&lt;0),"",MIN(E533,INT(F533)))))</f>
        <v>0</v>
      </c>
      <c r="E533" s="27" t="n">
        <f>IF(OR(NOT(ISNUMBER(L533)),COUNT(M533:O533)&lt;&gt;3,MIN(M533:O533)&lt;0),"",ROUNDUP(ROUND(BI533-SUM(M533:O533),10),0))</f>
        <v>0</v>
      </c>
      <c r="F533" s="28"/>
      <c r="G533" s="28" t="n">
        <f>IF(AND(ISNUMBER(D533),ISNUMBER(E533)),IF(OR(E533&lt;=0,L533=0),0,E533-D533),"")</f>
        <v>0</v>
      </c>
      <c r="H533" s="16" t="str">
        <f>IF(NOT(ISNUMBER(E533)),"销量或海外库存待补",IF(OR(E533&lt;=0,L533=0),IF(L533=0,"零日销，本批不发","本批无需补货"),IF(NOT(ISNUMBER(D533)),"国内库存待补",IF(D533=0,"国内无可用库存",IF(G533&gt;0,"先发国内现货","按建议量发货")))))</f>
        <v>零日销，本批不发</v>
      </c>
      <c r="I533" s="28" t="n">
        <f>IF(AND(COUNT(Z533,AA533,AB533)=3,Z533&gt;=AA533,AA533&gt;=0,AB533=7),Z533-AA533,"")</f>
        <v>0</v>
      </c>
      <c r="J533" s="28" t="n">
        <f>IF(AND(COUNT(AF533,AG533,AH533)=3,AF533&gt;=AG533,AG533&gt;=0,AH533=14),AF533-AG533,"")</f>
        <v>0</v>
      </c>
      <c r="K533" s="28" t="n">
        <f>IF(AND(COUNT(AL533,AM533,AN533)=3,AL533&gt;=AM533,AM533&gt;=0,AN533=30),AL533-AM533,"")</f>
        <v>0</v>
      </c>
      <c r="L533" s="29" t="n">
        <f>IF(ISNUMBER(BI533),BI533/90,"")</f>
        <v>0</v>
      </c>
      <c r="M533" s="28" t="n">
        <v>0</v>
      </c>
      <c r="N533" s="28" t="n">
        <v>0</v>
      </c>
      <c r="O533" s="28" t="n">
        <v>0</v>
      </c>
      <c r="P533" s="30" t="str">
        <f>IF(AND(ISNUMBER(L533),L533&gt;0,COUNT(M533:O533)=3,MIN(M533:O533)&gt;=0),SUM(M533:O533)/L533,"")</f>
      </c>
      <c r="Q533" s="16" t="str">
        <v>沿用同SPU原计划店铺</v>
      </c>
      <c r="R533" s="16" t="str">
        <v>未匹配</v>
      </c>
      <c r="S533" s="16" t="str">
        <v>停售</v>
      </c>
      <c r="T533" s="16" t="str">
        <v>1S01</v>
      </c>
      <c r="U533" s="16" t="str">
        <v>黑色蛇纹</v>
      </c>
      <c r="V533" s="16" t="n">
        <v>10.5</v>
      </c>
      <c r="W533" s="8" t="str">
        <v>2026-10-08 至 2026-10-17</v>
      </c>
      <c r="X533" s="8" t="str">
        <v>2026-10-08、2026-10-09、2026-10-10、2026-10-11、2026-10-14、2026-10-15、2026-10-17</v>
      </c>
      <c r="Y533" s="8" t="str">
        <v>2026-10-12 有记录的停售日；2026-10-13 有记录的停售日；2026-10-16 有记录的停售日</v>
      </c>
      <c r="Z533" s="8" t="n">
        <v>0</v>
      </c>
      <c r="AA533" s="8" t="n">
        <v>0</v>
      </c>
      <c r="AB533" s="8" t="n">
        <v>7</v>
      </c>
      <c r="AC533" s="8" t="str">
        <v>2026-09-29 至 2026-10-17</v>
      </c>
      <c r="AD533" s="8" t="str">
        <v>2026-09-29、2026-09-30、2026-10-01、2026-10-02、2026-10-03、2026-10-04、2026-10-05、2026-10-08、2026-10-09、2026-10-10、2026-10-11、2026-10-14、2026-10-15、2026-10-17</v>
      </c>
      <c r="AE533" s="8" t="str">
        <v>2026-10-06 大促；2026-10-07 大促；2026-10-12 有记录的停售日；2026-10-13 有记录的停售日；2026-10-16 有记录的停售日</v>
      </c>
      <c r="AF533" s="8" t="n">
        <v>0</v>
      </c>
      <c r="AG533" s="8" t="n">
        <v>0</v>
      </c>
      <c r="AH533" s="8" t="n">
        <v>14</v>
      </c>
      <c r="AI533" s="8" t="str">
        <v>2026-09-13 至 2026-10-17</v>
      </c>
      <c r="AJ5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3" s="8" t="str">
        <v>2026-10-06 大促；2026-10-07 大促；2026-10-12 有记录的停售日；2026-10-13 有记录的停售日；2026-10-16 有记录的停售日</v>
      </c>
      <c r="AL533" s="8" t="n">
        <v>0</v>
      </c>
      <c r="AM533" s="8" t="n">
        <v>0</v>
      </c>
      <c r="AN533" s="8" t="n">
        <v>30</v>
      </c>
      <c r="AO533" s="8" t="str">
        <v>1S01 / 黑色蛇纹PU / 6574</v>
      </c>
      <c r="AP533" s="11" t="n">
        <v>0.8729500662042875</v>
      </c>
      <c r="AQ533" s="11" t="n">
        <v>0.9355747145678367</v>
      </c>
      <c r="AR533" s="11" t="n">
        <v>1.135973589331194</v>
      </c>
      <c r="AS533" s="11" t="n">
        <f>IF(AND(COUNT(I533:K533,AP533:AR533)=6,MIN(AP533:AR533)&gt;0),I533/7/AP533*0.5+J533/14/AQ533*0.3+K533/30/AR533*0.2,"")</f>
        <v>0</v>
      </c>
      <c r="AT533" s="8" t="n">
        <v>0</v>
      </c>
      <c r="AU533" s="8" t="n">
        <v>0</v>
      </c>
      <c r="AV533" s="8" t="n">
        <v>85</v>
      </c>
      <c r="AW533" s="11" t="n">
        <f>IF(AND(COUNT(AT533:AV533)=3,AT533&gt;=AU533,AU533&gt;=0,AV533&gt;0),(AT533-AU533)/AV533,"")</f>
        <v>0</v>
      </c>
      <c r="AX533" s="8" t="n">
        <v>0</v>
      </c>
      <c r="AY533" s="8" t="n">
        <v>0</v>
      </c>
      <c r="AZ533" s="8" t="n">
        <v>175</v>
      </c>
      <c r="BA533" s="11" t="n">
        <f>IF(AND(COUNT(AX533:AZ533)=3,AX533&gt;=AY533,AY533&gt;=0,AZ533&gt;0),(AX533-AY533)/AZ533,"")</f>
        <v>0</v>
      </c>
      <c r="BB533" s="8" t="n">
        <f>IF(COUNT(AS533,AW533,BA533)=3,1,0)</f>
        <v>1</v>
      </c>
      <c r="BC533" s="11" t="n">
        <f>IF(SUMIF($AO$11:$AO$1309,AO533,$BB$11:$BB$1309)=COUNTIF($AO$11:$AO$1309,AO533),SUMIF($AO$11:$AO$1309,AO533,$AS$11:$AS$1309),"")</f>
        <v>1.001631473973664</v>
      </c>
      <c r="BD533" s="11" t="n">
        <f>IF(SUMIF($AO$11:$AO$1309,AO533,$BB$11:$BB$1309)=COUNTIF($AO$11:$AO$1309,AO533),SUMIF($AO$11:$AO$1309,AO533,$AW$11:$AW$1309),"")</f>
        <v>0.6254010695187165</v>
      </c>
      <c r="BE533" s="11" t="n">
        <f>IF(SUMIF($AO$11:$AO$1309,AO533,$BB$11:$BB$1309)=COUNTIF($AO$11:$AO$1309,AO533),SUMIF($AO$11:$AO$1309,AO533,$BA$11:$BA$1309),"")</f>
        <v>0.5735152487961477</v>
      </c>
      <c r="BF533" s="12" t="n">
        <f>IF(COUNT(BD533:BE533)&lt;&gt;2,"",IF(AND(BD533&gt;0,BE533&gt;0),0.7*AW533/BD533+0.3*BA533/BE533,IF(BD533&gt;0,AW533/BD533,IF(BE533&gt;0,BA533/BE533,IF(AND(ISNUMBER(BH533),BH533=0),0,"")))))</f>
        <v>0</v>
      </c>
      <c r="BG533" s="11" t="n">
        <f>IF(AND(COUNT(BN533:BU533)=8,MIN(BN533:BU533)&gt;=0),SUMPRODUCT(BN533:BQ533,BR533:BU533),"")</f>
        <v>63.935996265425516</v>
      </c>
      <c r="BH533" s="11" t="n">
        <f>IF(COUNT(BC533,BG533)=2,BC533*BG533,"")</f>
        <v>64.04030617931284</v>
      </c>
      <c r="BI533" s="11" t="n">
        <f>IF(ISNUMBER(CI533),CI533,"")</f>
        <v>0</v>
      </c>
      <c r="BJ533" s="8" t="str"/>
      <c r="BK533" s="8" t="str">
        <v>90天：2026-07-20 至 2026-10-17；180天：2026-04-21 至 2026-10-17</v>
      </c>
      <c r="BL533" s="8" t="str">
        <v>90天：2026-10-06、2026-10-07、2026-10-12、2026-10-13、2026-10-16；180天：2026-10-06、2026-10-07、2026-10-12、2026-10-13、2026-10-16</v>
      </c>
      <c r="BM533" s="8" t="str">
        <v>2026-10：12天 × 0.8729500662042875；2026-11：30天 × 0.8057375774163482；2026-12：31天 × 0.532550303142279；2027-01：17天 × 0.7517299265337036</v>
      </c>
      <c r="BN533" s="11" t="n">
        <v>0.8729500662042875</v>
      </c>
      <c r="BO533" s="11" t="n">
        <v>0.8057375774163482</v>
      </c>
      <c r="BP533" s="11" t="n">
        <v>0.532550303142279</v>
      </c>
      <c r="BQ533" s="11" t="n">
        <v>0.7517299265337036</v>
      </c>
      <c r="BR533" s="8" t="n">
        <v>12</v>
      </c>
      <c r="BS533" s="8" t="n">
        <v>30</v>
      </c>
      <c r="BT533" s="8" t="n">
        <v>31</v>
      </c>
      <c r="BU533" s="8" t="n">
        <v>17</v>
      </c>
      <c r="BV533" s="11" t="n">
        <f>IF(COUNT(BC533,BF533)=2,BC533*BF533,"")</f>
        <v>0</v>
      </c>
      <c r="BW533" s="11" t="n">
        <f>IF(ISNUMBER(BN533),BN533,"")</f>
        <v>0.8729500662042875</v>
      </c>
      <c r="BX533" s="14" t="n">
        <f>IF(ISNUMBER(BR533),BR533,"")</f>
        <v>12</v>
      </c>
      <c r="BY533" s="13" t="n">
        <f>IF(AND(COUNT(BV533,BW533,BX533)=3,MIN(BV533,BW533,BX533)&gt;=0),BV533*BW533*BX533,"")</f>
        <v>0</v>
      </c>
      <c r="BZ533" s="11" t="n">
        <f>IF(ISNUMBER(BO533),BO533,"")</f>
        <v>0.8057375774163482</v>
      </c>
      <c r="CA533" s="14" t="n">
        <f>IF(ISNUMBER(BS533),BS533,"")</f>
        <v>30</v>
      </c>
      <c r="CB533" s="13" t="n">
        <f>IF(AND(COUNT(BV533,BZ533,CA533)=3,MIN(BV533,BZ533,CA533)&gt;=0),BV533*BZ533*CA533,"")</f>
        <v>0</v>
      </c>
      <c r="CC533" s="11" t="n">
        <f>IF(ISNUMBER(BP533),BP533,"")</f>
        <v>0.532550303142279</v>
      </c>
      <c r="CD533" s="14" t="n">
        <f>IF(ISNUMBER(BT533),BT533,"")</f>
        <v>31</v>
      </c>
      <c r="CE533" s="13" t="n">
        <f>IF(AND(COUNT(BV533,CC533,CD533)=3,MIN(BV533,CC533,CD533)&gt;=0),BV533*CC533*CD533,"")</f>
        <v>0</v>
      </c>
      <c r="CF533" s="11" t="n">
        <f>IF(ISNUMBER(BQ533),BQ533,"")</f>
        <v>0.7517299265337036</v>
      </c>
      <c r="CG533" s="14" t="n">
        <f>IF(ISNUMBER(BU533),BU533,"")</f>
        <v>17</v>
      </c>
      <c r="CH533" s="13" t="n">
        <f>IF(AND(COUNT(BV533,CF533,CG533)=3,MIN(BV533,CF533,CG533)&gt;=0),BV533*CF533*CG533,"")</f>
        <v>0</v>
      </c>
      <c r="CI533" s="13" t="n">
        <f>IF(COUNT(BY533,CB533,CE533,CH533)=4,SUM(BY533,CB533,CE533,CH533),"")</f>
        <v>0</v>
      </c>
    </row>
    <row r="534" ht="72" customHeight="1">
      <c r="A534" s="16" t="str">
        <v>1S01-SP-36</v>
      </c>
      <c r="B534" s="16" t="str">
        <v>3店-SANDIEX-US</v>
      </c>
      <c r="C534" s="16" t="str">
        <v>徐新怡</v>
      </c>
      <c r="D534" s="26" t="n">
        <f>IF(NOT(ISNUMBER(E534)),"",IF(OR(E534&lt;=0,L534=0),0,IF(OR(NOT(ISNUMBER(F534)),F534&lt;0),"",MIN(E534,INT(F534)))))</f>
        <v>0</v>
      </c>
      <c r="E534" s="27" t="n">
        <f>IF(OR(NOT(ISNUMBER(L534)),COUNT(M534:O534)&lt;&gt;3,MIN(M534:O534)&lt;0),"",ROUNDUP(ROUND(BI534-SUM(M534:O534),10),0))</f>
        <v>0</v>
      </c>
      <c r="F534" s="28"/>
      <c r="G534" s="28" t="n">
        <f>IF(AND(ISNUMBER(D534),ISNUMBER(E534)),IF(OR(E534&lt;=0,L534=0),0,E534-D534),"")</f>
        <v>0</v>
      </c>
      <c r="H534" s="16" t="str">
        <f>IF(NOT(ISNUMBER(E534)),"销量或海外库存待补",IF(OR(E534&lt;=0,L534=0),IF(L534=0,"零日销，本批不发","本批无需补货"),IF(NOT(ISNUMBER(D534)),"国内库存待补",IF(D534=0,"国内无可用库存",IF(G534&gt;0,"先发国内现货","按建议量发货")))))</f>
        <v>零日销，本批不发</v>
      </c>
      <c r="I534" s="28" t="n">
        <f>IF(AND(COUNT(Z534,AA534,AB534)=3,Z534&gt;=AA534,AA534&gt;=0,AB534=7),Z534-AA534,"")</f>
        <v>0</v>
      </c>
      <c r="J534" s="28" t="n">
        <f>IF(AND(COUNT(AF534,AG534,AH534)=3,AF534&gt;=AG534,AG534&gt;=0,AH534=14),AF534-AG534,"")</f>
        <v>0</v>
      </c>
      <c r="K534" s="28" t="n">
        <f>IF(AND(COUNT(AL534,AM534,AN534)=3,AL534&gt;=AM534,AM534&gt;=0,AN534=30),AL534-AM534,"")</f>
        <v>0</v>
      </c>
      <c r="L534" s="29" t="n">
        <f>IF(ISNUMBER(BI534),BI534/90,"")</f>
        <v>0</v>
      </c>
      <c r="M534" s="28" t="n">
        <v>0</v>
      </c>
      <c r="N534" s="28" t="n">
        <v>0</v>
      </c>
      <c r="O534" s="28" t="n">
        <v>0</v>
      </c>
      <c r="P534" s="30" t="str">
        <f>IF(AND(ISNUMBER(L534),L534&gt;0,COUNT(M534:O534)=3,MIN(M534:O534)&gt;=0),SUM(M534:O534)/L534,"")</f>
      </c>
      <c r="Q534" s="16" t="str">
        <v>沿用同SPU原计划店铺</v>
      </c>
      <c r="R534" s="16" t="str">
        <v>未匹配</v>
      </c>
      <c r="S534" s="16" t="str">
        <v>停售</v>
      </c>
      <c r="T534" s="16" t="str">
        <v>1S01</v>
      </c>
      <c r="U534" s="16" t="str">
        <v>黑白蛇纹</v>
      </c>
      <c r="V534" s="16" t="n">
        <v>5</v>
      </c>
      <c r="W534" s="8" t="str">
        <v>2026-10-08 至 2026-10-17</v>
      </c>
      <c r="X534" s="8" t="str">
        <v>2026-10-08、2026-10-09、2026-10-10、2026-10-11、2026-10-14、2026-10-15、2026-10-17</v>
      </c>
      <c r="Y534" s="8" t="str">
        <v>2026-10-12 有记录的停售日；2026-10-13 有记录的停售日；2026-10-16 有记录的停售日</v>
      </c>
      <c r="Z534" s="8" t="n">
        <v>0</v>
      </c>
      <c r="AA534" s="8" t="n">
        <v>0</v>
      </c>
      <c r="AB534" s="8" t="n">
        <v>7</v>
      </c>
      <c r="AC534" s="8" t="str">
        <v>2026-09-29 至 2026-10-17</v>
      </c>
      <c r="AD534" s="8" t="str">
        <v>2026-09-29、2026-09-30、2026-10-01、2026-10-02、2026-10-03、2026-10-04、2026-10-05、2026-10-08、2026-10-09、2026-10-10、2026-10-11、2026-10-14、2026-10-15、2026-10-17</v>
      </c>
      <c r="AE534" s="8" t="str">
        <v>2026-10-06 大促；2026-10-07 大促；2026-10-12 有记录的停售日；2026-10-13 有记录的停售日；2026-10-16 有记录的停售日</v>
      </c>
      <c r="AF534" s="8" t="n">
        <v>0</v>
      </c>
      <c r="AG534" s="8" t="n">
        <v>0</v>
      </c>
      <c r="AH534" s="8" t="n">
        <v>14</v>
      </c>
      <c r="AI534" s="8" t="str">
        <v>2026-09-13 至 2026-10-17</v>
      </c>
      <c r="AJ53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4" s="8" t="str">
        <v>2026-10-06 大促；2026-10-07 大促；2026-10-12 有记录的停售日；2026-10-13 有记录的停售日；2026-10-16 有记录的停售日</v>
      </c>
      <c r="AL534" s="8" t="n">
        <v>0</v>
      </c>
      <c r="AM534" s="8" t="n">
        <v>0</v>
      </c>
      <c r="AN534" s="8" t="n">
        <v>30</v>
      </c>
      <c r="AO534" s="8" t="str">
        <v>1S01 / 黑白蛇纹PU / 6574</v>
      </c>
      <c r="AP534" s="11" t="n">
        <v>0.8729500662042875</v>
      </c>
      <c r="AQ534" s="11" t="n">
        <v>0.9355747145678367</v>
      </c>
      <c r="AR534" s="11" t="n">
        <v>1.135973589331194</v>
      </c>
      <c r="AS534" s="11" t="n">
        <f>IF(AND(COUNT(I534:K534,AP534:AR534)=6,MIN(AP534:AR534)&gt;0),I534/7/AP534*0.5+J534/14/AQ534*0.3+K534/30/AR534*0.2,"")</f>
        <v>0</v>
      </c>
      <c r="AT534" s="8" t="n">
        <v>0</v>
      </c>
      <c r="AU534" s="8" t="n">
        <v>0</v>
      </c>
      <c r="AV534" s="8" t="n">
        <v>85</v>
      </c>
      <c r="AW534" s="11" t="n">
        <f>IF(AND(COUNT(AT534:AV534)=3,AT534&gt;=AU534,AU534&gt;=0,AV534&gt;0),(AT534-AU534)/AV534,"")</f>
        <v>0</v>
      </c>
      <c r="AX534" s="8" t="n">
        <v>0</v>
      </c>
      <c r="AY534" s="8" t="n">
        <v>0</v>
      </c>
      <c r="AZ534" s="8" t="n">
        <v>175</v>
      </c>
      <c r="BA534" s="11" t="n">
        <f>IF(AND(COUNT(AX534:AZ534)=3,AX534&gt;=AY534,AY534&gt;=0,AZ534&gt;0),(AX534-AY534)/AZ534,"")</f>
        <v>0</v>
      </c>
      <c r="BB534" s="8" t="n">
        <f>IF(COUNT(AS534,AW534,BA534)=3,1,0)</f>
        <v>1</v>
      </c>
      <c r="BC534" s="11" t="n">
        <f>IF(SUMIF($AO$11:$AO$1309,AO534,$BB$11:$BB$1309)=COUNTIF($AO$11:$AO$1309,AO534),SUMIF($AO$11:$AO$1309,AO534,$AS$11:$AS$1309),"")</f>
        <v>0.5210763310255071</v>
      </c>
      <c r="BD534" s="11" t="n">
        <f>IF(SUMIF($AO$11:$AO$1309,AO534,$BB$11:$BB$1309)=COUNTIF($AO$11:$AO$1309,AO534),SUMIF($AO$11:$AO$1309,AO534,$AW$11:$AW$1309),"")</f>
        <v>0.36363636363636365</v>
      </c>
      <c r="BE534" s="11" t="n">
        <f>IF(SUMIF($AO$11:$AO$1309,AO534,$BB$11:$BB$1309)=COUNTIF($AO$11:$AO$1309,AO534),SUMIF($AO$11:$AO$1309,AO534,$BA$11:$BA$1309),"")</f>
        <v>0.3207062600321028</v>
      </c>
      <c r="BF534" s="12" t="n">
        <f>IF(COUNT(BD534:BE534)&lt;&gt;2,"",IF(AND(BD534&gt;0,BE534&gt;0),0.7*AW534/BD534+0.3*BA534/BE534,IF(BD534&gt;0,AW534/BD534,IF(BE534&gt;0,BA534/BE534,IF(AND(ISNUMBER(BH534),BH534=0),0,"")))))</f>
        <v>0</v>
      </c>
      <c r="BG534" s="11" t="n">
        <f>IF(AND(COUNT(BN534:BU534)=8,MIN(BN534:BU534)&gt;=0),SUMPRODUCT(BN534:BQ534,BR534:BU534),"")</f>
        <v>63.935996265425516</v>
      </c>
      <c r="BH534" s="11" t="n">
        <f>IF(COUNT(BC534,BG534)=2,BC534*BG534,"")</f>
        <v>33.31553435444845</v>
      </c>
      <c r="BI534" s="11" t="n">
        <f>IF(ISNUMBER(CI534),CI534,"")</f>
        <v>0</v>
      </c>
      <c r="BJ534" s="8" t="str">
        <v>近180天本色销量65双（＜90），无有效新采购，请运营判断</v>
      </c>
      <c r="BK534" s="8" t="str">
        <v>90天：2026-07-20 至 2026-10-17；180天：2026-04-21 至 2026-10-17</v>
      </c>
      <c r="BL534" s="8" t="str">
        <v>90天：2026-10-06、2026-10-07、2026-10-12、2026-10-13、2026-10-16；180天：2026-10-06、2026-10-07、2026-10-12、2026-10-13、2026-10-16</v>
      </c>
      <c r="BM534" s="8" t="str">
        <v>2026-10：12天 × 0.8729500662042875；2026-11：30天 × 0.8057375774163482；2026-12：31天 × 0.532550303142279；2027-01：17天 × 0.7517299265337036</v>
      </c>
      <c r="BN534" s="11" t="n">
        <v>0.8729500662042875</v>
      </c>
      <c r="BO534" s="11" t="n">
        <v>0.8057375774163482</v>
      </c>
      <c r="BP534" s="11" t="n">
        <v>0.532550303142279</v>
      </c>
      <c r="BQ534" s="11" t="n">
        <v>0.7517299265337036</v>
      </c>
      <c r="BR534" s="8" t="n">
        <v>12</v>
      </c>
      <c r="BS534" s="8" t="n">
        <v>30</v>
      </c>
      <c r="BT534" s="8" t="n">
        <v>31</v>
      </c>
      <c r="BU534" s="8" t="n">
        <v>17</v>
      </c>
      <c r="BV534" s="11" t="n">
        <f>IF(COUNT(BC534,BF534)=2,BC534*BF534,"")</f>
        <v>0</v>
      </c>
      <c r="BW534" s="11" t="n">
        <f>IF(ISNUMBER(BN534),BN534,"")</f>
        <v>0.8729500662042875</v>
      </c>
      <c r="BX534" s="14" t="n">
        <f>IF(ISNUMBER(BR534),BR534,"")</f>
        <v>12</v>
      </c>
      <c r="BY534" s="13" t="n">
        <f>IF(AND(COUNT(BV534,BW534,BX534)=3,MIN(BV534,BW534,BX534)&gt;=0),BV534*BW534*BX534,"")</f>
        <v>0</v>
      </c>
      <c r="BZ534" s="11" t="n">
        <f>IF(ISNUMBER(BO534),BO534,"")</f>
        <v>0.8057375774163482</v>
      </c>
      <c r="CA534" s="14" t="n">
        <f>IF(ISNUMBER(BS534),BS534,"")</f>
        <v>30</v>
      </c>
      <c r="CB534" s="13" t="n">
        <f>IF(AND(COUNT(BV534,BZ534,CA534)=3,MIN(BV534,BZ534,CA534)&gt;=0),BV534*BZ534*CA534,"")</f>
        <v>0</v>
      </c>
      <c r="CC534" s="11" t="n">
        <f>IF(ISNUMBER(BP534),BP534,"")</f>
        <v>0.532550303142279</v>
      </c>
      <c r="CD534" s="14" t="n">
        <f>IF(ISNUMBER(BT534),BT534,"")</f>
        <v>31</v>
      </c>
      <c r="CE534" s="13" t="n">
        <f>IF(AND(COUNT(BV534,CC534,CD534)=3,MIN(BV534,CC534,CD534)&gt;=0),BV534*CC534*CD534,"")</f>
        <v>0</v>
      </c>
      <c r="CF534" s="11" t="n">
        <f>IF(ISNUMBER(BQ534),BQ534,"")</f>
        <v>0.7517299265337036</v>
      </c>
      <c r="CG534" s="14" t="n">
        <f>IF(ISNUMBER(BU534),BU534,"")</f>
        <v>17</v>
      </c>
      <c r="CH534" s="13" t="n">
        <f>IF(AND(COUNT(BV534,CF534,CG534)=3,MIN(BV534,CF534,CG534)&gt;=0),BV534*CF534*CG534,"")</f>
        <v>0</v>
      </c>
      <c r="CI534" s="13" t="n">
        <f>IF(COUNT(BY534,CB534,CE534,CH534)=4,SUM(BY534,CB534,CE534,CH534),"")</f>
        <v>0</v>
      </c>
    </row>
    <row r="535" ht="72" customHeight="1">
      <c r="A535" s="16" t="str">
        <v>1S01-SP-37</v>
      </c>
      <c r="B535" s="16" t="str">
        <v>3店-SANDIEX-US</v>
      </c>
      <c r="C535" s="16" t="str">
        <v>徐新怡</v>
      </c>
      <c r="D535" s="26" t="n">
        <f>IF(NOT(ISNUMBER(E535)),"",IF(OR(E535&lt;=0,L535=0),0,IF(OR(NOT(ISNUMBER(F535)),F535&lt;0),"",MIN(E535,INT(F535)))))</f>
        <v>0</v>
      </c>
      <c r="E535" s="27" t="n">
        <f>IF(OR(NOT(ISNUMBER(L535)),COUNT(M535:O535)&lt;&gt;3,MIN(M535:O535)&lt;0),"",ROUNDUP(ROUND(BI535-SUM(M535:O535),10),0))</f>
        <v>0</v>
      </c>
      <c r="F535" s="28" t="n">
        <v>0</v>
      </c>
      <c r="G535" s="28" t="n">
        <f>IF(AND(ISNUMBER(D535),ISNUMBER(E535)),IF(OR(E535&lt;=0,L535=0),0,E535-D535),"")</f>
        <v>0</v>
      </c>
      <c r="H535" s="16" t="str">
        <f>IF(NOT(ISNUMBER(E535)),"销量或海外库存待补",IF(OR(E535&lt;=0,L535=0),IF(L535=0,"零日销，本批不发","本批无需补货"),IF(NOT(ISNUMBER(D535)),"国内库存待补",IF(D535=0,"国内无可用库存",IF(G535&gt;0,"先发国内现货","按建议量发货")))))</f>
        <v>零日销，本批不发</v>
      </c>
      <c r="I535" s="28" t="n">
        <f>IF(AND(COUNT(Z535,AA535,AB535)=3,Z535&gt;=AA535,AA535&gt;=0,AB535=7),Z535-AA535,"")</f>
        <v>0</v>
      </c>
      <c r="J535" s="28" t="n">
        <f>IF(AND(COUNT(AF535,AG535,AH535)=3,AF535&gt;=AG535,AG535&gt;=0,AH535=14),AF535-AG535,"")</f>
        <v>0</v>
      </c>
      <c r="K535" s="28" t="n">
        <f>IF(AND(COUNT(AL535,AM535,AN535)=3,AL535&gt;=AM535,AM535&gt;=0,AN535=30),AL535-AM535,"")</f>
        <v>0</v>
      </c>
      <c r="L535" s="29" t="n">
        <f>IF(ISNUMBER(BI535),BI535/90,"")</f>
        <v>0</v>
      </c>
      <c r="M535" s="28" t="n">
        <v>0</v>
      </c>
      <c r="N535" s="28" t="n">
        <v>0</v>
      </c>
      <c r="O535" s="28" t="n">
        <v>0</v>
      </c>
      <c r="P535" s="30" t="str">
        <f>IF(AND(ISNUMBER(L535),L535&gt;0,COUNT(M535:O535)=3,MIN(M535:O535)&gt;=0),SUM(M535:O535)/L535,"")</f>
      </c>
      <c r="Q535" s="16" t="str">
        <v>沿用原计划SKU店铺</v>
      </c>
      <c r="R535" s="16" t="str">
        <v>已匹配</v>
      </c>
      <c r="S535" s="16" t="str">
        <v>停售</v>
      </c>
      <c r="T535" s="16" t="str">
        <v>1S01</v>
      </c>
      <c r="U535" s="16" t="str">
        <v>黑白蛇纹</v>
      </c>
      <c r="V535" s="16" t="n">
        <v>6</v>
      </c>
      <c r="W535" s="8" t="str">
        <v>2026-10-08 至 2026-10-17</v>
      </c>
      <c r="X535" s="8" t="str">
        <v>2026-10-08、2026-10-09、2026-10-10、2026-10-11、2026-10-14、2026-10-15、2026-10-17</v>
      </c>
      <c r="Y535" s="8" t="str">
        <v>2026-10-12 有记录的停售日；2026-10-13 有记录的停售日；2026-10-16 有记录的停售日</v>
      </c>
      <c r="Z535" s="8" t="n">
        <v>0</v>
      </c>
      <c r="AA535" s="8" t="n">
        <v>0</v>
      </c>
      <c r="AB535" s="8" t="n">
        <v>7</v>
      </c>
      <c r="AC535" s="8" t="str">
        <v>2026-09-29 至 2026-10-17</v>
      </c>
      <c r="AD535" s="8" t="str">
        <v>2026-09-29、2026-09-30、2026-10-01、2026-10-02、2026-10-03、2026-10-04、2026-10-05、2026-10-08、2026-10-09、2026-10-10、2026-10-11、2026-10-14、2026-10-15、2026-10-17</v>
      </c>
      <c r="AE535" s="8" t="str">
        <v>2026-10-06 大促；2026-10-07 大促；2026-10-12 有记录的停售日；2026-10-13 有记录的停售日；2026-10-16 有记录的停售日</v>
      </c>
      <c r="AF535" s="8" t="n">
        <v>0</v>
      </c>
      <c r="AG535" s="8" t="n">
        <v>0</v>
      </c>
      <c r="AH535" s="8" t="n">
        <v>14</v>
      </c>
      <c r="AI535" s="8" t="str">
        <v>2026-09-13 至 2026-10-17</v>
      </c>
      <c r="AJ53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5" s="8" t="str">
        <v>2026-10-06 大促；2026-10-07 大促；2026-10-12 有记录的停售日；2026-10-13 有记录的停售日；2026-10-16 有记录的停售日</v>
      </c>
      <c r="AL535" s="8" t="n">
        <v>0</v>
      </c>
      <c r="AM535" s="8" t="n">
        <v>0</v>
      </c>
      <c r="AN535" s="8" t="n">
        <v>30</v>
      </c>
      <c r="AO535" s="8" t="str">
        <v>1S01 / 黑白蛇纹PU / 6574</v>
      </c>
      <c r="AP535" s="11" t="n">
        <v>0.8729500662042875</v>
      </c>
      <c r="AQ535" s="11" t="n">
        <v>0.9355747145678367</v>
      </c>
      <c r="AR535" s="11" t="n">
        <v>1.135973589331194</v>
      </c>
      <c r="AS535" s="11" t="n">
        <f>IF(AND(COUNT(I535:K535,AP535:AR535)=6,MIN(AP535:AR535)&gt;0),I535/7/AP535*0.5+J535/14/AQ535*0.3+K535/30/AR535*0.2,"")</f>
        <v>0</v>
      </c>
      <c r="AT535" s="8" t="n">
        <v>0</v>
      </c>
      <c r="AU535" s="8" t="n">
        <v>0</v>
      </c>
      <c r="AV535" s="8" t="n">
        <v>85</v>
      </c>
      <c r="AW535" s="11" t="n">
        <f>IF(AND(COUNT(AT535:AV535)=3,AT535&gt;=AU535,AU535&gt;=0,AV535&gt;0),(AT535-AU535)/AV535,"")</f>
        <v>0</v>
      </c>
      <c r="AX535" s="8" t="n">
        <v>0</v>
      </c>
      <c r="AY535" s="8" t="n">
        <v>0</v>
      </c>
      <c r="AZ535" s="8" t="n">
        <v>175</v>
      </c>
      <c r="BA535" s="11" t="n">
        <f>IF(AND(COUNT(AX535:AZ535)=3,AX535&gt;=AY535,AY535&gt;=0,AZ535&gt;0),(AX535-AY535)/AZ535,"")</f>
        <v>0</v>
      </c>
      <c r="BB535" s="8" t="n">
        <f>IF(COUNT(AS535,AW535,BA535)=3,1,0)</f>
        <v>1</v>
      </c>
      <c r="BC535" s="11" t="n">
        <f>IF(SUMIF($AO$11:$AO$1309,AO535,$BB$11:$BB$1309)=COUNTIF($AO$11:$AO$1309,AO535),SUMIF($AO$11:$AO$1309,AO535,$AS$11:$AS$1309),"")</f>
        <v>0.5210763310255071</v>
      </c>
      <c r="BD535" s="11" t="n">
        <f>IF(SUMIF($AO$11:$AO$1309,AO535,$BB$11:$BB$1309)=COUNTIF($AO$11:$AO$1309,AO535),SUMIF($AO$11:$AO$1309,AO535,$AW$11:$AW$1309),"")</f>
        <v>0.36363636363636365</v>
      </c>
      <c r="BE535" s="11" t="n">
        <f>IF(SUMIF($AO$11:$AO$1309,AO535,$BB$11:$BB$1309)=COUNTIF($AO$11:$AO$1309,AO535),SUMIF($AO$11:$AO$1309,AO535,$BA$11:$BA$1309),"")</f>
        <v>0.3207062600321028</v>
      </c>
      <c r="BF535" s="12" t="n">
        <f>IF(COUNT(BD535:BE535)&lt;&gt;2,"",IF(AND(BD535&gt;0,BE535&gt;0),0.7*AW535/BD535+0.3*BA535/BE535,IF(BD535&gt;0,AW535/BD535,IF(BE535&gt;0,BA535/BE535,IF(AND(ISNUMBER(BH535),BH535=0),0,"")))))</f>
        <v>0</v>
      </c>
      <c r="BG535" s="11" t="n">
        <f>IF(AND(COUNT(BN535:BU535)=8,MIN(BN535:BU535)&gt;=0),SUMPRODUCT(BN535:BQ535,BR535:BU535),"")</f>
        <v>63.935996265425516</v>
      </c>
      <c r="BH535" s="11" t="n">
        <f>IF(COUNT(BC535,BG535)=2,BC535*BG535,"")</f>
        <v>33.31553435444845</v>
      </c>
      <c r="BI535" s="11" t="n">
        <f>IF(ISNUMBER(CI535),CI535,"")</f>
        <v>0</v>
      </c>
      <c r="BJ535" s="8" t="str">
        <v>近180天本色销量65双（＜90），无有效新采购，请运营判断</v>
      </c>
      <c r="BK535" s="8" t="str">
        <v>90天：2026-07-20 至 2026-10-17；180天：2026-04-21 至 2026-10-17</v>
      </c>
      <c r="BL535" s="8" t="str">
        <v>90天：2026-10-06、2026-10-07、2026-10-12、2026-10-13、2026-10-16；180天：2026-10-06、2026-10-07、2026-10-12、2026-10-13、2026-10-16</v>
      </c>
      <c r="BM535" s="8" t="str">
        <v>2026-10：12天 × 0.8729500662042875；2026-11：30天 × 0.8057375774163482；2026-12：31天 × 0.532550303142279；2027-01：17天 × 0.7517299265337036</v>
      </c>
      <c r="BN535" s="11" t="n">
        <v>0.8729500662042875</v>
      </c>
      <c r="BO535" s="11" t="n">
        <v>0.8057375774163482</v>
      </c>
      <c r="BP535" s="11" t="n">
        <v>0.532550303142279</v>
      </c>
      <c r="BQ535" s="11" t="n">
        <v>0.7517299265337036</v>
      </c>
      <c r="BR535" s="8" t="n">
        <v>12</v>
      </c>
      <c r="BS535" s="8" t="n">
        <v>30</v>
      </c>
      <c r="BT535" s="8" t="n">
        <v>31</v>
      </c>
      <c r="BU535" s="8" t="n">
        <v>17</v>
      </c>
      <c r="BV535" s="11" t="n">
        <f>IF(COUNT(BC535,BF535)=2,BC535*BF535,"")</f>
        <v>0</v>
      </c>
      <c r="BW535" s="11" t="n">
        <f>IF(ISNUMBER(BN535),BN535,"")</f>
        <v>0.8729500662042875</v>
      </c>
      <c r="BX535" s="14" t="n">
        <f>IF(ISNUMBER(BR535),BR535,"")</f>
        <v>12</v>
      </c>
      <c r="BY535" s="13" t="n">
        <f>IF(AND(COUNT(BV535,BW535,BX535)=3,MIN(BV535,BW535,BX535)&gt;=0),BV535*BW535*BX535,"")</f>
        <v>0</v>
      </c>
      <c r="BZ535" s="11" t="n">
        <f>IF(ISNUMBER(BO535),BO535,"")</f>
        <v>0.8057375774163482</v>
      </c>
      <c r="CA535" s="14" t="n">
        <f>IF(ISNUMBER(BS535),BS535,"")</f>
        <v>30</v>
      </c>
      <c r="CB535" s="13" t="n">
        <f>IF(AND(COUNT(BV535,BZ535,CA535)=3,MIN(BV535,BZ535,CA535)&gt;=0),BV535*BZ535*CA535,"")</f>
        <v>0</v>
      </c>
      <c r="CC535" s="11" t="n">
        <f>IF(ISNUMBER(BP535),BP535,"")</f>
        <v>0.532550303142279</v>
      </c>
      <c r="CD535" s="14" t="n">
        <f>IF(ISNUMBER(BT535),BT535,"")</f>
        <v>31</v>
      </c>
      <c r="CE535" s="13" t="n">
        <f>IF(AND(COUNT(BV535,CC535,CD535)=3,MIN(BV535,CC535,CD535)&gt;=0),BV535*CC535*CD535,"")</f>
        <v>0</v>
      </c>
      <c r="CF535" s="11" t="n">
        <f>IF(ISNUMBER(BQ535),BQ535,"")</f>
        <v>0.7517299265337036</v>
      </c>
      <c r="CG535" s="14" t="n">
        <f>IF(ISNUMBER(BU535),BU535,"")</f>
        <v>17</v>
      </c>
      <c r="CH535" s="13" t="n">
        <f>IF(AND(COUNT(BV535,CF535,CG535)=3,MIN(BV535,CF535,CG535)&gt;=0),BV535*CF535*CG535,"")</f>
        <v>0</v>
      </c>
      <c r="CI535" s="13" t="n">
        <f>IF(COUNT(BY535,CB535,CE535,CH535)=4,SUM(BY535,CB535,CE535,CH535),"")</f>
        <v>0</v>
      </c>
    </row>
    <row r="536" ht="72" customHeight="1">
      <c r="A536" s="16" t="str">
        <v>1S01-SP-37.5</v>
      </c>
      <c r="B536" s="16" t="str">
        <v>3店-SANDIEX-US</v>
      </c>
      <c r="C536" s="16" t="str">
        <v>徐新怡</v>
      </c>
      <c r="D536" s="26" t="n">
        <f>IF(NOT(ISNUMBER(E536)),"",IF(OR(E536&lt;=0,L536=0),0,IF(OR(NOT(ISNUMBER(F536)),F536&lt;0),"",MIN(E536,INT(F536)))))</f>
        <v>0</v>
      </c>
      <c r="E536" s="27" t="n">
        <f>IF(OR(NOT(ISNUMBER(L536)),COUNT(M536:O536)&lt;&gt;3,MIN(M536:O536)&lt;0),"",ROUNDUP(ROUND(BI536-SUM(M536:O536),10),0))</f>
        <v>0</v>
      </c>
      <c r="F536" s="28" t="n">
        <v>0</v>
      </c>
      <c r="G536" s="28" t="n">
        <f>IF(AND(ISNUMBER(D536),ISNUMBER(E536)),IF(OR(E536&lt;=0,L536=0),0,E536-D536),"")</f>
        <v>0</v>
      </c>
      <c r="H536" s="16" t="str">
        <f>IF(NOT(ISNUMBER(E536)),"销量或海外库存待补",IF(OR(E536&lt;=0,L536=0),IF(L536=0,"零日销，本批不发","本批无需补货"),IF(NOT(ISNUMBER(D536)),"国内库存待补",IF(D536=0,"国内无可用库存",IF(G536&gt;0,"先发国内现货","按建议量发货")))))</f>
        <v>零日销，本批不发</v>
      </c>
      <c r="I536" s="28" t="n">
        <f>IF(AND(COUNT(Z536,AA536,AB536)=3,Z536&gt;=AA536,AA536&gt;=0,AB536=7),Z536-AA536,"")</f>
        <v>0</v>
      </c>
      <c r="J536" s="28" t="n">
        <f>IF(AND(COUNT(AF536,AG536,AH536)=3,AF536&gt;=AG536,AG536&gt;=0,AH536=14),AF536-AG536,"")</f>
        <v>0</v>
      </c>
      <c r="K536" s="28" t="n">
        <f>IF(AND(COUNT(AL536,AM536,AN536)=3,AL536&gt;=AM536,AM536&gt;=0,AN536=30),AL536-AM536,"")</f>
        <v>0</v>
      </c>
      <c r="L536" s="29" t="n">
        <f>IF(ISNUMBER(BI536),BI536/90,"")</f>
        <v>0</v>
      </c>
      <c r="M536" s="28" t="n">
        <v>0</v>
      </c>
      <c r="N536" s="28" t="n">
        <v>0</v>
      </c>
      <c r="O536" s="28" t="n">
        <v>0</v>
      </c>
      <c r="P536" s="30" t="str">
        <f>IF(AND(ISNUMBER(L536),L536&gt;0,COUNT(M536:O536)=3,MIN(M536:O536)&gt;=0),SUM(M536:O536)/L536,"")</f>
      </c>
      <c r="Q536" s="16" t="str">
        <v>沿用同SPU原计划店铺</v>
      </c>
      <c r="R536" s="16" t="str">
        <v>已匹配</v>
      </c>
      <c r="S536" s="16" t="str">
        <v>停售</v>
      </c>
      <c r="T536" s="16" t="str">
        <v>1S01</v>
      </c>
      <c r="U536" s="16" t="str">
        <v>黑白蛇纹</v>
      </c>
      <c r="V536" s="16" t="n">
        <v>6.5</v>
      </c>
      <c r="W536" s="8" t="str">
        <v>2026-10-08 至 2026-10-17</v>
      </c>
      <c r="X536" s="8" t="str">
        <v>2026-10-08、2026-10-09、2026-10-10、2026-10-11、2026-10-14、2026-10-15、2026-10-17</v>
      </c>
      <c r="Y536" s="8" t="str">
        <v>2026-10-12 有记录的停售日；2026-10-13 有记录的停售日；2026-10-16 有记录的停售日</v>
      </c>
      <c r="Z536" s="8" t="n">
        <v>0</v>
      </c>
      <c r="AA536" s="8" t="n">
        <v>0</v>
      </c>
      <c r="AB536" s="8" t="n">
        <v>7</v>
      </c>
      <c r="AC536" s="8" t="str">
        <v>2026-09-29 至 2026-10-17</v>
      </c>
      <c r="AD536" s="8" t="str">
        <v>2026-09-29、2026-09-30、2026-10-01、2026-10-02、2026-10-03、2026-10-04、2026-10-05、2026-10-08、2026-10-09、2026-10-10、2026-10-11、2026-10-14、2026-10-15、2026-10-17</v>
      </c>
      <c r="AE536" s="8" t="str">
        <v>2026-10-06 大促；2026-10-07 大促；2026-10-12 有记录的停售日；2026-10-13 有记录的停售日；2026-10-16 有记录的停售日</v>
      </c>
      <c r="AF536" s="8" t="n">
        <v>0</v>
      </c>
      <c r="AG536" s="8" t="n">
        <v>0</v>
      </c>
      <c r="AH536" s="8" t="n">
        <v>14</v>
      </c>
      <c r="AI536" s="8" t="str">
        <v>2026-09-13 至 2026-10-17</v>
      </c>
      <c r="AJ53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6" s="8" t="str">
        <v>2026-10-06 大促；2026-10-07 大促；2026-10-12 有记录的停售日；2026-10-13 有记录的停售日；2026-10-16 有记录的停售日</v>
      </c>
      <c r="AL536" s="8" t="n">
        <v>0</v>
      </c>
      <c r="AM536" s="8" t="n">
        <v>0</v>
      </c>
      <c r="AN536" s="8" t="n">
        <v>30</v>
      </c>
      <c r="AO536" s="8" t="str">
        <v>1S01 / 黑白蛇纹PU / 6574</v>
      </c>
      <c r="AP536" s="11" t="n">
        <v>0.8729500662042875</v>
      </c>
      <c r="AQ536" s="11" t="n">
        <v>0.9355747145678367</v>
      </c>
      <c r="AR536" s="11" t="n">
        <v>1.135973589331194</v>
      </c>
      <c r="AS536" s="11" t="n">
        <f>IF(AND(COUNT(I536:K536,AP536:AR536)=6,MIN(AP536:AR536)&gt;0),I536/7/AP536*0.5+J536/14/AQ536*0.3+K536/30/AR536*0.2,"")</f>
        <v>0</v>
      </c>
      <c r="AT536" s="8" t="n">
        <v>0</v>
      </c>
      <c r="AU536" s="8" t="n">
        <v>0</v>
      </c>
      <c r="AV536" s="8" t="n">
        <v>85</v>
      </c>
      <c r="AW536" s="11" t="n">
        <f>IF(AND(COUNT(AT536:AV536)=3,AT536&gt;=AU536,AU536&gt;=0,AV536&gt;0),(AT536-AU536)/AV536,"")</f>
        <v>0</v>
      </c>
      <c r="AX536" s="8" t="n">
        <v>0</v>
      </c>
      <c r="AY536" s="8" t="n">
        <v>0</v>
      </c>
      <c r="AZ536" s="8" t="n">
        <v>175</v>
      </c>
      <c r="BA536" s="11" t="n">
        <f>IF(AND(COUNT(AX536:AZ536)=3,AX536&gt;=AY536,AY536&gt;=0,AZ536&gt;0),(AX536-AY536)/AZ536,"")</f>
        <v>0</v>
      </c>
      <c r="BB536" s="8" t="n">
        <f>IF(COUNT(AS536,AW536,BA536)=3,1,0)</f>
        <v>1</v>
      </c>
      <c r="BC536" s="11" t="n">
        <f>IF(SUMIF($AO$11:$AO$1309,AO536,$BB$11:$BB$1309)=COUNTIF($AO$11:$AO$1309,AO536),SUMIF($AO$11:$AO$1309,AO536,$AS$11:$AS$1309),"")</f>
        <v>0.5210763310255071</v>
      </c>
      <c r="BD536" s="11" t="n">
        <f>IF(SUMIF($AO$11:$AO$1309,AO536,$BB$11:$BB$1309)=COUNTIF($AO$11:$AO$1309,AO536),SUMIF($AO$11:$AO$1309,AO536,$AW$11:$AW$1309),"")</f>
        <v>0.36363636363636365</v>
      </c>
      <c r="BE536" s="11" t="n">
        <f>IF(SUMIF($AO$11:$AO$1309,AO536,$BB$11:$BB$1309)=COUNTIF($AO$11:$AO$1309,AO536),SUMIF($AO$11:$AO$1309,AO536,$BA$11:$BA$1309),"")</f>
        <v>0.3207062600321028</v>
      </c>
      <c r="BF536" s="12" t="n">
        <f>IF(COUNT(BD536:BE536)&lt;&gt;2,"",IF(AND(BD536&gt;0,BE536&gt;0),0.7*AW536/BD536+0.3*BA536/BE536,IF(BD536&gt;0,AW536/BD536,IF(BE536&gt;0,BA536/BE536,IF(AND(ISNUMBER(BH536),BH536=0),0,"")))))</f>
        <v>0</v>
      </c>
      <c r="BG536" s="11" t="n">
        <f>IF(AND(COUNT(BN536:BU536)=8,MIN(BN536:BU536)&gt;=0),SUMPRODUCT(BN536:BQ536,BR536:BU536),"")</f>
        <v>63.935996265425516</v>
      </c>
      <c r="BH536" s="11" t="n">
        <f>IF(COUNT(BC536,BG536)=2,BC536*BG536,"")</f>
        <v>33.31553435444845</v>
      </c>
      <c r="BI536" s="11" t="n">
        <f>IF(ISNUMBER(CI536),CI536,"")</f>
        <v>0</v>
      </c>
      <c r="BJ536" s="8" t="str">
        <v>近180天本色销量65双（＜90），无有效新采购，请运营判断</v>
      </c>
      <c r="BK536" s="8" t="str">
        <v>90天：2026-07-20 至 2026-10-17；180天：2026-04-21 至 2026-10-17</v>
      </c>
      <c r="BL536" s="8" t="str">
        <v>90天：2026-10-06、2026-10-07、2026-10-12、2026-10-13、2026-10-16；180天：2026-10-06、2026-10-07、2026-10-12、2026-10-13、2026-10-16</v>
      </c>
      <c r="BM536" s="8" t="str">
        <v>2026-10：12天 × 0.8729500662042875；2026-11：30天 × 0.8057375774163482；2026-12：31天 × 0.532550303142279；2027-01：17天 × 0.7517299265337036</v>
      </c>
      <c r="BN536" s="11" t="n">
        <v>0.8729500662042875</v>
      </c>
      <c r="BO536" s="11" t="n">
        <v>0.8057375774163482</v>
      </c>
      <c r="BP536" s="11" t="n">
        <v>0.532550303142279</v>
      </c>
      <c r="BQ536" s="11" t="n">
        <v>0.7517299265337036</v>
      </c>
      <c r="BR536" s="8" t="n">
        <v>12</v>
      </c>
      <c r="BS536" s="8" t="n">
        <v>30</v>
      </c>
      <c r="BT536" s="8" t="n">
        <v>31</v>
      </c>
      <c r="BU536" s="8" t="n">
        <v>17</v>
      </c>
      <c r="BV536" s="11" t="n">
        <f>IF(COUNT(BC536,BF536)=2,BC536*BF536,"")</f>
        <v>0</v>
      </c>
      <c r="BW536" s="11" t="n">
        <f>IF(ISNUMBER(BN536),BN536,"")</f>
        <v>0.8729500662042875</v>
      </c>
      <c r="BX536" s="14" t="n">
        <f>IF(ISNUMBER(BR536),BR536,"")</f>
        <v>12</v>
      </c>
      <c r="BY536" s="13" t="n">
        <f>IF(AND(COUNT(BV536,BW536,BX536)=3,MIN(BV536,BW536,BX536)&gt;=0),BV536*BW536*BX536,"")</f>
        <v>0</v>
      </c>
      <c r="BZ536" s="11" t="n">
        <f>IF(ISNUMBER(BO536),BO536,"")</f>
        <v>0.8057375774163482</v>
      </c>
      <c r="CA536" s="14" t="n">
        <f>IF(ISNUMBER(BS536),BS536,"")</f>
        <v>30</v>
      </c>
      <c r="CB536" s="13" t="n">
        <f>IF(AND(COUNT(BV536,BZ536,CA536)=3,MIN(BV536,BZ536,CA536)&gt;=0),BV536*BZ536*CA536,"")</f>
        <v>0</v>
      </c>
      <c r="CC536" s="11" t="n">
        <f>IF(ISNUMBER(BP536),BP536,"")</f>
        <v>0.532550303142279</v>
      </c>
      <c r="CD536" s="14" t="n">
        <f>IF(ISNUMBER(BT536),BT536,"")</f>
        <v>31</v>
      </c>
      <c r="CE536" s="13" t="n">
        <f>IF(AND(COUNT(BV536,CC536,CD536)=3,MIN(BV536,CC536,CD536)&gt;=0),BV536*CC536*CD536,"")</f>
        <v>0</v>
      </c>
      <c r="CF536" s="11" t="n">
        <f>IF(ISNUMBER(BQ536),BQ536,"")</f>
        <v>0.7517299265337036</v>
      </c>
      <c r="CG536" s="14" t="n">
        <f>IF(ISNUMBER(BU536),BU536,"")</f>
        <v>17</v>
      </c>
      <c r="CH536" s="13" t="n">
        <f>IF(AND(COUNT(BV536,CF536,CG536)=3,MIN(BV536,CF536,CG536)&gt;=0),BV536*CF536*CG536,"")</f>
        <v>0</v>
      </c>
      <c r="CI536" s="13" t="n">
        <f>IF(COUNT(BY536,CB536,CE536,CH536)=4,SUM(BY536,CB536,CE536,CH536),"")</f>
        <v>0</v>
      </c>
    </row>
    <row r="537" ht="72" customHeight="1">
      <c r="A537" s="16" t="str">
        <v>1S01-SP-38.5</v>
      </c>
      <c r="B537" s="16" t="str">
        <v>3店-SANDIEX-US</v>
      </c>
      <c r="C537" s="16" t="str">
        <v>徐新怡</v>
      </c>
      <c r="D537" s="26" t="n">
        <f>IF(NOT(ISNUMBER(E537)),"",IF(OR(E537&lt;=0,L537=0),0,IF(OR(NOT(ISNUMBER(F537)),F537&lt;0),"",MIN(E537,INT(F537)))))</f>
        <v>0</v>
      </c>
      <c r="E537" s="27" t="n">
        <f>IF(OR(NOT(ISNUMBER(L537)),COUNT(M537:O537)&lt;&gt;3,MIN(M537:O537)&lt;0),"",ROUNDUP(ROUND(BI537-SUM(M537:O537),10),0))</f>
        <v>0</v>
      </c>
      <c r="F537" s="28" t="n">
        <v>0</v>
      </c>
      <c r="G537" s="28" t="n">
        <f>IF(AND(ISNUMBER(D537),ISNUMBER(E537)),IF(OR(E537&lt;=0,L537=0),0,E537-D537),"")</f>
        <v>0</v>
      </c>
      <c r="H537" s="16" t="str">
        <f>IF(NOT(ISNUMBER(E537)),"销量或海外库存待补",IF(OR(E537&lt;=0,L537=0),IF(L537=0,"零日销，本批不发","本批无需补货"),IF(NOT(ISNUMBER(D537)),"国内库存待补",IF(D537=0,"国内无可用库存",IF(G537&gt;0,"先发国内现货","按建议量发货")))))</f>
        <v>零日销，本批不发</v>
      </c>
      <c r="I537" s="28" t="n">
        <f>IF(AND(COUNT(Z537,AA537,AB537)=3,Z537&gt;=AA537,AA537&gt;=0,AB537=7),Z537-AA537,"")</f>
        <v>0</v>
      </c>
      <c r="J537" s="28" t="n">
        <f>IF(AND(COUNT(AF537,AG537,AH537)=3,AF537&gt;=AG537,AG537&gt;=0,AH537=14),AF537-AG537,"")</f>
        <v>0</v>
      </c>
      <c r="K537" s="28" t="n">
        <f>IF(AND(COUNT(AL537,AM537,AN537)=3,AL537&gt;=AM537,AM537&gt;=0,AN537=30),AL537-AM537,"")</f>
        <v>0</v>
      </c>
      <c r="L537" s="29" t="n">
        <f>IF(ISNUMBER(BI537),BI537/90,"")</f>
        <v>0</v>
      </c>
      <c r="M537" s="28" t="n">
        <v>0</v>
      </c>
      <c r="N537" s="28" t="n">
        <v>0</v>
      </c>
      <c r="O537" s="28" t="n">
        <v>0</v>
      </c>
      <c r="P537" s="30" t="str">
        <f>IF(AND(ISNUMBER(L537),L537&gt;0,COUNT(M537:O537)=3,MIN(M537:O537)&gt;=0),SUM(M537:O537)/L537,"")</f>
      </c>
      <c r="Q537" s="16" t="str">
        <v>沿用同SPU原计划店铺</v>
      </c>
      <c r="R537" s="16" t="str">
        <v>已匹配</v>
      </c>
      <c r="S537" s="16" t="str">
        <v>停售</v>
      </c>
      <c r="T537" s="16" t="str">
        <v>1S01</v>
      </c>
      <c r="U537" s="16" t="str">
        <v>黑白蛇纹</v>
      </c>
      <c r="V537" s="16" t="n">
        <v>7.5</v>
      </c>
      <c r="W537" s="8" t="str">
        <v>2026-10-08 至 2026-10-17</v>
      </c>
      <c r="X537" s="8" t="str">
        <v>2026-10-08、2026-10-09、2026-10-10、2026-10-11、2026-10-14、2026-10-15、2026-10-17</v>
      </c>
      <c r="Y537" s="8" t="str">
        <v>2026-10-12 有记录的停售日；2026-10-13 有记录的停售日；2026-10-16 有记录的停售日</v>
      </c>
      <c r="Z537" s="8" t="n">
        <v>0</v>
      </c>
      <c r="AA537" s="8" t="n">
        <v>0</v>
      </c>
      <c r="AB537" s="8" t="n">
        <v>7</v>
      </c>
      <c r="AC537" s="8" t="str">
        <v>2026-09-29 至 2026-10-17</v>
      </c>
      <c r="AD537" s="8" t="str">
        <v>2026-09-29、2026-09-30、2026-10-01、2026-10-02、2026-10-03、2026-10-04、2026-10-05、2026-10-08、2026-10-09、2026-10-10、2026-10-11、2026-10-14、2026-10-15、2026-10-17</v>
      </c>
      <c r="AE537" s="8" t="str">
        <v>2026-10-06 大促；2026-10-07 大促；2026-10-12 有记录的停售日；2026-10-13 有记录的停售日；2026-10-16 有记录的停售日</v>
      </c>
      <c r="AF537" s="8" t="n">
        <v>0</v>
      </c>
      <c r="AG537" s="8" t="n">
        <v>0</v>
      </c>
      <c r="AH537" s="8" t="n">
        <v>14</v>
      </c>
      <c r="AI537" s="8" t="str">
        <v>2026-09-13 至 2026-10-17</v>
      </c>
      <c r="AJ53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7" s="8" t="str">
        <v>2026-10-06 大促；2026-10-07 大促；2026-10-12 有记录的停售日；2026-10-13 有记录的停售日；2026-10-16 有记录的停售日</v>
      </c>
      <c r="AL537" s="8" t="n">
        <v>0</v>
      </c>
      <c r="AM537" s="8" t="n">
        <v>0</v>
      </c>
      <c r="AN537" s="8" t="n">
        <v>30</v>
      </c>
      <c r="AO537" s="8" t="str">
        <v>1S01 / 黑白蛇纹PU / 6574</v>
      </c>
      <c r="AP537" s="11" t="n">
        <v>0.8729500662042875</v>
      </c>
      <c r="AQ537" s="11" t="n">
        <v>0.9355747145678367</v>
      </c>
      <c r="AR537" s="11" t="n">
        <v>1.135973589331194</v>
      </c>
      <c r="AS537" s="11" t="n">
        <f>IF(AND(COUNT(I537:K537,AP537:AR537)=6,MIN(AP537:AR537)&gt;0),I537/7/AP537*0.5+J537/14/AQ537*0.3+K537/30/AR537*0.2,"")</f>
        <v>0</v>
      </c>
      <c r="AT537" s="8" t="n">
        <v>0</v>
      </c>
      <c r="AU537" s="8" t="n">
        <v>0</v>
      </c>
      <c r="AV537" s="8" t="n">
        <v>85</v>
      </c>
      <c r="AW537" s="11" t="n">
        <f>IF(AND(COUNT(AT537:AV537)=3,AT537&gt;=AU537,AU537&gt;=0,AV537&gt;0),(AT537-AU537)/AV537,"")</f>
        <v>0</v>
      </c>
      <c r="AX537" s="8" t="n">
        <v>0</v>
      </c>
      <c r="AY537" s="8" t="n">
        <v>0</v>
      </c>
      <c r="AZ537" s="8" t="n">
        <v>175</v>
      </c>
      <c r="BA537" s="11" t="n">
        <f>IF(AND(COUNT(AX537:AZ537)=3,AX537&gt;=AY537,AY537&gt;=0,AZ537&gt;0),(AX537-AY537)/AZ537,"")</f>
        <v>0</v>
      </c>
      <c r="BB537" s="8" t="n">
        <f>IF(COUNT(AS537,AW537,BA537)=3,1,0)</f>
        <v>1</v>
      </c>
      <c r="BC537" s="11" t="n">
        <f>IF(SUMIF($AO$11:$AO$1309,AO537,$BB$11:$BB$1309)=COUNTIF($AO$11:$AO$1309,AO537),SUMIF($AO$11:$AO$1309,AO537,$AS$11:$AS$1309),"")</f>
        <v>0.5210763310255071</v>
      </c>
      <c r="BD537" s="11" t="n">
        <f>IF(SUMIF($AO$11:$AO$1309,AO537,$BB$11:$BB$1309)=COUNTIF($AO$11:$AO$1309,AO537),SUMIF($AO$11:$AO$1309,AO537,$AW$11:$AW$1309),"")</f>
        <v>0.36363636363636365</v>
      </c>
      <c r="BE537" s="11" t="n">
        <f>IF(SUMIF($AO$11:$AO$1309,AO537,$BB$11:$BB$1309)=COUNTIF($AO$11:$AO$1309,AO537),SUMIF($AO$11:$AO$1309,AO537,$BA$11:$BA$1309),"")</f>
        <v>0.3207062600321028</v>
      </c>
      <c r="BF537" s="12" t="n">
        <f>IF(COUNT(BD537:BE537)&lt;&gt;2,"",IF(AND(BD537&gt;0,BE537&gt;0),0.7*AW537/BD537+0.3*BA537/BE537,IF(BD537&gt;0,AW537/BD537,IF(BE537&gt;0,BA537/BE537,IF(AND(ISNUMBER(BH537),BH537=0),0,"")))))</f>
        <v>0</v>
      </c>
      <c r="BG537" s="11" t="n">
        <f>IF(AND(COUNT(BN537:BU537)=8,MIN(BN537:BU537)&gt;=0),SUMPRODUCT(BN537:BQ537,BR537:BU537),"")</f>
        <v>63.935996265425516</v>
      </c>
      <c r="BH537" s="11" t="n">
        <f>IF(COUNT(BC537,BG537)=2,BC537*BG537,"")</f>
        <v>33.31553435444845</v>
      </c>
      <c r="BI537" s="11" t="n">
        <f>IF(ISNUMBER(CI537),CI537,"")</f>
        <v>0</v>
      </c>
      <c r="BJ537" s="8" t="str">
        <v>近180天本色销量65双（＜90），无有效新采购，请运营判断</v>
      </c>
      <c r="BK537" s="8" t="str">
        <v>90天：2026-07-20 至 2026-10-17；180天：2026-04-21 至 2026-10-17</v>
      </c>
      <c r="BL537" s="8" t="str">
        <v>90天：2026-10-06、2026-10-07、2026-10-12、2026-10-13、2026-10-16；180天：2026-10-06、2026-10-07、2026-10-12、2026-10-13、2026-10-16</v>
      </c>
      <c r="BM537" s="8" t="str">
        <v>2026-10：12天 × 0.8729500662042875；2026-11：30天 × 0.8057375774163482；2026-12：31天 × 0.532550303142279；2027-01：17天 × 0.7517299265337036</v>
      </c>
      <c r="BN537" s="11" t="n">
        <v>0.8729500662042875</v>
      </c>
      <c r="BO537" s="11" t="n">
        <v>0.8057375774163482</v>
      </c>
      <c r="BP537" s="11" t="n">
        <v>0.532550303142279</v>
      </c>
      <c r="BQ537" s="11" t="n">
        <v>0.7517299265337036</v>
      </c>
      <c r="BR537" s="8" t="n">
        <v>12</v>
      </c>
      <c r="BS537" s="8" t="n">
        <v>30</v>
      </c>
      <c r="BT537" s="8" t="n">
        <v>31</v>
      </c>
      <c r="BU537" s="8" t="n">
        <v>17</v>
      </c>
      <c r="BV537" s="11" t="n">
        <f>IF(COUNT(BC537,BF537)=2,BC537*BF537,"")</f>
        <v>0</v>
      </c>
      <c r="BW537" s="11" t="n">
        <f>IF(ISNUMBER(BN537),BN537,"")</f>
        <v>0.8729500662042875</v>
      </c>
      <c r="BX537" s="14" t="n">
        <f>IF(ISNUMBER(BR537),BR537,"")</f>
        <v>12</v>
      </c>
      <c r="BY537" s="13" t="n">
        <f>IF(AND(COUNT(BV537,BW537,BX537)=3,MIN(BV537,BW537,BX537)&gt;=0),BV537*BW537*BX537,"")</f>
        <v>0</v>
      </c>
      <c r="BZ537" s="11" t="n">
        <f>IF(ISNUMBER(BO537),BO537,"")</f>
        <v>0.8057375774163482</v>
      </c>
      <c r="CA537" s="14" t="n">
        <f>IF(ISNUMBER(BS537),BS537,"")</f>
        <v>30</v>
      </c>
      <c r="CB537" s="13" t="n">
        <f>IF(AND(COUNT(BV537,BZ537,CA537)=3,MIN(BV537,BZ537,CA537)&gt;=0),BV537*BZ537*CA537,"")</f>
        <v>0</v>
      </c>
      <c r="CC537" s="11" t="n">
        <f>IF(ISNUMBER(BP537),BP537,"")</f>
        <v>0.532550303142279</v>
      </c>
      <c r="CD537" s="14" t="n">
        <f>IF(ISNUMBER(BT537),BT537,"")</f>
        <v>31</v>
      </c>
      <c r="CE537" s="13" t="n">
        <f>IF(AND(COUNT(BV537,CC537,CD537)=3,MIN(BV537,CC537,CD537)&gt;=0),BV537*CC537*CD537,"")</f>
        <v>0</v>
      </c>
      <c r="CF537" s="11" t="n">
        <f>IF(ISNUMBER(BQ537),BQ537,"")</f>
        <v>0.7517299265337036</v>
      </c>
      <c r="CG537" s="14" t="n">
        <f>IF(ISNUMBER(BU537),BU537,"")</f>
        <v>17</v>
      </c>
      <c r="CH537" s="13" t="n">
        <f>IF(AND(COUNT(BV537,CF537,CG537)=3,MIN(BV537,CF537,CG537)&gt;=0),BV537*CF537*CG537,"")</f>
        <v>0</v>
      </c>
      <c r="CI537" s="13" t="n">
        <f>IF(COUNT(BY537,CB537,CE537,CH537)=4,SUM(BY537,CB537,CE537,CH537),"")</f>
        <v>0</v>
      </c>
    </row>
    <row r="538" ht="72" customHeight="1">
      <c r="A538" s="16" t="str">
        <v>1S01-SP-39</v>
      </c>
      <c r="B538" s="16" t="str">
        <v>3店-SANDIEX-US</v>
      </c>
      <c r="C538" s="16" t="str">
        <v>徐新怡</v>
      </c>
      <c r="D538" s="26" t="n">
        <f>IF(NOT(ISNUMBER(E538)),"",IF(OR(E538&lt;=0,L538=0),0,IF(OR(NOT(ISNUMBER(F538)),F538&lt;0),"",MIN(E538,INT(F538)))))</f>
        <v>0</v>
      </c>
      <c r="E538" s="27" t="n">
        <f>IF(OR(NOT(ISNUMBER(L538)),COUNT(M538:O538)&lt;&gt;3,MIN(M538:O538)&lt;0),"",ROUNDUP(ROUND(BI538-SUM(M538:O538),10),0))</f>
        <v>-5</v>
      </c>
      <c r="F538" s="28" t="n">
        <v>0</v>
      </c>
      <c r="G538" s="28" t="n">
        <f>IF(AND(ISNUMBER(D538),ISNUMBER(E538)),IF(OR(E538&lt;=0,L538=0),0,E538-D538),"")</f>
        <v>0</v>
      </c>
      <c r="H538" s="16" t="str">
        <f>IF(NOT(ISNUMBER(E538)),"销量或海外库存待补",IF(OR(E538&lt;=0,L538=0),IF(L538=0,"零日销，本批不发","本批无需补货"),IF(NOT(ISNUMBER(D538)),"国内库存待补",IF(D538=0,"国内无可用库存",IF(G538&gt;0,"先发国内现货","按建议量发货")))))</f>
        <v>本批无需补货</v>
      </c>
      <c r="I538" s="28" t="n">
        <f>IF(AND(COUNT(Z538,AA538,AB538)=3,Z538&gt;=AA538,AA538&gt;=0,AB538=7),Z538-AA538,"")</f>
        <v>0</v>
      </c>
      <c r="J538" s="28" t="n">
        <f>IF(AND(COUNT(AF538,AG538,AH538)=3,AF538&gt;=AG538,AG538&gt;=0,AH538=14),AF538-AG538,"")</f>
        <v>3</v>
      </c>
      <c r="K538" s="28" t="n">
        <f>IF(AND(COUNT(AL538,AM538,AN538)=3,AL538&gt;=AM538,AM538&gt;=0,AN538=30),AL538-AM538,"")</f>
        <v>6</v>
      </c>
      <c r="L538" s="29" t="n">
        <f>IF(ISNUMBER(BI538),BI538/90,"")</f>
        <v>0.17430349638897286</v>
      </c>
      <c r="M538" s="28" t="n">
        <v>10</v>
      </c>
      <c r="N538" s="28" t="n">
        <v>0</v>
      </c>
      <c r="O538" s="28" t="n">
        <v>10</v>
      </c>
      <c r="P538" s="30" t="n">
        <f>IF(AND(ISNUMBER(L538),L538&gt;0,COUNT(M538:O538)=3,MIN(M538:O538)&gt;=0),SUM(M538:O538)/L538,"")</f>
        <v>114.74239137101601</v>
      </c>
      <c r="Q538" s="16" t="str">
        <v>沿用原计划SKU店铺</v>
      </c>
      <c r="R538" s="16" t="str">
        <v>已匹配</v>
      </c>
      <c r="S538" s="16" t="str">
        <v>在售</v>
      </c>
      <c r="T538" s="16" t="str">
        <v>1S01</v>
      </c>
      <c r="U538" s="16" t="str">
        <v>黑白蛇纹</v>
      </c>
      <c r="V538" s="16" t="n">
        <v>8</v>
      </c>
      <c r="W538" s="8" t="str">
        <v>2026-10-11 至 2026-10-17</v>
      </c>
      <c r="X538" s="8" t="str">
        <v>2026-10-11、2026-10-12、2026-10-13、2026-10-14、2026-10-15、2026-10-16、2026-10-17</v>
      </c>
      <c r="Y538" s="8" t="str">
        <v>无</v>
      </c>
      <c r="Z538" s="8" t="n">
        <v>0</v>
      </c>
      <c r="AA538" s="8" t="n">
        <v>0</v>
      </c>
      <c r="AB538" s="8" t="n">
        <v>7</v>
      </c>
      <c r="AC538" s="8" t="str">
        <v>2026-10-02 至 2026-10-17</v>
      </c>
      <c r="AD538" s="8" t="str">
        <v>2026-10-02、2026-10-03、2026-10-04、2026-10-05、2026-10-08、2026-10-09、2026-10-10、2026-10-11、2026-10-12、2026-10-13、2026-10-14、2026-10-15、2026-10-16、2026-10-17</v>
      </c>
      <c r="AE538" s="8" t="str">
        <v>2026-10-06 大促；2026-10-07 大促</v>
      </c>
      <c r="AF538" s="8" t="n">
        <v>7</v>
      </c>
      <c r="AG538" s="8" t="n">
        <v>4</v>
      </c>
      <c r="AH538" s="8" t="n">
        <v>14</v>
      </c>
      <c r="AI538" s="8" t="str">
        <v>2026-09-16 至 2026-10-17</v>
      </c>
      <c r="AJ5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38" s="8" t="str">
        <v>2026-10-06 大促；2026-10-07 大促</v>
      </c>
      <c r="AL538" s="8" t="n">
        <v>10</v>
      </c>
      <c r="AM538" s="8" t="n">
        <v>4</v>
      </c>
      <c r="AN538" s="8" t="n">
        <v>30</v>
      </c>
      <c r="AO538" s="8" t="str">
        <v>1S01 / 黑白蛇纹PU / 6574</v>
      </c>
      <c r="AP538" s="11" t="n">
        <v>0.8729500662042875</v>
      </c>
      <c r="AQ538" s="11" t="n">
        <v>0.8729500662042875</v>
      </c>
      <c r="AR538" s="11" t="n">
        <v>1.0921363354767095</v>
      </c>
      <c r="AS538" s="11" t="n">
        <f>IF(AND(COUNT(I538:K538,AP538:AR538)=6,MIN(AP538:AR538)&gt;0),I538/7/AP538*0.5+J538/14/AQ538*0.3+K538/30/AR538*0.2,"")</f>
        <v>0.1102673786341199</v>
      </c>
      <c r="AT538" s="8" t="n">
        <v>20</v>
      </c>
      <c r="AU538" s="8" t="n">
        <v>4</v>
      </c>
      <c r="AV538" s="8" t="n">
        <v>88</v>
      </c>
      <c r="AW538" s="11" t="n">
        <f>IF(AND(COUNT(AT538:AV538)=3,AT538&gt;=AU538,AU538&gt;=0,AV538&gt;0),(AT538-AU538)/AV538,"")</f>
        <v>0.18181818181818182</v>
      </c>
      <c r="AX538" s="8" t="n">
        <v>27</v>
      </c>
      <c r="AY538" s="8" t="n">
        <v>4</v>
      </c>
      <c r="AZ538" s="8" t="n">
        <v>178</v>
      </c>
      <c r="BA538" s="11" t="n">
        <f>IF(AND(COUNT(AX538:AZ538)=3,AX538&gt;=AY538,AY538&gt;=0,AZ538&gt;0),(AX538-AY538)/AZ538,"")</f>
        <v>0.12921348314606743</v>
      </c>
      <c r="BB538" s="8" t="n">
        <f>IF(COUNT(AS538,AW538,BA538)=3,1,0)</f>
        <v>1</v>
      </c>
      <c r="BC538" s="11" t="n">
        <f>IF(SUMIF($AO$11:$AO$1309,AO538,$BB$11:$BB$1309)=COUNTIF($AO$11:$AO$1309,AO538),SUMIF($AO$11:$AO$1309,AO538,$AS$11:$AS$1309),"")</f>
        <v>0.5210763310255071</v>
      </c>
      <c r="BD538" s="11" t="n">
        <f>IF(SUMIF($AO$11:$AO$1309,AO538,$BB$11:$BB$1309)=COUNTIF($AO$11:$AO$1309,AO538),SUMIF($AO$11:$AO$1309,AO538,$AW$11:$AW$1309),"")</f>
        <v>0.36363636363636365</v>
      </c>
      <c r="BE538" s="11" t="n">
        <f>IF(SUMIF($AO$11:$AO$1309,AO538,$BB$11:$BB$1309)=COUNTIF($AO$11:$AO$1309,AO538),SUMIF($AO$11:$AO$1309,AO538,$BA$11:$BA$1309),"")</f>
        <v>0.3207062600321028</v>
      </c>
      <c r="BF538" s="12" t="n">
        <f>IF(COUNT(BD538:BE538)&lt;&gt;2,"",IF(AND(BD538&gt;0,BE538&gt;0),0.7*AW538/BD538+0.3*BA538/BE538,IF(BD538&gt;0,AW538/BD538,IF(BE538&gt;0,BA538/BE538,IF(AND(ISNUMBER(BH538),BH538=0),0,"")))))</f>
        <v>0.4708708708708708</v>
      </c>
      <c r="BG538" s="11" t="n">
        <f>IF(AND(COUNT(BN538:BU538)=8,MIN(BN538:BU538)&gt;=0),SUMPRODUCT(BN538:BQ538,BR538:BU538),"")</f>
        <v>63.935996265425516</v>
      </c>
      <c r="BH538" s="11" t="n">
        <f>IF(COUNT(BC538,BG538)=2,BC538*BG538,"")</f>
        <v>33.31553435444845</v>
      </c>
      <c r="BI538" s="11" t="n">
        <f>IF(ISNUMBER(CI538),CI538,"")</f>
        <v>15.687314675007556</v>
      </c>
      <c r="BJ538" s="8" t="str">
        <v>近180天本色销量65双（＜90），无有效新采购，请运营判断</v>
      </c>
      <c r="BK538" s="8" t="str">
        <v>90天：2026-07-20 至 2026-10-17；180天：2026-04-21 至 2026-10-17</v>
      </c>
      <c r="BL538" s="8" t="str">
        <v>90天：2026-10-06、2026-10-07；180天：2026-10-06、2026-10-07</v>
      </c>
      <c r="BM538" s="8" t="str">
        <v>2026-10：12天 × 0.8729500662042875；2026-11：30天 × 0.8057375774163482；2026-12：31天 × 0.532550303142279；2027-01：17天 × 0.7517299265337036</v>
      </c>
      <c r="BN538" s="11" t="n">
        <v>0.8729500662042875</v>
      </c>
      <c r="BO538" s="11" t="n">
        <v>0.8057375774163482</v>
      </c>
      <c r="BP538" s="11" t="n">
        <v>0.532550303142279</v>
      </c>
      <c r="BQ538" s="11" t="n">
        <v>0.7517299265337036</v>
      </c>
      <c r="BR538" s="8" t="n">
        <v>12</v>
      </c>
      <c r="BS538" s="8" t="n">
        <v>30</v>
      </c>
      <c r="BT538" s="8" t="n">
        <v>31</v>
      </c>
      <c r="BU538" s="8" t="n">
        <v>17</v>
      </c>
      <c r="BV538" s="11" t="n">
        <f>IF(COUNT(BC538,BF538)=2,BC538*BF538,"")</f>
        <v>0.2453596657801787</v>
      </c>
      <c r="BW538" s="11" t="n">
        <f>IF(ISNUMBER(BN538),BN538,"")</f>
        <v>0.8729500662042875</v>
      </c>
      <c r="BX538" s="14" t="n">
        <f>IF(ISNUMBER(BR538),BR538,"")</f>
        <v>12</v>
      </c>
      <c r="BY538" s="13" t="n">
        <f>IF(AND(COUNT(BV538,BW538,BX538)=3,MIN(BV538,BW538,BX538)&gt;=0),BV538*BW538*BX538,"")</f>
        <v>2.5702408378400263</v>
      </c>
      <c r="BZ538" s="11" t="n">
        <f>IF(ISNUMBER(BO538),BO538,"")</f>
        <v>0.8057375774163482</v>
      </c>
      <c r="CA538" s="14" t="n">
        <f>IF(ISNUMBER(BS538),BS538,"")</f>
        <v>30</v>
      </c>
      <c r="CB538" s="13" t="n">
        <f>IF(AND(COUNT(BV538,BZ538,CA538)=3,MIN(BV538,BZ538,CA538)&gt;=0),BV538*BZ538*CA538,"")</f>
        <v>5.930865081042182</v>
      </c>
      <c r="CC538" s="11" t="n">
        <f>IF(ISNUMBER(BP538),BP538,"")</f>
        <v>0.532550303142279</v>
      </c>
      <c r="CD538" s="14" t="n">
        <f>IF(ISNUMBER(BT538),BT538,"")</f>
        <v>31</v>
      </c>
      <c r="CE538" s="13" t="n">
        <f>IF(AND(COUNT(BV538,CC538,CD538)=3,MIN(BV538,CC538,CD538)&gt;=0),BV538*CC538*CD538,"")</f>
        <v>4.050657296093796</v>
      </c>
      <c r="CF538" s="11" t="n">
        <f>IF(ISNUMBER(BQ538),BQ538,"")</f>
        <v>0.7517299265337036</v>
      </c>
      <c r="CG538" s="14" t="n">
        <f>IF(ISNUMBER(BU538),BU538,"")</f>
        <v>17</v>
      </c>
      <c r="CH538" s="13" t="n">
        <f>IF(AND(COUNT(BV538,CF538,CG538)=3,MIN(BV538,CF538,CG538)&gt;=0),BV538*CF538*CG538,"")</f>
        <v>3.135551460031553</v>
      </c>
      <c r="CI538" s="13" t="n">
        <f>IF(COUNT(BY538,CB538,CE538,CH538)=4,SUM(BY538,CB538,CE538,CH538),"")</f>
        <v>15.687314675007556</v>
      </c>
    </row>
    <row r="539" ht="72" customHeight="1">
      <c r="A539" s="16" t="str">
        <v>1S01-SP-40</v>
      </c>
      <c r="B539" s="16" t="str">
        <v>3店-SANDIEX-US</v>
      </c>
      <c r="C539" s="16" t="str">
        <v>徐新怡</v>
      </c>
      <c r="D539" s="26" t="n">
        <f>IF(NOT(ISNUMBER(E539)),"",IF(OR(E539&lt;=0,L539=0),0,IF(OR(NOT(ISNUMBER(F539)),F539&lt;0),"",MIN(E539,INT(F539)))))</f>
        <v>0</v>
      </c>
      <c r="E539" s="27" t="n">
        <f>IF(OR(NOT(ISNUMBER(L539)),COUNT(M539:O539)&lt;&gt;3,MIN(M539:O539)&lt;0),"",ROUNDUP(ROUND(BI539-SUM(M539:O539),10),0))</f>
        <v>0</v>
      </c>
      <c r="F539" s="28" t="n">
        <v>0</v>
      </c>
      <c r="G539" s="28" t="n">
        <f>IF(AND(ISNUMBER(D539),ISNUMBER(E539)),IF(OR(E539&lt;=0,L539=0),0,E539-D539),"")</f>
        <v>0</v>
      </c>
      <c r="H539" s="16" t="str">
        <f>IF(NOT(ISNUMBER(E539)),"销量或海外库存待补",IF(OR(E539&lt;=0,L539=0),IF(L539=0,"零日销，本批不发","本批无需补货"),IF(NOT(ISNUMBER(D539)),"国内库存待补",IF(D539=0,"国内无可用库存",IF(G539&gt;0,"先发国内现货","按建议量发货")))))</f>
        <v>零日销，本批不发</v>
      </c>
      <c r="I539" s="28" t="n">
        <f>IF(AND(COUNT(Z539,AA539,AB539)=3,Z539&gt;=AA539,AA539&gt;=0,AB539=7),Z539-AA539,"")</f>
        <v>0</v>
      </c>
      <c r="J539" s="28" t="n">
        <f>IF(AND(COUNT(AF539,AG539,AH539)=3,AF539&gt;=AG539,AG539&gt;=0,AH539=14),AF539-AG539,"")</f>
        <v>0</v>
      </c>
      <c r="K539" s="28" t="n">
        <f>IF(AND(COUNT(AL539,AM539,AN539)=3,AL539&gt;=AM539,AM539&gt;=0,AN539=30),AL539-AM539,"")</f>
        <v>0</v>
      </c>
      <c r="L539" s="29" t="n">
        <f>IF(ISNUMBER(BI539),BI539/90,"")</f>
        <v>0</v>
      </c>
      <c r="M539" s="28" t="n">
        <v>0</v>
      </c>
      <c r="N539" s="28" t="n">
        <v>0</v>
      </c>
      <c r="O539" s="28" t="n">
        <v>0</v>
      </c>
      <c r="P539" s="30" t="str">
        <f>IF(AND(ISNUMBER(L539),L539&gt;0,COUNT(M539:O539)=3,MIN(M539:O539)&gt;=0),SUM(M539:O539)/L539,"")</f>
      </c>
      <c r="Q539" s="16" t="str">
        <v>沿用原计划SKU店铺</v>
      </c>
      <c r="R539" s="16" t="str">
        <v>已匹配</v>
      </c>
      <c r="S539" s="16" t="str">
        <v>停售</v>
      </c>
      <c r="T539" s="16" t="str">
        <v>1S01</v>
      </c>
      <c r="U539" s="16" t="str">
        <v>黑白蛇纹</v>
      </c>
      <c r="V539" s="16" t="n">
        <v>9</v>
      </c>
      <c r="W539" s="8" t="str">
        <v>2026-10-08 至 2026-10-17</v>
      </c>
      <c r="X539" s="8" t="str">
        <v>2026-10-08、2026-10-09、2026-10-10、2026-10-11、2026-10-14、2026-10-15、2026-10-17</v>
      </c>
      <c r="Y539" s="8" t="str">
        <v>2026-10-12 有记录的停售日；2026-10-13 有记录的停售日；2026-10-16 有记录的停售日</v>
      </c>
      <c r="Z539" s="8" t="n">
        <v>0</v>
      </c>
      <c r="AA539" s="8" t="n">
        <v>0</v>
      </c>
      <c r="AB539" s="8" t="n">
        <v>7</v>
      </c>
      <c r="AC539" s="8" t="str">
        <v>2026-09-29 至 2026-10-17</v>
      </c>
      <c r="AD539" s="8" t="str">
        <v>2026-09-29、2026-09-30、2026-10-01、2026-10-02、2026-10-03、2026-10-04、2026-10-05、2026-10-08、2026-10-09、2026-10-10、2026-10-11、2026-10-14、2026-10-15、2026-10-17</v>
      </c>
      <c r="AE539" s="8" t="str">
        <v>2026-10-06 大促；2026-10-07 大促；2026-10-12 有记录的停售日；2026-10-13 有记录的停售日；2026-10-16 有记录的停售日</v>
      </c>
      <c r="AF539" s="8" t="n">
        <v>0</v>
      </c>
      <c r="AG539" s="8" t="n">
        <v>0</v>
      </c>
      <c r="AH539" s="8" t="n">
        <v>14</v>
      </c>
      <c r="AI539" s="8" t="str">
        <v>2026-09-13 至 2026-10-17</v>
      </c>
      <c r="AJ5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39" s="8" t="str">
        <v>2026-10-06 大促；2026-10-07 大促；2026-10-12 有记录的停售日；2026-10-13 有记录的停售日；2026-10-16 有记录的停售日</v>
      </c>
      <c r="AL539" s="8" t="n">
        <v>0</v>
      </c>
      <c r="AM539" s="8" t="n">
        <v>0</v>
      </c>
      <c r="AN539" s="8" t="n">
        <v>30</v>
      </c>
      <c r="AO539" s="8" t="str">
        <v>1S01 / 黑白蛇纹PU / 6574</v>
      </c>
      <c r="AP539" s="11" t="n">
        <v>0.8729500662042875</v>
      </c>
      <c r="AQ539" s="11" t="n">
        <v>0.9355747145678367</v>
      </c>
      <c r="AR539" s="11" t="n">
        <v>1.135973589331194</v>
      </c>
      <c r="AS539" s="11" t="n">
        <f>IF(AND(COUNT(I539:K539,AP539:AR539)=6,MIN(AP539:AR539)&gt;0),I539/7/AP539*0.5+J539/14/AQ539*0.3+K539/30/AR539*0.2,"")</f>
        <v>0</v>
      </c>
      <c r="AT539" s="8" t="n">
        <v>0</v>
      </c>
      <c r="AU539" s="8" t="n">
        <v>0</v>
      </c>
      <c r="AV539" s="8" t="n">
        <v>85</v>
      </c>
      <c r="AW539" s="11" t="n">
        <f>IF(AND(COUNT(AT539:AV539)=3,AT539&gt;=AU539,AU539&gt;=0,AV539&gt;0),(AT539-AU539)/AV539,"")</f>
        <v>0</v>
      </c>
      <c r="AX539" s="8" t="n">
        <v>0</v>
      </c>
      <c r="AY539" s="8" t="n">
        <v>0</v>
      </c>
      <c r="AZ539" s="8" t="n">
        <v>175</v>
      </c>
      <c r="BA539" s="11" t="n">
        <f>IF(AND(COUNT(AX539:AZ539)=3,AX539&gt;=AY539,AY539&gt;=0,AZ539&gt;0),(AX539-AY539)/AZ539,"")</f>
        <v>0</v>
      </c>
      <c r="BB539" s="8" t="n">
        <f>IF(COUNT(AS539,AW539,BA539)=3,1,0)</f>
        <v>1</v>
      </c>
      <c r="BC539" s="11" t="n">
        <f>IF(SUMIF($AO$11:$AO$1309,AO539,$BB$11:$BB$1309)=COUNTIF($AO$11:$AO$1309,AO539),SUMIF($AO$11:$AO$1309,AO539,$AS$11:$AS$1309),"")</f>
        <v>0.5210763310255071</v>
      </c>
      <c r="BD539" s="11" t="n">
        <f>IF(SUMIF($AO$11:$AO$1309,AO539,$BB$11:$BB$1309)=COUNTIF($AO$11:$AO$1309,AO539),SUMIF($AO$11:$AO$1309,AO539,$AW$11:$AW$1309),"")</f>
        <v>0.36363636363636365</v>
      </c>
      <c r="BE539" s="11" t="n">
        <f>IF(SUMIF($AO$11:$AO$1309,AO539,$BB$11:$BB$1309)=COUNTIF($AO$11:$AO$1309,AO539),SUMIF($AO$11:$AO$1309,AO539,$BA$11:$BA$1309),"")</f>
        <v>0.3207062600321028</v>
      </c>
      <c r="BF539" s="12" t="n">
        <f>IF(COUNT(BD539:BE539)&lt;&gt;2,"",IF(AND(BD539&gt;0,BE539&gt;0),0.7*AW539/BD539+0.3*BA539/BE539,IF(BD539&gt;0,AW539/BD539,IF(BE539&gt;0,BA539/BE539,IF(AND(ISNUMBER(BH539),BH539=0),0,"")))))</f>
        <v>0</v>
      </c>
      <c r="BG539" s="11" t="n">
        <f>IF(AND(COUNT(BN539:BU539)=8,MIN(BN539:BU539)&gt;=0),SUMPRODUCT(BN539:BQ539,BR539:BU539),"")</f>
        <v>63.935996265425516</v>
      </c>
      <c r="BH539" s="11" t="n">
        <f>IF(COUNT(BC539,BG539)=2,BC539*BG539,"")</f>
        <v>33.31553435444845</v>
      </c>
      <c r="BI539" s="11" t="n">
        <f>IF(ISNUMBER(CI539),CI539,"")</f>
        <v>0</v>
      </c>
      <c r="BJ539" s="8" t="str">
        <v>近180天本色销量65双（＜90），无有效新采购，请运营判断</v>
      </c>
      <c r="BK539" s="8" t="str">
        <v>90天：2026-07-20 至 2026-10-17；180天：2026-04-21 至 2026-10-17</v>
      </c>
      <c r="BL539" s="8" t="str">
        <v>90天：2026-10-06、2026-10-07、2026-10-12、2026-10-13、2026-10-16；180天：2026-10-06、2026-10-07、2026-10-12、2026-10-13、2026-10-16</v>
      </c>
      <c r="BM539" s="8" t="str">
        <v>2026-10：12天 × 0.8729500662042875；2026-11：30天 × 0.8057375774163482；2026-12：31天 × 0.532550303142279；2027-01：17天 × 0.7517299265337036</v>
      </c>
      <c r="BN539" s="11" t="n">
        <v>0.8729500662042875</v>
      </c>
      <c r="BO539" s="11" t="n">
        <v>0.8057375774163482</v>
      </c>
      <c r="BP539" s="11" t="n">
        <v>0.532550303142279</v>
      </c>
      <c r="BQ539" s="11" t="n">
        <v>0.7517299265337036</v>
      </c>
      <c r="BR539" s="8" t="n">
        <v>12</v>
      </c>
      <c r="BS539" s="8" t="n">
        <v>30</v>
      </c>
      <c r="BT539" s="8" t="n">
        <v>31</v>
      </c>
      <c r="BU539" s="8" t="n">
        <v>17</v>
      </c>
      <c r="BV539" s="11" t="n">
        <f>IF(COUNT(BC539,BF539)=2,BC539*BF539,"")</f>
        <v>0</v>
      </c>
      <c r="BW539" s="11" t="n">
        <f>IF(ISNUMBER(BN539),BN539,"")</f>
        <v>0.8729500662042875</v>
      </c>
      <c r="BX539" s="14" t="n">
        <f>IF(ISNUMBER(BR539),BR539,"")</f>
        <v>12</v>
      </c>
      <c r="BY539" s="13" t="n">
        <f>IF(AND(COUNT(BV539,BW539,BX539)=3,MIN(BV539,BW539,BX539)&gt;=0),BV539*BW539*BX539,"")</f>
        <v>0</v>
      </c>
      <c r="BZ539" s="11" t="n">
        <f>IF(ISNUMBER(BO539),BO539,"")</f>
        <v>0.8057375774163482</v>
      </c>
      <c r="CA539" s="14" t="n">
        <f>IF(ISNUMBER(BS539),BS539,"")</f>
        <v>30</v>
      </c>
      <c r="CB539" s="13" t="n">
        <f>IF(AND(COUNT(BV539,BZ539,CA539)=3,MIN(BV539,BZ539,CA539)&gt;=0),BV539*BZ539*CA539,"")</f>
        <v>0</v>
      </c>
      <c r="CC539" s="11" t="n">
        <f>IF(ISNUMBER(BP539),BP539,"")</f>
        <v>0.532550303142279</v>
      </c>
      <c r="CD539" s="14" t="n">
        <f>IF(ISNUMBER(BT539),BT539,"")</f>
        <v>31</v>
      </c>
      <c r="CE539" s="13" t="n">
        <f>IF(AND(COUNT(BV539,CC539,CD539)=3,MIN(BV539,CC539,CD539)&gt;=0),BV539*CC539*CD539,"")</f>
        <v>0</v>
      </c>
      <c r="CF539" s="11" t="n">
        <f>IF(ISNUMBER(BQ539),BQ539,"")</f>
        <v>0.7517299265337036</v>
      </c>
      <c r="CG539" s="14" t="n">
        <f>IF(ISNUMBER(BU539),BU539,"")</f>
        <v>17</v>
      </c>
      <c r="CH539" s="13" t="n">
        <f>IF(AND(COUNT(BV539,CF539,CG539)=3,MIN(BV539,CF539,CG539)&gt;=0),BV539*CF539*CG539,"")</f>
        <v>0</v>
      </c>
      <c r="CI539" s="13" t="n">
        <f>IF(COUNT(BY539,CB539,CE539,CH539)=4,SUM(BY539,CB539,CE539,CH539),"")</f>
        <v>0</v>
      </c>
    </row>
    <row r="540" ht="72" customHeight="1">
      <c r="A540" s="16" t="str">
        <v>1S01-SP-40.5</v>
      </c>
      <c r="B540" s="16" t="str">
        <v>3店-SANDIEX-US</v>
      </c>
      <c r="C540" s="16" t="str">
        <v>徐新怡</v>
      </c>
      <c r="D540" s="26" t="n">
        <f>IF(NOT(ISNUMBER(E540)),"",IF(OR(E540&lt;=0,L540=0),0,IF(OR(NOT(ISNUMBER(F540)),F540&lt;0),"",MIN(E540,INT(F540)))))</f>
        <v>0</v>
      </c>
      <c r="E540" s="27" t="n">
        <f>IF(OR(NOT(ISNUMBER(L540)),COUNT(M540:O540)&lt;&gt;3,MIN(M540:O540)&lt;0),"",ROUNDUP(ROUND(BI540-SUM(M540:O540),10),0))</f>
        <v>0</v>
      </c>
      <c r="F540" s="28"/>
      <c r="G540" s="28" t="n">
        <f>IF(AND(ISNUMBER(D540),ISNUMBER(E540)),IF(OR(E540&lt;=0,L540=0),0,E540-D540),"")</f>
        <v>0</v>
      </c>
      <c r="H540" s="16" t="str">
        <f>IF(NOT(ISNUMBER(E540)),"销量或海外库存待补",IF(OR(E540&lt;=0,L540=0),IF(L540=0,"零日销，本批不发","本批无需补货"),IF(NOT(ISNUMBER(D540)),"国内库存待补",IF(D540=0,"国内无可用库存",IF(G540&gt;0,"先发国内现货","按建议量发货")))))</f>
        <v>零日销，本批不发</v>
      </c>
      <c r="I540" s="28" t="n">
        <f>IF(AND(COUNT(Z540,AA540,AB540)=3,Z540&gt;=AA540,AA540&gt;=0,AB540=7),Z540-AA540,"")</f>
        <v>0</v>
      </c>
      <c r="J540" s="28" t="n">
        <f>IF(AND(COUNT(AF540,AG540,AH540)=3,AF540&gt;=AG540,AG540&gt;=0,AH540=14),AF540-AG540,"")</f>
        <v>0</v>
      </c>
      <c r="K540" s="28" t="n">
        <f>IF(AND(COUNT(AL540,AM540,AN540)=3,AL540&gt;=AM540,AM540&gt;=0,AN540=30),AL540-AM540,"")</f>
        <v>0</v>
      </c>
      <c r="L540" s="29" t="n">
        <f>IF(ISNUMBER(BI540),BI540/90,"")</f>
        <v>0</v>
      </c>
      <c r="M540" s="28" t="n">
        <v>0</v>
      </c>
      <c r="N540" s="28" t="n">
        <v>0</v>
      </c>
      <c r="O540" s="28" t="n">
        <v>0</v>
      </c>
      <c r="P540" s="30" t="str">
        <f>IF(AND(ISNUMBER(L540),L540&gt;0,COUNT(M540:O540)=3,MIN(M540:O540)&gt;=0),SUM(M540:O540)/L540,"")</f>
      </c>
      <c r="Q540" s="16" t="str">
        <v>沿用同SPU原计划店铺</v>
      </c>
      <c r="R540" s="16" t="str">
        <v>未匹配</v>
      </c>
      <c r="S540" s="16" t="str">
        <v>停售</v>
      </c>
      <c r="T540" s="16" t="str">
        <v>1S01</v>
      </c>
      <c r="U540" s="16" t="str">
        <v>黑白蛇纹</v>
      </c>
      <c r="V540" s="16" t="n">
        <v>9.5</v>
      </c>
      <c r="W540" s="8" t="str">
        <v>2026-10-08 至 2026-10-17</v>
      </c>
      <c r="X540" s="8" t="str">
        <v>2026-10-08、2026-10-09、2026-10-10、2026-10-11、2026-10-14、2026-10-15、2026-10-17</v>
      </c>
      <c r="Y540" s="8" t="str">
        <v>2026-10-12 有记录的停售日；2026-10-13 有记录的停售日；2026-10-16 有记录的停售日</v>
      </c>
      <c r="Z540" s="8" t="n">
        <v>0</v>
      </c>
      <c r="AA540" s="8" t="n">
        <v>0</v>
      </c>
      <c r="AB540" s="8" t="n">
        <v>7</v>
      </c>
      <c r="AC540" s="8" t="str">
        <v>2026-09-29 至 2026-10-17</v>
      </c>
      <c r="AD540" s="8" t="str">
        <v>2026-09-29、2026-09-30、2026-10-01、2026-10-02、2026-10-03、2026-10-04、2026-10-05、2026-10-08、2026-10-09、2026-10-10、2026-10-11、2026-10-14、2026-10-15、2026-10-17</v>
      </c>
      <c r="AE540" s="8" t="str">
        <v>2026-10-06 大促；2026-10-07 大促；2026-10-12 有记录的停售日；2026-10-13 有记录的停售日；2026-10-16 有记录的停售日</v>
      </c>
      <c r="AF540" s="8" t="n">
        <v>0</v>
      </c>
      <c r="AG540" s="8" t="n">
        <v>0</v>
      </c>
      <c r="AH540" s="8" t="n">
        <v>14</v>
      </c>
      <c r="AI540" s="8" t="str">
        <v>2026-09-13 至 2026-10-17</v>
      </c>
      <c r="AJ54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0" s="8" t="str">
        <v>2026-10-06 大促；2026-10-07 大促；2026-10-12 有记录的停售日；2026-10-13 有记录的停售日；2026-10-16 有记录的停售日</v>
      </c>
      <c r="AL540" s="8" t="n">
        <v>0</v>
      </c>
      <c r="AM540" s="8" t="n">
        <v>0</v>
      </c>
      <c r="AN540" s="8" t="n">
        <v>30</v>
      </c>
      <c r="AO540" s="8" t="str">
        <v>1S01 / 黑白蛇纹PU / 6574</v>
      </c>
      <c r="AP540" s="11" t="n">
        <v>0.8729500662042875</v>
      </c>
      <c r="AQ540" s="11" t="n">
        <v>0.9355747145678367</v>
      </c>
      <c r="AR540" s="11" t="n">
        <v>1.135973589331194</v>
      </c>
      <c r="AS540" s="11" t="n">
        <f>IF(AND(COUNT(I540:K540,AP540:AR540)=6,MIN(AP540:AR540)&gt;0),I540/7/AP540*0.5+J540/14/AQ540*0.3+K540/30/AR540*0.2,"")</f>
        <v>0</v>
      </c>
      <c r="AT540" s="8" t="n">
        <v>0</v>
      </c>
      <c r="AU540" s="8" t="n">
        <v>0</v>
      </c>
      <c r="AV540" s="8" t="n">
        <v>85</v>
      </c>
      <c r="AW540" s="11" t="n">
        <f>IF(AND(COUNT(AT540:AV540)=3,AT540&gt;=AU540,AU540&gt;=0,AV540&gt;0),(AT540-AU540)/AV540,"")</f>
        <v>0</v>
      </c>
      <c r="AX540" s="8" t="n">
        <v>0</v>
      </c>
      <c r="AY540" s="8" t="n">
        <v>0</v>
      </c>
      <c r="AZ540" s="8" t="n">
        <v>175</v>
      </c>
      <c r="BA540" s="11" t="n">
        <f>IF(AND(COUNT(AX540:AZ540)=3,AX540&gt;=AY540,AY540&gt;=0,AZ540&gt;0),(AX540-AY540)/AZ540,"")</f>
        <v>0</v>
      </c>
      <c r="BB540" s="8" t="n">
        <f>IF(COUNT(AS540,AW540,BA540)=3,1,0)</f>
        <v>1</v>
      </c>
      <c r="BC540" s="11" t="n">
        <f>IF(SUMIF($AO$11:$AO$1309,AO540,$BB$11:$BB$1309)=COUNTIF($AO$11:$AO$1309,AO540),SUMIF($AO$11:$AO$1309,AO540,$AS$11:$AS$1309),"")</f>
        <v>0.5210763310255071</v>
      </c>
      <c r="BD540" s="11" t="n">
        <f>IF(SUMIF($AO$11:$AO$1309,AO540,$BB$11:$BB$1309)=COUNTIF($AO$11:$AO$1309,AO540),SUMIF($AO$11:$AO$1309,AO540,$AW$11:$AW$1309),"")</f>
        <v>0.36363636363636365</v>
      </c>
      <c r="BE540" s="11" t="n">
        <f>IF(SUMIF($AO$11:$AO$1309,AO540,$BB$11:$BB$1309)=COUNTIF($AO$11:$AO$1309,AO540),SUMIF($AO$11:$AO$1309,AO540,$BA$11:$BA$1309),"")</f>
        <v>0.3207062600321028</v>
      </c>
      <c r="BF540" s="12" t="n">
        <f>IF(COUNT(BD540:BE540)&lt;&gt;2,"",IF(AND(BD540&gt;0,BE540&gt;0),0.7*AW540/BD540+0.3*BA540/BE540,IF(BD540&gt;0,AW540/BD540,IF(BE540&gt;0,BA540/BE540,IF(AND(ISNUMBER(BH540),BH540=0),0,"")))))</f>
        <v>0</v>
      </c>
      <c r="BG540" s="11" t="n">
        <f>IF(AND(COUNT(BN540:BU540)=8,MIN(BN540:BU540)&gt;=0),SUMPRODUCT(BN540:BQ540,BR540:BU540),"")</f>
        <v>63.935996265425516</v>
      </c>
      <c r="BH540" s="11" t="n">
        <f>IF(COUNT(BC540,BG540)=2,BC540*BG540,"")</f>
        <v>33.31553435444845</v>
      </c>
      <c r="BI540" s="11" t="n">
        <f>IF(ISNUMBER(CI540),CI540,"")</f>
        <v>0</v>
      </c>
      <c r="BJ540" s="8" t="str">
        <v>近180天本色销量65双（＜90），无有效新采购，请运营判断</v>
      </c>
      <c r="BK540" s="8" t="str">
        <v>90天：2026-07-20 至 2026-10-17；180天：2026-04-21 至 2026-10-17</v>
      </c>
      <c r="BL540" s="8" t="str">
        <v>90天：2026-10-06、2026-10-07、2026-10-12、2026-10-13、2026-10-16；180天：2026-10-06、2026-10-07、2026-10-12、2026-10-13、2026-10-16</v>
      </c>
      <c r="BM540" s="8" t="str">
        <v>2026-10：12天 × 0.8729500662042875；2026-11：30天 × 0.8057375774163482；2026-12：31天 × 0.532550303142279；2027-01：17天 × 0.7517299265337036</v>
      </c>
      <c r="BN540" s="11" t="n">
        <v>0.8729500662042875</v>
      </c>
      <c r="BO540" s="11" t="n">
        <v>0.8057375774163482</v>
      </c>
      <c r="BP540" s="11" t="n">
        <v>0.532550303142279</v>
      </c>
      <c r="BQ540" s="11" t="n">
        <v>0.7517299265337036</v>
      </c>
      <c r="BR540" s="8" t="n">
        <v>12</v>
      </c>
      <c r="BS540" s="8" t="n">
        <v>30</v>
      </c>
      <c r="BT540" s="8" t="n">
        <v>31</v>
      </c>
      <c r="BU540" s="8" t="n">
        <v>17</v>
      </c>
      <c r="BV540" s="11" t="n">
        <f>IF(COUNT(BC540,BF540)=2,BC540*BF540,"")</f>
        <v>0</v>
      </c>
      <c r="BW540" s="11" t="n">
        <f>IF(ISNUMBER(BN540),BN540,"")</f>
        <v>0.8729500662042875</v>
      </c>
      <c r="BX540" s="14" t="n">
        <f>IF(ISNUMBER(BR540),BR540,"")</f>
        <v>12</v>
      </c>
      <c r="BY540" s="13" t="n">
        <f>IF(AND(COUNT(BV540,BW540,BX540)=3,MIN(BV540,BW540,BX540)&gt;=0),BV540*BW540*BX540,"")</f>
        <v>0</v>
      </c>
      <c r="BZ540" s="11" t="n">
        <f>IF(ISNUMBER(BO540),BO540,"")</f>
        <v>0.8057375774163482</v>
      </c>
      <c r="CA540" s="14" t="n">
        <f>IF(ISNUMBER(BS540),BS540,"")</f>
        <v>30</v>
      </c>
      <c r="CB540" s="13" t="n">
        <f>IF(AND(COUNT(BV540,BZ540,CA540)=3,MIN(BV540,BZ540,CA540)&gt;=0),BV540*BZ540*CA540,"")</f>
        <v>0</v>
      </c>
      <c r="CC540" s="11" t="n">
        <f>IF(ISNUMBER(BP540),BP540,"")</f>
        <v>0.532550303142279</v>
      </c>
      <c r="CD540" s="14" t="n">
        <f>IF(ISNUMBER(BT540),BT540,"")</f>
        <v>31</v>
      </c>
      <c r="CE540" s="13" t="n">
        <f>IF(AND(COUNT(BV540,CC540,CD540)=3,MIN(BV540,CC540,CD540)&gt;=0),BV540*CC540*CD540,"")</f>
        <v>0</v>
      </c>
      <c r="CF540" s="11" t="n">
        <f>IF(ISNUMBER(BQ540),BQ540,"")</f>
        <v>0.7517299265337036</v>
      </c>
      <c r="CG540" s="14" t="n">
        <f>IF(ISNUMBER(BU540),BU540,"")</f>
        <v>17</v>
      </c>
      <c r="CH540" s="13" t="n">
        <f>IF(AND(COUNT(BV540,CF540,CG540)=3,MIN(BV540,CF540,CG540)&gt;=0),BV540*CF540*CG540,"")</f>
        <v>0</v>
      </c>
      <c r="CI540" s="13" t="n">
        <f>IF(COUNT(BY540,CB540,CE540,CH540)=4,SUM(BY540,CB540,CE540,CH540),"")</f>
        <v>0</v>
      </c>
    </row>
    <row r="541" ht="72" customHeight="1">
      <c r="A541" s="16" t="str">
        <v>1S01-SP-41</v>
      </c>
      <c r="B541" s="16" t="str">
        <v>3店-SANDIEX-US</v>
      </c>
      <c r="C541" s="16" t="str">
        <v>徐新怡</v>
      </c>
      <c r="D541" s="26" t="n">
        <f>IF(NOT(ISNUMBER(E541)),"",IF(OR(E541&lt;=0,L541=0),0,IF(OR(NOT(ISNUMBER(F541)),F541&lt;0),"",MIN(E541,INT(F541)))))</f>
        <v>0</v>
      </c>
      <c r="E541" s="27" t="n">
        <f>IF(OR(NOT(ISNUMBER(L541)),COUNT(M541:O541)&lt;&gt;3,MIN(M541:O541)&lt;0),"",ROUNDUP(ROUND(BI541-SUM(M541:O541),10),0))</f>
        <v>0</v>
      </c>
      <c r="F541" s="28" t="n">
        <v>20</v>
      </c>
      <c r="G541" s="28" t="n">
        <f>IF(AND(ISNUMBER(D541),ISNUMBER(E541)),IF(OR(E541&lt;=0,L541=0),0,E541-D541),"")</f>
        <v>0</v>
      </c>
      <c r="H541" s="16" t="str">
        <f>IF(NOT(ISNUMBER(E541)),"销量或海外库存待补",IF(OR(E541&lt;=0,L541=0),IF(L541=0,"零日销，本批不发","本批无需补货"),IF(NOT(ISNUMBER(D541)),"国内库存待补",IF(D541=0,"国内无可用库存",IF(G541&gt;0,"先发国内现货","按建议量发货")))))</f>
        <v>零日销，本批不发</v>
      </c>
      <c r="I541" s="28" t="n">
        <f>IF(AND(COUNT(Z541,AA541,AB541)=3,Z541&gt;=AA541,AA541&gt;=0,AB541=7),Z541-AA541,"")</f>
        <v>0</v>
      </c>
      <c r="J541" s="28" t="n">
        <f>IF(AND(COUNT(AF541,AG541,AH541)=3,AF541&gt;=AG541,AG541&gt;=0,AH541=14),AF541-AG541,"")</f>
        <v>0</v>
      </c>
      <c r="K541" s="28" t="n">
        <f>IF(AND(COUNT(AL541,AM541,AN541)=3,AL541&gt;=AM541,AM541&gt;=0,AN541=30),AL541-AM541,"")</f>
        <v>0</v>
      </c>
      <c r="L541" s="29" t="n">
        <f>IF(ISNUMBER(BI541),BI541/90,"")</f>
        <v>0</v>
      </c>
      <c r="M541" s="28" t="n">
        <v>0</v>
      </c>
      <c r="N541" s="28" t="n">
        <v>0</v>
      </c>
      <c r="O541" s="28" t="n">
        <v>0</v>
      </c>
      <c r="P541" s="30" t="str">
        <f>IF(AND(ISNUMBER(L541),L541&gt;0,COUNT(M541:O541)=3,MIN(M541:O541)&gt;=0),SUM(M541:O541)/L541,"")</f>
      </c>
      <c r="Q541" s="16" t="str">
        <v>沿用原计划SKU店铺</v>
      </c>
      <c r="R541" s="16" t="str">
        <v>已匹配</v>
      </c>
      <c r="S541" s="16" t="str">
        <v>停售</v>
      </c>
      <c r="T541" s="16" t="str">
        <v>1S01</v>
      </c>
      <c r="U541" s="16" t="str">
        <v>黑白蛇纹</v>
      </c>
      <c r="V541" s="16" t="n">
        <v>10</v>
      </c>
      <c r="W541" s="8" t="str">
        <v>2026-10-08 至 2026-10-17</v>
      </c>
      <c r="X541" s="8" t="str">
        <v>2026-10-08、2026-10-09、2026-10-10、2026-10-11、2026-10-14、2026-10-15、2026-10-17</v>
      </c>
      <c r="Y541" s="8" t="str">
        <v>2026-10-12 有记录的停售日；2026-10-13 有记录的停售日；2026-10-16 有记录的停售日</v>
      </c>
      <c r="Z541" s="8" t="n">
        <v>0</v>
      </c>
      <c r="AA541" s="8" t="n">
        <v>0</v>
      </c>
      <c r="AB541" s="8" t="n">
        <v>7</v>
      </c>
      <c r="AC541" s="8" t="str">
        <v>2026-09-29 至 2026-10-17</v>
      </c>
      <c r="AD541" s="8" t="str">
        <v>2026-09-29、2026-09-30、2026-10-01、2026-10-02、2026-10-03、2026-10-04、2026-10-05、2026-10-08、2026-10-09、2026-10-10、2026-10-11、2026-10-14、2026-10-15、2026-10-17</v>
      </c>
      <c r="AE541" s="8" t="str">
        <v>2026-10-06 大促；2026-10-07 大促；2026-10-12 有记录的停售日；2026-10-13 有记录的停售日；2026-10-16 有记录的停售日</v>
      </c>
      <c r="AF541" s="8" t="n">
        <v>0</v>
      </c>
      <c r="AG541" s="8" t="n">
        <v>0</v>
      </c>
      <c r="AH541" s="8" t="n">
        <v>14</v>
      </c>
      <c r="AI541" s="8" t="str">
        <v>2026-09-13 至 2026-10-17</v>
      </c>
      <c r="AJ54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1" s="8" t="str">
        <v>2026-10-06 大促；2026-10-07 大促；2026-10-12 有记录的停售日；2026-10-13 有记录的停售日；2026-10-16 有记录的停售日</v>
      </c>
      <c r="AL541" s="8" t="n">
        <v>0</v>
      </c>
      <c r="AM541" s="8" t="n">
        <v>0</v>
      </c>
      <c r="AN541" s="8" t="n">
        <v>30</v>
      </c>
      <c r="AO541" s="8" t="str">
        <v>1S01 / 黑白蛇纹PU / 6574</v>
      </c>
      <c r="AP541" s="11" t="n">
        <v>0.8729500662042875</v>
      </c>
      <c r="AQ541" s="11" t="n">
        <v>0.9355747145678367</v>
      </c>
      <c r="AR541" s="11" t="n">
        <v>1.135973589331194</v>
      </c>
      <c r="AS541" s="11" t="n">
        <f>IF(AND(COUNT(I541:K541,AP541:AR541)=6,MIN(AP541:AR541)&gt;0),I541/7/AP541*0.5+J541/14/AQ541*0.3+K541/30/AR541*0.2,"")</f>
        <v>0</v>
      </c>
      <c r="AT541" s="8" t="n">
        <v>0</v>
      </c>
      <c r="AU541" s="8" t="n">
        <v>0</v>
      </c>
      <c r="AV541" s="8" t="n">
        <v>85</v>
      </c>
      <c r="AW541" s="11" t="n">
        <f>IF(AND(COUNT(AT541:AV541)=3,AT541&gt;=AU541,AU541&gt;=0,AV541&gt;0),(AT541-AU541)/AV541,"")</f>
        <v>0</v>
      </c>
      <c r="AX541" s="8" t="n">
        <v>0</v>
      </c>
      <c r="AY541" s="8" t="n">
        <v>0</v>
      </c>
      <c r="AZ541" s="8" t="n">
        <v>175</v>
      </c>
      <c r="BA541" s="11" t="n">
        <f>IF(AND(COUNT(AX541:AZ541)=3,AX541&gt;=AY541,AY541&gt;=0,AZ541&gt;0),(AX541-AY541)/AZ541,"")</f>
        <v>0</v>
      </c>
      <c r="BB541" s="8" t="n">
        <f>IF(COUNT(AS541,AW541,BA541)=3,1,0)</f>
        <v>1</v>
      </c>
      <c r="BC541" s="11" t="n">
        <f>IF(SUMIF($AO$11:$AO$1309,AO541,$BB$11:$BB$1309)=COUNTIF($AO$11:$AO$1309,AO541),SUMIF($AO$11:$AO$1309,AO541,$AS$11:$AS$1309),"")</f>
        <v>0.5210763310255071</v>
      </c>
      <c r="BD541" s="11" t="n">
        <f>IF(SUMIF($AO$11:$AO$1309,AO541,$BB$11:$BB$1309)=COUNTIF($AO$11:$AO$1309,AO541),SUMIF($AO$11:$AO$1309,AO541,$AW$11:$AW$1309),"")</f>
        <v>0.36363636363636365</v>
      </c>
      <c r="BE541" s="11" t="n">
        <f>IF(SUMIF($AO$11:$AO$1309,AO541,$BB$11:$BB$1309)=COUNTIF($AO$11:$AO$1309,AO541),SUMIF($AO$11:$AO$1309,AO541,$BA$11:$BA$1309),"")</f>
        <v>0.3207062600321028</v>
      </c>
      <c r="BF541" s="12" t="n">
        <f>IF(COUNT(BD541:BE541)&lt;&gt;2,"",IF(AND(BD541&gt;0,BE541&gt;0),0.7*AW541/BD541+0.3*BA541/BE541,IF(BD541&gt;0,AW541/BD541,IF(BE541&gt;0,BA541/BE541,IF(AND(ISNUMBER(BH541),BH541=0),0,"")))))</f>
        <v>0</v>
      </c>
      <c r="BG541" s="11" t="n">
        <f>IF(AND(COUNT(BN541:BU541)=8,MIN(BN541:BU541)&gt;=0),SUMPRODUCT(BN541:BQ541,BR541:BU541),"")</f>
        <v>63.935996265425516</v>
      </c>
      <c r="BH541" s="11" t="n">
        <f>IF(COUNT(BC541,BG541)=2,BC541*BG541,"")</f>
        <v>33.31553435444845</v>
      </c>
      <c r="BI541" s="11" t="n">
        <f>IF(ISNUMBER(CI541),CI541,"")</f>
        <v>0</v>
      </c>
      <c r="BJ541" s="8" t="str">
        <v>近180天本色销量65双（＜90），无有效新采购，请运营判断</v>
      </c>
      <c r="BK541" s="8" t="str">
        <v>90天：2026-07-20 至 2026-10-17；180天：2026-04-21 至 2026-10-17</v>
      </c>
      <c r="BL541" s="8" t="str">
        <v>90天：2026-10-06、2026-10-07、2026-10-12、2026-10-13、2026-10-16；180天：2026-10-06、2026-10-07、2026-10-12、2026-10-13、2026-10-16</v>
      </c>
      <c r="BM541" s="8" t="str">
        <v>2026-10：12天 × 0.8729500662042875；2026-11：30天 × 0.8057375774163482；2026-12：31天 × 0.532550303142279；2027-01：17天 × 0.7517299265337036</v>
      </c>
      <c r="BN541" s="11" t="n">
        <v>0.8729500662042875</v>
      </c>
      <c r="BO541" s="11" t="n">
        <v>0.8057375774163482</v>
      </c>
      <c r="BP541" s="11" t="n">
        <v>0.532550303142279</v>
      </c>
      <c r="BQ541" s="11" t="n">
        <v>0.7517299265337036</v>
      </c>
      <c r="BR541" s="8" t="n">
        <v>12</v>
      </c>
      <c r="BS541" s="8" t="n">
        <v>30</v>
      </c>
      <c r="BT541" s="8" t="n">
        <v>31</v>
      </c>
      <c r="BU541" s="8" t="n">
        <v>17</v>
      </c>
      <c r="BV541" s="11" t="n">
        <f>IF(COUNT(BC541,BF541)=2,BC541*BF541,"")</f>
        <v>0</v>
      </c>
      <c r="BW541" s="11" t="n">
        <f>IF(ISNUMBER(BN541),BN541,"")</f>
        <v>0.8729500662042875</v>
      </c>
      <c r="BX541" s="14" t="n">
        <f>IF(ISNUMBER(BR541),BR541,"")</f>
        <v>12</v>
      </c>
      <c r="BY541" s="13" t="n">
        <f>IF(AND(COUNT(BV541,BW541,BX541)=3,MIN(BV541,BW541,BX541)&gt;=0),BV541*BW541*BX541,"")</f>
        <v>0</v>
      </c>
      <c r="BZ541" s="11" t="n">
        <f>IF(ISNUMBER(BO541),BO541,"")</f>
        <v>0.8057375774163482</v>
      </c>
      <c r="CA541" s="14" t="n">
        <f>IF(ISNUMBER(BS541),BS541,"")</f>
        <v>30</v>
      </c>
      <c r="CB541" s="13" t="n">
        <f>IF(AND(COUNT(BV541,BZ541,CA541)=3,MIN(BV541,BZ541,CA541)&gt;=0),BV541*BZ541*CA541,"")</f>
        <v>0</v>
      </c>
      <c r="CC541" s="11" t="n">
        <f>IF(ISNUMBER(BP541),BP541,"")</f>
        <v>0.532550303142279</v>
      </c>
      <c r="CD541" s="14" t="n">
        <f>IF(ISNUMBER(BT541),BT541,"")</f>
        <v>31</v>
      </c>
      <c r="CE541" s="13" t="n">
        <f>IF(AND(COUNT(BV541,CC541,CD541)=3,MIN(BV541,CC541,CD541)&gt;=0),BV541*CC541*CD541,"")</f>
        <v>0</v>
      </c>
      <c r="CF541" s="11" t="n">
        <f>IF(ISNUMBER(BQ541),BQ541,"")</f>
        <v>0.7517299265337036</v>
      </c>
      <c r="CG541" s="14" t="n">
        <f>IF(ISNUMBER(BU541),BU541,"")</f>
        <v>17</v>
      </c>
      <c r="CH541" s="13" t="n">
        <f>IF(AND(COUNT(BV541,CF541,CG541)=3,MIN(BV541,CF541,CG541)&gt;=0),BV541*CF541*CG541,"")</f>
        <v>0</v>
      </c>
      <c r="CI541" s="13" t="n">
        <f>IF(COUNT(BY541,CB541,CE541,CH541)=4,SUM(BY541,CB541,CE541,CH541),"")</f>
        <v>0</v>
      </c>
    </row>
    <row r="542" ht="72" customHeight="1">
      <c r="A542" s="16" t="str">
        <v>1S01-SP-41.5</v>
      </c>
      <c r="B542" s="16" t="str">
        <v>3店-SANDIEX-US</v>
      </c>
      <c r="C542" s="16" t="str">
        <v>徐新怡</v>
      </c>
      <c r="D542" s="26" t="n">
        <f>IF(NOT(ISNUMBER(E542)),"",IF(OR(E542&lt;=0,L542=0),0,IF(OR(NOT(ISNUMBER(F542)),F542&lt;0),"",MIN(E542,INT(F542)))))</f>
        <v>0</v>
      </c>
      <c r="E542" s="27" t="n">
        <f>IF(OR(NOT(ISNUMBER(L542)),COUNT(M542:O542)&lt;&gt;3,MIN(M542:O542)&lt;0),"",ROUNDUP(ROUND(BI542-SUM(M542:O542),10),0))</f>
        <v>0</v>
      </c>
      <c r="F542" s="28" t="n">
        <v>0</v>
      </c>
      <c r="G542" s="28" t="n">
        <f>IF(AND(ISNUMBER(D542),ISNUMBER(E542)),IF(OR(E542&lt;=0,L542=0),0,E542-D542),"")</f>
        <v>0</v>
      </c>
      <c r="H542" s="16" t="str">
        <f>IF(NOT(ISNUMBER(E542)),"销量或海外库存待补",IF(OR(E542&lt;=0,L542=0),IF(L542=0,"零日销，本批不发","本批无需补货"),IF(NOT(ISNUMBER(D542)),"国内库存待补",IF(D542=0,"国内无可用库存",IF(G542&gt;0,"先发国内现货","按建议量发货")))))</f>
        <v>零日销，本批不发</v>
      </c>
      <c r="I542" s="28" t="n">
        <f>IF(AND(COUNT(Z542,AA542,AB542)=3,Z542&gt;=AA542,AA542&gt;=0,AB542=7),Z542-AA542,"")</f>
        <v>0</v>
      </c>
      <c r="J542" s="28" t="n">
        <f>IF(AND(COUNT(AF542,AG542,AH542)=3,AF542&gt;=AG542,AG542&gt;=0,AH542=14),AF542-AG542,"")</f>
        <v>0</v>
      </c>
      <c r="K542" s="28" t="n">
        <f>IF(AND(COUNT(AL542,AM542,AN542)=3,AL542&gt;=AM542,AM542&gt;=0,AN542=30),AL542-AM542,"")</f>
        <v>0</v>
      </c>
      <c r="L542" s="29" t="n">
        <f>IF(ISNUMBER(BI542),BI542/90,"")</f>
        <v>0</v>
      </c>
      <c r="M542" s="28" t="n">
        <v>0</v>
      </c>
      <c r="N542" s="28" t="n">
        <v>0</v>
      </c>
      <c r="O542" s="28" t="n">
        <v>0</v>
      </c>
      <c r="P542" s="30" t="str">
        <f>IF(AND(ISNUMBER(L542),L542&gt;0,COUNT(M542:O542)=3,MIN(M542:O542)&gt;=0),SUM(M542:O542)/L542,"")</f>
      </c>
      <c r="Q542" s="16" t="str">
        <v>沿用同SPU原计划店铺</v>
      </c>
      <c r="R542" s="16" t="str">
        <v>已匹配</v>
      </c>
      <c r="S542" s="16" t="str">
        <v>停售</v>
      </c>
      <c r="T542" s="16" t="str">
        <v>1S01</v>
      </c>
      <c r="U542" s="16" t="str">
        <v>黑白蛇纹</v>
      </c>
      <c r="V542" s="16" t="n">
        <v>10.5</v>
      </c>
      <c r="W542" s="8" t="str">
        <v>2026-10-08 至 2026-10-17</v>
      </c>
      <c r="X542" s="8" t="str">
        <v>2026-10-08、2026-10-09、2026-10-10、2026-10-11、2026-10-14、2026-10-15、2026-10-17</v>
      </c>
      <c r="Y542" s="8" t="str">
        <v>2026-10-12 有记录的停售日；2026-10-13 有记录的停售日；2026-10-16 有记录的停售日</v>
      </c>
      <c r="Z542" s="8" t="n">
        <v>0</v>
      </c>
      <c r="AA542" s="8" t="n">
        <v>0</v>
      </c>
      <c r="AB542" s="8" t="n">
        <v>7</v>
      </c>
      <c r="AC542" s="8" t="str">
        <v>2026-09-29 至 2026-10-17</v>
      </c>
      <c r="AD542" s="8" t="str">
        <v>2026-09-29、2026-09-30、2026-10-01、2026-10-02、2026-10-03、2026-10-04、2026-10-05、2026-10-08、2026-10-09、2026-10-10、2026-10-11、2026-10-14、2026-10-15、2026-10-17</v>
      </c>
      <c r="AE542" s="8" t="str">
        <v>2026-10-06 大促；2026-10-07 大促；2026-10-12 有记录的停售日；2026-10-13 有记录的停售日；2026-10-16 有记录的停售日</v>
      </c>
      <c r="AF542" s="8" t="n">
        <v>0</v>
      </c>
      <c r="AG542" s="8" t="n">
        <v>0</v>
      </c>
      <c r="AH542" s="8" t="n">
        <v>14</v>
      </c>
      <c r="AI542" s="8" t="str">
        <v>2026-09-13 至 2026-10-17</v>
      </c>
      <c r="AJ54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2" s="8" t="str">
        <v>2026-10-06 大促；2026-10-07 大促；2026-10-12 有记录的停售日；2026-10-13 有记录的停售日；2026-10-16 有记录的停售日</v>
      </c>
      <c r="AL542" s="8" t="n">
        <v>0</v>
      </c>
      <c r="AM542" s="8" t="n">
        <v>0</v>
      </c>
      <c r="AN542" s="8" t="n">
        <v>30</v>
      </c>
      <c r="AO542" s="8" t="str">
        <v>1S01 / 黑白蛇纹PU / 6574</v>
      </c>
      <c r="AP542" s="11" t="n">
        <v>0.8729500662042875</v>
      </c>
      <c r="AQ542" s="11" t="n">
        <v>0.9355747145678367</v>
      </c>
      <c r="AR542" s="11" t="n">
        <v>1.135973589331194</v>
      </c>
      <c r="AS542" s="11" t="n">
        <f>IF(AND(COUNT(I542:K542,AP542:AR542)=6,MIN(AP542:AR542)&gt;0),I542/7/AP542*0.5+J542/14/AQ542*0.3+K542/30/AR542*0.2,"")</f>
        <v>0</v>
      </c>
      <c r="AT542" s="8" t="n">
        <v>0</v>
      </c>
      <c r="AU542" s="8" t="n">
        <v>0</v>
      </c>
      <c r="AV542" s="8" t="n">
        <v>85</v>
      </c>
      <c r="AW542" s="11" t="n">
        <f>IF(AND(COUNT(AT542:AV542)=3,AT542&gt;=AU542,AU542&gt;=0,AV542&gt;0),(AT542-AU542)/AV542,"")</f>
        <v>0</v>
      </c>
      <c r="AX542" s="8" t="n">
        <v>0</v>
      </c>
      <c r="AY542" s="8" t="n">
        <v>0</v>
      </c>
      <c r="AZ542" s="8" t="n">
        <v>175</v>
      </c>
      <c r="BA542" s="11" t="n">
        <f>IF(AND(COUNT(AX542:AZ542)=3,AX542&gt;=AY542,AY542&gt;=0,AZ542&gt;0),(AX542-AY542)/AZ542,"")</f>
        <v>0</v>
      </c>
      <c r="BB542" s="8" t="n">
        <f>IF(COUNT(AS542,AW542,BA542)=3,1,0)</f>
        <v>1</v>
      </c>
      <c r="BC542" s="11" t="n">
        <f>IF(SUMIF($AO$11:$AO$1309,AO542,$BB$11:$BB$1309)=COUNTIF($AO$11:$AO$1309,AO542),SUMIF($AO$11:$AO$1309,AO542,$AS$11:$AS$1309),"")</f>
        <v>0.5210763310255071</v>
      </c>
      <c r="BD542" s="11" t="n">
        <f>IF(SUMIF($AO$11:$AO$1309,AO542,$BB$11:$BB$1309)=COUNTIF($AO$11:$AO$1309,AO542),SUMIF($AO$11:$AO$1309,AO542,$AW$11:$AW$1309),"")</f>
        <v>0.36363636363636365</v>
      </c>
      <c r="BE542" s="11" t="n">
        <f>IF(SUMIF($AO$11:$AO$1309,AO542,$BB$11:$BB$1309)=COUNTIF($AO$11:$AO$1309,AO542),SUMIF($AO$11:$AO$1309,AO542,$BA$11:$BA$1309),"")</f>
        <v>0.3207062600321028</v>
      </c>
      <c r="BF542" s="12" t="n">
        <f>IF(COUNT(BD542:BE542)&lt;&gt;2,"",IF(AND(BD542&gt;0,BE542&gt;0),0.7*AW542/BD542+0.3*BA542/BE542,IF(BD542&gt;0,AW542/BD542,IF(BE542&gt;0,BA542/BE542,IF(AND(ISNUMBER(BH542),BH542=0),0,"")))))</f>
        <v>0</v>
      </c>
      <c r="BG542" s="11" t="n">
        <f>IF(AND(COUNT(BN542:BU542)=8,MIN(BN542:BU542)&gt;=0),SUMPRODUCT(BN542:BQ542,BR542:BU542),"")</f>
        <v>63.935996265425516</v>
      </c>
      <c r="BH542" s="11" t="n">
        <f>IF(COUNT(BC542,BG542)=2,BC542*BG542,"")</f>
        <v>33.31553435444845</v>
      </c>
      <c r="BI542" s="11" t="n">
        <f>IF(ISNUMBER(CI542),CI542,"")</f>
        <v>0</v>
      </c>
      <c r="BJ542" s="8" t="str">
        <v>近180天本色销量65双（＜90），无有效新采购，请运营判断</v>
      </c>
      <c r="BK542" s="8" t="str">
        <v>90天：2026-07-20 至 2026-10-17；180天：2026-04-21 至 2026-10-17</v>
      </c>
      <c r="BL542" s="8" t="str">
        <v>90天：2026-10-06、2026-10-07、2026-10-12、2026-10-13、2026-10-16；180天：2026-10-06、2026-10-07、2026-10-12、2026-10-13、2026-10-16</v>
      </c>
      <c r="BM542" s="8" t="str">
        <v>2026-10：12天 × 0.8729500662042875；2026-11：30天 × 0.8057375774163482；2026-12：31天 × 0.532550303142279；2027-01：17天 × 0.7517299265337036</v>
      </c>
      <c r="BN542" s="11" t="n">
        <v>0.8729500662042875</v>
      </c>
      <c r="BO542" s="11" t="n">
        <v>0.8057375774163482</v>
      </c>
      <c r="BP542" s="11" t="n">
        <v>0.532550303142279</v>
      </c>
      <c r="BQ542" s="11" t="n">
        <v>0.7517299265337036</v>
      </c>
      <c r="BR542" s="8" t="n">
        <v>12</v>
      </c>
      <c r="BS542" s="8" t="n">
        <v>30</v>
      </c>
      <c r="BT542" s="8" t="n">
        <v>31</v>
      </c>
      <c r="BU542" s="8" t="n">
        <v>17</v>
      </c>
      <c r="BV542" s="11" t="n">
        <f>IF(COUNT(BC542,BF542)=2,BC542*BF542,"")</f>
        <v>0</v>
      </c>
      <c r="BW542" s="11" t="n">
        <f>IF(ISNUMBER(BN542),BN542,"")</f>
        <v>0.8729500662042875</v>
      </c>
      <c r="BX542" s="14" t="n">
        <f>IF(ISNUMBER(BR542),BR542,"")</f>
        <v>12</v>
      </c>
      <c r="BY542" s="13" t="n">
        <f>IF(AND(COUNT(BV542,BW542,BX542)=3,MIN(BV542,BW542,BX542)&gt;=0),BV542*BW542*BX542,"")</f>
        <v>0</v>
      </c>
      <c r="BZ542" s="11" t="n">
        <f>IF(ISNUMBER(BO542),BO542,"")</f>
        <v>0.8057375774163482</v>
      </c>
      <c r="CA542" s="14" t="n">
        <f>IF(ISNUMBER(BS542),BS542,"")</f>
        <v>30</v>
      </c>
      <c r="CB542" s="13" t="n">
        <f>IF(AND(COUNT(BV542,BZ542,CA542)=3,MIN(BV542,BZ542,CA542)&gt;=0),BV542*BZ542*CA542,"")</f>
        <v>0</v>
      </c>
      <c r="CC542" s="11" t="n">
        <f>IF(ISNUMBER(BP542),BP542,"")</f>
        <v>0.532550303142279</v>
      </c>
      <c r="CD542" s="14" t="n">
        <f>IF(ISNUMBER(BT542),BT542,"")</f>
        <v>31</v>
      </c>
      <c r="CE542" s="13" t="n">
        <f>IF(AND(COUNT(BV542,CC542,CD542)=3,MIN(BV542,CC542,CD542)&gt;=0),BV542*CC542*CD542,"")</f>
        <v>0</v>
      </c>
      <c r="CF542" s="11" t="n">
        <f>IF(ISNUMBER(BQ542),BQ542,"")</f>
        <v>0.7517299265337036</v>
      </c>
      <c r="CG542" s="14" t="n">
        <f>IF(ISNUMBER(BU542),BU542,"")</f>
        <v>17</v>
      </c>
      <c r="CH542" s="13" t="n">
        <f>IF(AND(COUNT(BV542,CF542,CG542)=3,MIN(BV542,CF542,CG542)&gt;=0),BV542*CF542*CG542,"")</f>
        <v>0</v>
      </c>
      <c r="CI542" s="13" t="n">
        <f>IF(COUNT(BY542,CB542,CE542,CH542)=4,SUM(BY542,CB542,CE542,CH542),"")</f>
        <v>0</v>
      </c>
    </row>
    <row r="543" ht="72" customHeight="1">
      <c r="A543" s="16" t="str">
        <v>1S01-TAN-36</v>
      </c>
      <c r="B543" s="16" t="str">
        <v>3店-SANDIEX-US</v>
      </c>
      <c r="C543" s="16" t="str">
        <v>徐新怡</v>
      </c>
      <c r="D543" s="26" t="n">
        <f>IF(NOT(ISNUMBER(E543)),"",IF(OR(E543&lt;=0,L543=0),0,IF(OR(NOT(ISNUMBER(F543)),F543&lt;0),"",MIN(E543,INT(F543)))))</f>
        <v>0</v>
      </c>
      <c r="E543" s="27" t="n">
        <f>IF(OR(NOT(ISNUMBER(L543)),COUNT(M543:O543)&lt;&gt;3,MIN(M543:O543)&lt;0),"",ROUNDUP(ROUND(BI543-SUM(M543:O543),10),0))</f>
        <v>0</v>
      </c>
      <c r="F543" s="28"/>
      <c r="G543" s="28" t="n">
        <f>IF(AND(ISNUMBER(D543),ISNUMBER(E543)),IF(OR(E543&lt;=0,L543=0),0,E543-D543),"")</f>
        <v>0</v>
      </c>
      <c r="H543" s="16" t="str">
        <f>IF(NOT(ISNUMBER(E543)),"销量或海外库存待补",IF(OR(E543&lt;=0,L543=0),IF(L543=0,"零日销，本批不发","本批无需补货"),IF(NOT(ISNUMBER(D543)),"国内库存待补",IF(D543=0,"国内无可用库存",IF(G543&gt;0,"先发国内现货","按建议量发货")))))</f>
        <v>零日销，本批不发</v>
      </c>
      <c r="I543" s="28" t="n">
        <f>IF(AND(COUNT(Z543,AA543,AB543)=3,Z543&gt;=AA543,AA543&gt;=0,AB543=7),Z543-AA543,"")</f>
        <v>0</v>
      </c>
      <c r="J543" s="28" t="n">
        <f>IF(AND(COUNT(AF543,AG543,AH543)=3,AF543&gt;=AG543,AG543&gt;=0,AH543=14),AF543-AG543,"")</f>
        <v>0</v>
      </c>
      <c r="K543" s="28" t="n">
        <f>IF(AND(COUNT(AL543,AM543,AN543)=3,AL543&gt;=AM543,AM543&gt;=0,AN543=30),AL543-AM543,"")</f>
        <v>0</v>
      </c>
      <c r="L543" s="29" t="n">
        <f>IF(ISNUMBER(BI543),BI543/90,"")</f>
        <v>0</v>
      </c>
      <c r="M543" s="28" t="n">
        <v>0</v>
      </c>
      <c r="N543" s="28" t="n">
        <v>0</v>
      </c>
      <c r="O543" s="28" t="n">
        <v>0</v>
      </c>
      <c r="P543" s="30" t="str">
        <f>IF(AND(ISNUMBER(L543),L543&gt;0,COUNT(M543:O543)=3,MIN(M543:O543)&gt;=0),SUM(M543:O543)/L543,"")</f>
      </c>
      <c r="Q543" s="16" t="str">
        <v>沿用同SPU原计划店铺</v>
      </c>
      <c r="R543" s="16" t="str">
        <v>未匹配</v>
      </c>
      <c r="S543" s="16" t="str">
        <v>停售</v>
      </c>
      <c r="T543" s="16" t="str">
        <v>1S01</v>
      </c>
      <c r="U543" s="16" t="str">
        <v>驼色</v>
      </c>
      <c r="V543" s="16" t="n">
        <v>5</v>
      </c>
      <c r="W543" s="8" t="str">
        <v>2026-10-08 至 2026-10-17</v>
      </c>
      <c r="X543" s="8" t="str">
        <v>2026-10-08、2026-10-09、2026-10-10、2026-10-11、2026-10-14、2026-10-15、2026-10-17</v>
      </c>
      <c r="Y543" s="8" t="str">
        <v>2026-10-12 有记录的停售日；2026-10-13 有记录的停售日；2026-10-16 有记录的停售日</v>
      </c>
      <c r="Z543" s="8" t="n">
        <v>0</v>
      </c>
      <c r="AA543" s="8" t="n">
        <v>0</v>
      </c>
      <c r="AB543" s="8" t="n">
        <v>7</v>
      </c>
      <c r="AC543" s="8" t="str">
        <v>2026-09-29 至 2026-10-17</v>
      </c>
      <c r="AD543" s="8" t="str">
        <v>2026-09-29、2026-09-30、2026-10-01、2026-10-02、2026-10-03、2026-10-04、2026-10-05、2026-10-08、2026-10-09、2026-10-10、2026-10-11、2026-10-14、2026-10-15、2026-10-17</v>
      </c>
      <c r="AE543" s="8" t="str">
        <v>2026-10-06 大促；2026-10-07 大促；2026-10-12 有记录的停售日；2026-10-13 有记录的停售日；2026-10-16 有记录的停售日</v>
      </c>
      <c r="AF543" s="8" t="n">
        <v>0</v>
      </c>
      <c r="AG543" s="8" t="n">
        <v>0</v>
      </c>
      <c r="AH543" s="8" t="n">
        <v>14</v>
      </c>
      <c r="AI543" s="8" t="str">
        <v>2026-09-13 至 2026-10-17</v>
      </c>
      <c r="AJ54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3" s="8" t="str">
        <v>2026-10-06 大促；2026-10-07 大促；2026-10-12 有记录的停售日；2026-10-13 有记录的停售日；2026-10-16 有记录的停售日</v>
      </c>
      <c r="AL543" s="8" t="n">
        <v>0</v>
      </c>
      <c r="AM543" s="8" t="n">
        <v>0</v>
      </c>
      <c r="AN543" s="8" t="n">
        <v>30</v>
      </c>
      <c r="AO543" s="8" t="str">
        <v>1S01 / 驼色PU / 6574</v>
      </c>
      <c r="AP543" s="11" t="n">
        <v>0.8729500662042875</v>
      </c>
      <c r="AQ543" s="11" t="n">
        <v>0.9355747145678367</v>
      </c>
      <c r="AR543" s="11" t="n">
        <v>1.135973589331194</v>
      </c>
      <c r="AS543" s="11" t="n">
        <f>IF(AND(COUNT(I543:K543,AP543:AR543)=6,MIN(AP543:AR543)&gt;0),I543/7/AP543*0.5+J543/14/AQ543*0.3+K543/30/AR543*0.2,"")</f>
        <v>0</v>
      </c>
      <c r="AT543" s="8" t="n">
        <v>0</v>
      </c>
      <c r="AU543" s="8" t="n">
        <v>0</v>
      </c>
      <c r="AV543" s="8" t="n">
        <v>85</v>
      </c>
      <c r="AW543" s="11" t="n">
        <f>IF(AND(COUNT(AT543:AV543)=3,AT543&gt;=AU543,AU543&gt;=0,AV543&gt;0),(AT543-AU543)/AV543,"")</f>
        <v>0</v>
      </c>
      <c r="AX543" s="8" t="n">
        <v>0</v>
      </c>
      <c r="AY543" s="8" t="n">
        <v>0</v>
      </c>
      <c r="AZ543" s="8" t="n">
        <v>175</v>
      </c>
      <c r="BA543" s="11" t="n">
        <f>IF(AND(COUNT(AX543:AZ543)=3,AX543&gt;=AY543,AY543&gt;=0,AZ543&gt;0),(AX543-AY543)/AZ543,"")</f>
        <v>0</v>
      </c>
      <c r="BB543" s="8" t="n">
        <f>IF(COUNT(AS543,AW543,BA543)=3,1,0)</f>
        <v>1</v>
      </c>
      <c r="BC543" s="11" t="n">
        <f>IF(SUMIF($AO$11:$AO$1309,AO543,$BB$11:$BB$1309)=COUNTIF($AO$11:$AO$1309,AO543),SUMIF($AO$11:$AO$1309,AO543,$AS$11:$AS$1309),"")</f>
        <v>0.006104243994186601</v>
      </c>
      <c r="BD543" s="11" t="n">
        <f>IF(SUMIF($AO$11:$AO$1309,AO543,$BB$11:$BB$1309)=COUNTIF($AO$11:$AO$1309,AO543),SUMIF($AO$11:$AO$1309,AO543,$AW$11:$AW$1309),"")</f>
        <v>0.03409090909090909</v>
      </c>
      <c r="BE543" s="11" t="n">
        <f>IF(SUMIF($AO$11:$AO$1309,AO543,$BB$11:$BB$1309)=COUNTIF($AO$11:$AO$1309,AO543),SUMIF($AO$11:$AO$1309,AO543,$BA$11:$BA$1309),"")</f>
        <v>0.11951845906902087</v>
      </c>
      <c r="BF543" s="12" t="n">
        <f>IF(COUNT(BD543:BE543)&lt;&gt;2,"",IF(AND(BD543&gt;0,BE543&gt;0),0.7*AW543/BD543+0.3*BA543/BE543,IF(BD543&gt;0,AW543/BD543,IF(BE543&gt;0,BA543/BE543,IF(AND(ISNUMBER(BH543),BH543=0),0,"")))))</f>
        <v>0</v>
      </c>
      <c r="BG543" s="11" t="n">
        <f>IF(AND(COUNT(BN543:BU543)=8,MIN(BN543:BU543)&gt;=0),SUMPRODUCT(BN543:BQ543,BR543:BU543),"")</f>
        <v>63.935996265425516</v>
      </c>
      <c r="BH543" s="11" t="n">
        <f>IF(COUNT(BC543,BG543)=2,BC543*BG543,"")</f>
        <v>0.39028092121556063</v>
      </c>
      <c r="BI543" s="11" t="n">
        <f>IF(ISNUMBER(CI543),CI543,"")</f>
        <v>0</v>
      </c>
      <c r="BJ543" s="8" t="str"/>
      <c r="BK543" s="8" t="str">
        <v>90天：2026-07-20 至 2026-10-17；180天：2026-04-21 至 2026-10-17</v>
      </c>
      <c r="BL543" s="8" t="str">
        <v>90天：2026-10-06、2026-10-07、2026-10-12、2026-10-13、2026-10-16；180天：2026-10-06、2026-10-07、2026-10-12、2026-10-13、2026-10-16</v>
      </c>
      <c r="BM543" s="8" t="str">
        <v>2026-10：12天 × 0.8729500662042875；2026-11：30天 × 0.8057375774163482；2026-12：31天 × 0.532550303142279；2027-01：17天 × 0.7517299265337036</v>
      </c>
      <c r="BN543" s="11" t="n">
        <v>0.8729500662042875</v>
      </c>
      <c r="BO543" s="11" t="n">
        <v>0.8057375774163482</v>
      </c>
      <c r="BP543" s="11" t="n">
        <v>0.532550303142279</v>
      </c>
      <c r="BQ543" s="11" t="n">
        <v>0.7517299265337036</v>
      </c>
      <c r="BR543" s="8" t="n">
        <v>12</v>
      </c>
      <c r="BS543" s="8" t="n">
        <v>30</v>
      </c>
      <c r="BT543" s="8" t="n">
        <v>31</v>
      </c>
      <c r="BU543" s="8" t="n">
        <v>17</v>
      </c>
      <c r="BV543" s="11" t="n">
        <f>IF(COUNT(BC543,BF543)=2,BC543*BF543,"")</f>
        <v>0</v>
      </c>
      <c r="BW543" s="11" t="n">
        <f>IF(ISNUMBER(BN543),BN543,"")</f>
        <v>0.8729500662042875</v>
      </c>
      <c r="BX543" s="14" t="n">
        <f>IF(ISNUMBER(BR543),BR543,"")</f>
        <v>12</v>
      </c>
      <c r="BY543" s="13" t="n">
        <f>IF(AND(COUNT(BV543,BW543,BX543)=3,MIN(BV543,BW543,BX543)&gt;=0),BV543*BW543*BX543,"")</f>
        <v>0</v>
      </c>
      <c r="BZ543" s="11" t="n">
        <f>IF(ISNUMBER(BO543),BO543,"")</f>
        <v>0.8057375774163482</v>
      </c>
      <c r="CA543" s="14" t="n">
        <f>IF(ISNUMBER(BS543),BS543,"")</f>
        <v>30</v>
      </c>
      <c r="CB543" s="13" t="n">
        <f>IF(AND(COUNT(BV543,BZ543,CA543)=3,MIN(BV543,BZ543,CA543)&gt;=0),BV543*BZ543*CA543,"")</f>
        <v>0</v>
      </c>
      <c r="CC543" s="11" t="n">
        <f>IF(ISNUMBER(BP543),BP543,"")</f>
        <v>0.532550303142279</v>
      </c>
      <c r="CD543" s="14" t="n">
        <f>IF(ISNUMBER(BT543),BT543,"")</f>
        <v>31</v>
      </c>
      <c r="CE543" s="13" t="n">
        <f>IF(AND(COUNT(BV543,CC543,CD543)=3,MIN(BV543,CC543,CD543)&gt;=0),BV543*CC543*CD543,"")</f>
        <v>0</v>
      </c>
      <c r="CF543" s="11" t="n">
        <f>IF(ISNUMBER(BQ543),BQ543,"")</f>
        <v>0.7517299265337036</v>
      </c>
      <c r="CG543" s="14" t="n">
        <f>IF(ISNUMBER(BU543),BU543,"")</f>
        <v>17</v>
      </c>
      <c r="CH543" s="13" t="n">
        <f>IF(AND(COUNT(BV543,CF543,CG543)=3,MIN(BV543,CF543,CG543)&gt;=0),BV543*CF543*CG543,"")</f>
        <v>0</v>
      </c>
      <c r="CI543" s="13" t="n">
        <f>IF(COUNT(BY543,CB543,CE543,CH543)=4,SUM(BY543,CB543,CE543,CH543),"")</f>
        <v>0</v>
      </c>
    </row>
    <row r="544" ht="72" customHeight="1">
      <c r="A544" s="16" t="str">
        <v>1S01-TAN-37</v>
      </c>
      <c r="B544" s="16" t="str">
        <v>3店-SANDIEX-US</v>
      </c>
      <c r="C544" s="16" t="str">
        <v>徐新怡</v>
      </c>
      <c r="D544" s="26" t="n">
        <f>IF(NOT(ISNUMBER(E544)),"",IF(OR(E544&lt;=0,L544=0),0,IF(OR(NOT(ISNUMBER(F544)),F544&lt;0),"",MIN(E544,INT(F544)))))</f>
        <v>0</v>
      </c>
      <c r="E544" s="27" t="n">
        <f>IF(OR(NOT(ISNUMBER(L544)),COUNT(M544:O544)&lt;&gt;3,MIN(M544:O544)&lt;0),"",ROUNDUP(ROUND(BI544-SUM(M544:O544),10),0))</f>
        <v>0</v>
      </c>
      <c r="F544" s="28" t="n">
        <v>0</v>
      </c>
      <c r="G544" s="28" t="n">
        <f>IF(AND(ISNUMBER(D544),ISNUMBER(E544)),IF(OR(E544&lt;=0,L544=0),0,E544-D544),"")</f>
        <v>0</v>
      </c>
      <c r="H544" s="16" t="str">
        <f>IF(NOT(ISNUMBER(E544)),"销量或海外库存待补",IF(OR(E544&lt;=0,L544=0),IF(L544=0,"零日销，本批不发","本批无需补货"),IF(NOT(ISNUMBER(D544)),"国内库存待补",IF(D544=0,"国内无可用库存",IF(G544&gt;0,"先发国内现货","按建议量发货")))))</f>
        <v>零日销，本批不发</v>
      </c>
      <c r="I544" s="28" t="n">
        <f>IF(AND(COUNT(Z544,AA544,AB544)=3,Z544&gt;=AA544,AA544&gt;=0,AB544=7),Z544-AA544,"")</f>
        <v>0</v>
      </c>
      <c r="J544" s="28" t="n">
        <f>IF(AND(COUNT(AF544,AG544,AH544)=3,AF544&gt;=AG544,AG544&gt;=0,AH544=14),AF544-AG544,"")</f>
        <v>0</v>
      </c>
      <c r="K544" s="28" t="n">
        <f>IF(AND(COUNT(AL544,AM544,AN544)=3,AL544&gt;=AM544,AM544&gt;=0,AN544=30),AL544-AM544,"")</f>
        <v>0</v>
      </c>
      <c r="L544" s="29" t="n">
        <f>IF(ISNUMBER(BI544),BI544/90,"")</f>
        <v>0</v>
      </c>
      <c r="M544" s="28" t="n">
        <v>0</v>
      </c>
      <c r="N544" s="28" t="n">
        <v>0</v>
      </c>
      <c r="O544" s="28" t="n">
        <v>0</v>
      </c>
      <c r="P544" s="30" t="str">
        <f>IF(AND(ISNUMBER(L544),L544&gt;0,COUNT(M544:O544)=3,MIN(M544:O544)&gt;=0),SUM(M544:O544)/L544,"")</f>
      </c>
      <c r="Q544" s="16" t="str">
        <v>沿用原计划SKU店铺</v>
      </c>
      <c r="R544" s="16" t="str">
        <v>已匹配</v>
      </c>
      <c r="S544" s="16" t="str">
        <v>停售</v>
      </c>
      <c r="T544" s="16" t="str">
        <v>1S01</v>
      </c>
      <c r="U544" s="16" t="str">
        <v>驼色</v>
      </c>
      <c r="V544" s="16" t="n">
        <v>6</v>
      </c>
      <c r="W544" s="8" t="str">
        <v>2026-10-08 至 2026-10-17</v>
      </c>
      <c r="X544" s="8" t="str">
        <v>2026-10-08、2026-10-09、2026-10-10、2026-10-11、2026-10-14、2026-10-15、2026-10-17</v>
      </c>
      <c r="Y544" s="8" t="str">
        <v>2026-10-12 有记录的停售日；2026-10-13 有记录的停售日；2026-10-16 有记录的停售日</v>
      </c>
      <c r="Z544" s="8" t="n">
        <v>0</v>
      </c>
      <c r="AA544" s="8" t="n">
        <v>0</v>
      </c>
      <c r="AB544" s="8" t="n">
        <v>7</v>
      </c>
      <c r="AC544" s="8" t="str">
        <v>2026-09-29 至 2026-10-17</v>
      </c>
      <c r="AD544" s="8" t="str">
        <v>2026-09-29、2026-09-30、2026-10-01、2026-10-02、2026-10-03、2026-10-04、2026-10-05、2026-10-08、2026-10-09、2026-10-10、2026-10-11、2026-10-14、2026-10-15、2026-10-17</v>
      </c>
      <c r="AE544" s="8" t="str">
        <v>2026-10-06 大促；2026-10-07 大促；2026-10-12 有记录的停售日；2026-10-13 有记录的停售日；2026-10-16 有记录的停售日</v>
      </c>
      <c r="AF544" s="8" t="n">
        <v>0</v>
      </c>
      <c r="AG544" s="8" t="n">
        <v>0</v>
      </c>
      <c r="AH544" s="8" t="n">
        <v>14</v>
      </c>
      <c r="AI544" s="8" t="str">
        <v>2026-09-13 至 2026-10-17</v>
      </c>
      <c r="AJ54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4" s="8" t="str">
        <v>2026-10-06 大促；2026-10-07 大促；2026-10-12 有记录的停售日；2026-10-13 有记录的停售日；2026-10-16 有记录的停售日</v>
      </c>
      <c r="AL544" s="8" t="n">
        <v>0</v>
      </c>
      <c r="AM544" s="8" t="n">
        <v>0</v>
      </c>
      <c r="AN544" s="8" t="n">
        <v>30</v>
      </c>
      <c r="AO544" s="8" t="str">
        <v>1S01 / 驼色PU / 6574</v>
      </c>
      <c r="AP544" s="11" t="n">
        <v>0.8729500662042875</v>
      </c>
      <c r="AQ544" s="11" t="n">
        <v>0.9355747145678367</v>
      </c>
      <c r="AR544" s="11" t="n">
        <v>1.135973589331194</v>
      </c>
      <c r="AS544" s="11" t="n">
        <f>IF(AND(COUNT(I544:K544,AP544:AR544)=6,MIN(AP544:AR544)&gt;0),I544/7/AP544*0.5+J544/14/AQ544*0.3+K544/30/AR544*0.2,"")</f>
        <v>0</v>
      </c>
      <c r="AT544" s="8" t="n">
        <v>0</v>
      </c>
      <c r="AU544" s="8" t="n">
        <v>0</v>
      </c>
      <c r="AV544" s="8" t="n">
        <v>85</v>
      </c>
      <c r="AW544" s="11" t="n">
        <f>IF(AND(COUNT(AT544:AV544)=3,AT544&gt;=AU544,AU544&gt;=0,AV544&gt;0),(AT544-AU544)/AV544,"")</f>
        <v>0</v>
      </c>
      <c r="AX544" s="8" t="n">
        <v>0</v>
      </c>
      <c r="AY544" s="8" t="n">
        <v>0</v>
      </c>
      <c r="AZ544" s="8" t="n">
        <v>175</v>
      </c>
      <c r="BA544" s="11" t="n">
        <f>IF(AND(COUNT(AX544:AZ544)=3,AX544&gt;=AY544,AY544&gt;=0,AZ544&gt;0),(AX544-AY544)/AZ544,"")</f>
        <v>0</v>
      </c>
      <c r="BB544" s="8" t="n">
        <f>IF(COUNT(AS544,AW544,BA544)=3,1,0)</f>
        <v>1</v>
      </c>
      <c r="BC544" s="11" t="n">
        <f>IF(SUMIF($AO$11:$AO$1309,AO544,$BB$11:$BB$1309)=COUNTIF($AO$11:$AO$1309,AO544),SUMIF($AO$11:$AO$1309,AO544,$AS$11:$AS$1309),"")</f>
        <v>0.006104243994186601</v>
      </c>
      <c r="BD544" s="11" t="n">
        <f>IF(SUMIF($AO$11:$AO$1309,AO544,$BB$11:$BB$1309)=COUNTIF($AO$11:$AO$1309,AO544),SUMIF($AO$11:$AO$1309,AO544,$AW$11:$AW$1309),"")</f>
        <v>0.03409090909090909</v>
      </c>
      <c r="BE544" s="11" t="n">
        <f>IF(SUMIF($AO$11:$AO$1309,AO544,$BB$11:$BB$1309)=COUNTIF($AO$11:$AO$1309,AO544),SUMIF($AO$11:$AO$1309,AO544,$BA$11:$BA$1309),"")</f>
        <v>0.11951845906902087</v>
      </c>
      <c r="BF544" s="12" t="n">
        <f>IF(COUNT(BD544:BE544)&lt;&gt;2,"",IF(AND(BD544&gt;0,BE544&gt;0),0.7*AW544/BD544+0.3*BA544/BE544,IF(BD544&gt;0,AW544/BD544,IF(BE544&gt;0,BA544/BE544,IF(AND(ISNUMBER(BH544),BH544=0),0,"")))))</f>
        <v>0</v>
      </c>
      <c r="BG544" s="11" t="n">
        <f>IF(AND(COUNT(BN544:BU544)=8,MIN(BN544:BU544)&gt;=0),SUMPRODUCT(BN544:BQ544,BR544:BU544),"")</f>
        <v>63.935996265425516</v>
      </c>
      <c r="BH544" s="11" t="n">
        <f>IF(COUNT(BC544,BG544)=2,BC544*BG544,"")</f>
        <v>0.39028092121556063</v>
      </c>
      <c r="BI544" s="11" t="n">
        <f>IF(ISNUMBER(CI544),CI544,"")</f>
        <v>0</v>
      </c>
      <c r="BJ544" s="8" t="str"/>
      <c r="BK544" s="8" t="str">
        <v>90天：2026-07-20 至 2026-10-17；180天：2026-04-21 至 2026-10-17</v>
      </c>
      <c r="BL544" s="8" t="str">
        <v>90天：2026-10-06、2026-10-07、2026-10-12、2026-10-13、2026-10-16；180天：2026-10-06、2026-10-07、2026-10-12、2026-10-13、2026-10-16</v>
      </c>
      <c r="BM544" s="8" t="str">
        <v>2026-10：12天 × 0.8729500662042875；2026-11：30天 × 0.8057375774163482；2026-12：31天 × 0.532550303142279；2027-01：17天 × 0.7517299265337036</v>
      </c>
      <c r="BN544" s="11" t="n">
        <v>0.8729500662042875</v>
      </c>
      <c r="BO544" s="11" t="n">
        <v>0.8057375774163482</v>
      </c>
      <c r="BP544" s="11" t="n">
        <v>0.532550303142279</v>
      </c>
      <c r="BQ544" s="11" t="n">
        <v>0.7517299265337036</v>
      </c>
      <c r="BR544" s="8" t="n">
        <v>12</v>
      </c>
      <c r="BS544" s="8" t="n">
        <v>30</v>
      </c>
      <c r="BT544" s="8" t="n">
        <v>31</v>
      </c>
      <c r="BU544" s="8" t="n">
        <v>17</v>
      </c>
      <c r="BV544" s="11" t="n">
        <f>IF(COUNT(BC544,BF544)=2,BC544*BF544,"")</f>
        <v>0</v>
      </c>
      <c r="BW544" s="11" t="n">
        <f>IF(ISNUMBER(BN544),BN544,"")</f>
        <v>0.8729500662042875</v>
      </c>
      <c r="BX544" s="14" t="n">
        <f>IF(ISNUMBER(BR544),BR544,"")</f>
        <v>12</v>
      </c>
      <c r="BY544" s="13" t="n">
        <f>IF(AND(COUNT(BV544,BW544,BX544)=3,MIN(BV544,BW544,BX544)&gt;=0),BV544*BW544*BX544,"")</f>
        <v>0</v>
      </c>
      <c r="BZ544" s="11" t="n">
        <f>IF(ISNUMBER(BO544),BO544,"")</f>
        <v>0.8057375774163482</v>
      </c>
      <c r="CA544" s="14" t="n">
        <f>IF(ISNUMBER(BS544),BS544,"")</f>
        <v>30</v>
      </c>
      <c r="CB544" s="13" t="n">
        <f>IF(AND(COUNT(BV544,BZ544,CA544)=3,MIN(BV544,BZ544,CA544)&gt;=0),BV544*BZ544*CA544,"")</f>
        <v>0</v>
      </c>
      <c r="CC544" s="11" t="n">
        <f>IF(ISNUMBER(BP544),BP544,"")</f>
        <v>0.532550303142279</v>
      </c>
      <c r="CD544" s="14" t="n">
        <f>IF(ISNUMBER(BT544),BT544,"")</f>
        <v>31</v>
      </c>
      <c r="CE544" s="13" t="n">
        <f>IF(AND(COUNT(BV544,CC544,CD544)=3,MIN(BV544,CC544,CD544)&gt;=0),BV544*CC544*CD544,"")</f>
        <v>0</v>
      </c>
      <c r="CF544" s="11" t="n">
        <f>IF(ISNUMBER(BQ544),BQ544,"")</f>
        <v>0.7517299265337036</v>
      </c>
      <c r="CG544" s="14" t="n">
        <f>IF(ISNUMBER(BU544),BU544,"")</f>
        <v>17</v>
      </c>
      <c r="CH544" s="13" t="n">
        <f>IF(AND(COUNT(BV544,CF544,CG544)=3,MIN(BV544,CF544,CG544)&gt;=0),BV544*CF544*CG544,"")</f>
        <v>0</v>
      </c>
      <c r="CI544" s="13" t="n">
        <f>IF(COUNT(BY544,CB544,CE544,CH544)=4,SUM(BY544,CB544,CE544,CH544),"")</f>
        <v>0</v>
      </c>
    </row>
    <row r="545" ht="72" customHeight="1">
      <c r="A545" s="16" t="str">
        <v>1S01-TAN-38</v>
      </c>
      <c r="B545" s="16" t="str">
        <v>3店-SANDIEX-US</v>
      </c>
      <c r="C545" s="16" t="str">
        <v>徐新怡</v>
      </c>
      <c r="D545" s="26" t="n">
        <f>IF(NOT(ISNUMBER(E545)),"",IF(OR(E545&lt;=0,L545=0),0,IF(OR(NOT(ISNUMBER(F545)),F545&lt;0),"",MIN(E545,INT(F545)))))</f>
        <v>0</v>
      </c>
      <c r="E545" s="27" t="n">
        <f>IF(OR(NOT(ISNUMBER(L545)),COUNT(M545:O545)&lt;&gt;3,MIN(M545:O545)&lt;0),"",ROUNDUP(ROUND(BI545-SUM(M545:O545),10),0))</f>
        <v>0</v>
      </c>
      <c r="F545" s="28" t="n">
        <v>0</v>
      </c>
      <c r="G545" s="28" t="n">
        <f>IF(AND(ISNUMBER(D545),ISNUMBER(E545)),IF(OR(E545&lt;=0,L545=0),0,E545-D545),"")</f>
        <v>0</v>
      </c>
      <c r="H545" s="16" t="str">
        <f>IF(NOT(ISNUMBER(E545)),"销量或海外库存待补",IF(OR(E545&lt;=0,L545=0),IF(L545=0,"零日销，本批不发","本批无需补货"),IF(NOT(ISNUMBER(D545)),"国内库存待补",IF(D545=0,"国内无可用库存",IF(G545&gt;0,"先发国内现货","按建议量发货")))))</f>
        <v>零日销，本批不发</v>
      </c>
      <c r="I545" s="28" t="n">
        <f>IF(AND(COUNT(Z545,AA545,AB545)=3,Z545&gt;=AA545,AA545&gt;=0,AB545=7),Z545-AA545,"")</f>
        <v>0</v>
      </c>
      <c r="J545" s="28" t="n">
        <f>IF(AND(COUNT(AF545,AG545,AH545)=3,AF545&gt;=AG545,AG545&gt;=0,AH545=14),AF545-AG545,"")</f>
        <v>0</v>
      </c>
      <c r="K545" s="28" t="n">
        <f>IF(AND(COUNT(AL545,AM545,AN545)=3,AL545&gt;=AM545,AM545&gt;=0,AN545=30),AL545-AM545,"")</f>
        <v>0</v>
      </c>
      <c r="L545" s="29" t="n">
        <f>IF(ISNUMBER(BI545),BI545/90,"")</f>
        <v>0</v>
      </c>
      <c r="M545" s="28" t="n">
        <v>0</v>
      </c>
      <c r="N545" s="28" t="n">
        <v>0</v>
      </c>
      <c r="O545" s="28" t="n">
        <v>0</v>
      </c>
      <c r="P545" s="30" t="str">
        <f>IF(AND(ISNUMBER(L545),L545&gt;0,COUNT(M545:O545)=3,MIN(M545:O545)&gt;=0),SUM(M545:O545)/L545,"")</f>
      </c>
      <c r="Q545" s="16" t="str">
        <v>沿用原计划SKU店铺</v>
      </c>
      <c r="R545" s="16" t="str">
        <v>已匹配</v>
      </c>
      <c r="S545" s="16" t="str">
        <v>停售</v>
      </c>
      <c r="T545" s="16" t="str">
        <v>1S01</v>
      </c>
      <c r="U545" s="16" t="str">
        <v>驼色</v>
      </c>
      <c r="V545" s="16" t="n">
        <v>7</v>
      </c>
      <c r="W545" s="8" t="str">
        <v>2026-10-08 至 2026-10-17</v>
      </c>
      <c r="X545" s="8" t="str">
        <v>2026-10-08、2026-10-09、2026-10-10、2026-10-11、2026-10-14、2026-10-15、2026-10-17</v>
      </c>
      <c r="Y545" s="8" t="str">
        <v>2026-10-12 有记录的停售日；2026-10-13 有记录的停售日；2026-10-16 有记录的停售日</v>
      </c>
      <c r="Z545" s="8" t="n">
        <v>0</v>
      </c>
      <c r="AA545" s="8" t="n">
        <v>0</v>
      </c>
      <c r="AB545" s="8" t="n">
        <v>7</v>
      </c>
      <c r="AC545" s="8" t="str">
        <v>2026-09-29 至 2026-10-17</v>
      </c>
      <c r="AD545" s="8" t="str">
        <v>2026-09-29、2026-09-30、2026-10-01、2026-10-02、2026-10-03、2026-10-04、2026-10-05、2026-10-08、2026-10-09、2026-10-10、2026-10-11、2026-10-14、2026-10-15、2026-10-17</v>
      </c>
      <c r="AE545" s="8" t="str">
        <v>2026-10-06 大促；2026-10-07 大促；2026-10-12 有记录的停售日；2026-10-13 有记录的停售日；2026-10-16 有记录的停售日</v>
      </c>
      <c r="AF545" s="8" t="n">
        <v>0</v>
      </c>
      <c r="AG545" s="8" t="n">
        <v>0</v>
      </c>
      <c r="AH545" s="8" t="n">
        <v>14</v>
      </c>
      <c r="AI545" s="8" t="str">
        <v>2026-09-13 至 2026-10-17</v>
      </c>
      <c r="AJ54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5" s="8" t="str">
        <v>2026-10-06 大促；2026-10-07 大促；2026-10-12 有记录的停售日；2026-10-13 有记录的停售日；2026-10-16 有记录的停售日</v>
      </c>
      <c r="AL545" s="8" t="n">
        <v>0</v>
      </c>
      <c r="AM545" s="8" t="n">
        <v>0</v>
      </c>
      <c r="AN545" s="8" t="n">
        <v>30</v>
      </c>
      <c r="AO545" s="8" t="str">
        <v>1S01 / 驼色PU / 6574</v>
      </c>
      <c r="AP545" s="11" t="n">
        <v>0.8729500662042875</v>
      </c>
      <c r="AQ545" s="11" t="n">
        <v>0.9355747145678367</v>
      </c>
      <c r="AR545" s="11" t="n">
        <v>1.135973589331194</v>
      </c>
      <c r="AS545" s="11" t="n">
        <f>IF(AND(COUNT(I545:K545,AP545:AR545)=6,MIN(AP545:AR545)&gt;0),I545/7/AP545*0.5+J545/14/AQ545*0.3+K545/30/AR545*0.2,"")</f>
        <v>0</v>
      </c>
      <c r="AT545" s="8" t="n">
        <v>0</v>
      </c>
      <c r="AU545" s="8" t="n">
        <v>0</v>
      </c>
      <c r="AV545" s="8" t="n">
        <v>85</v>
      </c>
      <c r="AW545" s="11" t="n">
        <f>IF(AND(COUNT(AT545:AV545)=3,AT545&gt;=AU545,AU545&gt;=0,AV545&gt;0),(AT545-AU545)/AV545,"")</f>
        <v>0</v>
      </c>
      <c r="AX545" s="8" t="n">
        <v>0</v>
      </c>
      <c r="AY545" s="8" t="n">
        <v>0</v>
      </c>
      <c r="AZ545" s="8" t="n">
        <v>175</v>
      </c>
      <c r="BA545" s="11" t="n">
        <f>IF(AND(COUNT(AX545:AZ545)=3,AX545&gt;=AY545,AY545&gt;=0,AZ545&gt;0),(AX545-AY545)/AZ545,"")</f>
        <v>0</v>
      </c>
      <c r="BB545" s="8" t="n">
        <f>IF(COUNT(AS545,AW545,BA545)=3,1,0)</f>
        <v>1</v>
      </c>
      <c r="BC545" s="11" t="n">
        <f>IF(SUMIF($AO$11:$AO$1309,AO545,$BB$11:$BB$1309)=COUNTIF($AO$11:$AO$1309,AO545),SUMIF($AO$11:$AO$1309,AO545,$AS$11:$AS$1309),"")</f>
        <v>0.006104243994186601</v>
      </c>
      <c r="BD545" s="11" t="n">
        <f>IF(SUMIF($AO$11:$AO$1309,AO545,$BB$11:$BB$1309)=COUNTIF($AO$11:$AO$1309,AO545),SUMIF($AO$11:$AO$1309,AO545,$AW$11:$AW$1309),"")</f>
        <v>0.03409090909090909</v>
      </c>
      <c r="BE545" s="11" t="n">
        <f>IF(SUMIF($AO$11:$AO$1309,AO545,$BB$11:$BB$1309)=COUNTIF($AO$11:$AO$1309,AO545),SUMIF($AO$11:$AO$1309,AO545,$BA$11:$BA$1309),"")</f>
        <v>0.11951845906902087</v>
      </c>
      <c r="BF545" s="12" t="n">
        <f>IF(COUNT(BD545:BE545)&lt;&gt;2,"",IF(AND(BD545&gt;0,BE545&gt;0),0.7*AW545/BD545+0.3*BA545/BE545,IF(BD545&gt;0,AW545/BD545,IF(BE545&gt;0,BA545/BE545,IF(AND(ISNUMBER(BH545),BH545=0),0,"")))))</f>
        <v>0</v>
      </c>
      <c r="BG545" s="11" t="n">
        <f>IF(AND(COUNT(BN545:BU545)=8,MIN(BN545:BU545)&gt;=0),SUMPRODUCT(BN545:BQ545,BR545:BU545),"")</f>
        <v>63.935996265425516</v>
      </c>
      <c r="BH545" s="11" t="n">
        <f>IF(COUNT(BC545,BG545)=2,BC545*BG545,"")</f>
        <v>0.39028092121556063</v>
      </c>
      <c r="BI545" s="11" t="n">
        <f>IF(ISNUMBER(CI545),CI545,"")</f>
        <v>0</v>
      </c>
      <c r="BJ545" s="8" t="str"/>
      <c r="BK545" s="8" t="str">
        <v>90天：2026-07-20 至 2026-10-17；180天：2026-04-21 至 2026-10-17</v>
      </c>
      <c r="BL545" s="8" t="str">
        <v>90天：2026-10-06、2026-10-07、2026-10-12、2026-10-13、2026-10-16；180天：2026-10-06、2026-10-07、2026-10-12、2026-10-13、2026-10-16</v>
      </c>
      <c r="BM545" s="8" t="str">
        <v>2026-10：12天 × 0.8729500662042875；2026-11：30天 × 0.8057375774163482；2026-12：31天 × 0.532550303142279；2027-01：17天 × 0.7517299265337036</v>
      </c>
      <c r="BN545" s="11" t="n">
        <v>0.8729500662042875</v>
      </c>
      <c r="BO545" s="11" t="n">
        <v>0.8057375774163482</v>
      </c>
      <c r="BP545" s="11" t="n">
        <v>0.532550303142279</v>
      </c>
      <c r="BQ545" s="11" t="n">
        <v>0.7517299265337036</v>
      </c>
      <c r="BR545" s="8" t="n">
        <v>12</v>
      </c>
      <c r="BS545" s="8" t="n">
        <v>30</v>
      </c>
      <c r="BT545" s="8" t="n">
        <v>31</v>
      </c>
      <c r="BU545" s="8" t="n">
        <v>17</v>
      </c>
      <c r="BV545" s="11" t="n">
        <f>IF(COUNT(BC545,BF545)=2,BC545*BF545,"")</f>
        <v>0</v>
      </c>
      <c r="BW545" s="11" t="n">
        <f>IF(ISNUMBER(BN545),BN545,"")</f>
        <v>0.8729500662042875</v>
      </c>
      <c r="BX545" s="14" t="n">
        <f>IF(ISNUMBER(BR545),BR545,"")</f>
        <v>12</v>
      </c>
      <c r="BY545" s="13" t="n">
        <f>IF(AND(COUNT(BV545,BW545,BX545)=3,MIN(BV545,BW545,BX545)&gt;=0),BV545*BW545*BX545,"")</f>
        <v>0</v>
      </c>
      <c r="BZ545" s="11" t="n">
        <f>IF(ISNUMBER(BO545),BO545,"")</f>
        <v>0.8057375774163482</v>
      </c>
      <c r="CA545" s="14" t="n">
        <f>IF(ISNUMBER(BS545),BS545,"")</f>
        <v>30</v>
      </c>
      <c r="CB545" s="13" t="n">
        <f>IF(AND(COUNT(BV545,BZ545,CA545)=3,MIN(BV545,BZ545,CA545)&gt;=0),BV545*BZ545*CA545,"")</f>
        <v>0</v>
      </c>
      <c r="CC545" s="11" t="n">
        <f>IF(ISNUMBER(BP545),BP545,"")</f>
        <v>0.532550303142279</v>
      </c>
      <c r="CD545" s="14" t="n">
        <f>IF(ISNUMBER(BT545),BT545,"")</f>
        <v>31</v>
      </c>
      <c r="CE545" s="13" t="n">
        <f>IF(AND(COUNT(BV545,CC545,CD545)=3,MIN(BV545,CC545,CD545)&gt;=0),BV545*CC545*CD545,"")</f>
        <v>0</v>
      </c>
      <c r="CF545" s="11" t="n">
        <f>IF(ISNUMBER(BQ545),BQ545,"")</f>
        <v>0.7517299265337036</v>
      </c>
      <c r="CG545" s="14" t="n">
        <f>IF(ISNUMBER(BU545),BU545,"")</f>
        <v>17</v>
      </c>
      <c r="CH545" s="13" t="n">
        <f>IF(AND(COUNT(BV545,CF545,CG545)=3,MIN(BV545,CF545,CG545)&gt;=0),BV545*CF545*CG545,"")</f>
        <v>0</v>
      </c>
      <c r="CI545" s="13" t="n">
        <f>IF(COUNT(BY545,CB545,CE545,CH545)=4,SUM(BY545,CB545,CE545,CH545),"")</f>
        <v>0</v>
      </c>
    </row>
    <row r="546" ht="72" customHeight="1">
      <c r="A546" s="16" t="str">
        <v>1S01-TAN-39.5</v>
      </c>
      <c r="B546" s="16" t="str">
        <v>3店-SANDIEX-US</v>
      </c>
      <c r="C546" s="16" t="str">
        <v>徐新怡</v>
      </c>
      <c r="D546" s="26" t="n">
        <f>IF(NOT(ISNUMBER(E546)),"",IF(OR(E546&lt;=0,L546=0),0,IF(OR(NOT(ISNUMBER(F546)),F546&lt;0),"",MIN(E546,INT(F546)))))</f>
        <v>0</v>
      </c>
      <c r="E546" s="27" t="n">
        <f>IF(OR(NOT(ISNUMBER(L546)),COUNT(M546:O546)&lt;&gt;3,MIN(M546:O546)&lt;0),"",ROUNDUP(ROUND(BI546-SUM(M546:O546),10),0))</f>
        <v>0</v>
      </c>
      <c r="F546" s="28" t="n">
        <v>0</v>
      </c>
      <c r="G546" s="28" t="n">
        <f>IF(AND(ISNUMBER(D546),ISNUMBER(E546)),IF(OR(E546&lt;=0,L546=0),0,E546-D546),"")</f>
        <v>0</v>
      </c>
      <c r="H546" s="16" t="str">
        <f>IF(NOT(ISNUMBER(E546)),"销量或海外库存待补",IF(OR(E546&lt;=0,L546=0),IF(L546=0,"零日销，本批不发","本批无需补货"),IF(NOT(ISNUMBER(D546)),"国内库存待补",IF(D546=0,"国内无可用库存",IF(G546&gt;0,"先发国内现货","按建议量发货")))))</f>
        <v>零日销，本批不发</v>
      </c>
      <c r="I546" s="28" t="n">
        <f>IF(AND(COUNT(Z546,AA546,AB546)=3,Z546&gt;=AA546,AA546&gt;=0,AB546=7),Z546-AA546,"")</f>
        <v>0</v>
      </c>
      <c r="J546" s="28" t="n">
        <f>IF(AND(COUNT(AF546,AG546,AH546)=3,AF546&gt;=AG546,AG546&gt;=0,AH546=14),AF546-AG546,"")</f>
        <v>0</v>
      </c>
      <c r="K546" s="28" t="n">
        <f>IF(AND(COUNT(AL546,AM546,AN546)=3,AL546&gt;=AM546,AM546&gt;=0,AN546=30),AL546-AM546,"")</f>
        <v>0</v>
      </c>
      <c r="L546" s="29" t="n">
        <f>IF(ISNUMBER(BI546),BI546/90,"")</f>
        <v>0</v>
      </c>
      <c r="M546" s="28" t="n">
        <v>0</v>
      </c>
      <c r="N546" s="28" t="n">
        <v>0</v>
      </c>
      <c r="O546" s="28" t="n">
        <v>0</v>
      </c>
      <c r="P546" s="30" t="str">
        <f>IF(AND(ISNUMBER(L546),L546&gt;0,COUNT(M546:O546)=3,MIN(M546:O546)&gt;=0),SUM(M546:O546)/L546,"")</f>
      </c>
      <c r="Q546" s="16" t="str">
        <v>沿用同SPU原计划店铺</v>
      </c>
      <c r="R546" s="16" t="str">
        <v>已匹配</v>
      </c>
      <c r="S546" s="16" t="str">
        <v>停售</v>
      </c>
      <c r="T546" s="16" t="str">
        <v>1S01</v>
      </c>
      <c r="U546" s="16" t="str">
        <v>驼色</v>
      </c>
      <c r="V546" s="16" t="n">
        <v>8.5</v>
      </c>
      <c r="W546" s="8" t="str">
        <v>2026-10-08 至 2026-10-17</v>
      </c>
      <c r="X546" s="8" t="str">
        <v>2026-10-08、2026-10-09、2026-10-10、2026-10-11、2026-10-14、2026-10-15、2026-10-17</v>
      </c>
      <c r="Y546" s="8" t="str">
        <v>2026-10-12 有记录的停售日；2026-10-13 有记录的停售日；2026-10-16 有记录的停售日</v>
      </c>
      <c r="Z546" s="8" t="n">
        <v>0</v>
      </c>
      <c r="AA546" s="8" t="n">
        <v>0</v>
      </c>
      <c r="AB546" s="8" t="n">
        <v>7</v>
      </c>
      <c r="AC546" s="8" t="str">
        <v>2026-09-29 至 2026-10-17</v>
      </c>
      <c r="AD546" s="8" t="str">
        <v>2026-09-29、2026-09-30、2026-10-01、2026-10-02、2026-10-03、2026-10-04、2026-10-05、2026-10-08、2026-10-09、2026-10-10、2026-10-11、2026-10-14、2026-10-15、2026-10-17</v>
      </c>
      <c r="AE546" s="8" t="str">
        <v>2026-10-06 大促；2026-10-07 大促；2026-10-12 有记录的停售日；2026-10-13 有记录的停售日；2026-10-16 有记录的停售日</v>
      </c>
      <c r="AF546" s="8" t="n">
        <v>0</v>
      </c>
      <c r="AG546" s="8" t="n">
        <v>0</v>
      </c>
      <c r="AH546" s="8" t="n">
        <v>14</v>
      </c>
      <c r="AI546" s="8" t="str">
        <v>2026-09-13 至 2026-10-17</v>
      </c>
      <c r="AJ54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6" s="8" t="str">
        <v>2026-10-06 大促；2026-10-07 大促；2026-10-12 有记录的停售日；2026-10-13 有记录的停售日；2026-10-16 有记录的停售日</v>
      </c>
      <c r="AL546" s="8" t="n">
        <v>0</v>
      </c>
      <c r="AM546" s="8" t="n">
        <v>0</v>
      </c>
      <c r="AN546" s="8" t="n">
        <v>30</v>
      </c>
      <c r="AO546" s="8" t="str">
        <v>1S01 / 驼色PU / 6574</v>
      </c>
      <c r="AP546" s="11" t="n">
        <v>0.8729500662042875</v>
      </c>
      <c r="AQ546" s="11" t="n">
        <v>0.9355747145678367</v>
      </c>
      <c r="AR546" s="11" t="n">
        <v>1.135973589331194</v>
      </c>
      <c r="AS546" s="11" t="n">
        <f>IF(AND(COUNT(I546:K546,AP546:AR546)=6,MIN(AP546:AR546)&gt;0),I546/7/AP546*0.5+J546/14/AQ546*0.3+K546/30/AR546*0.2,"")</f>
        <v>0</v>
      </c>
      <c r="AT546" s="8" t="n">
        <v>0</v>
      </c>
      <c r="AU546" s="8" t="n">
        <v>0</v>
      </c>
      <c r="AV546" s="8" t="n">
        <v>85</v>
      </c>
      <c r="AW546" s="11" t="n">
        <f>IF(AND(COUNT(AT546:AV546)=3,AT546&gt;=AU546,AU546&gt;=0,AV546&gt;0),(AT546-AU546)/AV546,"")</f>
        <v>0</v>
      </c>
      <c r="AX546" s="8" t="n">
        <v>0</v>
      </c>
      <c r="AY546" s="8" t="n">
        <v>0</v>
      </c>
      <c r="AZ546" s="8" t="n">
        <v>175</v>
      </c>
      <c r="BA546" s="11" t="n">
        <f>IF(AND(COUNT(AX546:AZ546)=3,AX546&gt;=AY546,AY546&gt;=0,AZ546&gt;0),(AX546-AY546)/AZ546,"")</f>
        <v>0</v>
      </c>
      <c r="BB546" s="8" t="n">
        <f>IF(COUNT(AS546,AW546,BA546)=3,1,0)</f>
        <v>1</v>
      </c>
      <c r="BC546" s="11" t="n">
        <f>IF(SUMIF($AO$11:$AO$1309,AO546,$BB$11:$BB$1309)=COUNTIF($AO$11:$AO$1309,AO546),SUMIF($AO$11:$AO$1309,AO546,$AS$11:$AS$1309),"")</f>
        <v>0.006104243994186601</v>
      </c>
      <c r="BD546" s="11" t="n">
        <f>IF(SUMIF($AO$11:$AO$1309,AO546,$BB$11:$BB$1309)=COUNTIF($AO$11:$AO$1309,AO546),SUMIF($AO$11:$AO$1309,AO546,$AW$11:$AW$1309),"")</f>
        <v>0.03409090909090909</v>
      </c>
      <c r="BE546" s="11" t="n">
        <f>IF(SUMIF($AO$11:$AO$1309,AO546,$BB$11:$BB$1309)=COUNTIF($AO$11:$AO$1309,AO546),SUMIF($AO$11:$AO$1309,AO546,$BA$11:$BA$1309),"")</f>
        <v>0.11951845906902087</v>
      </c>
      <c r="BF546" s="12" t="n">
        <f>IF(COUNT(BD546:BE546)&lt;&gt;2,"",IF(AND(BD546&gt;0,BE546&gt;0),0.7*AW546/BD546+0.3*BA546/BE546,IF(BD546&gt;0,AW546/BD546,IF(BE546&gt;0,BA546/BE546,IF(AND(ISNUMBER(BH546),BH546=0),0,"")))))</f>
        <v>0</v>
      </c>
      <c r="BG546" s="11" t="n">
        <f>IF(AND(COUNT(BN546:BU546)=8,MIN(BN546:BU546)&gt;=0),SUMPRODUCT(BN546:BQ546,BR546:BU546),"")</f>
        <v>63.935996265425516</v>
      </c>
      <c r="BH546" s="11" t="n">
        <f>IF(COUNT(BC546,BG546)=2,BC546*BG546,"")</f>
        <v>0.39028092121556063</v>
      </c>
      <c r="BI546" s="11" t="n">
        <f>IF(ISNUMBER(CI546),CI546,"")</f>
        <v>0</v>
      </c>
      <c r="BJ546" s="8" t="str"/>
      <c r="BK546" s="8" t="str">
        <v>90天：2026-07-20 至 2026-10-17；180天：2026-04-21 至 2026-10-17</v>
      </c>
      <c r="BL546" s="8" t="str">
        <v>90天：2026-10-06、2026-10-07、2026-10-12、2026-10-13、2026-10-16；180天：2026-10-06、2026-10-07、2026-10-12、2026-10-13、2026-10-16</v>
      </c>
      <c r="BM546" s="8" t="str">
        <v>2026-10：12天 × 0.8729500662042875；2026-11：30天 × 0.8057375774163482；2026-12：31天 × 0.532550303142279；2027-01：17天 × 0.7517299265337036</v>
      </c>
      <c r="BN546" s="11" t="n">
        <v>0.8729500662042875</v>
      </c>
      <c r="BO546" s="11" t="n">
        <v>0.8057375774163482</v>
      </c>
      <c r="BP546" s="11" t="n">
        <v>0.532550303142279</v>
      </c>
      <c r="BQ546" s="11" t="n">
        <v>0.7517299265337036</v>
      </c>
      <c r="BR546" s="8" t="n">
        <v>12</v>
      </c>
      <c r="BS546" s="8" t="n">
        <v>30</v>
      </c>
      <c r="BT546" s="8" t="n">
        <v>31</v>
      </c>
      <c r="BU546" s="8" t="n">
        <v>17</v>
      </c>
      <c r="BV546" s="11" t="n">
        <f>IF(COUNT(BC546,BF546)=2,BC546*BF546,"")</f>
        <v>0</v>
      </c>
      <c r="BW546" s="11" t="n">
        <f>IF(ISNUMBER(BN546),BN546,"")</f>
        <v>0.8729500662042875</v>
      </c>
      <c r="BX546" s="14" t="n">
        <f>IF(ISNUMBER(BR546),BR546,"")</f>
        <v>12</v>
      </c>
      <c r="BY546" s="13" t="n">
        <f>IF(AND(COUNT(BV546,BW546,BX546)=3,MIN(BV546,BW546,BX546)&gt;=0),BV546*BW546*BX546,"")</f>
        <v>0</v>
      </c>
      <c r="BZ546" s="11" t="n">
        <f>IF(ISNUMBER(BO546),BO546,"")</f>
        <v>0.8057375774163482</v>
      </c>
      <c r="CA546" s="14" t="n">
        <f>IF(ISNUMBER(BS546),BS546,"")</f>
        <v>30</v>
      </c>
      <c r="CB546" s="13" t="n">
        <f>IF(AND(COUNT(BV546,BZ546,CA546)=3,MIN(BV546,BZ546,CA546)&gt;=0),BV546*BZ546*CA546,"")</f>
        <v>0</v>
      </c>
      <c r="CC546" s="11" t="n">
        <f>IF(ISNUMBER(BP546),BP546,"")</f>
        <v>0.532550303142279</v>
      </c>
      <c r="CD546" s="14" t="n">
        <f>IF(ISNUMBER(BT546),BT546,"")</f>
        <v>31</v>
      </c>
      <c r="CE546" s="13" t="n">
        <f>IF(AND(COUNT(BV546,CC546,CD546)=3,MIN(BV546,CC546,CD546)&gt;=0),BV546*CC546*CD546,"")</f>
        <v>0</v>
      </c>
      <c r="CF546" s="11" t="n">
        <f>IF(ISNUMBER(BQ546),BQ546,"")</f>
        <v>0.7517299265337036</v>
      </c>
      <c r="CG546" s="14" t="n">
        <f>IF(ISNUMBER(BU546),BU546,"")</f>
        <v>17</v>
      </c>
      <c r="CH546" s="13" t="n">
        <f>IF(AND(COUNT(BV546,CF546,CG546)=3,MIN(BV546,CF546,CG546)&gt;=0),BV546*CF546*CG546,"")</f>
        <v>0</v>
      </c>
      <c r="CI546" s="13" t="n">
        <f>IF(COUNT(BY546,CB546,CE546,CH546)=4,SUM(BY546,CB546,CE546,CH546),"")</f>
        <v>0</v>
      </c>
    </row>
    <row r="547" ht="72" customHeight="1">
      <c r="A547" s="16" t="str">
        <v>1S01-TAN-40</v>
      </c>
      <c r="B547" s="16" t="str">
        <v>3店-SANDIEX-US</v>
      </c>
      <c r="C547" s="16" t="str">
        <v>徐新怡</v>
      </c>
      <c r="D547" s="26" t="n">
        <f>IF(NOT(ISNUMBER(E547)),"",IF(OR(E547&lt;=0,L547=0),0,IF(OR(NOT(ISNUMBER(F547)),F547&lt;0),"",MIN(E547,INT(F547)))))</f>
        <v>0</v>
      </c>
      <c r="E547" s="27" t="n">
        <f>IF(OR(NOT(ISNUMBER(L547)),COUNT(M547:O547)&lt;&gt;3,MIN(M547:O547)&lt;0),"",ROUNDUP(ROUND(BI547-SUM(M547:O547),10),0))</f>
        <v>0</v>
      </c>
      <c r="F547" s="28" t="n">
        <v>0</v>
      </c>
      <c r="G547" s="28" t="n">
        <f>IF(AND(ISNUMBER(D547),ISNUMBER(E547)),IF(OR(E547&lt;=0,L547=0),0,E547-D547),"")</f>
        <v>0</v>
      </c>
      <c r="H547" s="16" t="str">
        <f>IF(NOT(ISNUMBER(E547)),"销量或海外库存待补",IF(OR(E547&lt;=0,L547=0),IF(L547=0,"零日销，本批不发","本批无需补货"),IF(NOT(ISNUMBER(D547)),"国内库存待补",IF(D547=0,"国内无可用库存",IF(G547&gt;0,"先发国内现货","按建议量发货")))))</f>
        <v>零日销，本批不发</v>
      </c>
      <c r="I547" s="28" t="n">
        <f>IF(AND(COUNT(Z547,AA547,AB547)=3,Z547&gt;=AA547,AA547&gt;=0,AB547=7),Z547-AA547,"")</f>
        <v>0</v>
      </c>
      <c r="J547" s="28" t="n">
        <f>IF(AND(COUNT(AF547,AG547,AH547)=3,AF547&gt;=AG547,AG547&gt;=0,AH547=14),AF547-AG547,"")</f>
        <v>0</v>
      </c>
      <c r="K547" s="28" t="n">
        <f>IF(AND(COUNT(AL547,AM547,AN547)=3,AL547&gt;=AM547,AM547&gt;=0,AN547=30),AL547-AM547,"")</f>
        <v>0</v>
      </c>
      <c r="L547" s="29" t="n">
        <f>IF(ISNUMBER(BI547),BI547/90,"")</f>
        <v>0</v>
      </c>
      <c r="M547" s="28" t="n">
        <v>0</v>
      </c>
      <c r="N547" s="28" t="n">
        <v>0</v>
      </c>
      <c r="O547" s="28" t="n">
        <v>0</v>
      </c>
      <c r="P547" s="30" t="str">
        <f>IF(AND(ISNUMBER(L547),L547&gt;0,COUNT(M547:O547)=3,MIN(M547:O547)&gt;=0),SUM(M547:O547)/L547,"")</f>
      </c>
      <c r="Q547" s="16" t="str">
        <v>沿用原计划SKU店铺</v>
      </c>
      <c r="R547" s="16" t="str">
        <v>已匹配</v>
      </c>
      <c r="S547" s="16" t="str">
        <v>停售</v>
      </c>
      <c r="T547" s="16" t="str">
        <v>1S01</v>
      </c>
      <c r="U547" s="16" t="str">
        <v>驼色</v>
      </c>
      <c r="V547" s="16" t="n">
        <v>9</v>
      </c>
      <c r="W547" s="8" t="str">
        <v>2026-10-08 至 2026-10-17</v>
      </c>
      <c r="X547" s="8" t="str">
        <v>2026-10-08、2026-10-09、2026-10-10、2026-10-11、2026-10-14、2026-10-15、2026-10-17</v>
      </c>
      <c r="Y547" s="8" t="str">
        <v>2026-10-12 有记录的停售日；2026-10-13 有记录的停售日；2026-10-16 有记录的停售日</v>
      </c>
      <c r="Z547" s="8" t="n">
        <v>0</v>
      </c>
      <c r="AA547" s="8" t="n">
        <v>0</v>
      </c>
      <c r="AB547" s="8" t="n">
        <v>7</v>
      </c>
      <c r="AC547" s="8" t="str">
        <v>2026-09-29 至 2026-10-17</v>
      </c>
      <c r="AD547" s="8" t="str">
        <v>2026-09-29、2026-09-30、2026-10-01、2026-10-02、2026-10-03、2026-10-04、2026-10-05、2026-10-08、2026-10-09、2026-10-10、2026-10-11、2026-10-14、2026-10-15、2026-10-17</v>
      </c>
      <c r="AE547" s="8" t="str">
        <v>2026-10-06 大促；2026-10-07 大促；2026-10-12 有记录的停售日；2026-10-13 有记录的停售日；2026-10-16 有记录的停售日</v>
      </c>
      <c r="AF547" s="8" t="n">
        <v>0</v>
      </c>
      <c r="AG547" s="8" t="n">
        <v>0</v>
      </c>
      <c r="AH547" s="8" t="n">
        <v>14</v>
      </c>
      <c r="AI547" s="8" t="str">
        <v>2026-09-13 至 2026-10-17</v>
      </c>
      <c r="AJ54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7" s="8" t="str">
        <v>2026-10-06 大促；2026-10-07 大促；2026-10-12 有记录的停售日；2026-10-13 有记录的停售日；2026-10-16 有记录的停售日</v>
      </c>
      <c r="AL547" s="8" t="n">
        <v>0</v>
      </c>
      <c r="AM547" s="8" t="n">
        <v>0</v>
      </c>
      <c r="AN547" s="8" t="n">
        <v>30</v>
      </c>
      <c r="AO547" s="8" t="str">
        <v>1S01 / 驼色PU / 6574</v>
      </c>
      <c r="AP547" s="11" t="n">
        <v>0.8729500662042875</v>
      </c>
      <c r="AQ547" s="11" t="n">
        <v>0.9355747145678367</v>
      </c>
      <c r="AR547" s="11" t="n">
        <v>1.135973589331194</v>
      </c>
      <c r="AS547" s="11" t="n">
        <f>IF(AND(COUNT(I547:K547,AP547:AR547)=6,MIN(AP547:AR547)&gt;0),I547/7/AP547*0.5+J547/14/AQ547*0.3+K547/30/AR547*0.2,"")</f>
        <v>0</v>
      </c>
      <c r="AT547" s="8" t="n">
        <v>0</v>
      </c>
      <c r="AU547" s="8" t="n">
        <v>0</v>
      </c>
      <c r="AV547" s="8" t="n">
        <v>85</v>
      </c>
      <c r="AW547" s="11" t="n">
        <f>IF(AND(COUNT(AT547:AV547)=3,AT547&gt;=AU547,AU547&gt;=0,AV547&gt;0),(AT547-AU547)/AV547,"")</f>
        <v>0</v>
      </c>
      <c r="AX547" s="8" t="n">
        <v>0</v>
      </c>
      <c r="AY547" s="8" t="n">
        <v>0</v>
      </c>
      <c r="AZ547" s="8" t="n">
        <v>175</v>
      </c>
      <c r="BA547" s="11" t="n">
        <f>IF(AND(COUNT(AX547:AZ547)=3,AX547&gt;=AY547,AY547&gt;=0,AZ547&gt;0),(AX547-AY547)/AZ547,"")</f>
        <v>0</v>
      </c>
      <c r="BB547" s="8" t="n">
        <f>IF(COUNT(AS547,AW547,BA547)=3,1,0)</f>
        <v>1</v>
      </c>
      <c r="BC547" s="11" t="n">
        <f>IF(SUMIF($AO$11:$AO$1309,AO547,$BB$11:$BB$1309)=COUNTIF($AO$11:$AO$1309,AO547),SUMIF($AO$11:$AO$1309,AO547,$AS$11:$AS$1309),"")</f>
        <v>0.006104243994186601</v>
      </c>
      <c r="BD547" s="11" t="n">
        <f>IF(SUMIF($AO$11:$AO$1309,AO547,$BB$11:$BB$1309)=COUNTIF($AO$11:$AO$1309,AO547),SUMIF($AO$11:$AO$1309,AO547,$AW$11:$AW$1309),"")</f>
        <v>0.03409090909090909</v>
      </c>
      <c r="BE547" s="11" t="n">
        <f>IF(SUMIF($AO$11:$AO$1309,AO547,$BB$11:$BB$1309)=COUNTIF($AO$11:$AO$1309,AO547),SUMIF($AO$11:$AO$1309,AO547,$BA$11:$BA$1309),"")</f>
        <v>0.11951845906902087</v>
      </c>
      <c r="BF547" s="12" t="n">
        <f>IF(COUNT(BD547:BE547)&lt;&gt;2,"",IF(AND(BD547&gt;0,BE547&gt;0),0.7*AW547/BD547+0.3*BA547/BE547,IF(BD547&gt;0,AW547/BD547,IF(BE547&gt;0,BA547/BE547,IF(AND(ISNUMBER(BH547),BH547=0),0,"")))))</f>
        <v>0</v>
      </c>
      <c r="BG547" s="11" t="n">
        <f>IF(AND(COUNT(BN547:BU547)=8,MIN(BN547:BU547)&gt;=0),SUMPRODUCT(BN547:BQ547,BR547:BU547),"")</f>
        <v>63.935996265425516</v>
      </c>
      <c r="BH547" s="11" t="n">
        <f>IF(COUNT(BC547,BG547)=2,BC547*BG547,"")</f>
        <v>0.39028092121556063</v>
      </c>
      <c r="BI547" s="11" t="n">
        <f>IF(ISNUMBER(CI547),CI547,"")</f>
        <v>0</v>
      </c>
      <c r="BJ547" s="8" t="str"/>
      <c r="BK547" s="8" t="str">
        <v>90天：2026-07-20 至 2026-10-17；180天：2026-04-21 至 2026-10-17</v>
      </c>
      <c r="BL547" s="8" t="str">
        <v>90天：2026-10-06、2026-10-07、2026-10-12、2026-10-13、2026-10-16；180天：2026-10-06、2026-10-07、2026-10-12、2026-10-13、2026-10-16</v>
      </c>
      <c r="BM547" s="8" t="str">
        <v>2026-10：12天 × 0.8729500662042875；2026-11：30天 × 0.8057375774163482；2026-12：31天 × 0.532550303142279；2027-01：17天 × 0.7517299265337036</v>
      </c>
      <c r="BN547" s="11" t="n">
        <v>0.8729500662042875</v>
      </c>
      <c r="BO547" s="11" t="n">
        <v>0.8057375774163482</v>
      </c>
      <c r="BP547" s="11" t="n">
        <v>0.532550303142279</v>
      </c>
      <c r="BQ547" s="11" t="n">
        <v>0.7517299265337036</v>
      </c>
      <c r="BR547" s="8" t="n">
        <v>12</v>
      </c>
      <c r="BS547" s="8" t="n">
        <v>30</v>
      </c>
      <c r="BT547" s="8" t="n">
        <v>31</v>
      </c>
      <c r="BU547" s="8" t="n">
        <v>17</v>
      </c>
      <c r="BV547" s="11" t="n">
        <f>IF(COUNT(BC547,BF547)=2,BC547*BF547,"")</f>
        <v>0</v>
      </c>
      <c r="BW547" s="11" t="n">
        <f>IF(ISNUMBER(BN547),BN547,"")</f>
        <v>0.8729500662042875</v>
      </c>
      <c r="BX547" s="14" t="n">
        <f>IF(ISNUMBER(BR547),BR547,"")</f>
        <v>12</v>
      </c>
      <c r="BY547" s="13" t="n">
        <f>IF(AND(COUNT(BV547,BW547,BX547)=3,MIN(BV547,BW547,BX547)&gt;=0),BV547*BW547*BX547,"")</f>
        <v>0</v>
      </c>
      <c r="BZ547" s="11" t="n">
        <f>IF(ISNUMBER(BO547),BO547,"")</f>
        <v>0.8057375774163482</v>
      </c>
      <c r="CA547" s="14" t="n">
        <f>IF(ISNUMBER(BS547),BS547,"")</f>
        <v>30</v>
      </c>
      <c r="CB547" s="13" t="n">
        <f>IF(AND(COUNT(BV547,BZ547,CA547)=3,MIN(BV547,BZ547,CA547)&gt;=0),BV547*BZ547*CA547,"")</f>
        <v>0</v>
      </c>
      <c r="CC547" s="11" t="n">
        <f>IF(ISNUMBER(BP547),BP547,"")</f>
        <v>0.532550303142279</v>
      </c>
      <c r="CD547" s="14" t="n">
        <f>IF(ISNUMBER(BT547),BT547,"")</f>
        <v>31</v>
      </c>
      <c r="CE547" s="13" t="n">
        <f>IF(AND(COUNT(BV547,CC547,CD547)=3,MIN(BV547,CC547,CD547)&gt;=0),BV547*CC547*CD547,"")</f>
        <v>0</v>
      </c>
      <c r="CF547" s="11" t="n">
        <f>IF(ISNUMBER(BQ547),BQ547,"")</f>
        <v>0.7517299265337036</v>
      </c>
      <c r="CG547" s="14" t="n">
        <f>IF(ISNUMBER(BU547),BU547,"")</f>
        <v>17</v>
      </c>
      <c r="CH547" s="13" t="n">
        <f>IF(AND(COUNT(BV547,CF547,CG547)=3,MIN(BV547,CF547,CG547)&gt;=0),BV547*CF547*CG547,"")</f>
        <v>0</v>
      </c>
      <c r="CI547" s="13" t="n">
        <f>IF(COUNT(BY547,CB547,CE547,CH547)=4,SUM(BY547,CB547,CE547,CH547),"")</f>
        <v>0</v>
      </c>
    </row>
    <row r="548" ht="72" customHeight="1">
      <c r="A548" s="16" t="str">
        <v>1S01-TAN-41</v>
      </c>
      <c r="B548" s="16" t="str">
        <v>3店-SANDIEX-US</v>
      </c>
      <c r="C548" s="16" t="str">
        <v>徐新怡</v>
      </c>
      <c r="D548" s="26" t="n">
        <f>IF(NOT(ISNUMBER(E548)),"",IF(OR(E548&lt;=0,L548=0),0,IF(OR(NOT(ISNUMBER(F548)),F548&lt;0),"",MIN(E548,INT(F548)))))</f>
        <v>0</v>
      </c>
      <c r="E548" s="27" t="n">
        <f>IF(OR(NOT(ISNUMBER(L548)),COUNT(M548:O548)&lt;&gt;3,MIN(M548:O548)&lt;0),"",ROUNDUP(ROUND(BI548-SUM(M548:O548),10),0))</f>
        <v>0</v>
      </c>
      <c r="F548" s="28" t="n">
        <v>0</v>
      </c>
      <c r="G548" s="28" t="n">
        <f>IF(AND(ISNUMBER(D548),ISNUMBER(E548)),IF(OR(E548&lt;=0,L548=0),0,E548-D548),"")</f>
        <v>0</v>
      </c>
      <c r="H548" s="16" t="str">
        <f>IF(NOT(ISNUMBER(E548)),"销量或海外库存待补",IF(OR(E548&lt;=0,L548=0),IF(L548=0,"零日销，本批不发","本批无需补货"),IF(NOT(ISNUMBER(D548)),"国内库存待补",IF(D548=0,"国内无可用库存",IF(G548&gt;0,"先发国内现货","按建议量发货")))))</f>
        <v>零日销，本批不发</v>
      </c>
      <c r="I548" s="28" t="n">
        <f>IF(AND(COUNT(Z548,AA548,AB548)=3,Z548&gt;=AA548,AA548&gt;=0,AB548=7),Z548-AA548,"")</f>
        <v>0</v>
      </c>
      <c r="J548" s="28" t="n">
        <f>IF(AND(COUNT(AF548,AG548,AH548)=3,AF548&gt;=AG548,AG548&gt;=0,AH548=14),AF548-AG548,"")</f>
        <v>0</v>
      </c>
      <c r="K548" s="28" t="n">
        <f>IF(AND(COUNT(AL548,AM548,AN548)=3,AL548&gt;=AM548,AM548&gt;=0,AN548=30),AL548-AM548,"")</f>
        <v>0</v>
      </c>
      <c r="L548" s="29" t="n">
        <f>IF(ISNUMBER(BI548),BI548/90,"")</f>
        <v>0</v>
      </c>
      <c r="M548" s="28" t="n">
        <v>0</v>
      </c>
      <c r="N548" s="28" t="n">
        <v>0</v>
      </c>
      <c r="O548" s="28" t="n">
        <v>0</v>
      </c>
      <c r="P548" s="30" t="str">
        <f>IF(AND(ISNUMBER(L548),L548&gt;0,COUNT(M548:O548)=3,MIN(M548:O548)&gt;=0),SUM(M548:O548)/L548,"")</f>
      </c>
      <c r="Q548" s="16" t="str">
        <v>沿用原计划SKU店铺</v>
      </c>
      <c r="R548" s="16" t="str">
        <v>已匹配</v>
      </c>
      <c r="S548" s="16" t="str">
        <v>停售</v>
      </c>
      <c r="T548" s="16" t="str">
        <v>1S01</v>
      </c>
      <c r="U548" s="16" t="str">
        <v>驼色</v>
      </c>
      <c r="V548" s="16" t="n">
        <v>10</v>
      </c>
      <c r="W548" s="8" t="str">
        <v>2026-10-08 至 2026-10-17</v>
      </c>
      <c r="X548" s="8" t="str">
        <v>2026-10-08、2026-10-09、2026-10-10、2026-10-11、2026-10-14、2026-10-15、2026-10-17</v>
      </c>
      <c r="Y548" s="8" t="str">
        <v>2026-10-12 有记录的停售日；2026-10-13 有记录的停售日；2026-10-16 有记录的停售日</v>
      </c>
      <c r="Z548" s="8" t="n">
        <v>0</v>
      </c>
      <c r="AA548" s="8" t="n">
        <v>0</v>
      </c>
      <c r="AB548" s="8" t="n">
        <v>7</v>
      </c>
      <c r="AC548" s="8" t="str">
        <v>2026-09-29 至 2026-10-17</v>
      </c>
      <c r="AD548" s="8" t="str">
        <v>2026-09-29、2026-09-30、2026-10-01、2026-10-02、2026-10-03、2026-10-04、2026-10-05、2026-10-08、2026-10-09、2026-10-10、2026-10-11、2026-10-14、2026-10-15、2026-10-17</v>
      </c>
      <c r="AE548" s="8" t="str">
        <v>2026-10-06 大促；2026-10-07 大促；2026-10-12 有记录的停售日；2026-10-13 有记录的停售日；2026-10-16 有记录的停售日</v>
      </c>
      <c r="AF548" s="8" t="n">
        <v>0</v>
      </c>
      <c r="AG548" s="8" t="n">
        <v>0</v>
      </c>
      <c r="AH548" s="8" t="n">
        <v>14</v>
      </c>
      <c r="AI548" s="8" t="str">
        <v>2026-09-13 至 2026-10-17</v>
      </c>
      <c r="AJ54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48" s="8" t="str">
        <v>2026-10-06 大促；2026-10-07 大促；2026-10-12 有记录的停售日；2026-10-13 有记录的停售日；2026-10-16 有记录的停售日</v>
      </c>
      <c r="AL548" s="8" t="n">
        <v>0</v>
      </c>
      <c r="AM548" s="8" t="n">
        <v>0</v>
      </c>
      <c r="AN548" s="8" t="n">
        <v>30</v>
      </c>
      <c r="AO548" s="8" t="str">
        <v>1S01 / 驼色PU / 6574</v>
      </c>
      <c r="AP548" s="11" t="n">
        <v>0.8729500662042875</v>
      </c>
      <c r="AQ548" s="11" t="n">
        <v>0.9355747145678367</v>
      </c>
      <c r="AR548" s="11" t="n">
        <v>1.135973589331194</v>
      </c>
      <c r="AS548" s="11" t="n">
        <f>IF(AND(COUNT(I548:K548,AP548:AR548)=6,MIN(AP548:AR548)&gt;0),I548/7/AP548*0.5+J548/14/AQ548*0.3+K548/30/AR548*0.2,"")</f>
        <v>0</v>
      </c>
      <c r="AT548" s="8" t="n">
        <v>0</v>
      </c>
      <c r="AU548" s="8" t="n">
        <v>0</v>
      </c>
      <c r="AV548" s="8" t="n">
        <v>85</v>
      </c>
      <c r="AW548" s="11" t="n">
        <f>IF(AND(COUNT(AT548:AV548)=3,AT548&gt;=AU548,AU548&gt;=0,AV548&gt;0),(AT548-AU548)/AV548,"")</f>
        <v>0</v>
      </c>
      <c r="AX548" s="8" t="n">
        <v>0</v>
      </c>
      <c r="AY548" s="8" t="n">
        <v>0</v>
      </c>
      <c r="AZ548" s="8" t="n">
        <v>175</v>
      </c>
      <c r="BA548" s="11" t="n">
        <f>IF(AND(COUNT(AX548:AZ548)=3,AX548&gt;=AY548,AY548&gt;=0,AZ548&gt;0),(AX548-AY548)/AZ548,"")</f>
        <v>0</v>
      </c>
      <c r="BB548" s="8" t="n">
        <f>IF(COUNT(AS548,AW548,BA548)=3,1,0)</f>
        <v>1</v>
      </c>
      <c r="BC548" s="11" t="n">
        <f>IF(SUMIF($AO$11:$AO$1309,AO548,$BB$11:$BB$1309)=COUNTIF($AO$11:$AO$1309,AO548),SUMIF($AO$11:$AO$1309,AO548,$AS$11:$AS$1309),"")</f>
        <v>0.006104243994186601</v>
      </c>
      <c r="BD548" s="11" t="n">
        <f>IF(SUMIF($AO$11:$AO$1309,AO548,$BB$11:$BB$1309)=COUNTIF($AO$11:$AO$1309,AO548),SUMIF($AO$11:$AO$1309,AO548,$AW$11:$AW$1309),"")</f>
        <v>0.03409090909090909</v>
      </c>
      <c r="BE548" s="11" t="n">
        <f>IF(SUMIF($AO$11:$AO$1309,AO548,$BB$11:$BB$1309)=COUNTIF($AO$11:$AO$1309,AO548),SUMIF($AO$11:$AO$1309,AO548,$BA$11:$BA$1309),"")</f>
        <v>0.11951845906902087</v>
      </c>
      <c r="BF548" s="12" t="n">
        <f>IF(COUNT(BD548:BE548)&lt;&gt;2,"",IF(AND(BD548&gt;0,BE548&gt;0),0.7*AW548/BD548+0.3*BA548/BE548,IF(BD548&gt;0,AW548/BD548,IF(BE548&gt;0,BA548/BE548,IF(AND(ISNUMBER(BH548),BH548=0),0,"")))))</f>
        <v>0</v>
      </c>
      <c r="BG548" s="11" t="n">
        <f>IF(AND(COUNT(BN548:BU548)=8,MIN(BN548:BU548)&gt;=0),SUMPRODUCT(BN548:BQ548,BR548:BU548),"")</f>
        <v>63.935996265425516</v>
      </c>
      <c r="BH548" s="11" t="n">
        <f>IF(COUNT(BC548,BG548)=2,BC548*BG548,"")</f>
        <v>0.39028092121556063</v>
      </c>
      <c r="BI548" s="11" t="n">
        <f>IF(ISNUMBER(CI548),CI548,"")</f>
        <v>0</v>
      </c>
      <c r="BJ548" s="8" t="str"/>
      <c r="BK548" s="8" t="str">
        <v>90天：2026-07-20 至 2026-10-17；180天：2026-04-21 至 2026-10-17</v>
      </c>
      <c r="BL548" s="8" t="str">
        <v>90天：2026-10-06、2026-10-07、2026-10-12、2026-10-13、2026-10-16；180天：2026-10-06、2026-10-07、2026-10-12、2026-10-13、2026-10-16</v>
      </c>
      <c r="BM548" s="8" t="str">
        <v>2026-10：12天 × 0.8729500662042875；2026-11：30天 × 0.8057375774163482；2026-12：31天 × 0.532550303142279；2027-01：17天 × 0.7517299265337036</v>
      </c>
      <c r="BN548" s="11" t="n">
        <v>0.8729500662042875</v>
      </c>
      <c r="BO548" s="11" t="n">
        <v>0.8057375774163482</v>
      </c>
      <c r="BP548" s="11" t="n">
        <v>0.532550303142279</v>
      </c>
      <c r="BQ548" s="11" t="n">
        <v>0.7517299265337036</v>
      </c>
      <c r="BR548" s="8" t="n">
        <v>12</v>
      </c>
      <c r="BS548" s="8" t="n">
        <v>30</v>
      </c>
      <c r="BT548" s="8" t="n">
        <v>31</v>
      </c>
      <c r="BU548" s="8" t="n">
        <v>17</v>
      </c>
      <c r="BV548" s="11" t="n">
        <f>IF(COUNT(BC548,BF548)=2,BC548*BF548,"")</f>
        <v>0</v>
      </c>
      <c r="BW548" s="11" t="n">
        <f>IF(ISNUMBER(BN548),BN548,"")</f>
        <v>0.8729500662042875</v>
      </c>
      <c r="BX548" s="14" t="n">
        <f>IF(ISNUMBER(BR548),BR548,"")</f>
        <v>12</v>
      </c>
      <c r="BY548" s="13" t="n">
        <f>IF(AND(COUNT(BV548,BW548,BX548)=3,MIN(BV548,BW548,BX548)&gt;=0),BV548*BW548*BX548,"")</f>
        <v>0</v>
      </c>
      <c r="BZ548" s="11" t="n">
        <f>IF(ISNUMBER(BO548),BO548,"")</f>
        <v>0.8057375774163482</v>
      </c>
      <c r="CA548" s="14" t="n">
        <f>IF(ISNUMBER(BS548),BS548,"")</f>
        <v>30</v>
      </c>
      <c r="CB548" s="13" t="n">
        <f>IF(AND(COUNT(BV548,BZ548,CA548)=3,MIN(BV548,BZ548,CA548)&gt;=0),BV548*BZ548*CA548,"")</f>
        <v>0</v>
      </c>
      <c r="CC548" s="11" t="n">
        <f>IF(ISNUMBER(BP548),BP548,"")</f>
        <v>0.532550303142279</v>
      </c>
      <c r="CD548" s="14" t="n">
        <f>IF(ISNUMBER(BT548),BT548,"")</f>
        <v>31</v>
      </c>
      <c r="CE548" s="13" t="n">
        <f>IF(AND(COUNT(BV548,CC548,CD548)=3,MIN(BV548,CC548,CD548)&gt;=0),BV548*CC548*CD548,"")</f>
        <v>0</v>
      </c>
      <c r="CF548" s="11" t="n">
        <f>IF(ISNUMBER(BQ548),BQ548,"")</f>
        <v>0.7517299265337036</v>
      </c>
      <c r="CG548" s="14" t="n">
        <f>IF(ISNUMBER(BU548),BU548,"")</f>
        <v>17</v>
      </c>
      <c r="CH548" s="13" t="n">
        <f>IF(AND(COUNT(BV548,CF548,CG548)=3,MIN(BV548,CF548,CG548)&gt;=0),BV548*CF548*CG548,"")</f>
        <v>0</v>
      </c>
      <c r="CI548" s="13" t="n">
        <f>IF(COUNT(BY548,CB548,CE548,CH548)=4,SUM(BY548,CB548,CE548,CH548),"")</f>
        <v>0</v>
      </c>
    </row>
    <row r="549" ht="72" customHeight="1">
      <c r="A549" s="16" t="str">
        <v>1S01-TAN-41.5</v>
      </c>
      <c r="B549" s="16" t="str">
        <v>3店-SANDIEX-US</v>
      </c>
      <c r="C549" s="16" t="str">
        <v>徐新怡</v>
      </c>
      <c r="D549" s="26" t="n">
        <f>IF(NOT(ISNUMBER(E549)),"",IF(OR(E549&lt;=0,L549=0),0,IF(OR(NOT(ISNUMBER(F549)),F549&lt;0),"",MIN(E549,INT(F549)))))</f>
        <v>0</v>
      </c>
      <c r="E549" s="27" t="n">
        <f>IF(OR(NOT(ISNUMBER(L549)),COUNT(M549:O549)&lt;&gt;3,MIN(M549:O549)&lt;0),"",ROUNDUP(ROUND(BI549-SUM(M549:O549),10),0))</f>
        <v>-4</v>
      </c>
      <c r="F549" s="28" t="n">
        <v>0</v>
      </c>
      <c r="G549" s="28" t="n">
        <f>IF(AND(ISNUMBER(D549),ISNUMBER(E549)),IF(OR(E549&lt;=0,L549=0),0,E549-D549),"")</f>
        <v>0</v>
      </c>
      <c r="H549" s="16" t="str">
        <f>IF(NOT(ISNUMBER(E549)),"销量或海外库存待补",IF(OR(E549&lt;=0,L549=0),IF(L549=0,"零日销，本批不发","本批无需补货"),IF(NOT(ISNUMBER(D549)),"国内库存待补",IF(D549=0,"国内无可用库存",IF(G549&gt;0,"先发国内现货","按建议量发货")))))</f>
        <v>本批无需补货</v>
      </c>
      <c r="I549" s="28" t="n">
        <f>IF(AND(COUNT(Z549,AA549,AB549)=3,Z549&gt;=AA549,AA549&gt;=0,AB549=7),Z549-AA549,"")</f>
        <v>0</v>
      </c>
      <c r="J549" s="28" t="n">
        <f>IF(AND(COUNT(AF549,AG549,AH549)=3,AF549&gt;=AG549,AG549&gt;=0,AH549=14),AF549-AG549,"")</f>
        <v>0</v>
      </c>
      <c r="K549" s="28" t="n">
        <f>IF(AND(COUNT(AL549,AM549,AN549)=3,AL549&gt;=AM549,AM549&gt;=0,AN549=30),AL549-AM549,"")</f>
        <v>1</v>
      </c>
      <c r="L549" s="29" t="n">
        <f>IF(ISNUMBER(BI549),BI549/90,"")</f>
        <v>0.00334127152714047</v>
      </c>
      <c r="M549" s="28" t="n">
        <v>4</v>
      </c>
      <c r="N549" s="28" t="n">
        <v>0</v>
      </c>
      <c r="O549" s="28" t="n">
        <v>0</v>
      </c>
      <c r="P549" s="30" t="n">
        <f>IF(AND(ISNUMBER(L549),L549&gt;0,COUNT(M549:O549)=3,MIN(M549:O549)&gt;=0),SUM(M549:O549)/L549,"")</f>
        <v>1197.1490396721165</v>
      </c>
      <c r="Q549" s="16" t="str">
        <v>沿用原计划SKU店铺</v>
      </c>
      <c r="R549" s="16" t="str">
        <v>已匹配</v>
      </c>
      <c r="S549" s="16" t="str">
        <v>在售</v>
      </c>
      <c r="T549" s="16" t="str">
        <v>1S01</v>
      </c>
      <c r="U549" s="16" t="str">
        <v>驼色</v>
      </c>
      <c r="V549" s="16" t="n">
        <v>10.5</v>
      </c>
      <c r="W549" s="8" t="str">
        <v>2026-10-11 至 2026-10-17</v>
      </c>
      <c r="X549" s="8" t="str">
        <v>2026-10-11、2026-10-12、2026-10-13、2026-10-14、2026-10-15、2026-10-16、2026-10-17</v>
      </c>
      <c r="Y549" s="8" t="str">
        <v>无</v>
      </c>
      <c r="Z549" s="8" t="n">
        <v>0</v>
      </c>
      <c r="AA549" s="8" t="n">
        <v>0</v>
      </c>
      <c r="AB549" s="8" t="n">
        <v>7</v>
      </c>
      <c r="AC549" s="8" t="str">
        <v>2026-10-02 至 2026-10-17</v>
      </c>
      <c r="AD549" s="8" t="str">
        <v>2026-10-02、2026-10-03、2026-10-04、2026-10-05、2026-10-08、2026-10-09、2026-10-10、2026-10-11、2026-10-12、2026-10-13、2026-10-14、2026-10-15、2026-10-16、2026-10-17</v>
      </c>
      <c r="AE549" s="8" t="str">
        <v>2026-10-06 大促；2026-10-07 大促</v>
      </c>
      <c r="AF549" s="8" t="n">
        <v>1</v>
      </c>
      <c r="AG549" s="8" t="n">
        <v>1</v>
      </c>
      <c r="AH549" s="8" t="n">
        <v>14</v>
      </c>
      <c r="AI549" s="8" t="str">
        <v>2026-09-16 至 2026-10-17</v>
      </c>
      <c r="AJ5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49" s="8" t="str">
        <v>2026-10-06 大促；2026-10-07 大促</v>
      </c>
      <c r="AL549" s="8" t="n">
        <v>2</v>
      </c>
      <c r="AM549" s="8" t="n">
        <v>1</v>
      </c>
      <c r="AN549" s="8" t="n">
        <v>30</v>
      </c>
      <c r="AO549" s="8" t="str">
        <v>1S01 / 驼色PU / 6574</v>
      </c>
      <c r="AP549" s="11" t="n">
        <v>0.8729500662042875</v>
      </c>
      <c r="AQ549" s="11" t="n">
        <v>0.8729500662042875</v>
      </c>
      <c r="AR549" s="11" t="n">
        <v>1.0921363354767095</v>
      </c>
      <c r="AS549" s="11" t="n">
        <f>IF(AND(COUNT(I549:K549,AP549:AR549)=6,MIN(AP549:AR549)&gt;0),I549/7/AP549*0.5+J549/14/AQ549*0.3+K549/30/AR549*0.2,"")</f>
        <v>0.006104243994186601</v>
      </c>
      <c r="AT549" s="8" t="n">
        <v>4</v>
      </c>
      <c r="AU549" s="8" t="n">
        <v>1</v>
      </c>
      <c r="AV549" s="8" t="n">
        <v>88</v>
      </c>
      <c r="AW549" s="11" t="n">
        <f>IF(AND(COUNT(AT549:AV549)=3,AT549&gt;=AU549,AU549&gt;=0,AV549&gt;0),(AT549-AU549)/AV549,"")</f>
        <v>0.03409090909090909</v>
      </c>
      <c r="AX549" s="8" t="n">
        <v>6</v>
      </c>
      <c r="AY549" s="8" t="n">
        <v>1</v>
      </c>
      <c r="AZ549" s="8" t="n">
        <v>178</v>
      </c>
      <c r="BA549" s="11" t="n">
        <f>IF(AND(COUNT(AX549:AZ549)=3,AX549&gt;=AY549,AY549&gt;=0,AZ549&gt;0),(AX549-AY549)/AZ549,"")</f>
        <v>0.028089887640449437</v>
      </c>
      <c r="BB549" s="8" t="n">
        <f>IF(COUNT(AS549,AW549,BA549)=3,1,0)</f>
        <v>1</v>
      </c>
      <c r="BC549" s="11" t="n">
        <f>IF(SUMIF($AO$11:$AO$1309,AO549,$BB$11:$BB$1309)=COUNTIF($AO$11:$AO$1309,AO549),SUMIF($AO$11:$AO$1309,AO549,$AS$11:$AS$1309),"")</f>
        <v>0.006104243994186601</v>
      </c>
      <c r="BD549" s="11" t="n">
        <f>IF(SUMIF($AO$11:$AO$1309,AO549,$BB$11:$BB$1309)=COUNTIF($AO$11:$AO$1309,AO549),SUMIF($AO$11:$AO$1309,AO549,$AW$11:$AW$1309),"")</f>
        <v>0.03409090909090909</v>
      </c>
      <c r="BE549" s="11" t="n">
        <f>IF(SUMIF($AO$11:$AO$1309,AO549,$BB$11:$BB$1309)=COUNTIF($AO$11:$AO$1309,AO549),SUMIF($AO$11:$AO$1309,AO549,$BA$11:$BA$1309),"")</f>
        <v>0.11951845906902087</v>
      </c>
      <c r="BF549" s="12" t="n">
        <f>IF(COUNT(BD549:BE549)&lt;&gt;2,"",IF(AND(BD549&gt;0,BE549&gt;0),0.7*AW549/BD549+0.3*BA549/BE549,IF(BD549&gt;0,AW549/BD549,IF(BE549&gt;0,BA549/BE549,IF(AND(ISNUMBER(BH549),BH549=0),0,"")))))</f>
        <v>0.7705076551168413</v>
      </c>
      <c r="BG549" s="11" t="n">
        <f>IF(AND(COUNT(BN549:BU549)=8,MIN(BN549:BU549)&gt;=0),SUMPRODUCT(BN549:BQ549,BR549:BU549),"")</f>
        <v>63.935996265425516</v>
      </c>
      <c r="BH549" s="11" t="n">
        <f>IF(COUNT(BC549,BG549)=2,BC549*BG549,"")</f>
        <v>0.39028092121556063</v>
      </c>
      <c r="BI549" s="11" t="n">
        <f>IF(ISNUMBER(CI549),CI549,"")</f>
        <v>0.3007144374426423</v>
      </c>
      <c r="BJ549" s="8" t="str"/>
      <c r="BK549" s="8" t="str">
        <v>90天：2026-07-20 至 2026-10-17；180天：2026-04-21 至 2026-10-17</v>
      </c>
      <c r="BL549" s="8" t="str">
        <v>90天：2026-10-06、2026-10-07；180天：2026-10-06、2026-10-07</v>
      </c>
      <c r="BM549" s="8" t="str">
        <v>2026-10：12天 × 0.8729500662042875；2026-11：30天 × 0.8057375774163482；2026-12：31天 × 0.532550303142279；2027-01：17天 × 0.7517299265337036</v>
      </c>
      <c r="BN549" s="11" t="n">
        <v>0.8729500662042875</v>
      </c>
      <c r="BO549" s="11" t="n">
        <v>0.8057375774163482</v>
      </c>
      <c r="BP549" s="11" t="n">
        <v>0.532550303142279</v>
      </c>
      <c r="BQ549" s="11" t="n">
        <v>0.7517299265337036</v>
      </c>
      <c r="BR549" s="8" t="n">
        <v>12</v>
      </c>
      <c r="BS549" s="8" t="n">
        <v>30</v>
      </c>
      <c r="BT549" s="8" t="n">
        <v>31</v>
      </c>
      <c r="BU549" s="8" t="n">
        <v>17</v>
      </c>
      <c r="BV549" s="11" t="n">
        <f>IF(COUNT(BC549,BF549)=2,BC549*BF549,"")</f>
        <v>0.004703366726221779</v>
      </c>
      <c r="BW549" s="11" t="n">
        <f>IF(ISNUMBER(BN549),BN549,"")</f>
        <v>0.8729500662042875</v>
      </c>
      <c r="BX549" s="14" t="n">
        <f>IF(ISNUMBER(BR549),BR549,"")</f>
        <v>12</v>
      </c>
      <c r="BY549" s="13" t="n">
        <f>IF(AND(COUNT(BV549,BW549,BX549)=3,MIN(BV549,BW549,BX549)&gt;=0),BV549*BW549*BX549,"")</f>
        <v>0.049269651540460146</v>
      </c>
      <c r="BZ549" s="11" t="n">
        <f>IF(ISNUMBER(BO549),BO549,"")</f>
        <v>0.8057375774163482</v>
      </c>
      <c r="CA549" s="14" t="n">
        <f>IF(ISNUMBER(BS549),BS549,"")</f>
        <v>30</v>
      </c>
      <c r="CB549" s="13" t="n">
        <f>IF(AND(COUNT(BV549,BZ549,CA549)=3,MIN(BV549,BZ549,CA549)&gt;=0),BV549*BZ549*CA549,"")</f>
        <v>0.11369037935059792</v>
      </c>
      <c r="CC549" s="11" t="n">
        <f>IF(ISNUMBER(BP549),BP549,"")</f>
        <v>0.532550303142279</v>
      </c>
      <c r="CD549" s="14" t="n">
        <f>IF(ISNUMBER(BT549),BT549,"")</f>
        <v>31</v>
      </c>
      <c r="CE549" s="13" t="n">
        <f>IF(AND(COUNT(BV549,CC549,CD549)=3,MIN(BV549,CC549,CD549)&gt;=0),BV549*CC549*CD549,"")</f>
        <v>0.07764816065100023</v>
      </c>
      <c r="CF549" s="11" t="n">
        <f>IF(ISNUMBER(BQ549),BQ549,"")</f>
        <v>0.7517299265337036</v>
      </c>
      <c r="CG549" s="14" t="n">
        <f>IF(ISNUMBER(BU549),BU549,"")</f>
        <v>17</v>
      </c>
      <c r="CH549" s="13" t="n">
        <f>IF(AND(COUNT(BV549,CF549,CG549)=3,MIN(BV549,CF549,CG549)&gt;=0),BV549*CF549*CG549,"")</f>
        <v>0.06010624590058399</v>
      </c>
      <c r="CI549" s="13" t="n">
        <f>IF(COUNT(BY549,CB549,CE549,CH549)=4,SUM(BY549,CB549,CE549,CH549),"")</f>
        <v>0.3007144374426423</v>
      </c>
    </row>
    <row r="550" ht="72" customHeight="1">
      <c r="A550" s="16" t="str">
        <v>1S01-TAN-42</v>
      </c>
      <c r="B550" s="16" t="str">
        <v>3店-SANDIEX-US</v>
      </c>
      <c r="C550" s="16" t="str">
        <v>徐新怡</v>
      </c>
      <c r="D550" s="26" t="n">
        <f>IF(NOT(ISNUMBER(E550)),"",IF(OR(E550&lt;=0,L550=0),0,IF(OR(NOT(ISNUMBER(F550)),F550&lt;0),"",MIN(E550,INT(F550)))))</f>
        <v>0</v>
      </c>
      <c r="E550" s="27" t="n">
        <f>IF(OR(NOT(ISNUMBER(L550)),COUNT(M550:O550)&lt;&gt;3,MIN(M550:O550)&lt;0),"",ROUNDUP(ROUND(BI550-SUM(M550:O550),10),0))</f>
        <v>0</v>
      </c>
      <c r="F550" s="28" t="n">
        <v>0</v>
      </c>
      <c r="G550" s="28" t="n">
        <f>IF(AND(ISNUMBER(D550),ISNUMBER(E550)),IF(OR(E550&lt;=0,L550=0),0,E550-D550),"")</f>
        <v>0</v>
      </c>
      <c r="H550" s="16" t="str">
        <f>IF(NOT(ISNUMBER(E550)),"销量或海外库存待补",IF(OR(E550&lt;=0,L550=0),IF(L550=0,"零日销，本批不发","本批无需补货"),IF(NOT(ISNUMBER(D550)),"国内库存待补",IF(D550=0,"国内无可用库存",IF(G550&gt;0,"先发国内现货","按建议量发货")))))</f>
        <v>零日销，本批不发</v>
      </c>
      <c r="I550" s="28" t="n">
        <f>IF(AND(COUNT(Z550,AA550,AB550)=3,Z550&gt;=AA550,AA550&gt;=0,AB550=7),Z550-AA550,"")</f>
        <v>0</v>
      </c>
      <c r="J550" s="28" t="n">
        <f>IF(AND(COUNT(AF550,AG550,AH550)=3,AF550&gt;=AG550,AG550&gt;=0,AH550=14),AF550-AG550,"")</f>
        <v>0</v>
      </c>
      <c r="K550" s="28" t="n">
        <f>IF(AND(COUNT(AL550,AM550,AN550)=3,AL550&gt;=AM550,AM550&gt;=0,AN550=30),AL550-AM550,"")</f>
        <v>0</v>
      </c>
      <c r="L550" s="29" t="n">
        <f>IF(ISNUMBER(BI550),BI550/90,"")</f>
        <v>0</v>
      </c>
      <c r="M550" s="28" t="n">
        <v>0</v>
      </c>
      <c r="N550" s="28" t="n">
        <v>0</v>
      </c>
      <c r="O550" s="28" t="n">
        <v>0</v>
      </c>
      <c r="P550" s="30" t="str">
        <f>IF(AND(ISNUMBER(L550),L550&gt;0,COUNT(M550:O550)=3,MIN(M550:O550)&gt;=0),SUM(M550:O550)/L550,"")</f>
      </c>
      <c r="Q550" s="16" t="str">
        <v>沿用原计划SKU店铺</v>
      </c>
      <c r="R550" s="16" t="str">
        <v>已匹配</v>
      </c>
      <c r="S550" s="16" t="str">
        <v>停售</v>
      </c>
      <c r="T550" s="16" t="str">
        <v>1S01</v>
      </c>
      <c r="U550" s="16" t="str">
        <v>驼色</v>
      </c>
      <c r="V550" s="16" t="n">
        <v>11</v>
      </c>
      <c r="W550" s="8" t="str">
        <v>2026-10-08 至 2026-10-17</v>
      </c>
      <c r="X550" s="8" t="str">
        <v>2026-10-08、2026-10-09、2026-10-10、2026-10-11、2026-10-14、2026-10-15、2026-10-17</v>
      </c>
      <c r="Y550" s="8" t="str">
        <v>2026-10-12 有记录的停售日；2026-10-13 有记录的停售日；2026-10-16 有记录的停售日</v>
      </c>
      <c r="Z550" s="8" t="n">
        <v>0</v>
      </c>
      <c r="AA550" s="8" t="n">
        <v>0</v>
      </c>
      <c r="AB550" s="8" t="n">
        <v>7</v>
      </c>
      <c r="AC550" s="8" t="str">
        <v>2026-09-29 至 2026-10-17</v>
      </c>
      <c r="AD550" s="8" t="str">
        <v>2026-09-29、2026-09-30、2026-10-01、2026-10-02、2026-10-03、2026-10-04、2026-10-05、2026-10-08、2026-10-09、2026-10-10、2026-10-11、2026-10-14、2026-10-15、2026-10-17</v>
      </c>
      <c r="AE550" s="8" t="str">
        <v>2026-10-06 大促；2026-10-07 大促；2026-10-12 有记录的停售日；2026-10-13 有记录的停售日；2026-10-16 有记录的停售日</v>
      </c>
      <c r="AF550" s="8" t="n">
        <v>0</v>
      </c>
      <c r="AG550" s="8" t="n">
        <v>0</v>
      </c>
      <c r="AH550" s="8" t="n">
        <v>14</v>
      </c>
      <c r="AI550" s="8" t="str">
        <v>2026-09-13 至 2026-10-17</v>
      </c>
      <c r="AJ55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50" s="8" t="str">
        <v>2026-10-06 大促；2026-10-07 大促；2026-10-12 有记录的停售日；2026-10-13 有记录的停售日；2026-10-16 有记录的停售日</v>
      </c>
      <c r="AL550" s="8" t="n">
        <v>0</v>
      </c>
      <c r="AM550" s="8" t="n">
        <v>0</v>
      </c>
      <c r="AN550" s="8" t="n">
        <v>30</v>
      </c>
      <c r="AO550" s="8" t="str">
        <v>1S01 / 驼色PU / 6574</v>
      </c>
      <c r="AP550" s="11" t="n">
        <v>0.8729500662042875</v>
      </c>
      <c r="AQ550" s="11" t="n">
        <v>0.9355747145678367</v>
      </c>
      <c r="AR550" s="11" t="n">
        <v>1.135973589331194</v>
      </c>
      <c r="AS550" s="11" t="n">
        <f>IF(AND(COUNT(I550:K550,AP550:AR550)=6,MIN(AP550:AR550)&gt;0),I550/7/AP550*0.5+J550/14/AQ550*0.3+K550/30/AR550*0.2,"")</f>
        <v>0</v>
      </c>
      <c r="AT550" s="8" t="n">
        <v>0</v>
      </c>
      <c r="AU550" s="8" t="n">
        <v>0</v>
      </c>
      <c r="AV550" s="8" t="n">
        <v>85</v>
      </c>
      <c r="AW550" s="11" t="n">
        <f>IF(AND(COUNT(AT550:AV550)=3,AT550&gt;=AU550,AU550&gt;=0,AV550&gt;0),(AT550-AU550)/AV550,"")</f>
        <v>0</v>
      </c>
      <c r="AX550" s="8" t="n">
        <v>0</v>
      </c>
      <c r="AY550" s="8" t="n">
        <v>0</v>
      </c>
      <c r="AZ550" s="8" t="n">
        <v>175</v>
      </c>
      <c r="BA550" s="11" t="n">
        <f>IF(AND(COUNT(AX550:AZ550)=3,AX550&gt;=AY550,AY550&gt;=0,AZ550&gt;0),(AX550-AY550)/AZ550,"")</f>
        <v>0</v>
      </c>
      <c r="BB550" s="8" t="n">
        <f>IF(COUNT(AS550,AW550,BA550)=3,1,0)</f>
        <v>1</v>
      </c>
      <c r="BC550" s="11" t="n">
        <f>IF(SUMIF($AO$11:$AO$1309,AO550,$BB$11:$BB$1309)=COUNTIF($AO$11:$AO$1309,AO550),SUMIF($AO$11:$AO$1309,AO550,$AS$11:$AS$1309),"")</f>
        <v>0.006104243994186601</v>
      </c>
      <c r="BD550" s="11" t="n">
        <f>IF(SUMIF($AO$11:$AO$1309,AO550,$BB$11:$BB$1309)=COUNTIF($AO$11:$AO$1309,AO550),SUMIF($AO$11:$AO$1309,AO550,$AW$11:$AW$1309),"")</f>
        <v>0.03409090909090909</v>
      </c>
      <c r="BE550" s="11" t="n">
        <f>IF(SUMIF($AO$11:$AO$1309,AO550,$BB$11:$BB$1309)=COUNTIF($AO$11:$AO$1309,AO550),SUMIF($AO$11:$AO$1309,AO550,$BA$11:$BA$1309),"")</f>
        <v>0.11951845906902087</v>
      </c>
      <c r="BF550" s="12" t="n">
        <f>IF(COUNT(BD550:BE550)&lt;&gt;2,"",IF(AND(BD550&gt;0,BE550&gt;0),0.7*AW550/BD550+0.3*BA550/BE550,IF(BD550&gt;0,AW550/BD550,IF(BE550&gt;0,BA550/BE550,IF(AND(ISNUMBER(BH550),BH550=0),0,"")))))</f>
        <v>0</v>
      </c>
      <c r="BG550" s="11" t="n">
        <f>IF(AND(COUNT(BN550:BU550)=8,MIN(BN550:BU550)&gt;=0),SUMPRODUCT(BN550:BQ550,BR550:BU550),"")</f>
        <v>63.935996265425516</v>
      </c>
      <c r="BH550" s="11" t="n">
        <f>IF(COUNT(BC550,BG550)=2,BC550*BG550,"")</f>
        <v>0.39028092121556063</v>
      </c>
      <c r="BI550" s="11" t="n">
        <f>IF(ISNUMBER(CI550),CI550,"")</f>
        <v>0</v>
      </c>
      <c r="BJ550" s="8" t="str"/>
      <c r="BK550" s="8" t="str">
        <v>90天：2026-07-20 至 2026-10-17；180天：2026-04-21 至 2026-10-17</v>
      </c>
      <c r="BL550" s="8" t="str">
        <v>90天：2026-10-06、2026-10-07、2026-10-12、2026-10-13、2026-10-16；180天：2026-10-06、2026-10-07、2026-10-12、2026-10-13、2026-10-16</v>
      </c>
      <c r="BM550" s="8" t="str">
        <v>2026-10：12天 × 0.8729500662042875；2026-11：30天 × 0.8057375774163482；2026-12：31天 × 0.532550303142279；2027-01：17天 × 0.7517299265337036</v>
      </c>
      <c r="BN550" s="11" t="n">
        <v>0.8729500662042875</v>
      </c>
      <c r="BO550" s="11" t="n">
        <v>0.8057375774163482</v>
      </c>
      <c r="BP550" s="11" t="n">
        <v>0.532550303142279</v>
      </c>
      <c r="BQ550" s="11" t="n">
        <v>0.7517299265337036</v>
      </c>
      <c r="BR550" s="8" t="n">
        <v>12</v>
      </c>
      <c r="BS550" s="8" t="n">
        <v>30</v>
      </c>
      <c r="BT550" s="8" t="n">
        <v>31</v>
      </c>
      <c r="BU550" s="8" t="n">
        <v>17</v>
      </c>
      <c r="BV550" s="11" t="n">
        <f>IF(COUNT(BC550,BF550)=2,BC550*BF550,"")</f>
        <v>0</v>
      </c>
      <c r="BW550" s="11" t="n">
        <f>IF(ISNUMBER(BN550),BN550,"")</f>
        <v>0.8729500662042875</v>
      </c>
      <c r="BX550" s="14" t="n">
        <f>IF(ISNUMBER(BR550),BR550,"")</f>
        <v>12</v>
      </c>
      <c r="BY550" s="13" t="n">
        <f>IF(AND(COUNT(BV550,BW550,BX550)=3,MIN(BV550,BW550,BX550)&gt;=0),BV550*BW550*BX550,"")</f>
        <v>0</v>
      </c>
      <c r="BZ550" s="11" t="n">
        <f>IF(ISNUMBER(BO550),BO550,"")</f>
        <v>0.8057375774163482</v>
      </c>
      <c r="CA550" s="14" t="n">
        <f>IF(ISNUMBER(BS550),BS550,"")</f>
        <v>30</v>
      </c>
      <c r="CB550" s="13" t="n">
        <f>IF(AND(COUNT(BV550,BZ550,CA550)=3,MIN(BV550,BZ550,CA550)&gt;=0),BV550*BZ550*CA550,"")</f>
        <v>0</v>
      </c>
      <c r="CC550" s="11" t="n">
        <f>IF(ISNUMBER(BP550),BP550,"")</f>
        <v>0.532550303142279</v>
      </c>
      <c r="CD550" s="14" t="n">
        <f>IF(ISNUMBER(BT550),BT550,"")</f>
        <v>31</v>
      </c>
      <c r="CE550" s="13" t="n">
        <f>IF(AND(COUNT(BV550,CC550,CD550)=3,MIN(BV550,CC550,CD550)&gt;=0),BV550*CC550*CD550,"")</f>
        <v>0</v>
      </c>
      <c r="CF550" s="11" t="n">
        <f>IF(ISNUMBER(BQ550),BQ550,"")</f>
        <v>0.7517299265337036</v>
      </c>
      <c r="CG550" s="14" t="n">
        <f>IF(ISNUMBER(BU550),BU550,"")</f>
        <v>17</v>
      </c>
      <c r="CH550" s="13" t="n">
        <f>IF(AND(COUNT(BV550,CF550,CG550)=3,MIN(BV550,CF550,CG550)&gt;=0),BV550*CF550*CG550,"")</f>
        <v>0</v>
      </c>
      <c r="CI550" s="13" t="n">
        <f>IF(COUNT(BY550,CB550,CE550,CH550)=4,SUM(BY550,CB550,CE550,CH550),"")</f>
        <v>0</v>
      </c>
    </row>
    <row r="551" ht="72" customHeight="1">
      <c r="A551" s="16" t="str">
        <v>1S01-TN-36</v>
      </c>
      <c r="B551" s="16" t="str">
        <v>3店-SANDIEX-US</v>
      </c>
      <c r="C551" s="16" t="str">
        <v>徐新怡</v>
      </c>
      <c r="D551" s="26" t="n">
        <f>IF(NOT(ISNUMBER(E551)),"",IF(OR(E551&lt;=0,L551=0),0,IF(OR(NOT(ISNUMBER(F551)),F551&lt;0),"",MIN(E551,INT(F551)))))</f>
        <v>0</v>
      </c>
      <c r="E551" s="27" t="n">
        <f>IF(OR(NOT(ISNUMBER(L551)),COUNT(M551:O551)&lt;&gt;3,MIN(M551:O551)&lt;0),"",ROUNDUP(ROUND(BI551-SUM(M551:O551),10),0))</f>
        <v>0</v>
      </c>
      <c r="F551" s="28"/>
      <c r="G551" s="28" t="n">
        <f>IF(AND(ISNUMBER(D551),ISNUMBER(E551)),IF(OR(E551&lt;=0,L551=0),0,E551-D551),"")</f>
        <v>0</v>
      </c>
      <c r="H551" s="16" t="str">
        <f>IF(NOT(ISNUMBER(E551)),"销量或海外库存待补",IF(OR(E551&lt;=0,L551=0),IF(L551=0,"零日销，本批不发","本批无需补货"),IF(NOT(ISNUMBER(D551)),"国内库存待补",IF(D551=0,"国内无可用库存",IF(G551&gt;0,"先发国内现货","按建议量发货")))))</f>
        <v>零日销，本批不发</v>
      </c>
      <c r="I551" s="28" t="n">
        <f>IF(AND(COUNT(Z551,AA551,AB551)=3,Z551&gt;=AA551,AA551&gt;=0,AB551=7),Z551-AA551,"")</f>
        <v>0</v>
      </c>
      <c r="J551" s="28" t="n">
        <f>IF(AND(COUNT(AF551,AG551,AH551)=3,AF551&gt;=AG551,AG551&gt;=0,AH551=14),AF551-AG551,"")</f>
        <v>0</v>
      </c>
      <c r="K551" s="28" t="n">
        <f>IF(AND(COUNT(AL551,AM551,AN551)=3,AL551&gt;=AM551,AM551&gt;=0,AN551=30),AL551-AM551,"")</f>
        <v>0</v>
      </c>
      <c r="L551" s="29" t="n">
        <f>IF(ISNUMBER(BI551),BI551/90,"")</f>
        <v>0</v>
      </c>
      <c r="M551" s="28" t="n">
        <v>0</v>
      </c>
      <c r="N551" s="28" t="n">
        <v>0</v>
      </c>
      <c r="O551" s="28" t="n">
        <v>0</v>
      </c>
      <c r="P551" s="30" t="str">
        <f>IF(AND(ISNUMBER(L551),L551&gt;0,COUNT(M551:O551)=3,MIN(M551:O551)&gt;=0),SUM(M551:O551)/L551,"")</f>
      </c>
      <c r="Q551" s="16" t="str">
        <v>沿用同SPU原计划店铺</v>
      </c>
      <c r="R551" s="16" t="str">
        <v>未匹配</v>
      </c>
      <c r="S551" s="16" t="str">
        <v>停售</v>
      </c>
      <c r="T551" s="16" t="str">
        <v>1S01</v>
      </c>
      <c r="U551" s="16" t="str">
        <v>驼色</v>
      </c>
      <c r="V551" s="16" t="n">
        <v>5</v>
      </c>
      <c r="W551" s="8" t="str">
        <v>2026-10-08 至 2026-10-17</v>
      </c>
      <c r="X551" s="8" t="str">
        <v>2026-10-08、2026-10-09、2026-10-10、2026-10-11、2026-10-14、2026-10-15、2026-10-17</v>
      </c>
      <c r="Y551" s="8" t="str">
        <v>2026-10-12 有记录的停售日；2026-10-13 有记录的停售日；2026-10-16 有记录的停售日</v>
      </c>
      <c r="Z551" s="8" t="n">
        <v>0</v>
      </c>
      <c r="AA551" s="8" t="n">
        <v>0</v>
      </c>
      <c r="AB551" s="8" t="n">
        <v>7</v>
      </c>
      <c r="AC551" s="8" t="str">
        <v>2026-09-29 至 2026-10-17</v>
      </c>
      <c r="AD551" s="8" t="str">
        <v>2026-09-29、2026-09-30、2026-10-01、2026-10-02、2026-10-03、2026-10-04、2026-10-05、2026-10-08、2026-10-09、2026-10-10、2026-10-11、2026-10-14、2026-10-15、2026-10-17</v>
      </c>
      <c r="AE551" s="8" t="str">
        <v>2026-10-06 大促；2026-10-07 大促；2026-10-12 有记录的停售日；2026-10-13 有记录的停售日；2026-10-16 有记录的停售日</v>
      </c>
      <c r="AF551" s="8" t="n">
        <v>0</v>
      </c>
      <c r="AG551" s="8" t="n">
        <v>0</v>
      </c>
      <c r="AH551" s="8" t="n">
        <v>14</v>
      </c>
      <c r="AI551" s="8" t="str">
        <v>2026-09-13 至 2026-10-17</v>
      </c>
      <c r="AJ5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51" s="8" t="str">
        <v>2026-10-06 大促；2026-10-07 大促；2026-10-12 有记录的停售日；2026-10-13 有记录的停售日；2026-10-16 有记录的停售日</v>
      </c>
      <c r="AL551" s="8" t="n">
        <v>0</v>
      </c>
      <c r="AM551" s="8" t="n">
        <v>0</v>
      </c>
      <c r="AN551" s="8" t="n">
        <v>30</v>
      </c>
      <c r="AO551" s="8" t="str">
        <v>1S01 / 驼色羊京绒 / 6574</v>
      </c>
      <c r="AP551" s="11" t="n">
        <v>0.8729500662042875</v>
      </c>
      <c r="AQ551" s="11" t="n">
        <v>0.9355747145678367</v>
      </c>
      <c r="AR551" s="11" t="n">
        <v>1.135973589331194</v>
      </c>
      <c r="AS551" s="11" t="n">
        <f>IF(AND(COUNT(I551:K551,AP551:AR551)=6,MIN(AP551:AR551)&gt;0),I551/7/AP551*0.5+J551/14/AQ551*0.3+K551/30/AR551*0.2,"")</f>
        <v>0</v>
      </c>
      <c r="AT551" s="8" t="n">
        <v>0</v>
      </c>
      <c r="AU551" s="8" t="n">
        <v>0</v>
      </c>
      <c r="AV551" s="8" t="n">
        <v>85</v>
      </c>
      <c r="AW551" s="11" t="n">
        <f>IF(AND(COUNT(AT551:AV551)=3,AT551&gt;=AU551,AU551&gt;=0,AV551&gt;0),(AT551-AU551)/AV551,"")</f>
        <v>0</v>
      </c>
      <c r="AX551" s="8" t="n">
        <v>0</v>
      </c>
      <c r="AY551" s="8" t="n">
        <v>0</v>
      </c>
      <c r="AZ551" s="8" t="n">
        <v>175</v>
      </c>
      <c r="BA551" s="11" t="n">
        <f>IF(AND(COUNT(AX551:AZ551)=3,AX551&gt;=AY551,AY551&gt;=0,AZ551&gt;0),(AX551-AY551)/AZ551,"")</f>
        <v>0</v>
      </c>
      <c r="BB551" s="8" t="n">
        <f>IF(COUNT(AS551,AW551,BA551)=3,1,0)</f>
        <v>1</v>
      </c>
      <c r="BC551" s="11" t="n">
        <f>IF(SUMIF($AO$11:$AO$1309,AO551,$BB$11:$BB$1309)=COUNTIF($AO$11:$AO$1309,AO551),SUMIF($AO$11:$AO$1309,AO551,$AS$11:$AS$1309),"")</f>
        <v>1.6617039653335794</v>
      </c>
      <c r="BD551" s="11" t="n">
        <f>IF(SUMIF($AO$11:$AO$1309,AO551,$BB$11:$BB$1309)=COUNTIF($AO$11:$AO$1309,AO551),SUMIF($AO$11:$AO$1309,AO551,$AW$11:$AW$1309),"")</f>
        <v>0.8879679144385026</v>
      </c>
      <c r="BE551" s="11" t="n">
        <f>IF(SUMIF($AO$11:$AO$1309,AO551,$BB$11:$BB$1309)=COUNTIF($AO$11:$AO$1309,AO551),SUMIF($AO$11:$AO$1309,AO551,$BA$11:$BA$1309),"")</f>
        <v>0.7032102728731942</v>
      </c>
      <c r="BF551" s="12" t="n">
        <f>IF(COUNT(BD551:BE551)&lt;&gt;2,"",IF(AND(BD551&gt;0,BE551&gt;0),0.7*AW551/BD551+0.3*BA551/BE551,IF(BD551&gt;0,AW551/BD551,IF(BE551&gt;0,BA551/BE551,IF(AND(ISNUMBER(BH551),BH551=0),0,"")))))</f>
        <v>0</v>
      </c>
      <c r="BG551" s="11" t="n">
        <f>IF(AND(COUNT(BN551:BU551)=8,MIN(BN551:BU551)&gt;=0),SUMPRODUCT(BN551:BQ551,BR551:BU551),"")</f>
        <v>63.935996265425516</v>
      </c>
      <c r="BH551" s="11" t="n">
        <f>IF(COUNT(BC551,BG551)=2,BC551*BG551,"")</f>
        <v>106.24269852181051</v>
      </c>
      <c r="BI551" s="11" t="n">
        <f>IF(ISNUMBER(CI551),CI551,"")</f>
        <v>0</v>
      </c>
      <c r="BJ551" s="8" t="str"/>
      <c r="BK551" s="8" t="str">
        <v>90天：2026-07-20 至 2026-10-17；180天：2026-04-21 至 2026-10-17</v>
      </c>
      <c r="BL551" s="8" t="str">
        <v>90天：2026-10-06、2026-10-07、2026-10-12、2026-10-13、2026-10-16；180天：2026-10-06、2026-10-07、2026-10-12、2026-10-13、2026-10-16</v>
      </c>
      <c r="BM551" s="8" t="str">
        <v>2026-10：12天 × 0.8729500662042875；2026-11：30天 × 0.8057375774163482；2026-12：31天 × 0.532550303142279；2027-01：17天 × 0.7517299265337036</v>
      </c>
      <c r="BN551" s="11" t="n">
        <v>0.8729500662042875</v>
      </c>
      <c r="BO551" s="11" t="n">
        <v>0.8057375774163482</v>
      </c>
      <c r="BP551" s="11" t="n">
        <v>0.532550303142279</v>
      </c>
      <c r="BQ551" s="11" t="n">
        <v>0.7517299265337036</v>
      </c>
      <c r="BR551" s="8" t="n">
        <v>12</v>
      </c>
      <c r="BS551" s="8" t="n">
        <v>30</v>
      </c>
      <c r="BT551" s="8" t="n">
        <v>31</v>
      </c>
      <c r="BU551" s="8" t="n">
        <v>17</v>
      </c>
      <c r="BV551" s="11" t="n">
        <f>IF(COUNT(BC551,BF551)=2,BC551*BF551,"")</f>
        <v>0</v>
      </c>
      <c r="BW551" s="11" t="n">
        <f>IF(ISNUMBER(BN551),BN551,"")</f>
        <v>0.8729500662042875</v>
      </c>
      <c r="BX551" s="14" t="n">
        <f>IF(ISNUMBER(BR551),BR551,"")</f>
        <v>12</v>
      </c>
      <c r="BY551" s="13" t="n">
        <f>IF(AND(COUNT(BV551,BW551,BX551)=3,MIN(BV551,BW551,BX551)&gt;=0),BV551*BW551*BX551,"")</f>
        <v>0</v>
      </c>
      <c r="BZ551" s="11" t="n">
        <f>IF(ISNUMBER(BO551),BO551,"")</f>
        <v>0.8057375774163482</v>
      </c>
      <c r="CA551" s="14" t="n">
        <f>IF(ISNUMBER(BS551),BS551,"")</f>
        <v>30</v>
      </c>
      <c r="CB551" s="13" t="n">
        <f>IF(AND(COUNT(BV551,BZ551,CA551)=3,MIN(BV551,BZ551,CA551)&gt;=0),BV551*BZ551*CA551,"")</f>
        <v>0</v>
      </c>
      <c r="CC551" s="11" t="n">
        <f>IF(ISNUMBER(BP551),BP551,"")</f>
        <v>0.532550303142279</v>
      </c>
      <c r="CD551" s="14" t="n">
        <f>IF(ISNUMBER(BT551),BT551,"")</f>
        <v>31</v>
      </c>
      <c r="CE551" s="13" t="n">
        <f>IF(AND(COUNT(BV551,CC551,CD551)=3,MIN(BV551,CC551,CD551)&gt;=0),BV551*CC551*CD551,"")</f>
        <v>0</v>
      </c>
      <c r="CF551" s="11" t="n">
        <f>IF(ISNUMBER(BQ551),BQ551,"")</f>
        <v>0.7517299265337036</v>
      </c>
      <c r="CG551" s="14" t="n">
        <f>IF(ISNUMBER(BU551),BU551,"")</f>
        <v>17</v>
      </c>
      <c r="CH551" s="13" t="n">
        <f>IF(AND(COUNT(BV551,CF551,CG551)=3,MIN(BV551,CF551,CG551)&gt;=0),BV551*CF551*CG551,"")</f>
        <v>0</v>
      </c>
      <c r="CI551" s="13" t="n">
        <f>IF(COUNT(BY551,CB551,CE551,CH551)=4,SUM(BY551,CB551,CE551,CH551),"")</f>
        <v>0</v>
      </c>
    </row>
    <row r="552" ht="72" customHeight="1">
      <c r="A552" s="16" t="str">
        <v>1S01-TN-37</v>
      </c>
      <c r="B552" s="16" t="str">
        <v>3店-SANDIEX-US</v>
      </c>
      <c r="C552" s="16" t="str">
        <v>徐新怡</v>
      </c>
      <c r="D552" s="26" t="n">
        <f>IF(NOT(ISNUMBER(E552)),"",IF(OR(E552&lt;=0,L552=0),0,IF(OR(NOT(ISNUMBER(F552)),F552&lt;0),"",MIN(E552,INT(F552)))))</f>
        <v>0</v>
      </c>
      <c r="E552" s="27" t="n">
        <f>IF(OR(NOT(ISNUMBER(L552)),COUNT(M552:O552)&lt;&gt;3,MIN(M552:O552)&lt;0),"",ROUNDUP(ROUND(BI552-SUM(M552:O552),10),0))</f>
        <v>-7</v>
      </c>
      <c r="F552" s="28" t="n">
        <v>3</v>
      </c>
      <c r="G552" s="28" t="n">
        <f>IF(AND(ISNUMBER(D552),ISNUMBER(E552)),IF(OR(E552&lt;=0,L552=0),0,E552-D552),"")</f>
        <v>0</v>
      </c>
      <c r="H552" s="16" t="str">
        <f>IF(NOT(ISNUMBER(E552)),"销量或海外库存待补",IF(OR(E552&lt;=0,L552=0),IF(L552=0,"零日销，本批不发","本批无需补货"),IF(NOT(ISNUMBER(D552)),"国内库存待补",IF(D552=0,"国内无可用库存",IF(G552&gt;0,"先发国内现货","按建议量发货")))))</f>
        <v>本批无需补货</v>
      </c>
      <c r="I552" s="28" t="n">
        <f>IF(AND(COUNT(Z552,AA552,AB552)=3,Z552&gt;=AA552,AA552&gt;=0,AB552=7),Z552-AA552,"")</f>
        <v>0</v>
      </c>
      <c r="J552" s="28" t="n">
        <f>IF(AND(COUNT(AF552,AG552,AH552)=3,AF552&gt;=AG552,AG552&gt;=0,AH552=14),AF552-AG552,"")</f>
        <v>0</v>
      </c>
      <c r="K552" s="28" t="n">
        <f>IF(AND(COUNT(AL552,AM552,AN552)=3,AL552&gt;=AM552,AM552&gt;=0,AN552=30),AL552-AM552,"")</f>
        <v>0</v>
      </c>
      <c r="L552" s="29" t="n">
        <f>IF(ISNUMBER(BI552),BI552/90,"")</f>
        <v>0.0536164790321323</v>
      </c>
      <c r="M552" s="28" t="n">
        <v>11</v>
      </c>
      <c r="N552" s="28" t="n">
        <v>0</v>
      </c>
      <c r="O552" s="28" t="n">
        <v>0</v>
      </c>
      <c r="P552" s="30" t="n">
        <f>IF(AND(ISNUMBER(L552),L552&gt;0,COUNT(M552:O552)=3,MIN(M552:O552)&gt;=0),SUM(M552:O552)/L552,"")</f>
        <v>205.16080500936496</v>
      </c>
      <c r="Q552" s="16" t="str">
        <v>沿用原计划SKU店铺</v>
      </c>
      <c r="R552" s="16" t="str">
        <v>已匹配</v>
      </c>
      <c r="S552" s="16" t="str">
        <v>在售</v>
      </c>
      <c r="T552" s="16" t="str">
        <v>1S01</v>
      </c>
      <c r="U552" s="16" t="str">
        <v>驼色</v>
      </c>
      <c r="V552" s="16" t="n">
        <v>6</v>
      </c>
      <c r="W552" s="8" t="str">
        <v>2026-10-11 至 2026-10-17</v>
      </c>
      <c r="X552" s="8" t="str">
        <v>2026-10-11、2026-10-12、2026-10-13、2026-10-14、2026-10-15、2026-10-16、2026-10-17</v>
      </c>
      <c r="Y552" s="8" t="str">
        <v>无</v>
      </c>
      <c r="Z552" s="8" t="n">
        <v>0</v>
      </c>
      <c r="AA552" s="8" t="n">
        <v>0</v>
      </c>
      <c r="AB552" s="8" t="n">
        <v>7</v>
      </c>
      <c r="AC552" s="8" t="str">
        <v>2026-10-02 至 2026-10-17</v>
      </c>
      <c r="AD552" s="8" t="str">
        <v>2026-10-02、2026-10-03、2026-10-04、2026-10-05、2026-10-08、2026-10-09、2026-10-10、2026-10-11、2026-10-12、2026-10-13、2026-10-14、2026-10-15、2026-10-16、2026-10-17</v>
      </c>
      <c r="AE552" s="8" t="str">
        <v>2026-10-06 大促；2026-10-07 大促</v>
      </c>
      <c r="AF552" s="8" t="n">
        <v>1</v>
      </c>
      <c r="AG552" s="8" t="n">
        <v>1</v>
      </c>
      <c r="AH552" s="8" t="n">
        <v>14</v>
      </c>
      <c r="AI552" s="8" t="str">
        <v>2026-09-16 至 2026-10-17</v>
      </c>
      <c r="AJ5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2" s="8" t="str">
        <v>2026-10-06 大促；2026-10-07 大促</v>
      </c>
      <c r="AL552" s="8" t="n">
        <v>1</v>
      </c>
      <c r="AM552" s="8" t="n">
        <v>1</v>
      </c>
      <c r="AN552" s="8" t="n">
        <v>30</v>
      </c>
      <c r="AO552" s="8" t="str">
        <v>1S01 / 驼色羊京绒 / 6574</v>
      </c>
      <c r="AP552" s="11" t="n">
        <v>0.8729500662042875</v>
      </c>
      <c r="AQ552" s="11" t="n">
        <v>0.8729500662042875</v>
      </c>
      <c r="AR552" s="11" t="n">
        <v>1.0921363354767095</v>
      </c>
      <c r="AS552" s="11" t="n">
        <f>IF(AND(COUNT(I552:K552,AP552:AR552)=6,MIN(AP552:AR552)&gt;0),I552/7/AP552*0.5+J552/14/AQ552*0.3+K552/30/AR552*0.2,"")</f>
        <v>0</v>
      </c>
      <c r="AT552" s="8" t="n">
        <v>5</v>
      </c>
      <c r="AU552" s="8" t="n">
        <v>1</v>
      </c>
      <c r="AV552" s="8" t="n">
        <v>88</v>
      </c>
      <c r="AW552" s="11" t="n">
        <f>IF(AND(COUNT(AT552:AV552)=3,AT552&gt;=AU552,AU552&gt;=0,AV552&gt;0),(AT552-AU552)/AV552,"")</f>
        <v>0.045454545454545456</v>
      </c>
      <c r="AX552" s="8" t="n">
        <v>5</v>
      </c>
      <c r="AY552" s="8" t="n">
        <v>1</v>
      </c>
      <c r="AZ552" s="8" t="n">
        <v>178</v>
      </c>
      <c r="BA552" s="11" t="n">
        <f>IF(AND(COUNT(AX552:AZ552)=3,AX552&gt;=AY552,AY552&gt;=0,AZ552&gt;0),(AX552-AY552)/AZ552,"")</f>
        <v>0.02247191011235955</v>
      </c>
      <c r="BB552" s="8" t="n">
        <f>IF(COUNT(AS552,AW552,BA552)=3,1,0)</f>
        <v>1</v>
      </c>
      <c r="BC552" s="11" t="n">
        <f>IF(SUMIF($AO$11:$AO$1309,AO552,$BB$11:$BB$1309)=COUNTIF($AO$11:$AO$1309,AO552),SUMIF($AO$11:$AO$1309,AO552,$AS$11:$AS$1309),"")</f>
        <v>1.6617039653335794</v>
      </c>
      <c r="BD552" s="11" t="n">
        <f>IF(SUMIF($AO$11:$AO$1309,AO552,$BB$11:$BB$1309)=COUNTIF($AO$11:$AO$1309,AO552),SUMIF($AO$11:$AO$1309,AO552,$AW$11:$AW$1309),"")</f>
        <v>0.8879679144385026</v>
      </c>
      <c r="BE552" s="11" t="n">
        <f>IF(SUMIF($AO$11:$AO$1309,AO552,$BB$11:$BB$1309)=COUNTIF($AO$11:$AO$1309,AO552),SUMIF($AO$11:$AO$1309,AO552,$BA$11:$BA$1309),"")</f>
        <v>0.7032102728731942</v>
      </c>
      <c r="BF552" s="12" t="n">
        <f>IF(COUNT(BD552:BE552)&lt;&gt;2,"",IF(AND(BD552&gt;0,BE552&gt;0),0.7*AW552/BD552+0.3*BA552/BE552,IF(BD552&gt;0,AW552/BD552,IF(BE552&gt;0,BA552/BE552,IF(AND(ISNUMBER(BH552),BH552=0),0,"")))))</f>
        <v>0.04541943286485035</v>
      </c>
      <c r="BG552" s="11" t="n">
        <f>IF(AND(COUNT(BN552:BU552)=8,MIN(BN552:BU552)&gt;=0),SUMPRODUCT(BN552:BQ552,BR552:BU552),"")</f>
        <v>63.935996265425516</v>
      </c>
      <c r="BH552" s="11" t="n">
        <f>IF(COUNT(BC552,BG552)=2,BC552*BG552,"")</f>
        <v>106.24269852181051</v>
      </c>
      <c r="BI552" s="11" t="n">
        <f>IF(ISNUMBER(CI552),CI552,"")</f>
        <v>4.825483112891907</v>
      </c>
      <c r="BJ552" s="8" t="str"/>
      <c r="BK552" s="8" t="str">
        <v>90天：2026-07-20 至 2026-10-17；180天：2026-04-21 至 2026-10-17</v>
      </c>
      <c r="BL552" s="8" t="str">
        <v>90天：2026-10-06、2026-10-07；180天：2026-10-06、2026-10-07</v>
      </c>
      <c r="BM552" s="8" t="str">
        <v>2026-10：12天 × 0.8729500662042875；2026-11：30天 × 0.8057375774163482；2026-12：31天 × 0.532550303142279；2027-01：17天 × 0.7517299265337036</v>
      </c>
      <c r="BN552" s="11" t="n">
        <v>0.8729500662042875</v>
      </c>
      <c r="BO552" s="11" t="n">
        <v>0.8057375774163482</v>
      </c>
      <c r="BP552" s="11" t="n">
        <v>0.532550303142279</v>
      </c>
      <c r="BQ552" s="11" t="n">
        <v>0.7517299265337036</v>
      </c>
      <c r="BR552" s="8" t="n">
        <v>12</v>
      </c>
      <c r="BS552" s="8" t="n">
        <v>30</v>
      </c>
      <c r="BT552" s="8" t="n">
        <v>31</v>
      </c>
      <c r="BU552" s="8" t="n">
        <v>17</v>
      </c>
      <c r="BV552" s="11" t="n">
        <f>IF(COUNT(BC552,BF552)=2,BC552*BF552,"")</f>
        <v>0.07547365169472411</v>
      </c>
      <c r="BW552" s="11" t="n">
        <f>IF(ISNUMBER(BN552),BN552,"")</f>
        <v>0.8729500662042875</v>
      </c>
      <c r="BX552" s="14" t="n">
        <f>IF(ISNUMBER(BR552),BR552,"")</f>
        <v>12</v>
      </c>
      <c r="BY552" s="13" t="n">
        <f>IF(AND(COUNT(BV552,BW552,BX552)=3,MIN(BV552,BW552,BX552)&gt;=0),BV552*BW552*BX552,"")</f>
        <v>0.790616750923065</v>
      </c>
      <c r="BZ552" s="11" t="n">
        <f>IF(ISNUMBER(BO552),BO552,"")</f>
        <v>0.8057375774163482</v>
      </c>
      <c r="CA552" s="14" t="n">
        <f>IF(ISNUMBER(BS552),BS552,"")</f>
        <v>30</v>
      </c>
      <c r="CB552" s="13" t="n">
        <f>IF(AND(COUNT(BV552,BZ552,CA552)=3,MIN(BV552,BZ552,CA552)&gt;=0),BV552*BZ552*CA552,"")</f>
        <v>1.8243587182581682</v>
      </c>
      <c r="CC552" s="11" t="n">
        <f>IF(ISNUMBER(BP552),BP552,"")</f>
        <v>0.532550303142279</v>
      </c>
      <c r="CD552" s="14" t="n">
        <f>IF(ISNUMBER(BT552),BT552,"")</f>
        <v>31</v>
      </c>
      <c r="CE552" s="13" t="n">
        <f>IF(AND(COUNT(BV552,CC552,CD552)=3,MIN(BV552,CC552,CD552)&gt;=0),BV552*CC552*CD552,"")</f>
        <v>1.2459989987676834</v>
      </c>
      <c r="CF552" s="11" t="n">
        <f>IF(ISNUMBER(BQ552),BQ552,"")</f>
        <v>0.7517299265337036</v>
      </c>
      <c r="CG552" s="14" t="n">
        <f>IF(ISNUMBER(BU552),BU552,"")</f>
        <v>17</v>
      </c>
      <c r="CH552" s="13" t="n">
        <f>IF(AND(COUNT(BV552,CF552,CG552)=3,MIN(BV552,CF552,CG552)&gt;=0),BV552*CF552*CG552,"")</f>
        <v>0.9645086449429899</v>
      </c>
      <c r="CI552" s="13" t="n">
        <f>IF(COUNT(BY552,CB552,CE552,CH552)=4,SUM(BY552,CB552,CE552,CH552),"")</f>
        <v>4.825483112891907</v>
      </c>
    </row>
    <row r="553" ht="72" customHeight="1">
      <c r="A553" s="16" t="str">
        <v>1S01-TN-38.5</v>
      </c>
      <c r="B553" s="16" t="str">
        <v>3店-SANDIEX-US</v>
      </c>
      <c r="C553" s="16" t="str">
        <v>徐新怡</v>
      </c>
      <c r="D553" s="26" t="n">
        <f>IF(NOT(ISNUMBER(E553)),"",IF(OR(E553&lt;=0,L553=0),0,IF(OR(NOT(ISNUMBER(F553)),F553&lt;0),"",MIN(E553,INT(F553)))))</f>
        <v>0</v>
      </c>
      <c r="E553" s="27" t="n">
        <f>IF(OR(NOT(ISNUMBER(L553)),COUNT(M553:O553)&lt;&gt;3,MIN(M553:O553)&lt;0),"",ROUNDUP(ROUND(BI553-SUM(M553:O553),10),0))</f>
        <v>0</v>
      </c>
      <c r="F553" s="28"/>
      <c r="G553" s="28" t="n">
        <f>IF(AND(ISNUMBER(D553),ISNUMBER(E553)),IF(OR(E553&lt;=0,L553=0),0,E553-D553),"")</f>
        <v>0</v>
      </c>
      <c r="H553" s="16" t="str">
        <f>IF(NOT(ISNUMBER(E553)),"销量或海外库存待补",IF(OR(E553&lt;=0,L553=0),IF(L553=0,"零日销，本批不发","本批无需补货"),IF(NOT(ISNUMBER(D553)),"国内库存待补",IF(D553=0,"国内无可用库存",IF(G553&gt;0,"先发国内现货","按建议量发货")))))</f>
        <v>零日销，本批不发</v>
      </c>
      <c r="I553" s="28" t="n">
        <f>IF(AND(COUNT(Z553,AA553,AB553)=3,Z553&gt;=AA553,AA553&gt;=0,AB553=7),Z553-AA553,"")</f>
        <v>0</v>
      </c>
      <c r="J553" s="28" t="n">
        <f>IF(AND(COUNT(AF553,AG553,AH553)=3,AF553&gt;=AG553,AG553&gt;=0,AH553=14),AF553-AG553,"")</f>
        <v>0</v>
      </c>
      <c r="K553" s="28" t="n">
        <f>IF(AND(COUNT(AL553,AM553,AN553)=3,AL553&gt;=AM553,AM553&gt;=0,AN553=30),AL553-AM553,"")</f>
        <v>0</v>
      </c>
      <c r="L553" s="29" t="n">
        <f>IF(ISNUMBER(BI553),BI553/90,"")</f>
        <v>0</v>
      </c>
      <c r="M553" s="28" t="n">
        <v>0</v>
      </c>
      <c r="N553" s="28" t="n">
        <v>0</v>
      </c>
      <c r="O553" s="28" t="n">
        <v>0</v>
      </c>
      <c r="P553" s="30" t="str">
        <f>IF(AND(ISNUMBER(L553),L553&gt;0,COUNT(M553:O553)=3,MIN(M553:O553)&gt;=0),SUM(M553:O553)/L553,"")</f>
      </c>
      <c r="Q553" s="16" t="str">
        <v>沿用同SPU原计划店铺</v>
      </c>
      <c r="R553" s="16" t="str">
        <v>未匹配</v>
      </c>
      <c r="S553" s="16" t="str">
        <v>停售</v>
      </c>
      <c r="T553" s="16" t="str">
        <v>1S01</v>
      </c>
      <c r="U553" s="16" t="str">
        <v>驼色</v>
      </c>
      <c r="V553" s="16" t="n">
        <v>7.5</v>
      </c>
      <c r="W553" s="8" t="str">
        <v>2026-10-08 至 2026-10-17</v>
      </c>
      <c r="X553" s="8" t="str">
        <v>2026-10-08、2026-10-09、2026-10-10、2026-10-11、2026-10-14、2026-10-15、2026-10-17</v>
      </c>
      <c r="Y553" s="8" t="str">
        <v>2026-10-12 有记录的停售日；2026-10-13 有记录的停售日；2026-10-16 有记录的停售日</v>
      </c>
      <c r="Z553" s="8" t="n">
        <v>0</v>
      </c>
      <c r="AA553" s="8" t="n">
        <v>0</v>
      </c>
      <c r="AB553" s="8" t="n">
        <v>7</v>
      </c>
      <c r="AC553" s="8" t="str">
        <v>2026-09-29 至 2026-10-17</v>
      </c>
      <c r="AD553" s="8" t="str">
        <v>2026-09-29、2026-09-30、2026-10-01、2026-10-02、2026-10-03、2026-10-04、2026-10-05、2026-10-08、2026-10-09、2026-10-10、2026-10-11、2026-10-14、2026-10-15、2026-10-17</v>
      </c>
      <c r="AE553" s="8" t="str">
        <v>2026-10-06 大促；2026-10-07 大促；2026-10-12 有记录的停售日；2026-10-13 有记录的停售日；2026-10-16 有记录的停售日</v>
      </c>
      <c r="AF553" s="8" t="n">
        <v>0</v>
      </c>
      <c r="AG553" s="8" t="n">
        <v>0</v>
      </c>
      <c r="AH553" s="8" t="n">
        <v>14</v>
      </c>
      <c r="AI553" s="8" t="str">
        <v>2026-09-13 至 2026-10-17</v>
      </c>
      <c r="AJ55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53" s="8" t="str">
        <v>2026-10-06 大促；2026-10-07 大促；2026-10-12 有记录的停售日；2026-10-13 有记录的停售日；2026-10-16 有记录的停售日</v>
      </c>
      <c r="AL553" s="8" t="n">
        <v>0</v>
      </c>
      <c r="AM553" s="8" t="n">
        <v>0</v>
      </c>
      <c r="AN553" s="8" t="n">
        <v>30</v>
      </c>
      <c r="AO553" s="8" t="str">
        <v>1S01 / 驼色羊京绒 / 6574</v>
      </c>
      <c r="AP553" s="11" t="n">
        <v>0.8729500662042875</v>
      </c>
      <c r="AQ553" s="11" t="n">
        <v>0.9355747145678367</v>
      </c>
      <c r="AR553" s="11" t="n">
        <v>1.135973589331194</v>
      </c>
      <c r="AS553" s="11" t="n">
        <f>IF(AND(COUNT(I553:K553,AP553:AR553)=6,MIN(AP553:AR553)&gt;0),I553/7/AP553*0.5+J553/14/AQ553*0.3+K553/30/AR553*0.2,"")</f>
        <v>0</v>
      </c>
      <c r="AT553" s="8" t="n">
        <v>0</v>
      </c>
      <c r="AU553" s="8" t="n">
        <v>0</v>
      </c>
      <c r="AV553" s="8" t="n">
        <v>85</v>
      </c>
      <c r="AW553" s="11" t="n">
        <f>IF(AND(COUNT(AT553:AV553)=3,AT553&gt;=AU553,AU553&gt;=0,AV553&gt;0),(AT553-AU553)/AV553,"")</f>
        <v>0</v>
      </c>
      <c r="AX553" s="8" t="n">
        <v>0</v>
      </c>
      <c r="AY553" s="8" t="n">
        <v>0</v>
      </c>
      <c r="AZ553" s="8" t="n">
        <v>175</v>
      </c>
      <c r="BA553" s="11" t="n">
        <f>IF(AND(COUNT(AX553:AZ553)=3,AX553&gt;=AY553,AY553&gt;=0,AZ553&gt;0),(AX553-AY553)/AZ553,"")</f>
        <v>0</v>
      </c>
      <c r="BB553" s="8" t="n">
        <f>IF(COUNT(AS553,AW553,BA553)=3,1,0)</f>
        <v>1</v>
      </c>
      <c r="BC553" s="11" t="n">
        <f>IF(SUMIF($AO$11:$AO$1309,AO553,$BB$11:$BB$1309)=COUNTIF($AO$11:$AO$1309,AO553),SUMIF($AO$11:$AO$1309,AO553,$AS$11:$AS$1309),"")</f>
        <v>1.6617039653335794</v>
      </c>
      <c r="BD553" s="11" t="n">
        <f>IF(SUMIF($AO$11:$AO$1309,AO553,$BB$11:$BB$1309)=COUNTIF($AO$11:$AO$1309,AO553),SUMIF($AO$11:$AO$1309,AO553,$AW$11:$AW$1309),"")</f>
        <v>0.8879679144385026</v>
      </c>
      <c r="BE553" s="11" t="n">
        <f>IF(SUMIF($AO$11:$AO$1309,AO553,$BB$11:$BB$1309)=COUNTIF($AO$11:$AO$1309,AO553),SUMIF($AO$11:$AO$1309,AO553,$BA$11:$BA$1309),"")</f>
        <v>0.7032102728731942</v>
      </c>
      <c r="BF553" s="12" t="n">
        <f>IF(COUNT(BD553:BE553)&lt;&gt;2,"",IF(AND(BD553&gt;0,BE553&gt;0),0.7*AW553/BD553+0.3*BA553/BE553,IF(BD553&gt;0,AW553/BD553,IF(BE553&gt;0,BA553/BE553,IF(AND(ISNUMBER(BH553),BH553=0),0,"")))))</f>
        <v>0</v>
      </c>
      <c r="BG553" s="11" t="n">
        <f>IF(AND(COUNT(BN553:BU553)=8,MIN(BN553:BU553)&gt;=0),SUMPRODUCT(BN553:BQ553,BR553:BU553),"")</f>
        <v>63.935996265425516</v>
      </c>
      <c r="BH553" s="11" t="n">
        <f>IF(COUNT(BC553,BG553)=2,BC553*BG553,"")</f>
        <v>106.24269852181051</v>
      </c>
      <c r="BI553" s="11" t="n">
        <f>IF(ISNUMBER(CI553),CI553,"")</f>
        <v>0</v>
      </c>
      <c r="BJ553" s="8" t="str"/>
      <c r="BK553" s="8" t="str">
        <v>90天：2026-07-20 至 2026-10-17；180天：2026-04-21 至 2026-10-17</v>
      </c>
      <c r="BL553" s="8" t="str">
        <v>90天：2026-10-06、2026-10-07、2026-10-12、2026-10-13、2026-10-16；180天：2026-10-06、2026-10-07、2026-10-12、2026-10-13、2026-10-16</v>
      </c>
      <c r="BM553" s="8" t="str">
        <v>2026-10：12天 × 0.8729500662042875；2026-11：30天 × 0.8057375774163482；2026-12：31天 × 0.532550303142279；2027-01：17天 × 0.7517299265337036</v>
      </c>
      <c r="BN553" s="11" t="n">
        <v>0.8729500662042875</v>
      </c>
      <c r="BO553" s="11" t="n">
        <v>0.8057375774163482</v>
      </c>
      <c r="BP553" s="11" t="n">
        <v>0.532550303142279</v>
      </c>
      <c r="BQ553" s="11" t="n">
        <v>0.7517299265337036</v>
      </c>
      <c r="BR553" s="8" t="n">
        <v>12</v>
      </c>
      <c r="BS553" s="8" t="n">
        <v>30</v>
      </c>
      <c r="BT553" s="8" t="n">
        <v>31</v>
      </c>
      <c r="BU553" s="8" t="n">
        <v>17</v>
      </c>
      <c r="BV553" s="11" t="n">
        <f>IF(COUNT(BC553,BF553)=2,BC553*BF553,"")</f>
        <v>0</v>
      </c>
      <c r="BW553" s="11" t="n">
        <f>IF(ISNUMBER(BN553),BN553,"")</f>
        <v>0.8729500662042875</v>
      </c>
      <c r="BX553" s="14" t="n">
        <f>IF(ISNUMBER(BR553),BR553,"")</f>
        <v>12</v>
      </c>
      <c r="BY553" s="13" t="n">
        <f>IF(AND(COUNT(BV553,BW553,BX553)=3,MIN(BV553,BW553,BX553)&gt;=0),BV553*BW553*BX553,"")</f>
        <v>0</v>
      </c>
      <c r="BZ553" s="11" t="n">
        <f>IF(ISNUMBER(BO553),BO553,"")</f>
        <v>0.8057375774163482</v>
      </c>
      <c r="CA553" s="14" t="n">
        <f>IF(ISNUMBER(BS553),BS553,"")</f>
        <v>30</v>
      </c>
      <c r="CB553" s="13" t="n">
        <f>IF(AND(COUNT(BV553,BZ553,CA553)=3,MIN(BV553,BZ553,CA553)&gt;=0),BV553*BZ553*CA553,"")</f>
        <v>0</v>
      </c>
      <c r="CC553" s="11" t="n">
        <f>IF(ISNUMBER(BP553),BP553,"")</f>
        <v>0.532550303142279</v>
      </c>
      <c r="CD553" s="14" t="n">
        <f>IF(ISNUMBER(BT553),BT553,"")</f>
        <v>31</v>
      </c>
      <c r="CE553" s="13" t="n">
        <f>IF(AND(COUNT(BV553,CC553,CD553)=3,MIN(BV553,CC553,CD553)&gt;=0),BV553*CC553*CD553,"")</f>
        <v>0</v>
      </c>
      <c r="CF553" s="11" t="n">
        <f>IF(ISNUMBER(BQ553),BQ553,"")</f>
        <v>0.7517299265337036</v>
      </c>
      <c r="CG553" s="14" t="n">
        <f>IF(ISNUMBER(BU553),BU553,"")</f>
        <v>17</v>
      </c>
      <c r="CH553" s="13" t="n">
        <f>IF(AND(COUNT(BV553,CF553,CG553)=3,MIN(BV553,CF553,CG553)&gt;=0),BV553*CF553*CG553,"")</f>
        <v>0</v>
      </c>
      <c r="CI553" s="13" t="n">
        <f>IF(COUNT(BY553,CB553,CE553,CH553)=4,SUM(BY553,CB553,CE553,CH553),"")</f>
        <v>0</v>
      </c>
    </row>
    <row r="554" ht="72" customHeight="1">
      <c r="A554" s="16" t="str">
        <v>1S01-TN-39</v>
      </c>
      <c r="B554" s="16" t="str">
        <v>3店-SANDIEX-US</v>
      </c>
      <c r="C554" s="16" t="str">
        <v>徐新怡</v>
      </c>
      <c r="D554" s="26" t="n">
        <f>IF(NOT(ISNUMBER(E554)),"",IF(OR(E554&lt;=0,L554=0),0,IF(OR(NOT(ISNUMBER(F554)),F554&lt;0),"",MIN(E554,INT(F554)))))</f>
        <v>0</v>
      </c>
      <c r="E554" s="27" t="n">
        <f>IF(OR(NOT(ISNUMBER(L554)),COUNT(M554:O554)&lt;&gt;3,MIN(M554:O554)&lt;0),"",ROUNDUP(ROUND(BI554-SUM(M554:O554),10),0))</f>
        <v>-10</v>
      </c>
      <c r="F554" s="28" t="n">
        <v>225</v>
      </c>
      <c r="G554" s="28" t="n">
        <f>IF(AND(ISNUMBER(D554),ISNUMBER(E554)),IF(OR(E554&lt;=0,L554=0),0,E554-D554),"")</f>
        <v>0</v>
      </c>
      <c r="H554" s="16" t="str">
        <f>IF(NOT(ISNUMBER(E554)),"销量或海外库存待补",IF(OR(E554&lt;=0,L554=0),IF(L554=0,"零日销，本批不发","本批无需补货"),IF(NOT(ISNUMBER(D554)),"国内库存待补",IF(D554=0,"国内无可用库存",IF(G554&gt;0,"先发国内现货","按建议量发货")))))</f>
        <v>本批无需补货</v>
      </c>
      <c r="I554" s="28" t="n">
        <f>IF(AND(COUNT(Z554,AA554,AB554)=3,Z554&gt;=AA554,AA554&gt;=0,AB554=7),Z554-AA554,"")</f>
        <v>8</v>
      </c>
      <c r="J554" s="28" t="n">
        <f>IF(AND(COUNT(AF554,AG554,AH554)=3,AF554&gt;=AG554,AG554&gt;=0,AH554=14),AF554-AG554,"")</f>
        <v>9</v>
      </c>
      <c r="K554" s="28" t="n">
        <f>IF(AND(COUNT(AL554,AM554,AN554)=3,AL554&gt;=AM554,AM554&gt;=0,AN554=30),AL554-AM554,"")</f>
        <v>12</v>
      </c>
      <c r="L554" s="29" t="n">
        <f>IF(ISNUMBER(BI554),BI554/90,"")</f>
        <v>0.31752470268715677</v>
      </c>
      <c r="M554" s="28" t="n">
        <v>18</v>
      </c>
      <c r="N554" s="28" t="n">
        <v>0</v>
      </c>
      <c r="O554" s="28" t="n">
        <v>20</v>
      </c>
      <c r="P554" s="30" t="n">
        <f>IF(AND(ISNUMBER(L554),L554&gt;0,COUNT(M554:O554)=3,MIN(M554:O554)&gt;=0),SUM(M554:O554)/L554,"")</f>
        <v>119.6757281509519</v>
      </c>
      <c r="Q554" s="16" t="str">
        <v>沿用原计划SKU店铺</v>
      </c>
      <c r="R554" s="16" t="str">
        <v>已匹配</v>
      </c>
      <c r="S554" s="16" t="str">
        <v>在售</v>
      </c>
      <c r="T554" s="16" t="str">
        <v>1S01</v>
      </c>
      <c r="U554" s="16" t="str">
        <v>驼色</v>
      </c>
      <c r="V554" s="16" t="n">
        <v>8</v>
      </c>
      <c r="W554" s="8" t="str">
        <v>2026-10-11 至 2026-10-17</v>
      </c>
      <c r="X554" s="8" t="str">
        <v>2026-10-11、2026-10-12、2026-10-13、2026-10-14、2026-10-15、2026-10-16、2026-10-17</v>
      </c>
      <c r="Y554" s="8" t="str">
        <v>无</v>
      </c>
      <c r="Z554" s="8" t="n">
        <v>8</v>
      </c>
      <c r="AA554" s="8" t="n">
        <v>0</v>
      </c>
      <c r="AB554" s="8" t="n">
        <v>7</v>
      </c>
      <c r="AC554" s="8" t="str">
        <v>2026-10-02 至 2026-10-17</v>
      </c>
      <c r="AD554" s="8" t="str">
        <v>2026-10-02、2026-10-03、2026-10-04、2026-10-05、2026-10-08、2026-10-09、2026-10-10、2026-10-11、2026-10-12、2026-10-13、2026-10-14、2026-10-15、2026-10-16、2026-10-17</v>
      </c>
      <c r="AE554" s="8" t="str">
        <v>2026-10-06 大促；2026-10-07 大促</v>
      </c>
      <c r="AF554" s="8" t="n">
        <v>12</v>
      </c>
      <c r="AG554" s="8" t="n">
        <v>3</v>
      </c>
      <c r="AH554" s="8" t="n">
        <v>14</v>
      </c>
      <c r="AI554" s="8" t="str">
        <v>2026-09-16 至 2026-10-17</v>
      </c>
      <c r="AJ5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4" s="8" t="str">
        <v>2026-10-06 大促；2026-10-07 大促</v>
      </c>
      <c r="AL554" s="8" t="n">
        <v>15</v>
      </c>
      <c r="AM554" s="8" t="n">
        <v>3</v>
      </c>
      <c r="AN554" s="8" t="n">
        <v>30</v>
      </c>
      <c r="AO554" s="8" t="str">
        <v>1S01 / 驼色羊京绒 / 6574</v>
      </c>
      <c r="AP554" s="11" t="n">
        <v>0.8729500662042875</v>
      </c>
      <c r="AQ554" s="11" t="n">
        <v>0.8729500662042875</v>
      </c>
      <c r="AR554" s="11" t="n">
        <v>1.0921363354767095</v>
      </c>
      <c r="AS554" s="11" t="n">
        <f>IF(AND(COUNT(I554:K554,AP554:AR554)=6,MIN(AP554:AR554)&gt;0),I554/7/AP554*0.5+J554/14/AQ554*0.3+K554/30/AR554*0.2,"")</f>
        <v>0.9487714689950203</v>
      </c>
      <c r="AT554" s="8" t="n">
        <v>25</v>
      </c>
      <c r="AU554" s="8" t="n">
        <v>3</v>
      </c>
      <c r="AV554" s="8" t="n">
        <v>88</v>
      </c>
      <c r="AW554" s="11" t="n">
        <f>IF(AND(COUNT(AT554:AV554)=3,AT554&gt;=AU554,AU554&gt;=0,AV554&gt;0),(AT554-AU554)/AV554,"")</f>
        <v>0.25</v>
      </c>
      <c r="AX554" s="8" t="n">
        <v>33</v>
      </c>
      <c r="AY554" s="8" t="n">
        <v>3</v>
      </c>
      <c r="AZ554" s="8" t="n">
        <v>178</v>
      </c>
      <c r="BA554" s="11" t="n">
        <f>IF(AND(COUNT(AX554:AZ554)=3,AX554&gt;=AY554,AY554&gt;=0,AZ554&gt;0),(AX554-AY554)/AZ554,"")</f>
        <v>0.16853932584269662</v>
      </c>
      <c r="BB554" s="8" t="n">
        <f>IF(COUNT(AS554,AW554,BA554)=3,1,0)</f>
        <v>1</v>
      </c>
      <c r="BC554" s="11" t="n">
        <f>IF(SUMIF($AO$11:$AO$1309,AO554,$BB$11:$BB$1309)=COUNTIF($AO$11:$AO$1309,AO554),SUMIF($AO$11:$AO$1309,AO554,$AS$11:$AS$1309),"")</f>
        <v>1.6617039653335794</v>
      </c>
      <c r="BD554" s="11" t="n">
        <f>IF(SUMIF($AO$11:$AO$1309,AO554,$BB$11:$BB$1309)=COUNTIF($AO$11:$AO$1309,AO554),SUMIF($AO$11:$AO$1309,AO554,$AW$11:$AW$1309),"")</f>
        <v>0.8879679144385026</v>
      </c>
      <c r="BE554" s="11" t="n">
        <f>IF(SUMIF($AO$11:$AO$1309,AO554,$BB$11:$BB$1309)=COUNTIF($AO$11:$AO$1309,AO554),SUMIF($AO$11:$AO$1309,AO554,$BA$11:$BA$1309),"")</f>
        <v>0.7032102728731942</v>
      </c>
      <c r="BF554" s="12" t="n">
        <f>IF(COUNT(BD554:BE554)&lt;&gt;2,"",IF(AND(BD554&gt;0,BE554&gt;0),0.7*AW554/BD554+0.3*BA554/BE554,IF(BD554&gt;0,AW554/BD554,IF(BE554&gt;0,BA554/BE554,IF(AND(ISNUMBER(BH554),BH554=0),0,"")))))</f>
        <v>0.2689805853903222</v>
      </c>
      <c r="BG554" s="11" t="n">
        <f>IF(AND(COUNT(BN554:BU554)=8,MIN(BN554:BU554)&gt;=0),SUMPRODUCT(BN554:BQ554,BR554:BU554),"")</f>
        <v>63.935996265425516</v>
      </c>
      <c r="BH554" s="11" t="n">
        <f>IF(COUNT(BC554,BG554)=2,BC554*BG554,"")</f>
        <v>106.24269852181051</v>
      </c>
      <c r="BI554" s="11" t="n">
        <f>IF(ISNUMBER(CI554),CI554,"")</f>
        <v>28.57722324184411</v>
      </c>
      <c r="BJ554" s="8" t="str"/>
      <c r="BK554" s="8" t="str">
        <v>90天：2026-07-20 至 2026-10-17；180天：2026-04-21 至 2026-10-17</v>
      </c>
      <c r="BL554" s="8" t="str">
        <v>90天：2026-10-06、2026-10-07；180天：2026-10-06、2026-10-07</v>
      </c>
      <c r="BM554" s="8" t="str">
        <v>2026-10：12天 × 0.8729500662042875；2026-11：30天 × 0.8057375774163482；2026-12：31天 × 0.532550303142279；2027-01：17天 × 0.7517299265337036</v>
      </c>
      <c r="BN554" s="11" t="n">
        <v>0.8729500662042875</v>
      </c>
      <c r="BO554" s="11" t="n">
        <v>0.8057375774163482</v>
      </c>
      <c r="BP554" s="11" t="n">
        <v>0.532550303142279</v>
      </c>
      <c r="BQ554" s="11" t="n">
        <v>0.7517299265337036</v>
      </c>
      <c r="BR554" s="8" t="n">
        <v>12</v>
      </c>
      <c r="BS554" s="8" t="n">
        <v>30</v>
      </c>
      <c r="BT554" s="8" t="n">
        <v>31</v>
      </c>
      <c r="BU554" s="8" t="n">
        <v>17</v>
      </c>
      <c r="BV554" s="11" t="n">
        <f>IF(COUNT(BC554,BF554)=2,BC554*BF554,"")</f>
        <v>0.4469661053408459</v>
      </c>
      <c r="BW554" s="11" t="n">
        <f>IF(ISNUMBER(BN554),BN554,"")</f>
        <v>0.8729500662042875</v>
      </c>
      <c r="BX554" s="14" t="n">
        <f>IF(ISNUMBER(BR554),BR554,"")</f>
        <v>12</v>
      </c>
      <c r="BY554" s="13" t="n">
        <f>IF(AND(COUNT(BV554,BW554,BX554)=3,MIN(BV554,BW554,BX554)&gt;=0),BV554*BW554*BX554,"")</f>
        <v>4.6821490949803675</v>
      </c>
      <c r="BZ554" s="11" t="n">
        <f>IF(ISNUMBER(BO554),BO554,"")</f>
        <v>0.8057375774163482</v>
      </c>
      <c r="CA554" s="14" t="n">
        <f>IF(ISNUMBER(BS554),BS554,"")</f>
        <v>30</v>
      </c>
      <c r="CB554" s="13" t="n">
        <f>IF(AND(COUNT(BV554,BZ554,CA554)=3,MIN(BV554,BZ554,CA554)&gt;=0),BV554*BZ554*CA554,"")</f>
        <v>10.804121607136604</v>
      </c>
      <c r="CC554" s="11" t="n">
        <f>IF(ISNUMBER(BP554),BP554,"")</f>
        <v>0.532550303142279</v>
      </c>
      <c r="CD554" s="14" t="n">
        <f>IF(ISNUMBER(BT554),BT554,"")</f>
        <v>31</v>
      </c>
      <c r="CE554" s="13" t="n">
        <f>IF(AND(COUNT(BV554,CC554,CD554)=3,MIN(BV554,CC554,CD554)&gt;=0),BV554*CC554*CD554,"")</f>
        <v>7.378989981701331</v>
      </c>
      <c r="CF554" s="11" t="n">
        <f>IF(ISNUMBER(BQ554),BQ554,"")</f>
        <v>0.7517299265337036</v>
      </c>
      <c r="CG554" s="14" t="n">
        <f>IF(ISNUMBER(BU554),BU554,"")</f>
        <v>17</v>
      </c>
      <c r="CH554" s="13" t="n">
        <f>IF(AND(COUNT(BV554,CF554,CG554)=3,MIN(BV554,CF554,CG554)&gt;=0),BV554*CF554*CG554,"")</f>
        <v>5.711962558025806</v>
      </c>
      <c r="CI554" s="13" t="n">
        <f>IF(COUNT(BY554,CB554,CE554,CH554)=4,SUM(BY554,CB554,CE554,CH554),"")</f>
        <v>28.57722324184411</v>
      </c>
    </row>
    <row r="555" ht="72" customHeight="1">
      <c r="A555" s="16" t="str">
        <v>1S01-TN-39.5</v>
      </c>
      <c r="B555" s="16" t="str">
        <v>3店-SANDIEX-US</v>
      </c>
      <c r="C555" s="16" t="str">
        <v>徐新怡</v>
      </c>
      <c r="D555" s="26" t="n">
        <f>IF(NOT(ISNUMBER(E555)),"",IF(OR(E555&lt;=0,L555=0),0,IF(OR(NOT(ISNUMBER(F555)),F555&lt;0),"",MIN(E555,INT(F555)))))</f>
        <v>0</v>
      </c>
      <c r="E555" s="27" t="n">
        <f>IF(OR(NOT(ISNUMBER(L555)),COUNT(M555:O555)&lt;&gt;3,MIN(M555:O555)&lt;0),"",ROUNDUP(ROUND(BI555-SUM(M555:O555),10),0))</f>
        <v>-7</v>
      </c>
      <c r="F555" s="28" t="n">
        <v>30</v>
      </c>
      <c r="G555" s="28" t="n">
        <f>IF(AND(ISNUMBER(D555),ISNUMBER(E555)),IF(OR(E555&lt;=0,L555=0),0,E555-D555),"")</f>
        <v>0</v>
      </c>
      <c r="H555" s="16" t="str">
        <f>IF(NOT(ISNUMBER(E555)),"销量或海外库存待补",IF(OR(E555&lt;=0,L555=0),IF(L555=0,"零日销，本批不发","本批无需补货"),IF(NOT(ISNUMBER(D555)),"国内库存待补",IF(D555=0,"国内无可用库存",IF(G555&gt;0,"先发国内现货","按建议量发货")))))</f>
        <v>本批无需补货</v>
      </c>
      <c r="I555" s="28" t="n">
        <f>IF(AND(COUNT(Z555,AA555,AB555)=3,Z555&gt;=AA555,AA555&gt;=0,AB555=7),Z555-AA555,"")</f>
        <v>0</v>
      </c>
      <c r="J555" s="28" t="n">
        <f>IF(AND(COUNT(AF555,AG555,AH555)=3,AF555&gt;=AG555,AG555&gt;=0,AH555=14),AF555-AG555,"")</f>
        <v>1</v>
      </c>
      <c r="K555" s="28" t="n">
        <f>IF(AND(COUNT(AL555,AM555,AN555)=3,AL555&gt;=AM555,AM555&gt;=0,AN555=30),AL555-AM555,"")</f>
        <v>3</v>
      </c>
      <c r="L555" s="29" t="n">
        <f>IF(ISNUMBER(BI555),BI555/90,"")</f>
        <v>0.12629559482490496</v>
      </c>
      <c r="M555" s="28" t="n">
        <v>18</v>
      </c>
      <c r="N555" s="28" t="n">
        <v>0</v>
      </c>
      <c r="O555" s="28" t="n">
        <v>0</v>
      </c>
      <c r="P555" s="30" t="n">
        <f>IF(AND(ISNUMBER(L555),L555&gt;0,COUNT(M555:O555)=3,MIN(M555:O555)&gt;=0),SUM(M555:O555)/L555,"")</f>
        <v>142.52278573100696</v>
      </c>
      <c r="Q555" s="16" t="str">
        <v>沿用原计划SKU店铺</v>
      </c>
      <c r="R555" s="16" t="str">
        <v>已匹配</v>
      </c>
      <c r="S555" s="16" t="str">
        <v>在售</v>
      </c>
      <c r="T555" s="16" t="str">
        <v>1S01</v>
      </c>
      <c r="U555" s="16" t="str">
        <v>驼色</v>
      </c>
      <c r="V555" s="16" t="n">
        <v>8.5</v>
      </c>
      <c r="W555" s="8" t="str">
        <v>2026-10-11 至 2026-10-17</v>
      </c>
      <c r="X555" s="8" t="str">
        <v>2026-10-11、2026-10-12、2026-10-13、2026-10-14、2026-10-15、2026-10-16、2026-10-17</v>
      </c>
      <c r="Y555" s="8" t="str">
        <v>无</v>
      </c>
      <c r="Z555" s="8" t="n">
        <v>0</v>
      </c>
      <c r="AA555" s="8" t="n">
        <v>0</v>
      </c>
      <c r="AB555" s="8" t="n">
        <v>7</v>
      </c>
      <c r="AC555" s="8" t="str">
        <v>2026-10-02 至 2026-10-17</v>
      </c>
      <c r="AD555" s="8" t="str">
        <v>2026-10-02、2026-10-03、2026-10-04、2026-10-05、2026-10-08、2026-10-09、2026-10-10、2026-10-11、2026-10-12、2026-10-13、2026-10-14、2026-10-15、2026-10-16、2026-10-17</v>
      </c>
      <c r="AE555" s="8" t="str">
        <v>2026-10-06 大促；2026-10-07 大促</v>
      </c>
      <c r="AF555" s="8" t="n">
        <v>1</v>
      </c>
      <c r="AG555" s="8" t="n">
        <v>0</v>
      </c>
      <c r="AH555" s="8" t="n">
        <v>14</v>
      </c>
      <c r="AI555" s="8" t="str">
        <v>2026-09-16 至 2026-10-17</v>
      </c>
      <c r="AJ5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5" s="8" t="str">
        <v>2026-10-06 大促；2026-10-07 大促</v>
      </c>
      <c r="AL555" s="8" t="n">
        <v>3</v>
      </c>
      <c r="AM555" s="8" t="n">
        <v>0</v>
      </c>
      <c r="AN555" s="8" t="n">
        <v>30</v>
      </c>
      <c r="AO555" s="8" t="str">
        <v>1S01 / 驼色羊京绒 / 6574</v>
      </c>
      <c r="AP555" s="11" t="n">
        <v>0.8729500662042875</v>
      </c>
      <c r="AQ555" s="11" t="n">
        <v>0.8729500662042875</v>
      </c>
      <c r="AR555" s="11" t="n">
        <v>1.0921363354767095</v>
      </c>
      <c r="AS555" s="11" t="n">
        <f>IF(AND(COUNT(I555:K555,AP555:AR555)=6,MIN(AP555:AR555)&gt;0),I555/7/AP555*0.5+J555/14/AQ555*0.3+K555/30/AR555*0.2,"")</f>
        <v>0.042860036872226566</v>
      </c>
      <c r="AT555" s="8" t="n">
        <v>9</v>
      </c>
      <c r="AU555" s="8" t="n">
        <v>0</v>
      </c>
      <c r="AV555" s="8" t="n">
        <v>88</v>
      </c>
      <c r="AW555" s="11" t="n">
        <f>IF(AND(COUNT(AT555:AV555)=3,AT555&gt;=AU555,AU555&gt;=0,AV555&gt;0),(AT555-AU555)/AV555,"")</f>
        <v>0.10227272727272728</v>
      </c>
      <c r="AX555" s="8" t="n">
        <v>11</v>
      </c>
      <c r="AY555" s="8" t="n">
        <v>0</v>
      </c>
      <c r="AZ555" s="8" t="n">
        <v>178</v>
      </c>
      <c r="BA555" s="11" t="n">
        <f>IF(AND(COUNT(AX555:AZ555)=3,AX555&gt;=AY555,AY555&gt;=0,AZ555&gt;0),(AX555-AY555)/AZ555,"")</f>
        <v>0.06179775280898876</v>
      </c>
      <c r="BB555" s="8" t="n">
        <f>IF(COUNT(AS555,AW555,BA555)=3,1,0)</f>
        <v>1</v>
      </c>
      <c r="BC555" s="11" t="n">
        <f>IF(SUMIF($AO$11:$AO$1309,AO555,$BB$11:$BB$1309)=COUNTIF($AO$11:$AO$1309,AO555),SUMIF($AO$11:$AO$1309,AO555,$AS$11:$AS$1309),"")</f>
        <v>1.6617039653335794</v>
      </c>
      <c r="BD555" s="11" t="n">
        <f>IF(SUMIF($AO$11:$AO$1309,AO555,$BB$11:$BB$1309)=COUNTIF($AO$11:$AO$1309,AO555),SUMIF($AO$11:$AO$1309,AO555,$AW$11:$AW$1309),"")</f>
        <v>0.8879679144385026</v>
      </c>
      <c r="BE555" s="11" t="n">
        <f>IF(SUMIF($AO$11:$AO$1309,AO555,$BB$11:$BB$1309)=COUNTIF($AO$11:$AO$1309,AO555),SUMIF($AO$11:$AO$1309,AO555,$BA$11:$BA$1309),"")</f>
        <v>0.7032102728731942</v>
      </c>
      <c r="BF555" s="12" t="n">
        <f>IF(COUNT(BD555:BE555)&lt;&gt;2,"",IF(AND(BD555&gt;0,BE555&gt;0),0.7*AW555/BD555+0.3*BA555/BE555,IF(BD555&gt;0,AW555/BD555,IF(BE555&gt;0,BA555/BE555,IF(AND(ISNUMBER(BH555),BH555=0),0,"")))))</f>
        <v>0.10698715010432461</v>
      </c>
      <c r="BG555" s="11" t="n">
        <f>IF(AND(COUNT(BN555:BU555)=8,MIN(BN555:BU555)&gt;=0),SUMPRODUCT(BN555:BQ555,BR555:BU555),"")</f>
        <v>63.935996265425516</v>
      </c>
      <c r="BH555" s="11" t="n">
        <f>IF(COUNT(BC555,BG555)=2,BC555*BG555,"")</f>
        <v>106.24269852181051</v>
      </c>
      <c r="BI555" s="11" t="n">
        <f>IF(ISNUMBER(CI555),CI555,"")</f>
        <v>11.366603534241447</v>
      </c>
      <c r="BJ555" s="8" t="str"/>
      <c r="BK555" s="8" t="str">
        <v>90天：2026-07-20 至 2026-10-17；180天：2026-04-21 至 2026-10-17</v>
      </c>
      <c r="BL555" s="8" t="str">
        <v>90天：2026-10-06、2026-10-07；180天：2026-10-06、2026-10-07</v>
      </c>
      <c r="BM555" s="8" t="str">
        <v>2026-10：12天 × 0.8729500662042875；2026-11：30天 × 0.8057375774163482；2026-12：31天 × 0.532550303142279；2027-01：17天 × 0.7517299265337036</v>
      </c>
      <c r="BN555" s="11" t="n">
        <v>0.8729500662042875</v>
      </c>
      <c r="BO555" s="11" t="n">
        <v>0.8057375774163482</v>
      </c>
      <c r="BP555" s="11" t="n">
        <v>0.532550303142279</v>
      </c>
      <c r="BQ555" s="11" t="n">
        <v>0.7517299265337036</v>
      </c>
      <c r="BR555" s="8" t="n">
        <v>12</v>
      </c>
      <c r="BS555" s="8" t="n">
        <v>30</v>
      </c>
      <c r="BT555" s="8" t="n">
        <v>31</v>
      </c>
      <c r="BU555" s="8" t="n">
        <v>17</v>
      </c>
      <c r="BV555" s="11" t="n">
        <f>IF(COUNT(BC555,BF555)=2,BC555*BF555,"")</f>
        <v>0.17778097156809508</v>
      </c>
      <c r="BW555" s="11" t="n">
        <f>IF(ISNUMBER(BN555),BN555,"")</f>
        <v>0.8729500662042875</v>
      </c>
      <c r="BX555" s="14" t="n">
        <f>IF(ISNUMBER(BR555),BR555,"")</f>
        <v>12</v>
      </c>
      <c r="BY555" s="13" t="n">
        <f>IF(AND(COUNT(BV555,BW555,BX555)=3,MIN(BV555,BW555,BX555)&gt;=0),BV555*BW555*BX555,"")</f>
        <v>1.862326930802774</v>
      </c>
      <c r="BZ555" s="11" t="n">
        <f>IF(ISNUMBER(BO555),BO555,"")</f>
        <v>0.8057375774163482</v>
      </c>
      <c r="CA555" s="14" t="n">
        <f>IF(ISNUMBER(BS555),BS555,"")</f>
        <v>30</v>
      </c>
      <c r="CB555" s="13" t="n">
        <f>IF(AND(COUNT(BV555,BZ555,CA555)=3,MIN(BV555,BZ555,CA555)&gt;=0),BV555*BZ555*CA555,"")</f>
        <v>4.297344280260049</v>
      </c>
      <c r="CC555" s="11" t="n">
        <f>IF(ISNUMBER(BP555),BP555,"")</f>
        <v>0.532550303142279</v>
      </c>
      <c r="CD555" s="14" t="n">
        <f>IF(ISNUMBER(BT555),BT555,"")</f>
        <v>31</v>
      </c>
      <c r="CE555" s="13" t="n">
        <f>IF(AND(COUNT(BV555,CC555,CD555)=3,MIN(BV555,CC555,CD555)&gt;=0),BV555*CC555*CD555,"")</f>
        <v>2.934996619347056</v>
      </c>
      <c r="CF555" s="11" t="n">
        <f>IF(ISNUMBER(BQ555),BQ555,"")</f>
        <v>0.7517299265337036</v>
      </c>
      <c r="CG555" s="14" t="n">
        <f>IF(ISNUMBER(BU555),BU555,"")</f>
        <v>17</v>
      </c>
      <c r="CH555" s="13" t="n">
        <f>IF(AND(COUNT(BV555,CF555,CG555)=3,MIN(BV555,CF555,CG555)&gt;=0),BV555*CF555*CG555,"")</f>
        <v>2.2719357038315677</v>
      </c>
      <c r="CI555" s="13" t="n">
        <f>IF(COUNT(BY555,CB555,CE555,CH555)=4,SUM(BY555,CB555,CE555,CH555),"")</f>
        <v>11.366603534241447</v>
      </c>
    </row>
    <row r="556" ht="72" customHeight="1">
      <c r="A556" s="16" t="str">
        <v>1S01-TN-40</v>
      </c>
      <c r="B556" s="16" t="str">
        <v>3店-SANDIEX-US</v>
      </c>
      <c r="C556" s="16" t="str">
        <v>徐新怡</v>
      </c>
      <c r="D556" s="26" t="n">
        <f>IF(NOT(ISNUMBER(E556)),"",IF(OR(E556&lt;=0,L556=0),0,IF(OR(NOT(ISNUMBER(F556)),F556&lt;0),"",MIN(E556,INT(F556)))))</f>
        <v>0</v>
      </c>
      <c r="E556" s="27" t="n">
        <f>IF(OR(NOT(ISNUMBER(L556)),COUNT(M556:O556)&lt;&gt;3,MIN(M556:O556)&lt;0),"",ROUNDUP(ROUND(BI556-SUM(M556:O556),10),0))</f>
        <v>-1</v>
      </c>
      <c r="F556" s="28" t="n">
        <v>81</v>
      </c>
      <c r="G556" s="28" t="n">
        <f>IF(AND(ISNUMBER(D556),ISNUMBER(E556)),IF(OR(E556&lt;=0,L556=0),0,E556-D556),"")</f>
        <v>0</v>
      </c>
      <c r="H556" s="16" t="str">
        <f>IF(NOT(ISNUMBER(E556)),"销量或海外库存待补",IF(OR(E556&lt;=0,L556=0),IF(L556=0,"零日销，本批不发","本批无需补货"),IF(NOT(ISNUMBER(D556)),"国内库存待补",IF(D556=0,"国内无可用库存",IF(G556&gt;0,"先发国内现货","按建议量发货")))))</f>
        <v>本批无需补货</v>
      </c>
      <c r="I556" s="28" t="n">
        <f>IF(AND(COUNT(Z556,AA556,AB556)=3,Z556&gt;=AA556,AA556&gt;=0,AB556=7),Z556-AA556,"")</f>
        <v>0</v>
      </c>
      <c r="J556" s="28" t="n">
        <f>IF(AND(COUNT(AF556,AG556,AH556)=3,AF556&gt;=AG556,AG556&gt;=0,AH556=14),AF556-AG556,"")</f>
        <v>2</v>
      </c>
      <c r="K556" s="28" t="n">
        <f>IF(AND(COUNT(AL556,AM556,AN556)=3,AL556&gt;=AM556,AM556&gt;=0,AN556=30),AL556-AM556,"")</f>
        <v>6</v>
      </c>
      <c r="L556" s="29" t="n">
        <f>IF(ISNUMBER(BI556),BI556/90,"")</f>
        <v>0.15593309284227472</v>
      </c>
      <c r="M556" s="28" t="n">
        <v>15</v>
      </c>
      <c r="N556" s="28" t="n">
        <v>0</v>
      </c>
      <c r="O556" s="28" t="n">
        <v>0</v>
      </c>
      <c r="P556" s="30" t="n">
        <f>IF(AND(ISNUMBER(L556),L556&gt;0,COUNT(M556:O556)=3,MIN(M556:O556)&gt;=0),SUM(M556:O556)/L556,"")</f>
        <v>96.19510346769303</v>
      </c>
      <c r="Q556" s="16" t="str">
        <v>沿用原计划SKU店铺</v>
      </c>
      <c r="R556" s="16" t="str">
        <v>已匹配</v>
      </c>
      <c r="S556" s="16" t="str">
        <v>在售</v>
      </c>
      <c r="T556" s="16" t="str">
        <v>1S01</v>
      </c>
      <c r="U556" s="16" t="str">
        <v>驼色</v>
      </c>
      <c r="V556" s="16" t="n">
        <v>9</v>
      </c>
      <c r="W556" s="8" t="str">
        <v>2026-10-11 至 2026-10-17</v>
      </c>
      <c r="X556" s="8" t="str">
        <v>2026-10-11、2026-10-12、2026-10-13、2026-10-14、2026-10-15、2026-10-16、2026-10-17</v>
      </c>
      <c r="Y556" s="8" t="str">
        <v>无</v>
      </c>
      <c r="Z556" s="8" t="n">
        <v>0</v>
      </c>
      <c r="AA556" s="8" t="n">
        <v>0</v>
      </c>
      <c r="AB556" s="8" t="n">
        <v>7</v>
      </c>
      <c r="AC556" s="8" t="str">
        <v>2026-10-02 至 2026-10-17</v>
      </c>
      <c r="AD556" s="8" t="str">
        <v>2026-10-02、2026-10-03、2026-10-04、2026-10-05、2026-10-08、2026-10-09、2026-10-10、2026-10-11、2026-10-12、2026-10-13、2026-10-14、2026-10-15、2026-10-16、2026-10-17</v>
      </c>
      <c r="AE556" s="8" t="str">
        <v>2026-10-06 大促；2026-10-07 大促</v>
      </c>
      <c r="AF556" s="8" t="n">
        <v>2</v>
      </c>
      <c r="AG556" s="8" t="n">
        <v>0</v>
      </c>
      <c r="AH556" s="8" t="n">
        <v>14</v>
      </c>
      <c r="AI556" s="8" t="str">
        <v>2026-09-16 至 2026-10-17</v>
      </c>
      <c r="AJ5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6" s="8" t="str">
        <v>2026-10-06 大促；2026-10-07 大促</v>
      </c>
      <c r="AL556" s="8" t="n">
        <v>6</v>
      </c>
      <c r="AM556" s="8" t="n">
        <v>0</v>
      </c>
      <c r="AN556" s="8" t="n">
        <v>30</v>
      </c>
      <c r="AO556" s="8" t="str">
        <v>1S01 / 驼色羊京绒 / 6574</v>
      </c>
      <c r="AP556" s="11" t="n">
        <v>0.8729500662042875</v>
      </c>
      <c r="AQ556" s="11" t="n">
        <v>0.8729500662042875</v>
      </c>
      <c r="AR556" s="11" t="n">
        <v>1.0921363354767095</v>
      </c>
      <c r="AS556" s="11" t="n">
        <f>IF(AND(COUNT(I556:K556,AP556:AR556)=6,MIN(AP556:AR556)&gt;0),I556/7/AP556*0.5+J556/14/AQ556*0.3+K556/30/AR556*0.2,"")</f>
        <v>0.08572007374445313</v>
      </c>
      <c r="AT556" s="8" t="n">
        <v>11</v>
      </c>
      <c r="AU556" s="8" t="n">
        <v>0</v>
      </c>
      <c r="AV556" s="8" t="n">
        <v>88</v>
      </c>
      <c r="AW556" s="11" t="n">
        <f>IF(AND(COUNT(AT556:AV556)=3,AT556&gt;=AU556,AU556&gt;=0,AV556&gt;0),(AT556-AU556)/AV556,"")</f>
        <v>0.125</v>
      </c>
      <c r="AX556" s="8" t="n">
        <v>14</v>
      </c>
      <c r="AY556" s="8" t="n">
        <v>0</v>
      </c>
      <c r="AZ556" s="8" t="n">
        <v>178</v>
      </c>
      <c r="BA556" s="11" t="n">
        <f>IF(AND(COUNT(AX556:AZ556)=3,AX556&gt;=AY556,AY556&gt;=0,AZ556&gt;0),(AX556-AY556)/AZ556,"")</f>
        <v>0.07865168539325842</v>
      </c>
      <c r="BB556" s="8" t="n">
        <f>IF(COUNT(AS556,AW556,BA556)=3,1,0)</f>
        <v>1</v>
      </c>
      <c r="BC556" s="11" t="n">
        <f>IF(SUMIF($AO$11:$AO$1309,AO556,$BB$11:$BB$1309)=COUNTIF($AO$11:$AO$1309,AO556),SUMIF($AO$11:$AO$1309,AO556,$AS$11:$AS$1309),"")</f>
        <v>1.6617039653335794</v>
      </c>
      <c r="BD556" s="11" t="n">
        <f>IF(SUMIF($AO$11:$AO$1309,AO556,$BB$11:$BB$1309)=COUNTIF($AO$11:$AO$1309,AO556),SUMIF($AO$11:$AO$1309,AO556,$AW$11:$AW$1309),"")</f>
        <v>0.8879679144385026</v>
      </c>
      <c r="BE556" s="11" t="n">
        <f>IF(SUMIF($AO$11:$AO$1309,AO556,$BB$11:$BB$1309)=COUNTIF($AO$11:$AO$1309,AO556),SUMIF($AO$11:$AO$1309,AO556,$BA$11:$BA$1309),"")</f>
        <v>0.7032102728731942</v>
      </c>
      <c r="BF556" s="12" t="n">
        <f>IF(COUNT(BD556:BE556)&lt;&gt;2,"",IF(AND(BD556&gt;0,BE556&gt;0),0.7*AW556/BD556+0.3*BA556/BE556,IF(BD556&gt;0,AW556/BD556,IF(BE556&gt;0,BA556/BE556,IF(AND(ISNUMBER(BH556),BH556=0),0,"")))))</f>
        <v>0.13209357961595541</v>
      </c>
      <c r="BG556" s="11" t="n">
        <f>IF(AND(COUNT(BN556:BU556)=8,MIN(BN556:BU556)&gt;=0),SUMPRODUCT(BN556:BQ556,BR556:BU556),"")</f>
        <v>63.935996265425516</v>
      </c>
      <c r="BH556" s="11" t="n">
        <f>IF(COUNT(BC556,BG556)=2,BC556*BG556,"")</f>
        <v>106.24269852181051</v>
      </c>
      <c r="BI556" s="11" t="n">
        <f>IF(ISNUMBER(CI556),CI556,"")</f>
        <v>14.033978355804724</v>
      </c>
      <c r="BJ556" s="8" t="str"/>
      <c r="BK556" s="8" t="str">
        <v>90天：2026-07-20 至 2026-10-17；180天：2026-04-21 至 2026-10-17</v>
      </c>
      <c r="BL556" s="8" t="str">
        <v>90天：2026-10-06、2026-10-07；180天：2026-10-06、2026-10-07</v>
      </c>
      <c r="BM556" s="8" t="str">
        <v>2026-10：12天 × 0.8729500662042875；2026-11：30天 × 0.8057375774163482；2026-12：31天 × 0.532550303142279；2027-01：17天 × 0.7517299265337036</v>
      </c>
      <c r="BN556" s="11" t="n">
        <v>0.8729500662042875</v>
      </c>
      <c r="BO556" s="11" t="n">
        <v>0.8057375774163482</v>
      </c>
      <c r="BP556" s="11" t="n">
        <v>0.532550303142279</v>
      </c>
      <c r="BQ556" s="11" t="n">
        <v>0.7517299265337036</v>
      </c>
      <c r="BR556" s="8" t="n">
        <v>12</v>
      </c>
      <c r="BS556" s="8" t="n">
        <v>30</v>
      </c>
      <c r="BT556" s="8" t="n">
        <v>31</v>
      </c>
      <c r="BU556" s="8" t="n">
        <v>17</v>
      </c>
      <c r="BV556" s="11" t="n">
        <f>IF(COUNT(BC556,BF556)=2,BC556*BF556,"")</f>
        <v>0.21950042504293998</v>
      </c>
      <c r="BW556" s="11" t="n">
        <f>IF(ISNUMBER(BN556),BN556,"")</f>
        <v>0.8729500662042875</v>
      </c>
      <c r="BX556" s="14" t="n">
        <f>IF(ISNUMBER(BR556),BR556,"")</f>
        <v>12</v>
      </c>
      <c r="BY556" s="13" t="n">
        <f>IF(AND(COUNT(BV556,BW556,BX556)=3,MIN(BV556,BW556,BX556)&gt;=0),BV556*BW556*BX556,"")</f>
        <v>2.2993549268772444</v>
      </c>
      <c r="BZ556" s="11" t="n">
        <f>IF(ISNUMBER(BO556),BO556,"")</f>
        <v>0.8057375774163482</v>
      </c>
      <c r="CA556" s="14" t="n">
        <f>IF(ISNUMBER(BS556),BS556,"")</f>
        <v>30</v>
      </c>
      <c r="CB556" s="13" t="n">
        <f>IF(AND(COUNT(BV556,BZ556,CA556)=3,MIN(BV556,BZ556,CA556)&gt;=0),BV556*BZ556*CA556,"")</f>
        <v>5.305792221478716</v>
      </c>
      <c r="CC556" s="11" t="n">
        <f>IF(ISNUMBER(BP556),BP556,"")</f>
        <v>0.532550303142279</v>
      </c>
      <c r="CD556" s="14" t="n">
        <f>IF(ISNUMBER(BT556),BT556,"")</f>
        <v>31</v>
      </c>
      <c r="CE556" s="13" t="n">
        <f>IF(AND(COUNT(BV556,CC556,CD556)=3,MIN(BV556,CC556,CD556)&gt;=0),BV556*CC556*CD556,"")</f>
        <v>3.6237455547907804</v>
      </c>
      <c r="CF556" s="11" t="n">
        <f>IF(ISNUMBER(BQ556),BQ556,"")</f>
        <v>0.7517299265337036</v>
      </c>
      <c r="CG556" s="14" t="n">
        <f>IF(ISNUMBER(BU556),BU556,"")</f>
        <v>17</v>
      </c>
      <c r="CH556" s="13" t="n">
        <f>IF(AND(COUNT(BV556,CF556,CG556)=3,MIN(BV556,CF556,CG556)&gt;=0),BV556*CF556*CG556,"")</f>
        <v>2.805085652657982</v>
      </c>
      <c r="CI556" s="13" t="n">
        <f>IF(COUNT(BY556,CB556,CE556,CH556)=4,SUM(BY556,CB556,CE556,CH556),"")</f>
        <v>14.033978355804724</v>
      </c>
    </row>
    <row r="557" ht="72" customHeight="1">
      <c r="A557" s="16" t="str">
        <v>1S01-TN-40.5</v>
      </c>
      <c r="B557" s="16" t="str">
        <v>3店-SANDIEX-US</v>
      </c>
      <c r="C557" s="16" t="str">
        <v>徐新怡</v>
      </c>
      <c r="D557" s="26" t="n">
        <f>IF(NOT(ISNUMBER(E557)),"",IF(OR(E557&lt;=0,L557=0),0,IF(OR(NOT(ISNUMBER(F557)),F557&lt;0),"",MIN(E557,INT(F557)))))</f>
        <v>0</v>
      </c>
      <c r="E557" s="27" t="n">
        <f>IF(OR(NOT(ISNUMBER(L557)),COUNT(M557:O557)&lt;&gt;3,MIN(M557:O557)&lt;0),"",ROUNDUP(ROUND(BI557-SUM(M557:O557),10),0))</f>
        <v>-18</v>
      </c>
      <c r="F557" s="28" t="n">
        <v>120</v>
      </c>
      <c r="G557" s="28" t="n">
        <f>IF(AND(ISNUMBER(D557),ISNUMBER(E557)),IF(OR(E557&lt;=0,L557=0),0,E557-D557),"")</f>
        <v>0</v>
      </c>
      <c r="H557" s="16" t="str">
        <f>IF(NOT(ISNUMBER(E557)),"销量或海外库存待补",IF(OR(E557&lt;=0,L557=0),IF(L557=0,"零日销，本批不发","本批无需补货"),IF(NOT(ISNUMBER(D557)),"国内库存待补",IF(D557=0,"国内无可用库存",IF(G557&gt;0,"先发国内现货","按建议量发货")))))</f>
        <v>本批无需补货</v>
      </c>
      <c r="I557" s="28" t="n">
        <f>IF(AND(COUNT(Z557,AA557,AB557)=3,Z557&gt;=AA557,AA557&gt;=0,AB557=7),Z557-AA557,"")</f>
        <v>0</v>
      </c>
      <c r="J557" s="28" t="n">
        <f>IF(AND(COUNT(AF557,AG557,AH557)=3,AF557&gt;=AG557,AG557&gt;=0,AH557=14),AF557-AG557,"")</f>
        <v>1</v>
      </c>
      <c r="K557" s="28" t="n">
        <f>IF(AND(COUNT(AL557,AM557,AN557)=3,AL557&gt;=AM557,AM557&gt;=0,AN557=30),AL557-AM557,"")</f>
        <v>3</v>
      </c>
      <c r="L557" s="29" t="n">
        <f>IF(ISNUMBER(BI557),BI557/90,"")</f>
        <v>0.11437582056384205</v>
      </c>
      <c r="M557" s="28" t="n">
        <v>28</v>
      </c>
      <c r="N557" s="28" t="n">
        <v>0</v>
      </c>
      <c r="O557" s="28" t="n">
        <v>0</v>
      </c>
      <c r="P557" s="30" t="n">
        <f>IF(AND(ISNUMBER(L557),L557&gt;0,COUNT(M557:O557)=3,MIN(M557:O557)&gt;=0),SUM(M557:O557)/L557,"")</f>
        <v>244.80698684361369</v>
      </c>
      <c r="Q557" s="16" t="str">
        <v>沿用原计划SKU店铺</v>
      </c>
      <c r="R557" s="16" t="str">
        <v>已匹配</v>
      </c>
      <c r="S557" s="16" t="str">
        <v>在售</v>
      </c>
      <c r="T557" s="16" t="str">
        <v>1S01</v>
      </c>
      <c r="U557" s="16" t="str">
        <v>驼色</v>
      </c>
      <c r="V557" s="16" t="n">
        <v>9.5</v>
      </c>
      <c r="W557" s="8" t="str">
        <v>2026-10-11 至 2026-10-17</v>
      </c>
      <c r="X557" s="8" t="str">
        <v>2026-10-11、2026-10-12、2026-10-13、2026-10-14、2026-10-15、2026-10-16、2026-10-17</v>
      </c>
      <c r="Y557" s="8" t="str">
        <v>无</v>
      </c>
      <c r="Z557" s="8" t="n">
        <v>0</v>
      </c>
      <c r="AA557" s="8" t="n">
        <v>0</v>
      </c>
      <c r="AB557" s="8" t="n">
        <v>7</v>
      </c>
      <c r="AC557" s="8" t="str">
        <v>2026-10-02 至 2026-10-17</v>
      </c>
      <c r="AD557" s="8" t="str">
        <v>2026-10-02、2026-10-03、2026-10-04、2026-10-05、2026-10-08、2026-10-09、2026-10-10、2026-10-11、2026-10-12、2026-10-13、2026-10-14、2026-10-15、2026-10-16、2026-10-17</v>
      </c>
      <c r="AE557" s="8" t="str">
        <v>2026-10-06 大促；2026-10-07 大促</v>
      </c>
      <c r="AF557" s="8" t="n">
        <v>2</v>
      </c>
      <c r="AG557" s="8" t="n">
        <v>1</v>
      </c>
      <c r="AH557" s="8" t="n">
        <v>14</v>
      </c>
      <c r="AI557" s="8" t="str">
        <v>2026-09-16 至 2026-10-17</v>
      </c>
      <c r="AJ5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7" s="8" t="str">
        <v>2026-10-06 大促；2026-10-07 大促</v>
      </c>
      <c r="AL557" s="8" t="n">
        <v>4</v>
      </c>
      <c r="AM557" s="8" t="n">
        <v>1</v>
      </c>
      <c r="AN557" s="8" t="n">
        <v>30</v>
      </c>
      <c r="AO557" s="8" t="str">
        <v>1S01 / 驼色羊京绒 / 6574</v>
      </c>
      <c r="AP557" s="11" t="n">
        <v>0.8729500662042875</v>
      </c>
      <c r="AQ557" s="11" t="n">
        <v>0.8729500662042875</v>
      </c>
      <c r="AR557" s="11" t="n">
        <v>1.0921363354767095</v>
      </c>
      <c r="AS557" s="11" t="n">
        <f>IF(AND(COUNT(I557:K557,AP557:AR557)=6,MIN(AP557:AR557)&gt;0),I557/7/AP557*0.5+J557/14/AQ557*0.3+K557/30/AR557*0.2,"")</f>
        <v>0.042860036872226566</v>
      </c>
      <c r="AT557" s="8" t="n">
        <v>7</v>
      </c>
      <c r="AU557" s="8" t="n">
        <v>1</v>
      </c>
      <c r="AV557" s="8" t="n">
        <v>88</v>
      </c>
      <c r="AW557" s="11" t="n">
        <f>IF(AND(COUNT(AT557:AV557)=3,AT557&gt;=AU557,AU557&gt;=0,AV557&gt;0),(AT557-AU557)/AV557,"")</f>
        <v>0.06818181818181818</v>
      </c>
      <c r="AX557" s="8" t="n">
        <v>19</v>
      </c>
      <c r="AY557" s="8" t="n">
        <v>1</v>
      </c>
      <c r="AZ557" s="8" t="n">
        <v>178</v>
      </c>
      <c r="BA557" s="11" t="n">
        <f>IF(AND(COUNT(AX557:AZ557)=3,AX557&gt;=AY557,AY557&gt;=0,AZ557&gt;0),(AX557-AY557)/AZ557,"")</f>
        <v>0.10112359550561797</v>
      </c>
      <c r="BB557" s="8" t="n">
        <f>IF(COUNT(AS557,AW557,BA557)=3,1,0)</f>
        <v>1</v>
      </c>
      <c r="BC557" s="11" t="n">
        <f>IF(SUMIF($AO$11:$AO$1309,AO557,$BB$11:$BB$1309)=COUNTIF($AO$11:$AO$1309,AO557),SUMIF($AO$11:$AO$1309,AO557,$AS$11:$AS$1309),"")</f>
        <v>1.6617039653335794</v>
      </c>
      <c r="BD557" s="11" t="n">
        <f>IF(SUMIF($AO$11:$AO$1309,AO557,$BB$11:$BB$1309)=COUNTIF($AO$11:$AO$1309,AO557),SUMIF($AO$11:$AO$1309,AO557,$AW$11:$AW$1309),"")</f>
        <v>0.8879679144385026</v>
      </c>
      <c r="BE557" s="11" t="n">
        <f>IF(SUMIF($AO$11:$AO$1309,AO557,$BB$11:$BB$1309)=COUNTIF($AO$11:$AO$1309,AO557),SUMIF($AO$11:$AO$1309,AO557,$BA$11:$BA$1309),"")</f>
        <v>0.7032102728731942</v>
      </c>
      <c r="BF557" s="12" t="n">
        <f>IF(COUNT(BD557:BE557)&lt;&gt;2,"",IF(AND(BD557&gt;0,BE557&gt;0),0.7*AW557/BD557+0.3*BA557/BE557,IF(BD557&gt;0,AW557/BD557,IF(BE557&gt;0,BA557/BE557,IF(AND(ISNUMBER(BH557),BH557=0),0,"")))))</f>
        <v>0.09688970624774344</v>
      </c>
      <c r="BG557" s="11" t="n">
        <f>IF(AND(COUNT(BN557:BU557)=8,MIN(BN557:BU557)&gt;=0),SUMPRODUCT(BN557:BQ557,BR557:BU557),"")</f>
        <v>63.935996265425516</v>
      </c>
      <c r="BH557" s="11" t="n">
        <f>IF(COUNT(BC557,BG557)=2,BC557*BG557,"")</f>
        <v>106.24269852181051</v>
      </c>
      <c r="BI557" s="11" t="n">
        <f>IF(ISNUMBER(CI557),CI557,"")</f>
        <v>10.293823850745785</v>
      </c>
      <c r="BJ557" s="8" t="str"/>
      <c r="BK557" s="8" t="str">
        <v>90天：2026-07-20 至 2026-10-17；180天：2026-04-21 至 2026-10-17</v>
      </c>
      <c r="BL557" s="8" t="str">
        <v>90天：2026-10-06、2026-10-07；180天：2026-10-06、2026-10-07</v>
      </c>
      <c r="BM557" s="8" t="str">
        <v>2026-10：12天 × 0.8729500662042875；2026-11：30天 × 0.8057375774163482；2026-12：31天 × 0.532550303142279；2027-01：17天 × 0.7517299265337036</v>
      </c>
      <c r="BN557" s="11" t="n">
        <v>0.8729500662042875</v>
      </c>
      <c r="BO557" s="11" t="n">
        <v>0.8057375774163482</v>
      </c>
      <c r="BP557" s="11" t="n">
        <v>0.532550303142279</v>
      </c>
      <c r="BQ557" s="11" t="n">
        <v>0.7517299265337036</v>
      </c>
      <c r="BR557" s="8" t="n">
        <v>12</v>
      </c>
      <c r="BS557" s="8" t="n">
        <v>30</v>
      </c>
      <c r="BT557" s="8" t="n">
        <v>31</v>
      </c>
      <c r="BU557" s="8" t="n">
        <v>17</v>
      </c>
      <c r="BV557" s="11" t="n">
        <f>IF(COUNT(BC557,BF557)=2,BC557*BF557,"")</f>
        <v>0.16100200907188097</v>
      </c>
      <c r="BW557" s="11" t="n">
        <f>IF(ISNUMBER(BN557),BN557,"")</f>
        <v>0.8729500662042875</v>
      </c>
      <c r="BX557" s="14" t="n">
        <f>IF(ISNUMBER(BR557),BR557,"")</f>
        <v>12</v>
      </c>
      <c r="BY557" s="13" t="n">
        <f>IF(AND(COUNT(BV557,BW557,BX557)=3,MIN(BV557,BW557,BX557)&gt;=0),BV557*BW557*BX557,"")</f>
        <v>1.6865605737398615</v>
      </c>
      <c r="BZ557" s="11" t="n">
        <f>IF(ISNUMBER(BO557),BO557,"")</f>
        <v>0.8057375774163482</v>
      </c>
      <c r="CA557" s="14" t="n">
        <f>IF(ISNUMBER(BS557),BS557,"")</f>
        <v>30</v>
      </c>
      <c r="CB557" s="13" t="n">
        <f>IF(AND(COUNT(BV557,BZ557,CA557)=3,MIN(BV557,BZ557,CA557)&gt;=0),BV557*BZ557*CA557,"")</f>
        <v>3.891761062462269</v>
      </c>
      <c r="CC557" s="11" t="n">
        <f>IF(ISNUMBER(BP557),BP557,"")</f>
        <v>0.532550303142279</v>
      </c>
      <c r="CD557" s="14" t="n">
        <f>IF(ISNUMBER(BT557),BT557,"")</f>
        <v>31</v>
      </c>
      <c r="CE557" s="13" t="n">
        <f>IF(AND(COUNT(BV557,CC557,CD557)=3,MIN(BV557,CC557,CD557)&gt;=0),BV557*CC557*CD557,"")</f>
        <v>2.6579917308701315</v>
      </c>
      <c r="CF557" s="11" t="n">
        <f>IF(ISNUMBER(BQ557),BQ557,"")</f>
        <v>0.7517299265337036</v>
      </c>
      <c r="CG557" s="14" t="n">
        <f>IF(ISNUMBER(BU557),BU557,"")</f>
        <v>17</v>
      </c>
      <c r="CH557" s="13" t="n">
        <f>IF(AND(COUNT(BV557,CF557,CG557)=3,MIN(BV557,CF557,CG557)&gt;=0),BV557*CF557*CG557,"")</f>
        <v>2.057510483673524</v>
      </c>
      <c r="CI557" s="13" t="n">
        <f>IF(COUNT(BY557,CB557,CE557,CH557)=4,SUM(BY557,CB557,CE557,CH557),"")</f>
        <v>10.293823850745785</v>
      </c>
    </row>
    <row r="558" ht="72" customHeight="1">
      <c r="A558" s="16" t="str">
        <v>1S01-TN-41</v>
      </c>
      <c r="B558" s="16" t="str">
        <v>3店-SANDIEX-US</v>
      </c>
      <c r="C558" s="16" t="str">
        <v>徐新怡</v>
      </c>
      <c r="D558" s="26" t="n">
        <f>IF(NOT(ISNUMBER(E558)),"",IF(OR(E558&lt;=0,L558=0),0,IF(OR(NOT(ISNUMBER(F558)),F558&lt;0),"",MIN(E558,INT(F558)))))</f>
        <v>0</v>
      </c>
      <c r="E558" s="27" t="n">
        <f>IF(OR(NOT(ISNUMBER(L558)),COUNT(M558:O558)&lt;&gt;3,MIN(M558:O558)&lt;0),"",ROUNDUP(ROUND(BI558-SUM(M558:O558),10),0))</f>
        <v>-56</v>
      </c>
      <c r="F558" s="28" t="n">
        <v>10</v>
      </c>
      <c r="G558" s="28" t="n">
        <f>IF(AND(ISNUMBER(D558),ISNUMBER(E558)),IF(OR(E558&lt;=0,L558=0),0,E558-D558),"")</f>
        <v>0</v>
      </c>
      <c r="H558" s="16" t="str">
        <f>IF(NOT(ISNUMBER(E558)),"销量或海外库存待补",IF(OR(E558&lt;=0,L558=0),IF(L558=0,"零日销，本批不发","本批无需补货"),IF(NOT(ISNUMBER(D558)),"国内库存待补",IF(D558=0,"国内无可用库存",IF(G558&gt;0,"先发国内现货","按建议量发货")))))</f>
        <v>本批无需补货</v>
      </c>
      <c r="I558" s="28" t="n">
        <f>IF(AND(COUNT(Z558,AA558,AB558)=3,Z558&gt;=AA558,AA558&gt;=0,AB558=7),Z558-AA558,"")</f>
        <v>3</v>
      </c>
      <c r="J558" s="28" t="n">
        <f>IF(AND(COUNT(AF558,AG558,AH558)=3,AF558&gt;=AG558,AG558&gt;=0,AH558=14),AF558-AG558,"")</f>
        <v>4</v>
      </c>
      <c r="K558" s="28" t="n">
        <f>IF(AND(COUNT(AL558,AM558,AN558)=3,AL558&gt;=AM558,AM558&gt;=0,AN558=30),AL558-AM558,"")</f>
        <v>7</v>
      </c>
      <c r="L558" s="29" t="n">
        <f>IF(ISNUMBER(BI558),BI558/90,"")</f>
        <v>0.2321836398848361</v>
      </c>
      <c r="M558" s="28" t="n">
        <v>76</v>
      </c>
      <c r="N558" s="28" t="n">
        <v>0</v>
      </c>
      <c r="O558" s="28" t="n">
        <v>0</v>
      </c>
      <c r="P558" s="30" t="n">
        <f>IF(AND(ISNUMBER(L558),L558&gt;0,COUNT(M558:O558)=3,MIN(M558:O558)&gt;=0),SUM(M558:O558)/L558,"")</f>
        <v>327.327110720188</v>
      </c>
      <c r="Q558" s="16" t="str">
        <v>沿用原计划SKU店铺</v>
      </c>
      <c r="R558" s="16" t="str">
        <v>已匹配</v>
      </c>
      <c r="S558" s="16" t="str">
        <v>在售</v>
      </c>
      <c r="T558" s="16" t="str">
        <v>1S01</v>
      </c>
      <c r="U558" s="16" t="str">
        <v>驼色</v>
      </c>
      <c r="V558" s="16" t="n">
        <v>10</v>
      </c>
      <c r="W558" s="8" t="str">
        <v>2026-10-11 至 2026-10-17</v>
      </c>
      <c r="X558" s="8" t="str">
        <v>2026-10-11、2026-10-12、2026-10-13、2026-10-14、2026-10-15、2026-10-16、2026-10-17</v>
      </c>
      <c r="Y558" s="8" t="str">
        <v>无</v>
      </c>
      <c r="Z558" s="8" t="n">
        <v>3</v>
      </c>
      <c r="AA558" s="8" t="n">
        <v>0</v>
      </c>
      <c r="AB558" s="8" t="n">
        <v>7</v>
      </c>
      <c r="AC558" s="8" t="str">
        <v>2026-10-02 至 2026-10-17</v>
      </c>
      <c r="AD558" s="8" t="str">
        <v>2026-10-02、2026-10-03、2026-10-04、2026-10-05、2026-10-08、2026-10-09、2026-10-10、2026-10-11、2026-10-12、2026-10-13、2026-10-14、2026-10-15、2026-10-16、2026-10-17</v>
      </c>
      <c r="AE558" s="8" t="str">
        <v>2026-10-06 大促；2026-10-07 大促</v>
      </c>
      <c r="AF558" s="8" t="n">
        <v>5</v>
      </c>
      <c r="AG558" s="8" t="n">
        <v>1</v>
      </c>
      <c r="AH558" s="8" t="n">
        <v>14</v>
      </c>
      <c r="AI558" s="8" t="str">
        <v>2026-09-16 至 2026-10-17</v>
      </c>
      <c r="AJ5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8" s="8" t="str">
        <v>2026-10-06 大促；2026-10-07 大促</v>
      </c>
      <c r="AL558" s="8" t="n">
        <v>8</v>
      </c>
      <c r="AM558" s="8" t="n">
        <v>1</v>
      </c>
      <c r="AN558" s="8" t="n">
        <v>30</v>
      </c>
      <c r="AO558" s="8" t="str">
        <v>1S01 / 驼色羊京绒 / 6574</v>
      </c>
      <c r="AP558" s="11" t="n">
        <v>0.8729500662042875</v>
      </c>
      <c r="AQ558" s="11" t="n">
        <v>0.8729500662042875</v>
      </c>
      <c r="AR558" s="11" t="n">
        <v>1.0921363354767095</v>
      </c>
      <c r="AS558" s="11" t="n">
        <f>IF(AND(COUNT(I558:K558,AP558:AR558)=6,MIN(AP558:AR558)&gt;0),I558/7/AP558*0.5+J558/14/AQ558*0.3+K558/30/AR558*0.2,"")</f>
        <v>0.38639197641464085</v>
      </c>
      <c r="AT558" s="8" t="n">
        <v>16</v>
      </c>
      <c r="AU558" s="8" t="n">
        <v>1</v>
      </c>
      <c r="AV558" s="8" t="n">
        <v>88</v>
      </c>
      <c r="AW558" s="11" t="n">
        <f>IF(AND(COUNT(AT558:AV558)=3,AT558&gt;=AU558,AU558&gt;=0,AV558&gt;0),(AT558-AU558)/AV558,"")</f>
        <v>0.17045454545454544</v>
      </c>
      <c r="AX558" s="8" t="n">
        <v>27</v>
      </c>
      <c r="AY558" s="8" t="n">
        <v>1</v>
      </c>
      <c r="AZ558" s="8" t="n">
        <v>178</v>
      </c>
      <c r="BA558" s="11" t="n">
        <f>IF(AND(COUNT(AX558:AZ558)=3,AX558&gt;=AY558,AY558&gt;=0,AZ558&gt;0),(AX558-AY558)/AZ558,"")</f>
        <v>0.14606741573033707</v>
      </c>
      <c r="BB558" s="8" t="n">
        <f>IF(COUNT(AS558,AW558,BA558)=3,1,0)</f>
        <v>1</v>
      </c>
      <c r="BC558" s="11" t="n">
        <f>IF(SUMIF($AO$11:$AO$1309,AO558,$BB$11:$BB$1309)=COUNTIF($AO$11:$AO$1309,AO558),SUMIF($AO$11:$AO$1309,AO558,$AS$11:$AS$1309),"")</f>
        <v>1.6617039653335794</v>
      </c>
      <c r="BD558" s="11" t="n">
        <f>IF(SUMIF($AO$11:$AO$1309,AO558,$BB$11:$BB$1309)=COUNTIF($AO$11:$AO$1309,AO558),SUMIF($AO$11:$AO$1309,AO558,$AW$11:$AW$1309),"")</f>
        <v>0.8879679144385026</v>
      </c>
      <c r="BE558" s="11" t="n">
        <f>IF(SUMIF($AO$11:$AO$1309,AO558,$BB$11:$BB$1309)=COUNTIF($AO$11:$AO$1309,AO558),SUMIF($AO$11:$AO$1309,AO558,$BA$11:$BA$1309),"")</f>
        <v>0.7032102728731942</v>
      </c>
      <c r="BF558" s="12" t="n">
        <f>IF(COUNT(BD558:BE558)&lt;&gt;2,"",IF(AND(BD558&gt;0,BE558&gt;0),0.7*AW558/BD558+0.3*BA558/BE558,IF(BD558&gt;0,AW558/BD558,IF(BE558&gt;0,BA558/BE558,IF(AND(ISNUMBER(BH558),BH558=0),0,"")))))</f>
        <v>0.19668671711445107</v>
      </c>
      <c r="BG558" s="11" t="n">
        <f>IF(AND(COUNT(BN558:BU558)=8,MIN(BN558:BU558)&gt;=0),SUMPRODUCT(BN558:BQ558,BR558:BU558),"")</f>
        <v>63.935996265425516</v>
      </c>
      <c r="BH558" s="11" t="n">
        <f>IF(COUNT(BC558,BG558)=2,BC558*BG558,"")</f>
        <v>106.24269852181051</v>
      </c>
      <c r="BI558" s="11" t="n">
        <f>IF(ISNUMBER(CI558),CI558,"")</f>
        <v>20.896527589635248</v>
      </c>
      <c r="BJ558" s="8" t="str"/>
      <c r="BK558" s="8" t="str">
        <v>90天：2026-07-20 至 2026-10-17；180天：2026-04-21 至 2026-10-17</v>
      </c>
      <c r="BL558" s="8" t="str">
        <v>90天：2026-10-06、2026-10-07；180天：2026-10-06、2026-10-07</v>
      </c>
      <c r="BM558" s="8" t="str">
        <v>2026-10：12天 × 0.8729500662042875；2026-11：30天 × 0.8057375774163482；2026-12：31天 × 0.532550303142279；2027-01：17天 × 0.7517299265337036</v>
      </c>
      <c r="BN558" s="11" t="n">
        <v>0.8729500662042875</v>
      </c>
      <c r="BO558" s="11" t="n">
        <v>0.8057375774163482</v>
      </c>
      <c r="BP558" s="11" t="n">
        <v>0.532550303142279</v>
      </c>
      <c r="BQ558" s="11" t="n">
        <v>0.7517299265337036</v>
      </c>
      <c r="BR558" s="8" t="n">
        <v>12</v>
      </c>
      <c r="BS558" s="8" t="n">
        <v>30</v>
      </c>
      <c r="BT558" s="8" t="n">
        <v>31</v>
      </c>
      <c r="BU558" s="8" t="n">
        <v>17</v>
      </c>
      <c r="BV558" s="11" t="n">
        <f>IF(COUNT(BC558,BF558)=2,BC558*BF558,"")</f>
        <v>0.32683509775752734</v>
      </c>
      <c r="BW558" s="11" t="n">
        <f>IF(ISNUMBER(BN558),BN558,"")</f>
        <v>0.8729500662042875</v>
      </c>
      <c r="BX558" s="14" t="n">
        <f>IF(ISNUMBER(BR558),BR558,"")</f>
        <v>12</v>
      </c>
      <c r="BY558" s="13" t="n">
        <f>IF(AND(COUNT(BV558,BW558,BX558)=3,MIN(BV558,BW558,BX558)&gt;=0),BV558*BW558*BX558,"")</f>
        <v>3.4237286427038196</v>
      </c>
      <c r="BZ558" s="11" t="n">
        <f>IF(ISNUMBER(BO558),BO558,"")</f>
        <v>0.8057375774163482</v>
      </c>
      <c r="CA558" s="14" t="n">
        <f>IF(ISNUMBER(BS558),BS558,"")</f>
        <v>30</v>
      </c>
      <c r="CB558" s="13" t="n">
        <f>IF(AND(COUNT(BV558,BZ558,CA558)=3,MIN(BV558,BZ558,CA558)&gt;=0),BV558*BZ558*CA558,"")</f>
        <v>7.900299596453563</v>
      </c>
      <c r="CC558" s="11" t="n">
        <f>IF(ISNUMBER(BP558),BP558,"")</f>
        <v>0.532550303142279</v>
      </c>
      <c r="CD558" s="14" t="n">
        <f>IF(ISNUMBER(BT558),BT558,"")</f>
        <v>31</v>
      </c>
      <c r="CE558" s="13" t="n">
        <f>IF(AND(COUNT(BV558,CC558,CD558)=3,MIN(BV558,CC558,CD558)&gt;=0),BV558*CC558*CD558,"")</f>
        <v>5.395740042037535</v>
      </c>
      <c r="CF558" s="11" t="n">
        <f>IF(ISNUMBER(BQ558),BQ558,"")</f>
        <v>0.7517299265337036</v>
      </c>
      <c r="CG558" s="14" t="n">
        <f>IF(ISNUMBER(BU558),BU558,"")</f>
        <v>17</v>
      </c>
      <c r="CH558" s="13" t="n">
        <f>IF(AND(COUNT(BV558,CF558,CG558)=3,MIN(BV558,CF558,CG558)&gt;=0),BV558*CF558*CG558,"")</f>
        <v>4.176759308440332</v>
      </c>
      <c r="CI558" s="13" t="n">
        <f>IF(COUNT(BY558,CB558,CE558,CH558)=4,SUM(BY558,CB558,CE558,CH558),"")</f>
        <v>20.896527589635248</v>
      </c>
    </row>
    <row r="559" ht="72" customHeight="1">
      <c r="A559" s="16" t="str">
        <v>1S01-TN-41.5</v>
      </c>
      <c r="B559" s="16" t="str">
        <v>3店-SANDIEX-US</v>
      </c>
      <c r="C559" s="16" t="str">
        <v>徐新怡</v>
      </c>
      <c r="D559" s="26" t="n">
        <f>IF(NOT(ISNUMBER(E559)),"",IF(OR(E559&lt;=0,L559=0),0,IF(OR(NOT(ISNUMBER(F559)),F559&lt;0),"",MIN(E559,INT(F559)))))</f>
        <v>0</v>
      </c>
      <c r="E559" s="27" t="n">
        <f>IF(OR(NOT(ISNUMBER(L559)),COUNT(M559:O559)&lt;&gt;3,MIN(M559:O559)&lt;0),"",ROUNDUP(ROUND(BI559-SUM(M559:O559),10),0))</f>
        <v>-14</v>
      </c>
      <c r="F559" s="28" t="n">
        <v>0</v>
      </c>
      <c r="G559" s="28" t="n">
        <f>IF(AND(ISNUMBER(D559),ISNUMBER(E559)),IF(OR(E559&lt;=0,L559=0),0,E559-D559),"")</f>
        <v>0</v>
      </c>
      <c r="H559" s="16" t="str">
        <f>IF(NOT(ISNUMBER(E559)),"销量或海外库存待补",IF(OR(E559&lt;=0,L559=0),IF(L559=0,"零日销，本批不发","本批无需补货"),IF(NOT(ISNUMBER(D559)),"国内库存待补",IF(D559=0,"国内无可用库存",IF(G559&gt;0,"先发国内现货","按建议量发货")))))</f>
        <v>本批无需补货</v>
      </c>
      <c r="I559" s="28" t="n">
        <f>IF(AND(COUNT(Z559,AA559,AB559)=3,Z559&gt;=AA559,AA559&gt;=0,AB559=7),Z559-AA559,"")</f>
        <v>1</v>
      </c>
      <c r="J559" s="28" t="n">
        <f>IF(AND(COUNT(AF559,AG559,AH559)=3,AF559&gt;=AG559,AG559&gt;=0,AH559=14),AF559-AG559,"")</f>
        <v>1</v>
      </c>
      <c r="K559" s="28" t="n">
        <f>IF(AND(COUNT(AL559,AM559,AN559)=3,AL559&gt;=AM559,AM559&gt;=0,AN559=30),AL559-AM559,"")</f>
        <v>2</v>
      </c>
      <c r="L559" s="29" t="n">
        <f>IF(ISNUMBER(BI559),BI559/90,"")</f>
        <v>0.0536164790321323</v>
      </c>
      <c r="M559" s="28" t="n">
        <v>18</v>
      </c>
      <c r="N559" s="28" t="n">
        <v>0</v>
      </c>
      <c r="O559" s="28" t="n">
        <v>0</v>
      </c>
      <c r="P559" s="30" t="n">
        <f>IF(AND(ISNUMBER(L559),L559&gt;0,COUNT(M559:O559)=3,MIN(M559:O559)&gt;=0),SUM(M559:O559)/L559,"")</f>
        <v>335.7176809244154</v>
      </c>
      <c r="Q559" s="16" t="str">
        <v>沿用原计划SKU店铺</v>
      </c>
      <c r="R559" s="16" t="str">
        <v>已匹配</v>
      </c>
      <c r="S559" s="16" t="str">
        <v>在售</v>
      </c>
      <c r="T559" s="16" t="str">
        <v>1S01</v>
      </c>
      <c r="U559" s="16" t="str">
        <v>驼色</v>
      </c>
      <c r="V559" s="16" t="n">
        <v>10.5</v>
      </c>
      <c r="W559" s="8" t="str">
        <v>2026-10-11 至 2026-10-17</v>
      </c>
      <c r="X559" s="8" t="str">
        <v>2026-10-11、2026-10-12、2026-10-13、2026-10-14、2026-10-15、2026-10-16、2026-10-17</v>
      </c>
      <c r="Y559" s="8" t="str">
        <v>无</v>
      </c>
      <c r="Z559" s="8" t="n">
        <v>1</v>
      </c>
      <c r="AA559" s="8" t="n">
        <v>0</v>
      </c>
      <c r="AB559" s="8" t="n">
        <v>7</v>
      </c>
      <c r="AC559" s="8" t="str">
        <v>2026-10-02 至 2026-10-17</v>
      </c>
      <c r="AD559" s="8" t="str">
        <v>2026-10-02、2026-10-03、2026-10-04、2026-10-05、2026-10-08、2026-10-09、2026-10-10、2026-10-11、2026-10-12、2026-10-13、2026-10-14、2026-10-15、2026-10-16、2026-10-17</v>
      </c>
      <c r="AE559" s="8" t="str">
        <v>2026-10-06 大促；2026-10-07 大促</v>
      </c>
      <c r="AF559" s="8" t="n">
        <v>1</v>
      </c>
      <c r="AG559" s="8" t="n">
        <v>0</v>
      </c>
      <c r="AH559" s="8" t="n">
        <v>14</v>
      </c>
      <c r="AI559" s="8" t="str">
        <v>2026-09-16 至 2026-10-17</v>
      </c>
      <c r="AJ5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59" s="8" t="str">
        <v>2026-10-06 大促；2026-10-07 大促</v>
      </c>
      <c r="AL559" s="8" t="n">
        <v>2</v>
      </c>
      <c r="AM559" s="8" t="n">
        <v>0</v>
      </c>
      <c r="AN559" s="8" t="n">
        <v>30</v>
      </c>
      <c r="AO559" s="8" t="str">
        <v>1S01 / 驼色羊京绒 / 6574</v>
      </c>
      <c r="AP559" s="11" t="n">
        <v>0.8729500662042875</v>
      </c>
      <c r="AQ559" s="11" t="n">
        <v>0.8729500662042875</v>
      </c>
      <c r="AR559" s="11" t="n">
        <v>1.0921363354767095</v>
      </c>
      <c r="AS559" s="11" t="n">
        <f>IF(AND(COUNT(I559:K559,AP559:AR559)=6,MIN(AP559:AR559)&gt;0),I559/7/AP559*0.5+J559/14/AQ559*0.3+K559/30/AR559*0.2,"")</f>
        <v>0.1185801425102625</v>
      </c>
      <c r="AT559" s="8" t="n">
        <v>4</v>
      </c>
      <c r="AU559" s="8" t="n">
        <v>0</v>
      </c>
      <c r="AV559" s="8" t="n">
        <v>88</v>
      </c>
      <c r="AW559" s="11" t="n">
        <f>IF(AND(COUNT(AT559:AV559)=3,AT559&gt;=AU559,AU559&gt;=0,AV559&gt;0),(AT559-AU559)/AV559,"")</f>
        <v>0.045454545454545456</v>
      </c>
      <c r="AX559" s="8" t="n">
        <v>4</v>
      </c>
      <c r="AY559" s="8" t="n">
        <v>0</v>
      </c>
      <c r="AZ559" s="8" t="n">
        <v>178</v>
      </c>
      <c r="BA559" s="11" t="n">
        <f>IF(AND(COUNT(AX559:AZ559)=3,AX559&gt;=AY559,AY559&gt;=0,AZ559&gt;0),(AX559-AY559)/AZ559,"")</f>
        <v>0.02247191011235955</v>
      </c>
      <c r="BB559" s="8" t="n">
        <f>IF(COUNT(AS559,AW559,BA559)=3,1,0)</f>
        <v>1</v>
      </c>
      <c r="BC559" s="11" t="n">
        <f>IF(SUMIF($AO$11:$AO$1309,AO559,$BB$11:$BB$1309)=COUNTIF($AO$11:$AO$1309,AO559),SUMIF($AO$11:$AO$1309,AO559,$AS$11:$AS$1309),"")</f>
        <v>1.6617039653335794</v>
      </c>
      <c r="BD559" s="11" t="n">
        <f>IF(SUMIF($AO$11:$AO$1309,AO559,$BB$11:$BB$1309)=COUNTIF($AO$11:$AO$1309,AO559),SUMIF($AO$11:$AO$1309,AO559,$AW$11:$AW$1309),"")</f>
        <v>0.8879679144385026</v>
      </c>
      <c r="BE559" s="11" t="n">
        <f>IF(SUMIF($AO$11:$AO$1309,AO559,$BB$11:$BB$1309)=COUNTIF($AO$11:$AO$1309,AO559),SUMIF($AO$11:$AO$1309,AO559,$BA$11:$BA$1309),"")</f>
        <v>0.7032102728731942</v>
      </c>
      <c r="BF559" s="12" t="n">
        <f>IF(COUNT(BD559:BE559)&lt;&gt;2,"",IF(AND(BD559&gt;0,BE559&gt;0),0.7*AW559/BD559+0.3*BA559/BE559,IF(BD559&gt;0,AW559/BD559,IF(BE559&gt;0,BA559/BE559,IF(AND(ISNUMBER(BH559),BH559=0),0,"")))))</f>
        <v>0.04541943286485035</v>
      </c>
      <c r="BG559" s="11" t="n">
        <f>IF(AND(COUNT(BN559:BU559)=8,MIN(BN559:BU559)&gt;=0),SUMPRODUCT(BN559:BQ559,BR559:BU559),"")</f>
        <v>63.935996265425516</v>
      </c>
      <c r="BH559" s="11" t="n">
        <f>IF(COUNT(BC559,BG559)=2,BC559*BG559,"")</f>
        <v>106.24269852181051</v>
      </c>
      <c r="BI559" s="11" t="n">
        <f>IF(ISNUMBER(CI559),CI559,"")</f>
        <v>4.825483112891907</v>
      </c>
      <c r="BJ559" s="8" t="str"/>
      <c r="BK559" s="8" t="str">
        <v>90天：2026-07-20 至 2026-10-17；180天：2026-04-21 至 2026-10-17</v>
      </c>
      <c r="BL559" s="8" t="str">
        <v>90天：2026-10-06、2026-10-07；180天：2026-10-06、2026-10-07</v>
      </c>
      <c r="BM559" s="8" t="str">
        <v>2026-10：12天 × 0.8729500662042875；2026-11：30天 × 0.8057375774163482；2026-12：31天 × 0.532550303142279；2027-01：17天 × 0.7517299265337036</v>
      </c>
      <c r="BN559" s="11" t="n">
        <v>0.8729500662042875</v>
      </c>
      <c r="BO559" s="11" t="n">
        <v>0.8057375774163482</v>
      </c>
      <c r="BP559" s="11" t="n">
        <v>0.532550303142279</v>
      </c>
      <c r="BQ559" s="11" t="n">
        <v>0.7517299265337036</v>
      </c>
      <c r="BR559" s="8" t="n">
        <v>12</v>
      </c>
      <c r="BS559" s="8" t="n">
        <v>30</v>
      </c>
      <c r="BT559" s="8" t="n">
        <v>31</v>
      </c>
      <c r="BU559" s="8" t="n">
        <v>17</v>
      </c>
      <c r="BV559" s="11" t="n">
        <f>IF(COUNT(BC559,BF559)=2,BC559*BF559,"")</f>
        <v>0.07547365169472411</v>
      </c>
      <c r="BW559" s="11" t="n">
        <f>IF(ISNUMBER(BN559),BN559,"")</f>
        <v>0.8729500662042875</v>
      </c>
      <c r="BX559" s="14" t="n">
        <f>IF(ISNUMBER(BR559),BR559,"")</f>
        <v>12</v>
      </c>
      <c r="BY559" s="13" t="n">
        <f>IF(AND(COUNT(BV559,BW559,BX559)=3,MIN(BV559,BW559,BX559)&gt;=0),BV559*BW559*BX559,"")</f>
        <v>0.790616750923065</v>
      </c>
      <c r="BZ559" s="11" t="n">
        <f>IF(ISNUMBER(BO559),BO559,"")</f>
        <v>0.8057375774163482</v>
      </c>
      <c r="CA559" s="14" t="n">
        <f>IF(ISNUMBER(BS559),BS559,"")</f>
        <v>30</v>
      </c>
      <c r="CB559" s="13" t="n">
        <f>IF(AND(COUNT(BV559,BZ559,CA559)=3,MIN(BV559,BZ559,CA559)&gt;=0),BV559*BZ559*CA559,"")</f>
        <v>1.8243587182581682</v>
      </c>
      <c r="CC559" s="11" t="n">
        <f>IF(ISNUMBER(BP559),BP559,"")</f>
        <v>0.532550303142279</v>
      </c>
      <c r="CD559" s="14" t="n">
        <f>IF(ISNUMBER(BT559),BT559,"")</f>
        <v>31</v>
      </c>
      <c r="CE559" s="13" t="n">
        <f>IF(AND(COUNT(BV559,CC559,CD559)=3,MIN(BV559,CC559,CD559)&gt;=0),BV559*CC559*CD559,"")</f>
        <v>1.2459989987676834</v>
      </c>
      <c r="CF559" s="11" t="n">
        <f>IF(ISNUMBER(BQ559),BQ559,"")</f>
        <v>0.7517299265337036</v>
      </c>
      <c r="CG559" s="14" t="n">
        <f>IF(ISNUMBER(BU559),BU559,"")</f>
        <v>17</v>
      </c>
      <c r="CH559" s="13" t="n">
        <f>IF(AND(COUNT(BV559,CF559,CG559)=3,MIN(BV559,CF559,CG559)&gt;=0),BV559*CF559*CG559,"")</f>
        <v>0.9645086449429899</v>
      </c>
      <c r="CI559" s="13" t="n">
        <f>IF(COUNT(BY559,CB559,CE559,CH559)=4,SUM(BY559,CB559,CE559,CH559),"")</f>
        <v>4.825483112891907</v>
      </c>
    </row>
    <row r="560" ht="72" customHeight="1">
      <c r="A560" s="16" t="str">
        <v>1S01-WT-10</v>
      </c>
      <c r="B560" s="16" t="str">
        <v>3店-SANDIEX-US</v>
      </c>
      <c r="C560" s="16" t="str">
        <v>徐新怡</v>
      </c>
      <c r="D560" s="26" t="n">
        <f>IF(NOT(ISNUMBER(E560)),"",IF(OR(E560&lt;=0,L560=0),0,IF(OR(NOT(ISNUMBER(F560)),F560&lt;0),"",MIN(E560,INT(F560)))))</f>
        <v>0</v>
      </c>
      <c r="E560" s="27" t="n">
        <f>IF(OR(NOT(ISNUMBER(L560)),COUNT(M560:O560)&lt;&gt;3,MIN(M560:O560)&lt;0),"",ROUNDUP(ROUND(BI560-SUM(M560:O560),10),0))</f>
        <v>0</v>
      </c>
      <c r="F560" s="28" t="n">
        <v>0</v>
      </c>
      <c r="G560" s="28" t="n">
        <f>IF(AND(ISNUMBER(D560),ISNUMBER(E560)),IF(OR(E560&lt;=0,L560=0),0,E560-D560),"")</f>
        <v>0</v>
      </c>
      <c r="H560" s="16" t="str">
        <f>IF(NOT(ISNUMBER(E560)),"销量或海外库存待补",IF(OR(E560&lt;=0,L560=0),IF(L560=0,"零日销，本批不发","本批无需补货"),IF(NOT(ISNUMBER(D560)),"国内库存待补",IF(D560=0,"国内无可用库存",IF(G560&gt;0,"先发国内现货","按建议量发货")))))</f>
        <v>零日销，本批不发</v>
      </c>
      <c r="I560" s="28" t="n">
        <f>IF(AND(COUNT(Z560,AA560,AB560)=3,Z560&gt;=AA560,AA560&gt;=0,AB560=7),Z560-AA560,"")</f>
        <v>0</v>
      </c>
      <c r="J560" s="28" t="n">
        <f>IF(AND(COUNT(AF560,AG560,AH560)=3,AF560&gt;=AG560,AG560&gt;=0,AH560=14),AF560-AG560,"")</f>
        <v>0</v>
      </c>
      <c r="K560" s="28" t="n">
        <f>IF(AND(COUNT(AL560,AM560,AN560)=3,AL560&gt;=AM560,AM560&gt;=0,AN560=30),AL560-AM560,"")</f>
        <v>0</v>
      </c>
      <c r="L560" s="29" t="n">
        <f>IF(ISNUMBER(BI560),BI560/90,"")</f>
        <v>0</v>
      </c>
      <c r="M560" s="28" t="n">
        <v>0</v>
      </c>
      <c r="N560" s="28" t="n">
        <v>0</v>
      </c>
      <c r="O560" s="28" t="n">
        <v>0</v>
      </c>
      <c r="P560" s="30" t="str">
        <f>IF(AND(ISNUMBER(L560),L560&gt;0,COUNT(M560:O560)=3,MIN(M560:O560)&gt;=0),SUM(M560:O560)/L560,"")</f>
      </c>
      <c r="Q560" s="16" t="str">
        <v>沿用原计划SKU店铺</v>
      </c>
      <c r="R560" s="16" t="str">
        <v>已匹配</v>
      </c>
      <c r="S560" s="16" t="str">
        <v>停售</v>
      </c>
      <c r="T560" s="16" t="str">
        <v>1S01</v>
      </c>
      <c r="U560" s="16" t="str">
        <v>白色</v>
      </c>
      <c r="V560" s="16" t="n">
        <v>10</v>
      </c>
      <c r="W560" s="8" t="str">
        <v>2026-10-08 至 2026-10-17</v>
      </c>
      <c r="X560" s="8" t="str">
        <v>2026-10-08、2026-10-09、2026-10-10、2026-10-11、2026-10-14、2026-10-15、2026-10-17</v>
      </c>
      <c r="Y560" s="8" t="str">
        <v>2026-10-12 有记录的停售日；2026-10-13 有记录的停售日；2026-10-16 有记录的停售日</v>
      </c>
      <c r="Z560" s="8" t="n">
        <v>0</v>
      </c>
      <c r="AA560" s="8" t="n">
        <v>0</v>
      </c>
      <c r="AB560" s="8" t="n">
        <v>7</v>
      </c>
      <c r="AC560" s="8" t="str">
        <v>2026-09-29 至 2026-10-17</v>
      </c>
      <c r="AD560" s="8" t="str">
        <v>2026-09-29、2026-09-30、2026-10-01、2026-10-02、2026-10-03、2026-10-04、2026-10-05、2026-10-08、2026-10-09、2026-10-10、2026-10-11、2026-10-14、2026-10-15、2026-10-17</v>
      </c>
      <c r="AE560" s="8" t="str">
        <v>2026-10-06 大促；2026-10-07 大促；2026-10-12 有记录的停售日；2026-10-13 有记录的停售日；2026-10-16 有记录的停售日</v>
      </c>
      <c r="AF560" s="8" t="n">
        <v>0</v>
      </c>
      <c r="AG560" s="8" t="n">
        <v>0</v>
      </c>
      <c r="AH560" s="8" t="n">
        <v>14</v>
      </c>
      <c r="AI560" s="8" t="str">
        <v>2026-09-13 至 2026-10-17</v>
      </c>
      <c r="AJ56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0" s="8" t="str">
        <v>2026-10-06 大促；2026-10-07 大促；2026-10-12 有记录的停售日；2026-10-13 有记录的停售日；2026-10-16 有记录的停售日</v>
      </c>
      <c r="AL560" s="8" t="n">
        <v>0</v>
      </c>
      <c r="AM560" s="8" t="n">
        <v>0</v>
      </c>
      <c r="AN560" s="8" t="n">
        <v>30</v>
      </c>
      <c r="AO560" s="8" t="str">
        <v>1S01 / 白色PU / 6574</v>
      </c>
      <c r="AP560" s="11" t="n">
        <v>0.8729500662042875</v>
      </c>
      <c r="AQ560" s="11" t="n">
        <v>0.9355747145678367</v>
      </c>
      <c r="AR560" s="11" t="n">
        <v>1.135973589331194</v>
      </c>
      <c r="AS560" s="11" t="n">
        <f>IF(AND(COUNT(I560:K560,AP560:AR560)=6,MIN(AP560:AR560)&gt;0),I560/7/AP560*0.5+J560/14/AQ560*0.3+K560/30/AR560*0.2,"")</f>
        <v>0</v>
      </c>
      <c r="AT560" s="8" t="n">
        <v>0</v>
      </c>
      <c r="AU560" s="8" t="n">
        <v>0</v>
      </c>
      <c r="AV560" s="8" t="n">
        <v>85</v>
      </c>
      <c r="AW560" s="11" t="n">
        <f>IF(AND(COUNT(AT560:AV560)=3,AT560&gt;=AU560,AU560&gt;=0,AV560&gt;0),(AT560-AU560)/AV560,"")</f>
        <v>0</v>
      </c>
      <c r="AX560" s="8" t="n">
        <v>0</v>
      </c>
      <c r="AY560" s="8" t="n">
        <v>0</v>
      </c>
      <c r="AZ560" s="8" t="n">
        <v>175</v>
      </c>
      <c r="BA560" s="11" t="n">
        <f>IF(AND(COUNT(AX560:AZ560)=3,AX560&gt;=AY560,AY560&gt;=0,AZ560&gt;0),(AX560-AY560)/AZ560,"")</f>
        <v>0</v>
      </c>
      <c r="BB560" s="8" t="n">
        <f>IF(COUNT(AS560,AW560,BA560)=3,1,0)</f>
        <v>1</v>
      </c>
      <c r="BC560" s="11" t="n">
        <f>IF(SUMIF($AO$11:$AO$1309,AO560,$BB$11:$BB$1309)=COUNTIF($AO$11:$AO$1309,AO560),SUMIF($AO$11:$AO$1309,AO560,$AS$11:$AS$1309),"")</f>
        <v>0</v>
      </c>
      <c r="BD560" s="11" t="n">
        <f>IF(SUMIF($AO$11:$AO$1309,AO560,$BB$11:$BB$1309)=COUNTIF($AO$11:$AO$1309,AO560),SUMIF($AO$11:$AO$1309,AO560,$AW$11:$AW$1309),"")</f>
        <v>0</v>
      </c>
      <c r="BE560" s="11" t="n">
        <f>IF(SUMIF($AO$11:$AO$1309,AO560,$BB$11:$BB$1309)=COUNTIF($AO$11:$AO$1309,AO560),SUMIF($AO$11:$AO$1309,AO560,$BA$11:$BA$1309),"")</f>
        <v>0</v>
      </c>
      <c r="BF560" s="12" t="n">
        <f>IF(COUNT(BD560:BE560)&lt;&gt;2,"",IF(AND(BD560&gt;0,BE560&gt;0),0.7*AW560/BD560+0.3*BA560/BE560,IF(BD560&gt;0,AW560/BD560,IF(BE560&gt;0,BA560/BE560,IF(AND(ISNUMBER(BH560),BH560=0),0,"")))))</f>
        <v>0</v>
      </c>
      <c r="BG560" s="11" t="n">
        <f>IF(AND(COUNT(BN560:BU560)=8,MIN(BN560:BU560)&gt;=0),SUMPRODUCT(BN560:BQ560,BR560:BU560),"")</f>
        <v>63.935996265425516</v>
      </c>
      <c r="BH560" s="11" t="n">
        <f>IF(COUNT(BC560,BG560)=2,BC560*BG560,"")</f>
        <v>0</v>
      </c>
      <c r="BI560" s="11" t="n">
        <f>IF(ISNUMBER(CI560),CI560,"")</f>
        <v>0</v>
      </c>
      <c r="BJ560" s="8" t="str">
        <v>近180天本色销量1双（＜90），无有效新采购，请运营判断</v>
      </c>
      <c r="BK560" s="8" t="str">
        <v>90天：2026-07-20 至 2026-10-17；180天：2026-04-21 至 2026-10-17</v>
      </c>
      <c r="BL560" s="8" t="str">
        <v>90天：2026-10-06、2026-10-07、2026-10-12、2026-10-13、2026-10-16；180天：2026-10-06、2026-10-07、2026-10-12、2026-10-13、2026-10-16</v>
      </c>
      <c r="BM560" s="8" t="str">
        <v>2026-10：12天 × 0.8729500662042875；2026-11：30天 × 0.8057375774163482；2026-12：31天 × 0.532550303142279；2027-01：17天 × 0.7517299265337036</v>
      </c>
      <c r="BN560" s="11" t="n">
        <v>0.8729500662042875</v>
      </c>
      <c r="BO560" s="11" t="n">
        <v>0.8057375774163482</v>
      </c>
      <c r="BP560" s="11" t="n">
        <v>0.532550303142279</v>
      </c>
      <c r="BQ560" s="11" t="n">
        <v>0.7517299265337036</v>
      </c>
      <c r="BR560" s="8" t="n">
        <v>12</v>
      </c>
      <c r="BS560" s="8" t="n">
        <v>30</v>
      </c>
      <c r="BT560" s="8" t="n">
        <v>31</v>
      </c>
      <c r="BU560" s="8" t="n">
        <v>17</v>
      </c>
      <c r="BV560" s="11" t="n">
        <f>IF(COUNT(BC560,BF560)=2,BC560*BF560,"")</f>
        <v>0</v>
      </c>
      <c r="BW560" s="11" t="n">
        <f>IF(ISNUMBER(BN560),BN560,"")</f>
        <v>0.8729500662042875</v>
      </c>
      <c r="BX560" s="14" t="n">
        <f>IF(ISNUMBER(BR560),BR560,"")</f>
        <v>12</v>
      </c>
      <c r="BY560" s="13" t="n">
        <f>IF(AND(COUNT(BV560,BW560,BX560)=3,MIN(BV560,BW560,BX560)&gt;=0),BV560*BW560*BX560,"")</f>
        <v>0</v>
      </c>
      <c r="BZ560" s="11" t="n">
        <f>IF(ISNUMBER(BO560),BO560,"")</f>
        <v>0.8057375774163482</v>
      </c>
      <c r="CA560" s="14" t="n">
        <f>IF(ISNUMBER(BS560),BS560,"")</f>
        <v>30</v>
      </c>
      <c r="CB560" s="13" t="n">
        <f>IF(AND(COUNT(BV560,BZ560,CA560)=3,MIN(BV560,BZ560,CA560)&gt;=0),BV560*BZ560*CA560,"")</f>
        <v>0</v>
      </c>
      <c r="CC560" s="11" t="n">
        <f>IF(ISNUMBER(BP560),BP560,"")</f>
        <v>0.532550303142279</v>
      </c>
      <c r="CD560" s="14" t="n">
        <f>IF(ISNUMBER(BT560),BT560,"")</f>
        <v>31</v>
      </c>
      <c r="CE560" s="13" t="n">
        <f>IF(AND(COUNT(BV560,CC560,CD560)=3,MIN(BV560,CC560,CD560)&gt;=0),BV560*CC560*CD560,"")</f>
        <v>0</v>
      </c>
      <c r="CF560" s="11" t="n">
        <f>IF(ISNUMBER(BQ560),BQ560,"")</f>
        <v>0.7517299265337036</v>
      </c>
      <c r="CG560" s="14" t="n">
        <f>IF(ISNUMBER(BU560),BU560,"")</f>
        <v>17</v>
      </c>
      <c r="CH560" s="13" t="n">
        <f>IF(AND(COUNT(BV560,CF560,CG560)=3,MIN(BV560,CF560,CG560)&gt;=0),BV560*CF560*CG560,"")</f>
        <v>0</v>
      </c>
      <c r="CI560" s="13" t="n">
        <f>IF(COUNT(BY560,CB560,CE560,CH560)=4,SUM(BY560,CB560,CE560,CH560),"")</f>
        <v>0</v>
      </c>
    </row>
    <row r="561" ht="72" customHeight="1">
      <c r="A561" s="16" t="str">
        <v>1S01-WT-11</v>
      </c>
      <c r="B561" s="16" t="str">
        <v>3店-SANDIEX-US</v>
      </c>
      <c r="C561" s="16" t="str">
        <v>徐新怡</v>
      </c>
      <c r="D561" s="26" t="n">
        <f>IF(NOT(ISNUMBER(E561)),"",IF(OR(E561&lt;=0,L561=0),0,IF(OR(NOT(ISNUMBER(F561)),F561&lt;0),"",MIN(E561,INT(F561)))))</f>
        <v>0</v>
      </c>
      <c r="E561" s="27" t="n">
        <f>IF(OR(NOT(ISNUMBER(L561)),COUNT(M561:O561)&lt;&gt;3,MIN(M561:O561)&lt;0),"",ROUNDUP(ROUND(BI561-SUM(M561:O561),10),0))</f>
        <v>0</v>
      </c>
      <c r="F561" s="28" t="n">
        <v>0</v>
      </c>
      <c r="G561" s="28" t="n">
        <f>IF(AND(ISNUMBER(D561),ISNUMBER(E561)),IF(OR(E561&lt;=0,L561=0),0,E561-D561),"")</f>
        <v>0</v>
      </c>
      <c r="H561" s="16" t="str">
        <f>IF(NOT(ISNUMBER(E561)),"销量或海外库存待补",IF(OR(E561&lt;=0,L561=0),IF(L561=0,"零日销，本批不发","本批无需补货"),IF(NOT(ISNUMBER(D561)),"国内库存待补",IF(D561=0,"国内无可用库存",IF(G561&gt;0,"先发国内现货","按建议量发货")))))</f>
        <v>零日销，本批不发</v>
      </c>
      <c r="I561" s="28" t="n">
        <f>IF(AND(COUNT(Z561,AA561,AB561)=3,Z561&gt;=AA561,AA561&gt;=0,AB561=7),Z561-AA561,"")</f>
        <v>0</v>
      </c>
      <c r="J561" s="28" t="n">
        <f>IF(AND(COUNT(AF561,AG561,AH561)=3,AF561&gt;=AG561,AG561&gt;=0,AH561=14),AF561-AG561,"")</f>
        <v>0</v>
      </c>
      <c r="K561" s="28" t="n">
        <f>IF(AND(COUNT(AL561,AM561,AN561)=3,AL561&gt;=AM561,AM561&gt;=0,AN561=30),AL561-AM561,"")</f>
        <v>0</v>
      </c>
      <c r="L561" s="29" t="n">
        <f>IF(ISNUMBER(BI561),BI561/90,"")</f>
        <v>0</v>
      </c>
      <c r="M561" s="28" t="n">
        <v>0</v>
      </c>
      <c r="N561" s="28" t="n">
        <v>0</v>
      </c>
      <c r="O561" s="28" t="n">
        <v>0</v>
      </c>
      <c r="P561" s="30" t="str">
        <f>IF(AND(ISNUMBER(L561),L561&gt;0,COUNT(M561:O561)=3,MIN(M561:O561)&gt;=0),SUM(M561:O561)/L561,"")</f>
      </c>
      <c r="Q561" s="16" t="str">
        <v>沿用原计划SKU店铺</v>
      </c>
      <c r="R561" s="16" t="str">
        <v>已匹配</v>
      </c>
      <c r="S561" s="16" t="str">
        <v>停售</v>
      </c>
      <c r="T561" s="16" t="str">
        <v>1S01</v>
      </c>
      <c r="U561" s="16" t="str">
        <v>白色</v>
      </c>
      <c r="V561" s="16" t="n">
        <v>11</v>
      </c>
      <c r="W561" s="8" t="str">
        <v>2026-10-08 至 2026-10-17</v>
      </c>
      <c r="X561" s="8" t="str">
        <v>2026-10-08、2026-10-09、2026-10-10、2026-10-11、2026-10-14、2026-10-15、2026-10-17</v>
      </c>
      <c r="Y561" s="8" t="str">
        <v>2026-10-12 有记录的停售日；2026-10-13 有记录的停售日；2026-10-16 有记录的停售日</v>
      </c>
      <c r="Z561" s="8" t="n">
        <v>0</v>
      </c>
      <c r="AA561" s="8" t="n">
        <v>0</v>
      </c>
      <c r="AB561" s="8" t="n">
        <v>7</v>
      </c>
      <c r="AC561" s="8" t="str">
        <v>2026-09-29 至 2026-10-17</v>
      </c>
      <c r="AD561" s="8" t="str">
        <v>2026-09-29、2026-09-30、2026-10-01、2026-10-02、2026-10-03、2026-10-04、2026-10-05、2026-10-08、2026-10-09、2026-10-10、2026-10-11、2026-10-14、2026-10-15、2026-10-17</v>
      </c>
      <c r="AE561" s="8" t="str">
        <v>2026-10-06 大促；2026-10-07 大促；2026-10-12 有记录的停售日；2026-10-13 有记录的停售日；2026-10-16 有记录的停售日</v>
      </c>
      <c r="AF561" s="8" t="n">
        <v>0</v>
      </c>
      <c r="AG561" s="8" t="n">
        <v>0</v>
      </c>
      <c r="AH561" s="8" t="n">
        <v>14</v>
      </c>
      <c r="AI561" s="8" t="str">
        <v>2026-09-13 至 2026-10-17</v>
      </c>
      <c r="AJ56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1" s="8" t="str">
        <v>2026-10-06 大促；2026-10-07 大促；2026-10-12 有记录的停售日；2026-10-13 有记录的停售日；2026-10-16 有记录的停售日</v>
      </c>
      <c r="AL561" s="8" t="n">
        <v>0</v>
      </c>
      <c r="AM561" s="8" t="n">
        <v>0</v>
      </c>
      <c r="AN561" s="8" t="n">
        <v>30</v>
      </c>
      <c r="AO561" s="8" t="str">
        <v>1S01 / 白色PU / 6574</v>
      </c>
      <c r="AP561" s="11" t="n">
        <v>0.8729500662042875</v>
      </c>
      <c r="AQ561" s="11" t="n">
        <v>0.9355747145678367</v>
      </c>
      <c r="AR561" s="11" t="n">
        <v>1.135973589331194</v>
      </c>
      <c r="AS561" s="11" t="n">
        <f>IF(AND(COUNT(I561:K561,AP561:AR561)=6,MIN(AP561:AR561)&gt;0),I561/7/AP561*0.5+J561/14/AQ561*0.3+K561/30/AR561*0.2,"")</f>
        <v>0</v>
      </c>
      <c r="AT561" s="8" t="n">
        <v>0</v>
      </c>
      <c r="AU561" s="8" t="n">
        <v>0</v>
      </c>
      <c r="AV561" s="8" t="n">
        <v>85</v>
      </c>
      <c r="AW561" s="11" t="n">
        <f>IF(AND(COUNT(AT561:AV561)=3,AT561&gt;=AU561,AU561&gt;=0,AV561&gt;0),(AT561-AU561)/AV561,"")</f>
        <v>0</v>
      </c>
      <c r="AX561" s="8" t="n">
        <v>0</v>
      </c>
      <c r="AY561" s="8" t="n">
        <v>0</v>
      </c>
      <c r="AZ561" s="8" t="n">
        <v>175</v>
      </c>
      <c r="BA561" s="11" t="n">
        <f>IF(AND(COUNT(AX561:AZ561)=3,AX561&gt;=AY561,AY561&gt;=0,AZ561&gt;0),(AX561-AY561)/AZ561,"")</f>
        <v>0</v>
      </c>
      <c r="BB561" s="8" t="n">
        <f>IF(COUNT(AS561,AW561,BA561)=3,1,0)</f>
        <v>1</v>
      </c>
      <c r="BC561" s="11" t="n">
        <f>IF(SUMIF($AO$11:$AO$1309,AO561,$BB$11:$BB$1309)=COUNTIF($AO$11:$AO$1309,AO561),SUMIF($AO$11:$AO$1309,AO561,$AS$11:$AS$1309),"")</f>
        <v>0</v>
      </c>
      <c r="BD561" s="11" t="n">
        <f>IF(SUMIF($AO$11:$AO$1309,AO561,$BB$11:$BB$1309)=COUNTIF($AO$11:$AO$1309,AO561),SUMIF($AO$11:$AO$1309,AO561,$AW$11:$AW$1309),"")</f>
        <v>0</v>
      </c>
      <c r="BE561" s="11" t="n">
        <f>IF(SUMIF($AO$11:$AO$1309,AO561,$BB$11:$BB$1309)=COUNTIF($AO$11:$AO$1309,AO561),SUMIF($AO$11:$AO$1309,AO561,$BA$11:$BA$1309),"")</f>
        <v>0</v>
      </c>
      <c r="BF561" s="12" t="n">
        <f>IF(COUNT(BD561:BE561)&lt;&gt;2,"",IF(AND(BD561&gt;0,BE561&gt;0),0.7*AW561/BD561+0.3*BA561/BE561,IF(BD561&gt;0,AW561/BD561,IF(BE561&gt;0,BA561/BE561,IF(AND(ISNUMBER(BH561),BH561=0),0,"")))))</f>
        <v>0</v>
      </c>
      <c r="BG561" s="11" t="n">
        <f>IF(AND(COUNT(BN561:BU561)=8,MIN(BN561:BU561)&gt;=0),SUMPRODUCT(BN561:BQ561,BR561:BU561),"")</f>
        <v>63.935996265425516</v>
      </c>
      <c r="BH561" s="11" t="n">
        <f>IF(COUNT(BC561,BG561)=2,BC561*BG561,"")</f>
        <v>0</v>
      </c>
      <c r="BI561" s="11" t="n">
        <f>IF(ISNUMBER(CI561),CI561,"")</f>
        <v>0</v>
      </c>
      <c r="BJ561" s="8" t="str">
        <v>近180天本色销量1双（＜90），无有效新采购，请运营判断</v>
      </c>
      <c r="BK561" s="8" t="str">
        <v>90天：2026-07-20 至 2026-10-17；180天：2026-04-21 至 2026-10-17</v>
      </c>
      <c r="BL561" s="8" t="str">
        <v>90天：2026-10-06、2026-10-07、2026-10-12、2026-10-13、2026-10-16；180天：2026-10-06、2026-10-07、2026-10-12、2026-10-13、2026-10-16</v>
      </c>
      <c r="BM561" s="8" t="str">
        <v>2026-10：12天 × 0.8729500662042875；2026-11：30天 × 0.8057375774163482；2026-12：31天 × 0.532550303142279；2027-01：17天 × 0.7517299265337036</v>
      </c>
      <c r="BN561" s="11" t="n">
        <v>0.8729500662042875</v>
      </c>
      <c r="BO561" s="11" t="n">
        <v>0.8057375774163482</v>
      </c>
      <c r="BP561" s="11" t="n">
        <v>0.532550303142279</v>
      </c>
      <c r="BQ561" s="11" t="n">
        <v>0.7517299265337036</v>
      </c>
      <c r="BR561" s="8" t="n">
        <v>12</v>
      </c>
      <c r="BS561" s="8" t="n">
        <v>30</v>
      </c>
      <c r="BT561" s="8" t="n">
        <v>31</v>
      </c>
      <c r="BU561" s="8" t="n">
        <v>17</v>
      </c>
      <c r="BV561" s="11" t="n">
        <f>IF(COUNT(BC561,BF561)=2,BC561*BF561,"")</f>
        <v>0</v>
      </c>
      <c r="BW561" s="11" t="n">
        <f>IF(ISNUMBER(BN561),BN561,"")</f>
        <v>0.8729500662042875</v>
      </c>
      <c r="BX561" s="14" t="n">
        <f>IF(ISNUMBER(BR561),BR561,"")</f>
        <v>12</v>
      </c>
      <c r="BY561" s="13" t="n">
        <f>IF(AND(COUNT(BV561,BW561,BX561)=3,MIN(BV561,BW561,BX561)&gt;=0),BV561*BW561*BX561,"")</f>
        <v>0</v>
      </c>
      <c r="BZ561" s="11" t="n">
        <f>IF(ISNUMBER(BO561),BO561,"")</f>
        <v>0.8057375774163482</v>
      </c>
      <c r="CA561" s="14" t="n">
        <f>IF(ISNUMBER(BS561),BS561,"")</f>
        <v>30</v>
      </c>
      <c r="CB561" s="13" t="n">
        <f>IF(AND(COUNT(BV561,BZ561,CA561)=3,MIN(BV561,BZ561,CA561)&gt;=0),BV561*BZ561*CA561,"")</f>
        <v>0</v>
      </c>
      <c r="CC561" s="11" t="n">
        <f>IF(ISNUMBER(BP561),BP561,"")</f>
        <v>0.532550303142279</v>
      </c>
      <c r="CD561" s="14" t="n">
        <f>IF(ISNUMBER(BT561),BT561,"")</f>
        <v>31</v>
      </c>
      <c r="CE561" s="13" t="n">
        <f>IF(AND(COUNT(BV561,CC561,CD561)=3,MIN(BV561,CC561,CD561)&gt;=0),BV561*CC561*CD561,"")</f>
        <v>0</v>
      </c>
      <c r="CF561" s="11" t="n">
        <f>IF(ISNUMBER(BQ561),BQ561,"")</f>
        <v>0.7517299265337036</v>
      </c>
      <c r="CG561" s="14" t="n">
        <f>IF(ISNUMBER(BU561),BU561,"")</f>
        <v>17</v>
      </c>
      <c r="CH561" s="13" t="n">
        <f>IF(AND(COUNT(BV561,CF561,CG561)=3,MIN(BV561,CF561,CG561)&gt;=0),BV561*CF561*CG561,"")</f>
        <v>0</v>
      </c>
      <c r="CI561" s="13" t="n">
        <f>IF(COUNT(BY561,CB561,CE561,CH561)=4,SUM(BY561,CB561,CE561,CH561),"")</f>
        <v>0</v>
      </c>
    </row>
    <row r="562" ht="72" customHeight="1">
      <c r="A562" s="16" t="str">
        <v>1S01-WT-37.5</v>
      </c>
      <c r="B562" s="16" t="str">
        <v>3店-SANDIEX-US</v>
      </c>
      <c r="C562" s="16" t="str">
        <v>徐新怡</v>
      </c>
      <c r="D562" s="26" t="n">
        <f>IF(NOT(ISNUMBER(E562)),"",IF(OR(E562&lt;=0,L562=0),0,IF(OR(NOT(ISNUMBER(F562)),F562&lt;0),"",MIN(E562,INT(F562)))))</f>
        <v>0</v>
      </c>
      <c r="E562" s="27" t="n">
        <f>IF(OR(NOT(ISNUMBER(L562)),COUNT(M562:O562)&lt;&gt;3,MIN(M562:O562)&lt;0),"",ROUNDUP(ROUND(BI562-SUM(M562:O562),10),0))</f>
        <v>0</v>
      </c>
      <c r="F562" s="28"/>
      <c r="G562" s="28" t="n">
        <f>IF(AND(ISNUMBER(D562),ISNUMBER(E562)),IF(OR(E562&lt;=0,L562=0),0,E562-D562),"")</f>
        <v>0</v>
      </c>
      <c r="H562" s="16" t="str">
        <f>IF(NOT(ISNUMBER(E562)),"销量或海外库存待补",IF(OR(E562&lt;=0,L562=0),IF(L562=0,"零日销，本批不发","本批无需补货"),IF(NOT(ISNUMBER(D562)),"国内库存待补",IF(D562=0,"国内无可用库存",IF(G562&gt;0,"先发国内现货","按建议量发货")))))</f>
        <v>零日销，本批不发</v>
      </c>
      <c r="I562" s="28" t="n">
        <f>IF(AND(COUNT(Z562,AA562,AB562)=3,Z562&gt;=AA562,AA562&gt;=0,AB562=7),Z562-AA562,"")</f>
        <v>0</v>
      </c>
      <c r="J562" s="28" t="n">
        <f>IF(AND(COUNT(AF562,AG562,AH562)=3,AF562&gt;=AG562,AG562&gt;=0,AH562=14),AF562-AG562,"")</f>
        <v>0</v>
      </c>
      <c r="K562" s="28" t="n">
        <f>IF(AND(COUNT(AL562,AM562,AN562)=3,AL562&gt;=AM562,AM562&gt;=0,AN562=30),AL562-AM562,"")</f>
        <v>0</v>
      </c>
      <c r="L562" s="29" t="n">
        <f>IF(ISNUMBER(BI562),BI562/90,"")</f>
        <v>0</v>
      </c>
      <c r="M562" s="28" t="n">
        <v>0</v>
      </c>
      <c r="N562" s="28" t="n">
        <v>0</v>
      </c>
      <c r="O562" s="28" t="n">
        <v>0</v>
      </c>
      <c r="P562" s="30" t="str">
        <f>IF(AND(ISNUMBER(L562),L562&gt;0,COUNT(M562:O562)=3,MIN(M562:O562)&gt;=0),SUM(M562:O562)/L562,"")</f>
      </c>
      <c r="Q562" s="16" t="str">
        <v>沿用同SPU原计划店铺</v>
      </c>
      <c r="R562" s="16" t="str">
        <v>未匹配</v>
      </c>
      <c r="S562" s="16" t="str">
        <v>停售</v>
      </c>
      <c r="T562" s="16" t="str">
        <v>1S01</v>
      </c>
      <c r="U562" s="16" t="str">
        <v>白色</v>
      </c>
      <c r="V562" s="16" t="n">
        <v>6.5</v>
      </c>
      <c r="W562" s="8" t="str">
        <v>2026-10-08 至 2026-10-17</v>
      </c>
      <c r="X562" s="8" t="str">
        <v>2026-10-08、2026-10-09、2026-10-10、2026-10-11、2026-10-14、2026-10-15、2026-10-17</v>
      </c>
      <c r="Y562" s="8" t="str">
        <v>2026-10-12 有记录的停售日；2026-10-13 有记录的停售日；2026-10-16 有记录的停售日</v>
      </c>
      <c r="Z562" s="8" t="n">
        <v>0</v>
      </c>
      <c r="AA562" s="8" t="n">
        <v>0</v>
      </c>
      <c r="AB562" s="8" t="n">
        <v>7</v>
      </c>
      <c r="AC562" s="8" t="str">
        <v>2026-09-29 至 2026-10-17</v>
      </c>
      <c r="AD562" s="8" t="str">
        <v>2026-09-29、2026-09-30、2026-10-01、2026-10-02、2026-10-03、2026-10-04、2026-10-05、2026-10-08、2026-10-09、2026-10-10、2026-10-11、2026-10-14、2026-10-15、2026-10-17</v>
      </c>
      <c r="AE562" s="8" t="str">
        <v>2026-10-06 大促；2026-10-07 大促；2026-10-12 有记录的停售日；2026-10-13 有记录的停售日；2026-10-16 有记录的停售日</v>
      </c>
      <c r="AF562" s="8" t="n">
        <v>0</v>
      </c>
      <c r="AG562" s="8" t="n">
        <v>0</v>
      </c>
      <c r="AH562" s="8" t="n">
        <v>14</v>
      </c>
      <c r="AI562" s="8" t="str">
        <v>2026-09-13 至 2026-10-17</v>
      </c>
      <c r="AJ56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2" s="8" t="str">
        <v>2026-10-06 大促；2026-10-07 大促；2026-10-12 有记录的停售日；2026-10-13 有记录的停售日；2026-10-16 有记录的停售日</v>
      </c>
      <c r="AL562" s="8" t="n">
        <v>0</v>
      </c>
      <c r="AM562" s="8" t="n">
        <v>0</v>
      </c>
      <c r="AN562" s="8" t="n">
        <v>30</v>
      </c>
      <c r="AO562" s="8" t="str">
        <v>1S01 / 白色PU / 6574</v>
      </c>
      <c r="AP562" s="11" t="n">
        <v>0.8729500662042875</v>
      </c>
      <c r="AQ562" s="11" t="n">
        <v>0.9355747145678367</v>
      </c>
      <c r="AR562" s="11" t="n">
        <v>1.135973589331194</v>
      </c>
      <c r="AS562" s="11" t="n">
        <f>IF(AND(COUNT(I562:K562,AP562:AR562)=6,MIN(AP562:AR562)&gt;0),I562/7/AP562*0.5+J562/14/AQ562*0.3+K562/30/AR562*0.2,"")</f>
        <v>0</v>
      </c>
      <c r="AT562" s="8" t="n">
        <v>0</v>
      </c>
      <c r="AU562" s="8" t="n">
        <v>0</v>
      </c>
      <c r="AV562" s="8" t="n">
        <v>85</v>
      </c>
      <c r="AW562" s="11" t="n">
        <f>IF(AND(COUNT(AT562:AV562)=3,AT562&gt;=AU562,AU562&gt;=0,AV562&gt;0),(AT562-AU562)/AV562,"")</f>
        <v>0</v>
      </c>
      <c r="AX562" s="8" t="n">
        <v>0</v>
      </c>
      <c r="AY562" s="8" t="n">
        <v>0</v>
      </c>
      <c r="AZ562" s="8" t="n">
        <v>175</v>
      </c>
      <c r="BA562" s="11" t="n">
        <f>IF(AND(COUNT(AX562:AZ562)=3,AX562&gt;=AY562,AY562&gt;=0,AZ562&gt;0),(AX562-AY562)/AZ562,"")</f>
        <v>0</v>
      </c>
      <c r="BB562" s="8" t="n">
        <f>IF(COUNT(AS562,AW562,BA562)=3,1,0)</f>
        <v>1</v>
      </c>
      <c r="BC562" s="11" t="n">
        <f>IF(SUMIF($AO$11:$AO$1309,AO562,$BB$11:$BB$1309)=COUNTIF($AO$11:$AO$1309,AO562),SUMIF($AO$11:$AO$1309,AO562,$AS$11:$AS$1309),"")</f>
        <v>0</v>
      </c>
      <c r="BD562" s="11" t="n">
        <f>IF(SUMIF($AO$11:$AO$1309,AO562,$BB$11:$BB$1309)=COUNTIF($AO$11:$AO$1309,AO562),SUMIF($AO$11:$AO$1309,AO562,$AW$11:$AW$1309),"")</f>
        <v>0</v>
      </c>
      <c r="BE562" s="11" t="n">
        <f>IF(SUMIF($AO$11:$AO$1309,AO562,$BB$11:$BB$1309)=COUNTIF($AO$11:$AO$1309,AO562),SUMIF($AO$11:$AO$1309,AO562,$BA$11:$BA$1309),"")</f>
        <v>0</v>
      </c>
      <c r="BF562" s="12" t="n">
        <f>IF(COUNT(BD562:BE562)&lt;&gt;2,"",IF(AND(BD562&gt;0,BE562&gt;0),0.7*AW562/BD562+0.3*BA562/BE562,IF(BD562&gt;0,AW562/BD562,IF(BE562&gt;0,BA562/BE562,IF(AND(ISNUMBER(BH562),BH562=0),0,"")))))</f>
        <v>0</v>
      </c>
      <c r="BG562" s="11" t="n">
        <f>IF(AND(COUNT(BN562:BU562)=8,MIN(BN562:BU562)&gt;=0),SUMPRODUCT(BN562:BQ562,BR562:BU562),"")</f>
        <v>63.935996265425516</v>
      </c>
      <c r="BH562" s="11" t="n">
        <f>IF(COUNT(BC562,BG562)=2,BC562*BG562,"")</f>
        <v>0</v>
      </c>
      <c r="BI562" s="11" t="n">
        <f>IF(ISNUMBER(CI562),CI562,"")</f>
        <v>0</v>
      </c>
      <c r="BJ562" s="8" t="str">
        <v>近180天本色销量1双（＜90），无有效新采购，请运营判断</v>
      </c>
      <c r="BK562" s="8" t="str">
        <v>90天：2026-07-20 至 2026-10-17；180天：2026-04-21 至 2026-10-17</v>
      </c>
      <c r="BL562" s="8" t="str">
        <v>90天：2026-10-06、2026-10-07、2026-10-12、2026-10-13、2026-10-16；180天：2026-10-06、2026-10-07、2026-10-12、2026-10-13、2026-10-16</v>
      </c>
      <c r="BM562" s="8" t="str">
        <v>2026-10：12天 × 0.8729500662042875；2026-11：30天 × 0.8057375774163482；2026-12：31天 × 0.532550303142279；2027-01：17天 × 0.7517299265337036</v>
      </c>
      <c r="BN562" s="11" t="n">
        <v>0.8729500662042875</v>
      </c>
      <c r="BO562" s="11" t="n">
        <v>0.8057375774163482</v>
      </c>
      <c r="BP562" s="11" t="n">
        <v>0.532550303142279</v>
      </c>
      <c r="BQ562" s="11" t="n">
        <v>0.7517299265337036</v>
      </c>
      <c r="BR562" s="8" t="n">
        <v>12</v>
      </c>
      <c r="BS562" s="8" t="n">
        <v>30</v>
      </c>
      <c r="BT562" s="8" t="n">
        <v>31</v>
      </c>
      <c r="BU562" s="8" t="n">
        <v>17</v>
      </c>
      <c r="BV562" s="11" t="n">
        <f>IF(COUNT(BC562,BF562)=2,BC562*BF562,"")</f>
        <v>0</v>
      </c>
      <c r="BW562" s="11" t="n">
        <f>IF(ISNUMBER(BN562),BN562,"")</f>
        <v>0.8729500662042875</v>
      </c>
      <c r="BX562" s="14" t="n">
        <f>IF(ISNUMBER(BR562),BR562,"")</f>
        <v>12</v>
      </c>
      <c r="BY562" s="13" t="n">
        <f>IF(AND(COUNT(BV562,BW562,BX562)=3,MIN(BV562,BW562,BX562)&gt;=0),BV562*BW562*BX562,"")</f>
        <v>0</v>
      </c>
      <c r="BZ562" s="11" t="n">
        <f>IF(ISNUMBER(BO562),BO562,"")</f>
        <v>0.8057375774163482</v>
      </c>
      <c r="CA562" s="14" t="n">
        <f>IF(ISNUMBER(BS562),BS562,"")</f>
        <v>30</v>
      </c>
      <c r="CB562" s="13" t="n">
        <f>IF(AND(COUNT(BV562,BZ562,CA562)=3,MIN(BV562,BZ562,CA562)&gt;=0),BV562*BZ562*CA562,"")</f>
        <v>0</v>
      </c>
      <c r="CC562" s="11" t="n">
        <f>IF(ISNUMBER(BP562),BP562,"")</f>
        <v>0.532550303142279</v>
      </c>
      <c r="CD562" s="14" t="n">
        <f>IF(ISNUMBER(BT562),BT562,"")</f>
        <v>31</v>
      </c>
      <c r="CE562" s="13" t="n">
        <f>IF(AND(COUNT(BV562,CC562,CD562)=3,MIN(BV562,CC562,CD562)&gt;=0),BV562*CC562*CD562,"")</f>
        <v>0</v>
      </c>
      <c r="CF562" s="11" t="n">
        <f>IF(ISNUMBER(BQ562),BQ562,"")</f>
        <v>0.7517299265337036</v>
      </c>
      <c r="CG562" s="14" t="n">
        <f>IF(ISNUMBER(BU562),BU562,"")</f>
        <v>17</v>
      </c>
      <c r="CH562" s="13" t="n">
        <f>IF(AND(COUNT(BV562,CF562,CG562)=3,MIN(BV562,CF562,CG562)&gt;=0),BV562*CF562*CG562,"")</f>
        <v>0</v>
      </c>
      <c r="CI562" s="13" t="n">
        <f>IF(COUNT(BY562,CB562,CE562,CH562)=4,SUM(BY562,CB562,CE562,CH562),"")</f>
        <v>0</v>
      </c>
    </row>
    <row r="563" ht="72" customHeight="1">
      <c r="A563" s="16" t="str">
        <v>1S01-WT-38.5</v>
      </c>
      <c r="B563" s="16" t="str">
        <v>3店-SANDIEX-US</v>
      </c>
      <c r="C563" s="16" t="str">
        <v>徐新怡</v>
      </c>
      <c r="D563" s="26" t="n">
        <f>IF(NOT(ISNUMBER(E563)),"",IF(OR(E563&lt;=0,L563=0),0,IF(OR(NOT(ISNUMBER(F563)),F563&lt;0),"",MIN(E563,INT(F563)))))</f>
        <v>0</v>
      </c>
      <c r="E563" s="27" t="n">
        <f>IF(OR(NOT(ISNUMBER(L563)),COUNT(M563:O563)&lt;&gt;3,MIN(M563:O563)&lt;0),"",ROUNDUP(ROUND(BI563-SUM(M563:O563),10),0))</f>
        <v>0</v>
      </c>
      <c r="F563" s="28"/>
      <c r="G563" s="28" t="n">
        <f>IF(AND(ISNUMBER(D563),ISNUMBER(E563)),IF(OR(E563&lt;=0,L563=0),0,E563-D563),"")</f>
        <v>0</v>
      </c>
      <c r="H563" s="16" t="str">
        <f>IF(NOT(ISNUMBER(E563)),"销量或海外库存待补",IF(OR(E563&lt;=0,L563=0),IF(L563=0,"零日销，本批不发","本批无需补货"),IF(NOT(ISNUMBER(D563)),"国内库存待补",IF(D563=0,"国内无可用库存",IF(G563&gt;0,"先发国内现货","按建议量发货")))))</f>
        <v>零日销，本批不发</v>
      </c>
      <c r="I563" s="28" t="n">
        <f>IF(AND(COUNT(Z563,AA563,AB563)=3,Z563&gt;=AA563,AA563&gt;=0,AB563=7),Z563-AA563,"")</f>
        <v>0</v>
      </c>
      <c r="J563" s="28" t="n">
        <f>IF(AND(COUNT(AF563,AG563,AH563)=3,AF563&gt;=AG563,AG563&gt;=0,AH563=14),AF563-AG563,"")</f>
        <v>0</v>
      </c>
      <c r="K563" s="28" t="n">
        <f>IF(AND(COUNT(AL563,AM563,AN563)=3,AL563&gt;=AM563,AM563&gt;=0,AN563=30),AL563-AM563,"")</f>
        <v>0</v>
      </c>
      <c r="L563" s="29" t="n">
        <f>IF(ISNUMBER(BI563),BI563/90,"")</f>
        <v>0</v>
      </c>
      <c r="M563" s="28" t="n">
        <v>0</v>
      </c>
      <c r="N563" s="28" t="n">
        <v>0</v>
      </c>
      <c r="O563" s="28" t="n">
        <v>0</v>
      </c>
      <c r="P563" s="30" t="str">
        <f>IF(AND(ISNUMBER(L563),L563&gt;0,COUNT(M563:O563)=3,MIN(M563:O563)&gt;=0),SUM(M563:O563)/L563,"")</f>
      </c>
      <c r="Q563" s="16" t="str">
        <v>沿用同SPU原计划店铺</v>
      </c>
      <c r="R563" s="16" t="str">
        <v>未匹配</v>
      </c>
      <c r="S563" s="16" t="str">
        <v>停售</v>
      </c>
      <c r="T563" s="16" t="str">
        <v>1S01</v>
      </c>
      <c r="U563" s="16" t="str">
        <v>白色</v>
      </c>
      <c r="V563" s="16" t="n">
        <v>7.5</v>
      </c>
      <c r="W563" s="8" t="str">
        <v>2026-10-08 至 2026-10-17</v>
      </c>
      <c r="X563" s="8" t="str">
        <v>2026-10-08、2026-10-09、2026-10-10、2026-10-11、2026-10-14、2026-10-15、2026-10-17</v>
      </c>
      <c r="Y563" s="8" t="str">
        <v>2026-10-12 有记录的停售日；2026-10-13 有记录的停售日；2026-10-16 有记录的停售日</v>
      </c>
      <c r="Z563" s="8" t="n">
        <v>0</v>
      </c>
      <c r="AA563" s="8" t="n">
        <v>0</v>
      </c>
      <c r="AB563" s="8" t="n">
        <v>7</v>
      </c>
      <c r="AC563" s="8" t="str">
        <v>2026-09-29 至 2026-10-17</v>
      </c>
      <c r="AD563" s="8" t="str">
        <v>2026-09-29、2026-09-30、2026-10-01、2026-10-02、2026-10-03、2026-10-04、2026-10-05、2026-10-08、2026-10-09、2026-10-10、2026-10-11、2026-10-14、2026-10-15、2026-10-17</v>
      </c>
      <c r="AE563" s="8" t="str">
        <v>2026-10-06 大促；2026-10-07 大促；2026-10-12 有记录的停售日；2026-10-13 有记录的停售日；2026-10-16 有记录的停售日</v>
      </c>
      <c r="AF563" s="8" t="n">
        <v>0</v>
      </c>
      <c r="AG563" s="8" t="n">
        <v>0</v>
      </c>
      <c r="AH563" s="8" t="n">
        <v>14</v>
      </c>
      <c r="AI563" s="8" t="str">
        <v>2026-09-13 至 2026-10-17</v>
      </c>
      <c r="AJ56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3" s="8" t="str">
        <v>2026-10-06 大促；2026-10-07 大促；2026-10-12 有记录的停售日；2026-10-13 有记录的停售日；2026-10-16 有记录的停售日</v>
      </c>
      <c r="AL563" s="8" t="n">
        <v>0</v>
      </c>
      <c r="AM563" s="8" t="n">
        <v>0</v>
      </c>
      <c r="AN563" s="8" t="n">
        <v>30</v>
      </c>
      <c r="AO563" s="8" t="str">
        <v>1S01 / 白色PU / 6574</v>
      </c>
      <c r="AP563" s="11" t="n">
        <v>0.8729500662042875</v>
      </c>
      <c r="AQ563" s="11" t="n">
        <v>0.9355747145678367</v>
      </c>
      <c r="AR563" s="11" t="n">
        <v>1.135973589331194</v>
      </c>
      <c r="AS563" s="11" t="n">
        <f>IF(AND(COUNT(I563:K563,AP563:AR563)=6,MIN(AP563:AR563)&gt;0),I563/7/AP563*0.5+J563/14/AQ563*0.3+K563/30/AR563*0.2,"")</f>
        <v>0</v>
      </c>
      <c r="AT563" s="8" t="n">
        <v>0</v>
      </c>
      <c r="AU563" s="8" t="n">
        <v>0</v>
      </c>
      <c r="AV563" s="8" t="n">
        <v>85</v>
      </c>
      <c r="AW563" s="11" t="n">
        <f>IF(AND(COUNT(AT563:AV563)=3,AT563&gt;=AU563,AU563&gt;=0,AV563&gt;0),(AT563-AU563)/AV563,"")</f>
        <v>0</v>
      </c>
      <c r="AX563" s="8" t="n">
        <v>0</v>
      </c>
      <c r="AY563" s="8" t="n">
        <v>0</v>
      </c>
      <c r="AZ563" s="8" t="n">
        <v>175</v>
      </c>
      <c r="BA563" s="11" t="n">
        <f>IF(AND(COUNT(AX563:AZ563)=3,AX563&gt;=AY563,AY563&gt;=0,AZ563&gt;0),(AX563-AY563)/AZ563,"")</f>
        <v>0</v>
      </c>
      <c r="BB563" s="8" t="n">
        <f>IF(COUNT(AS563,AW563,BA563)=3,1,0)</f>
        <v>1</v>
      </c>
      <c r="BC563" s="11" t="n">
        <f>IF(SUMIF($AO$11:$AO$1309,AO563,$BB$11:$BB$1309)=COUNTIF($AO$11:$AO$1309,AO563),SUMIF($AO$11:$AO$1309,AO563,$AS$11:$AS$1309),"")</f>
        <v>0</v>
      </c>
      <c r="BD563" s="11" t="n">
        <f>IF(SUMIF($AO$11:$AO$1309,AO563,$BB$11:$BB$1309)=COUNTIF($AO$11:$AO$1309,AO563),SUMIF($AO$11:$AO$1309,AO563,$AW$11:$AW$1309),"")</f>
        <v>0</v>
      </c>
      <c r="BE563" s="11" t="n">
        <f>IF(SUMIF($AO$11:$AO$1309,AO563,$BB$11:$BB$1309)=COUNTIF($AO$11:$AO$1309,AO563),SUMIF($AO$11:$AO$1309,AO563,$BA$11:$BA$1309),"")</f>
        <v>0</v>
      </c>
      <c r="BF563" s="12" t="n">
        <f>IF(COUNT(BD563:BE563)&lt;&gt;2,"",IF(AND(BD563&gt;0,BE563&gt;0),0.7*AW563/BD563+0.3*BA563/BE563,IF(BD563&gt;0,AW563/BD563,IF(BE563&gt;0,BA563/BE563,IF(AND(ISNUMBER(BH563),BH563=0),0,"")))))</f>
        <v>0</v>
      </c>
      <c r="BG563" s="11" t="n">
        <f>IF(AND(COUNT(BN563:BU563)=8,MIN(BN563:BU563)&gt;=0),SUMPRODUCT(BN563:BQ563,BR563:BU563),"")</f>
        <v>63.935996265425516</v>
      </c>
      <c r="BH563" s="11" t="n">
        <f>IF(COUNT(BC563,BG563)=2,BC563*BG563,"")</f>
        <v>0</v>
      </c>
      <c r="BI563" s="11" t="n">
        <f>IF(ISNUMBER(CI563),CI563,"")</f>
        <v>0</v>
      </c>
      <c r="BJ563" s="8" t="str">
        <v>近180天本色销量1双（＜90），无有效新采购，请运营判断</v>
      </c>
      <c r="BK563" s="8" t="str">
        <v>90天：2026-07-20 至 2026-10-17；180天：2026-04-21 至 2026-10-17</v>
      </c>
      <c r="BL563" s="8" t="str">
        <v>90天：2026-10-06、2026-10-07、2026-10-12、2026-10-13、2026-10-16；180天：2026-10-06、2026-10-07、2026-10-12、2026-10-13、2026-10-16</v>
      </c>
      <c r="BM563" s="8" t="str">
        <v>2026-10：12天 × 0.8729500662042875；2026-11：30天 × 0.8057375774163482；2026-12：31天 × 0.532550303142279；2027-01：17天 × 0.7517299265337036</v>
      </c>
      <c r="BN563" s="11" t="n">
        <v>0.8729500662042875</v>
      </c>
      <c r="BO563" s="11" t="n">
        <v>0.8057375774163482</v>
      </c>
      <c r="BP563" s="11" t="n">
        <v>0.532550303142279</v>
      </c>
      <c r="BQ563" s="11" t="n">
        <v>0.7517299265337036</v>
      </c>
      <c r="BR563" s="8" t="n">
        <v>12</v>
      </c>
      <c r="BS563" s="8" t="n">
        <v>30</v>
      </c>
      <c r="BT563" s="8" t="n">
        <v>31</v>
      </c>
      <c r="BU563" s="8" t="n">
        <v>17</v>
      </c>
      <c r="BV563" s="11" t="n">
        <f>IF(COUNT(BC563,BF563)=2,BC563*BF563,"")</f>
        <v>0</v>
      </c>
      <c r="BW563" s="11" t="n">
        <f>IF(ISNUMBER(BN563),BN563,"")</f>
        <v>0.8729500662042875</v>
      </c>
      <c r="BX563" s="14" t="n">
        <f>IF(ISNUMBER(BR563),BR563,"")</f>
        <v>12</v>
      </c>
      <c r="BY563" s="13" t="n">
        <f>IF(AND(COUNT(BV563,BW563,BX563)=3,MIN(BV563,BW563,BX563)&gt;=0),BV563*BW563*BX563,"")</f>
        <v>0</v>
      </c>
      <c r="BZ563" s="11" t="n">
        <f>IF(ISNUMBER(BO563),BO563,"")</f>
        <v>0.8057375774163482</v>
      </c>
      <c r="CA563" s="14" t="n">
        <f>IF(ISNUMBER(BS563),BS563,"")</f>
        <v>30</v>
      </c>
      <c r="CB563" s="13" t="n">
        <f>IF(AND(COUNT(BV563,BZ563,CA563)=3,MIN(BV563,BZ563,CA563)&gt;=0),BV563*BZ563*CA563,"")</f>
        <v>0</v>
      </c>
      <c r="CC563" s="11" t="n">
        <f>IF(ISNUMBER(BP563),BP563,"")</f>
        <v>0.532550303142279</v>
      </c>
      <c r="CD563" s="14" t="n">
        <f>IF(ISNUMBER(BT563),BT563,"")</f>
        <v>31</v>
      </c>
      <c r="CE563" s="13" t="n">
        <f>IF(AND(COUNT(BV563,CC563,CD563)=3,MIN(BV563,CC563,CD563)&gt;=0),BV563*CC563*CD563,"")</f>
        <v>0</v>
      </c>
      <c r="CF563" s="11" t="n">
        <f>IF(ISNUMBER(BQ563),BQ563,"")</f>
        <v>0.7517299265337036</v>
      </c>
      <c r="CG563" s="14" t="n">
        <f>IF(ISNUMBER(BU563),BU563,"")</f>
        <v>17</v>
      </c>
      <c r="CH563" s="13" t="n">
        <f>IF(AND(COUNT(BV563,CF563,CG563)=3,MIN(BV563,CF563,CG563)&gt;=0),BV563*CF563*CG563,"")</f>
        <v>0</v>
      </c>
      <c r="CI563" s="13" t="n">
        <f>IF(COUNT(BY563,CB563,CE563,CH563)=4,SUM(BY563,CB563,CE563,CH563),"")</f>
        <v>0</v>
      </c>
    </row>
    <row r="564" ht="72" customHeight="1">
      <c r="A564" s="16" t="str">
        <v>1S01-WT-39.5</v>
      </c>
      <c r="B564" s="16" t="str">
        <v>3店-SANDIEX-US</v>
      </c>
      <c r="C564" s="16" t="str">
        <v>徐新怡</v>
      </c>
      <c r="D564" s="26" t="n">
        <f>IF(NOT(ISNUMBER(E564)),"",IF(OR(E564&lt;=0,L564=0),0,IF(OR(NOT(ISNUMBER(F564)),F564&lt;0),"",MIN(E564,INT(F564)))))</f>
        <v>0</v>
      </c>
      <c r="E564" s="27" t="n">
        <f>IF(OR(NOT(ISNUMBER(L564)),COUNT(M564:O564)&lt;&gt;3,MIN(M564:O564)&lt;0),"",ROUNDUP(ROUND(BI564-SUM(M564:O564),10),0))</f>
        <v>0</v>
      </c>
      <c r="F564" s="28" t="n">
        <v>0</v>
      </c>
      <c r="G564" s="28" t="n">
        <f>IF(AND(ISNUMBER(D564),ISNUMBER(E564)),IF(OR(E564&lt;=0,L564=0),0,E564-D564),"")</f>
        <v>0</v>
      </c>
      <c r="H564" s="16" t="str">
        <f>IF(NOT(ISNUMBER(E564)),"销量或海外库存待补",IF(OR(E564&lt;=0,L564=0),IF(L564=0,"零日销，本批不发","本批无需补货"),IF(NOT(ISNUMBER(D564)),"国内库存待补",IF(D564=0,"国内无可用库存",IF(G564&gt;0,"先发国内现货","按建议量发货")))))</f>
        <v>零日销，本批不发</v>
      </c>
      <c r="I564" s="28" t="n">
        <f>IF(AND(COUNT(Z564,AA564,AB564)=3,Z564&gt;=AA564,AA564&gt;=0,AB564=7),Z564-AA564,"")</f>
        <v>0</v>
      </c>
      <c r="J564" s="28" t="n">
        <f>IF(AND(COUNT(AF564,AG564,AH564)=3,AF564&gt;=AG564,AG564&gt;=0,AH564=14),AF564-AG564,"")</f>
        <v>0</v>
      </c>
      <c r="K564" s="28" t="n">
        <f>IF(AND(COUNT(AL564,AM564,AN564)=3,AL564&gt;=AM564,AM564&gt;=0,AN564=30),AL564-AM564,"")</f>
        <v>0</v>
      </c>
      <c r="L564" s="29" t="n">
        <f>IF(ISNUMBER(BI564),BI564/90,"")</f>
        <v>0</v>
      </c>
      <c r="M564" s="28" t="n">
        <v>0</v>
      </c>
      <c r="N564" s="28" t="n">
        <v>0</v>
      </c>
      <c r="O564" s="28" t="n">
        <v>0</v>
      </c>
      <c r="P564" s="30" t="str">
        <f>IF(AND(ISNUMBER(L564),L564&gt;0,COUNT(M564:O564)=3,MIN(M564:O564)&gt;=0),SUM(M564:O564)/L564,"")</f>
      </c>
      <c r="Q564" s="16" t="str">
        <v>沿用同SPU原计划店铺</v>
      </c>
      <c r="R564" s="16" t="str">
        <v>已匹配</v>
      </c>
      <c r="S564" s="16" t="str">
        <v>停售</v>
      </c>
      <c r="T564" s="16" t="str">
        <v>1S01</v>
      </c>
      <c r="U564" s="16" t="str">
        <v>白色</v>
      </c>
      <c r="V564" s="16" t="n">
        <v>8.5</v>
      </c>
      <c r="W564" s="8" t="str">
        <v>2026-10-08 至 2026-10-17</v>
      </c>
      <c r="X564" s="8" t="str">
        <v>2026-10-08、2026-10-09、2026-10-10、2026-10-11、2026-10-14、2026-10-15、2026-10-17</v>
      </c>
      <c r="Y564" s="8" t="str">
        <v>2026-10-12 有记录的停售日；2026-10-13 有记录的停售日；2026-10-16 有记录的停售日</v>
      </c>
      <c r="Z564" s="8" t="n">
        <v>0</v>
      </c>
      <c r="AA564" s="8" t="n">
        <v>0</v>
      </c>
      <c r="AB564" s="8" t="n">
        <v>7</v>
      </c>
      <c r="AC564" s="8" t="str">
        <v>2026-09-29 至 2026-10-17</v>
      </c>
      <c r="AD564" s="8" t="str">
        <v>2026-09-29、2026-09-30、2026-10-01、2026-10-02、2026-10-03、2026-10-04、2026-10-05、2026-10-08、2026-10-09、2026-10-10、2026-10-11、2026-10-14、2026-10-15、2026-10-17</v>
      </c>
      <c r="AE564" s="8" t="str">
        <v>2026-10-06 大促；2026-10-07 大促；2026-10-12 有记录的停售日；2026-10-13 有记录的停售日；2026-10-16 有记录的停售日</v>
      </c>
      <c r="AF564" s="8" t="n">
        <v>0</v>
      </c>
      <c r="AG564" s="8" t="n">
        <v>0</v>
      </c>
      <c r="AH564" s="8" t="n">
        <v>14</v>
      </c>
      <c r="AI564" s="8" t="str">
        <v>2026-09-13 至 2026-10-17</v>
      </c>
      <c r="AJ56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4" s="8" t="str">
        <v>2026-10-06 大促；2026-10-07 大促；2026-10-12 有记录的停售日；2026-10-13 有记录的停售日；2026-10-16 有记录的停售日</v>
      </c>
      <c r="AL564" s="8" t="n">
        <v>0</v>
      </c>
      <c r="AM564" s="8" t="n">
        <v>0</v>
      </c>
      <c r="AN564" s="8" t="n">
        <v>30</v>
      </c>
      <c r="AO564" s="8" t="str">
        <v>1S01 / 白色PU / 6574</v>
      </c>
      <c r="AP564" s="11" t="n">
        <v>0.8729500662042875</v>
      </c>
      <c r="AQ564" s="11" t="n">
        <v>0.9355747145678367</v>
      </c>
      <c r="AR564" s="11" t="n">
        <v>1.135973589331194</v>
      </c>
      <c r="AS564" s="11" t="n">
        <f>IF(AND(COUNT(I564:K564,AP564:AR564)=6,MIN(AP564:AR564)&gt;0),I564/7/AP564*0.5+J564/14/AQ564*0.3+K564/30/AR564*0.2,"")</f>
        <v>0</v>
      </c>
      <c r="AT564" s="8" t="n">
        <v>0</v>
      </c>
      <c r="AU564" s="8" t="n">
        <v>0</v>
      </c>
      <c r="AV564" s="8" t="n">
        <v>85</v>
      </c>
      <c r="AW564" s="11" t="n">
        <f>IF(AND(COUNT(AT564:AV564)=3,AT564&gt;=AU564,AU564&gt;=0,AV564&gt;0),(AT564-AU564)/AV564,"")</f>
        <v>0</v>
      </c>
      <c r="AX564" s="8" t="n">
        <v>0</v>
      </c>
      <c r="AY564" s="8" t="n">
        <v>0</v>
      </c>
      <c r="AZ564" s="8" t="n">
        <v>175</v>
      </c>
      <c r="BA564" s="11" t="n">
        <f>IF(AND(COUNT(AX564:AZ564)=3,AX564&gt;=AY564,AY564&gt;=0,AZ564&gt;0),(AX564-AY564)/AZ564,"")</f>
        <v>0</v>
      </c>
      <c r="BB564" s="8" t="n">
        <f>IF(COUNT(AS564,AW564,BA564)=3,1,0)</f>
        <v>1</v>
      </c>
      <c r="BC564" s="11" t="n">
        <f>IF(SUMIF($AO$11:$AO$1309,AO564,$BB$11:$BB$1309)=COUNTIF($AO$11:$AO$1309,AO564),SUMIF($AO$11:$AO$1309,AO564,$AS$11:$AS$1309),"")</f>
        <v>0</v>
      </c>
      <c r="BD564" s="11" t="n">
        <f>IF(SUMIF($AO$11:$AO$1309,AO564,$BB$11:$BB$1309)=COUNTIF($AO$11:$AO$1309,AO564),SUMIF($AO$11:$AO$1309,AO564,$AW$11:$AW$1309),"")</f>
        <v>0</v>
      </c>
      <c r="BE564" s="11" t="n">
        <f>IF(SUMIF($AO$11:$AO$1309,AO564,$BB$11:$BB$1309)=COUNTIF($AO$11:$AO$1309,AO564),SUMIF($AO$11:$AO$1309,AO564,$BA$11:$BA$1309),"")</f>
        <v>0</v>
      </c>
      <c r="BF564" s="12" t="n">
        <f>IF(COUNT(BD564:BE564)&lt;&gt;2,"",IF(AND(BD564&gt;0,BE564&gt;0),0.7*AW564/BD564+0.3*BA564/BE564,IF(BD564&gt;0,AW564/BD564,IF(BE564&gt;0,BA564/BE564,IF(AND(ISNUMBER(BH564),BH564=0),0,"")))))</f>
        <v>0</v>
      </c>
      <c r="BG564" s="11" t="n">
        <f>IF(AND(COUNT(BN564:BU564)=8,MIN(BN564:BU564)&gt;=0),SUMPRODUCT(BN564:BQ564,BR564:BU564),"")</f>
        <v>63.935996265425516</v>
      </c>
      <c r="BH564" s="11" t="n">
        <f>IF(COUNT(BC564,BG564)=2,BC564*BG564,"")</f>
        <v>0</v>
      </c>
      <c r="BI564" s="11" t="n">
        <f>IF(ISNUMBER(CI564),CI564,"")</f>
        <v>0</v>
      </c>
      <c r="BJ564" s="8" t="str">
        <v>近180天本色销量1双（＜90），无有效新采购，请运营判断</v>
      </c>
      <c r="BK564" s="8" t="str">
        <v>90天：2026-07-20 至 2026-10-17；180天：2026-04-21 至 2026-10-17</v>
      </c>
      <c r="BL564" s="8" t="str">
        <v>90天：2026-10-06、2026-10-07、2026-10-12、2026-10-13、2026-10-16；180天：2026-10-06、2026-10-07、2026-10-12、2026-10-13、2026-10-16</v>
      </c>
      <c r="BM564" s="8" t="str">
        <v>2026-10：12天 × 0.8729500662042875；2026-11：30天 × 0.8057375774163482；2026-12：31天 × 0.532550303142279；2027-01：17天 × 0.7517299265337036</v>
      </c>
      <c r="BN564" s="11" t="n">
        <v>0.8729500662042875</v>
      </c>
      <c r="BO564" s="11" t="n">
        <v>0.8057375774163482</v>
      </c>
      <c r="BP564" s="11" t="n">
        <v>0.532550303142279</v>
      </c>
      <c r="BQ564" s="11" t="n">
        <v>0.7517299265337036</v>
      </c>
      <c r="BR564" s="8" t="n">
        <v>12</v>
      </c>
      <c r="BS564" s="8" t="n">
        <v>30</v>
      </c>
      <c r="BT564" s="8" t="n">
        <v>31</v>
      </c>
      <c r="BU564" s="8" t="n">
        <v>17</v>
      </c>
      <c r="BV564" s="11" t="n">
        <f>IF(COUNT(BC564,BF564)=2,BC564*BF564,"")</f>
        <v>0</v>
      </c>
      <c r="BW564" s="11" t="n">
        <f>IF(ISNUMBER(BN564),BN564,"")</f>
        <v>0.8729500662042875</v>
      </c>
      <c r="BX564" s="14" t="n">
        <f>IF(ISNUMBER(BR564),BR564,"")</f>
        <v>12</v>
      </c>
      <c r="BY564" s="13" t="n">
        <f>IF(AND(COUNT(BV564,BW564,BX564)=3,MIN(BV564,BW564,BX564)&gt;=0),BV564*BW564*BX564,"")</f>
        <v>0</v>
      </c>
      <c r="BZ564" s="11" t="n">
        <f>IF(ISNUMBER(BO564),BO564,"")</f>
        <v>0.8057375774163482</v>
      </c>
      <c r="CA564" s="14" t="n">
        <f>IF(ISNUMBER(BS564),BS564,"")</f>
        <v>30</v>
      </c>
      <c r="CB564" s="13" t="n">
        <f>IF(AND(COUNT(BV564,BZ564,CA564)=3,MIN(BV564,BZ564,CA564)&gt;=0),BV564*BZ564*CA564,"")</f>
        <v>0</v>
      </c>
      <c r="CC564" s="11" t="n">
        <f>IF(ISNUMBER(BP564),BP564,"")</f>
        <v>0.532550303142279</v>
      </c>
      <c r="CD564" s="14" t="n">
        <f>IF(ISNUMBER(BT564),BT564,"")</f>
        <v>31</v>
      </c>
      <c r="CE564" s="13" t="n">
        <f>IF(AND(COUNT(BV564,CC564,CD564)=3,MIN(BV564,CC564,CD564)&gt;=0),BV564*CC564*CD564,"")</f>
        <v>0</v>
      </c>
      <c r="CF564" s="11" t="n">
        <f>IF(ISNUMBER(BQ564),BQ564,"")</f>
        <v>0.7517299265337036</v>
      </c>
      <c r="CG564" s="14" t="n">
        <f>IF(ISNUMBER(BU564),BU564,"")</f>
        <v>17</v>
      </c>
      <c r="CH564" s="13" t="n">
        <f>IF(AND(COUNT(BV564,CF564,CG564)=3,MIN(BV564,CF564,CG564)&gt;=0),BV564*CF564*CG564,"")</f>
        <v>0</v>
      </c>
      <c r="CI564" s="13" t="n">
        <f>IF(COUNT(BY564,CB564,CE564,CH564)=4,SUM(BY564,CB564,CE564,CH564),"")</f>
        <v>0</v>
      </c>
    </row>
    <row r="565" ht="72" customHeight="1">
      <c r="A565" s="16" t="str">
        <v>1S01-WT-40.5</v>
      </c>
      <c r="B565" s="16" t="str">
        <v>3店-SANDIEX-US</v>
      </c>
      <c r="C565" s="16" t="str">
        <v>徐新怡</v>
      </c>
      <c r="D565" s="26" t="n">
        <f>IF(NOT(ISNUMBER(E565)),"",IF(OR(E565&lt;=0,L565=0),0,IF(OR(NOT(ISNUMBER(F565)),F565&lt;0),"",MIN(E565,INT(F565)))))</f>
        <v>0</v>
      </c>
      <c r="E565" s="27" t="n">
        <f>IF(OR(NOT(ISNUMBER(L565)),COUNT(M565:O565)&lt;&gt;3,MIN(M565:O565)&lt;0),"",ROUNDUP(ROUND(BI565-SUM(M565:O565),10),0))</f>
        <v>0</v>
      </c>
      <c r="F565" s="28"/>
      <c r="G565" s="28" t="n">
        <f>IF(AND(ISNUMBER(D565),ISNUMBER(E565)),IF(OR(E565&lt;=0,L565=0),0,E565-D565),"")</f>
        <v>0</v>
      </c>
      <c r="H565" s="16" t="str">
        <f>IF(NOT(ISNUMBER(E565)),"销量或海外库存待补",IF(OR(E565&lt;=0,L565=0),IF(L565=0,"零日销，本批不发","本批无需补货"),IF(NOT(ISNUMBER(D565)),"国内库存待补",IF(D565=0,"国内无可用库存",IF(G565&gt;0,"先发国内现货","按建议量发货")))))</f>
        <v>零日销，本批不发</v>
      </c>
      <c r="I565" s="28" t="n">
        <f>IF(AND(COUNT(Z565,AA565,AB565)=3,Z565&gt;=AA565,AA565&gt;=0,AB565=7),Z565-AA565,"")</f>
        <v>0</v>
      </c>
      <c r="J565" s="28" t="n">
        <f>IF(AND(COUNT(AF565,AG565,AH565)=3,AF565&gt;=AG565,AG565&gt;=0,AH565=14),AF565-AG565,"")</f>
        <v>0</v>
      </c>
      <c r="K565" s="28" t="n">
        <f>IF(AND(COUNT(AL565,AM565,AN565)=3,AL565&gt;=AM565,AM565&gt;=0,AN565=30),AL565-AM565,"")</f>
        <v>0</v>
      </c>
      <c r="L565" s="29" t="n">
        <f>IF(ISNUMBER(BI565),BI565/90,"")</f>
        <v>0</v>
      </c>
      <c r="M565" s="28" t="n">
        <v>0</v>
      </c>
      <c r="N565" s="28" t="n">
        <v>0</v>
      </c>
      <c r="O565" s="28" t="n">
        <v>0</v>
      </c>
      <c r="P565" s="30" t="str">
        <f>IF(AND(ISNUMBER(L565),L565&gt;0,COUNT(M565:O565)=3,MIN(M565:O565)&gt;=0),SUM(M565:O565)/L565,"")</f>
      </c>
      <c r="Q565" s="16" t="str">
        <v>沿用同SPU原计划店铺</v>
      </c>
      <c r="R565" s="16" t="str">
        <v>未匹配</v>
      </c>
      <c r="S565" s="16" t="str">
        <v>停售</v>
      </c>
      <c r="T565" s="16" t="str">
        <v>1S01</v>
      </c>
      <c r="U565" s="16" t="str">
        <v>白色</v>
      </c>
      <c r="V565" s="16" t="n">
        <v>9.5</v>
      </c>
      <c r="W565" s="8" t="str">
        <v>2026-10-08 至 2026-10-17</v>
      </c>
      <c r="X565" s="8" t="str">
        <v>2026-10-08、2026-10-09、2026-10-10、2026-10-11、2026-10-14、2026-10-15、2026-10-17</v>
      </c>
      <c r="Y565" s="8" t="str">
        <v>2026-10-12 有记录的停售日；2026-10-13 有记录的停售日；2026-10-16 有记录的停售日</v>
      </c>
      <c r="Z565" s="8" t="n">
        <v>0</v>
      </c>
      <c r="AA565" s="8" t="n">
        <v>0</v>
      </c>
      <c r="AB565" s="8" t="n">
        <v>7</v>
      </c>
      <c r="AC565" s="8" t="str">
        <v>2026-09-29 至 2026-10-17</v>
      </c>
      <c r="AD565" s="8" t="str">
        <v>2026-09-29、2026-09-30、2026-10-01、2026-10-02、2026-10-03、2026-10-04、2026-10-05、2026-10-08、2026-10-09、2026-10-10、2026-10-11、2026-10-14、2026-10-15、2026-10-17</v>
      </c>
      <c r="AE565" s="8" t="str">
        <v>2026-10-06 大促；2026-10-07 大促；2026-10-12 有记录的停售日；2026-10-13 有记录的停售日；2026-10-16 有记录的停售日</v>
      </c>
      <c r="AF565" s="8" t="n">
        <v>0</v>
      </c>
      <c r="AG565" s="8" t="n">
        <v>0</v>
      </c>
      <c r="AH565" s="8" t="n">
        <v>14</v>
      </c>
      <c r="AI565" s="8" t="str">
        <v>2026-09-13 至 2026-10-17</v>
      </c>
      <c r="AJ56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5" s="8" t="str">
        <v>2026-10-06 大促；2026-10-07 大促；2026-10-12 有记录的停售日；2026-10-13 有记录的停售日；2026-10-16 有记录的停售日</v>
      </c>
      <c r="AL565" s="8" t="n">
        <v>0</v>
      </c>
      <c r="AM565" s="8" t="n">
        <v>0</v>
      </c>
      <c r="AN565" s="8" t="n">
        <v>30</v>
      </c>
      <c r="AO565" s="8" t="str">
        <v>1S01 / 白色PU / 6574</v>
      </c>
      <c r="AP565" s="11" t="n">
        <v>0.8729500662042875</v>
      </c>
      <c r="AQ565" s="11" t="n">
        <v>0.9355747145678367</v>
      </c>
      <c r="AR565" s="11" t="n">
        <v>1.135973589331194</v>
      </c>
      <c r="AS565" s="11" t="n">
        <f>IF(AND(COUNT(I565:K565,AP565:AR565)=6,MIN(AP565:AR565)&gt;0),I565/7/AP565*0.5+J565/14/AQ565*0.3+K565/30/AR565*0.2,"")</f>
        <v>0</v>
      </c>
      <c r="AT565" s="8" t="n">
        <v>0</v>
      </c>
      <c r="AU565" s="8" t="n">
        <v>0</v>
      </c>
      <c r="AV565" s="8" t="n">
        <v>85</v>
      </c>
      <c r="AW565" s="11" t="n">
        <f>IF(AND(COUNT(AT565:AV565)=3,AT565&gt;=AU565,AU565&gt;=0,AV565&gt;0),(AT565-AU565)/AV565,"")</f>
        <v>0</v>
      </c>
      <c r="AX565" s="8" t="n">
        <v>0</v>
      </c>
      <c r="AY565" s="8" t="n">
        <v>0</v>
      </c>
      <c r="AZ565" s="8" t="n">
        <v>175</v>
      </c>
      <c r="BA565" s="11" t="n">
        <f>IF(AND(COUNT(AX565:AZ565)=3,AX565&gt;=AY565,AY565&gt;=0,AZ565&gt;0),(AX565-AY565)/AZ565,"")</f>
        <v>0</v>
      </c>
      <c r="BB565" s="8" t="n">
        <f>IF(COUNT(AS565,AW565,BA565)=3,1,0)</f>
        <v>1</v>
      </c>
      <c r="BC565" s="11" t="n">
        <f>IF(SUMIF($AO$11:$AO$1309,AO565,$BB$11:$BB$1309)=COUNTIF($AO$11:$AO$1309,AO565),SUMIF($AO$11:$AO$1309,AO565,$AS$11:$AS$1309),"")</f>
        <v>0</v>
      </c>
      <c r="BD565" s="11" t="n">
        <f>IF(SUMIF($AO$11:$AO$1309,AO565,$BB$11:$BB$1309)=COUNTIF($AO$11:$AO$1309,AO565),SUMIF($AO$11:$AO$1309,AO565,$AW$11:$AW$1309),"")</f>
        <v>0</v>
      </c>
      <c r="BE565" s="11" t="n">
        <f>IF(SUMIF($AO$11:$AO$1309,AO565,$BB$11:$BB$1309)=COUNTIF($AO$11:$AO$1309,AO565),SUMIF($AO$11:$AO$1309,AO565,$BA$11:$BA$1309),"")</f>
        <v>0</v>
      </c>
      <c r="BF565" s="12" t="n">
        <f>IF(COUNT(BD565:BE565)&lt;&gt;2,"",IF(AND(BD565&gt;0,BE565&gt;0),0.7*AW565/BD565+0.3*BA565/BE565,IF(BD565&gt;0,AW565/BD565,IF(BE565&gt;0,BA565/BE565,IF(AND(ISNUMBER(BH565),BH565=0),0,"")))))</f>
        <v>0</v>
      </c>
      <c r="BG565" s="11" t="n">
        <f>IF(AND(COUNT(BN565:BU565)=8,MIN(BN565:BU565)&gt;=0),SUMPRODUCT(BN565:BQ565,BR565:BU565),"")</f>
        <v>63.935996265425516</v>
      </c>
      <c r="BH565" s="11" t="n">
        <f>IF(COUNT(BC565,BG565)=2,BC565*BG565,"")</f>
        <v>0</v>
      </c>
      <c r="BI565" s="11" t="n">
        <f>IF(ISNUMBER(CI565),CI565,"")</f>
        <v>0</v>
      </c>
      <c r="BJ565" s="8" t="str">
        <v>近180天本色销量1双（＜90），无有效新采购，请运营判断</v>
      </c>
      <c r="BK565" s="8" t="str">
        <v>90天：2026-07-20 至 2026-10-17；180天：2026-04-21 至 2026-10-17</v>
      </c>
      <c r="BL565" s="8" t="str">
        <v>90天：2026-10-06、2026-10-07、2026-10-12、2026-10-13、2026-10-16；180天：2026-10-06、2026-10-07、2026-10-12、2026-10-13、2026-10-16</v>
      </c>
      <c r="BM565" s="8" t="str">
        <v>2026-10：12天 × 0.8729500662042875；2026-11：30天 × 0.8057375774163482；2026-12：31天 × 0.532550303142279；2027-01：17天 × 0.7517299265337036</v>
      </c>
      <c r="BN565" s="11" t="n">
        <v>0.8729500662042875</v>
      </c>
      <c r="BO565" s="11" t="n">
        <v>0.8057375774163482</v>
      </c>
      <c r="BP565" s="11" t="n">
        <v>0.532550303142279</v>
      </c>
      <c r="BQ565" s="11" t="n">
        <v>0.7517299265337036</v>
      </c>
      <c r="BR565" s="8" t="n">
        <v>12</v>
      </c>
      <c r="BS565" s="8" t="n">
        <v>30</v>
      </c>
      <c r="BT565" s="8" t="n">
        <v>31</v>
      </c>
      <c r="BU565" s="8" t="n">
        <v>17</v>
      </c>
      <c r="BV565" s="11" t="n">
        <f>IF(COUNT(BC565,BF565)=2,BC565*BF565,"")</f>
        <v>0</v>
      </c>
      <c r="BW565" s="11" t="n">
        <f>IF(ISNUMBER(BN565),BN565,"")</f>
        <v>0.8729500662042875</v>
      </c>
      <c r="BX565" s="14" t="n">
        <f>IF(ISNUMBER(BR565),BR565,"")</f>
        <v>12</v>
      </c>
      <c r="BY565" s="13" t="n">
        <f>IF(AND(COUNT(BV565,BW565,BX565)=3,MIN(BV565,BW565,BX565)&gt;=0),BV565*BW565*BX565,"")</f>
        <v>0</v>
      </c>
      <c r="BZ565" s="11" t="n">
        <f>IF(ISNUMBER(BO565),BO565,"")</f>
        <v>0.8057375774163482</v>
      </c>
      <c r="CA565" s="14" t="n">
        <f>IF(ISNUMBER(BS565),BS565,"")</f>
        <v>30</v>
      </c>
      <c r="CB565" s="13" t="n">
        <f>IF(AND(COUNT(BV565,BZ565,CA565)=3,MIN(BV565,BZ565,CA565)&gt;=0),BV565*BZ565*CA565,"")</f>
        <v>0</v>
      </c>
      <c r="CC565" s="11" t="n">
        <f>IF(ISNUMBER(BP565),BP565,"")</f>
        <v>0.532550303142279</v>
      </c>
      <c r="CD565" s="14" t="n">
        <f>IF(ISNUMBER(BT565),BT565,"")</f>
        <v>31</v>
      </c>
      <c r="CE565" s="13" t="n">
        <f>IF(AND(COUNT(BV565,CC565,CD565)=3,MIN(BV565,CC565,CD565)&gt;=0),BV565*CC565*CD565,"")</f>
        <v>0</v>
      </c>
      <c r="CF565" s="11" t="n">
        <f>IF(ISNUMBER(BQ565),BQ565,"")</f>
        <v>0.7517299265337036</v>
      </c>
      <c r="CG565" s="14" t="n">
        <f>IF(ISNUMBER(BU565),BU565,"")</f>
        <v>17</v>
      </c>
      <c r="CH565" s="13" t="n">
        <f>IF(AND(COUNT(BV565,CF565,CG565)=3,MIN(BV565,CF565,CG565)&gt;=0),BV565*CF565*CG565,"")</f>
        <v>0</v>
      </c>
      <c r="CI565" s="13" t="n">
        <f>IF(COUNT(BY565,CB565,CE565,CH565)=4,SUM(BY565,CB565,CE565,CH565),"")</f>
        <v>0</v>
      </c>
    </row>
    <row r="566" ht="72" customHeight="1">
      <c r="A566" s="16" t="str">
        <v>1S01-WT-41.5</v>
      </c>
      <c r="B566" s="16" t="str">
        <v>3店-SANDIEX-US</v>
      </c>
      <c r="C566" s="16" t="str">
        <v>徐新怡</v>
      </c>
      <c r="D566" s="26" t="n">
        <f>IF(NOT(ISNUMBER(E566)),"",IF(OR(E566&lt;=0,L566=0),0,IF(OR(NOT(ISNUMBER(F566)),F566&lt;0),"",MIN(E566,INT(F566)))))</f>
        <v>0</v>
      </c>
      <c r="E566" s="27" t="n">
        <f>IF(OR(NOT(ISNUMBER(L566)),COUNT(M566:O566)&lt;&gt;3,MIN(M566:O566)&lt;0),"",ROUNDUP(ROUND(BI566-SUM(M566:O566),10),0))</f>
        <v>0</v>
      </c>
      <c r="F566" s="28" t="n">
        <v>0</v>
      </c>
      <c r="G566" s="28" t="n">
        <f>IF(AND(ISNUMBER(D566),ISNUMBER(E566)),IF(OR(E566&lt;=0,L566=0),0,E566-D566),"")</f>
        <v>0</v>
      </c>
      <c r="H566" s="16" t="str">
        <f>IF(NOT(ISNUMBER(E566)),"销量或海外库存待补",IF(OR(E566&lt;=0,L566=0),IF(L566=0,"零日销，本批不发","本批无需补货"),IF(NOT(ISNUMBER(D566)),"国内库存待补",IF(D566=0,"国内无可用库存",IF(G566&gt;0,"先发国内现货","按建议量发货")))))</f>
        <v>零日销，本批不发</v>
      </c>
      <c r="I566" s="28" t="n">
        <f>IF(AND(COUNT(Z566,AA566,AB566)=3,Z566&gt;=AA566,AA566&gt;=0,AB566=7),Z566-AA566,"")</f>
        <v>0</v>
      </c>
      <c r="J566" s="28" t="n">
        <f>IF(AND(COUNT(AF566,AG566,AH566)=3,AF566&gt;=AG566,AG566&gt;=0,AH566=14),AF566-AG566,"")</f>
        <v>0</v>
      </c>
      <c r="K566" s="28" t="n">
        <f>IF(AND(COUNT(AL566,AM566,AN566)=3,AL566&gt;=AM566,AM566&gt;=0,AN566=30),AL566-AM566,"")</f>
        <v>0</v>
      </c>
      <c r="L566" s="29" t="n">
        <f>IF(ISNUMBER(BI566),BI566/90,"")</f>
        <v>0</v>
      </c>
      <c r="M566" s="28" t="n">
        <v>0</v>
      </c>
      <c r="N566" s="28" t="n">
        <v>0</v>
      </c>
      <c r="O566" s="28" t="n">
        <v>0</v>
      </c>
      <c r="P566" s="30" t="str">
        <f>IF(AND(ISNUMBER(L566),L566&gt;0,COUNT(M566:O566)=3,MIN(M566:O566)&gt;=0),SUM(M566:O566)/L566,"")</f>
      </c>
      <c r="Q566" s="16" t="str">
        <v>沿用同SPU原计划店铺</v>
      </c>
      <c r="R566" s="16" t="str">
        <v>已匹配</v>
      </c>
      <c r="S566" s="16" t="str">
        <v>停售</v>
      </c>
      <c r="T566" s="16" t="str">
        <v>1S01</v>
      </c>
      <c r="U566" s="16" t="str">
        <v>白色</v>
      </c>
      <c r="V566" s="16" t="n">
        <v>10.5</v>
      </c>
      <c r="W566" s="8" t="str">
        <v>2026-10-08 至 2026-10-17</v>
      </c>
      <c r="X566" s="8" t="str">
        <v>2026-10-08、2026-10-09、2026-10-10、2026-10-11、2026-10-14、2026-10-15、2026-10-17</v>
      </c>
      <c r="Y566" s="8" t="str">
        <v>2026-10-12 有记录的停售日；2026-10-13 有记录的停售日；2026-10-16 有记录的停售日</v>
      </c>
      <c r="Z566" s="8" t="n">
        <v>0</v>
      </c>
      <c r="AA566" s="8" t="n">
        <v>0</v>
      </c>
      <c r="AB566" s="8" t="n">
        <v>7</v>
      </c>
      <c r="AC566" s="8" t="str">
        <v>2026-09-29 至 2026-10-17</v>
      </c>
      <c r="AD566" s="8" t="str">
        <v>2026-09-29、2026-09-30、2026-10-01、2026-10-02、2026-10-03、2026-10-04、2026-10-05、2026-10-08、2026-10-09、2026-10-10、2026-10-11、2026-10-14、2026-10-15、2026-10-17</v>
      </c>
      <c r="AE566" s="8" t="str">
        <v>2026-10-06 大促；2026-10-07 大促；2026-10-12 有记录的停售日；2026-10-13 有记录的停售日；2026-10-16 有记录的停售日</v>
      </c>
      <c r="AF566" s="8" t="n">
        <v>0</v>
      </c>
      <c r="AG566" s="8" t="n">
        <v>0</v>
      </c>
      <c r="AH566" s="8" t="n">
        <v>14</v>
      </c>
      <c r="AI566" s="8" t="str">
        <v>2026-09-13 至 2026-10-17</v>
      </c>
      <c r="AJ56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6" s="8" t="str">
        <v>2026-10-06 大促；2026-10-07 大促；2026-10-12 有记录的停售日；2026-10-13 有记录的停售日；2026-10-16 有记录的停售日</v>
      </c>
      <c r="AL566" s="8" t="n">
        <v>0</v>
      </c>
      <c r="AM566" s="8" t="n">
        <v>0</v>
      </c>
      <c r="AN566" s="8" t="n">
        <v>30</v>
      </c>
      <c r="AO566" s="8" t="str">
        <v>1S01 / 白色PU / 6574</v>
      </c>
      <c r="AP566" s="11" t="n">
        <v>0.8729500662042875</v>
      </c>
      <c r="AQ566" s="11" t="n">
        <v>0.9355747145678367</v>
      </c>
      <c r="AR566" s="11" t="n">
        <v>1.135973589331194</v>
      </c>
      <c r="AS566" s="11" t="n">
        <f>IF(AND(COUNT(I566:K566,AP566:AR566)=6,MIN(AP566:AR566)&gt;0),I566/7/AP566*0.5+J566/14/AQ566*0.3+K566/30/AR566*0.2,"")</f>
        <v>0</v>
      </c>
      <c r="AT566" s="8" t="n">
        <v>0</v>
      </c>
      <c r="AU566" s="8" t="n">
        <v>0</v>
      </c>
      <c r="AV566" s="8" t="n">
        <v>85</v>
      </c>
      <c r="AW566" s="11" t="n">
        <f>IF(AND(COUNT(AT566:AV566)=3,AT566&gt;=AU566,AU566&gt;=0,AV566&gt;0),(AT566-AU566)/AV566,"")</f>
        <v>0</v>
      </c>
      <c r="AX566" s="8" t="n">
        <v>0</v>
      </c>
      <c r="AY566" s="8" t="n">
        <v>0</v>
      </c>
      <c r="AZ566" s="8" t="n">
        <v>175</v>
      </c>
      <c r="BA566" s="11" t="n">
        <f>IF(AND(COUNT(AX566:AZ566)=3,AX566&gt;=AY566,AY566&gt;=0,AZ566&gt;0),(AX566-AY566)/AZ566,"")</f>
        <v>0</v>
      </c>
      <c r="BB566" s="8" t="n">
        <f>IF(COUNT(AS566,AW566,BA566)=3,1,0)</f>
        <v>1</v>
      </c>
      <c r="BC566" s="11" t="n">
        <f>IF(SUMIF($AO$11:$AO$1309,AO566,$BB$11:$BB$1309)=COUNTIF($AO$11:$AO$1309,AO566),SUMIF($AO$11:$AO$1309,AO566,$AS$11:$AS$1309),"")</f>
        <v>0</v>
      </c>
      <c r="BD566" s="11" t="n">
        <f>IF(SUMIF($AO$11:$AO$1309,AO566,$BB$11:$BB$1309)=COUNTIF($AO$11:$AO$1309,AO566),SUMIF($AO$11:$AO$1309,AO566,$AW$11:$AW$1309),"")</f>
        <v>0</v>
      </c>
      <c r="BE566" s="11" t="n">
        <f>IF(SUMIF($AO$11:$AO$1309,AO566,$BB$11:$BB$1309)=COUNTIF($AO$11:$AO$1309,AO566),SUMIF($AO$11:$AO$1309,AO566,$BA$11:$BA$1309),"")</f>
        <v>0</v>
      </c>
      <c r="BF566" s="12" t="n">
        <f>IF(COUNT(BD566:BE566)&lt;&gt;2,"",IF(AND(BD566&gt;0,BE566&gt;0),0.7*AW566/BD566+0.3*BA566/BE566,IF(BD566&gt;0,AW566/BD566,IF(BE566&gt;0,BA566/BE566,IF(AND(ISNUMBER(BH566),BH566=0),0,"")))))</f>
        <v>0</v>
      </c>
      <c r="BG566" s="11" t="n">
        <f>IF(AND(COUNT(BN566:BU566)=8,MIN(BN566:BU566)&gt;=0),SUMPRODUCT(BN566:BQ566,BR566:BU566),"")</f>
        <v>63.935996265425516</v>
      </c>
      <c r="BH566" s="11" t="n">
        <f>IF(COUNT(BC566,BG566)=2,BC566*BG566,"")</f>
        <v>0</v>
      </c>
      <c r="BI566" s="11" t="n">
        <f>IF(ISNUMBER(CI566),CI566,"")</f>
        <v>0</v>
      </c>
      <c r="BJ566" s="8" t="str">
        <v>近180天本色销量1双（＜90），无有效新采购，请运营判断</v>
      </c>
      <c r="BK566" s="8" t="str">
        <v>90天：2026-07-20 至 2026-10-17；180天：2026-04-21 至 2026-10-17</v>
      </c>
      <c r="BL566" s="8" t="str">
        <v>90天：2026-10-06、2026-10-07、2026-10-12、2026-10-13、2026-10-16；180天：2026-10-06、2026-10-07、2026-10-12、2026-10-13、2026-10-16</v>
      </c>
      <c r="BM566" s="8" t="str">
        <v>2026-10：12天 × 0.8729500662042875；2026-11：30天 × 0.8057375774163482；2026-12：31天 × 0.532550303142279；2027-01：17天 × 0.7517299265337036</v>
      </c>
      <c r="BN566" s="11" t="n">
        <v>0.8729500662042875</v>
      </c>
      <c r="BO566" s="11" t="n">
        <v>0.8057375774163482</v>
      </c>
      <c r="BP566" s="11" t="n">
        <v>0.532550303142279</v>
      </c>
      <c r="BQ566" s="11" t="n">
        <v>0.7517299265337036</v>
      </c>
      <c r="BR566" s="8" t="n">
        <v>12</v>
      </c>
      <c r="BS566" s="8" t="n">
        <v>30</v>
      </c>
      <c r="BT566" s="8" t="n">
        <v>31</v>
      </c>
      <c r="BU566" s="8" t="n">
        <v>17</v>
      </c>
      <c r="BV566" s="11" t="n">
        <f>IF(COUNT(BC566,BF566)=2,BC566*BF566,"")</f>
        <v>0</v>
      </c>
      <c r="BW566" s="11" t="n">
        <f>IF(ISNUMBER(BN566),BN566,"")</f>
        <v>0.8729500662042875</v>
      </c>
      <c r="BX566" s="14" t="n">
        <f>IF(ISNUMBER(BR566),BR566,"")</f>
        <v>12</v>
      </c>
      <c r="BY566" s="13" t="n">
        <f>IF(AND(COUNT(BV566,BW566,BX566)=3,MIN(BV566,BW566,BX566)&gt;=0),BV566*BW566*BX566,"")</f>
        <v>0</v>
      </c>
      <c r="BZ566" s="11" t="n">
        <f>IF(ISNUMBER(BO566),BO566,"")</f>
        <v>0.8057375774163482</v>
      </c>
      <c r="CA566" s="14" t="n">
        <f>IF(ISNUMBER(BS566),BS566,"")</f>
        <v>30</v>
      </c>
      <c r="CB566" s="13" t="n">
        <f>IF(AND(COUNT(BV566,BZ566,CA566)=3,MIN(BV566,BZ566,CA566)&gt;=0),BV566*BZ566*CA566,"")</f>
        <v>0</v>
      </c>
      <c r="CC566" s="11" t="n">
        <f>IF(ISNUMBER(BP566),BP566,"")</f>
        <v>0.532550303142279</v>
      </c>
      <c r="CD566" s="14" t="n">
        <f>IF(ISNUMBER(BT566),BT566,"")</f>
        <v>31</v>
      </c>
      <c r="CE566" s="13" t="n">
        <f>IF(AND(COUNT(BV566,CC566,CD566)=3,MIN(BV566,CC566,CD566)&gt;=0),BV566*CC566*CD566,"")</f>
        <v>0</v>
      </c>
      <c r="CF566" s="11" t="n">
        <f>IF(ISNUMBER(BQ566),BQ566,"")</f>
        <v>0.7517299265337036</v>
      </c>
      <c r="CG566" s="14" t="n">
        <f>IF(ISNUMBER(BU566),BU566,"")</f>
        <v>17</v>
      </c>
      <c r="CH566" s="13" t="n">
        <f>IF(AND(COUNT(BV566,CF566,CG566)=3,MIN(BV566,CF566,CG566)&gt;=0),BV566*CF566*CG566,"")</f>
        <v>0</v>
      </c>
      <c r="CI566" s="13" t="n">
        <f>IF(COUNT(BY566,CB566,CE566,CH566)=4,SUM(BY566,CB566,CE566,CH566),"")</f>
        <v>0</v>
      </c>
    </row>
    <row r="567" ht="72" customHeight="1">
      <c r="A567" s="16" t="str">
        <v>1S01-WT-6</v>
      </c>
      <c r="B567" s="16" t="str">
        <v>3店-SANDIEX-US</v>
      </c>
      <c r="C567" s="16" t="str">
        <v>徐新怡</v>
      </c>
      <c r="D567" s="26" t="n">
        <f>IF(NOT(ISNUMBER(E567)),"",IF(OR(E567&lt;=0,L567=0),0,IF(OR(NOT(ISNUMBER(F567)),F567&lt;0),"",MIN(E567,INT(F567)))))</f>
        <v>0</v>
      </c>
      <c r="E567" s="27" t="n">
        <f>IF(OR(NOT(ISNUMBER(L567)),COUNT(M567:O567)&lt;&gt;3,MIN(M567:O567)&lt;0),"",ROUNDUP(ROUND(BI567-SUM(M567:O567),10),0))</f>
        <v>0</v>
      </c>
      <c r="F567" s="28" t="n">
        <v>0</v>
      </c>
      <c r="G567" s="28" t="n">
        <f>IF(AND(ISNUMBER(D567),ISNUMBER(E567)),IF(OR(E567&lt;=0,L567=0),0,E567-D567),"")</f>
        <v>0</v>
      </c>
      <c r="H567" s="16" t="str">
        <f>IF(NOT(ISNUMBER(E567)),"销量或海外库存待补",IF(OR(E567&lt;=0,L567=0),IF(L567=0,"零日销，本批不发","本批无需补货"),IF(NOT(ISNUMBER(D567)),"国内库存待补",IF(D567=0,"国内无可用库存",IF(G567&gt;0,"先发国内现货","按建议量发货")))))</f>
        <v>零日销，本批不发</v>
      </c>
      <c r="I567" s="28" t="n">
        <f>IF(AND(COUNT(Z567,AA567,AB567)=3,Z567&gt;=AA567,AA567&gt;=0,AB567=7),Z567-AA567,"")</f>
        <v>0</v>
      </c>
      <c r="J567" s="28" t="n">
        <f>IF(AND(COUNT(AF567,AG567,AH567)=3,AF567&gt;=AG567,AG567&gt;=0,AH567=14),AF567-AG567,"")</f>
        <v>0</v>
      </c>
      <c r="K567" s="28" t="n">
        <f>IF(AND(COUNT(AL567,AM567,AN567)=3,AL567&gt;=AM567,AM567&gt;=0,AN567=30),AL567-AM567,"")</f>
        <v>0</v>
      </c>
      <c r="L567" s="29" t="n">
        <f>IF(ISNUMBER(BI567),BI567/90,"")</f>
        <v>0</v>
      </c>
      <c r="M567" s="28" t="n">
        <v>0</v>
      </c>
      <c r="N567" s="28" t="n">
        <v>0</v>
      </c>
      <c r="O567" s="28" t="n">
        <v>0</v>
      </c>
      <c r="P567" s="30" t="str">
        <f>IF(AND(ISNUMBER(L567),L567&gt;0,COUNT(M567:O567)=3,MIN(M567:O567)&gt;=0),SUM(M567:O567)/L567,"")</f>
      </c>
      <c r="Q567" s="16" t="str">
        <v>沿用原计划SKU店铺</v>
      </c>
      <c r="R567" s="16" t="str">
        <v>已匹配</v>
      </c>
      <c r="S567" s="16" t="str">
        <v>停售</v>
      </c>
      <c r="T567" s="16" t="str">
        <v>1S01</v>
      </c>
      <c r="U567" s="16" t="str">
        <v>白色</v>
      </c>
      <c r="V567" s="16" t="n">
        <v>6</v>
      </c>
      <c r="W567" s="8" t="str">
        <v>2026-10-08 至 2026-10-17</v>
      </c>
      <c r="X567" s="8" t="str">
        <v>2026-10-08、2026-10-09、2026-10-10、2026-10-11、2026-10-14、2026-10-15、2026-10-17</v>
      </c>
      <c r="Y567" s="8" t="str">
        <v>2026-10-12 有记录的停售日；2026-10-13 有记录的停售日；2026-10-16 有记录的停售日</v>
      </c>
      <c r="Z567" s="8" t="n">
        <v>0</v>
      </c>
      <c r="AA567" s="8" t="n">
        <v>0</v>
      </c>
      <c r="AB567" s="8" t="n">
        <v>7</v>
      </c>
      <c r="AC567" s="8" t="str">
        <v>2026-09-29 至 2026-10-17</v>
      </c>
      <c r="AD567" s="8" t="str">
        <v>2026-09-29、2026-09-30、2026-10-01、2026-10-02、2026-10-03、2026-10-04、2026-10-05、2026-10-08、2026-10-09、2026-10-10、2026-10-11、2026-10-14、2026-10-15、2026-10-17</v>
      </c>
      <c r="AE567" s="8" t="str">
        <v>2026-10-06 大促；2026-10-07 大促；2026-10-12 有记录的停售日；2026-10-13 有记录的停售日；2026-10-16 有记录的停售日</v>
      </c>
      <c r="AF567" s="8" t="n">
        <v>0</v>
      </c>
      <c r="AG567" s="8" t="n">
        <v>0</v>
      </c>
      <c r="AH567" s="8" t="n">
        <v>14</v>
      </c>
      <c r="AI567" s="8" t="str">
        <v>2026-09-13 至 2026-10-17</v>
      </c>
      <c r="AJ56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7" s="8" t="str">
        <v>2026-10-06 大促；2026-10-07 大促；2026-10-12 有记录的停售日；2026-10-13 有记录的停售日；2026-10-16 有记录的停售日</v>
      </c>
      <c r="AL567" s="8" t="n">
        <v>0</v>
      </c>
      <c r="AM567" s="8" t="n">
        <v>0</v>
      </c>
      <c r="AN567" s="8" t="n">
        <v>30</v>
      </c>
      <c r="AO567" s="8" t="str">
        <v>1S01 / 白色PU / 6574</v>
      </c>
      <c r="AP567" s="11" t="n">
        <v>0.8729500662042875</v>
      </c>
      <c r="AQ567" s="11" t="n">
        <v>0.9355747145678367</v>
      </c>
      <c r="AR567" s="11" t="n">
        <v>1.135973589331194</v>
      </c>
      <c r="AS567" s="11" t="n">
        <f>IF(AND(COUNT(I567:K567,AP567:AR567)=6,MIN(AP567:AR567)&gt;0),I567/7/AP567*0.5+J567/14/AQ567*0.3+K567/30/AR567*0.2,"")</f>
        <v>0</v>
      </c>
      <c r="AT567" s="8" t="n">
        <v>0</v>
      </c>
      <c r="AU567" s="8" t="n">
        <v>0</v>
      </c>
      <c r="AV567" s="8" t="n">
        <v>85</v>
      </c>
      <c r="AW567" s="11" t="n">
        <f>IF(AND(COUNT(AT567:AV567)=3,AT567&gt;=AU567,AU567&gt;=0,AV567&gt;0),(AT567-AU567)/AV567,"")</f>
        <v>0</v>
      </c>
      <c r="AX567" s="8" t="n">
        <v>0</v>
      </c>
      <c r="AY567" s="8" t="n">
        <v>0</v>
      </c>
      <c r="AZ567" s="8" t="n">
        <v>175</v>
      </c>
      <c r="BA567" s="11" t="n">
        <f>IF(AND(COUNT(AX567:AZ567)=3,AX567&gt;=AY567,AY567&gt;=0,AZ567&gt;0),(AX567-AY567)/AZ567,"")</f>
        <v>0</v>
      </c>
      <c r="BB567" s="8" t="n">
        <f>IF(COUNT(AS567,AW567,BA567)=3,1,0)</f>
        <v>1</v>
      </c>
      <c r="BC567" s="11" t="n">
        <f>IF(SUMIF($AO$11:$AO$1309,AO567,$BB$11:$BB$1309)=COUNTIF($AO$11:$AO$1309,AO567),SUMIF($AO$11:$AO$1309,AO567,$AS$11:$AS$1309),"")</f>
        <v>0</v>
      </c>
      <c r="BD567" s="11" t="n">
        <f>IF(SUMIF($AO$11:$AO$1309,AO567,$BB$11:$BB$1309)=COUNTIF($AO$11:$AO$1309,AO567),SUMIF($AO$11:$AO$1309,AO567,$AW$11:$AW$1309),"")</f>
        <v>0</v>
      </c>
      <c r="BE567" s="11" t="n">
        <f>IF(SUMIF($AO$11:$AO$1309,AO567,$BB$11:$BB$1309)=COUNTIF($AO$11:$AO$1309,AO567),SUMIF($AO$11:$AO$1309,AO567,$BA$11:$BA$1309),"")</f>
        <v>0</v>
      </c>
      <c r="BF567" s="12" t="n">
        <f>IF(COUNT(BD567:BE567)&lt;&gt;2,"",IF(AND(BD567&gt;0,BE567&gt;0),0.7*AW567/BD567+0.3*BA567/BE567,IF(BD567&gt;0,AW567/BD567,IF(BE567&gt;0,BA567/BE567,IF(AND(ISNUMBER(BH567),BH567=0),0,"")))))</f>
        <v>0</v>
      </c>
      <c r="BG567" s="11" t="n">
        <f>IF(AND(COUNT(BN567:BU567)=8,MIN(BN567:BU567)&gt;=0),SUMPRODUCT(BN567:BQ567,BR567:BU567),"")</f>
        <v>63.935996265425516</v>
      </c>
      <c r="BH567" s="11" t="n">
        <f>IF(COUNT(BC567,BG567)=2,BC567*BG567,"")</f>
        <v>0</v>
      </c>
      <c r="BI567" s="11" t="n">
        <f>IF(ISNUMBER(CI567),CI567,"")</f>
        <v>0</v>
      </c>
      <c r="BJ567" s="8" t="str">
        <v>近180天本色销量1双（＜90），无有效新采购，请运营判断</v>
      </c>
      <c r="BK567" s="8" t="str">
        <v>90天：2026-07-20 至 2026-10-17；180天：2026-04-21 至 2026-10-17</v>
      </c>
      <c r="BL567" s="8" t="str">
        <v>90天：2026-10-06、2026-10-07、2026-10-12、2026-10-13、2026-10-16；180天：2026-10-06、2026-10-07、2026-10-12、2026-10-13、2026-10-16</v>
      </c>
      <c r="BM567" s="8" t="str">
        <v>2026-10：12天 × 0.8729500662042875；2026-11：30天 × 0.8057375774163482；2026-12：31天 × 0.532550303142279；2027-01：17天 × 0.7517299265337036</v>
      </c>
      <c r="BN567" s="11" t="n">
        <v>0.8729500662042875</v>
      </c>
      <c r="BO567" s="11" t="n">
        <v>0.8057375774163482</v>
      </c>
      <c r="BP567" s="11" t="n">
        <v>0.532550303142279</v>
      </c>
      <c r="BQ567" s="11" t="n">
        <v>0.7517299265337036</v>
      </c>
      <c r="BR567" s="8" t="n">
        <v>12</v>
      </c>
      <c r="BS567" s="8" t="n">
        <v>30</v>
      </c>
      <c r="BT567" s="8" t="n">
        <v>31</v>
      </c>
      <c r="BU567" s="8" t="n">
        <v>17</v>
      </c>
      <c r="BV567" s="11" t="n">
        <f>IF(COUNT(BC567,BF567)=2,BC567*BF567,"")</f>
        <v>0</v>
      </c>
      <c r="BW567" s="11" t="n">
        <f>IF(ISNUMBER(BN567),BN567,"")</f>
        <v>0.8729500662042875</v>
      </c>
      <c r="BX567" s="14" t="n">
        <f>IF(ISNUMBER(BR567),BR567,"")</f>
        <v>12</v>
      </c>
      <c r="BY567" s="13" t="n">
        <f>IF(AND(COUNT(BV567,BW567,BX567)=3,MIN(BV567,BW567,BX567)&gt;=0),BV567*BW567*BX567,"")</f>
        <v>0</v>
      </c>
      <c r="BZ567" s="11" t="n">
        <f>IF(ISNUMBER(BO567),BO567,"")</f>
        <v>0.8057375774163482</v>
      </c>
      <c r="CA567" s="14" t="n">
        <f>IF(ISNUMBER(BS567),BS567,"")</f>
        <v>30</v>
      </c>
      <c r="CB567" s="13" t="n">
        <f>IF(AND(COUNT(BV567,BZ567,CA567)=3,MIN(BV567,BZ567,CA567)&gt;=0),BV567*BZ567*CA567,"")</f>
        <v>0</v>
      </c>
      <c r="CC567" s="11" t="n">
        <f>IF(ISNUMBER(BP567),BP567,"")</f>
        <v>0.532550303142279</v>
      </c>
      <c r="CD567" s="14" t="n">
        <f>IF(ISNUMBER(BT567),BT567,"")</f>
        <v>31</v>
      </c>
      <c r="CE567" s="13" t="n">
        <f>IF(AND(COUNT(BV567,CC567,CD567)=3,MIN(BV567,CC567,CD567)&gt;=0),BV567*CC567*CD567,"")</f>
        <v>0</v>
      </c>
      <c r="CF567" s="11" t="n">
        <f>IF(ISNUMBER(BQ567),BQ567,"")</f>
        <v>0.7517299265337036</v>
      </c>
      <c r="CG567" s="14" t="n">
        <f>IF(ISNUMBER(BU567),BU567,"")</f>
        <v>17</v>
      </c>
      <c r="CH567" s="13" t="n">
        <f>IF(AND(COUNT(BV567,CF567,CG567)=3,MIN(BV567,CF567,CG567)&gt;=0),BV567*CF567*CG567,"")</f>
        <v>0</v>
      </c>
      <c r="CI567" s="13" t="n">
        <f>IF(COUNT(BY567,CB567,CE567,CH567)=4,SUM(BY567,CB567,CE567,CH567),"")</f>
        <v>0</v>
      </c>
    </row>
    <row r="568" ht="72" customHeight="1">
      <c r="A568" s="16" t="str">
        <v>1S01-WT-7</v>
      </c>
      <c r="B568" s="16" t="str">
        <v>3店-SANDIEX-US</v>
      </c>
      <c r="C568" s="16" t="str">
        <v>徐新怡</v>
      </c>
      <c r="D568" s="26" t="n">
        <f>IF(NOT(ISNUMBER(E568)),"",IF(OR(E568&lt;=0,L568=0),0,IF(OR(NOT(ISNUMBER(F568)),F568&lt;0),"",MIN(E568,INT(F568)))))</f>
        <v>0</v>
      </c>
      <c r="E568" s="27" t="n">
        <f>IF(OR(NOT(ISNUMBER(L568)),COUNT(M568:O568)&lt;&gt;3,MIN(M568:O568)&lt;0),"",ROUNDUP(ROUND(BI568-SUM(M568:O568),10),0))</f>
        <v>0</v>
      </c>
      <c r="F568" s="28" t="n">
        <v>0</v>
      </c>
      <c r="G568" s="28" t="n">
        <f>IF(AND(ISNUMBER(D568),ISNUMBER(E568)),IF(OR(E568&lt;=0,L568=0),0,E568-D568),"")</f>
        <v>0</v>
      </c>
      <c r="H568" s="16" t="str">
        <f>IF(NOT(ISNUMBER(E568)),"销量或海外库存待补",IF(OR(E568&lt;=0,L568=0),IF(L568=0,"零日销，本批不发","本批无需补货"),IF(NOT(ISNUMBER(D568)),"国内库存待补",IF(D568=0,"国内无可用库存",IF(G568&gt;0,"先发国内现货","按建议量发货")))))</f>
        <v>零日销，本批不发</v>
      </c>
      <c r="I568" s="28" t="n">
        <f>IF(AND(COUNT(Z568,AA568,AB568)=3,Z568&gt;=AA568,AA568&gt;=0,AB568=7),Z568-AA568,"")</f>
        <v>0</v>
      </c>
      <c r="J568" s="28" t="n">
        <f>IF(AND(COUNT(AF568,AG568,AH568)=3,AF568&gt;=AG568,AG568&gt;=0,AH568=14),AF568-AG568,"")</f>
        <v>0</v>
      </c>
      <c r="K568" s="28" t="n">
        <f>IF(AND(COUNT(AL568,AM568,AN568)=3,AL568&gt;=AM568,AM568&gt;=0,AN568=30),AL568-AM568,"")</f>
        <v>0</v>
      </c>
      <c r="L568" s="29" t="n">
        <f>IF(ISNUMBER(BI568),BI568/90,"")</f>
        <v>0</v>
      </c>
      <c r="M568" s="28" t="n">
        <v>0</v>
      </c>
      <c r="N568" s="28" t="n">
        <v>0</v>
      </c>
      <c r="O568" s="28" t="n">
        <v>0</v>
      </c>
      <c r="P568" s="30" t="str">
        <f>IF(AND(ISNUMBER(L568),L568&gt;0,COUNT(M568:O568)=3,MIN(M568:O568)&gt;=0),SUM(M568:O568)/L568,"")</f>
      </c>
      <c r="Q568" s="16" t="str">
        <v>沿用原计划SKU店铺</v>
      </c>
      <c r="R568" s="16" t="str">
        <v>已匹配</v>
      </c>
      <c r="S568" s="16" t="str">
        <v>停售</v>
      </c>
      <c r="T568" s="16" t="str">
        <v>1S01</v>
      </c>
      <c r="U568" s="16" t="str">
        <v>白色</v>
      </c>
      <c r="V568" s="16" t="n">
        <v>7</v>
      </c>
      <c r="W568" s="8" t="str">
        <v>2026-10-08 至 2026-10-17</v>
      </c>
      <c r="X568" s="8" t="str">
        <v>2026-10-08、2026-10-09、2026-10-10、2026-10-11、2026-10-14、2026-10-15、2026-10-17</v>
      </c>
      <c r="Y568" s="8" t="str">
        <v>2026-10-12 有记录的停售日；2026-10-13 有记录的停售日；2026-10-16 有记录的停售日</v>
      </c>
      <c r="Z568" s="8" t="n">
        <v>0</v>
      </c>
      <c r="AA568" s="8" t="n">
        <v>0</v>
      </c>
      <c r="AB568" s="8" t="n">
        <v>7</v>
      </c>
      <c r="AC568" s="8" t="str">
        <v>2026-09-29 至 2026-10-17</v>
      </c>
      <c r="AD568" s="8" t="str">
        <v>2026-09-29、2026-09-30、2026-10-01、2026-10-02、2026-10-03、2026-10-04、2026-10-05、2026-10-08、2026-10-09、2026-10-10、2026-10-11、2026-10-14、2026-10-15、2026-10-17</v>
      </c>
      <c r="AE568" s="8" t="str">
        <v>2026-10-06 大促；2026-10-07 大促；2026-10-12 有记录的停售日；2026-10-13 有记录的停售日；2026-10-16 有记录的停售日</v>
      </c>
      <c r="AF568" s="8" t="n">
        <v>0</v>
      </c>
      <c r="AG568" s="8" t="n">
        <v>0</v>
      </c>
      <c r="AH568" s="8" t="n">
        <v>14</v>
      </c>
      <c r="AI568" s="8" t="str">
        <v>2026-09-13 至 2026-10-17</v>
      </c>
      <c r="AJ56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8" s="8" t="str">
        <v>2026-10-06 大促；2026-10-07 大促；2026-10-12 有记录的停售日；2026-10-13 有记录的停售日；2026-10-16 有记录的停售日</v>
      </c>
      <c r="AL568" s="8" t="n">
        <v>0</v>
      </c>
      <c r="AM568" s="8" t="n">
        <v>0</v>
      </c>
      <c r="AN568" s="8" t="n">
        <v>30</v>
      </c>
      <c r="AO568" s="8" t="str">
        <v>1S01 / 白色PU / 6574</v>
      </c>
      <c r="AP568" s="11" t="n">
        <v>0.8729500662042875</v>
      </c>
      <c r="AQ568" s="11" t="n">
        <v>0.9355747145678367</v>
      </c>
      <c r="AR568" s="11" t="n">
        <v>1.135973589331194</v>
      </c>
      <c r="AS568" s="11" t="n">
        <f>IF(AND(COUNT(I568:K568,AP568:AR568)=6,MIN(AP568:AR568)&gt;0),I568/7/AP568*0.5+J568/14/AQ568*0.3+K568/30/AR568*0.2,"")</f>
        <v>0</v>
      </c>
      <c r="AT568" s="8" t="n">
        <v>0</v>
      </c>
      <c r="AU568" s="8" t="n">
        <v>0</v>
      </c>
      <c r="AV568" s="8" t="n">
        <v>85</v>
      </c>
      <c r="AW568" s="11" t="n">
        <f>IF(AND(COUNT(AT568:AV568)=3,AT568&gt;=AU568,AU568&gt;=0,AV568&gt;0),(AT568-AU568)/AV568,"")</f>
        <v>0</v>
      </c>
      <c r="AX568" s="8" t="n">
        <v>0</v>
      </c>
      <c r="AY568" s="8" t="n">
        <v>0</v>
      </c>
      <c r="AZ568" s="8" t="n">
        <v>175</v>
      </c>
      <c r="BA568" s="11" t="n">
        <f>IF(AND(COUNT(AX568:AZ568)=3,AX568&gt;=AY568,AY568&gt;=0,AZ568&gt;0),(AX568-AY568)/AZ568,"")</f>
        <v>0</v>
      </c>
      <c r="BB568" s="8" t="n">
        <f>IF(COUNT(AS568,AW568,BA568)=3,1,0)</f>
        <v>1</v>
      </c>
      <c r="BC568" s="11" t="n">
        <f>IF(SUMIF($AO$11:$AO$1309,AO568,$BB$11:$BB$1309)=COUNTIF($AO$11:$AO$1309,AO568),SUMIF($AO$11:$AO$1309,AO568,$AS$11:$AS$1309),"")</f>
        <v>0</v>
      </c>
      <c r="BD568" s="11" t="n">
        <f>IF(SUMIF($AO$11:$AO$1309,AO568,$BB$11:$BB$1309)=COUNTIF($AO$11:$AO$1309,AO568),SUMIF($AO$11:$AO$1309,AO568,$AW$11:$AW$1309),"")</f>
        <v>0</v>
      </c>
      <c r="BE568" s="11" t="n">
        <f>IF(SUMIF($AO$11:$AO$1309,AO568,$BB$11:$BB$1309)=COUNTIF($AO$11:$AO$1309,AO568),SUMIF($AO$11:$AO$1309,AO568,$BA$11:$BA$1309),"")</f>
        <v>0</v>
      </c>
      <c r="BF568" s="12" t="n">
        <f>IF(COUNT(BD568:BE568)&lt;&gt;2,"",IF(AND(BD568&gt;0,BE568&gt;0),0.7*AW568/BD568+0.3*BA568/BE568,IF(BD568&gt;0,AW568/BD568,IF(BE568&gt;0,BA568/BE568,IF(AND(ISNUMBER(BH568),BH568=0),0,"")))))</f>
        <v>0</v>
      </c>
      <c r="BG568" s="11" t="n">
        <f>IF(AND(COUNT(BN568:BU568)=8,MIN(BN568:BU568)&gt;=0),SUMPRODUCT(BN568:BQ568,BR568:BU568),"")</f>
        <v>63.935996265425516</v>
      </c>
      <c r="BH568" s="11" t="n">
        <f>IF(COUNT(BC568,BG568)=2,BC568*BG568,"")</f>
        <v>0</v>
      </c>
      <c r="BI568" s="11" t="n">
        <f>IF(ISNUMBER(CI568),CI568,"")</f>
        <v>0</v>
      </c>
      <c r="BJ568" s="8" t="str">
        <v>近180天本色销量1双（＜90），无有效新采购，请运营判断</v>
      </c>
      <c r="BK568" s="8" t="str">
        <v>90天：2026-07-20 至 2026-10-17；180天：2026-04-21 至 2026-10-17</v>
      </c>
      <c r="BL568" s="8" t="str">
        <v>90天：2026-10-06、2026-10-07、2026-10-12、2026-10-13、2026-10-16；180天：2026-10-06、2026-10-07、2026-10-12、2026-10-13、2026-10-16</v>
      </c>
      <c r="BM568" s="8" t="str">
        <v>2026-10：12天 × 0.8729500662042875；2026-11：30天 × 0.8057375774163482；2026-12：31天 × 0.532550303142279；2027-01：17天 × 0.7517299265337036</v>
      </c>
      <c r="BN568" s="11" t="n">
        <v>0.8729500662042875</v>
      </c>
      <c r="BO568" s="11" t="n">
        <v>0.8057375774163482</v>
      </c>
      <c r="BP568" s="11" t="n">
        <v>0.532550303142279</v>
      </c>
      <c r="BQ568" s="11" t="n">
        <v>0.7517299265337036</v>
      </c>
      <c r="BR568" s="8" t="n">
        <v>12</v>
      </c>
      <c r="BS568" s="8" t="n">
        <v>30</v>
      </c>
      <c r="BT568" s="8" t="n">
        <v>31</v>
      </c>
      <c r="BU568" s="8" t="n">
        <v>17</v>
      </c>
      <c r="BV568" s="11" t="n">
        <f>IF(COUNT(BC568,BF568)=2,BC568*BF568,"")</f>
        <v>0</v>
      </c>
      <c r="BW568" s="11" t="n">
        <f>IF(ISNUMBER(BN568),BN568,"")</f>
        <v>0.8729500662042875</v>
      </c>
      <c r="BX568" s="14" t="n">
        <f>IF(ISNUMBER(BR568),BR568,"")</f>
        <v>12</v>
      </c>
      <c r="BY568" s="13" t="n">
        <f>IF(AND(COUNT(BV568,BW568,BX568)=3,MIN(BV568,BW568,BX568)&gt;=0),BV568*BW568*BX568,"")</f>
        <v>0</v>
      </c>
      <c r="BZ568" s="11" t="n">
        <f>IF(ISNUMBER(BO568),BO568,"")</f>
        <v>0.8057375774163482</v>
      </c>
      <c r="CA568" s="14" t="n">
        <f>IF(ISNUMBER(BS568),BS568,"")</f>
        <v>30</v>
      </c>
      <c r="CB568" s="13" t="n">
        <f>IF(AND(COUNT(BV568,BZ568,CA568)=3,MIN(BV568,BZ568,CA568)&gt;=0),BV568*BZ568*CA568,"")</f>
        <v>0</v>
      </c>
      <c r="CC568" s="11" t="n">
        <f>IF(ISNUMBER(BP568),BP568,"")</f>
        <v>0.532550303142279</v>
      </c>
      <c r="CD568" s="14" t="n">
        <f>IF(ISNUMBER(BT568),BT568,"")</f>
        <v>31</v>
      </c>
      <c r="CE568" s="13" t="n">
        <f>IF(AND(COUNT(BV568,CC568,CD568)=3,MIN(BV568,CC568,CD568)&gt;=0),BV568*CC568*CD568,"")</f>
        <v>0</v>
      </c>
      <c r="CF568" s="11" t="n">
        <f>IF(ISNUMBER(BQ568),BQ568,"")</f>
        <v>0.7517299265337036</v>
      </c>
      <c r="CG568" s="14" t="n">
        <f>IF(ISNUMBER(BU568),BU568,"")</f>
        <v>17</v>
      </c>
      <c r="CH568" s="13" t="n">
        <f>IF(AND(COUNT(BV568,CF568,CG568)=3,MIN(BV568,CF568,CG568)&gt;=0),BV568*CF568*CG568,"")</f>
        <v>0</v>
      </c>
      <c r="CI568" s="13" t="n">
        <f>IF(COUNT(BY568,CB568,CE568,CH568)=4,SUM(BY568,CB568,CE568,CH568),"")</f>
        <v>0</v>
      </c>
    </row>
    <row r="569" ht="72" customHeight="1">
      <c r="A569" s="16" t="str">
        <v>1S01-WT-8</v>
      </c>
      <c r="B569" s="16" t="str">
        <v>3店-SANDIEX-US</v>
      </c>
      <c r="C569" s="16" t="str">
        <v>徐新怡</v>
      </c>
      <c r="D569" s="26" t="n">
        <f>IF(NOT(ISNUMBER(E569)),"",IF(OR(E569&lt;=0,L569=0),0,IF(OR(NOT(ISNUMBER(F569)),F569&lt;0),"",MIN(E569,INT(F569)))))</f>
        <v>0</v>
      </c>
      <c r="E569" s="27" t="n">
        <f>IF(OR(NOT(ISNUMBER(L569)),COUNT(M569:O569)&lt;&gt;3,MIN(M569:O569)&lt;0),"",ROUNDUP(ROUND(BI569-SUM(M569:O569),10),0))</f>
        <v>0</v>
      </c>
      <c r="F569" s="28" t="n">
        <v>0</v>
      </c>
      <c r="G569" s="28" t="n">
        <f>IF(AND(ISNUMBER(D569),ISNUMBER(E569)),IF(OR(E569&lt;=0,L569=0),0,E569-D569),"")</f>
        <v>0</v>
      </c>
      <c r="H569" s="16" t="str">
        <f>IF(NOT(ISNUMBER(E569)),"销量或海外库存待补",IF(OR(E569&lt;=0,L569=0),IF(L569=0,"零日销，本批不发","本批无需补货"),IF(NOT(ISNUMBER(D569)),"国内库存待补",IF(D569=0,"国内无可用库存",IF(G569&gt;0,"先发国内现货","按建议量发货")))))</f>
        <v>零日销，本批不发</v>
      </c>
      <c r="I569" s="28" t="n">
        <f>IF(AND(COUNT(Z569,AA569,AB569)=3,Z569&gt;=AA569,AA569&gt;=0,AB569=7),Z569-AA569,"")</f>
        <v>0</v>
      </c>
      <c r="J569" s="28" t="n">
        <f>IF(AND(COUNT(AF569,AG569,AH569)=3,AF569&gt;=AG569,AG569&gt;=0,AH569=14),AF569-AG569,"")</f>
        <v>0</v>
      </c>
      <c r="K569" s="28" t="n">
        <f>IF(AND(COUNT(AL569,AM569,AN569)=3,AL569&gt;=AM569,AM569&gt;=0,AN569=30),AL569-AM569,"")</f>
        <v>0</v>
      </c>
      <c r="L569" s="29" t="n">
        <f>IF(ISNUMBER(BI569),BI569/90,"")</f>
        <v>0</v>
      </c>
      <c r="M569" s="28" t="n">
        <v>0</v>
      </c>
      <c r="N569" s="28" t="n">
        <v>0</v>
      </c>
      <c r="O569" s="28" t="n">
        <v>0</v>
      </c>
      <c r="P569" s="30" t="str">
        <f>IF(AND(ISNUMBER(L569),L569&gt;0,COUNT(M569:O569)=3,MIN(M569:O569)&gt;=0),SUM(M569:O569)/L569,"")</f>
      </c>
      <c r="Q569" s="16" t="str">
        <v>沿用原计划SKU店铺</v>
      </c>
      <c r="R569" s="16" t="str">
        <v>已匹配</v>
      </c>
      <c r="S569" s="16" t="str">
        <v>停售</v>
      </c>
      <c r="T569" s="16" t="str">
        <v>1S01</v>
      </c>
      <c r="U569" s="16" t="str">
        <v>白色</v>
      </c>
      <c r="V569" s="16" t="n">
        <v>8</v>
      </c>
      <c r="W569" s="8" t="str">
        <v>2026-10-08 至 2026-10-17</v>
      </c>
      <c r="X569" s="8" t="str">
        <v>2026-10-08、2026-10-09、2026-10-10、2026-10-11、2026-10-14、2026-10-15、2026-10-17</v>
      </c>
      <c r="Y569" s="8" t="str">
        <v>2026-10-12 有记录的停售日；2026-10-13 有记录的停售日；2026-10-16 有记录的停售日</v>
      </c>
      <c r="Z569" s="8" t="n">
        <v>0</v>
      </c>
      <c r="AA569" s="8" t="n">
        <v>0</v>
      </c>
      <c r="AB569" s="8" t="n">
        <v>7</v>
      </c>
      <c r="AC569" s="8" t="str">
        <v>2026-09-29 至 2026-10-17</v>
      </c>
      <c r="AD569" s="8" t="str">
        <v>2026-09-29、2026-09-30、2026-10-01、2026-10-02、2026-10-03、2026-10-04、2026-10-05、2026-10-08、2026-10-09、2026-10-10、2026-10-11、2026-10-14、2026-10-15、2026-10-17</v>
      </c>
      <c r="AE569" s="8" t="str">
        <v>2026-10-06 大促；2026-10-07 大促；2026-10-12 有记录的停售日；2026-10-13 有记录的停售日；2026-10-16 有记录的停售日</v>
      </c>
      <c r="AF569" s="8" t="n">
        <v>0</v>
      </c>
      <c r="AG569" s="8" t="n">
        <v>0</v>
      </c>
      <c r="AH569" s="8" t="n">
        <v>14</v>
      </c>
      <c r="AI569" s="8" t="str">
        <v>2026-09-13 至 2026-10-17</v>
      </c>
      <c r="AJ56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69" s="8" t="str">
        <v>2026-10-06 大促；2026-10-07 大促；2026-10-12 有记录的停售日；2026-10-13 有记录的停售日；2026-10-16 有记录的停售日</v>
      </c>
      <c r="AL569" s="8" t="n">
        <v>0</v>
      </c>
      <c r="AM569" s="8" t="n">
        <v>0</v>
      </c>
      <c r="AN569" s="8" t="n">
        <v>30</v>
      </c>
      <c r="AO569" s="8" t="str">
        <v>1S01 / 白色PU / 6574</v>
      </c>
      <c r="AP569" s="11" t="n">
        <v>0.8729500662042875</v>
      </c>
      <c r="AQ569" s="11" t="n">
        <v>0.9355747145678367</v>
      </c>
      <c r="AR569" s="11" t="n">
        <v>1.135973589331194</v>
      </c>
      <c r="AS569" s="11" t="n">
        <f>IF(AND(COUNT(I569:K569,AP569:AR569)=6,MIN(AP569:AR569)&gt;0),I569/7/AP569*0.5+J569/14/AQ569*0.3+K569/30/AR569*0.2,"")</f>
        <v>0</v>
      </c>
      <c r="AT569" s="8" t="n">
        <v>0</v>
      </c>
      <c r="AU569" s="8" t="n">
        <v>0</v>
      </c>
      <c r="AV569" s="8" t="n">
        <v>85</v>
      </c>
      <c r="AW569" s="11" t="n">
        <f>IF(AND(COUNT(AT569:AV569)=3,AT569&gt;=AU569,AU569&gt;=0,AV569&gt;0),(AT569-AU569)/AV569,"")</f>
        <v>0</v>
      </c>
      <c r="AX569" s="8" t="n">
        <v>0</v>
      </c>
      <c r="AY569" s="8" t="n">
        <v>0</v>
      </c>
      <c r="AZ569" s="8" t="n">
        <v>175</v>
      </c>
      <c r="BA569" s="11" t="n">
        <f>IF(AND(COUNT(AX569:AZ569)=3,AX569&gt;=AY569,AY569&gt;=0,AZ569&gt;0),(AX569-AY569)/AZ569,"")</f>
        <v>0</v>
      </c>
      <c r="BB569" s="8" t="n">
        <f>IF(COUNT(AS569,AW569,BA569)=3,1,0)</f>
        <v>1</v>
      </c>
      <c r="BC569" s="11" t="n">
        <f>IF(SUMIF($AO$11:$AO$1309,AO569,$BB$11:$BB$1309)=COUNTIF($AO$11:$AO$1309,AO569),SUMIF($AO$11:$AO$1309,AO569,$AS$11:$AS$1309),"")</f>
        <v>0</v>
      </c>
      <c r="BD569" s="11" t="n">
        <f>IF(SUMIF($AO$11:$AO$1309,AO569,$BB$11:$BB$1309)=COUNTIF($AO$11:$AO$1309,AO569),SUMIF($AO$11:$AO$1309,AO569,$AW$11:$AW$1309),"")</f>
        <v>0</v>
      </c>
      <c r="BE569" s="11" t="n">
        <f>IF(SUMIF($AO$11:$AO$1309,AO569,$BB$11:$BB$1309)=COUNTIF($AO$11:$AO$1309,AO569),SUMIF($AO$11:$AO$1309,AO569,$BA$11:$BA$1309),"")</f>
        <v>0</v>
      </c>
      <c r="BF569" s="12" t="n">
        <f>IF(COUNT(BD569:BE569)&lt;&gt;2,"",IF(AND(BD569&gt;0,BE569&gt;0),0.7*AW569/BD569+0.3*BA569/BE569,IF(BD569&gt;0,AW569/BD569,IF(BE569&gt;0,BA569/BE569,IF(AND(ISNUMBER(BH569),BH569=0),0,"")))))</f>
        <v>0</v>
      </c>
      <c r="BG569" s="11" t="n">
        <f>IF(AND(COUNT(BN569:BU569)=8,MIN(BN569:BU569)&gt;=0),SUMPRODUCT(BN569:BQ569,BR569:BU569),"")</f>
        <v>63.935996265425516</v>
      </c>
      <c r="BH569" s="11" t="n">
        <f>IF(COUNT(BC569,BG569)=2,BC569*BG569,"")</f>
        <v>0</v>
      </c>
      <c r="BI569" s="11" t="n">
        <f>IF(ISNUMBER(CI569),CI569,"")</f>
        <v>0</v>
      </c>
      <c r="BJ569" s="8" t="str">
        <v>近180天本色销量1双（＜90），无有效新采购，请运营判断</v>
      </c>
      <c r="BK569" s="8" t="str">
        <v>90天：2026-07-20 至 2026-10-17；180天：2026-04-21 至 2026-10-17</v>
      </c>
      <c r="BL569" s="8" t="str">
        <v>90天：2026-10-06、2026-10-07、2026-10-12、2026-10-13、2026-10-16；180天：2026-10-06、2026-10-07、2026-10-12、2026-10-13、2026-10-16</v>
      </c>
      <c r="BM569" s="8" t="str">
        <v>2026-10：12天 × 0.8729500662042875；2026-11：30天 × 0.8057375774163482；2026-12：31天 × 0.532550303142279；2027-01：17天 × 0.7517299265337036</v>
      </c>
      <c r="BN569" s="11" t="n">
        <v>0.8729500662042875</v>
      </c>
      <c r="BO569" s="11" t="n">
        <v>0.8057375774163482</v>
      </c>
      <c r="BP569" s="11" t="n">
        <v>0.532550303142279</v>
      </c>
      <c r="BQ569" s="11" t="n">
        <v>0.7517299265337036</v>
      </c>
      <c r="BR569" s="8" t="n">
        <v>12</v>
      </c>
      <c r="BS569" s="8" t="n">
        <v>30</v>
      </c>
      <c r="BT569" s="8" t="n">
        <v>31</v>
      </c>
      <c r="BU569" s="8" t="n">
        <v>17</v>
      </c>
      <c r="BV569" s="11" t="n">
        <f>IF(COUNT(BC569,BF569)=2,BC569*BF569,"")</f>
        <v>0</v>
      </c>
      <c r="BW569" s="11" t="n">
        <f>IF(ISNUMBER(BN569),BN569,"")</f>
        <v>0.8729500662042875</v>
      </c>
      <c r="BX569" s="14" t="n">
        <f>IF(ISNUMBER(BR569),BR569,"")</f>
        <v>12</v>
      </c>
      <c r="BY569" s="13" t="n">
        <f>IF(AND(COUNT(BV569,BW569,BX569)=3,MIN(BV569,BW569,BX569)&gt;=0),BV569*BW569*BX569,"")</f>
        <v>0</v>
      </c>
      <c r="BZ569" s="11" t="n">
        <f>IF(ISNUMBER(BO569),BO569,"")</f>
        <v>0.8057375774163482</v>
      </c>
      <c r="CA569" s="14" t="n">
        <f>IF(ISNUMBER(BS569),BS569,"")</f>
        <v>30</v>
      </c>
      <c r="CB569" s="13" t="n">
        <f>IF(AND(COUNT(BV569,BZ569,CA569)=3,MIN(BV569,BZ569,CA569)&gt;=0),BV569*BZ569*CA569,"")</f>
        <v>0</v>
      </c>
      <c r="CC569" s="11" t="n">
        <f>IF(ISNUMBER(BP569),BP569,"")</f>
        <v>0.532550303142279</v>
      </c>
      <c r="CD569" s="14" t="n">
        <f>IF(ISNUMBER(BT569),BT569,"")</f>
        <v>31</v>
      </c>
      <c r="CE569" s="13" t="n">
        <f>IF(AND(COUNT(BV569,CC569,CD569)=3,MIN(BV569,CC569,CD569)&gt;=0),BV569*CC569*CD569,"")</f>
        <v>0</v>
      </c>
      <c r="CF569" s="11" t="n">
        <f>IF(ISNUMBER(BQ569),BQ569,"")</f>
        <v>0.7517299265337036</v>
      </c>
      <c r="CG569" s="14" t="n">
        <f>IF(ISNUMBER(BU569),BU569,"")</f>
        <v>17</v>
      </c>
      <c r="CH569" s="13" t="n">
        <f>IF(AND(COUNT(BV569,CF569,CG569)=3,MIN(BV569,CF569,CG569)&gt;=0),BV569*CF569*CG569,"")</f>
        <v>0</v>
      </c>
      <c r="CI569" s="13" t="n">
        <f>IF(COUNT(BY569,CB569,CE569,CH569)=4,SUM(BY569,CB569,CE569,CH569),"")</f>
        <v>0</v>
      </c>
    </row>
    <row r="570" ht="72" customHeight="1">
      <c r="A570" s="16" t="str">
        <v>1S01-WT-9</v>
      </c>
      <c r="B570" s="16" t="str">
        <v>3店-SANDIEX-US</v>
      </c>
      <c r="C570" s="16" t="str">
        <v>徐新怡</v>
      </c>
      <c r="D570" s="26" t="n">
        <f>IF(NOT(ISNUMBER(E570)),"",IF(OR(E570&lt;=0,L570=0),0,IF(OR(NOT(ISNUMBER(F570)),F570&lt;0),"",MIN(E570,INT(F570)))))</f>
        <v>0</v>
      </c>
      <c r="E570" s="27" t="n">
        <f>IF(OR(NOT(ISNUMBER(L570)),COUNT(M570:O570)&lt;&gt;3,MIN(M570:O570)&lt;0),"",ROUNDUP(ROUND(BI570-SUM(M570:O570),10),0))</f>
        <v>0</v>
      </c>
      <c r="F570" s="28" t="n">
        <v>0</v>
      </c>
      <c r="G570" s="28" t="n">
        <f>IF(AND(ISNUMBER(D570),ISNUMBER(E570)),IF(OR(E570&lt;=0,L570=0),0,E570-D570),"")</f>
        <v>0</v>
      </c>
      <c r="H570" s="16" t="str">
        <f>IF(NOT(ISNUMBER(E570)),"销量或海外库存待补",IF(OR(E570&lt;=0,L570=0),IF(L570=0,"零日销，本批不发","本批无需补货"),IF(NOT(ISNUMBER(D570)),"国内库存待补",IF(D570=0,"国内无可用库存",IF(G570&gt;0,"先发国内现货","按建议量发货")))))</f>
        <v>零日销，本批不发</v>
      </c>
      <c r="I570" s="28" t="n">
        <f>IF(AND(COUNT(Z570,AA570,AB570)=3,Z570&gt;=AA570,AA570&gt;=0,AB570=7),Z570-AA570,"")</f>
        <v>0</v>
      </c>
      <c r="J570" s="28" t="n">
        <f>IF(AND(COUNT(AF570,AG570,AH570)=3,AF570&gt;=AG570,AG570&gt;=0,AH570=14),AF570-AG570,"")</f>
        <v>0</v>
      </c>
      <c r="K570" s="28" t="n">
        <f>IF(AND(COUNT(AL570,AM570,AN570)=3,AL570&gt;=AM570,AM570&gt;=0,AN570=30),AL570-AM570,"")</f>
        <v>0</v>
      </c>
      <c r="L570" s="29" t="n">
        <f>IF(ISNUMBER(BI570),BI570/90,"")</f>
        <v>0</v>
      </c>
      <c r="M570" s="28" t="n">
        <v>0</v>
      </c>
      <c r="N570" s="28" t="n">
        <v>0</v>
      </c>
      <c r="O570" s="28" t="n">
        <v>0</v>
      </c>
      <c r="P570" s="30" t="str">
        <f>IF(AND(ISNUMBER(L570),L570&gt;0,COUNT(M570:O570)=3,MIN(M570:O570)&gt;=0),SUM(M570:O570)/L570,"")</f>
      </c>
      <c r="Q570" s="16" t="str">
        <v>沿用原计划SKU店铺</v>
      </c>
      <c r="R570" s="16" t="str">
        <v>已匹配</v>
      </c>
      <c r="S570" s="16" t="str">
        <v>停售</v>
      </c>
      <c r="T570" s="16" t="str">
        <v>1S01</v>
      </c>
      <c r="U570" s="16" t="str">
        <v>白色</v>
      </c>
      <c r="V570" s="16" t="n">
        <v>9</v>
      </c>
      <c r="W570" s="8" t="str">
        <v>2026-10-08 至 2026-10-17</v>
      </c>
      <c r="X570" s="8" t="str">
        <v>2026-10-08、2026-10-09、2026-10-10、2026-10-11、2026-10-14、2026-10-15、2026-10-17</v>
      </c>
      <c r="Y570" s="8" t="str">
        <v>2026-10-12 有记录的停售日；2026-10-13 有记录的停售日；2026-10-16 有记录的停售日</v>
      </c>
      <c r="Z570" s="8" t="n">
        <v>0</v>
      </c>
      <c r="AA570" s="8" t="n">
        <v>0</v>
      </c>
      <c r="AB570" s="8" t="n">
        <v>7</v>
      </c>
      <c r="AC570" s="8" t="str">
        <v>2026-09-29 至 2026-10-17</v>
      </c>
      <c r="AD570" s="8" t="str">
        <v>2026-09-29、2026-09-30、2026-10-01、2026-10-02、2026-10-03、2026-10-04、2026-10-05、2026-10-08、2026-10-09、2026-10-10、2026-10-11、2026-10-14、2026-10-15、2026-10-17</v>
      </c>
      <c r="AE570" s="8" t="str">
        <v>2026-10-06 大促；2026-10-07 大促；2026-10-12 有记录的停售日；2026-10-13 有记录的停售日；2026-10-16 有记录的停售日</v>
      </c>
      <c r="AF570" s="8" t="n">
        <v>0</v>
      </c>
      <c r="AG570" s="8" t="n">
        <v>0</v>
      </c>
      <c r="AH570" s="8" t="n">
        <v>14</v>
      </c>
      <c r="AI570" s="8" t="str">
        <v>2026-09-13 至 2026-10-17</v>
      </c>
      <c r="AJ57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570" s="8" t="str">
        <v>2026-10-06 大促；2026-10-07 大促；2026-10-12 有记录的停售日；2026-10-13 有记录的停售日；2026-10-16 有记录的停售日</v>
      </c>
      <c r="AL570" s="8" t="n">
        <v>0</v>
      </c>
      <c r="AM570" s="8" t="n">
        <v>0</v>
      </c>
      <c r="AN570" s="8" t="n">
        <v>30</v>
      </c>
      <c r="AO570" s="8" t="str">
        <v>1S01 / 白色PU / 6574</v>
      </c>
      <c r="AP570" s="11" t="n">
        <v>0.8729500662042875</v>
      </c>
      <c r="AQ570" s="11" t="n">
        <v>0.9355747145678367</v>
      </c>
      <c r="AR570" s="11" t="n">
        <v>1.135973589331194</v>
      </c>
      <c r="AS570" s="11" t="n">
        <f>IF(AND(COUNT(I570:K570,AP570:AR570)=6,MIN(AP570:AR570)&gt;0),I570/7/AP570*0.5+J570/14/AQ570*0.3+K570/30/AR570*0.2,"")</f>
        <v>0</v>
      </c>
      <c r="AT570" s="8" t="n">
        <v>0</v>
      </c>
      <c r="AU570" s="8" t="n">
        <v>0</v>
      </c>
      <c r="AV570" s="8" t="n">
        <v>85</v>
      </c>
      <c r="AW570" s="11" t="n">
        <f>IF(AND(COUNT(AT570:AV570)=3,AT570&gt;=AU570,AU570&gt;=0,AV570&gt;0),(AT570-AU570)/AV570,"")</f>
        <v>0</v>
      </c>
      <c r="AX570" s="8" t="n">
        <v>0</v>
      </c>
      <c r="AY570" s="8" t="n">
        <v>0</v>
      </c>
      <c r="AZ570" s="8" t="n">
        <v>175</v>
      </c>
      <c r="BA570" s="11" t="n">
        <f>IF(AND(COUNT(AX570:AZ570)=3,AX570&gt;=AY570,AY570&gt;=0,AZ570&gt;0),(AX570-AY570)/AZ570,"")</f>
        <v>0</v>
      </c>
      <c r="BB570" s="8" t="n">
        <f>IF(COUNT(AS570,AW570,BA570)=3,1,0)</f>
        <v>1</v>
      </c>
      <c r="BC570" s="11" t="n">
        <f>IF(SUMIF($AO$11:$AO$1309,AO570,$BB$11:$BB$1309)=COUNTIF($AO$11:$AO$1309,AO570),SUMIF($AO$11:$AO$1309,AO570,$AS$11:$AS$1309),"")</f>
        <v>0</v>
      </c>
      <c r="BD570" s="11" t="n">
        <f>IF(SUMIF($AO$11:$AO$1309,AO570,$BB$11:$BB$1309)=COUNTIF($AO$11:$AO$1309,AO570),SUMIF($AO$11:$AO$1309,AO570,$AW$11:$AW$1309),"")</f>
        <v>0</v>
      </c>
      <c r="BE570" s="11" t="n">
        <f>IF(SUMIF($AO$11:$AO$1309,AO570,$BB$11:$BB$1309)=COUNTIF($AO$11:$AO$1309,AO570),SUMIF($AO$11:$AO$1309,AO570,$BA$11:$BA$1309),"")</f>
        <v>0</v>
      </c>
      <c r="BF570" s="12" t="n">
        <f>IF(COUNT(BD570:BE570)&lt;&gt;2,"",IF(AND(BD570&gt;0,BE570&gt;0),0.7*AW570/BD570+0.3*BA570/BE570,IF(BD570&gt;0,AW570/BD570,IF(BE570&gt;0,BA570/BE570,IF(AND(ISNUMBER(BH570),BH570=0),0,"")))))</f>
        <v>0</v>
      </c>
      <c r="BG570" s="11" t="n">
        <f>IF(AND(COUNT(BN570:BU570)=8,MIN(BN570:BU570)&gt;=0),SUMPRODUCT(BN570:BQ570,BR570:BU570),"")</f>
        <v>63.935996265425516</v>
      </c>
      <c r="BH570" s="11" t="n">
        <f>IF(COUNT(BC570,BG570)=2,BC570*BG570,"")</f>
        <v>0</v>
      </c>
      <c r="BI570" s="11" t="n">
        <f>IF(ISNUMBER(CI570),CI570,"")</f>
        <v>0</v>
      </c>
      <c r="BJ570" s="8" t="str">
        <v>近180天本色销量1双（＜90），无有效新采购，请运营判断</v>
      </c>
      <c r="BK570" s="8" t="str">
        <v>90天：2026-07-20 至 2026-10-17；180天：2026-04-21 至 2026-10-17</v>
      </c>
      <c r="BL570" s="8" t="str">
        <v>90天：2026-10-06、2026-10-07、2026-10-12、2026-10-13、2026-10-16；180天：2026-10-06、2026-10-07、2026-10-12、2026-10-13、2026-10-16</v>
      </c>
      <c r="BM570" s="8" t="str">
        <v>2026-10：12天 × 0.8729500662042875；2026-11：30天 × 0.8057375774163482；2026-12：31天 × 0.532550303142279；2027-01：17天 × 0.7517299265337036</v>
      </c>
      <c r="BN570" s="11" t="n">
        <v>0.8729500662042875</v>
      </c>
      <c r="BO570" s="11" t="n">
        <v>0.8057375774163482</v>
      </c>
      <c r="BP570" s="11" t="n">
        <v>0.532550303142279</v>
      </c>
      <c r="BQ570" s="11" t="n">
        <v>0.7517299265337036</v>
      </c>
      <c r="BR570" s="8" t="n">
        <v>12</v>
      </c>
      <c r="BS570" s="8" t="n">
        <v>30</v>
      </c>
      <c r="BT570" s="8" t="n">
        <v>31</v>
      </c>
      <c r="BU570" s="8" t="n">
        <v>17</v>
      </c>
      <c r="BV570" s="11" t="n">
        <f>IF(COUNT(BC570,BF570)=2,BC570*BF570,"")</f>
        <v>0</v>
      </c>
      <c r="BW570" s="11" t="n">
        <f>IF(ISNUMBER(BN570),BN570,"")</f>
        <v>0.8729500662042875</v>
      </c>
      <c r="BX570" s="14" t="n">
        <f>IF(ISNUMBER(BR570),BR570,"")</f>
        <v>12</v>
      </c>
      <c r="BY570" s="13" t="n">
        <f>IF(AND(COUNT(BV570,BW570,BX570)=3,MIN(BV570,BW570,BX570)&gt;=0),BV570*BW570*BX570,"")</f>
        <v>0</v>
      </c>
      <c r="BZ570" s="11" t="n">
        <f>IF(ISNUMBER(BO570),BO570,"")</f>
        <v>0.8057375774163482</v>
      </c>
      <c r="CA570" s="14" t="n">
        <f>IF(ISNUMBER(BS570),BS570,"")</f>
        <v>30</v>
      </c>
      <c r="CB570" s="13" t="n">
        <f>IF(AND(COUNT(BV570,BZ570,CA570)=3,MIN(BV570,BZ570,CA570)&gt;=0),BV570*BZ570*CA570,"")</f>
        <v>0</v>
      </c>
      <c r="CC570" s="11" t="n">
        <f>IF(ISNUMBER(BP570),BP570,"")</f>
        <v>0.532550303142279</v>
      </c>
      <c r="CD570" s="14" t="n">
        <f>IF(ISNUMBER(BT570),BT570,"")</f>
        <v>31</v>
      </c>
      <c r="CE570" s="13" t="n">
        <f>IF(AND(COUNT(BV570,CC570,CD570)=3,MIN(BV570,CC570,CD570)&gt;=0),BV570*CC570*CD570,"")</f>
        <v>0</v>
      </c>
      <c r="CF570" s="11" t="n">
        <f>IF(ISNUMBER(BQ570),BQ570,"")</f>
        <v>0.7517299265337036</v>
      </c>
      <c r="CG570" s="14" t="n">
        <f>IF(ISNUMBER(BU570),BU570,"")</f>
        <v>17</v>
      </c>
      <c r="CH570" s="13" t="n">
        <f>IF(AND(COUNT(BV570,CF570,CG570)=3,MIN(BV570,CF570,CG570)&gt;=0),BV570*CF570*CG570,"")</f>
        <v>0</v>
      </c>
      <c r="CI570" s="13" t="n">
        <f>IF(COUNT(BY570,CB570,CE570,CH570)=4,SUM(BY570,CB570,CE570,CH570),"")</f>
        <v>0</v>
      </c>
    </row>
    <row r="571" ht="72" customHeight="1">
      <c r="A571" s="16" t="str">
        <v>2302153-BG-P-Z-42</v>
      </c>
      <c r="B571" s="16" t="str">
        <v>3店-SANDIEX-US</v>
      </c>
      <c r="C571" s="16" t="str">
        <v>徐新怡</v>
      </c>
      <c r="D571" s="26" t="n">
        <f>IF(NOT(ISNUMBER(E571)),"",IF(OR(E571&lt;=0,L571=0),0,IF(OR(NOT(ISNUMBER(F571)),F571&lt;0),"",MIN(E571,INT(F571)))))</f>
        <v>0</v>
      </c>
      <c r="E571" s="27" t="n">
        <f>IF(OR(NOT(ISNUMBER(L571)),COUNT(M571:O571)&lt;&gt;3,MIN(M571:O571)&lt;0),"",ROUNDUP(ROUND(BI571-SUM(M571:O571),10),0))</f>
        <v>-21</v>
      </c>
      <c r="F571" s="28" t="n">
        <v>20</v>
      </c>
      <c r="G571" s="28" t="n">
        <f>IF(AND(ISNUMBER(D571),ISNUMBER(E571)),IF(OR(E571&lt;=0,L571=0),0,E571-D571),"")</f>
        <v>0</v>
      </c>
      <c r="H571" s="16" t="str">
        <f>IF(NOT(ISNUMBER(E571)),"销量或海外库存待补",IF(OR(E571&lt;=0,L571=0),IF(L571=0,"零日销，本批不发","本批无需补货"),IF(NOT(ISNUMBER(D571)),"国内库存待补",IF(D571=0,"国内无可用库存",IF(G571&gt;0,"先发国内现货","按建议量发货")))))</f>
        <v>本批无需补货</v>
      </c>
      <c r="I571" s="28" t="n">
        <f>IF(AND(COUNT(Z571,AA571,AB571)=3,Z571&gt;=AA571,AA571&gt;=0,AB571=7),Z571-AA571,"")</f>
        <v>1</v>
      </c>
      <c r="J571" s="28" t="n">
        <f>IF(AND(COUNT(AF571,AG571,AH571)=3,AF571&gt;=AG571,AG571&gt;=0,AH571=14),AF571-AG571,"")</f>
        <v>1</v>
      </c>
      <c r="K571" s="28" t="n">
        <f>IF(AND(COUNT(AL571,AM571,AN571)=3,AL571&gt;=AM571,AM571&gt;=0,AN571=30),AL571-AM571,"")</f>
        <v>1</v>
      </c>
      <c r="L571" s="29" t="n">
        <f>IF(ISNUMBER(BI571),BI571/90,"")</f>
        <v>0.010575543151009219</v>
      </c>
      <c r="M571" s="28" t="n">
        <v>0</v>
      </c>
      <c r="N571" s="28" t="n">
        <v>2</v>
      </c>
      <c r="O571" s="28" t="n">
        <v>19</v>
      </c>
      <c r="P571" s="30" t="n">
        <f>IF(AND(ISNUMBER(L571),L571&gt;0,COUNT(M571:O571)=3,MIN(M571:O571)&gt;=0),SUM(M571:O571)/L571,"")</f>
        <v>1985.7136130162714</v>
      </c>
      <c r="Q571" s="16" t="str">
        <v>沿用原计划SKU店铺</v>
      </c>
      <c r="R571" s="16" t="str">
        <v>已匹配</v>
      </c>
      <c r="S571" s="16" t="str">
        <v>在售</v>
      </c>
      <c r="T571" s="16" t="str">
        <v>2302153</v>
      </c>
      <c r="U571" s="16" t="str">
        <v>米白</v>
      </c>
      <c r="V571" s="16" t="n">
        <v>11</v>
      </c>
      <c r="W571" s="8" t="str">
        <v>2026-10-11 至 2026-10-17</v>
      </c>
      <c r="X571" s="8" t="str">
        <v>2026-10-11、2026-10-12、2026-10-13、2026-10-14、2026-10-15、2026-10-16、2026-10-17</v>
      </c>
      <c r="Y571" s="8" t="str">
        <v>无</v>
      </c>
      <c r="Z571" s="8" t="n">
        <v>1</v>
      </c>
      <c r="AA571" s="8" t="n">
        <v>0</v>
      </c>
      <c r="AB571" s="8" t="n">
        <v>7</v>
      </c>
      <c r="AC571" s="8" t="str">
        <v>2026-10-02 至 2026-10-17</v>
      </c>
      <c r="AD571" s="8" t="str">
        <v>2026-10-02、2026-10-03、2026-10-04、2026-10-05、2026-10-08、2026-10-09、2026-10-10、2026-10-11、2026-10-12、2026-10-13、2026-10-14、2026-10-15、2026-10-16、2026-10-17</v>
      </c>
      <c r="AE571" s="8" t="str">
        <v>2026-10-06 大促；2026-10-07 大促</v>
      </c>
      <c r="AF571" s="8" t="n">
        <v>1</v>
      </c>
      <c r="AG571" s="8" t="n">
        <v>0</v>
      </c>
      <c r="AH571" s="8" t="n">
        <v>14</v>
      </c>
      <c r="AI571" s="8" t="str">
        <v>2026-09-16 至 2026-10-17</v>
      </c>
      <c r="AJ5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1" s="8" t="str">
        <v>2026-10-06 大促；2026-10-07 大促</v>
      </c>
      <c r="AL571" s="8" t="n">
        <v>1</v>
      </c>
      <c r="AM571" s="8" t="n">
        <v>0</v>
      </c>
      <c r="AN571" s="8" t="n">
        <v>30</v>
      </c>
      <c r="AO571" s="8" t="str">
        <v>2302153 / 米白PU / 6574</v>
      </c>
      <c r="AP571" s="11" t="n">
        <v>1.7391279184229513</v>
      </c>
      <c r="AQ571" s="11" t="n">
        <v>1.7391279184229513</v>
      </c>
      <c r="AR571" s="11" t="n">
        <v>1.5731892896917212</v>
      </c>
      <c r="AS571" s="11" t="n">
        <f>IF(AND(COUNT(I571:K571,AP571:AR571)=6,MIN(AP571:AR571)&gt;0),I571/7/AP571*0.5+J571/14/AQ571*0.3+K571/30/AR571*0.2,"")</f>
        <v>0.05763061050569779</v>
      </c>
      <c r="AT571" s="8" t="n">
        <v>1</v>
      </c>
      <c r="AU571" s="8" t="n">
        <v>0</v>
      </c>
      <c r="AV571" s="8" t="n">
        <v>88</v>
      </c>
      <c r="AW571" s="11" t="n">
        <f>IF(AND(COUNT(AT571:AV571)=3,AT571&gt;=AU571,AU571&gt;=0,AV571&gt;0),(AT571-AU571)/AV571,"")</f>
        <v>0.011363636363636364</v>
      </c>
      <c r="AX571" s="8" t="n">
        <v>1</v>
      </c>
      <c r="AY571" s="8" t="n">
        <v>0</v>
      </c>
      <c r="AZ571" s="8" t="n">
        <v>178</v>
      </c>
      <c r="BA571" s="11" t="n">
        <f>IF(AND(COUNT(AX571:AZ571)=3,AX571&gt;=AY571,AY571&gt;=0,AZ571&gt;0),(AX571-AY571)/AZ571,"")</f>
        <v>0.0056179775280898875</v>
      </c>
      <c r="BB571" s="8" t="n">
        <f>IF(COUNT(AS571,AW571,BA571)=3,1,0)</f>
        <v>1</v>
      </c>
      <c r="BC571" s="11" t="n">
        <f>IF(SUMIF($AO$11:$AO$1309,AO571,$BB$11:$BB$1309)=COUNTIF($AO$11:$AO$1309,AO571),SUMIF($AO$11:$AO$1309,AO571,$AS$11:$AS$1309),"")</f>
        <v>2.0955365955321814</v>
      </c>
      <c r="BD571" s="11" t="n">
        <f>IF(SUMIF($AO$11:$AO$1309,AO571,$BB$11:$BB$1309)=COUNTIF($AO$11:$AO$1309,AO571),SUMIF($AO$11:$AO$1309,AO571,$AW$11:$AW$1309),"")</f>
        <v>2.736485747612452</v>
      </c>
      <c r="BE571" s="11" t="n">
        <f>IF(SUMIF($AO$11:$AO$1309,AO571,$BB$11:$BB$1309)=COUNTIF($AO$11:$AO$1309,AO571),SUMIF($AO$11:$AO$1309,AO571,$BA$11:$BA$1309),"")</f>
        <v>1.3562265196239676</v>
      </c>
      <c r="BF571" s="12" t="n">
        <f>IF(COUNT(BD571:BE571)&lt;&gt;2,"",IF(AND(BD571&gt;0,BE571&gt;0),0.7*AW571/BD571+0.3*BA571/BE571,IF(BD571&gt;0,AW571/BD571,IF(BE571&gt;0,BA571/BE571,IF(AND(ISNUMBER(BH571),BH571=0),0,"")))))</f>
        <v>0.004149554813198452</v>
      </c>
      <c r="BG571" s="11" t="n">
        <f>IF(AND(COUNT(BN571:BU571)=8,MIN(BN571:BU571)&gt;=0),SUMPRODUCT(BN571:BQ571,BR571:BU571),"")</f>
        <v>109.4582336985339</v>
      </c>
      <c r="BH571" s="11" t="n">
        <f>IF(COUNT(BC571,BG571)=2,BC571*BG571,"")</f>
        <v>229.37373439759162</v>
      </c>
      <c r="BI571" s="11" t="n">
        <f>IF(ISNUMBER(CI571),CI571,"")</f>
        <v>0.9517988835908298</v>
      </c>
      <c r="BJ571" s="8" t="str"/>
      <c r="BK571" s="8" t="str">
        <v>90天：2026-07-20 至 2026-10-17；180天：2026-04-21 至 2026-10-17</v>
      </c>
      <c r="BL571" s="8" t="str">
        <v>90天：2026-10-06、2026-10-07；180天：2026-10-06、2026-10-07</v>
      </c>
      <c r="BM571" s="8" t="str">
        <v>2026-10：12天 × 1.7391279184229513；2026-11：30天 × 1.4002077845513243；2026-12：31天 × 1.079339935625147；2027-01：17天 × 0.7719368903846591</v>
      </c>
      <c r="BN571" s="11" t="n">
        <v>1.7391279184229513</v>
      </c>
      <c r="BO571" s="11" t="n">
        <v>1.4002077845513243</v>
      </c>
      <c r="BP571" s="11" t="n">
        <v>1.079339935625147</v>
      </c>
      <c r="BQ571" s="11" t="n">
        <v>0.7719368903846591</v>
      </c>
      <c r="BR571" s="8" t="n">
        <v>12</v>
      </c>
      <c r="BS571" s="8" t="n">
        <v>30</v>
      </c>
      <c r="BT571" s="8" t="n">
        <v>31</v>
      </c>
      <c r="BU571" s="8" t="n">
        <v>17</v>
      </c>
      <c r="BV571" s="11" t="n">
        <f>IF(COUNT(BC571,BF571)=2,BC571*BF571,"")</f>
        <v>0.00869554396622406</v>
      </c>
      <c r="BW571" s="11" t="n">
        <f>IF(ISNUMBER(BN571),BN571,"")</f>
        <v>1.7391279184229513</v>
      </c>
      <c r="BX571" s="14" t="n">
        <f>IF(ISNUMBER(BR571),BR571,"")</f>
        <v>12</v>
      </c>
      <c r="BY571" s="13" t="n">
        <f>IF(AND(COUNT(BV571,BW571,BX571)=3,MIN(BV571,BW571,BX571)&gt;=0),BV571*BW571*BX571,"")</f>
        <v>0.18147195933041407</v>
      </c>
      <c r="BZ571" s="11" t="n">
        <f>IF(ISNUMBER(BO571),BO571,"")</f>
        <v>1.4002077845513243</v>
      </c>
      <c r="CA571" s="14" t="n">
        <f>IF(ISNUMBER(BS571),BS571,"")</f>
        <v>30</v>
      </c>
      <c r="CB571" s="13" t="n">
        <f>IF(AND(COUNT(BV571,BZ571,CA571)=3,MIN(BV571,BZ571,CA571)&gt;=0),BV571*BZ571*CA571,"")</f>
        <v>0.36526705057245684</v>
      </c>
      <c r="CC571" s="11" t="n">
        <f>IF(ISNUMBER(BP571),BP571,"")</f>
        <v>1.079339935625147</v>
      </c>
      <c r="CD571" s="14" t="n">
        <f>IF(ISNUMBER(BT571),BT571,"")</f>
        <v>31</v>
      </c>
      <c r="CE571" s="13" t="n">
        <f>IF(AND(COUNT(BV571,CC571,CD571)=3,MIN(BV571,CC571,CD571)&gt;=0),BV571*CC571*CD571,"")</f>
        <v>0.2909488838066273</v>
      </c>
      <c r="CF571" s="11" t="n">
        <f>IF(ISNUMBER(BQ571),BQ571,"")</f>
        <v>0.7719368903846591</v>
      </c>
      <c r="CG571" s="14" t="n">
        <f>IF(ISNUMBER(BU571),BU571,"")</f>
        <v>17</v>
      </c>
      <c r="CH571" s="13" t="n">
        <f>IF(AND(COUNT(BV571,CF571,CG571)=3,MIN(BV571,CF571,CG571)&gt;=0),BV571*CF571*CG571,"")</f>
        <v>0.11411098988133148</v>
      </c>
      <c r="CI571" s="13" t="n">
        <f>IF(COUNT(BY571,CB571,CE571,CH571)=4,SUM(BY571,CB571,CE571,CH571),"")</f>
        <v>0.9517988835908298</v>
      </c>
    </row>
    <row r="572" ht="72" customHeight="1">
      <c r="A572" s="16" t="str">
        <v>2302153-BK-P-Z-10</v>
      </c>
      <c r="B572" s="16" t="str">
        <v>3店-SANDIEX-US</v>
      </c>
      <c r="C572" s="16" t="str">
        <v>徐新怡</v>
      </c>
      <c r="D572" s="26" t="n">
        <f>IF(NOT(ISNUMBER(E572)),"",IF(OR(E572&lt;=0,L572=0),0,IF(OR(NOT(ISNUMBER(F572)),F572&lt;0),"",MIN(E572,INT(F572)))))</f>
        <v>0</v>
      </c>
      <c r="E572" s="27" t="n">
        <f>IF(OR(NOT(ISNUMBER(L572)),COUNT(M572:O572)&lt;&gt;3,MIN(M572:O572)&lt;0),"",ROUNDUP(ROUND(BI572-SUM(M572:O572),10),0))</f>
        <v>-55</v>
      </c>
      <c r="F572" s="28" t="n">
        <v>0</v>
      </c>
      <c r="G572" s="28" t="n">
        <f>IF(AND(ISNUMBER(D572),ISNUMBER(E572)),IF(OR(E572&lt;=0,L572=0),0,E572-D572),"")</f>
        <v>0</v>
      </c>
      <c r="H572" s="16" t="str">
        <f>IF(NOT(ISNUMBER(E572)),"销量或海外库存待补",IF(OR(E572&lt;=0,L572=0),IF(L572=0,"零日销，本批不发","本批无需补货"),IF(NOT(ISNUMBER(D572)),"国内库存待补",IF(D572=0,"国内无可用库存",IF(G572&gt;0,"先发国内现货","按建议量发货")))))</f>
        <v>本批无需补货</v>
      </c>
      <c r="I572" s="28" t="n">
        <f>IF(AND(COUNT(Z572,AA572,AB572)=3,Z572&gt;=AA572,AA572&gt;=0,AB572=7),Z572-AA572,"")</f>
        <v>1</v>
      </c>
      <c r="J572" s="28" t="n">
        <f>IF(AND(COUNT(AF572,AG572,AH572)=3,AF572&gt;=AG572,AG572&gt;=0,AH572=14),AF572-AG572,"")</f>
        <v>1</v>
      </c>
      <c r="K572" s="28" t="n">
        <f>IF(AND(COUNT(AL572,AM572,AN572)=3,AL572&gt;=AM572,AM572&gt;=0,AN572=30),AL572-AM572,"")</f>
        <v>8</v>
      </c>
      <c r="L572" s="29" t="n">
        <f>IF(ISNUMBER(BI572),BI572/90,"")</f>
        <v>0.11470425269484566</v>
      </c>
      <c r="M572" s="28" t="n">
        <v>2</v>
      </c>
      <c r="N572" s="28" t="n">
        <v>0</v>
      </c>
      <c r="O572" s="28" t="n">
        <v>63</v>
      </c>
      <c r="P572" s="30" t="n">
        <f>IF(AND(ISNUMBER(L572),L572&gt;0,COUNT(M572:O572)=3,MIN(M572:O572)&gt;=0),SUM(M572:O572)/L572,"")</f>
        <v>566.674717570614</v>
      </c>
      <c r="Q572" s="16" t="str">
        <v>沿用原计划SKU店铺</v>
      </c>
      <c r="R572" s="16" t="str">
        <v>已匹配</v>
      </c>
      <c r="S572" s="16" t="str">
        <v>在售</v>
      </c>
      <c r="T572" s="16" t="str">
        <v>2302153</v>
      </c>
      <c r="U572" s="16" t="str">
        <v>黑色</v>
      </c>
      <c r="V572" s="16" t="n">
        <v>10</v>
      </c>
      <c r="W572" s="8" t="str">
        <v>2026-10-11 至 2026-10-17</v>
      </c>
      <c r="X572" s="8" t="str">
        <v>2026-10-11、2026-10-12、2026-10-13、2026-10-14、2026-10-15、2026-10-16、2026-10-17</v>
      </c>
      <c r="Y572" s="8" t="str">
        <v>无</v>
      </c>
      <c r="Z572" s="8" t="n">
        <v>1</v>
      </c>
      <c r="AA572" s="8" t="n">
        <v>0</v>
      </c>
      <c r="AB572" s="8" t="n">
        <v>7</v>
      </c>
      <c r="AC572" s="8" t="str">
        <v>2026-10-02 至 2026-10-17</v>
      </c>
      <c r="AD572" s="8" t="str">
        <v>2026-10-02、2026-10-03、2026-10-04、2026-10-05、2026-10-08、2026-10-09、2026-10-10、2026-10-11、2026-10-12、2026-10-13、2026-10-14、2026-10-15、2026-10-16、2026-10-17</v>
      </c>
      <c r="AE572" s="8" t="str">
        <v>2026-10-06 大促；2026-10-07 大促</v>
      </c>
      <c r="AF572" s="8" t="n">
        <v>3</v>
      </c>
      <c r="AG572" s="8" t="n">
        <v>2</v>
      </c>
      <c r="AH572" s="8" t="n">
        <v>14</v>
      </c>
      <c r="AI572" s="8" t="str">
        <v>2026-09-16 至 2026-10-17</v>
      </c>
      <c r="AJ5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2" s="8" t="str">
        <v>2026-10-06 大促；2026-10-07 大促</v>
      </c>
      <c r="AL572" s="8" t="n">
        <v>10</v>
      </c>
      <c r="AM572" s="8" t="n">
        <v>2</v>
      </c>
      <c r="AN572" s="8" t="n">
        <v>30</v>
      </c>
      <c r="AO572" s="8" t="str">
        <v>2302153 / 黑色PU / 6574</v>
      </c>
      <c r="AP572" s="11" t="n">
        <v>1.7391279184229513</v>
      </c>
      <c r="AQ572" s="11" t="n">
        <v>1.7391279184229513</v>
      </c>
      <c r="AR572" s="11" t="n">
        <v>1.5731892896917212</v>
      </c>
      <c r="AS572" s="11" t="n">
        <f>IF(AND(COUNT(I572:K572,AP572:AR572)=6,MIN(AP572:AR572)&gt;0),I572/7/AP572*0.5+J572/14/AQ572*0.3+K572/30/AR572*0.2,"")</f>
        <v>0.08729434326338226</v>
      </c>
      <c r="AT572" s="8" t="n">
        <v>14</v>
      </c>
      <c r="AU572" s="8" t="n">
        <v>2</v>
      </c>
      <c r="AV572" s="8" t="n">
        <v>88</v>
      </c>
      <c r="AW572" s="11" t="n">
        <f>IF(AND(COUNT(AT572:AV572)=3,AT572&gt;=AU572,AU572&gt;=0,AV572&gt;0),(AT572-AU572)/AV572,"")</f>
        <v>0.13636363636363635</v>
      </c>
      <c r="AX572" s="8" t="n">
        <v>42</v>
      </c>
      <c r="AY572" s="8" t="n">
        <v>2</v>
      </c>
      <c r="AZ572" s="8" t="n">
        <v>178</v>
      </c>
      <c r="BA572" s="11" t="n">
        <f>IF(AND(COUNT(AX572:AZ572)=3,AX572&gt;=AY572,AY572&gt;=0,AZ572&gt;0),(AX572-AY572)/AZ572,"")</f>
        <v>0.2247191011235955</v>
      </c>
      <c r="BB572" s="8" t="n">
        <f>IF(COUNT(AS572,AW572,BA572)=3,1,0)</f>
        <v>1</v>
      </c>
      <c r="BC572" s="11" t="n">
        <f>IF(SUMIF($AO$11:$AO$1309,AO572,$BB$11:$BB$1309)=COUNTIF($AO$11:$AO$1309,AO572),SUMIF($AO$11:$AO$1309,AO572,$AS$11:$AS$1309),"")</f>
        <v>5.375258174635837</v>
      </c>
      <c r="BD572" s="11" t="n">
        <f>IF(SUMIF($AO$11:$AO$1309,AO572,$BB$11:$BB$1309)=COUNTIF($AO$11:$AO$1309,AO572),SUMIF($AO$11:$AO$1309,AO572,$AW$11:$AW$1309),"")</f>
        <v>9.488636363636365</v>
      </c>
      <c r="BE572" s="11" t="n">
        <f>IF(SUMIF($AO$11:$AO$1309,AO572,$BB$11:$BB$1309)=COUNTIF($AO$11:$AO$1309,AO572),SUMIF($AO$11:$AO$1309,AO572,$BA$11:$BA$1309),"")</f>
        <v>9.005617977528088</v>
      </c>
      <c r="BF572" s="12" t="n">
        <f>IF(COUNT(BD572:BE572)&lt;&gt;2,"",IF(AND(BD572&gt;0,BE572&gt;0),0.7*AW572/BD572+0.3*BA572/BE572,IF(BD572&gt;0,AW572/BD572,IF(BE572&gt;0,BA572/BE572,IF(AND(ISNUMBER(BH572),BH572=0),0,"")))))</f>
        <v>0.017545844057362505</v>
      </c>
      <c r="BG572" s="11" t="n">
        <f>IF(AND(COUNT(BN572:BU572)=8,MIN(BN572:BU572)&gt;=0),SUMPRODUCT(BN572:BQ572,BR572:BU572),"")</f>
        <v>109.4582336985339</v>
      </c>
      <c r="BH572" s="11" t="n">
        <f>IF(COUNT(BC572,BG572)=2,BC572*BG572,"")</f>
        <v>588.3662654692442</v>
      </c>
      <c r="BI572" s="11" t="n">
        <f>IF(ISNUMBER(CI572),CI572,"")</f>
        <v>10.32338274253611</v>
      </c>
      <c r="BJ572" s="8" t="str"/>
      <c r="BK572" s="8" t="str">
        <v>90天：2026-07-20 至 2026-10-17；180天：2026-04-21 至 2026-10-17</v>
      </c>
      <c r="BL572" s="8" t="str">
        <v>90天：2026-10-06、2026-10-07；180天：2026-10-06、2026-10-07</v>
      </c>
      <c r="BM572" s="8" t="str">
        <v>2026-10：12天 × 1.7391279184229513；2026-11：30天 × 1.4002077845513243；2026-12：31天 × 1.079339935625147；2027-01：17天 × 0.7719368903846591</v>
      </c>
      <c r="BN572" s="11" t="n">
        <v>1.7391279184229513</v>
      </c>
      <c r="BO572" s="11" t="n">
        <v>1.4002077845513243</v>
      </c>
      <c r="BP572" s="11" t="n">
        <v>1.079339935625147</v>
      </c>
      <c r="BQ572" s="11" t="n">
        <v>0.7719368903846591</v>
      </c>
      <c r="BR572" s="8" t="n">
        <v>12</v>
      </c>
      <c r="BS572" s="8" t="n">
        <v>30</v>
      </c>
      <c r="BT572" s="8" t="n">
        <v>31</v>
      </c>
      <c r="BU572" s="8" t="n">
        <v>17</v>
      </c>
      <c r="BV572" s="11" t="n">
        <f>IF(COUNT(BC572,BF572)=2,BC572*BF572,"")</f>
        <v>0.09431344170022343</v>
      </c>
      <c r="BW572" s="11" t="n">
        <f>IF(ISNUMBER(BN572),BN572,"")</f>
        <v>1.7391279184229513</v>
      </c>
      <c r="BX572" s="14" t="n">
        <f>IF(ISNUMBER(BR572),BR572,"")</f>
        <v>12</v>
      </c>
      <c r="BY572" s="13" t="n">
        <f>IF(AND(COUNT(BV572,BW572,BX572)=3,MIN(BV572,BW572,BX572)&gt;=0),BV572*BW572*BX572,"")</f>
        <v>1.9682776745209676</v>
      </c>
      <c r="BZ572" s="11" t="n">
        <f>IF(ISNUMBER(BO572),BO572,"")</f>
        <v>1.4002077845513243</v>
      </c>
      <c r="CA572" s="14" t="n">
        <f>IF(ISNUMBER(BS572),BS572,"")</f>
        <v>30</v>
      </c>
      <c r="CB572" s="13" t="n">
        <f>IF(AND(COUNT(BV572,BZ572,CA572)=3,MIN(BV572,BZ572,CA572)&gt;=0),BV572*BZ572*CA572,"")</f>
        <v>3.9617524576944105</v>
      </c>
      <c r="CC572" s="11" t="n">
        <f>IF(ISNUMBER(BP572),BP572,"")</f>
        <v>1.079339935625147</v>
      </c>
      <c r="CD572" s="14" t="n">
        <f>IF(ISNUMBER(BT572),BT572,"")</f>
        <v>31</v>
      </c>
      <c r="CE572" s="13" t="n">
        <f>IF(AND(COUNT(BV572,CC572,CD572)=3,MIN(BV572,CC572,CD572)&gt;=0),BV572*CC572*CD572,"")</f>
        <v>3.1556841868924614</v>
      </c>
      <c r="CF572" s="11" t="n">
        <f>IF(ISNUMBER(BQ572),BQ572,"")</f>
        <v>0.7719368903846591</v>
      </c>
      <c r="CG572" s="14" t="n">
        <f>IF(ISNUMBER(BU572),BU572,"")</f>
        <v>17</v>
      </c>
      <c r="CH572" s="13" t="n">
        <f>IF(AND(COUNT(BV572,CF572,CG572)=3,MIN(BV572,CF572,CG572)&gt;=0),BV572*CF572*CG572,"")</f>
        <v>1.2376684234282702</v>
      </c>
      <c r="CI572" s="13" t="n">
        <f>IF(COUNT(BY572,CB572,CE572,CH572)=4,SUM(BY572,CB572,CE572,CH572),"")</f>
        <v>10.32338274253611</v>
      </c>
    </row>
    <row r="573" ht="72" customHeight="1">
      <c r="A573" s="16" t="str">
        <v>2302153-BK-P-Z-10.5</v>
      </c>
      <c r="B573" s="16" t="str">
        <v>3店-SANDIEX-US</v>
      </c>
      <c r="C573" s="16" t="str">
        <v>徐新怡</v>
      </c>
      <c r="D573" s="26" t="n">
        <f>IF(NOT(ISNUMBER(E573)),"",IF(OR(E573&lt;=0,L573=0),0,IF(OR(NOT(ISNUMBER(F573)),F573&lt;0),"",MIN(E573,INT(F573)))))</f>
        <v>0</v>
      </c>
      <c r="E573" s="27" t="n">
        <f>IF(OR(NOT(ISNUMBER(L573)),COUNT(M573:O573)&lt;&gt;3,MIN(M573:O573)&lt;0),"",ROUNDUP(ROUND(BI573-SUM(M573:O573),10),0))</f>
        <v>-3</v>
      </c>
      <c r="F573" s="28" t="n">
        <v>4</v>
      </c>
      <c r="G573" s="28" t="n">
        <f>IF(AND(ISNUMBER(D573),ISNUMBER(E573)),IF(OR(E573&lt;=0,L573=0),0,E573-D573),"")</f>
        <v>0</v>
      </c>
      <c r="H573" s="16" t="str">
        <f>IF(NOT(ISNUMBER(E573)),"销量或海外库存待补",IF(OR(E573&lt;=0,L573=0),IF(L573=0,"零日销，本批不发","本批无需补货"),IF(NOT(ISNUMBER(D573)),"国内库存待补",IF(D573=0,"国内无可用库存",IF(G573&gt;0,"先发国内现货","按建议量发货")))))</f>
        <v>本批无需补货</v>
      </c>
      <c r="I573" s="28" t="n">
        <f>IF(AND(COUNT(Z573,AA573,AB573)=3,Z573&gt;=AA573,AA573&gt;=0,AB573=7),Z573-AA573,"")</f>
        <v>2</v>
      </c>
      <c r="J573" s="28" t="n">
        <f>IF(AND(COUNT(AF573,AG573,AH573)=3,AF573&gt;=AG573,AG573&gt;=0,AH573=14),AF573-AG573,"")</f>
        <v>3</v>
      </c>
      <c r="K573" s="28" t="n">
        <f>IF(AND(COUNT(AL573,AM573,AN573)=3,AL573&gt;=AM573,AM573&gt;=0,AN573=30),AL573-AM573,"")</f>
        <v>7</v>
      </c>
      <c r="L573" s="29" t="n">
        <f>IF(ISNUMBER(BI573),BI573/90,"")</f>
        <v>0.20425193042523102</v>
      </c>
      <c r="M573" s="28" t="n">
        <v>0</v>
      </c>
      <c r="N573" s="28" t="n">
        <v>0</v>
      </c>
      <c r="O573" s="28" t="n">
        <v>21</v>
      </c>
      <c r="P573" s="30" t="n">
        <f>IF(AND(ISNUMBER(L573),L573&gt;0,COUNT(M573:O573)=3,MIN(M573:O573)&gt;=0),SUM(M573:O573)/L573,"")</f>
        <v>102.81420575208377</v>
      </c>
      <c r="Q573" s="16" t="str">
        <v>沿用原计划SKU店铺</v>
      </c>
      <c r="R573" s="16" t="str">
        <v>已匹配</v>
      </c>
      <c r="S573" s="16" t="str">
        <v>在售</v>
      </c>
      <c r="T573" s="16" t="str">
        <v>2302153</v>
      </c>
      <c r="U573" s="16" t="str">
        <v>黑色</v>
      </c>
      <c r="V573" s="16" t="n">
        <v>10.5</v>
      </c>
      <c r="W573" s="8" t="str">
        <v>2026-10-11 至 2026-10-17</v>
      </c>
      <c r="X573" s="8" t="str">
        <v>2026-10-11、2026-10-12、2026-10-13、2026-10-14、2026-10-15、2026-10-16、2026-10-17</v>
      </c>
      <c r="Y573" s="8" t="str">
        <v>无</v>
      </c>
      <c r="Z573" s="8" t="n">
        <v>2</v>
      </c>
      <c r="AA573" s="8" t="n">
        <v>0</v>
      </c>
      <c r="AB573" s="8" t="n">
        <v>7</v>
      </c>
      <c r="AC573" s="8" t="str">
        <v>2026-10-02 至 2026-10-17</v>
      </c>
      <c r="AD573" s="8" t="str">
        <v>2026-10-02、2026-10-03、2026-10-04、2026-10-05、2026-10-08、2026-10-09、2026-10-10、2026-10-11、2026-10-12、2026-10-13、2026-10-14、2026-10-15、2026-10-16、2026-10-17</v>
      </c>
      <c r="AE573" s="8" t="str">
        <v>2026-10-06 大促；2026-10-07 大促</v>
      </c>
      <c r="AF573" s="8" t="n">
        <v>4</v>
      </c>
      <c r="AG573" s="8" t="n">
        <v>1</v>
      </c>
      <c r="AH573" s="8" t="n">
        <v>14</v>
      </c>
      <c r="AI573" s="8" t="str">
        <v>2026-09-16 至 2026-10-17</v>
      </c>
      <c r="AJ5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3" s="8" t="str">
        <v>2026-10-06 大促；2026-10-07 大促</v>
      </c>
      <c r="AL573" s="8" t="n">
        <v>8</v>
      </c>
      <c r="AM573" s="8" t="n">
        <v>1</v>
      </c>
      <c r="AN573" s="8" t="n">
        <v>30</v>
      </c>
      <c r="AO573" s="8" t="str">
        <v>2302153 / 黑色PU / 6574</v>
      </c>
      <c r="AP573" s="11" t="n">
        <v>1.7391279184229513</v>
      </c>
      <c r="AQ573" s="11" t="n">
        <v>1.7391279184229513</v>
      </c>
      <c r="AR573" s="11" t="n">
        <v>1.5731892896917212</v>
      </c>
      <c r="AS573" s="11" t="n">
        <f>IF(AND(COUNT(I573:K573,AP573:AR573)=6,MIN(AP573:AR573)&gt;0),I573/7/AP573*0.5+J573/14/AQ573*0.3+K573/30/AR573*0.2,"")</f>
        <v>0.14877104795201196</v>
      </c>
      <c r="AT573" s="8" t="n">
        <v>28</v>
      </c>
      <c r="AU573" s="8" t="n">
        <v>1</v>
      </c>
      <c r="AV573" s="8" t="n">
        <v>88</v>
      </c>
      <c r="AW573" s="11" t="n">
        <f>IF(AND(COUNT(AT573:AV573)=3,AT573&gt;=AU573,AU573&gt;=0,AV573&gt;0),(AT573-AU573)/AV573,"")</f>
        <v>0.3068181818181818</v>
      </c>
      <c r="AX573" s="8" t="n">
        <v>47</v>
      </c>
      <c r="AY573" s="8" t="n">
        <v>1</v>
      </c>
      <c r="AZ573" s="8" t="n">
        <v>178</v>
      </c>
      <c r="BA573" s="11" t="n">
        <f>IF(AND(COUNT(AX573:AZ573)=3,AX573&gt;=AY573,AY573&gt;=0,AZ573&gt;0),(AX573-AY573)/AZ573,"")</f>
        <v>0.25842696629213485</v>
      </c>
      <c r="BB573" s="8" t="n">
        <f>IF(COUNT(AS573,AW573,BA573)=3,1,0)</f>
        <v>1</v>
      </c>
      <c r="BC573" s="11" t="n">
        <f>IF(SUMIF($AO$11:$AO$1309,AO573,$BB$11:$BB$1309)=COUNTIF($AO$11:$AO$1309,AO573),SUMIF($AO$11:$AO$1309,AO573,$AS$11:$AS$1309),"")</f>
        <v>5.375258174635837</v>
      </c>
      <c r="BD573" s="11" t="n">
        <f>IF(SUMIF($AO$11:$AO$1309,AO573,$BB$11:$BB$1309)=COUNTIF($AO$11:$AO$1309,AO573),SUMIF($AO$11:$AO$1309,AO573,$AW$11:$AW$1309),"")</f>
        <v>9.488636363636365</v>
      </c>
      <c r="BE573" s="11" t="n">
        <f>IF(SUMIF($AO$11:$AO$1309,AO573,$BB$11:$BB$1309)=COUNTIF($AO$11:$AO$1309,AO573),SUMIF($AO$11:$AO$1309,AO573,$BA$11:$BA$1309),"")</f>
        <v>9.005617977528088</v>
      </c>
      <c r="BF573" s="12" t="n">
        <f>IF(COUNT(BD573:BE573)&lt;&gt;2,"",IF(AND(BD573&gt;0,BE573&gt;0),0.7*AW573/BD573+0.3*BA573/BE573,IF(BD573&gt;0,AW573/BD573,IF(BE573&gt;0,BA573/BE573,IF(AND(ISNUMBER(BH573),BH573=0),0,"")))))</f>
        <v>0.03124358892943993</v>
      </c>
      <c r="BG573" s="11" t="n">
        <f>IF(AND(COUNT(BN573:BU573)=8,MIN(BN573:BU573)&gt;=0),SUMPRODUCT(BN573:BQ573,BR573:BU573),"")</f>
        <v>109.4582336985339</v>
      </c>
      <c r="BH573" s="11" t="n">
        <f>IF(COUNT(BC573,BG573)=2,BC573*BG573,"")</f>
        <v>588.3662654692442</v>
      </c>
      <c r="BI573" s="11" t="n">
        <f>IF(ISNUMBER(CI573),CI573,"")</f>
        <v>18.382673738270793</v>
      </c>
      <c r="BJ573" s="8" t="str"/>
      <c r="BK573" s="8" t="str">
        <v>90天：2026-07-20 至 2026-10-17；180天：2026-04-21 至 2026-10-17</v>
      </c>
      <c r="BL573" s="8" t="str">
        <v>90天：2026-10-06、2026-10-07；180天：2026-10-06、2026-10-07</v>
      </c>
      <c r="BM573" s="8" t="str">
        <v>2026-10：12天 × 1.7391279184229513；2026-11：30天 × 1.4002077845513243；2026-12：31天 × 1.079339935625147；2027-01：17天 × 0.7719368903846591</v>
      </c>
      <c r="BN573" s="11" t="n">
        <v>1.7391279184229513</v>
      </c>
      <c r="BO573" s="11" t="n">
        <v>1.4002077845513243</v>
      </c>
      <c r="BP573" s="11" t="n">
        <v>1.079339935625147</v>
      </c>
      <c r="BQ573" s="11" t="n">
        <v>0.7719368903846591</v>
      </c>
      <c r="BR573" s="8" t="n">
        <v>12</v>
      </c>
      <c r="BS573" s="8" t="n">
        <v>30</v>
      </c>
      <c r="BT573" s="8" t="n">
        <v>31</v>
      </c>
      <c r="BU573" s="8" t="n">
        <v>17</v>
      </c>
      <c r="BV573" s="11" t="n">
        <f>IF(COUNT(BC573,BF573)=2,BC573*BF573,"")</f>
        <v>0.16794235679793373</v>
      </c>
      <c r="BW573" s="11" t="n">
        <f>IF(ISNUMBER(BN573),BN573,"")</f>
        <v>1.7391279184229513</v>
      </c>
      <c r="BX573" s="14" t="n">
        <f>IF(ISNUMBER(BR573),BR573,"")</f>
        <v>12</v>
      </c>
      <c r="BY573" s="13" t="n">
        <f>IF(AND(COUNT(BV573,BW573,BX573)=3,MIN(BV573,BW573,BX573)&gt;=0),BV573*BW573*BX573,"")</f>
        <v>3.504878896716421</v>
      </c>
      <c r="BZ573" s="11" t="n">
        <f>IF(ISNUMBER(BO573),BO573,"")</f>
        <v>1.4002077845513243</v>
      </c>
      <c r="CA573" s="14" t="n">
        <f>IF(ISNUMBER(BS573),BS573,"")</f>
        <v>30</v>
      </c>
      <c r="CB573" s="13" t="n">
        <f>IF(AND(COUNT(BV573,BZ573,CA573)=3,MIN(BV573,BZ573,CA573)&gt;=0),BV573*BZ573*CA573,"")</f>
        <v>7.0546258603308845</v>
      </c>
      <c r="CC573" s="11" t="n">
        <f>IF(ISNUMBER(BP573),BP573,"")</f>
        <v>1.079339935625147</v>
      </c>
      <c r="CD573" s="14" t="n">
        <f>IF(ISNUMBER(BT573),BT573,"")</f>
        <v>31</v>
      </c>
      <c r="CE573" s="13" t="n">
        <f>IF(AND(COUNT(BV573,CC573,CD573)=3,MIN(BV573,CC573,CD573)&gt;=0),BV573*CC573*CD573,"")</f>
        <v>5.619273669825535</v>
      </c>
      <c r="CF573" s="11" t="n">
        <f>IF(ISNUMBER(BQ573),BQ573,"")</f>
        <v>0.7719368903846591</v>
      </c>
      <c r="CG573" s="14" t="n">
        <f>IF(ISNUMBER(BU573),BU573,"")</f>
        <v>17</v>
      </c>
      <c r="CH573" s="13" t="n">
        <f>IF(AND(COUNT(BV573,CF573,CG573)=3,MIN(BV573,CF573,CG573)&gt;=0),BV573*CF573*CG573,"")</f>
        <v>2.203895311397954</v>
      </c>
      <c r="CI573" s="13" t="n">
        <f>IF(COUNT(BY573,CB573,CE573,CH573)=4,SUM(BY573,CB573,CE573,CH573),"")</f>
        <v>18.382673738270793</v>
      </c>
    </row>
    <row r="574" ht="72" customHeight="1">
      <c r="A574" s="16" t="str">
        <v>2302153-BK-P-Z-11</v>
      </c>
      <c r="B574" s="16" t="str">
        <v>3店-SANDIEX-US</v>
      </c>
      <c r="C574" s="16" t="str">
        <v>徐新怡</v>
      </c>
      <c r="D574" s="26" t="n">
        <f>IF(NOT(ISNUMBER(E574)),"",IF(OR(E574&lt;=0,L574=0),0,IF(OR(NOT(ISNUMBER(F574)),F574&lt;0),"",MIN(E574,INT(F574)))))</f>
        <v>0</v>
      </c>
      <c r="E574" s="27" t="n">
        <f>IF(OR(NOT(ISNUMBER(L574)),COUNT(M574:O574)&lt;&gt;3,MIN(M574:O574)&lt;0),"",ROUNDUP(ROUND(BI574-SUM(M574:O574),10),0))</f>
        <v>-47</v>
      </c>
      <c r="F574" s="28" t="n">
        <v>0</v>
      </c>
      <c r="G574" s="28" t="n">
        <f>IF(AND(ISNUMBER(D574),ISNUMBER(E574)),IF(OR(E574&lt;=0,L574=0),0,E574-D574),"")</f>
        <v>0</v>
      </c>
      <c r="H574" s="16" t="str">
        <f>IF(NOT(ISNUMBER(E574)),"销量或海外库存待补",IF(OR(E574&lt;=0,L574=0),IF(L574=0,"零日销，本批不发","本批无需补货"),IF(NOT(ISNUMBER(D574)),"国内库存待补",IF(D574=0,"国内无可用库存",IF(G574&gt;0,"先发国内现货","按建议量发货")))))</f>
        <v>本批无需补货</v>
      </c>
      <c r="I574" s="28" t="n">
        <f>IF(AND(COUNT(Z574,AA574,AB574)=3,Z574&gt;=AA574,AA574&gt;=0,AB574=7),Z574-AA574,"")</f>
        <v>1</v>
      </c>
      <c r="J574" s="28" t="n">
        <f>IF(AND(COUNT(AF574,AG574,AH574)=3,AF574&gt;=AG574,AG574&gt;=0,AH574=14),AF574-AG574,"")</f>
        <v>1</v>
      </c>
      <c r="K574" s="28" t="n">
        <f>IF(AND(COUNT(AL574,AM574,AN574)=3,AL574&gt;=AM574,AM574&gt;=0,AN574=30),AL574-AM574,"")</f>
        <v>5</v>
      </c>
      <c r="L574" s="29" t="n">
        <f>IF(ISNUMBER(BI574),BI574/90,"")</f>
        <v>0.17876030565345102</v>
      </c>
      <c r="M574" s="28" t="n">
        <v>2</v>
      </c>
      <c r="N574" s="28" t="n">
        <v>0</v>
      </c>
      <c r="O574" s="28" t="n">
        <v>61</v>
      </c>
      <c r="P574" s="30" t="n">
        <f>IF(AND(ISNUMBER(L574),L574&gt;0,COUNT(M574:O574)=3,MIN(M574:O574)&gt;=0),SUM(M574:O574)/L574,"")</f>
        <v>352.4272336059511</v>
      </c>
      <c r="Q574" s="16" t="str">
        <v>沿用原计划SKU店铺</v>
      </c>
      <c r="R574" s="16" t="str">
        <v>已匹配</v>
      </c>
      <c r="S574" s="16" t="str">
        <v>在售</v>
      </c>
      <c r="T574" s="16" t="str">
        <v>2302153</v>
      </c>
      <c r="U574" s="16" t="str">
        <v>黑色</v>
      </c>
      <c r="V574" s="16" t="n">
        <v>11</v>
      </c>
      <c r="W574" s="8" t="str">
        <v>2026-10-11 至 2026-10-17</v>
      </c>
      <c r="X574" s="8" t="str">
        <v>2026-10-11、2026-10-12、2026-10-13、2026-10-14、2026-10-15、2026-10-16、2026-10-17</v>
      </c>
      <c r="Y574" s="8" t="str">
        <v>无</v>
      </c>
      <c r="Z574" s="8" t="n">
        <v>1</v>
      </c>
      <c r="AA574" s="8" t="n">
        <v>0</v>
      </c>
      <c r="AB574" s="8" t="n">
        <v>7</v>
      </c>
      <c r="AC574" s="8" t="str">
        <v>2026-10-02 至 2026-10-17</v>
      </c>
      <c r="AD574" s="8" t="str">
        <v>2026-10-02、2026-10-03、2026-10-04、2026-10-05、2026-10-08、2026-10-09、2026-10-10、2026-10-11、2026-10-12、2026-10-13、2026-10-14、2026-10-15、2026-10-16、2026-10-17</v>
      </c>
      <c r="AE574" s="8" t="str">
        <v>2026-10-06 大促；2026-10-07 大促</v>
      </c>
      <c r="AF574" s="8" t="n">
        <v>1</v>
      </c>
      <c r="AG574" s="8" t="n">
        <v>0</v>
      </c>
      <c r="AH574" s="8" t="n">
        <v>14</v>
      </c>
      <c r="AI574" s="8" t="str">
        <v>2026-09-16 至 2026-10-17</v>
      </c>
      <c r="AJ5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4" s="8" t="str">
        <v>2026-10-06 大促；2026-10-07 大促</v>
      </c>
      <c r="AL574" s="8" t="n">
        <v>5</v>
      </c>
      <c r="AM574" s="8" t="n">
        <v>0</v>
      </c>
      <c r="AN574" s="8" t="n">
        <v>30</v>
      </c>
      <c r="AO574" s="8" t="str">
        <v>2302153 / 黑色PU / 6574</v>
      </c>
      <c r="AP574" s="11" t="n">
        <v>1.7391279184229513</v>
      </c>
      <c r="AQ574" s="11" t="n">
        <v>1.7391279184229513</v>
      </c>
      <c r="AR574" s="11" t="n">
        <v>1.5731892896917212</v>
      </c>
      <c r="AS574" s="11" t="n">
        <f>IF(AND(COUNT(I574:K574,AP574:AR574)=6,MIN(AP574:AR574)&gt;0),I574/7/AP574*0.5+J574/14/AQ574*0.3+K574/30/AR574*0.2,"")</f>
        <v>0.07458131493866034</v>
      </c>
      <c r="AT574" s="8" t="n">
        <v>19</v>
      </c>
      <c r="AU574" s="8" t="n">
        <v>0</v>
      </c>
      <c r="AV574" s="8" t="n">
        <v>88</v>
      </c>
      <c r="AW574" s="11" t="n">
        <f>IF(AND(COUNT(AT574:AV574)=3,AT574&gt;=AU574,AU574&gt;=0,AV574&gt;0),(AT574-AU574)/AV574,"")</f>
        <v>0.2159090909090909</v>
      </c>
      <c r="AX574" s="8" t="n">
        <v>61</v>
      </c>
      <c r="AY574" s="8" t="n">
        <v>0</v>
      </c>
      <c r="AZ574" s="8" t="n">
        <v>178</v>
      </c>
      <c r="BA574" s="11" t="n">
        <f>IF(AND(COUNT(AX574:AZ574)=3,AX574&gt;=AY574,AY574&gt;=0,AZ574&gt;0),(AX574-AY574)/AZ574,"")</f>
        <v>0.34269662921348315</v>
      </c>
      <c r="BB574" s="8" t="n">
        <f>IF(COUNT(AS574,AW574,BA574)=3,1,0)</f>
        <v>1</v>
      </c>
      <c r="BC574" s="11" t="n">
        <f>IF(SUMIF($AO$11:$AO$1309,AO574,$BB$11:$BB$1309)=COUNTIF($AO$11:$AO$1309,AO574),SUMIF($AO$11:$AO$1309,AO574,$AS$11:$AS$1309),"")</f>
        <v>5.375258174635837</v>
      </c>
      <c r="BD574" s="11" t="n">
        <f>IF(SUMIF($AO$11:$AO$1309,AO574,$BB$11:$BB$1309)=COUNTIF($AO$11:$AO$1309,AO574),SUMIF($AO$11:$AO$1309,AO574,$AW$11:$AW$1309),"")</f>
        <v>9.488636363636365</v>
      </c>
      <c r="BE574" s="11" t="n">
        <f>IF(SUMIF($AO$11:$AO$1309,AO574,$BB$11:$BB$1309)=COUNTIF($AO$11:$AO$1309,AO574),SUMIF($AO$11:$AO$1309,AO574,$BA$11:$BA$1309),"")</f>
        <v>9.005617977528088</v>
      </c>
      <c r="BF574" s="12" t="n">
        <f>IF(COUNT(BD574:BE574)&lt;&gt;2,"",IF(AND(BD574&gt;0,BE574&gt;0),0.7*AW574/BD574+0.3*BA574/BE574,IF(BD574&gt;0,AW574/BD574,IF(BE574&gt;0,BA574/BE574,IF(AND(ISNUMBER(BH574),BH574=0),0,"")))))</f>
        <v>0.027344238534783207</v>
      </c>
      <c r="BG574" s="11" t="n">
        <f>IF(AND(COUNT(BN574:BU574)=8,MIN(BN574:BU574)&gt;=0),SUMPRODUCT(BN574:BQ574,BR574:BU574),"")</f>
        <v>109.4582336985339</v>
      </c>
      <c r="BH574" s="11" t="n">
        <f>IF(COUNT(BC574,BG574)=2,BC574*BG574,"")</f>
        <v>588.3662654692442</v>
      </c>
      <c r="BI574" s="11" t="n">
        <f>IF(ISNUMBER(CI574),CI574,"")</f>
        <v>16.088427508810593</v>
      </c>
      <c r="BJ574" s="8" t="str"/>
      <c r="BK574" s="8" t="str">
        <v>90天：2026-07-20 至 2026-10-17；180天：2026-04-21 至 2026-10-17</v>
      </c>
      <c r="BL574" s="8" t="str">
        <v>90天：2026-10-06、2026-10-07；180天：2026-10-06、2026-10-07</v>
      </c>
      <c r="BM574" s="8" t="str">
        <v>2026-10：12天 × 1.7391279184229513；2026-11：30天 × 1.4002077845513243；2026-12：31天 × 1.079339935625147；2027-01：17天 × 0.7719368903846591</v>
      </c>
      <c r="BN574" s="11" t="n">
        <v>1.7391279184229513</v>
      </c>
      <c r="BO574" s="11" t="n">
        <v>1.4002077845513243</v>
      </c>
      <c r="BP574" s="11" t="n">
        <v>1.079339935625147</v>
      </c>
      <c r="BQ574" s="11" t="n">
        <v>0.7719368903846591</v>
      </c>
      <c r="BR574" s="8" t="n">
        <v>12</v>
      </c>
      <c r="BS574" s="8" t="n">
        <v>30</v>
      </c>
      <c r="BT574" s="8" t="n">
        <v>31</v>
      </c>
      <c r="BU574" s="8" t="n">
        <v>17</v>
      </c>
      <c r="BV574" s="11" t="n">
        <f>IF(COUNT(BC574,BF574)=2,BC574*BF574,"")</f>
        <v>0.1469823417132857</v>
      </c>
      <c r="BW574" s="11" t="n">
        <f>IF(ISNUMBER(BN574),BN574,"")</f>
        <v>1.7391279184229513</v>
      </c>
      <c r="BX574" s="14" t="n">
        <f>IF(ISNUMBER(BR574),BR574,"")</f>
        <v>12</v>
      </c>
      <c r="BY574" s="13" t="n">
        <f>IF(AND(COUNT(BV574,BW574,BX574)=3,MIN(BV574,BW574,BX574)&gt;=0),BV574*BW574*BX574,"")</f>
        <v>3.0674531278650896</v>
      </c>
      <c r="BZ574" s="11" t="n">
        <f>IF(ISNUMBER(BO574),BO574,"")</f>
        <v>1.4002077845513243</v>
      </c>
      <c r="CA574" s="14" t="n">
        <f>IF(ISNUMBER(BS574),BS574,"")</f>
        <v>30</v>
      </c>
      <c r="CB574" s="13" t="n">
        <f>IF(AND(COUNT(BV574,BZ574,CA574)=3,MIN(BV574,BZ574,CA574)&gt;=0),BV574*BZ574*CA574,"")</f>
        <v>6.1741745717557635</v>
      </c>
      <c r="CC574" s="11" t="n">
        <f>IF(ISNUMBER(BP574),BP574,"")</f>
        <v>1.079339935625147</v>
      </c>
      <c r="CD574" s="14" t="n">
        <f>IF(ISNUMBER(BT574),BT574,"")</f>
        <v>31</v>
      </c>
      <c r="CE574" s="13" t="n">
        <f>IF(AND(COUNT(BV574,CC574,CD574)=3,MIN(BV574,CC574,CD574)&gt;=0),BV574*CC574*CD574,"")</f>
        <v>4.917961248528385</v>
      </c>
      <c r="CF574" s="11" t="n">
        <f>IF(ISNUMBER(BQ574),BQ574,"")</f>
        <v>0.7719368903846591</v>
      </c>
      <c r="CG574" s="14" t="n">
        <f>IF(ISNUMBER(BU574),BU574,"")</f>
        <v>17</v>
      </c>
      <c r="CH574" s="13" t="n">
        <f>IF(AND(COUNT(BV574,CF574,CG574)=3,MIN(BV574,CF574,CG574)&gt;=0),BV574*CF574*CG574,"")</f>
        <v>1.9288385606613552</v>
      </c>
      <c r="CI574" s="13" t="n">
        <f>IF(COUNT(BY574,CB574,CE574,CH574)=4,SUM(BY574,CB574,CE574,CH574),"")</f>
        <v>16.088427508810593</v>
      </c>
    </row>
    <row r="575" ht="72" customHeight="1">
      <c r="A575" s="16" t="str">
        <v>2302153-BK-P-Z-6</v>
      </c>
      <c r="B575" s="16" t="str">
        <v>3店-SANDIEX-US</v>
      </c>
      <c r="C575" s="16" t="str">
        <v>徐新怡</v>
      </c>
      <c r="D575" s="26" t="n">
        <f>IF(NOT(ISNUMBER(E575)),"",IF(OR(E575&lt;=0,L575=0),0,IF(OR(NOT(ISNUMBER(F575)),F575&lt;0),"",MIN(E575,INT(F575)))))</f>
        <v>0</v>
      </c>
      <c r="E575" s="27" t="n">
        <f>IF(OR(NOT(ISNUMBER(L575)),COUNT(M575:O575)&lt;&gt;3,MIN(M575:O575)&lt;0),"",ROUNDUP(ROUND(BI575-SUM(M575:O575),10),0))</f>
        <v>-16</v>
      </c>
      <c r="F575" s="28" t="n">
        <v>68</v>
      </c>
      <c r="G575" s="28" t="n">
        <f>IF(AND(ISNUMBER(D575),ISNUMBER(E575)),IF(OR(E575&lt;=0,L575=0),0,E575-D575),"")</f>
        <v>0</v>
      </c>
      <c r="H575" s="16" t="str">
        <f>IF(NOT(ISNUMBER(E575)),"销量或海外库存待补",IF(OR(E575&lt;=0,L575=0),IF(L575=0,"零日销，本批不发","本批无需补货"),IF(NOT(ISNUMBER(D575)),"国内库存待补",IF(D575=0,"国内无可用库存",IF(G575&gt;0,"先发国内现货","按建议量发货")))))</f>
        <v>本批无需补货</v>
      </c>
      <c r="I575" s="28" t="n">
        <f>IF(AND(COUNT(Z575,AA575,AB575)=3,Z575&gt;=AA575,AA575&gt;=0,AB575=7),Z575-AA575,"")</f>
        <v>4</v>
      </c>
      <c r="J575" s="28" t="n">
        <f>IF(AND(COUNT(AF575,AG575,AH575)=3,AF575&gt;=AG575,AG575&gt;=0,AH575=14),AF575-AG575,"")</f>
        <v>6</v>
      </c>
      <c r="K575" s="28" t="n">
        <f>IF(AND(COUNT(AL575,AM575,AN575)=3,AL575&gt;=AM575,AM575&gt;=0,AN575=30),AL575-AM575,"")</f>
        <v>19</v>
      </c>
      <c r="L575" s="29" t="n">
        <f>IF(ISNUMBER(BI575),BI575/90,"")</f>
        <v>0.38482228649548544</v>
      </c>
      <c r="M575" s="28" t="n">
        <v>20</v>
      </c>
      <c r="N575" s="28" t="n">
        <v>0</v>
      </c>
      <c r="O575" s="28" t="n">
        <v>30</v>
      </c>
      <c r="P575" s="30" t="n">
        <f>IF(AND(ISNUMBER(L575),L575&gt;0,COUNT(M575:O575)=3,MIN(M575:O575)&gt;=0),SUM(M575:O575)/L575,"")</f>
        <v>129.93010476431067</v>
      </c>
      <c r="Q575" s="16" t="str">
        <v>沿用原计划SKU店铺</v>
      </c>
      <c r="R575" s="16" t="str">
        <v>已匹配</v>
      </c>
      <c r="S575" s="16" t="str">
        <v>在售</v>
      </c>
      <c r="T575" s="16" t="str">
        <v>2302153</v>
      </c>
      <c r="U575" s="16" t="str">
        <v>黑色</v>
      </c>
      <c r="V575" s="16" t="n">
        <v>6</v>
      </c>
      <c r="W575" s="8" t="str">
        <v>2026-10-11 至 2026-10-17</v>
      </c>
      <c r="X575" s="8" t="str">
        <v>2026-10-11、2026-10-12、2026-10-13、2026-10-14、2026-10-15、2026-10-16、2026-10-17</v>
      </c>
      <c r="Y575" s="8" t="str">
        <v>无</v>
      </c>
      <c r="Z575" s="8" t="n">
        <v>4</v>
      </c>
      <c r="AA575" s="8" t="n">
        <v>0</v>
      </c>
      <c r="AB575" s="8" t="n">
        <v>7</v>
      </c>
      <c r="AC575" s="8" t="str">
        <v>2026-10-02 至 2026-10-17</v>
      </c>
      <c r="AD575" s="8" t="str">
        <v>2026-10-02、2026-10-03、2026-10-04、2026-10-05、2026-10-08、2026-10-09、2026-10-10、2026-10-11、2026-10-12、2026-10-13、2026-10-14、2026-10-15、2026-10-16、2026-10-17</v>
      </c>
      <c r="AE575" s="8" t="str">
        <v>2026-10-06 大促；2026-10-07 大促</v>
      </c>
      <c r="AF575" s="8" t="n">
        <v>13</v>
      </c>
      <c r="AG575" s="8" t="n">
        <v>7</v>
      </c>
      <c r="AH575" s="8" t="n">
        <v>14</v>
      </c>
      <c r="AI575" s="8" t="str">
        <v>2026-09-16 至 2026-10-17</v>
      </c>
      <c r="AJ5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5" s="8" t="str">
        <v>2026-10-06 大促；2026-10-07 大促</v>
      </c>
      <c r="AL575" s="8" t="n">
        <v>26</v>
      </c>
      <c r="AM575" s="8" t="n">
        <v>7</v>
      </c>
      <c r="AN575" s="8" t="n">
        <v>30</v>
      </c>
      <c r="AO575" s="8" t="str">
        <v>2302153 / 黑色PU / 6574</v>
      </c>
      <c r="AP575" s="11" t="n">
        <v>1.7391279184229513</v>
      </c>
      <c r="AQ575" s="11" t="n">
        <v>1.7391279184229513</v>
      </c>
      <c r="AR575" s="11" t="n">
        <v>1.5731892896917212</v>
      </c>
      <c r="AS575" s="11" t="n">
        <f>IF(AND(COUNT(I575:K575,AP575:AR575)=6,MIN(AP575:AR575)&gt;0),I575/7/AP575*0.5+J575/14/AQ575*0.3+K575/30/AR575*0.2,"")</f>
        <v>0.3187304764452271</v>
      </c>
      <c r="AT575" s="8" t="n">
        <v>54</v>
      </c>
      <c r="AU575" s="8" t="n">
        <v>7</v>
      </c>
      <c r="AV575" s="8" t="n">
        <v>88</v>
      </c>
      <c r="AW575" s="11" t="n">
        <f>IF(AND(COUNT(AT575:AV575)=3,AT575&gt;=AU575,AU575&gt;=0,AV575&gt;0),(AT575-AU575)/AV575,"")</f>
        <v>0.5340909090909091</v>
      </c>
      <c r="AX575" s="8" t="n">
        <v>111</v>
      </c>
      <c r="AY575" s="8" t="n">
        <v>7</v>
      </c>
      <c r="AZ575" s="8" t="n">
        <v>178</v>
      </c>
      <c r="BA575" s="11" t="n">
        <f>IF(AND(COUNT(AX575:AZ575)=3,AX575&gt;=AY575,AY575&gt;=0,AZ575&gt;0),(AX575-AY575)/AZ575,"")</f>
        <v>0.5842696629213483</v>
      </c>
      <c r="BB575" s="8" t="n">
        <f>IF(COUNT(AS575,AW575,BA575)=3,1,0)</f>
        <v>1</v>
      </c>
      <c r="BC575" s="11" t="n">
        <f>IF(SUMIF($AO$11:$AO$1309,AO575,$BB$11:$BB$1309)=COUNTIF($AO$11:$AO$1309,AO575),SUMIF($AO$11:$AO$1309,AO575,$AS$11:$AS$1309),"")</f>
        <v>5.375258174635837</v>
      </c>
      <c r="BD575" s="11" t="n">
        <f>IF(SUMIF($AO$11:$AO$1309,AO575,$BB$11:$BB$1309)=COUNTIF($AO$11:$AO$1309,AO575),SUMIF($AO$11:$AO$1309,AO575,$AW$11:$AW$1309),"")</f>
        <v>9.488636363636365</v>
      </c>
      <c r="BE575" s="11" t="n">
        <f>IF(SUMIF($AO$11:$AO$1309,AO575,$BB$11:$BB$1309)=COUNTIF($AO$11:$AO$1309,AO575),SUMIF($AO$11:$AO$1309,AO575,$BA$11:$BA$1309),"")</f>
        <v>9.005617977528088</v>
      </c>
      <c r="BF575" s="12" t="n">
        <f>IF(COUNT(BD575:BE575)&lt;&gt;2,"",IF(AND(BD575&gt;0,BE575&gt;0),0.7*AW575/BD575+0.3*BA575/BE575,IF(BD575&gt;0,AW575/BD575,IF(BE575&gt;0,BA575/BE575,IF(AND(ISNUMBER(BH575),BH575=0),0,"")))))</f>
        <v>0.05886470353117844</v>
      </c>
      <c r="BG575" s="11" t="n">
        <f>IF(AND(COUNT(BN575:BU575)=8,MIN(BN575:BU575)&gt;=0),SUMPRODUCT(BN575:BQ575,BR575:BU575),"")</f>
        <v>109.4582336985339</v>
      </c>
      <c r="BH575" s="11" t="n">
        <f>IF(COUNT(BC575,BG575)=2,BC575*BG575,"")</f>
        <v>588.3662654692442</v>
      </c>
      <c r="BI575" s="11" t="n">
        <f>IF(ISNUMBER(CI575),CI575,"")</f>
        <v>34.63400578459369</v>
      </c>
      <c r="BJ575" s="8" t="str"/>
      <c r="BK575" s="8" t="str">
        <v>90天：2026-07-20 至 2026-10-17；180天：2026-04-21 至 2026-10-17</v>
      </c>
      <c r="BL575" s="8" t="str">
        <v>90天：2026-10-06、2026-10-07；180天：2026-10-06、2026-10-07</v>
      </c>
      <c r="BM575" s="8" t="str">
        <v>2026-10：12天 × 1.7391279184229513；2026-11：30天 × 1.4002077845513243；2026-12：31天 × 1.079339935625147；2027-01：17天 × 0.7719368903846591</v>
      </c>
      <c r="BN575" s="11" t="n">
        <v>1.7391279184229513</v>
      </c>
      <c r="BO575" s="11" t="n">
        <v>1.4002077845513243</v>
      </c>
      <c r="BP575" s="11" t="n">
        <v>1.079339935625147</v>
      </c>
      <c r="BQ575" s="11" t="n">
        <v>0.7719368903846591</v>
      </c>
      <c r="BR575" s="8" t="n">
        <v>12</v>
      </c>
      <c r="BS575" s="8" t="n">
        <v>30</v>
      </c>
      <c r="BT575" s="8" t="n">
        <v>31</v>
      </c>
      <c r="BU575" s="8" t="n">
        <v>17</v>
      </c>
      <c r="BV575" s="11" t="n">
        <f>IF(COUNT(BC575,BF575)=2,BC575*BF575,"")</f>
        <v>0.3164129788534819</v>
      </c>
      <c r="BW575" s="11" t="n">
        <f>IF(ISNUMBER(BN575),BN575,"")</f>
        <v>1.7391279184229513</v>
      </c>
      <c r="BX575" s="14" t="n">
        <f>IF(ISNUMBER(BR575),BR575,"")</f>
        <v>12</v>
      </c>
      <c r="BY575" s="13" t="n">
        <f>IF(AND(COUNT(BV575,BW575,BX575)=3,MIN(BV575,BW575,BX575)&gt;=0),BV575*BW575*BX575,"")</f>
        <v>6.6033917433055365</v>
      </c>
      <c r="BZ575" s="11" t="n">
        <f>IF(ISNUMBER(BO575),BO575,"")</f>
        <v>1.4002077845513243</v>
      </c>
      <c r="CA575" s="14" t="n">
        <f>IF(ISNUMBER(BS575),BS575,"")</f>
        <v>30</v>
      </c>
      <c r="CB575" s="13" t="n">
        <f>IF(AND(COUNT(BV575,BZ575,CA575)=3,MIN(BV575,BZ575,CA575)&gt;=0),BV575*BZ575*CA575,"")</f>
        <v>13.29131748371157</v>
      </c>
      <c r="CC575" s="11" t="n">
        <f>IF(ISNUMBER(BP575),BP575,"")</f>
        <v>1.079339935625147</v>
      </c>
      <c r="CD575" s="14" t="n">
        <f>IF(ISNUMBER(BT575),BT575,"")</f>
        <v>31</v>
      </c>
      <c r="CE575" s="13" t="n">
        <f>IF(AND(COUNT(BV575,CC575,CD575)=3,MIN(BV575,CC575,CD575)&gt;=0),BV575*CC575*CD575,"")</f>
        <v>10.587032091027023</v>
      </c>
      <c r="CF575" s="11" t="n">
        <f>IF(ISNUMBER(BQ575),BQ575,"")</f>
        <v>0.7719368903846591</v>
      </c>
      <c r="CG575" s="14" t="n">
        <f>IF(ISNUMBER(BU575),BU575,"")</f>
        <v>17</v>
      </c>
      <c r="CH575" s="13" t="n">
        <f>IF(AND(COUNT(BV575,CF575,CG575)=3,MIN(BV575,CF575,CG575)&gt;=0),BV575*CF575*CG575,"")</f>
        <v>4.152264466549563</v>
      </c>
      <c r="CI575" s="13" t="n">
        <f>IF(COUNT(BY575,CB575,CE575,CH575)=4,SUM(BY575,CB575,CE575,CH575),"")</f>
        <v>34.63400578459369</v>
      </c>
    </row>
    <row r="576" ht="72" customHeight="1">
      <c r="A576" s="16" t="str">
        <v>2302153-BK-P-Z-6.5</v>
      </c>
      <c r="B576" s="16" t="str">
        <v>3店-SANDIEX-US</v>
      </c>
      <c r="C576" s="16" t="str">
        <v>徐新怡</v>
      </c>
      <c r="D576" s="26" t="n">
        <f>IF(NOT(ISNUMBER(E576)),"",IF(OR(E576&lt;=0,L576=0),0,IF(OR(NOT(ISNUMBER(F576)),F576&lt;0),"",MIN(E576,INT(F576)))))</f>
        <v>0</v>
      </c>
      <c r="E576" s="27" t="n">
        <f>IF(OR(NOT(ISNUMBER(L576)),COUNT(M576:O576)&lt;&gt;3,MIN(M576:O576)&lt;0),"",ROUNDUP(ROUND(BI576-SUM(M576:O576),10),0))</f>
        <v>-43</v>
      </c>
      <c r="F576" s="28" t="n">
        <v>0</v>
      </c>
      <c r="G576" s="28" t="n">
        <f>IF(AND(ISNUMBER(D576),ISNUMBER(E576)),IF(OR(E576&lt;=0,L576=0),0,E576-D576),"")</f>
        <v>0</v>
      </c>
      <c r="H576" s="16" t="str">
        <f>IF(NOT(ISNUMBER(E576)),"销量或海外库存待补",IF(OR(E576&lt;=0,L576=0),IF(L576=0,"零日销，本批不发","本批无需补货"),IF(NOT(ISNUMBER(D576)),"国内库存待补",IF(D576=0,"国内无可用库存",IF(G576&gt;0,"先发国内现货","按建议量发货")))))</f>
        <v>本批无需补货</v>
      </c>
      <c r="I576" s="28" t="n">
        <f>IF(AND(COUNT(Z576,AA576,AB576)=3,Z576&gt;=AA576,AA576&gt;=0,AB576=7),Z576-AA576,"")</f>
        <v>1</v>
      </c>
      <c r="J576" s="28" t="n">
        <f>IF(AND(COUNT(AF576,AG576,AH576)=3,AF576&gt;=AG576,AG576&gt;=0,AH576=14),AF576-AG576,"")</f>
        <v>1</v>
      </c>
      <c r="K576" s="28" t="n">
        <f>IF(AND(COUNT(AL576,AM576,AN576)=3,AL576&gt;=AM576,AM576&gt;=0,AN576=30),AL576-AM576,"")</f>
        <v>7</v>
      </c>
      <c r="L576" s="29" t="n">
        <f>IF(ISNUMBER(BI576),BI576/90,"")</f>
        <v>0.23302860622329796</v>
      </c>
      <c r="M576" s="28" t="n">
        <v>2</v>
      </c>
      <c r="N576" s="28" t="n">
        <v>0</v>
      </c>
      <c r="O576" s="28" t="n">
        <v>61</v>
      </c>
      <c r="P576" s="30" t="n">
        <f>IF(AND(ISNUMBER(L576),L576&gt;0,COUNT(M576:O576)=3,MIN(M576:O576)&gt;=0),SUM(M576:O576)/L576,"")</f>
        <v>270.35307390385674</v>
      </c>
      <c r="Q576" s="16" t="str">
        <v>沿用原计划SKU店铺</v>
      </c>
      <c r="R576" s="16" t="str">
        <v>已匹配</v>
      </c>
      <c r="S576" s="16" t="str">
        <v>在售</v>
      </c>
      <c r="T576" s="16" t="str">
        <v>2302153</v>
      </c>
      <c r="U576" s="16" t="str">
        <v>黑色</v>
      </c>
      <c r="V576" s="16" t="n">
        <v>6.5</v>
      </c>
      <c r="W576" s="8" t="str">
        <v>2026-10-11 至 2026-10-17</v>
      </c>
      <c r="X576" s="8" t="str">
        <v>2026-10-11、2026-10-12、2026-10-13、2026-10-14、2026-10-15、2026-10-16、2026-10-17</v>
      </c>
      <c r="Y576" s="8" t="str">
        <v>无</v>
      </c>
      <c r="Z576" s="8" t="n">
        <v>1</v>
      </c>
      <c r="AA576" s="8" t="n">
        <v>0</v>
      </c>
      <c r="AB576" s="8" t="n">
        <v>7</v>
      </c>
      <c r="AC576" s="8" t="str">
        <v>2026-10-02 至 2026-10-17</v>
      </c>
      <c r="AD576" s="8" t="str">
        <v>2026-10-02、2026-10-03、2026-10-04、2026-10-05、2026-10-08、2026-10-09、2026-10-10、2026-10-11、2026-10-12、2026-10-13、2026-10-14、2026-10-15、2026-10-16、2026-10-17</v>
      </c>
      <c r="AE576" s="8" t="str">
        <v>2026-10-06 大促；2026-10-07 大促</v>
      </c>
      <c r="AF576" s="8" t="n">
        <v>2</v>
      </c>
      <c r="AG576" s="8" t="n">
        <v>1</v>
      </c>
      <c r="AH576" s="8" t="n">
        <v>14</v>
      </c>
      <c r="AI576" s="8" t="str">
        <v>2026-09-16 至 2026-10-17</v>
      </c>
      <c r="AJ5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6" s="8" t="str">
        <v>2026-10-06 大促；2026-10-07 大促</v>
      </c>
      <c r="AL576" s="8" t="n">
        <v>8</v>
      </c>
      <c r="AM576" s="8" t="n">
        <v>1</v>
      </c>
      <c r="AN576" s="8" t="n">
        <v>30</v>
      </c>
      <c r="AO576" s="8" t="str">
        <v>2302153 / 黑色PU / 6574</v>
      </c>
      <c r="AP576" s="11" t="n">
        <v>1.7391279184229513</v>
      </c>
      <c r="AQ576" s="11" t="n">
        <v>1.7391279184229513</v>
      </c>
      <c r="AR576" s="11" t="n">
        <v>1.5731892896917212</v>
      </c>
      <c r="AS576" s="11" t="n">
        <f>IF(AND(COUNT(I576:K576,AP576:AR576)=6,MIN(AP576:AR576)&gt;0),I576/7/AP576*0.5+J576/14/AQ576*0.3+K576/30/AR576*0.2,"")</f>
        <v>0.08305666715514162</v>
      </c>
      <c r="AT576" s="8" t="n">
        <v>27</v>
      </c>
      <c r="AU576" s="8" t="n">
        <v>1</v>
      </c>
      <c r="AV576" s="8" t="n">
        <v>88</v>
      </c>
      <c r="AW576" s="11" t="n">
        <f>IF(AND(COUNT(AT576:AV576)=3,AT576&gt;=AU576,AU576&gt;=0,AV576&gt;0),(AT576-AU576)/AV576,"")</f>
        <v>0.29545454545454547</v>
      </c>
      <c r="AX576" s="8" t="n">
        <v>75</v>
      </c>
      <c r="AY576" s="8" t="n">
        <v>1</v>
      </c>
      <c r="AZ576" s="8" t="n">
        <v>178</v>
      </c>
      <c r="BA576" s="11" t="n">
        <f>IF(AND(COUNT(AX576:AZ576)=3,AX576&gt;=AY576,AY576&gt;=0,AZ576&gt;0),(AX576-AY576)/AZ576,"")</f>
        <v>0.4157303370786517</v>
      </c>
      <c r="BB576" s="8" t="n">
        <f>IF(COUNT(AS576,AW576,BA576)=3,1,0)</f>
        <v>1</v>
      </c>
      <c r="BC576" s="11" t="n">
        <f>IF(SUMIF($AO$11:$AO$1309,AO576,$BB$11:$BB$1309)=COUNTIF($AO$11:$AO$1309,AO576),SUMIF($AO$11:$AO$1309,AO576,$AS$11:$AS$1309),"")</f>
        <v>5.375258174635837</v>
      </c>
      <c r="BD576" s="11" t="n">
        <f>IF(SUMIF($AO$11:$AO$1309,AO576,$BB$11:$BB$1309)=COUNTIF($AO$11:$AO$1309,AO576),SUMIF($AO$11:$AO$1309,AO576,$AW$11:$AW$1309),"")</f>
        <v>9.488636363636365</v>
      </c>
      <c r="BE576" s="11" t="n">
        <f>IF(SUMIF($AO$11:$AO$1309,AO576,$BB$11:$BB$1309)=COUNTIF($AO$11:$AO$1309,AO576),SUMIF($AO$11:$AO$1309,AO576,$BA$11:$BA$1309),"")</f>
        <v>9.005617977528088</v>
      </c>
      <c r="BF576" s="12" t="n">
        <f>IF(COUNT(BD576:BE576)&lt;&gt;2,"",IF(AND(BD576&gt;0,BE576&gt;0),0.7*AW576/BD576+0.3*BA576/BE576,IF(BD576&gt;0,AW576/BD576,IF(BE576&gt;0,BA576/BE576,IF(AND(ISNUMBER(BH576),BH576=0),0,"")))))</f>
        <v>0.035645440248635606</v>
      </c>
      <c r="BG576" s="11" t="n">
        <f>IF(AND(COUNT(BN576:BU576)=8,MIN(BN576:BU576)&gt;=0),SUMPRODUCT(BN576:BQ576,BR576:BU576),"")</f>
        <v>109.4582336985339</v>
      </c>
      <c r="BH576" s="11" t="n">
        <f>IF(COUNT(BC576,BG576)=2,BC576*BG576,"")</f>
        <v>588.3662654692442</v>
      </c>
      <c r="BI576" s="11" t="n">
        <f>IF(ISNUMBER(CI576),CI576,"")</f>
        <v>20.972574560096817</v>
      </c>
      <c r="BJ576" s="8" t="str"/>
      <c r="BK576" s="8" t="str">
        <v>90天：2026-07-20 至 2026-10-17；180天：2026-04-21 至 2026-10-17</v>
      </c>
      <c r="BL576" s="8" t="str">
        <v>90天：2026-10-06、2026-10-07；180天：2026-10-06、2026-10-07</v>
      </c>
      <c r="BM576" s="8" t="str">
        <v>2026-10：12天 × 1.7391279184229513；2026-11：30天 × 1.4002077845513243；2026-12：31天 × 1.079339935625147；2027-01：17天 × 0.7719368903846591</v>
      </c>
      <c r="BN576" s="11" t="n">
        <v>1.7391279184229513</v>
      </c>
      <c r="BO576" s="11" t="n">
        <v>1.4002077845513243</v>
      </c>
      <c r="BP576" s="11" t="n">
        <v>1.079339935625147</v>
      </c>
      <c r="BQ576" s="11" t="n">
        <v>0.7719368903846591</v>
      </c>
      <c r="BR576" s="8" t="n">
        <v>12</v>
      </c>
      <c r="BS576" s="8" t="n">
        <v>30</v>
      </c>
      <c r="BT576" s="8" t="n">
        <v>31</v>
      </c>
      <c r="BU576" s="8" t="n">
        <v>17</v>
      </c>
      <c r="BV576" s="11" t="n">
        <f>IF(COUNT(BC576,BF576)=2,BC576*BF576,"")</f>
        <v>0.19160344408497182</v>
      </c>
      <c r="BW576" s="11" t="n">
        <f>IF(ISNUMBER(BN576),BN576,"")</f>
        <v>1.7391279184229513</v>
      </c>
      <c r="BX576" s="14" t="n">
        <f>IF(ISNUMBER(BR576),BR576,"")</f>
        <v>12</v>
      </c>
      <c r="BY576" s="13" t="n">
        <f>IF(AND(COUNT(BV576,BW576,BX576)=3,MIN(BV576,BW576,BX576)&gt;=0),BV576*BW576*BX576,"")</f>
        <v>3.9986747864899845</v>
      </c>
      <c r="BZ576" s="11" t="n">
        <f>IF(ISNUMBER(BO576),BO576,"")</f>
        <v>1.4002077845513243</v>
      </c>
      <c r="CA576" s="14" t="n">
        <f>IF(ISNUMBER(BS576),BS576,"")</f>
        <v>30</v>
      </c>
      <c r="CB576" s="13" t="n">
        <f>IF(AND(COUNT(BV576,BZ576,CA576)=3,MIN(BV576,BZ576,CA576)&gt;=0),BV576*BZ576*CA576,"")</f>
        <v>8.048539018638659</v>
      </c>
      <c r="CC576" s="11" t="n">
        <f>IF(ISNUMBER(BP576),BP576,"")</f>
        <v>1.079339935625147</v>
      </c>
      <c r="CD576" s="14" t="n">
        <f>IF(ISNUMBER(BT576),BT576,"")</f>
        <v>31</v>
      </c>
      <c r="CE576" s="13" t="n">
        <f>IF(AND(COUNT(BV576,CC576,CD576)=3,MIN(BV576,CC576,CD576)&gt;=0),BV576*CC576*CD576,"")</f>
        <v>6.410962719131128</v>
      </c>
      <c r="CF576" s="11" t="n">
        <f>IF(ISNUMBER(BQ576),BQ576,"")</f>
        <v>0.7719368903846591</v>
      </c>
      <c r="CG576" s="14" t="n">
        <f>IF(ISNUMBER(BU576),BU576,"")</f>
        <v>17</v>
      </c>
      <c r="CH576" s="13" t="n">
        <f>IF(AND(COUNT(BV576,CF576,CG576)=3,MIN(BV576,CF576,CG576)&gt;=0),BV576*CF576*CG576,"")</f>
        <v>2.514398035837049</v>
      </c>
      <c r="CI576" s="13" t="n">
        <f>IF(COUNT(BY576,CB576,CE576,CH576)=4,SUM(BY576,CB576,CE576,CH576),"")</f>
        <v>20.972574560096817</v>
      </c>
    </row>
    <row r="577" ht="72" customHeight="1">
      <c r="A577" s="16" t="str">
        <v>2302153-BK-P-Z-7</v>
      </c>
      <c r="B577" s="16" t="str">
        <v>3店-SANDIEX-US</v>
      </c>
      <c r="C577" s="16" t="str">
        <v>徐新怡</v>
      </c>
      <c r="D577" s="26" t="n">
        <f>IF(NOT(ISNUMBER(E577)),"",IF(OR(E577&lt;=0,L577=0),0,IF(OR(NOT(ISNUMBER(F577)),F577&lt;0),"",MIN(E577,INT(F577)))))</f>
        <v>0</v>
      </c>
      <c r="E577" s="27" t="n">
        <f>IF(OR(NOT(ISNUMBER(L577)),COUNT(M577:O577)&lt;&gt;3,MIN(M577:O577)&lt;0),"",ROUNDUP(ROUND(BI577-SUM(M577:O577),10),0))</f>
        <v>-52</v>
      </c>
      <c r="F577" s="28" t="n">
        <v>0</v>
      </c>
      <c r="G577" s="28" t="n">
        <f>IF(AND(ISNUMBER(D577),ISNUMBER(E577)),IF(OR(E577&lt;=0,L577=0),0,E577-D577),"")</f>
        <v>0</v>
      </c>
      <c r="H577" s="16" t="str">
        <f>IF(NOT(ISNUMBER(E577)),"销量或海外库存待补",IF(OR(E577&lt;=0,L577=0),IF(L577=0,"零日销，本批不发","本批无需补货"),IF(NOT(ISNUMBER(D577)),"国内库存待补",IF(D577=0,"国内无可用库存",IF(G577&gt;0,"先发国内现货","按建议量发货")))))</f>
        <v>本批无需补货</v>
      </c>
      <c r="I577" s="28" t="n">
        <f>IF(AND(COUNT(Z577,AA577,AB577)=3,Z577&gt;=AA577,AA577&gt;=0,AB577=7),Z577-AA577,"")</f>
        <v>3</v>
      </c>
      <c r="J577" s="28" t="n">
        <f>IF(AND(COUNT(AF577,AG577,AH577)=3,AF577&gt;=AG577,AG577&gt;=0,AH577=14),AF577-AG577,"")</f>
        <v>4</v>
      </c>
      <c r="K577" s="28" t="n">
        <f>IF(AND(COUNT(AL577,AM577,AN577)=3,AL577&gt;=AM577,AM577&gt;=0,AN577=30),AL577-AM577,"")</f>
        <v>20</v>
      </c>
      <c r="L577" s="29" t="n">
        <f>IF(ISNUMBER(BI577),BI577/90,"")</f>
        <v>0.6225435436644517</v>
      </c>
      <c r="M577" s="28" t="n">
        <v>5</v>
      </c>
      <c r="N577" s="28" t="n">
        <v>0</v>
      </c>
      <c r="O577" s="28" t="n">
        <v>103</v>
      </c>
      <c r="P577" s="30" t="n">
        <f>IF(AND(ISNUMBER(L577),L577&gt;0,COUNT(M577:O577)=3,MIN(M577:O577)&gt;=0),SUM(M577:O577)/L577,"")</f>
        <v>173.48184090751977</v>
      </c>
      <c r="Q577" s="16" t="str">
        <v>沿用原计划SKU店铺</v>
      </c>
      <c r="R577" s="16" t="str">
        <v>已匹配</v>
      </c>
      <c r="S577" s="16" t="str">
        <v>在售</v>
      </c>
      <c r="T577" s="16" t="str">
        <v>2302153</v>
      </c>
      <c r="U577" s="16" t="str">
        <v>黑色</v>
      </c>
      <c r="V577" s="16" t="n">
        <v>7</v>
      </c>
      <c r="W577" s="8" t="str">
        <v>2026-10-11 至 2026-10-17</v>
      </c>
      <c r="X577" s="8" t="str">
        <v>2026-10-11、2026-10-12、2026-10-13、2026-10-14、2026-10-15、2026-10-16、2026-10-17</v>
      </c>
      <c r="Y577" s="8" t="str">
        <v>无</v>
      </c>
      <c r="Z577" s="8" t="n">
        <v>3</v>
      </c>
      <c r="AA577" s="8" t="n">
        <v>0</v>
      </c>
      <c r="AB577" s="8" t="n">
        <v>7</v>
      </c>
      <c r="AC577" s="8" t="str">
        <v>2026-10-02 至 2026-10-17</v>
      </c>
      <c r="AD577" s="8" t="str">
        <v>2026-10-02、2026-10-03、2026-10-04、2026-10-05、2026-10-08、2026-10-09、2026-10-10、2026-10-11、2026-10-12、2026-10-13、2026-10-14、2026-10-15、2026-10-16、2026-10-17</v>
      </c>
      <c r="AE577" s="8" t="str">
        <v>2026-10-06 大促；2026-10-07 大促</v>
      </c>
      <c r="AF577" s="8" t="n">
        <v>6</v>
      </c>
      <c r="AG577" s="8" t="n">
        <v>2</v>
      </c>
      <c r="AH577" s="8" t="n">
        <v>14</v>
      </c>
      <c r="AI577" s="8" t="str">
        <v>2026-09-16 至 2026-10-17</v>
      </c>
      <c r="AJ5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7" s="8" t="str">
        <v>2026-10-06 大促；2026-10-07 大促</v>
      </c>
      <c r="AL577" s="8" t="n">
        <v>22</v>
      </c>
      <c r="AM577" s="8" t="n">
        <v>2</v>
      </c>
      <c r="AN577" s="8" t="n">
        <v>30</v>
      </c>
      <c r="AO577" s="8" t="str">
        <v>2302153 / 黑色PU / 6574</v>
      </c>
      <c r="AP577" s="11" t="n">
        <v>1.7391279184229513</v>
      </c>
      <c r="AQ577" s="11" t="n">
        <v>1.7391279184229513</v>
      </c>
      <c r="AR577" s="11" t="n">
        <v>1.5731892896917212</v>
      </c>
      <c r="AS577" s="11" t="n">
        <f>IF(AND(COUNT(I577:K577,AP577:AR577)=6,MIN(AP577:AR577)&gt;0),I577/7/AP577*0.5+J577/14/AQ577*0.3+K577/30/AR577*0.2,"")</f>
        <v>0.2572537717565974</v>
      </c>
      <c r="AT577" s="8" t="n">
        <v>83</v>
      </c>
      <c r="AU577" s="8" t="n">
        <v>2</v>
      </c>
      <c r="AV577" s="8" t="n">
        <v>88</v>
      </c>
      <c r="AW577" s="11" t="n">
        <f>IF(AND(COUNT(AT577:AV577)=3,AT577&gt;=AU577,AU577&gt;=0,AV577&gt;0),(AT577-AU577)/AV577,"")</f>
        <v>0.9204545454545454</v>
      </c>
      <c r="AX577" s="8" t="n">
        <v>148</v>
      </c>
      <c r="AY577" s="8" t="n">
        <v>2</v>
      </c>
      <c r="AZ577" s="8" t="n">
        <v>178</v>
      </c>
      <c r="BA577" s="11" t="n">
        <f>IF(AND(COUNT(AX577:AZ577)=3,AX577&gt;=AY577,AY577&gt;=0,AZ577&gt;0),(AX577-AY577)/AZ577,"")</f>
        <v>0.8202247191011236</v>
      </c>
      <c r="BB577" s="8" t="n">
        <f>IF(COUNT(AS577,AW577,BA577)=3,1,0)</f>
        <v>1</v>
      </c>
      <c r="BC577" s="11" t="n">
        <f>IF(SUMIF($AO$11:$AO$1309,AO577,$BB$11:$BB$1309)=COUNTIF($AO$11:$AO$1309,AO577),SUMIF($AO$11:$AO$1309,AO577,$AS$11:$AS$1309),"")</f>
        <v>5.375258174635837</v>
      </c>
      <c r="BD577" s="11" t="n">
        <f>IF(SUMIF($AO$11:$AO$1309,AO577,$BB$11:$BB$1309)=COUNTIF($AO$11:$AO$1309,AO577),SUMIF($AO$11:$AO$1309,AO577,$AW$11:$AW$1309),"")</f>
        <v>9.488636363636365</v>
      </c>
      <c r="BE577" s="11" t="n">
        <f>IF(SUMIF($AO$11:$AO$1309,AO577,$BB$11:$BB$1309)=COUNTIF($AO$11:$AO$1309,AO577),SUMIF($AO$11:$AO$1309,AO577,$BA$11:$BA$1309),"")</f>
        <v>9.005617977528088</v>
      </c>
      <c r="BF577" s="12" t="n">
        <f>IF(COUNT(BD577:BE577)&lt;&gt;2,"",IF(AND(BD577&gt;0,BE577&gt;0),0.7*AW577/BD577+0.3*BA577/BE577,IF(BD577&gt;0,AW577/BD577,IF(BE577&gt;0,BA577/BE577,IF(AND(ISNUMBER(BH577),BH577=0),0,"")))))</f>
        <v>0.09522795955188812</v>
      </c>
      <c r="BG577" s="11" t="n">
        <f>IF(AND(COUNT(BN577:BU577)=8,MIN(BN577:BU577)&gt;=0),SUMPRODUCT(BN577:BQ577,BR577:BU577),"")</f>
        <v>109.4582336985339</v>
      </c>
      <c r="BH577" s="11" t="n">
        <f>IF(COUNT(BC577,BG577)=2,BC577*BG577,"")</f>
        <v>588.3662654692442</v>
      </c>
      <c r="BI577" s="11" t="n">
        <f>IF(ISNUMBER(CI577),CI577,"")</f>
        <v>56.02891892980066</v>
      </c>
      <c r="BJ577" s="8" t="str"/>
      <c r="BK577" s="8" t="str">
        <v>90天：2026-07-20 至 2026-10-17；180天：2026-04-21 至 2026-10-17</v>
      </c>
      <c r="BL577" s="8" t="str">
        <v>90天：2026-10-06、2026-10-07；180天：2026-10-06、2026-10-07</v>
      </c>
      <c r="BM577" s="8" t="str">
        <v>2026-10：12天 × 1.7391279184229513；2026-11：30天 × 1.4002077845513243；2026-12：31天 × 1.079339935625147；2027-01：17天 × 0.7719368903846591</v>
      </c>
      <c r="BN577" s="11" t="n">
        <v>1.7391279184229513</v>
      </c>
      <c r="BO577" s="11" t="n">
        <v>1.4002077845513243</v>
      </c>
      <c r="BP577" s="11" t="n">
        <v>1.079339935625147</v>
      </c>
      <c r="BQ577" s="11" t="n">
        <v>0.7719368903846591</v>
      </c>
      <c r="BR577" s="8" t="n">
        <v>12</v>
      </c>
      <c r="BS577" s="8" t="n">
        <v>30</v>
      </c>
      <c r="BT577" s="8" t="n">
        <v>31</v>
      </c>
      <c r="BU577" s="8" t="n">
        <v>17</v>
      </c>
      <c r="BV577" s="11" t="n">
        <f>IF(COUNT(BC577,BF577)=2,BC577*BF577,"")</f>
        <v>0.5118748680351775</v>
      </c>
      <c r="BW577" s="11" t="n">
        <f>IF(ISNUMBER(BN577),BN577,"")</f>
        <v>1.7391279184229513</v>
      </c>
      <c r="BX577" s="14" t="n">
        <f>IF(ISNUMBER(BR577),BR577,"")</f>
        <v>12</v>
      </c>
      <c r="BY577" s="13" t="n">
        <f>IF(AND(COUNT(BV577,BW577,BX577)=3,MIN(BV577,BW577,BX577)&gt;=0),BV577*BW577*BX577,"")</f>
        <v>10.682590484868493</v>
      </c>
      <c r="BZ577" s="11" t="n">
        <f>IF(ISNUMBER(BO577),BO577,"")</f>
        <v>1.4002077845513243</v>
      </c>
      <c r="CA577" s="14" t="n">
        <f>IF(ISNUMBER(BS577),BS577,"")</f>
        <v>30</v>
      </c>
      <c r="CB577" s="13" t="n">
        <f>IF(AND(COUNT(BV577,BZ577,CA577)=3,MIN(BV577,BZ577,CA577)&gt;=0),BV577*BZ577*CA577,"")</f>
        <v>21.501935248171122</v>
      </c>
      <c r="CC577" s="11" t="n">
        <f>IF(ISNUMBER(BP577),BP577,"")</f>
        <v>1.079339935625147</v>
      </c>
      <c r="CD577" s="14" t="n">
        <f>IF(ISNUMBER(BT577),BT577,"")</f>
        <v>31</v>
      </c>
      <c r="CE577" s="13" t="n">
        <f>IF(AND(COUNT(BV577,CC577,CD577)=3,MIN(BV577,CC577,CD577)&gt;=0),BV577*CC577*CD577,"")</f>
        <v>17.12709660050979</v>
      </c>
      <c r="CF577" s="11" t="n">
        <f>IF(ISNUMBER(BQ577),BQ577,"")</f>
        <v>0.7719368903846591</v>
      </c>
      <c r="CG577" s="14" t="n">
        <f>IF(ISNUMBER(BU577),BU577,"")</f>
        <v>17</v>
      </c>
      <c r="CH577" s="13" t="n">
        <f>IF(AND(COUNT(BV577,CF577,CG577)=3,MIN(BV577,CF577,CG577)&gt;=0),BV577*CF577*CG577,"")</f>
        <v>6.717296596251254</v>
      </c>
      <c r="CI577" s="13" t="n">
        <f>IF(COUNT(BY577,CB577,CE577,CH577)=4,SUM(BY577,CB577,CE577,CH577),"")</f>
        <v>56.02891892980066</v>
      </c>
    </row>
    <row r="578" ht="72" customHeight="1">
      <c r="A578" s="16" t="str">
        <v>2302153-BK-P-Z-7.5</v>
      </c>
      <c r="B578" s="16" t="str">
        <v>3店-SANDIEX-US</v>
      </c>
      <c r="C578" s="16" t="str">
        <v>徐新怡</v>
      </c>
      <c r="D578" s="26" t="n">
        <f>IF(NOT(ISNUMBER(E578)),"",IF(OR(E578&lt;=0,L578=0),0,IF(OR(NOT(ISNUMBER(F578)),F578&lt;0),"",MIN(E578,INT(F578)))))</f>
        <v>0</v>
      </c>
      <c r="E578" s="27" t="n">
        <f>IF(OR(NOT(ISNUMBER(L578)),COUNT(M578:O578)&lt;&gt;3,MIN(M578:O578)&lt;0),"",ROUNDUP(ROUND(BI578-SUM(M578:O578),10),0))</f>
        <v>-56</v>
      </c>
      <c r="F578" s="28" t="n">
        <v>77</v>
      </c>
      <c r="G578" s="28" t="n">
        <f>IF(AND(ISNUMBER(D578),ISNUMBER(E578)),IF(OR(E578&lt;=0,L578=0),0,E578-D578),"")</f>
        <v>0</v>
      </c>
      <c r="H578" s="16" t="str">
        <f>IF(NOT(ISNUMBER(E578)),"销量或海外库存待补",IF(OR(E578&lt;=0,L578=0),IF(L578=0,"零日销，本批不发","本批无需补货"),IF(NOT(ISNUMBER(D578)),"国内库存待补",IF(D578=0,"国内无可用库存",IF(G578&gt;0,"先发国内现货","按建议量发货")))))</f>
        <v>本批无需补货</v>
      </c>
      <c r="I578" s="28" t="n">
        <f>IF(AND(COUNT(Z578,AA578,AB578)=3,Z578&gt;=AA578,AA578&gt;=0,AB578=7),Z578-AA578,"")</f>
        <v>11</v>
      </c>
      <c r="J578" s="28" t="n">
        <f>IF(AND(COUNT(AF578,AG578,AH578)=3,AF578&gt;=AG578,AG578&gt;=0,AH578=14),AF578-AG578,"")</f>
        <v>21</v>
      </c>
      <c r="K578" s="28" t="n">
        <f>IF(AND(COUNT(AL578,AM578,AN578)=3,AL578&gt;=AM578,AM578&gt;=0,AN578=30),AL578-AM578,"")</f>
        <v>40</v>
      </c>
      <c r="L578" s="29" t="n">
        <f>IF(ISNUMBER(BI578),BI578/90,"")</f>
        <v>0.6279736949148617</v>
      </c>
      <c r="M578" s="28" t="n">
        <v>19</v>
      </c>
      <c r="N578" s="28" t="n">
        <v>0</v>
      </c>
      <c r="O578" s="28" t="n">
        <v>93</v>
      </c>
      <c r="P578" s="30" t="n">
        <f>IF(AND(ISNUMBER(L578),L578&gt;0,COUNT(M578:O578)=3,MIN(M578:O578)&gt;=0),SUM(M578:O578)/L578,"")</f>
        <v>178.35141966445673</v>
      </c>
      <c r="Q578" s="16" t="str">
        <v>沿用原计划SKU店铺</v>
      </c>
      <c r="R578" s="16" t="str">
        <v>已匹配</v>
      </c>
      <c r="S578" s="16" t="str">
        <v>在售</v>
      </c>
      <c r="T578" s="16" t="str">
        <v>2302153</v>
      </c>
      <c r="U578" s="16" t="str">
        <v>黑色</v>
      </c>
      <c r="V578" s="16" t="n">
        <v>7.5</v>
      </c>
      <c r="W578" s="8" t="str">
        <v>2026-10-11 至 2026-10-17</v>
      </c>
      <c r="X578" s="8" t="str">
        <v>2026-10-11、2026-10-12、2026-10-13、2026-10-14、2026-10-15、2026-10-16、2026-10-17</v>
      </c>
      <c r="Y578" s="8" t="str">
        <v>无</v>
      </c>
      <c r="Z578" s="8" t="n">
        <v>11</v>
      </c>
      <c r="AA578" s="8" t="n">
        <v>0</v>
      </c>
      <c r="AB578" s="8" t="n">
        <v>7</v>
      </c>
      <c r="AC578" s="8" t="str">
        <v>2026-10-02 至 2026-10-17</v>
      </c>
      <c r="AD578" s="8" t="str">
        <v>2026-10-02、2026-10-03、2026-10-04、2026-10-05、2026-10-08、2026-10-09、2026-10-10、2026-10-11、2026-10-12、2026-10-13、2026-10-14、2026-10-15、2026-10-16、2026-10-17</v>
      </c>
      <c r="AE578" s="8" t="str">
        <v>2026-10-06 大促；2026-10-07 大促</v>
      </c>
      <c r="AF578" s="8" t="n">
        <v>31</v>
      </c>
      <c r="AG578" s="8" t="n">
        <v>10</v>
      </c>
      <c r="AH578" s="8" t="n">
        <v>14</v>
      </c>
      <c r="AI578" s="8" t="str">
        <v>2026-09-16 至 2026-10-17</v>
      </c>
      <c r="AJ5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8" s="8" t="str">
        <v>2026-10-06 大促；2026-10-07 大促</v>
      </c>
      <c r="AL578" s="8" t="n">
        <v>50</v>
      </c>
      <c r="AM578" s="8" t="n">
        <v>10</v>
      </c>
      <c r="AN578" s="8" t="n">
        <v>30</v>
      </c>
      <c r="AO578" s="8" t="str">
        <v>2302153 / 黑色PU / 6574</v>
      </c>
      <c r="AP578" s="11" t="n">
        <v>1.7391279184229513</v>
      </c>
      <c r="AQ578" s="11" t="n">
        <v>1.7391279184229513</v>
      </c>
      <c r="AR578" s="11" t="n">
        <v>1.5731892896917212</v>
      </c>
      <c r="AS578" s="11" t="n">
        <f>IF(AND(COUNT(I578:K578,AP578:AR578)=6,MIN(AP578:AR578)&gt;0),I578/7/AP578*0.5+J578/14/AQ578*0.3+K578/30/AR578*0.2,"")</f>
        <v>0.8800437866957861</v>
      </c>
      <c r="AT578" s="8" t="n">
        <v>94</v>
      </c>
      <c r="AU578" s="8" t="n">
        <v>10</v>
      </c>
      <c r="AV578" s="8" t="n">
        <v>88</v>
      </c>
      <c r="AW578" s="11" t="n">
        <f>IF(AND(COUNT(AT578:AV578)=3,AT578&gt;=AU578,AU578&gt;=0,AV578&gt;0),(AT578-AU578)/AV578,"")</f>
        <v>0.9545454545454546</v>
      </c>
      <c r="AX578" s="8" t="n">
        <v>147</v>
      </c>
      <c r="AY578" s="8" t="n">
        <v>10</v>
      </c>
      <c r="AZ578" s="8" t="n">
        <v>178</v>
      </c>
      <c r="BA578" s="11" t="n">
        <f>IF(AND(COUNT(AX578:AZ578)=3,AX578&gt;=AY578,AY578&gt;=0,AZ578&gt;0),(AX578-AY578)/AZ578,"")</f>
        <v>0.7696629213483146</v>
      </c>
      <c r="BB578" s="8" t="n">
        <f>IF(COUNT(AS578,AW578,BA578)=3,1,0)</f>
        <v>1</v>
      </c>
      <c r="BC578" s="11" t="n">
        <f>IF(SUMIF($AO$11:$AO$1309,AO578,$BB$11:$BB$1309)=COUNTIF($AO$11:$AO$1309,AO578),SUMIF($AO$11:$AO$1309,AO578,$AS$11:$AS$1309),"")</f>
        <v>5.375258174635837</v>
      </c>
      <c r="BD578" s="11" t="n">
        <f>IF(SUMIF($AO$11:$AO$1309,AO578,$BB$11:$BB$1309)=COUNTIF($AO$11:$AO$1309,AO578),SUMIF($AO$11:$AO$1309,AO578,$AW$11:$AW$1309),"")</f>
        <v>9.488636363636365</v>
      </c>
      <c r="BE578" s="11" t="n">
        <f>IF(SUMIF($AO$11:$AO$1309,AO578,$BB$11:$BB$1309)=COUNTIF($AO$11:$AO$1309,AO578),SUMIF($AO$11:$AO$1309,AO578,$BA$11:$BA$1309),"")</f>
        <v>9.005617977528088</v>
      </c>
      <c r="BF578" s="12" t="n">
        <f>IF(COUNT(BD578:BE578)&lt;&gt;2,"",IF(AND(BD578&gt;0,BE578&gt;0),0.7*AW578/BD578+0.3*BA578/BE578,IF(BD578&gt;0,AW578/BD578,IF(BE578&gt;0,BA578/BE578,IF(AND(ISNUMBER(BH578),BH578=0),0,"")))))</f>
        <v>0.096058587752754</v>
      </c>
      <c r="BG578" s="11" t="n">
        <f>IF(AND(COUNT(BN578:BU578)=8,MIN(BN578:BU578)&gt;=0),SUMPRODUCT(BN578:BQ578,BR578:BU578),"")</f>
        <v>109.4582336985339</v>
      </c>
      <c r="BH578" s="11" t="n">
        <f>IF(COUNT(BC578,BG578)=2,BC578*BG578,"")</f>
        <v>588.3662654692442</v>
      </c>
      <c r="BI578" s="11" t="n">
        <f>IF(ISNUMBER(CI578),CI578,"")</f>
        <v>56.51763254233755</v>
      </c>
      <c r="BJ578" s="8" t="str"/>
      <c r="BK578" s="8" t="str">
        <v>90天：2026-07-20 至 2026-10-17；180天：2026-04-21 至 2026-10-17</v>
      </c>
      <c r="BL578" s="8" t="str">
        <v>90天：2026-10-06、2026-10-07；180天：2026-10-06、2026-10-07</v>
      </c>
      <c r="BM578" s="8" t="str">
        <v>2026-10：12天 × 1.7391279184229513；2026-11：30天 × 1.4002077845513243；2026-12：31天 × 1.079339935625147；2027-01：17天 × 0.7719368903846591</v>
      </c>
      <c r="BN578" s="11" t="n">
        <v>1.7391279184229513</v>
      </c>
      <c r="BO578" s="11" t="n">
        <v>1.4002077845513243</v>
      </c>
      <c r="BP578" s="11" t="n">
        <v>1.079339935625147</v>
      </c>
      <c r="BQ578" s="11" t="n">
        <v>0.7719368903846591</v>
      </c>
      <c r="BR578" s="8" t="n">
        <v>12</v>
      </c>
      <c r="BS578" s="8" t="n">
        <v>30</v>
      </c>
      <c r="BT578" s="8" t="n">
        <v>31</v>
      </c>
      <c r="BU578" s="8" t="n">
        <v>17</v>
      </c>
      <c r="BV578" s="11" t="n">
        <f>IF(COUNT(BC578,BF578)=2,BC578*BF578,"")</f>
        <v>0.5163397090619648</v>
      </c>
      <c r="BW578" s="11" t="n">
        <f>IF(ISNUMBER(BN578),BN578,"")</f>
        <v>1.7391279184229513</v>
      </c>
      <c r="BX578" s="14" t="n">
        <f>IF(ISNUMBER(BR578),BR578,"")</f>
        <v>12</v>
      </c>
      <c r="BY578" s="13" t="n">
        <f>IF(AND(COUNT(BV578,BW578,BX578)=3,MIN(BV578,BW578,BX578)&gt;=0),BV578*BW578*BX578,"")</f>
        <v>10.775769641040565</v>
      </c>
      <c r="BZ578" s="11" t="n">
        <f>IF(ISNUMBER(BO578),BO578,"")</f>
        <v>1.4002077845513243</v>
      </c>
      <c r="CA578" s="14" t="n">
        <f>IF(ISNUMBER(BS578),BS578,"")</f>
        <v>30</v>
      </c>
      <c r="CB578" s="13" t="n">
        <f>IF(AND(COUNT(BV578,BZ578,CA578)=3,MIN(BV578,BZ578,CA578)&gt;=0),BV578*BZ578*CA578,"")</f>
        <v>21.689486403045873</v>
      </c>
      <c r="CC578" s="11" t="n">
        <f>IF(ISNUMBER(BP578),BP578,"")</f>
        <v>1.079339935625147</v>
      </c>
      <c r="CD578" s="14" t="n">
        <f>IF(ISNUMBER(BT578),BT578,"")</f>
        <v>31</v>
      </c>
      <c r="CE578" s="13" t="n">
        <f>IF(AND(COUNT(BV578,CC578,CD578)=3,MIN(BV578,CC578,CD578)&gt;=0),BV578*CC578*CD578,"")</f>
        <v>17.276488118529095</v>
      </c>
      <c r="CF578" s="11" t="n">
        <f>IF(ISNUMBER(BQ578),BQ578,"")</f>
        <v>0.7719368903846591</v>
      </c>
      <c r="CG578" s="14" t="n">
        <f>IF(ISNUMBER(BU578),BU578,"")</f>
        <v>17</v>
      </c>
      <c r="CH578" s="13" t="n">
        <f>IF(AND(COUNT(BV578,CF578,CG578)=3,MIN(BV578,CF578,CG578)&gt;=0),BV578*CF578*CG578,"")</f>
        <v>6.775888379722016</v>
      </c>
      <c r="CI578" s="13" t="n">
        <f>IF(COUNT(BY578,CB578,CE578,CH578)=4,SUM(BY578,CB578,CE578,CH578),"")</f>
        <v>56.51763254233755</v>
      </c>
    </row>
    <row r="579" ht="72" customHeight="1">
      <c r="A579" s="16" t="str">
        <v>2302153-BK-P-Z-8</v>
      </c>
      <c r="B579" s="16" t="str">
        <v>3店-SANDIEX-US</v>
      </c>
      <c r="C579" s="16" t="str">
        <v>徐新怡</v>
      </c>
      <c r="D579" s="26" t="n">
        <f>IF(NOT(ISNUMBER(E579)),"",IF(OR(E579&lt;=0,L579=0),0,IF(OR(NOT(ISNUMBER(F579)),F579&lt;0),"",MIN(E579,INT(F579)))))</f>
        <v>0</v>
      </c>
      <c r="E579" s="27" t="n">
        <f>IF(OR(NOT(ISNUMBER(L579)),COUNT(M579:O579)&lt;&gt;3,MIN(M579:O579)&lt;0),"",ROUNDUP(ROUND(BI579-SUM(M579:O579),10),0))</f>
        <v>-86</v>
      </c>
      <c r="F579" s="28" t="n">
        <v>65</v>
      </c>
      <c r="G579" s="28" t="n">
        <f>IF(AND(ISNUMBER(D579),ISNUMBER(E579)),IF(OR(E579&lt;=0,L579=0),0,E579-D579),"")</f>
        <v>0</v>
      </c>
      <c r="H579" s="16" t="str">
        <f>IF(NOT(ISNUMBER(E579)),"销量或海外库存待补",IF(OR(E579&lt;=0,L579=0),IF(L579=0,"零日销，本批不发","本批无需补货"),IF(NOT(ISNUMBER(D579)),"国内库存待补",IF(D579=0,"国内无可用库存",IF(G579&gt;0,"先发国内现货","按建议量发货")))))</f>
        <v>本批无需补货</v>
      </c>
      <c r="I579" s="28" t="n">
        <f>IF(AND(COUNT(Z579,AA579,AB579)=3,Z579&gt;=AA579,AA579&gt;=0,AB579=7),Z579-AA579,"")</f>
        <v>15</v>
      </c>
      <c r="J579" s="28" t="n">
        <f>IF(AND(COUNT(AF579,AG579,AH579)=3,AF579&gt;=AG579,AG579&gt;=0,AH579=14),AF579-AG579,"")</f>
        <v>22</v>
      </c>
      <c r="K579" s="28" t="n">
        <f>IF(AND(COUNT(AL579,AM579,AN579)=3,AL579&gt;=AM579,AM579&gt;=0,AN579=30),AL579-AM579,"")</f>
        <v>50</v>
      </c>
      <c r="L579" s="29" t="n">
        <f>IF(ISNUMBER(BI579),BI579/90,"")</f>
        <v>1.2060869967104026</v>
      </c>
      <c r="M579" s="28" t="n">
        <v>11</v>
      </c>
      <c r="N579" s="28" t="n">
        <v>1</v>
      </c>
      <c r="O579" s="28" t="n">
        <v>182</v>
      </c>
      <c r="P579" s="30" t="n">
        <f>IF(AND(ISNUMBER(L579),L579&gt;0,COUNT(M579:O579)=3,MIN(M579:O579)&gt;=0),SUM(M579:O579)/L579,"")</f>
        <v>160.85075166976694</v>
      </c>
      <c r="Q579" s="16" t="str">
        <v>沿用原计划SKU店铺</v>
      </c>
      <c r="R579" s="16" t="str">
        <v>已匹配</v>
      </c>
      <c r="S579" s="16" t="str">
        <v>在售</v>
      </c>
      <c r="T579" s="16" t="str">
        <v>2302153</v>
      </c>
      <c r="U579" s="16" t="str">
        <v>黑色</v>
      </c>
      <c r="V579" s="16" t="n">
        <v>8</v>
      </c>
      <c r="W579" s="8" t="str">
        <v>2026-10-11 至 2026-10-17</v>
      </c>
      <c r="X579" s="8" t="str">
        <v>2026-10-11、2026-10-12、2026-10-13、2026-10-14、2026-10-15、2026-10-16、2026-10-17</v>
      </c>
      <c r="Y579" s="8" t="str">
        <v>无</v>
      </c>
      <c r="Z579" s="8" t="n">
        <v>15</v>
      </c>
      <c r="AA579" s="8" t="n">
        <v>0</v>
      </c>
      <c r="AB579" s="8" t="n">
        <v>7</v>
      </c>
      <c r="AC579" s="8" t="str">
        <v>2026-10-02 至 2026-10-17</v>
      </c>
      <c r="AD579" s="8" t="str">
        <v>2026-10-02、2026-10-03、2026-10-04、2026-10-05、2026-10-08、2026-10-09、2026-10-10、2026-10-11、2026-10-12、2026-10-13、2026-10-14、2026-10-15、2026-10-16、2026-10-17</v>
      </c>
      <c r="AE579" s="8" t="str">
        <v>2026-10-06 大促；2026-10-07 大促</v>
      </c>
      <c r="AF579" s="8" t="n">
        <v>24</v>
      </c>
      <c r="AG579" s="8" t="n">
        <v>2</v>
      </c>
      <c r="AH579" s="8" t="n">
        <v>14</v>
      </c>
      <c r="AI579" s="8" t="str">
        <v>2026-09-16 至 2026-10-17</v>
      </c>
      <c r="AJ5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79" s="8" t="str">
        <v>2026-10-06 大促；2026-10-07 大促</v>
      </c>
      <c r="AL579" s="8" t="n">
        <v>52</v>
      </c>
      <c r="AM579" s="8" t="n">
        <v>2</v>
      </c>
      <c r="AN579" s="8" t="n">
        <v>30</v>
      </c>
      <c r="AO579" s="8" t="str">
        <v>2302153 / 黑色PU / 6574</v>
      </c>
      <c r="AP579" s="11" t="n">
        <v>1.7391279184229513</v>
      </c>
      <c r="AQ579" s="11" t="n">
        <v>1.7391279184229513</v>
      </c>
      <c r="AR579" s="11" t="n">
        <v>1.5731892896917212</v>
      </c>
      <c r="AS579" s="11" t="n">
        <f>IF(AND(COUNT(I579:K579,AP579:AR579)=6,MIN(AP579:AR579)&gt;0),I579/7/AP579*0.5+J579/14/AQ579*0.3+K579/30/AR579*0.2,"")</f>
        <v>1.0990279461697816</v>
      </c>
      <c r="AT579" s="8" t="n">
        <v>158</v>
      </c>
      <c r="AU579" s="8" t="n">
        <v>2</v>
      </c>
      <c r="AV579" s="8" t="n">
        <v>88</v>
      </c>
      <c r="AW579" s="11" t="n">
        <f>IF(AND(COUNT(AT579:AV579)=3,AT579&gt;=AU579,AU579&gt;=0,AV579&gt;0),(AT579-AU579)/AV579,"")</f>
        <v>1.7727272727272727</v>
      </c>
      <c r="AX579" s="8" t="n">
        <v>289</v>
      </c>
      <c r="AY579" s="8" t="n">
        <v>2</v>
      </c>
      <c r="AZ579" s="8" t="n">
        <v>178</v>
      </c>
      <c r="BA579" s="11" t="n">
        <f>IF(AND(COUNT(AX579:AZ579)=3,AX579&gt;=AY579,AY579&gt;=0,AZ579&gt;0),(AX579-AY579)/AZ579,"")</f>
        <v>1.6123595505617978</v>
      </c>
      <c r="BB579" s="8" t="n">
        <f>IF(COUNT(AS579,AW579,BA579)=3,1,0)</f>
        <v>1</v>
      </c>
      <c r="BC579" s="11" t="n">
        <f>IF(SUMIF($AO$11:$AO$1309,AO579,$BB$11:$BB$1309)=COUNTIF($AO$11:$AO$1309,AO579),SUMIF($AO$11:$AO$1309,AO579,$AS$11:$AS$1309),"")</f>
        <v>5.375258174635837</v>
      </c>
      <c r="BD579" s="11" t="n">
        <f>IF(SUMIF($AO$11:$AO$1309,AO579,$BB$11:$BB$1309)=COUNTIF($AO$11:$AO$1309,AO579),SUMIF($AO$11:$AO$1309,AO579,$AW$11:$AW$1309),"")</f>
        <v>9.488636363636365</v>
      </c>
      <c r="BE579" s="11" t="n">
        <f>IF(SUMIF($AO$11:$AO$1309,AO579,$BB$11:$BB$1309)=COUNTIF($AO$11:$AO$1309,AO579),SUMIF($AO$11:$AO$1309,AO579,$BA$11:$BA$1309),"")</f>
        <v>9.005617977528088</v>
      </c>
      <c r="BF579" s="12" t="n">
        <f>IF(COUNT(BD579:BE579)&lt;&gt;2,"",IF(AND(BD579&gt;0,BE579&gt;0),0.7*AW579/BD579+0.3*BA579/BE579,IF(BD579&gt;0,AW579/BD579,IF(BE579&gt;0,BA579/BE579,IF(AND(ISNUMBER(BH579),BH579=0),0,"")))))</f>
        <v>0.18449023350678553</v>
      </c>
      <c r="BG579" s="11" t="n">
        <f>IF(AND(COUNT(BN579:BU579)=8,MIN(BN579:BU579)&gt;=0),SUMPRODUCT(BN579:BQ579,BR579:BU579),"")</f>
        <v>109.4582336985339</v>
      </c>
      <c r="BH579" s="11" t="n">
        <f>IF(COUNT(BC579,BG579)=2,BC579*BG579,"")</f>
        <v>588.3662654692442</v>
      </c>
      <c r="BI579" s="11" t="n">
        <f>IF(ISNUMBER(CI579),CI579,"")</f>
        <v>108.54782970393623</v>
      </c>
      <c r="BJ579" s="8" t="str"/>
      <c r="BK579" s="8" t="str">
        <v>90天：2026-07-20 至 2026-10-17；180天：2026-04-21 至 2026-10-17</v>
      </c>
      <c r="BL579" s="8" t="str">
        <v>90天：2026-10-06、2026-10-07；180天：2026-10-06、2026-10-07</v>
      </c>
      <c r="BM579" s="8" t="str">
        <v>2026-10：12天 × 1.7391279184229513；2026-11：30天 × 1.4002077845513243；2026-12：31天 × 1.079339935625147；2027-01：17天 × 0.7719368903846591</v>
      </c>
      <c r="BN579" s="11" t="n">
        <v>1.7391279184229513</v>
      </c>
      <c r="BO579" s="11" t="n">
        <v>1.4002077845513243</v>
      </c>
      <c r="BP579" s="11" t="n">
        <v>1.079339935625147</v>
      </c>
      <c r="BQ579" s="11" t="n">
        <v>0.7719368903846591</v>
      </c>
      <c r="BR579" s="8" t="n">
        <v>12</v>
      </c>
      <c r="BS579" s="8" t="n">
        <v>30</v>
      </c>
      <c r="BT579" s="8" t="n">
        <v>31</v>
      </c>
      <c r="BU579" s="8" t="n">
        <v>17</v>
      </c>
      <c r="BV579" s="11" t="n">
        <f>IF(COUNT(BC579,BF579)=2,BC579*BF579,"")</f>
        <v>0.9916826357978233</v>
      </c>
      <c r="BW579" s="11" t="n">
        <f>IF(ISNUMBER(BN579),BN579,"")</f>
        <v>1.7391279184229513</v>
      </c>
      <c r="BX579" s="14" t="n">
        <f>IF(ISNUMBER(BR579),BR579,"")</f>
        <v>12</v>
      </c>
      <c r="BY579" s="13" t="n">
        <f>IF(AND(COUNT(BV579,BW579,BX579)=3,MIN(BV579,BW579,BX579)&gt;=0),BV579*BW579*BX579,"")</f>
        <v>20.69595549757505</v>
      </c>
      <c r="BZ579" s="11" t="n">
        <f>IF(ISNUMBER(BO579),BO579,"")</f>
        <v>1.4002077845513243</v>
      </c>
      <c r="CA579" s="14" t="n">
        <f>IF(ISNUMBER(BS579),BS579,"")</f>
        <v>30</v>
      </c>
      <c r="CB579" s="13" t="n">
        <f>IF(AND(COUNT(BV579,BZ579,CA579)=3,MIN(BV579,BZ579,CA579)&gt;=0),BV579*BZ579*CA579,"")</f>
        <v>41.65685239345464</v>
      </c>
      <c r="CC579" s="11" t="n">
        <f>IF(ISNUMBER(BP579),BP579,"")</f>
        <v>1.079339935625147</v>
      </c>
      <c r="CD579" s="14" t="n">
        <f>IF(ISNUMBER(BT579),BT579,"")</f>
        <v>31</v>
      </c>
      <c r="CE579" s="13" t="n">
        <f>IF(AND(COUNT(BV579,CC579,CD579)=3,MIN(BV579,CC579,CD579)&gt;=0),BV579*CC579*CD579,"")</f>
        <v>33.18124284076056</v>
      </c>
      <c r="CF579" s="11" t="n">
        <f>IF(ISNUMBER(BQ579),BQ579,"")</f>
        <v>0.7719368903846591</v>
      </c>
      <c r="CG579" s="14" t="n">
        <f>IF(ISNUMBER(BU579),BU579,"")</f>
        <v>17</v>
      </c>
      <c r="CH579" s="13" t="n">
        <f>IF(AND(COUNT(BV579,CF579,CG579)=3,MIN(BV579,CF579,CG579)&gt;=0),BV579*CF579*CG579,"")</f>
        <v>13.013778972145982</v>
      </c>
      <c r="CI579" s="13" t="n">
        <f>IF(COUNT(BY579,CB579,CE579,CH579)=4,SUM(BY579,CB579,CE579,CH579),"")</f>
        <v>108.54782970393623</v>
      </c>
    </row>
    <row r="580" ht="72" customHeight="1">
      <c r="A580" s="16" t="str">
        <v>2302153-BK-P-Z-8.5</v>
      </c>
      <c r="B580" s="16" t="str">
        <v>3店-SANDIEX-US</v>
      </c>
      <c r="C580" s="16" t="str">
        <v>徐新怡</v>
      </c>
      <c r="D580" s="26" t="n">
        <f>IF(NOT(ISNUMBER(E580)),"",IF(OR(E580&lt;=0,L580=0),0,IF(OR(NOT(ISNUMBER(F580)),F580&lt;0),"",MIN(E580,INT(F580)))))</f>
        <v>0</v>
      </c>
      <c r="E580" s="27" t="n">
        <f>IF(OR(NOT(ISNUMBER(L580)),COUNT(M580:O580)&lt;&gt;3,MIN(M580:O580)&lt;0),"",ROUNDUP(ROUND(BI580-SUM(M580:O580),10),0))</f>
        <v>-56</v>
      </c>
      <c r="F580" s="28" t="n">
        <v>71</v>
      </c>
      <c r="G580" s="28" t="n">
        <f>IF(AND(ISNUMBER(D580),ISNUMBER(E580)),IF(OR(E580&lt;=0,L580=0),0,E580-D580),"")</f>
        <v>0</v>
      </c>
      <c r="H580" s="16" t="str">
        <f>IF(NOT(ISNUMBER(E580)),"销量或海外库存待补",IF(OR(E580&lt;=0,L580=0),IF(L580=0,"零日销，本批不发","本批无需补货"),IF(NOT(ISNUMBER(D580)),"国内库存待补",IF(D580=0,"国内无可用库存",IF(G580&gt;0,"先发国内现货","按建议量发货")))))</f>
        <v>本批无需补货</v>
      </c>
      <c r="I580" s="28" t="n">
        <f>IF(AND(COUNT(Z580,AA580,AB580)=3,Z580&gt;=AA580,AA580&gt;=0,AB580=7),Z580-AA580,"")</f>
        <v>7</v>
      </c>
      <c r="J580" s="28" t="n">
        <f>IF(AND(COUNT(AF580,AG580,AH580)=3,AF580&gt;=AG580,AG580&gt;=0,AH580=14),AF580-AG580,"")</f>
        <v>24</v>
      </c>
      <c r="K580" s="28" t="n">
        <f>IF(AND(COUNT(AL580,AM580,AN580)=3,AL580&gt;=AM580,AM580&gt;=0,AN580=30),AL580-AM580,"")</f>
        <v>59</v>
      </c>
      <c r="L580" s="29" t="n">
        <f>IF(ISNUMBER(BI580),BI580/90,"")</f>
        <v>1.0700978014455922</v>
      </c>
      <c r="M580" s="28" t="n">
        <v>9</v>
      </c>
      <c r="N580" s="28" t="n">
        <v>0</v>
      </c>
      <c r="O580" s="28" t="n">
        <v>143</v>
      </c>
      <c r="P580" s="30" t="n">
        <f>IF(AND(ISNUMBER(L580),L580&gt;0,COUNT(M580:O580)=3,MIN(M580:O580)&gt;=0),SUM(M580:O580)/L580,"")</f>
        <v>142.04309157038134</v>
      </c>
      <c r="Q580" s="16" t="str">
        <v>沿用原计划SKU店铺</v>
      </c>
      <c r="R580" s="16" t="str">
        <v>已匹配</v>
      </c>
      <c r="S580" s="16" t="str">
        <v>在售</v>
      </c>
      <c r="T580" s="16" t="str">
        <v>2302153</v>
      </c>
      <c r="U580" s="16" t="str">
        <v>黑色</v>
      </c>
      <c r="V580" s="16" t="n">
        <v>8.5</v>
      </c>
      <c r="W580" s="8" t="str">
        <v>2026-10-11 至 2026-10-17</v>
      </c>
      <c r="X580" s="8" t="str">
        <v>2026-10-11、2026-10-12、2026-10-13、2026-10-14、2026-10-15、2026-10-16、2026-10-17</v>
      </c>
      <c r="Y580" s="8" t="str">
        <v>无</v>
      </c>
      <c r="Z580" s="8" t="n">
        <v>7</v>
      </c>
      <c r="AA580" s="8" t="n">
        <v>0</v>
      </c>
      <c r="AB580" s="8" t="n">
        <v>7</v>
      </c>
      <c r="AC580" s="8" t="str">
        <v>2026-10-02 至 2026-10-17</v>
      </c>
      <c r="AD580" s="8" t="str">
        <v>2026-10-02、2026-10-03、2026-10-04、2026-10-05、2026-10-08、2026-10-09、2026-10-10、2026-10-11、2026-10-12、2026-10-13、2026-10-14、2026-10-15、2026-10-16、2026-10-17</v>
      </c>
      <c r="AE580" s="8" t="str">
        <v>2026-10-06 大促；2026-10-07 大促</v>
      </c>
      <c r="AF580" s="8" t="n">
        <v>35</v>
      </c>
      <c r="AG580" s="8" t="n">
        <v>11</v>
      </c>
      <c r="AH580" s="8" t="n">
        <v>14</v>
      </c>
      <c r="AI580" s="8" t="str">
        <v>2026-09-16 至 2026-10-17</v>
      </c>
      <c r="AJ5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0" s="8" t="str">
        <v>2026-10-06 大促；2026-10-07 大促</v>
      </c>
      <c r="AL580" s="8" t="n">
        <v>70</v>
      </c>
      <c r="AM580" s="8" t="n">
        <v>11</v>
      </c>
      <c r="AN580" s="8" t="n">
        <v>30</v>
      </c>
      <c r="AO580" s="8" t="str">
        <v>2302153 / 黑色PU / 6574</v>
      </c>
      <c r="AP580" s="11" t="n">
        <v>1.7391279184229513</v>
      </c>
      <c r="AQ580" s="11" t="n">
        <v>1.7391279184229513</v>
      </c>
      <c r="AR580" s="11" t="n">
        <v>1.5731892896917212</v>
      </c>
      <c r="AS580" s="11" t="n">
        <f>IF(AND(COUNT(I580:K580,AP580:AR580)=6,MIN(AP580:AR580)&gt;0),I580/7/AP580*0.5+J580/14/AQ580*0.3+K580/30/AR580*0.2,"")</f>
        <v>0.833238019958422</v>
      </c>
      <c r="AT580" s="8" t="n">
        <v>150</v>
      </c>
      <c r="AU580" s="8" t="n">
        <v>11</v>
      </c>
      <c r="AV580" s="8" t="n">
        <v>88</v>
      </c>
      <c r="AW580" s="11" t="n">
        <f>IF(AND(COUNT(AT580:AV580)=3,AT580&gt;=AU580,AU580&gt;=0,AV580&gt;0),(AT580-AU580)/AV580,"")</f>
        <v>1.5795454545454546</v>
      </c>
      <c r="AX580" s="8" t="n">
        <v>263</v>
      </c>
      <c r="AY580" s="8" t="n">
        <v>11</v>
      </c>
      <c r="AZ580" s="8" t="n">
        <v>178</v>
      </c>
      <c r="BA580" s="11" t="n">
        <f>IF(AND(COUNT(AX580:AZ580)=3,AX580&gt;=AY580,AY580&gt;=0,AZ580&gt;0),(AX580-AY580)/AZ580,"")</f>
        <v>1.4157303370786516</v>
      </c>
      <c r="BB580" s="8" t="n">
        <f>IF(COUNT(AS580,AW580,BA580)=3,1,0)</f>
        <v>1</v>
      </c>
      <c r="BC580" s="11" t="n">
        <f>IF(SUMIF($AO$11:$AO$1309,AO580,$BB$11:$BB$1309)=COUNTIF($AO$11:$AO$1309,AO580),SUMIF($AO$11:$AO$1309,AO580,$AS$11:$AS$1309),"")</f>
        <v>5.375258174635837</v>
      </c>
      <c r="BD580" s="11" t="n">
        <f>IF(SUMIF($AO$11:$AO$1309,AO580,$BB$11:$BB$1309)=COUNTIF($AO$11:$AO$1309,AO580),SUMIF($AO$11:$AO$1309,AO580,$AW$11:$AW$1309),"")</f>
        <v>9.488636363636365</v>
      </c>
      <c r="BE580" s="11" t="n">
        <f>IF(SUMIF($AO$11:$AO$1309,AO580,$BB$11:$BB$1309)=COUNTIF($AO$11:$AO$1309,AO580),SUMIF($AO$11:$AO$1309,AO580,$BA$11:$BA$1309),"")</f>
        <v>9.005617977528088</v>
      </c>
      <c r="BF580" s="12" t="n">
        <f>IF(COUNT(BD580:BE580)&lt;&gt;2,"",IF(AND(BD580&gt;0,BE580&gt;0),0.7*AW580/BD580+0.3*BA580/BE580,IF(BD580&gt;0,AW580/BD580,IF(BE580&gt;0,BA580/BE580,IF(AND(ISNUMBER(BH580),BH580=0),0,"")))))</f>
        <v>0.16368851816018617</v>
      </c>
      <c r="BG580" s="11" t="n">
        <f>IF(AND(COUNT(BN580:BU580)=8,MIN(BN580:BU580)&gt;=0),SUMPRODUCT(BN580:BQ580,BR580:BU580),"")</f>
        <v>109.4582336985339</v>
      </c>
      <c r="BH580" s="11" t="n">
        <f>IF(COUNT(BC580,BG580)=2,BC580*BG580,"")</f>
        <v>588.3662654692442</v>
      </c>
      <c r="BI580" s="11" t="n">
        <f>IF(ISNUMBER(CI580),CI580,"")</f>
        <v>96.30880213010329</v>
      </c>
      <c r="BJ580" s="8" t="str"/>
      <c r="BK580" s="8" t="str">
        <v>90天：2026-07-20 至 2026-10-17；180天：2026-04-21 至 2026-10-17</v>
      </c>
      <c r="BL580" s="8" t="str">
        <v>90天：2026-10-06、2026-10-07；180天：2026-10-06、2026-10-07</v>
      </c>
      <c r="BM580" s="8" t="str">
        <v>2026-10：12天 × 1.7391279184229513；2026-11：30天 × 1.4002077845513243；2026-12：31天 × 1.079339935625147；2027-01：17天 × 0.7719368903846591</v>
      </c>
      <c r="BN580" s="11" t="n">
        <v>1.7391279184229513</v>
      </c>
      <c r="BO580" s="11" t="n">
        <v>1.4002077845513243</v>
      </c>
      <c r="BP580" s="11" t="n">
        <v>1.079339935625147</v>
      </c>
      <c r="BQ580" s="11" t="n">
        <v>0.7719368903846591</v>
      </c>
      <c r="BR580" s="8" t="n">
        <v>12</v>
      </c>
      <c r="BS580" s="8" t="n">
        <v>30</v>
      </c>
      <c r="BT580" s="8" t="n">
        <v>31</v>
      </c>
      <c r="BU580" s="8" t="n">
        <v>17</v>
      </c>
      <c r="BV580" s="11" t="n">
        <f>IF(COUNT(BC580,BF580)=2,BC580*BF580,"")</f>
        <v>0.8798680453345674</v>
      </c>
      <c r="BW580" s="11" t="n">
        <f>IF(ISNUMBER(BN580),BN580,"")</f>
        <v>1.7391279184229513</v>
      </c>
      <c r="BX580" s="14" t="n">
        <f>IF(ISNUMBER(BR580),BR580,"")</f>
        <v>12</v>
      </c>
      <c r="BY580" s="13" t="n">
        <f>IF(AND(COUNT(BV580,BW580,BX580)=3,MIN(BV580,BW580,BX580)&gt;=0),BV580*BW580*BX580,"")</f>
        <v>18.362436986034925</v>
      </c>
      <c r="BZ580" s="11" t="n">
        <f>IF(ISNUMBER(BO580),BO580,"")</f>
        <v>1.4002077845513243</v>
      </c>
      <c r="CA580" s="14" t="n">
        <f>IF(ISNUMBER(BS580),BS580,"")</f>
        <v>30</v>
      </c>
      <c r="CB580" s="13" t="n">
        <f>IF(AND(COUNT(BV580,BZ580,CA580)=3,MIN(BV580,BZ580,CA580)&gt;=0),BV580*BZ580*CA580,"")</f>
        <v>36.95994259366256</v>
      </c>
      <c r="CC580" s="11" t="n">
        <f>IF(ISNUMBER(BP580),BP580,"")</f>
        <v>1.079339935625147</v>
      </c>
      <c r="CD580" s="14" t="n">
        <f>IF(ISNUMBER(BT580),BT580,"")</f>
        <v>31</v>
      </c>
      <c r="CE580" s="13" t="n">
        <f>IF(AND(COUNT(BV580,CC580,CD580)=3,MIN(BV580,CC580,CD580)&gt;=0),BV580*CC580*CD580,"")</f>
        <v>29.43997830171111</v>
      </c>
      <c r="CF580" s="11" t="n">
        <f>IF(ISNUMBER(BQ580),BQ580,"")</f>
        <v>0.7719368903846591</v>
      </c>
      <c r="CG580" s="14" t="n">
        <f>IF(ISNUMBER(BU580),BU580,"")</f>
        <v>17</v>
      </c>
      <c r="CH580" s="13" t="n">
        <f>IF(AND(COUNT(BV580,CF580,CG580)=3,MIN(BV580,CF580,CG580)&gt;=0),BV580*CF580*CG580,"")</f>
        <v>11.546444248694701</v>
      </c>
      <c r="CI580" s="13" t="n">
        <f>IF(COUNT(BY580,CB580,CE580,CH580)=4,SUM(BY580,CB580,CE580,CH580),"")</f>
        <v>96.30880213010329</v>
      </c>
    </row>
    <row r="581" ht="72" customHeight="1">
      <c r="A581" s="16" t="str">
        <v>2302153-BK-P-Z-9</v>
      </c>
      <c r="B581" s="16" t="str">
        <v>3店-SANDIEX-US</v>
      </c>
      <c r="C581" s="16" t="str">
        <v>徐新怡</v>
      </c>
      <c r="D581" s="26" t="n">
        <f>IF(NOT(ISNUMBER(E581)),"",IF(OR(E581&lt;=0,L581=0),0,IF(OR(NOT(ISNUMBER(F581)),F581&lt;0),"",MIN(E581,INT(F581)))))</f>
        <v>0</v>
      </c>
      <c r="E581" s="27" t="n">
        <f>IF(OR(NOT(ISNUMBER(L581)),COUNT(M581:O581)&lt;&gt;3,MIN(M581:O581)&lt;0),"",ROUNDUP(ROUND(BI581-SUM(M581:O581),10),0))</f>
        <v>-91</v>
      </c>
      <c r="F581" s="28" t="n">
        <v>37</v>
      </c>
      <c r="G581" s="28" t="n">
        <f>IF(AND(ISNUMBER(D581),ISNUMBER(E581)),IF(OR(E581&lt;=0,L581=0),0,E581-D581),"")</f>
        <v>0</v>
      </c>
      <c r="H581" s="16" t="str">
        <f>IF(NOT(ISNUMBER(E581)),"销量或海外库存待补",IF(OR(E581&lt;=0,L581=0),IF(L581=0,"零日销，本批不发","本批无需补货"),IF(NOT(ISNUMBER(D581)),"国内库存待补",IF(D581=0,"国内无可用库存",IF(G581&gt;0,"先发国内现货","按建议量发货")))))</f>
        <v>本批无需补货</v>
      </c>
      <c r="I581" s="28" t="n">
        <f>IF(AND(COUNT(Z581,AA581,AB581)=3,Z581&gt;=AA581,AA581&gt;=0,AB581=7),Z581-AA581,"")</f>
        <v>6</v>
      </c>
      <c r="J581" s="28" t="n">
        <f>IF(AND(COUNT(AF581,AG581,AH581)=3,AF581&gt;=AG581,AG581&gt;=0,AH581=14),AF581-AG581,"")</f>
        <v>16</v>
      </c>
      <c r="K581" s="28" t="n">
        <f>IF(AND(COUNT(AL581,AM581,AN581)=3,AL581&gt;=AM581,AM581&gt;=0,AN581=30),AL581-AM581,"")</f>
        <v>49</v>
      </c>
      <c r="L581" s="29" t="n">
        <f>IF(ISNUMBER(BI581),BI581/90,"")</f>
        <v>1.193265724856246</v>
      </c>
      <c r="M581" s="28" t="n">
        <v>14</v>
      </c>
      <c r="N581" s="28" t="n">
        <v>0</v>
      </c>
      <c r="O581" s="28" t="n">
        <v>184</v>
      </c>
      <c r="P581" s="30" t="n">
        <f>IF(AND(ISNUMBER(L581),L581&gt;0,COUNT(M581:O581)=3,MIN(M581:O581)&gt;=0),SUM(M581:O581)/L581,"")</f>
        <v>165.93118856560912</v>
      </c>
      <c r="Q581" s="16" t="str">
        <v>沿用原计划SKU店铺</v>
      </c>
      <c r="R581" s="16" t="str">
        <v>已匹配</v>
      </c>
      <c r="S581" s="16" t="str">
        <v>在售</v>
      </c>
      <c r="T581" s="16" t="str">
        <v>2302153</v>
      </c>
      <c r="U581" s="16" t="str">
        <v>黑色</v>
      </c>
      <c r="V581" s="16" t="n">
        <v>9</v>
      </c>
      <c r="W581" s="8" t="str">
        <v>2026-10-11 至 2026-10-17</v>
      </c>
      <c r="X581" s="8" t="str">
        <v>2026-10-11、2026-10-12、2026-10-13、2026-10-14、2026-10-15、2026-10-16、2026-10-17</v>
      </c>
      <c r="Y581" s="8" t="str">
        <v>无</v>
      </c>
      <c r="Z581" s="8" t="n">
        <v>6</v>
      </c>
      <c r="AA581" s="8" t="n">
        <v>0</v>
      </c>
      <c r="AB581" s="8" t="n">
        <v>7</v>
      </c>
      <c r="AC581" s="8" t="str">
        <v>2026-10-02 至 2026-10-17</v>
      </c>
      <c r="AD581" s="8" t="str">
        <v>2026-10-02、2026-10-03、2026-10-04、2026-10-05、2026-10-08、2026-10-09、2026-10-10、2026-10-11、2026-10-12、2026-10-13、2026-10-14、2026-10-15、2026-10-16、2026-10-17</v>
      </c>
      <c r="AE581" s="8" t="str">
        <v>2026-10-06 大促；2026-10-07 大促</v>
      </c>
      <c r="AF581" s="8" t="n">
        <v>25</v>
      </c>
      <c r="AG581" s="8" t="n">
        <v>9</v>
      </c>
      <c r="AH581" s="8" t="n">
        <v>14</v>
      </c>
      <c r="AI581" s="8" t="str">
        <v>2026-09-16 至 2026-10-17</v>
      </c>
      <c r="AJ5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1" s="8" t="str">
        <v>2026-10-06 大促；2026-10-07 大促</v>
      </c>
      <c r="AL581" s="8" t="n">
        <v>58</v>
      </c>
      <c r="AM581" s="8" t="n">
        <v>9</v>
      </c>
      <c r="AN581" s="8" t="n">
        <v>30</v>
      </c>
      <c r="AO581" s="8" t="str">
        <v>2302153 / 黑色PU / 6574</v>
      </c>
      <c r="AP581" s="11" t="n">
        <v>1.7391279184229513</v>
      </c>
      <c r="AQ581" s="11" t="n">
        <v>1.7391279184229513</v>
      </c>
      <c r="AR581" s="11" t="n">
        <v>1.5731892896917212</v>
      </c>
      <c r="AS581" s="11" t="n">
        <f>IF(AND(COUNT(I581:K581,AP581:AR581)=6,MIN(AP581:AR581)&gt;0),I581/7/AP581*0.5+J581/14/AQ581*0.3+K581/30/AR581*0.2,"")</f>
        <v>0.651218199682666</v>
      </c>
      <c r="AT581" s="8" t="n">
        <v>164</v>
      </c>
      <c r="AU581" s="8" t="n">
        <v>9</v>
      </c>
      <c r="AV581" s="8" t="n">
        <v>88</v>
      </c>
      <c r="AW581" s="11" t="n">
        <f>IF(AND(COUNT(AT581:AV581)=3,AT581&gt;=AU581,AU581&gt;=0,AV581&gt;0),(AT581-AU581)/AV581,"")</f>
        <v>1.7613636363636365</v>
      </c>
      <c r="AX581" s="8" t="n">
        <v>290</v>
      </c>
      <c r="AY581" s="8" t="n">
        <v>9</v>
      </c>
      <c r="AZ581" s="8" t="n">
        <v>178</v>
      </c>
      <c r="BA581" s="11" t="n">
        <f>IF(AND(COUNT(AX581:AZ581)=3,AX581&gt;=AY581,AY581&gt;=0,AZ581&gt;0),(AX581-AY581)/AZ581,"")</f>
        <v>1.5786516853932584</v>
      </c>
      <c r="BB581" s="8" t="n">
        <f>IF(COUNT(AS581,AW581,BA581)=3,1,0)</f>
        <v>1</v>
      </c>
      <c r="BC581" s="11" t="n">
        <f>IF(SUMIF($AO$11:$AO$1309,AO581,$BB$11:$BB$1309)=COUNTIF($AO$11:$AO$1309,AO581),SUMIF($AO$11:$AO$1309,AO581,$AS$11:$AS$1309),"")</f>
        <v>5.375258174635837</v>
      </c>
      <c r="BD581" s="11" t="n">
        <f>IF(SUMIF($AO$11:$AO$1309,AO581,$BB$11:$BB$1309)=COUNTIF($AO$11:$AO$1309,AO581),SUMIF($AO$11:$AO$1309,AO581,$AW$11:$AW$1309),"")</f>
        <v>9.488636363636365</v>
      </c>
      <c r="BE581" s="11" t="n">
        <f>IF(SUMIF($AO$11:$AO$1309,AO581,$BB$11:$BB$1309)=COUNTIF($AO$11:$AO$1309,AO581),SUMIF($AO$11:$AO$1309,AO581,$BA$11:$BA$1309),"")</f>
        <v>9.005617977528088</v>
      </c>
      <c r="BF581" s="12" t="n">
        <f>IF(COUNT(BD581:BE581)&lt;&gt;2,"",IF(AND(BD581&gt;0,BE581&gt;0),0.7*AW581/BD581+0.3*BA581/BE581,IF(BD581&gt;0,AW581/BD581,IF(BE581&gt;0,BA581/BE581,IF(AND(ISNUMBER(BH581),BH581=0),0,"")))))</f>
        <v>0.18252901558081588</v>
      </c>
      <c r="BG581" s="11" t="n">
        <f>IF(AND(COUNT(BN581:BU581)=8,MIN(BN581:BU581)&gt;=0),SUMPRODUCT(BN581:BQ581,BR581:BU581),"")</f>
        <v>109.4582336985339</v>
      </c>
      <c r="BH581" s="11" t="n">
        <f>IF(COUNT(BC581,BG581)=2,BC581*BG581,"")</f>
        <v>588.3662654692442</v>
      </c>
      <c r="BI581" s="11" t="n">
        <f>IF(ISNUMBER(CI581),CI581,"")</f>
        <v>107.39391523706213</v>
      </c>
      <c r="BJ581" s="8" t="str"/>
      <c r="BK581" s="8" t="str">
        <v>90天：2026-07-20 至 2026-10-17；180天：2026-04-21 至 2026-10-17</v>
      </c>
      <c r="BL581" s="8" t="str">
        <v>90天：2026-10-06、2026-10-07；180天：2026-10-06、2026-10-07</v>
      </c>
      <c r="BM581" s="8" t="str">
        <v>2026-10：12天 × 1.7391279184229513；2026-11：30天 × 1.4002077845513243；2026-12：31天 × 1.079339935625147；2027-01：17天 × 0.7719368903846591</v>
      </c>
      <c r="BN581" s="11" t="n">
        <v>1.7391279184229513</v>
      </c>
      <c r="BO581" s="11" t="n">
        <v>1.4002077845513243</v>
      </c>
      <c r="BP581" s="11" t="n">
        <v>1.079339935625147</v>
      </c>
      <c r="BQ581" s="11" t="n">
        <v>0.7719368903846591</v>
      </c>
      <c r="BR581" s="8" t="n">
        <v>12</v>
      </c>
      <c r="BS581" s="8" t="n">
        <v>30</v>
      </c>
      <c r="BT581" s="8" t="n">
        <v>31</v>
      </c>
      <c r="BU581" s="8" t="n">
        <v>17</v>
      </c>
      <c r="BV581" s="11" t="n">
        <f>IF(COUNT(BC581,BF581)=2,BC581*BF581,"")</f>
        <v>0.9811405831090126</v>
      </c>
      <c r="BW581" s="11" t="n">
        <f>IF(ISNUMBER(BN581),BN581,"")</f>
        <v>1.7391279184229513</v>
      </c>
      <c r="BX581" s="14" t="n">
        <f>IF(ISNUMBER(BR581),BR581,"")</f>
        <v>12</v>
      </c>
      <c r="BY581" s="13" t="n">
        <f>IF(AND(COUNT(BV581,BW581,BX581)=3,MIN(BV581,BW581,BX581)&gt;=0),BV581*BW581*BX581,"")</f>
        <v>20.475947759791893</v>
      </c>
      <c r="BZ581" s="11" t="n">
        <f>IF(ISNUMBER(BO581),BO581,"")</f>
        <v>1.4002077845513243</v>
      </c>
      <c r="CA581" s="14" t="n">
        <f>IF(ISNUMBER(BS581),BS581,"")</f>
        <v>30</v>
      </c>
      <c r="CB581" s="13" t="n">
        <f>IF(AND(COUNT(BV581,BZ581,CA581)=3,MIN(BV581,BZ581,CA581)&gt;=0),BV581*BZ581*CA581,"")</f>
        <v>41.214020466253956</v>
      </c>
      <c r="CC581" s="11" t="n">
        <f>IF(ISNUMBER(BP581),BP581,"")</f>
        <v>1.079339935625147</v>
      </c>
      <c r="CD581" s="14" t="n">
        <f>IF(ISNUMBER(BT581),BT581,"")</f>
        <v>31</v>
      </c>
      <c r="CE581" s="13" t="n">
        <f>IF(AND(COUNT(BV581,CC581,CD581)=3,MIN(BV581,CC581,CD581)&gt;=0),BV581*CC581*CD581,"")</f>
        <v>32.828510628175124</v>
      </c>
      <c r="CF581" s="11" t="n">
        <f>IF(ISNUMBER(BQ581),BQ581,"")</f>
        <v>0.7719368903846591</v>
      </c>
      <c r="CG581" s="14" t="n">
        <f>IF(ISNUMBER(BU581),BU581,"")</f>
        <v>17</v>
      </c>
      <c r="CH581" s="13" t="n">
        <f>IF(AND(COUNT(BV581,CF581,CG581)=3,MIN(BV581,CF581,CG581)&gt;=0),BV581*CF581*CG581,"")</f>
        <v>12.87543638284116</v>
      </c>
      <c r="CI581" s="13" t="n">
        <f>IF(COUNT(BY581,CB581,CE581,CH581)=4,SUM(BY581,CB581,CE581,CH581),"")</f>
        <v>107.39391523706213</v>
      </c>
    </row>
    <row r="582" ht="72" customHeight="1">
      <c r="A582" s="16" t="str">
        <v>2302153-BK-P-Z-9.5</v>
      </c>
      <c r="B582" s="16" t="str">
        <v>3店-SANDIEX-US</v>
      </c>
      <c r="C582" s="16" t="str">
        <v>徐新怡</v>
      </c>
      <c r="D582" s="26" t="n">
        <f>IF(NOT(ISNUMBER(E582)),"",IF(OR(E582&lt;=0,L582=0),0,IF(OR(NOT(ISNUMBER(F582)),F582&lt;0),"",MIN(E582,INT(F582)))))</f>
        <v>0</v>
      </c>
      <c r="E582" s="27" t="n">
        <f>IF(OR(NOT(ISNUMBER(L582)),COUNT(M582:O582)&lt;&gt;3,MIN(M582:O582)&lt;0),"",ROUNDUP(ROUND(BI582-SUM(M582:O582),10),0))</f>
        <v>-25</v>
      </c>
      <c r="F582" s="28" t="n">
        <v>124</v>
      </c>
      <c r="G582" s="28" t="n">
        <f>IF(AND(ISNUMBER(D582),ISNUMBER(E582)),IF(OR(E582&lt;=0,L582=0),0,E582-D582),"")</f>
        <v>0</v>
      </c>
      <c r="H582" s="16" t="str">
        <f>IF(NOT(ISNUMBER(E582)),"销量或海外库存待补",IF(OR(E582&lt;=0,L582=0),IF(L582=0,"零日销，本批不发","本批无需补货"),IF(NOT(ISNUMBER(D582)),"国内库存待补",IF(D582=0,"国内无可用库存",IF(G582&gt;0,"先发国内现货","按建议量发货")))))</f>
        <v>本批无需补货</v>
      </c>
      <c r="I582" s="28" t="n">
        <f>IF(AND(COUNT(Z582,AA582,AB582)=3,Z582&gt;=AA582,AA582&gt;=0,AB582=7),Z582-AA582,"")</f>
        <v>11</v>
      </c>
      <c r="J582" s="28" t="n">
        <f>IF(AND(COUNT(AF582,AG582,AH582)=3,AF582&gt;=AG582,AG582&gt;=0,AH582=14),AF582-AG582,"")</f>
        <v>25</v>
      </c>
      <c r="K582" s="28" t="n">
        <f>IF(AND(COUNT(AL582,AM582,AN582)=3,AL582&gt;=AM582,AM582&gt;=0,AN582=30),AL582-AM582,"")</f>
        <v>43</v>
      </c>
      <c r="L582" s="29" t="n">
        <f>IF(ISNUMBER(BI582),BI582/90,"")</f>
        <v>0.7018678065744035</v>
      </c>
      <c r="M582" s="28" t="n">
        <v>86</v>
      </c>
      <c r="N582" s="28" t="n">
        <v>1</v>
      </c>
      <c r="O582" s="28" t="n">
        <v>1</v>
      </c>
      <c r="P582" s="30" t="n">
        <f>IF(AND(ISNUMBER(L582),L582&gt;0,COUNT(M582:O582)=3,MIN(M582:O582)&gt;=0),SUM(M582:O582)/L582,"")</f>
        <v>125.37973557941115</v>
      </c>
      <c r="Q582" s="16" t="str">
        <v>沿用原计划SKU店铺</v>
      </c>
      <c r="R582" s="16" t="str">
        <v>已匹配</v>
      </c>
      <c r="S582" s="16" t="str">
        <v>在售</v>
      </c>
      <c r="T582" s="16" t="str">
        <v>2302153</v>
      </c>
      <c r="U582" s="16" t="str">
        <v>黑色</v>
      </c>
      <c r="V582" s="16" t="n">
        <v>9.5</v>
      </c>
      <c r="W582" s="8" t="str">
        <v>2026-10-11 至 2026-10-17</v>
      </c>
      <c r="X582" s="8" t="str">
        <v>2026-10-11、2026-10-12、2026-10-13、2026-10-14、2026-10-15、2026-10-16、2026-10-17</v>
      </c>
      <c r="Y582" s="8" t="str">
        <v>无</v>
      </c>
      <c r="Z582" s="8" t="n">
        <v>11</v>
      </c>
      <c r="AA582" s="8" t="n">
        <v>0</v>
      </c>
      <c r="AB582" s="8" t="n">
        <v>7</v>
      </c>
      <c r="AC582" s="8" t="str">
        <v>2026-10-02 至 2026-10-17</v>
      </c>
      <c r="AD582" s="8" t="str">
        <v>2026-10-02、2026-10-03、2026-10-04、2026-10-05、2026-10-08、2026-10-09、2026-10-10、2026-10-11、2026-10-12、2026-10-13、2026-10-14、2026-10-15、2026-10-16、2026-10-17</v>
      </c>
      <c r="AE582" s="8" t="str">
        <v>2026-10-06 大促；2026-10-07 大促</v>
      </c>
      <c r="AF582" s="8" t="n">
        <v>27</v>
      </c>
      <c r="AG582" s="8" t="n">
        <v>2</v>
      </c>
      <c r="AH582" s="8" t="n">
        <v>14</v>
      </c>
      <c r="AI582" s="8" t="str">
        <v>2026-09-16 至 2026-10-17</v>
      </c>
      <c r="AJ5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2" s="8" t="str">
        <v>2026-10-06 大促；2026-10-07 大促</v>
      </c>
      <c r="AL582" s="8" t="n">
        <v>45</v>
      </c>
      <c r="AM582" s="8" t="n">
        <v>2</v>
      </c>
      <c r="AN582" s="8" t="n">
        <v>30</v>
      </c>
      <c r="AO582" s="8" t="str">
        <v>2302153 / 黑色PU / 6574</v>
      </c>
      <c r="AP582" s="11" t="n">
        <v>1.7391279184229513</v>
      </c>
      <c r="AQ582" s="11" t="n">
        <v>1.7391279184229513</v>
      </c>
      <c r="AR582" s="11" t="n">
        <v>1.5731892896917212</v>
      </c>
      <c r="AS582" s="11" t="n">
        <f>IF(AND(COUNT(I582:K582,AP582:AR582)=6,MIN(AP582:AR582)&gt;0),I582/7/AP582*0.5+J582/14/AQ582*0.3+K582/30/AR582*0.2,"")</f>
        <v>0.9420426006181608</v>
      </c>
      <c r="AT582" s="8" t="n">
        <v>91</v>
      </c>
      <c r="AU582" s="8" t="n">
        <v>2</v>
      </c>
      <c r="AV582" s="8" t="n">
        <v>88</v>
      </c>
      <c r="AW582" s="11" t="n">
        <f>IF(AND(COUNT(AT582:AV582)=3,AT582&gt;=AU582,AU582&gt;=0,AV582&gt;0),(AT582-AU582)/AV582,"")</f>
        <v>1.0113636363636365</v>
      </c>
      <c r="AX582" s="8" t="n">
        <v>177</v>
      </c>
      <c r="AY582" s="8" t="n">
        <v>2</v>
      </c>
      <c r="AZ582" s="8" t="n">
        <v>178</v>
      </c>
      <c r="BA582" s="11" t="n">
        <f>IF(AND(COUNT(AX582:AZ582)=3,AX582&gt;=AY582,AY582&gt;=0,AZ582&gt;0),(AX582-AY582)/AZ582,"")</f>
        <v>0.9831460674157303</v>
      </c>
      <c r="BB582" s="8" t="n">
        <f>IF(COUNT(AS582,AW582,BA582)=3,1,0)</f>
        <v>1</v>
      </c>
      <c r="BC582" s="11" t="n">
        <f>IF(SUMIF($AO$11:$AO$1309,AO582,$BB$11:$BB$1309)=COUNTIF($AO$11:$AO$1309,AO582),SUMIF($AO$11:$AO$1309,AO582,$AS$11:$AS$1309),"")</f>
        <v>5.375258174635837</v>
      </c>
      <c r="BD582" s="11" t="n">
        <f>IF(SUMIF($AO$11:$AO$1309,AO582,$BB$11:$BB$1309)=COUNTIF($AO$11:$AO$1309,AO582),SUMIF($AO$11:$AO$1309,AO582,$AW$11:$AW$1309),"")</f>
        <v>9.488636363636365</v>
      </c>
      <c r="BE582" s="11" t="n">
        <f>IF(SUMIF($AO$11:$AO$1309,AO582,$BB$11:$BB$1309)=COUNTIF($AO$11:$AO$1309,AO582),SUMIF($AO$11:$AO$1309,AO582,$BA$11:$BA$1309),"")</f>
        <v>9.005617977528088</v>
      </c>
      <c r="BF582" s="12" t="n">
        <f>IF(COUNT(BD582:BE582)&lt;&gt;2,"",IF(AND(BD582&gt;0,BE582&gt;0),0.7*AW582/BD582+0.3*BA582/BE582,IF(BD582&gt;0,AW582/BD582,IF(BE582&gt;0,BA582/BE582,IF(AND(ISNUMBER(BH582),BH582=0),0,"")))))</f>
        <v>0.10736187014617055</v>
      </c>
      <c r="BG582" s="11" t="n">
        <f>IF(AND(COUNT(BN582:BU582)=8,MIN(BN582:BU582)&gt;=0),SUMPRODUCT(BN582:BQ582,BR582:BU582),"")</f>
        <v>109.4582336985339</v>
      </c>
      <c r="BH582" s="11" t="n">
        <f>IF(COUNT(BC582,BG582)=2,BC582*BG582,"")</f>
        <v>588.3662654692442</v>
      </c>
      <c r="BI582" s="11" t="n">
        <f>IF(ISNUMBER(CI582),CI582,"")</f>
        <v>63.16810259169632</v>
      </c>
      <c r="BJ582" s="8" t="str"/>
      <c r="BK582" s="8" t="str">
        <v>90天：2026-07-20 至 2026-10-17；180天：2026-04-21 至 2026-10-17</v>
      </c>
      <c r="BL582" s="8" t="str">
        <v>90天：2026-10-06、2026-10-07；180天：2026-10-06、2026-10-07</v>
      </c>
      <c r="BM582" s="8" t="str">
        <v>2026-10：12天 × 1.7391279184229513；2026-11：30天 × 1.4002077845513243；2026-12：31天 × 1.079339935625147；2027-01：17天 × 0.7719368903846591</v>
      </c>
      <c r="BN582" s="11" t="n">
        <v>1.7391279184229513</v>
      </c>
      <c r="BO582" s="11" t="n">
        <v>1.4002077845513243</v>
      </c>
      <c r="BP582" s="11" t="n">
        <v>1.079339935625147</v>
      </c>
      <c r="BQ582" s="11" t="n">
        <v>0.7719368903846591</v>
      </c>
      <c r="BR582" s="8" t="n">
        <v>12</v>
      </c>
      <c r="BS582" s="8" t="n">
        <v>30</v>
      </c>
      <c r="BT582" s="8" t="n">
        <v>31</v>
      </c>
      <c r="BU582" s="8" t="n">
        <v>17</v>
      </c>
      <c r="BV582" s="11" t="n">
        <f>IF(COUNT(BC582,BF582)=2,BC582*BF582,"")</f>
        <v>0.5770977701473945</v>
      </c>
      <c r="BW582" s="11" t="n">
        <f>IF(ISNUMBER(BN582),BN582,"")</f>
        <v>1.7391279184229513</v>
      </c>
      <c r="BX582" s="14" t="n">
        <f>IF(ISNUMBER(BR582),BR582,"")</f>
        <v>12</v>
      </c>
      <c r="BY582" s="13" t="n">
        <f>IF(AND(COUNT(BV582,BW582,BX582)=3,MIN(BV582,BW582,BX582)&gt;=0),BV582*BW582*BX582,"")</f>
        <v>12.043762124675581</v>
      </c>
      <c r="BZ582" s="11" t="n">
        <f>IF(ISNUMBER(BO582),BO582,"")</f>
        <v>1.4002077845513243</v>
      </c>
      <c r="CA582" s="14" t="n">
        <f>IF(ISNUMBER(BS582),BS582,"")</f>
        <v>30</v>
      </c>
      <c r="CB582" s="13" t="n">
        <f>IF(AND(COUNT(BV582,BZ582,CA582)=3,MIN(BV582,BZ582,CA582)&gt;=0),BV582*BZ582*CA582,"")</f>
        <v>24.24170370622778</v>
      </c>
      <c r="CC582" s="11" t="n">
        <f>IF(ISNUMBER(BP582),BP582,"")</f>
        <v>1.079339935625147</v>
      </c>
      <c r="CD582" s="14" t="n">
        <f>IF(ISNUMBER(BT582),BT582,"")</f>
        <v>31</v>
      </c>
      <c r="CE582" s="13" t="n">
        <f>IF(AND(COUNT(BV582,CC582,CD582)=3,MIN(BV582,CC582,CD582)&gt;=0),BV582*CC582*CD582,"")</f>
        <v>19.309424772489447</v>
      </c>
      <c r="CF582" s="11" t="n">
        <f>IF(ISNUMBER(BQ582),BQ582,"")</f>
        <v>0.7719368903846591</v>
      </c>
      <c r="CG582" s="14" t="n">
        <f>IF(ISNUMBER(BU582),BU582,"")</f>
        <v>17</v>
      </c>
      <c r="CH582" s="13" t="n">
        <f>IF(AND(COUNT(BV582,CF582,CG582)=3,MIN(BV582,CF582,CG582)&gt;=0),BV582*CF582*CG582,"")</f>
        <v>7.573211988303507</v>
      </c>
      <c r="CI582" s="13" t="n">
        <f>IF(COUNT(BY582,CB582,CE582,CH582)=4,SUM(BY582,CB582,CE582,CH582),"")</f>
        <v>63.16810259169632</v>
      </c>
    </row>
    <row r="583" ht="72" customHeight="1">
      <c r="A583" s="16" t="str">
        <v>2302153-BK-S-Z-10</v>
      </c>
      <c r="B583" s="16" t="str">
        <v>3店-SANDIEX-US</v>
      </c>
      <c r="C583" s="16" t="str">
        <v>徐新怡</v>
      </c>
      <c r="D583" s="26" t="n">
        <f>IF(NOT(ISNUMBER(E583)),"",IF(OR(E583&lt;=0,L583=0),0,IF(OR(NOT(ISNUMBER(F583)),F583&lt;0),"",MIN(E583,INT(F583)))))</f>
        <v>0</v>
      </c>
      <c r="E583" s="27" t="n">
        <f>IF(OR(NOT(ISNUMBER(L583)),COUNT(M583:O583)&lt;&gt;3,MIN(M583:O583)&lt;0),"",ROUNDUP(ROUND(BI583-SUM(M583:O583),10),0))</f>
        <v>-84</v>
      </c>
      <c r="F583" s="28" t="n">
        <v>17</v>
      </c>
      <c r="G583" s="28" t="n">
        <f>IF(AND(ISNUMBER(D583),ISNUMBER(E583)),IF(OR(E583&lt;=0,L583=0),0,E583-D583),"")</f>
        <v>0</v>
      </c>
      <c r="H583" s="16" t="str">
        <f>IF(NOT(ISNUMBER(E583)),"销量或海外库存待补",IF(OR(E583&lt;=0,L583=0),IF(L583=0,"零日销，本批不发","本批无需补货"),IF(NOT(ISNUMBER(D583)),"国内库存待补",IF(D583=0,"国内无可用库存",IF(G583&gt;0,"先发国内现货","按建议量发货")))))</f>
        <v>本批无需补货</v>
      </c>
      <c r="I583" s="28" t="n">
        <f>IF(AND(COUNT(Z583,AA583,AB583)=3,Z583&gt;=AA583,AA583&gt;=0,AB583=7),Z583-AA583,"")</f>
        <v>9</v>
      </c>
      <c r="J583" s="28" t="n">
        <f>IF(AND(COUNT(AF583,AG583,AH583)=3,AF583&gt;=AG583,AG583&gt;=0,AH583=14),AF583-AG583,"")</f>
        <v>14</v>
      </c>
      <c r="K583" s="28" t="n">
        <f>IF(AND(COUNT(AL583,AM583,AN583)=3,AL583&gt;=AM583,AM583&gt;=0,AN583=30),AL583-AM583,"")</f>
        <v>31</v>
      </c>
      <c r="L583" s="29" t="n">
        <f>IF(ISNUMBER(BI583),BI583/90,"")</f>
        <v>0.7304145019414086</v>
      </c>
      <c r="M583" s="28" t="n">
        <v>149</v>
      </c>
      <c r="N583" s="28" t="n">
        <v>0</v>
      </c>
      <c r="O583" s="28" t="n">
        <v>0</v>
      </c>
      <c r="P583" s="30" t="n">
        <f>IF(AND(ISNUMBER(L583),L583&gt;0,COUNT(M583:O583)=3,MIN(M583:O583)&gt;=0),SUM(M583:O583)/L583,"")</f>
        <v>203.99375916546668</v>
      </c>
      <c r="Q583" s="16" t="str">
        <v>沿用原计划SKU店铺</v>
      </c>
      <c r="R583" s="16" t="str">
        <v>已匹配</v>
      </c>
      <c r="S583" s="16" t="str">
        <v>在售</v>
      </c>
      <c r="T583" s="16" t="str">
        <v>2302153</v>
      </c>
      <c r="U583" s="16" t="str">
        <v>黑色</v>
      </c>
      <c r="V583" s="16" t="n">
        <v>10</v>
      </c>
      <c r="W583" s="8" t="str">
        <v>2026-10-11 至 2026-10-17</v>
      </c>
      <c r="X583" s="8" t="str">
        <v>2026-10-11、2026-10-12、2026-10-13、2026-10-14、2026-10-15、2026-10-16、2026-10-17</v>
      </c>
      <c r="Y583" s="8" t="str">
        <v>无</v>
      </c>
      <c r="Z583" s="8" t="n">
        <v>9</v>
      </c>
      <c r="AA583" s="8" t="n">
        <v>0</v>
      </c>
      <c r="AB583" s="8" t="n">
        <v>7</v>
      </c>
      <c r="AC583" s="8" t="str">
        <v>2026-10-02 至 2026-10-17</v>
      </c>
      <c r="AD583" s="8" t="str">
        <v>2026-10-02、2026-10-03、2026-10-04、2026-10-05、2026-10-08、2026-10-09、2026-10-10、2026-10-11、2026-10-12、2026-10-13、2026-10-14、2026-10-15、2026-10-16、2026-10-17</v>
      </c>
      <c r="AE583" s="8" t="str">
        <v>2026-10-06 大促；2026-10-07 大促</v>
      </c>
      <c r="AF583" s="8" t="n">
        <v>18</v>
      </c>
      <c r="AG583" s="8" t="n">
        <v>4</v>
      </c>
      <c r="AH583" s="8" t="n">
        <v>14</v>
      </c>
      <c r="AI583" s="8" t="str">
        <v>2026-09-16 至 2026-10-17</v>
      </c>
      <c r="AJ5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3" s="8" t="str">
        <v>2026-10-06 大促；2026-10-07 大促</v>
      </c>
      <c r="AL583" s="8" t="n">
        <v>35</v>
      </c>
      <c r="AM583" s="8" t="n">
        <v>4</v>
      </c>
      <c r="AN583" s="8" t="n">
        <v>30</v>
      </c>
      <c r="AO583" s="8" t="str">
        <v>2302153 / 黑色羊京绒 / 6574</v>
      </c>
      <c r="AP583" s="11" t="n">
        <v>1.7391279184229513</v>
      </c>
      <c r="AQ583" s="11" t="n">
        <v>1.7391279184229513</v>
      </c>
      <c r="AR583" s="11" t="n">
        <v>1.5731892896917212</v>
      </c>
      <c r="AS583" s="11" t="n">
        <f>IF(AND(COUNT(I583:K583,AP583:AR583)=6,MIN(AP583:AR583)&gt;0),I583/7/AP583*0.5+J583/14/AQ583*0.3+K583/30/AR583*0.2,"")</f>
        <v>0.6735116009296402</v>
      </c>
      <c r="AT583" s="8" t="n">
        <v>62</v>
      </c>
      <c r="AU583" s="8" t="n">
        <v>4</v>
      </c>
      <c r="AV583" s="8" t="n">
        <v>88</v>
      </c>
      <c r="AW583" s="11" t="n">
        <f>IF(AND(COUNT(AT583:AV583)=3,AT583&gt;=AU583,AU583&gt;=0,AV583&gt;0),(AT583-AU583)/AV583,"")</f>
        <v>0.6590909090909091</v>
      </c>
      <c r="AX583" s="8" t="n">
        <v>98</v>
      </c>
      <c r="AY583" s="8" t="n">
        <v>4</v>
      </c>
      <c r="AZ583" s="8" t="n">
        <v>178</v>
      </c>
      <c r="BA583" s="11" t="n">
        <f>IF(AND(COUNT(AX583:AZ583)=3,AX583&gt;=AY583,AY583&gt;=0,AZ583&gt;0),(AX583-AY583)/AZ583,"")</f>
        <v>0.5280898876404494</v>
      </c>
      <c r="BB583" s="8" t="n">
        <f>IF(COUNT(AS583,AW583,BA583)=3,1,0)</f>
        <v>1</v>
      </c>
      <c r="BC583" s="11" t="n">
        <f>IF(SUMIF($AO$11:$AO$1309,AO583,$BB$11:$BB$1309)=COUNTIF($AO$11:$AO$1309,AO583),SUMIF($AO$11:$AO$1309,AO583,$AS$11:$AS$1309),"")</f>
        <v>14.203593194271557</v>
      </c>
      <c r="BD583" s="11" t="n">
        <f>IF(SUMIF($AO$11:$AO$1309,AO583,$BB$11:$BB$1309)=COUNTIF($AO$11:$AO$1309,AO583),SUMIF($AO$11:$AO$1309,AO583,$AW$11:$AW$1309),"")</f>
        <v>15.818181818181818</v>
      </c>
      <c r="BE583" s="11" t="n">
        <f>IF(SUMIF($AO$11:$AO$1309,AO583,$BB$11:$BB$1309)=COUNTIF($AO$11:$AO$1309,AO583),SUMIF($AO$11:$AO$1309,AO583,$BA$11:$BA$1309),"")</f>
        <v>12.07865168539326</v>
      </c>
      <c r="BF583" s="12" t="n">
        <f>IF(COUNT(BD583:BE583)&lt;&gt;2,"",IF(AND(BD583&gt;0,BE583&gt;0),0.7*AW583/BD583+0.3*BA583/BE583,IF(BD583&gt;0,AW583/BD583,IF(BE583&gt;0,BA583/BE583,IF(AND(ISNUMBER(BH583),BH583=0),0,"")))))</f>
        <v>0.042282945736434104</v>
      </c>
      <c r="BG583" s="11" t="n">
        <f>IF(AND(COUNT(BN583:BU583)=8,MIN(BN583:BU583)&gt;=0),SUMPRODUCT(BN583:BQ583,BR583:BU583),"")</f>
        <v>109.4582336985339</v>
      </c>
      <c r="BH583" s="11" t="n">
        <f>IF(COUNT(BC583,BG583)=2,BC583*BG583,"")</f>
        <v>1554.7002232174816</v>
      </c>
      <c r="BI583" s="11" t="n">
        <f>IF(ISNUMBER(CI583),CI583,"")</f>
        <v>65.73730517472677</v>
      </c>
      <c r="BJ583" s="8" t="str"/>
      <c r="BK583" s="8" t="str">
        <v>90天：2026-07-20 至 2026-10-17；180天：2026-04-21 至 2026-10-17</v>
      </c>
      <c r="BL583" s="8" t="str">
        <v>90天：2026-10-06、2026-10-07；180天：2026-10-06、2026-10-07</v>
      </c>
      <c r="BM583" s="8" t="str">
        <v>2026-10：12天 × 1.7391279184229513；2026-11：30天 × 1.4002077845513243；2026-12：31天 × 1.079339935625147；2027-01：17天 × 0.7719368903846591</v>
      </c>
      <c r="BN583" s="11" t="n">
        <v>1.7391279184229513</v>
      </c>
      <c r="BO583" s="11" t="n">
        <v>1.4002077845513243</v>
      </c>
      <c r="BP583" s="11" t="n">
        <v>1.079339935625147</v>
      </c>
      <c r="BQ583" s="11" t="n">
        <v>0.7719368903846591</v>
      </c>
      <c r="BR583" s="8" t="n">
        <v>12</v>
      </c>
      <c r="BS583" s="8" t="n">
        <v>30</v>
      </c>
      <c r="BT583" s="8" t="n">
        <v>31</v>
      </c>
      <c r="BU583" s="8" t="n">
        <v>17</v>
      </c>
      <c r="BV583" s="11" t="n">
        <f>IF(COUNT(BC583,BF583)=2,BC583*BF583,"")</f>
        <v>0.6005697602957689</v>
      </c>
      <c r="BW583" s="11" t="n">
        <f>IF(ISNUMBER(BN583),BN583,"")</f>
        <v>1.7391279184229513</v>
      </c>
      <c r="BX583" s="14" t="n">
        <f>IF(ISNUMBER(BR583),BR583,"")</f>
        <v>12</v>
      </c>
      <c r="BY583" s="13" t="n">
        <f>IF(AND(COUNT(BV583,BW583,BX583)=3,MIN(BV583,BW583,BX583)&gt;=0),BV583*BW583*BX583,"")</f>
        <v>12.533611645091415</v>
      </c>
      <c r="BZ583" s="11" t="n">
        <f>IF(ISNUMBER(BO583),BO583,"")</f>
        <v>1.4002077845513243</v>
      </c>
      <c r="CA583" s="14" t="n">
        <f>IF(ISNUMBER(BS583),BS583,"")</f>
        <v>30</v>
      </c>
      <c r="CB583" s="13" t="n">
        <f>IF(AND(COUNT(BV583,BZ583,CA583)=3,MIN(BV583,BZ583,CA583)&gt;=0),BV583*BZ583*CA583,"")</f>
        <v>25.227673605967755</v>
      </c>
      <c r="CC583" s="11" t="n">
        <f>IF(ISNUMBER(BP583),BP583,"")</f>
        <v>1.079339935625147</v>
      </c>
      <c r="CD583" s="14" t="n">
        <f>IF(ISNUMBER(BT583),BT583,"")</f>
        <v>31</v>
      </c>
      <c r="CE583" s="13" t="n">
        <f>IF(AND(COUNT(BV583,CC583,CD583)=3,MIN(BV583,CC583,CD583)&gt;=0),BV583*CC583*CD583,"")</f>
        <v>20.0947867188974</v>
      </c>
      <c r="CF583" s="11" t="n">
        <f>IF(ISNUMBER(BQ583),BQ583,"")</f>
        <v>0.7719368903846591</v>
      </c>
      <c r="CG583" s="14" t="n">
        <f>IF(ISNUMBER(BU583),BU583,"")</f>
        <v>17</v>
      </c>
      <c r="CH583" s="13" t="n">
        <f>IF(AND(COUNT(BV583,CF583,CG583)=3,MIN(BV583,CF583,CG583)&gt;=0),BV583*CF583*CG583,"")</f>
        <v>7.881233204770191</v>
      </c>
      <c r="CI583" s="13" t="n">
        <f>IF(COUNT(BY583,CB583,CE583,CH583)=4,SUM(BY583,CB583,CE583,CH583),"")</f>
        <v>65.73730517472677</v>
      </c>
    </row>
    <row r="584" ht="72" customHeight="1">
      <c r="A584" s="16" t="str">
        <v>2302153-CC-P-Z-10</v>
      </c>
      <c r="B584" s="16" t="str">
        <v>3店-SANDIEX-US</v>
      </c>
      <c r="C584" s="16" t="str">
        <v>徐新怡</v>
      </c>
      <c r="D584" s="26" t="n">
        <f>IF(NOT(ISNUMBER(E584)),"",IF(OR(E584&lt;=0,L584=0),0,IF(OR(NOT(ISNUMBER(F584)),F584&lt;0),"",MIN(E584,INT(F584)))))</f>
        <v>0</v>
      </c>
      <c r="E584" s="27" t="n">
        <f>IF(OR(NOT(ISNUMBER(L584)),COUNT(M584:O584)&lt;&gt;3,MIN(M584:O584)&lt;0),"",ROUNDUP(ROUND(BI584-SUM(M584:O584),10),0))</f>
        <v>-10</v>
      </c>
      <c r="F584" s="28" t="n">
        <v>12</v>
      </c>
      <c r="G584" s="28" t="n">
        <f>IF(AND(ISNUMBER(D584),ISNUMBER(E584)),IF(OR(E584&lt;=0,L584=0),0,E584-D584),"")</f>
        <v>0</v>
      </c>
      <c r="H584" s="16" t="str">
        <f>IF(NOT(ISNUMBER(E584)),"销量或海外库存待补",IF(OR(E584&lt;=0,L584=0),IF(L584=0,"零日销，本批不发","本批无需补货"),IF(NOT(ISNUMBER(D584)),"国内库存待补",IF(D584=0,"国内无可用库存",IF(G584&gt;0,"先发国内现货","按建议量发货")))))</f>
        <v>本批无需补货</v>
      </c>
      <c r="I584" s="28" t="n">
        <f>IF(AND(COUNT(Z584,AA584,AB584)=3,Z584&gt;=AA584,AA584&gt;=0,AB584=7),Z584-AA584,"")</f>
        <v>5</v>
      </c>
      <c r="J584" s="28" t="n">
        <f>IF(AND(COUNT(AF584,AG584,AH584)=3,AF584&gt;=AG584,AG584&gt;=0,AH584=14),AF584-AG584,"")</f>
        <v>9</v>
      </c>
      <c r="K584" s="28" t="n">
        <f>IF(AND(COUNT(AL584,AM584,AN584)=3,AL584&gt;=AM584,AM584&gt;=0,AN584=30),AL584-AM584,"")</f>
        <v>24</v>
      </c>
      <c r="L584" s="29" t="n">
        <f>IF(ISNUMBER(BI584),BI584/90,"")</f>
        <v>0.3570629400061484</v>
      </c>
      <c r="M584" s="28" t="n">
        <v>22</v>
      </c>
      <c r="N584" s="28" t="n">
        <v>0</v>
      </c>
      <c r="O584" s="28" t="n">
        <v>20</v>
      </c>
      <c r="P584" s="30" t="n">
        <f>IF(AND(ISNUMBER(L584),L584&gt;0,COUNT(M584:O584)=3,MIN(M584:O584)&gt;=0),SUM(M584:O584)/L584,"")</f>
        <v>117.62632100457355</v>
      </c>
      <c r="Q584" s="16" t="str">
        <v>沿用原计划SKU店铺</v>
      </c>
      <c r="R584" s="16" t="str">
        <v>已匹配</v>
      </c>
      <c r="S584" s="16" t="str">
        <v>在售</v>
      </c>
      <c r="T584" s="16" t="str">
        <v>2302153</v>
      </c>
      <c r="U584" s="16" t="str">
        <v>驼色</v>
      </c>
      <c r="V584" s="16" t="n">
        <v>10</v>
      </c>
      <c r="W584" s="8" t="str">
        <v>2026-10-11 至 2026-10-17</v>
      </c>
      <c r="X584" s="8" t="str">
        <v>2026-10-11、2026-10-12、2026-10-13、2026-10-14、2026-10-15、2026-10-16、2026-10-17</v>
      </c>
      <c r="Y584" s="8" t="str">
        <v>无</v>
      </c>
      <c r="Z584" s="8" t="n">
        <v>5</v>
      </c>
      <c r="AA584" s="8" t="n">
        <v>0</v>
      </c>
      <c r="AB584" s="8" t="n">
        <v>7</v>
      </c>
      <c r="AC584" s="8" t="str">
        <v>2026-10-02 至 2026-10-17</v>
      </c>
      <c r="AD584" s="8" t="str">
        <v>2026-10-02、2026-10-03、2026-10-04、2026-10-05、2026-10-08、2026-10-09、2026-10-10、2026-10-11、2026-10-12、2026-10-13、2026-10-14、2026-10-15、2026-10-16、2026-10-17</v>
      </c>
      <c r="AE584" s="8" t="str">
        <v>2026-10-06 大促；2026-10-07 大促</v>
      </c>
      <c r="AF584" s="8" t="n">
        <v>10</v>
      </c>
      <c r="AG584" s="8" t="n">
        <v>1</v>
      </c>
      <c r="AH584" s="8" t="n">
        <v>14</v>
      </c>
      <c r="AI584" s="8" t="str">
        <v>2026-09-16 至 2026-10-17</v>
      </c>
      <c r="AJ5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4" s="8" t="str">
        <v>2026-10-06 大促；2026-10-07 大促</v>
      </c>
      <c r="AL584" s="8" t="n">
        <v>25</v>
      </c>
      <c r="AM584" s="8" t="n">
        <v>1</v>
      </c>
      <c r="AN584" s="8" t="n">
        <v>30</v>
      </c>
      <c r="AO584" s="8" t="str">
        <v>2302153 / 驼色PU / 6574</v>
      </c>
      <c r="AP584" s="11" t="n">
        <v>1.7391279184229513</v>
      </c>
      <c r="AQ584" s="11" t="n">
        <v>1.7391279184229513</v>
      </c>
      <c r="AR584" s="11" t="n">
        <v>1.5731892896917212</v>
      </c>
      <c r="AS584" s="11" t="n">
        <f>IF(AND(COUNT(I584:K584,AP584:AR584)=6,MIN(AP584:AR584)&gt;0),I584/7/AP584*0.5+J584/14/AQ584*0.3+K584/30/AR584*0.2,"")</f>
        <v>0.41795468418271386</v>
      </c>
      <c r="AT584" s="8" t="n">
        <v>34</v>
      </c>
      <c r="AU584" s="8" t="n">
        <v>1</v>
      </c>
      <c r="AV584" s="8" t="n">
        <v>88</v>
      </c>
      <c r="AW584" s="11" t="n">
        <f>IF(AND(COUNT(AT584:AV584)=3,AT584&gt;=AU584,AU584&gt;=0,AV584&gt;0),(AT584-AU584)/AV584,"")</f>
        <v>0.375</v>
      </c>
      <c r="AX584" s="8" t="n">
        <v>71</v>
      </c>
      <c r="AY584" s="8" t="n">
        <v>1</v>
      </c>
      <c r="AZ584" s="8" t="n">
        <v>178</v>
      </c>
      <c r="BA584" s="11" t="n">
        <f>IF(AND(COUNT(AX584:AZ584)=3,AX584&gt;=AY584,AY584&gt;=0,AZ584&gt;0),(AX584-AY584)/AZ584,"")</f>
        <v>0.39325842696629215</v>
      </c>
      <c r="BB584" s="8" t="n">
        <f>IF(COUNT(AS584,AW584,BA584)=3,1,0)</f>
        <v>1</v>
      </c>
      <c r="BC584" s="11" t="n">
        <f>IF(SUMIF($AO$11:$AO$1309,AO584,$BB$11:$BB$1309)=COUNTIF($AO$11:$AO$1309,AO584),SUMIF($AO$11:$AO$1309,AO584,$AS$11:$AS$1309),"")</f>
        <v>4.064868532287768</v>
      </c>
      <c r="BD584" s="11" t="n">
        <f>IF(SUMIF($AO$11:$AO$1309,AO584,$BB$11:$BB$1309)=COUNTIF($AO$11:$AO$1309,AO584),SUMIF($AO$11:$AO$1309,AO584,$AW$11:$AW$1309),"")</f>
        <v>5.079545454545455</v>
      </c>
      <c r="BE584" s="11" t="n">
        <f>IF(SUMIF($AO$11:$AO$1309,AO584,$BB$11:$BB$1309)=COUNTIF($AO$11:$AO$1309,AO584),SUMIF($AO$11:$AO$1309,AO584,$BA$11:$BA$1309),"")</f>
        <v>5.741573033707865</v>
      </c>
      <c r="BF584" s="12" t="n">
        <f>IF(COUNT(BD584:BE584)&lt;&gt;2,"",IF(AND(BD584&gt;0,BE584&gt;0),0.7*AW584/BD584+0.3*BA584/BE584,IF(BD584&gt;0,AW584/BD584,IF(BE584&gt;0,BA584/BE584,IF(AND(ISNUMBER(BH584),BH584=0),0,"")))))</f>
        <v>0.07222579755447273</v>
      </c>
      <c r="BG584" s="11" t="n">
        <f>IF(AND(COUNT(BN584:BU584)=8,MIN(BN584:BU584)&gt;=0),SUMPRODUCT(BN584:BQ584,BR584:BU584),"")</f>
        <v>109.4582336985339</v>
      </c>
      <c r="BH584" s="11" t="n">
        <f>IF(COUNT(BC584,BG584)=2,BC584*BG584,"")</f>
        <v>444.93332976097105</v>
      </c>
      <c r="BI584" s="11" t="n">
        <f>IF(ISNUMBER(CI584),CI584,"")</f>
        <v>32.135664600553355</v>
      </c>
      <c r="BJ584" s="8" t="str"/>
      <c r="BK584" s="8" t="str">
        <v>90天：2026-07-20 至 2026-10-17；180天：2026-04-21 至 2026-10-17</v>
      </c>
      <c r="BL584" s="8" t="str">
        <v>90天：2026-10-06、2026-10-07；180天：2026-10-06、2026-10-07</v>
      </c>
      <c r="BM584" s="8" t="str">
        <v>2026-10：12天 × 1.7391279184229513；2026-11：30天 × 1.4002077845513243；2026-12：31天 × 1.079339935625147；2027-01：17天 × 0.7719368903846591</v>
      </c>
      <c r="BN584" s="11" t="n">
        <v>1.7391279184229513</v>
      </c>
      <c r="BO584" s="11" t="n">
        <v>1.4002077845513243</v>
      </c>
      <c r="BP584" s="11" t="n">
        <v>1.079339935625147</v>
      </c>
      <c r="BQ584" s="11" t="n">
        <v>0.7719368903846591</v>
      </c>
      <c r="BR584" s="8" t="n">
        <v>12</v>
      </c>
      <c r="BS584" s="8" t="n">
        <v>30</v>
      </c>
      <c r="BT584" s="8" t="n">
        <v>31</v>
      </c>
      <c r="BU584" s="8" t="n">
        <v>17</v>
      </c>
      <c r="BV584" s="11" t="n">
        <f>IF(COUNT(BC584,BF584)=2,BC584*BF584,"")</f>
        <v>0.29358837169856306</v>
      </c>
      <c r="BW584" s="11" t="n">
        <f>IF(ISNUMBER(BN584),BN584,"")</f>
        <v>1.7391279184229513</v>
      </c>
      <c r="BX584" s="14" t="n">
        <f>IF(ISNUMBER(BR584),BR584,"")</f>
        <v>12</v>
      </c>
      <c r="BY584" s="13" t="n">
        <f>IF(AND(COUNT(BV584,BW584,BX584)=3,MIN(BV584,BW584,BX584)&gt;=0),BV584*BW584*BX584,"")</f>
        <v>6.127052804943668</v>
      </c>
      <c r="BZ584" s="11" t="n">
        <f>IF(ISNUMBER(BO584),BO584,"")</f>
        <v>1.4002077845513243</v>
      </c>
      <c r="CA584" s="14" t="n">
        <f>IF(ISNUMBER(BS584),BS584,"")</f>
        <v>30</v>
      </c>
      <c r="CB584" s="13" t="n">
        <f>IF(AND(COUNT(BV584,BZ584,CA584)=3,MIN(BV584,BZ584,CA584)&gt;=0),BV584*BZ584*CA584,"")</f>
        <v>12.332541705182273</v>
      </c>
      <c r="CC584" s="11" t="n">
        <f>IF(ISNUMBER(BP584),BP584,"")</f>
        <v>1.079339935625147</v>
      </c>
      <c r="CD584" s="14" t="n">
        <f>IF(ISNUMBER(BT584),BT584,"")</f>
        <v>31</v>
      </c>
      <c r="CE584" s="13" t="n">
        <f>IF(AND(COUNT(BV584,CC584,CD584)=3,MIN(BV584,CC584,CD584)&gt;=0),BV584*CC584*CD584,"")</f>
        <v>9.823331280491981</v>
      </c>
      <c r="CF584" s="11" t="n">
        <f>IF(ISNUMBER(BQ584),BQ584,"")</f>
        <v>0.7719368903846591</v>
      </c>
      <c r="CG584" s="14" t="n">
        <f>IF(ISNUMBER(BU584),BU584,"")</f>
        <v>17</v>
      </c>
      <c r="CH584" s="13" t="n">
        <f>IF(AND(COUNT(BV584,CF584,CG584)=3,MIN(BV584,CF584,CG584)&gt;=0),BV584*CF584*CG584,"")</f>
        <v>3.8527388099354316</v>
      </c>
      <c r="CI584" s="13" t="n">
        <f>IF(COUNT(BY584,CB584,CE584,CH584)=4,SUM(BY584,CB584,CE584,CH584),"")</f>
        <v>32.135664600553355</v>
      </c>
    </row>
    <row r="585" ht="72" customHeight="1">
      <c r="A585" s="16" t="str">
        <v>2302153-CC-P-Z-6</v>
      </c>
      <c r="B585" s="16" t="str">
        <v>3店-SANDIEX-US</v>
      </c>
      <c r="C585" s="16" t="str">
        <v>徐新怡</v>
      </c>
      <c r="D585" s="26" t="n">
        <f>IF(NOT(ISNUMBER(E585)),"",IF(OR(E585&lt;=0,L585=0),0,IF(OR(NOT(ISNUMBER(F585)),F585&lt;0),"",MIN(E585,INT(F585)))))</f>
        <v>0</v>
      </c>
      <c r="E585" s="27" t="n">
        <f>IF(OR(NOT(ISNUMBER(L585)),COUNT(M585:O585)&lt;&gt;3,MIN(M585:O585)&lt;0),"",ROUNDUP(ROUND(BI585-SUM(M585:O585),10),0))</f>
        <v>-19</v>
      </c>
      <c r="F585" s="28" t="n">
        <v>24</v>
      </c>
      <c r="G585" s="28" t="n">
        <f>IF(AND(ISNUMBER(D585),ISNUMBER(E585)),IF(OR(E585&lt;=0,L585=0),0,E585-D585),"")</f>
        <v>0</v>
      </c>
      <c r="H585" s="16" t="str">
        <f>IF(NOT(ISNUMBER(E585)),"销量或海外库存待补",IF(OR(E585&lt;=0,L585=0),IF(L585=0,"零日销，本批不发","本批无需补货"),IF(NOT(ISNUMBER(D585)),"国内库存待补",IF(D585=0,"国内无可用库存",IF(G585&gt;0,"先发国内现货","按建议量发货")))))</f>
        <v>本批无需补货</v>
      </c>
      <c r="I585" s="28" t="n">
        <f>IF(AND(COUNT(Z585,AA585,AB585)=3,Z585&gt;=AA585,AA585&gt;=0,AB585=7),Z585-AA585,"")</f>
        <v>4</v>
      </c>
      <c r="J585" s="28" t="n">
        <f>IF(AND(COUNT(AF585,AG585,AH585)=3,AF585&gt;=AG585,AG585&gt;=0,AH585=14),AF585-AG585,"")</f>
        <v>6</v>
      </c>
      <c r="K585" s="28" t="n">
        <f>IF(AND(COUNT(AL585,AM585,AN585)=3,AL585&gt;=AM585,AM585&gt;=0,AN585=30),AL585-AM585,"")</f>
        <v>13</v>
      </c>
      <c r="L585" s="29" t="n">
        <f>IF(ISNUMBER(BI585),BI585/90,"")</f>
        <v>0.3570629400061484</v>
      </c>
      <c r="M585" s="28" t="n">
        <v>31</v>
      </c>
      <c r="N585" s="28" t="n">
        <v>0</v>
      </c>
      <c r="O585" s="28" t="n">
        <v>20</v>
      </c>
      <c r="P585" s="30" t="n">
        <f>IF(AND(ISNUMBER(L585),L585&gt;0,COUNT(M585:O585)=3,MIN(M585:O585)&gt;=0),SUM(M585:O585)/L585,"")</f>
        <v>142.83196121983931</v>
      </c>
      <c r="Q585" s="16" t="str">
        <v>沿用原计划SKU店铺</v>
      </c>
      <c r="R585" s="16" t="str">
        <v>已匹配</v>
      </c>
      <c r="S585" s="16" t="str">
        <v>在售</v>
      </c>
      <c r="T585" s="16" t="str">
        <v>2302153</v>
      </c>
      <c r="U585" s="16" t="str">
        <v>驼色</v>
      </c>
      <c r="V585" s="16" t="n">
        <v>6</v>
      </c>
      <c r="W585" s="8" t="str">
        <v>2026-10-11 至 2026-10-17</v>
      </c>
      <c r="X585" s="8" t="str">
        <v>2026-10-11、2026-10-12、2026-10-13、2026-10-14、2026-10-15、2026-10-16、2026-10-17</v>
      </c>
      <c r="Y585" s="8" t="str">
        <v>无</v>
      </c>
      <c r="Z585" s="8" t="n">
        <v>4</v>
      </c>
      <c r="AA585" s="8" t="n">
        <v>0</v>
      </c>
      <c r="AB585" s="8" t="n">
        <v>7</v>
      </c>
      <c r="AC585" s="8" t="str">
        <v>2026-10-02 至 2026-10-17</v>
      </c>
      <c r="AD585" s="8" t="str">
        <v>2026-10-02、2026-10-03、2026-10-04、2026-10-05、2026-10-08、2026-10-09、2026-10-10、2026-10-11、2026-10-12、2026-10-13、2026-10-14、2026-10-15、2026-10-16、2026-10-17</v>
      </c>
      <c r="AE585" s="8" t="str">
        <v>2026-10-06 大促；2026-10-07 大促</v>
      </c>
      <c r="AF585" s="8" t="n">
        <v>8</v>
      </c>
      <c r="AG585" s="8" t="n">
        <v>2</v>
      </c>
      <c r="AH585" s="8" t="n">
        <v>14</v>
      </c>
      <c r="AI585" s="8" t="str">
        <v>2026-09-16 至 2026-10-17</v>
      </c>
      <c r="AJ5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5" s="8" t="str">
        <v>2026-10-06 大促；2026-10-07 大促</v>
      </c>
      <c r="AL585" s="8" t="n">
        <v>15</v>
      </c>
      <c r="AM585" s="8" t="n">
        <v>2</v>
      </c>
      <c r="AN585" s="8" t="n">
        <v>30</v>
      </c>
      <c r="AO585" s="8" t="str">
        <v>2302153 / 驼色PU / 6574</v>
      </c>
      <c r="AP585" s="11" t="n">
        <v>1.7391279184229513</v>
      </c>
      <c r="AQ585" s="11" t="n">
        <v>1.7391279184229513</v>
      </c>
      <c r="AR585" s="11" t="n">
        <v>1.5731892896917212</v>
      </c>
      <c r="AS585" s="11" t="n">
        <f>IF(AND(COUNT(I585:K585,AP585:AR585)=6,MIN(AP585:AR585)&gt;0),I585/7/AP585*0.5+J585/14/AQ585*0.3+K585/30/AR585*0.2,"")</f>
        <v>0.29330441979578326</v>
      </c>
      <c r="AT585" s="8" t="n">
        <v>35</v>
      </c>
      <c r="AU585" s="8" t="n">
        <v>2</v>
      </c>
      <c r="AV585" s="8" t="n">
        <v>88</v>
      </c>
      <c r="AW585" s="11" t="n">
        <f>IF(AND(COUNT(AT585:AV585)=3,AT585&gt;=AU585,AU585&gt;=0,AV585&gt;0),(AT585-AU585)/AV585,"")</f>
        <v>0.375</v>
      </c>
      <c r="AX585" s="8" t="n">
        <v>72</v>
      </c>
      <c r="AY585" s="8" t="n">
        <v>2</v>
      </c>
      <c r="AZ585" s="8" t="n">
        <v>178</v>
      </c>
      <c r="BA585" s="11" t="n">
        <f>IF(AND(COUNT(AX585:AZ585)=3,AX585&gt;=AY585,AY585&gt;=0,AZ585&gt;0),(AX585-AY585)/AZ585,"")</f>
        <v>0.39325842696629215</v>
      </c>
      <c r="BB585" s="8" t="n">
        <f>IF(COUNT(AS585,AW585,BA585)=3,1,0)</f>
        <v>1</v>
      </c>
      <c r="BC585" s="11" t="n">
        <f>IF(SUMIF($AO$11:$AO$1309,AO585,$BB$11:$BB$1309)=COUNTIF($AO$11:$AO$1309,AO585),SUMIF($AO$11:$AO$1309,AO585,$AS$11:$AS$1309),"")</f>
        <v>4.064868532287768</v>
      </c>
      <c r="BD585" s="11" t="n">
        <f>IF(SUMIF($AO$11:$AO$1309,AO585,$BB$11:$BB$1309)=COUNTIF($AO$11:$AO$1309,AO585),SUMIF($AO$11:$AO$1309,AO585,$AW$11:$AW$1309),"")</f>
        <v>5.079545454545455</v>
      </c>
      <c r="BE585" s="11" t="n">
        <f>IF(SUMIF($AO$11:$AO$1309,AO585,$BB$11:$BB$1309)=COUNTIF($AO$11:$AO$1309,AO585),SUMIF($AO$11:$AO$1309,AO585,$BA$11:$BA$1309),"")</f>
        <v>5.741573033707865</v>
      </c>
      <c r="BF585" s="12" t="n">
        <f>IF(COUNT(BD585:BE585)&lt;&gt;2,"",IF(AND(BD585&gt;0,BE585&gt;0),0.7*AW585/BD585+0.3*BA585/BE585,IF(BD585&gt;0,AW585/BD585,IF(BE585&gt;0,BA585/BE585,IF(AND(ISNUMBER(BH585),BH585=0),0,"")))))</f>
        <v>0.07222579755447273</v>
      </c>
      <c r="BG585" s="11" t="n">
        <f>IF(AND(COUNT(BN585:BU585)=8,MIN(BN585:BU585)&gt;=0),SUMPRODUCT(BN585:BQ585,BR585:BU585),"")</f>
        <v>109.4582336985339</v>
      </c>
      <c r="BH585" s="11" t="n">
        <f>IF(COUNT(BC585,BG585)=2,BC585*BG585,"")</f>
        <v>444.93332976097105</v>
      </c>
      <c r="BI585" s="11" t="n">
        <f>IF(ISNUMBER(CI585),CI585,"")</f>
        <v>32.135664600553355</v>
      </c>
      <c r="BJ585" s="8" t="str"/>
      <c r="BK585" s="8" t="str">
        <v>90天：2026-07-20 至 2026-10-17；180天：2026-04-21 至 2026-10-17</v>
      </c>
      <c r="BL585" s="8" t="str">
        <v>90天：2026-10-06、2026-10-07；180天：2026-10-06、2026-10-07</v>
      </c>
      <c r="BM585" s="8" t="str">
        <v>2026-10：12天 × 1.7391279184229513；2026-11：30天 × 1.4002077845513243；2026-12：31天 × 1.079339935625147；2027-01：17天 × 0.7719368903846591</v>
      </c>
      <c r="BN585" s="11" t="n">
        <v>1.7391279184229513</v>
      </c>
      <c r="BO585" s="11" t="n">
        <v>1.4002077845513243</v>
      </c>
      <c r="BP585" s="11" t="n">
        <v>1.079339935625147</v>
      </c>
      <c r="BQ585" s="11" t="n">
        <v>0.7719368903846591</v>
      </c>
      <c r="BR585" s="8" t="n">
        <v>12</v>
      </c>
      <c r="BS585" s="8" t="n">
        <v>30</v>
      </c>
      <c r="BT585" s="8" t="n">
        <v>31</v>
      </c>
      <c r="BU585" s="8" t="n">
        <v>17</v>
      </c>
      <c r="BV585" s="11" t="n">
        <f>IF(COUNT(BC585,BF585)=2,BC585*BF585,"")</f>
        <v>0.29358837169856306</v>
      </c>
      <c r="BW585" s="11" t="n">
        <f>IF(ISNUMBER(BN585),BN585,"")</f>
        <v>1.7391279184229513</v>
      </c>
      <c r="BX585" s="14" t="n">
        <f>IF(ISNUMBER(BR585),BR585,"")</f>
        <v>12</v>
      </c>
      <c r="BY585" s="13" t="n">
        <f>IF(AND(COUNT(BV585,BW585,BX585)=3,MIN(BV585,BW585,BX585)&gt;=0),BV585*BW585*BX585,"")</f>
        <v>6.127052804943668</v>
      </c>
      <c r="BZ585" s="11" t="n">
        <f>IF(ISNUMBER(BO585),BO585,"")</f>
        <v>1.4002077845513243</v>
      </c>
      <c r="CA585" s="14" t="n">
        <f>IF(ISNUMBER(BS585),BS585,"")</f>
        <v>30</v>
      </c>
      <c r="CB585" s="13" t="n">
        <f>IF(AND(COUNT(BV585,BZ585,CA585)=3,MIN(BV585,BZ585,CA585)&gt;=0),BV585*BZ585*CA585,"")</f>
        <v>12.332541705182273</v>
      </c>
      <c r="CC585" s="11" t="n">
        <f>IF(ISNUMBER(BP585),BP585,"")</f>
        <v>1.079339935625147</v>
      </c>
      <c r="CD585" s="14" t="n">
        <f>IF(ISNUMBER(BT585),BT585,"")</f>
        <v>31</v>
      </c>
      <c r="CE585" s="13" t="n">
        <f>IF(AND(COUNT(BV585,CC585,CD585)=3,MIN(BV585,CC585,CD585)&gt;=0),BV585*CC585*CD585,"")</f>
        <v>9.823331280491981</v>
      </c>
      <c r="CF585" s="11" t="n">
        <f>IF(ISNUMBER(BQ585),BQ585,"")</f>
        <v>0.7719368903846591</v>
      </c>
      <c r="CG585" s="14" t="n">
        <f>IF(ISNUMBER(BU585),BU585,"")</f>
        <v>17</v>
      </c>
      <c r="CH585" s="13" t="n">
        <f>IF(AND(COUNT(BV585,CF585,CG585)=3,MIN(BV585,CF585,CG585)&gt;=0),BV585*CF585*CG585,"")</f>
        <v>3.8527388099354316</v>
      </c>
      <c r="CI585" s="13" t="n">
        <f>IF(COUNT(BY585,CB585,CE585,CH585)=4,SUM(BY585,CB585,CE585,CH585),"")</f>
        <v>32.135664600553355</v>
      </c>
    </row>
    <row r="586" ht="72" customHeight="1">
      <c r="A586" s="16" t="str">
        <v>2302153-CC-P-Z-6.5</v>
      </c>
      <c r="B586" s="16" t="str">
        <v>3店-SANDIEX-US</v>
      </c>
      <c r="C586" s="16" t="str">
        <v>徐新怡</v>
      </c>
      <c r="D586" s="26" t="n">
        <f>IF(NOT(ISNUMBER(E586)),"",IF(OR(E586&lt;=0,L586=0),0,IF(OR(NOT(ISNUMBER(F586)),F586&lt;0),"",MIN(E586,INT(F586)))))</f>
        <v>0</v>
      </c>
      <c r="E586" s="27" t="n">
        <f>IF(OR(NOT(ISNUMBER(L586)),COUNT(M586:O586)&lt;&gt;3,MIN(M586:O586)&lt;0),"",ROUNDUP(ROUND(BI586-SUM(M586:O586),10),0))</f>
        <v>-19</v>
      </c>
      <c r="F586" s="28" t="n">
        <v>13</v>
      </c>
      <c r="G586" s="28" t="n">
        <f>IF(AND(ISNUMBER(D586),ISNUMBER(E586)),IF(OR(E586&lt;=0,L586=0),0,E586-D586),"")</f>
        <v>0</v>
      </c>
      <c r="H586" s="16" t="str">
        <f>IF(NOT(ISNUMBER(E586)),"销量或海外库存待补",IF(OR(E586&lt;=0,L586=0),IF(L586=0,"零日销，本批不发","本批无需补货"),IF(NOT(ISNUMBER(D586)),"国内库存待补",IF(D586=0,"国内无可用库存",IF(G586&gt;0,"先发国内现货","按建议量发货")))))</f>
        <v>本批无需补货</v>
      </c>
      <c r="I586" s="28" t="n">
        <f>IF(AND(COUNT(Z586,AA586,AB586)=3,Z586&gt;=AA586,AA586&gt;=0,AB586=7),Z586-AA586,"")</f>
        <v>1</v>
      </c>
      <c r="J586" s="28" t="n">
        <f>IF(AND(COUNT(AF586,AG586,AH586)=3,AF586&gt;=AG586,AG586&gt;=0,AH586=14),AF586-AG586,"")</f>
        <v>4</v>
      </c>
      <c r="K586" s="28" t="n">
        <f>IF(AND(COUNT(AL586,AM586,AN586)=3,AL586&gt;=AM586,AM586&gt;=0,AN586=30),AL586-AM586,"")</f>
        <v>5</v>
      </c>
      <c r="L586" s="29" t="n">
        <f>IF(ISNUMBER(BI586),BI586/90,"")</f>
        <v>0.2559399086898522</v>
      </c>
      <c r="M586" s="28" t="n">
        <v>20</v>
      </c>
      <c r="N586" s="28" t="n">
        <v>1</v>
      </c>
      <c r="O586" s="28" t="n">
        <v>21</v>
      </c>
      <c r="P586" s="30" t="n">
        <f>IF(AND(ISNUMBER(L586),L586&gt;0,COUNT(M586:O586)=3,MIN(M586:O586)&gt;=0),SUM(M586:O586)/L586,"")</f>
        <v>164.10101970808924</v>
      </c>
      <c r="Q586" s="16" t="str">
        <v>沿用原计划SKU店铺</v>
      </c>
      <c r="R586" s="16" t="str">
        <v>已匹配</v>
      </c>
      <c r="S586" s="16" t="str">
        <v>在售</v>
      </c>
      <c r="T586" s="16" t="str">
        <v>2302153</v>
      </c>
      <c r="U586" s="16" t="str">
        <v>驼色</v>
      </c>
      <c r="V586" s="16" t="n">
        <v>6.5</v>
      </c>
      <c r="W586" s="8" t="str">
        <v>2026-10-11 至 2026-10-17</v>
      </c>
      <c r="X586" s="8" t="str">
        <v>2026-10-11、2026-10-12、2026-10-13、2026-10-14、2026-10-15、2026-10-16、2026-10-17</v>
      </c>
      <c r="Y586" s="8" t="str">
        <v>无</v>
      </c>
      <c r="Z586" s="8" t="n">
        <v>1</v>
      </c>
      <c r="AA586" s="8" t="n">
        <v>0</v>
      </c>
      <c r="AB586" s="8" t="n">
        <v>7</v>
      </c>
      <c r="AC586" s="8" t="str">
        <v>2026-10-02 至 2026-10-17</v>
      </c>
      <c r="AD586" s="8" t="str">
        <v>2026-10-02、2026-10-03、2026-10-04、2026-10-05、2026-10-08、2026-10-09、2026-10-10、2026-10-11、2026-10-12、2026-10-13、2026-10-14、2026-10-15、2026-10-16、2026-10-17</v>
      </c>
      <c r="AE586" s="8" t="str">
        <v>2026-10-06 大促；2026-10-07 大促</v>
      </c>
      <c r="AF586" s="8" t="n">
        <v>4</v>
      </c>
      <c r="AG586" s="8" t="n">
        <v>0</v>
      </c>
      <c r="AH586" s="8" t="n">
        <v>14</v>
      </c>
      <c r="AI586" s="8" t="str">
        <v>2026-09-16 至 2026-10-17</v>
      </c>
      <c r="AJ5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6" s="8" t="str">
        <v>2026-10-06 大促；2026-10-07 大促</v>
      </c>
      <c r="AL586" s="8" t="n">
        <v>5</v>
      </c>
      <c r="AM586" s="8" t="n">
        <v>0</v>
      </c>
      <c r="AN586" s="8" t="n">
        <v>30</v>
      </c>
      <c r="AO586" s="8" t="str">
        <v>2302153 / 驼色PU / 6574</v>
      </c>
      <c r="AP586" s="11" t="n">
        <v>1.7391279184229513</v>
      </c>
      <c r="AQ586" s="11" t="n">
        <v>1.7391279184229513</v>
      </c>
      <c r="AR586" s="11" t="n">
        <v>1.5731892896917212</v>
      </c>
      <c r="AS586" s="11" t="n">
        <f>IF(AND(COUNT(I586:K586,AP586:AR586)=6,MIN(AP586:AR586)&gt;0),I586/7/AP586*0.5+J586/14/AQ586*0.3+K586/30/AR586*0.2,"")</f>
        <v>0.1115456541368999</v>
      </c>
      <c r="AT586" s="8" t="n">
        <v>22</v>
      </c>
      <c r="AU586" s="8" t="n">
        <v>0</v>
      </c>
      <c r="AV586" s="8" t="n">
        <v>88</v>
      </c>
      <c r="AW586" s="11" t="n">
        <f>IF(AND(COUNT(AT586:AV586)=3,AT586&gt;=AU586,AU586&gt;=0,AV586&gt;0),(AT586-AU586)/AV586,"")</f>
        <v>0.25</v>
      </c>
      <c r="AX586" s="8" t="n">
        <v>59</v>
      </c>
      <c r="AY586" s="8" t="n">
        <v>0</v>
      </c>
      <c r="AZ586" s="8" t="n">
        <v>178</v>
      </c>
      <c r="BA586" s="11" t="n">
        <f>IF(AND(COUNT(AX586:AZ586)=3,AX586&gt;=AY586,AY586&gt;=0,AZ586&gt;0),(AX586-AY586)/AZ586,"")</f>
        <v>0.33146067415730335</v>
      </c>
      <c r="BB586" s="8" t="n">
        <f>IF(COUNT(AS586,AW586,BA586)=3,1,0)</f>
        <v>1</v>
      </c>
      <c r="BC586" s="11" t="n">
        <f>IF(SUMIF($AO$11:$AO$1309,AO586,$BB$11:$BB$1309)=COUNTIF($AO$11:$AO$1309,AO586),SUMIF($AO$11:$AO$1309,AO586,$AS$11:$AS$1309),"")</f>
        <v>4.064868532287768</v>
      </c>
      <c r="BD586" s="11" t="n">
        <f>IF(SUMIF($AO$11:$AO$1309,AO586,$BB$11:$BB$1309)=COUNTIF($AO$11:$AO$1309,AO586),SUMIF($AO$11:$AO$1309,AO586,$AW$11:$AW$1309),"")</f>
        <v>5.079545454545455</v>
      </c>
      <c r="BE586" s="11" t="n">
        <f>IF(SUMIF($AO$11:$AO$1309,AO586,$BB$11:$BB$1309)=COUNTIF($AO$11:$AO$1309,AO586),SUMIF($AO$11:$AO$1309,AO586,$BA$11:$BA$1309),"")</f>
        <v>5.741573033707865</v>
      </c>
      <c r="BF586" s="12" t="n">
        <f>IF(COUNT(BD586:BE586)&lt;&gt;2,"",IF(AND(BD586&gt;0,BE586&gt;0),0.7*AW586/BD586+0.3*BA586/BE586,IF(BD586&gt;0,AW586/BD586,IF(BE586&gt;0,BA586/BE586,IF(AND(ISNUMBER(BH586),BH586=0),0,"")))))</f>
        <v>0.051770883953471056</v>
      </c>
      <c r="BG586" s="11" t="n">
        <f>IF(AND(COUNT(BN586:BU586)=8,MIN(BN586:BU586)&gt;=0),SUMPRODUCT(BN586:BQ586,BR586:BU586),"")</f>
        <v>109.4582336985339</v>
      </c>
      <c r="BH586" s="11" t="n">
        <f>IF(COUNT(BC586,BG586)=2,BC586*BG586,"")</f>
        <v>444.93332976097105</v>
      </c>
      <c r="BI586" s="11" t="n">
        <f>IF(ISNUMBER(CI586),CI586,"")</f>
        <v>23.0345917820867</v>
      </c>
      <c r="BJ586" s="8" t="str"/>
      <c r="BK586" s="8" t="str">
        <v>90天：2026-07-20 至 2026-10-17；180天：2026-04-21 至 2026-10-17</v>
      </c>
      <c r="BL586" s="8" t="str">
        <v>90天：2026-10-06、2026-10-07；180天：2026-10-06、2026-10-07</v>
      </c>
      <c r="BM586" s="8" t="str">
        <v>2026-10：12天 × 1.7391279184229513；2026-11：30天 × 1.4002077845513243；2026-12：31天 × 1.079339935625147；2027-01：17天 × 0.7719368903846591</v>
      </c>
      <c r="BN586" s="11" t="n">
        <v>1.7391279184229513</v>
      </c>
      <c r="BO586" s="11" t="n">
        <v>1.4002077845513243</v>
      </c>
      <c r="BP586" s="11" t="n">
        <v>1.079339935625147</v>
      </c>
      <c r="BQ586" s="11" t="n">
        <v>0.7719368903846591</v>
      </c>
      <c r="BR586" s="8" t="n">
        <v>12</v>
      </c>
      <c r="BS586" s="8" t="n">
        <v>30</v>
      </c>
      <c r="BT586" s="8" t="n">
        <v>31</v>
      </c>
      <c r="BU586" s="8" t="n">
        <v>17</v>
      </c>
      <c r="BV586" s="11" t="n">
        <f>IF(COUNT(BC586,BF586)=2,BC586*BF586,"")</f>
        <v>0.21044183707118627</v>
      </c>
      <c r="BW586" s="11" t="n">
        <f>IF(ISNUMBER(BN586),BN586,"")</f>
        <v>1.7391279184229513</v>
      </c>
      <c r="BX586" s="14" t="n">
        <f>IF(ISNUMBER(BR586),BR586,"")</f>
        <v>12</v>
      </c>
      <c r="BY586" s="13" t="n">
        <f>IF(AND(COUNT(BV586,BW586,BX586)=3,MIN(BV586,BW586,BX586)&gt;=0),BV586*BW586*BX586,"")</f>
        <v>4.3918232886565685</v>
      </c>
      <c r="BZ586" s="11" t="n">
        <f>IF(ISNUMBER(BO586),BO586,"")</f>
        <v>1.4002077845513243</v>
      </c>
      <c r="CA586" s="14" t="n">
        <f>IF(ISNUMBER(BS586),BS586,"")</f>
        <v>30</v>
      </c>
      <c r="CB586" s="13" t="n">
        <f>IF(AND(COUNT(BV586,BZ586,CA586)=3,MIN(BV586,BZ586,CA586)&gt;=0),BV586*BZ586*CA586,"")</f>
        <v>8.839868953870694</v>
      </c>
      <c r="CC586" s="11" t="n">
        <f>IF(ISNUMBER(BP586),BP586,"")</f>
        <v>1.079339935625147</v>
      </c>
      <c r="CD586" s="14" t="n">
        <f>IF(ISNUMBER(BT586),BT586,"")</f>
        <v>31</v>
      </c>
      <c r="CE586" s="13" t="n">
        <f>IF(AND(COUNT(BV586,CC586,CD586)=3,MIN(BV586,CC586,CD586)&gt;=0),BV586*CC586*CD586,"")</f>
        <v>7.041286645194807</v>
      </c>
      <c r="CF586" s="11" t="n">
        <f>IF(ISNUMBER(BQ586),BQ586,"")</f>
        <v>0.7719368903846591</v>
      </c>
      <c r="CG586" s="14" t="n">
        <f>IF(ISNUMBER(BU586),BU586,"")</f>
        <v>17</v>
      </c>
      <c r="CH586" s="13" t="n">
        <f>IF(AND(COUNT(BV586,CF586,CG586)=3,MIN(BV586,CF586,CG586)&gt;=0),BV586*CF586*CG586,"")</f>
        <v>2.761612894364632</v>
      </c>
      <c r="CI586" s="13" t="n">
        <f>IF(COUNT(BY586,CB586,CE586,CH586)=4,SUM(BY586,CB586,CE586,CH586),"")</f>
        <v>23.0345917820867</v>
      </c>
    </row>
    <row r="587" ht="72" customHeight="1">
      <c r="A587" s="16" t="str">
        <v>2302153-CC-P-Z-7.5</v>
      </c>
      <c r="B587" s="16" t="str">
        <v>3店-SANDIEX-US</v>
      </c>
      <c r="C587" s="16" t="str">
        <v>徐新怡</v>
      </c>
      <c r="D587" s="26" t="n">
        <f>IF(NOT(ISNUMBER(E587)),"",IF(OR(E587&lt;=0,L587=0),0,IF(OR(NOT(ISNUMBER(F587)),F587&lt;0),"",MIN(E587,INT(F587)))))</f>
        <v>0</v>
      </c>
      <c r="E587" s="27" t="n">
        <f>IF(OR(NOT(ISNUMBER(L587)),COUNT(M587:O587)&lt;&gt;3,MIN(M587:O587)&lt;0),"",ROUNDUP(ROUND(BI587-SUM(M587:O587),10),0))</f>
        <v>-20</v>
      </c>
      <c r="F587" s="28" t="n">
        <v>74</v>
      </c>
      <c r="G587" s="28" t="n">
        <f>IF(AND(ISNUMBER(D587),ISNUMBER(E587)),IF(OR(E587&lt;=0,L587=0),0,E587-D587),"")</f>
        <v>0</v>
      </c>
      <c r="H587" s="16" t="str">
        <f>IF(NOT(ISNUMBER(E587)),"销量或海外库存待补",IF(OR(E587&lt;=0,L587=0),IF(L587=0,"零日销，本批不发","本批无需补货"),IF(NOT(ISNUMBER(D587)),"国内库存待补",IF(D587=0,"国内无可用库存",IF(G587&gt;0,"先发国内现货","按建议量发货")))))</f>
        <v>本批无需补货</v>
      </c>
      <c r="I587" s="28" t="n">
        <f>IF(AND(COUNT(Z587,AA587,AB587)=3,Z587&gt;=AA587,AA587&gt;=0,AB587=7),Z587-AA587,"")</f>
        <v>5</v>
      </c>
      <c r="J587" s="28" t="n">
        <f>IF(AND(COUNT(AF587,AG587,AH587)=3,AF587&gt;=AG587,AG587&gt;=0,AH587=14),AF587-AG587,"")</f>
        <v>8</v>
      </c>
      <c r="K587" s="28" t="n">
        <f>IF(AND(COUNT(AL587,AM587,AN587)=3,AL587&gt;=AM587,AM587&gt;=0,AN587=30),AL587-AM587,"")</f>
        <v>15</v>
      </c>
      <c r="L587" s="29" t="n">
        <f>IF(ISNUMBER(BI587),BI587/90,"")</f>
        <v>0.22352794538572276</v>
      </c>
      <c r="M587" s="28" t="n">
        <v>20</v>
      </c>
      <c r="N587" s="28" t="n">
        <v>0</v>
      </c>
      <c r="O587" s="28" t="n">
        <v>20</v>
      </c>
      <c r="P587" s="30" t="n">
        <f>IF(AND(ISNUMBER(L587),L587&gt;0,COUNT(M587:O587)=3,MIN(M587:O587)&gt;=0),SUM(M587:O587)/L587,"")</f>
        <v>178.94854234433853</v>
      </c>
      <c r="Q587" s="16" t="str">
        <v>沿用原计划SKU店铺</v>
      </c>
      <c r="R587" s="16" t="str">
        <v>已匹配</v>
      </c>
      <c r="S587" s="16" t="str">
        <v>在售</v>
      </c>
      <c r="T587" s="16" t="str">
        <v>2302153</v>
      </c>
      <c r="U587" s="16" t="str">
        <v>驼色</v>
      </c>
      <c r="V587" s="16" t="n">
        <v>7.5</v>
      </c>
      <c r="W587" s="8" t="str">
        <v>2026-10-11 至 2026-10-17</v>
      </c>
      <c r="X587" s="8" t="str">
        <v>2026-10-11、2026-10-12、2026-10-13、2026-10-14、2026-10-15、2026-10-16、2026-10-17</v>
      </c>
      <c r="Y587" s="8" t="str">
        <v>无</v>
      </c>
      <c r="Z587" s="8" t="n">
        <v>5</v>
      </c>
      <c r="AA587" s="8" t="n">
        <v>0</v>
      </c>
      <c r="AB587" s="8" t="n">
        <v>7</v>
      </c>
      <c r="AC587" s="8" t="str">
        <v>2026-10-02 至 2026-10-17</v>
      </c>
      <c r="AD587" s="8" t="str">
        <v>2026-10-02、2026-10-03、2026-10-04、2026-10-05、2026-10-08、2026-10-09、2026-10-10、2026-10-11、2026-10-12、2026-10-13、2026-10-14、2026-10-15、2026-10-16、2026-10-17</v>
      </c>
      <c r="AE587" s="8" t="str">
        <v>2026-10-06 大促；2026-10-07 大促</v>
      </c>
      <c r="AF587" s="8" t="n">
        <v>9</v>
      </c>
      <c r="AG587" s="8" t="n">
        <v>1</v>
      </c>
      <c r="AH587" s="8" t="n">
        <v>14</v>
      </c>
      <c r="AI587" s="8" t="str">
        <v>2026-09-16 至 2026-10-17</v>
      </c>
      <c r="AJ58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7" s="8" t="str">
        <v>2026-10-06 大促；2026-10-07 大促</v>
      </c>
      <c r="AL587" s="8" t="n">
        <v>16</v>
      </c>
      <c r="AM587" s="8" t="n">
        <v>1</v>
      </c>
      <c r="AN587" s="8" t="n">
        <v>30</v>
      </c>
      <c r="AO587" s="8" t="str">
        <v>2302153 / 驼色PU / 6574</v>
      </c>
      <c r="AP587" s="11" t="n">
        <v>1.7391279184229513</v>
      </c>
      <c r="AQ587" s="11" t="n">
        <v>1.7391279184229513</v>
      </c>
      <c r="AR587" s="11" t="n">
        <v>1.5731892896917212</v>
      </c>
      <c r="AS587" s="11" t="n">
        <f>IF(AND(COUNT(I587:K587,AP587:AR587)=6,MIN(AP587:AR587)&gt;0),I587/7/AP587*0.5+J587/14/AQ587*0.3+K587/30/AR587*0.2,"")</f>
        <v>0.3674941528091349</v>
      </c>
      <c r="AT587" s="8" t="n">
        <v>22</v>
      </c>
      <c r="AU587" s="8" t="n">
        <v>1</v>
      </c>
      <c r="AV587" s="8" t="n">
        <v>88</v>
      </c>
      <c r="AW587" s="11" t="n">
        <f>IF(AND(COUNT(AT587:AV587)=3,AT587&gt;=AU587,AU587&gt;=0,AV587&gt;0),(AT587-AU587)/AV587,"")</f>
        <v>0.23863636363636365</v>
      </c>
      <c r="AX587" s="8" t="n">
        <v>43</v>
      </c>
      <c r="AY587" s="8" t="n">
        <v>1</v>
      </c>
      <c r="AZ587" s="8" t="n">
        <v>178</v>
      </c>
      <c r="BA587" s="11" t="n">
        <f>IF(AND(COUNT(AX587:AZ587)=3,AX587&gt;=AY587,AY587&gt;=0,AZ587&gt;0),(AX587-AY587)/AZ587,"")</f>
        <v>0.23595505617977527</v>
      </c>
      <c r="BB587" s="8" t="n">
        <f>IF(COUNT(AS587,AW587,BA587)=3,1,0)</f>
        <v>1</v>
      </c>
      <c r="BC587" s="11" t="n">
        <f>IF(SUMIF($AO$11:$AO$1309,AO587,$BB$11:$BB$1309)=COUNTIF($AO$11:$AO$1309,AO587),SUMIF($AO$11:$AO$1309,AO587,$AS$11:$AS$1309),"")</f>
        <v>4.064868532287768</v>
      </c>
      <c r="BD587" s="11" t="n">
        <f>IF(SUMIF($AO$11:$AO$1309,AO587,$BB$11:$BB$1309)=COUNTIF($AO$11:$AO$1309,AO587),SUMIF($AO$11:$AO$1309,AO587,$AW$11:$AW$1309),"")</f>
        <v>5.079545454545455</v>
      </c>
      <c r="BE587" s="11" t="n">
        <f>IF(SUMIF($AO$11:$AO$1309,AO587,$BB$11:$BB$1309)=COUNTIF($AO$11:$AO$1309,AO587),SUMIF($AO$11:$AO$1309,AO587,$BA$11:$BA$1309),"")</f>
        <v>5.741573033707865</v>
      </c>
      <c r="BF587" s="12" t="n">
        <f>IF(COUNT(BD587:BE587)&lt;&gt;2,"",IF(AND(BD587&gt;0,BE587&gt;0),0.7*AW587/BD587+0.3*BA587/BE587,IF(BD587&gt;0,AW587/BD587,IF(BE587&gt;0,BA587/BE587,IF(AND(ISNUMBER(BH587),BH587=0),0,"")))))</f>
        <v>0.045214673163556124</v>
      </c>
      <c r="BG587" s="11" t="n">
        <f>IF(AND(COUNT(BN587:BU587)=8,MIN(BN587:BU587)&gt;=0),SUMPRODUCT(BN587:BQ587,BR587:BU587),"")</f>
        <v>109.4582336985339</v>
      </c>
      <c r="BH587" s="11" t="n">
        <f>IF(COUNT(BC587,BG587)=2,BC587*BG587,"")</f>
        <v>444.93332976097105</v>
      </c>
      <c r="BI587" s="11" t="n">
        <f>IF(ISNUMBER(CI587),CI587,"")</f>
        <v>20.11751508471505</v>
      </c>
      <c r="BJ587" s="8" t="str"/>
      <c r="BK587" s="8" t="str">
        <v>90天：2026-07-20 至 2026-10-17；180天：2026-04-21 至 2026-10-17</v>
      </c>
      <c r="BL587" s="8" t="str">
        <v>90天：2026-10-06、2026-10-07；180天：2026-10-06、2026-10-07</v>
      </c>
      <c r="BM587" s="8" t="str">
        <v>2026-10：12天 × 1.7391279184229513；2026-11：30天 × 1.4002077845513243；2026-12：31天 × 1.079339935625147；2027-01：17天 × 0.7719368903846591</v>
      </c>
      <c r="BN587" s="11" t="n">
        <v>1.7391279184229513</v>
      </c>
      <c r="BO587" s="11" t="n">
        <v>1.4002077845513243</v>
      </c>
      <c r="BP587" s="11" t="n">
        <v>1.079339935625147</v>
      </c>
      <c r="BQ587" s="11" t="n">
        <v>0.7719368903846591</v>
      </c>
      <c r="BR587" s="8" t="n">
        <v>12</v>
      </c>
      <c r="BS587" s="8" t="n">
        <v>30</v>
      </c>
      <c r="BT587" s="8" t="n">
        <v>31</v>
      </c>
      <c r="BU587" s="8" t="n">
        <v>17</v>
      </c>
      <c r="BV587" s="11" t="n">
        <f>IF(COUNT(BC587,BF587)=2,BC587*BF587,"")</f>
        <v>0.18379170214021553</v>
      </c>
      <c r="BW587" s="11" t="n">
        <f>IF(ISNUMBER(BN587),BN587,"")</f>
        <v>1.7391279184229513</v>
      </c>
      <c r="BX587" s="14" t="n">
        <f>IF(ISNUMBER(BR587),BR587,"")</f>
        <v>12</v>
      </c>
      <c r="BY587" s="13" t="n">
        <f>IF(AND(COUNT(BV587,BW587,BX587)=3,MIN(BV587,BW587,BX587)&gt;=0),BV587*BW587*BX587,"")</f>
        <v>3.835647364398289</v>
      </c>
      <c r="BZ587" s="11" t="n">
        <f>IF(ISNUMBER(BO587),BO587,"")</f>
        <v>1.4002077845513243</v>
      </c>
      <c r="CA587" s="14" t="n">
        <f>IF(ISNUMBER(BS587),BS587,"")</f>
        <v>30</v>
      </c>
      <c r="CB587" s="13" t="n">
        <f>IF(AND(COUNT(BV587,BZ587,CA587)=3,MIN(BV587,BZ587,CA587)&gt;=0),BV587*BZ587*CA587,"")</f>
        <v>7.720397162180043</v>
      </c>
      <c r="CC587" s="11" t="n">
        <f>IF(ISNUMBER(BP587),BP587,"")</f>
        <v>1.079339935625147</v>
      </c>
      <c r="CD587" s="14" t="n">
        <f>IF(ISNUMBER(BT587),BT587,"")</f>
        <v>31</v>
      </c>
      <c r="CE587" s="13" t="n">
        <f>IF(AND(COUNT(BV587,CC587,CD587)=3,MIN(BV587,CC587,CD587)&gt;=0),BV587*CC587*CD587,"")</f>
        <v>6.149585442650149</v>
      </c>
      <c r="CF587" s="11" t="n">
        <f>IF(ISNUMBER(BQ587),BQ587,"")</f>
        <v>0.7719368903846591</v>
      </c>
      <c r="CG587" s="14" t="n">
        <f>IF(ISNUMBER(BU587),BU587,"")</f>
        <v>17</v>
      </c>
      <c r="CH587" s="13" t="n">
        <f>IF(AND(COUNT(BV587,CF587,CG587)=3,MIN(BV587,CF587,CG587)&gt;=0),BV587*CF587*CG587,"")</f>
        <v>2.411885115486565</v>
      </c>
      <c r="CI587" s="13" t="n">
        <f>IF(COUNT(BY587,CB587,CE587,CH587)=4,SUM(BY587,CB587,CE587,CH587),"")</f>
        <v>20.11751508471505</v>
      </c>
    </row>
    <row r="588" ht="72" customHeight="1">
      <c r="A588" s="16" t="str">
        <v>2302153-CC-P-Z-8</v>
      </c>
      <c r="B588" s="16" t="str">
        <v>3店-SANDIEX-US</v>
      </c>
      <c r="C588" s="16" t="str">
        <v>徐新怡</v>
      </c>
      <c r="D588" s="26" t="n">
        <f>IF(NOT(ISNUMBER(E588)),"",IF(OR(E588&lt;=0,L588=0),0,IF(OR(NOT(ISNUMBER(F588)),F588&lt;0),"",MIN(E588,INT(F588)))))</f>
        <v>0</v>
      </c>
      <c r="E588" s="27" t="n">
        <f>IF(OR(NOT(ISNUMBER(L588)),COUNT(M588:O588)&lt;&gt;3,MIN(M588:O588)&lt;0),"",ROUNDUP(ROUND(BI588-SUM(M588:O588),10),0))</f>
        <v>-45</v>
      </c>
      <c r="F588" s="28" t="n">
        <v>117</v>
      </c>
      <c r="G588" s="28" t="n">
        <f>IF(AND(ISNUMBER(D588),ISNUMBER(E588)),IF(OR(E588&lt;=0,L588=0),0,E588-D588),"")</f>
        <v>0</v>
      </c>
      <c r="H588" s="16" t="str">
        <f>IF(NOT(ISNUMBER(E588)),"销量或海外库存待补",IF(OR(E588&lt;=0,L588=0),IF(L588=0,"零日销，本批不发","本批无需补货"),IF(NOT(ISNUMBER(D588)),"国内库存待补",IF(D588=0,"国内无可用库存",IF(G588&gt;0,"先发国内现货","按建议量发货")))))</f>
        <v>本批无需补货</v>
      </c>
      <c r="I588" s="28" t="n">
        <f>IF(AND(COUNT(Z588,AA588,AB588)=3,Z588&gt;=AA588,AA588&gt;=0,AB588=7),Z588-AA588,"")</f>
        <v>4</v>
      </c>
      <c r="J588" s="28" t="n">
        <f>IF(AND(COUNT(AF588,AG588,AH588)=3,AF588&gt;=AG588,AG588&gt;=0,AH588=14),AF588-AG588,"")</f>
        <v>5</v>
      </c>
      <c r="K588" s="28" t="n">
        <f>IF(AND(COUNT(AL588,AM588,AN588)=3,AL588&gt;=AM588,AM588&gt;=0,AN588=30),AL588-AM588,"")</f>
        <v>18</v>
      </c>
      <c r="L588" s="29" t="n">
        <f>IF(ISNUMBER(BI588),BI588/90,"")</f>
        <v>0.5200945418777729</v>
      </c>
      <c r="M588" s="28" t="n">
        <v>1</v>
      </c>
      <c r="N588" s="28" t="n">
        <v>6</v>
      </c>
      <c r="O588" s="28" t="n">
        <v>84</v>
      </c>
      <c r="P588" s="30" t="n">
        <f>IF(AND(ISNUMBER(L588),L588&gt;0,COUNT(M588:O588)=3,MIN(M588:O588)&gt;=0),SUM(M588:O588)/L588,"")</f>
        <v>174.96818880553806</v>
      </c>
      <c r="Q588" s="16" t="str">
        <v>沿用原计划SKU店铺</v>
      </c>
      <c r="R588" s="16" t="str">
        <v>已匹配</v>
      </c>
      <c r="S588" s="16" t="str">
        <v>在售</v>
      </c>
      <c r="T588" s="16" t="str">
        <v>2302153</v>
      </c>
      <c r="U588" s="16" t="str">
        <v>驼色</v>
      </c>
      <c r="V588" s="16" t="n">
        <v>8</v>
      </c>
      <c r="W588" s="8" t="str">
        <v>2026-10-11 至 2026-10-17</v>
      </c>
      <c r="X588" s="8" t="str">
        <v>2026-10-11、2026-10-12、2026-10-13、2026-10-14、2026-10-15、2026-10-16、2026-10-17</v>
      </c>
      <c r="Y588" s="8" t="str">
        <v>无</v>
      </c>
      <c r="Z588" s="8" t="n">
        <v>4</v>
      </c>
      <c r="AA588" s="8" t="n">
        <v>0</v>
      </c>
      <c r="AB588" s="8" t="n">
        <v>7</v>
      </c>
      <c r="AC588" s="8" t="str">
        <v>2026-10-02 至 2026-10-17</v>
      </c>
      <c r="AD588" s="8" t="str">
        <v>2026-10-02、2026-10-03、2026-10-04、2026-10-05、2026-10-08、2026-10-09、2026-10-10、2026-10-11、2026-10-12、2026-10-13、2026-10-14、2026-10-15、2026-10-16、2026-10-17</v>
      </c>
      <c r="AE588" s="8" t="str">
        <v>2026-10-06 大促；2026-10-07 大促</v>
      </c>
      <c r="AF588" s="8" t="n">
        <v>8</v>
      </c>
      <c r="AG588" s="8" t="n">
        <v>3</v>
      </c>
      <c r="AH588" s="8" t="n">
        <v>14</v>
      </c>
      <c r="AI588" s="8" t="str">
        <v>2026-09-16 至 2026-10-17</v>
      </c>
      <c r="AJ5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8" s="8" t="str">
        <v>2026-10-06 大促；2026-10-07 大促</v>
      </c>
      <c r="AL588" s="8" t="n">
        <v>21</v>
      </c>
      <c r="AM588" s="8" t="n">
        <v>3</v>
      </c>
      <c r="AN588" s="8" t="n">
        <v>30</v>
      </c>
      <c r="AO588" s="8" t="str">
        <v>2302153 / 驼色PU / 6574</v>
      </c>
      <c r="AP588" s="11" t="n">
        <v>1.7391279184229513</v>
      </c>
      <c r="AQ588" s="11" t="n">
        <v>1.7391279184229513</v>
      </c>
      <c r="AR588" s="11" t="n">
        <v>1.5731892896917212</v>
      </c>
      <c r="AS588" s="11" t="n">
        <f>IF(AND(COUNT(I588:K588,AP588:AR588)=6,MIN(AP588:AR588)&gt;0),I588/7/AP588*0.5+J588/14/AQ588*0.3+K588/30/AR588*0.2,"")</f>
        <v>0.3021713539375733</v>
      </c>
      <c r="AT588" s="8" t="n">
        <v>43</v>
      </c>
      <c r="AU588" s="8" t="n">
        <v>3</v>
      </c>
      <c r="AV588" s="8" t="n">
        <v>88</v>
      </c>
      <c r="AW588" s="11" t="n">
        <f>IF(AND(COUNT(AT588:AV588)=3,AT588&gt;=AU588,AU588&gt;=0,AV588&gt;0),(AT588-AU588)/AV588,"")</f>
        <v>0.45454545454545453</v>
      </c>
      <c r="AX588" s="8" t="n">
        <v>148</v>
      </c>
      <c r="AY588" s="8" t="n">
        <v>3</v>
      </c>
      <c r="AZ588" s="8" t="n">
        <v>178</v>
      </c>
      <c r="BA588" s="11" t="n">
        <f>IF(AND(COUNT(AX588:AZ588)=3,AX588&gt;=AY588,AY588&gt;=0,AZ588&gt;0),(AX588-AY588)/AZ588,"")</f>
        <v>0.8146067415730337</v>
      </c>
      <c r="BB588" s="8" t="n">
        <f>IF(COUNT(AS588,AW588,BA588)=3,1,0)</f>
        <v>1</v>
      </c>
      <c r="BC588" s="11" t="n">
        <f>IF(SUMIF($AO$11:$AO$1309,AO588,$BB$11:$BB$1309)=COUNTIF($AO$11:$AO$1309,AO588),SUMIF($AO$11:$AO$1309,AO588,$AS$11:$AS$1309),"")</f>
        <v>4.064868532287768</v>
      </c>
      <c r="BD588" s="11" t="n">
        <f>IF(SUMIF($AO$11:$AO$1309,AO588,$BB$11:$BB$1309)=COUNTIF($AO$11:$AO$1309,AO588),SUMIF($AO$11:$AO$1309,AO588,$AW$11:$AW$1309),"")</f>
        <v>5.079545454545455</v>
      </c>
      <c r="BE588" s="11" t="n">
        <f>IF(SUMIF($AO$11:$AO$1309,AO588,$BB$11:$BB$1309)=COUNTIF($AO$11:$AO$1309,AO588),SUMIF($AO$11:$AO$1309,AO588,$BA$11:$BA$1309),"")</f>
        <v>5.741573033707865</v>
      </c>
      <c r="BF588" s="12" t="n">
        <f>IF(COUNT(BD588:BE588)&lt;&gt;2,"",IF(AND(BD588&gt;0,BE588&gt;0),0.7*AW588/BD588+0.3*BA588/BE588,IF(BD588&gt;0,AW588/BD588,IF(BE588&gt;0,BA588/BE588,IF(AND(ISNUMBER(BH588),BH588=0),0,"")))))</f>
        <v>0.10520342181186162</v>
      </c>
      <c r="BG588" s="11" t="n">
        <f>IF(AND(COUNT(BN588:BU588)=8,MIN(BN588:BU588)&gt;=0),SUMPRODUCT(BN588:BQ588,BR588:BU588),"")</f>
        <v>109.4582336985339</v>
      </c>
      <c r="BH588" s="11" t="n">
        <f>IF(COUNT(BC588,BG588)=2,BC588*BG588,"")</f>
        <v>444.93332976097105</v>
      </c>
      <c r="BI588" s="11" t="n">
        <f>IF(ISNUMBER(CI588),CI588,"")</f>
        <v>46.808508768999566</v>
      </c>
      <c r="BJ588" s="8" t="str"/>
      <c r="BK588" s="8" t="str">
        <v>90天：2026-07-20 至 2026-10-17；180天：2026-04-21 至 2026-10-17</v>
      </c>
      <c r="BL588" s="8" t="str">
        <v>90天：2026-10-06、2026-10-07；180天：2026-10-06、2026-10-07</v>
      </c>
      <c r="BM588" s="8" t="str">
        <v>2026-10：12天 × 1.7391279184229513；2026-11：30天 × 1.4002077845513243；2026-12：31天 × 1.079339935625147；2027-01：17天 × 0.7719368903846591</v>
      </c>
      <c r="BN588" s="11" t="n">
        <v>1.7391279184229513</v>
      </c>
      <c r="BO588" s="11" t="n">
        <v>1.4002077845513243</v>
      </c>
      <c r="BP588" s="11" t="n">
        <v>1.079339935625147</v>
      </c>
      <c r="BQ588" s="11" t="n">
        <v>0.7719368903846591</v>
      </c>
      <c r="BR588" s="8" t="n">
        <v>12</v>
      </c>
      <c r="BS588" s="8" t="n">
        <v>30</v>
      </c>
      <c r="BT588" s="8" t="n">
        <v>31</v>
      </c>
      <c r="BU588" s="8" t="n">
        <v>17</v>
      </c>
      <c r="BV588" s="11" t="n">
        <f>IF(COUNT(BC588,BF588)=2,BC588*BF588,"")</f>
        <v>0.427638078812033</v>
      </c>
      <c r="BW588" s="11" t="n">
        <f>IF(ISNUMBER(BN588),BN588,"")</f>
        <v>1.7391279184229513</v>
      </c>
      <c r="BX588" s="14" t="n">
        <f>IF(ISNUMBER(BR588),BR588,"")</f>
        <v>12</v>
      </c>
      <c r="BY588" s="13" t="n">
        <f>IF(AND(COUNT(BV588,BW588,BX588)=3,MIN(BV588,BW588,BX588)&gt;=0),BV588*BW588*BX588,"")</f>
        <v>8.924607862113131</v>
      </c>
      <c r="BZ588" s="11" t="n">
        <f>IF(ISNUMBER(BO588),BO588,"")</f>
        <v>1.4002077845513243</v>
      </c>
      <c r="CA588" s="14" t="n">
        <f>IF(ISNUMBER(BS588),BS588,"")</f>
        <v>30</v>
      </c>
      <c r="CB588" s="13" t="n">
        <f>IF(AND(COUNT(BV588,BZ588,CA588)=3,MIN(BV588,BZ588,CA588)&gt;=0),BV588*BZ588*CA588,"")</f>
        <v>17.96346500769544</v>
      </c>
      <c r="CC588" s="11" t="n">
        <f>IF(ISNUMBER(BP588),BP588,"")</f>
        <v>1.079339935625147</v>
      </c>
      <c r="CD588" s="14" t="n">
        <f>IF(ISNUMBER(BT588),BT588,"")</f>
        <v>31</v>
      </c>
      <c r="CE588" s="13" t="n">
        <f>IF(AND(COUNT(BV588,CC588,CD588)=3,MIN(BV588,CC588,CD588)&gt;=0),BV588*CC588*CD588,"")</f>
        <v>14.308572550131077</v>
      </c>
      <c r="CF588" s="11" t="n">
        <f>IF(ISNUMBER(BQ588),BQ588,"")</f>
        <v>0.7719368903846591</v>
      </c>
      <c r="CG588" s="14" t="n">
        <f>IF(ISNUMBER(BU588),BU588,"")</f>
        <v>17</v>
      </c>
      <c r="CH588" s="13" t="n">
        <f>IF(AND(COUNT(BV588,CF588,CG588)=3,MIN(BV588,CF588,CG588)&gt;=0),BV588*CF588*CG588,"")</f>
        <v>5.611863349059918</v>
      </c>
      <c r="CI588" s="13" t="n">
        <f>IF(COUNT(BY588,CB588,CE588,CH588)=4,SUM(BY588,CB588,CE588,CH588),"")</f>
        <v>46.808508768999566</v>
      </c>
    </row>
    <row r="589" ht="72" customHeight="1">
      <c r="A589" s="16" t="str">
        <v>2302153-CC-P-Z-8.5</v>
      </c>
      <c r="B589" s="16" t="str">
        <v>3店-SANDIEX-US</v>
      </c>
      <c r="C589" s="16" t="str">
        <v>徐新怡</v>
      </c>
      <c r="D589" s="26" t="n">
        <f>IF(NOT(ISNUMBER(E589)),"",IF(OR(E589&lt;=0,L589=0),0,IF(OR(NOT(ISNUMBER(F589)),F589&lt;0),"",MIN(E589,INT(F589)))))</f>
        <v>0</v>
      </c>
      <c r="E589" s="27" t="n">
        <f>IF(OR(NOT(ISNUMBER(L589)),COUNT(M589:O589)&lt;&gt;3,MIN(M589:O589)&lt;0),"",ROUNDUP(ROUND(BI589-SUM(M589:O589),10),0))</f>
        <v>-43</v>
      </c>
      <c r="F589" s="28" t="n">
        <v>65</v>
      </c>
      <c r="G589" s="28" t="n">
        <f>IF(AND(ISNUMBER(D589),ISNUMBER(E589)),IF(OR(E589&lt;=0,L589=0),0,E589-D589),"")</f>
        <v>0</v>
      </c>
      <c r="H589" s="16" t="str">
        <f>IF(NOT(ISNUMBER(E589)),"销量或海外库存待补",IF(OR(E589&lt;=0,L589=0),IF(L589=0,"零日销，本批不发","本批无需补货"),IF(NOT(ISNUMBER(D589)),"国内库存待补",IF(D589=0,"国内无可用库存",IF(G589&gt;0,"先发国内现货","按建议量发货")))))</f>
        <v>本批无需补货</v>
      </c>
      <c r="I589" s="28" t="n">
        <f>IF(AND(COUNT(Z589,AA589,AB589)=3,Z589&gt;=AA589,AA589&gt;=0,AB589=7),Z589-AA589,"")</f>
        <v>5</v>
      </c>
      <c r="J589" s="28" t="n">
        <f>IF(AND(COUNT(AF589,AG589,AH589)=3,AF589&gt;=AG589,AG589&gt;=0,AH589=14),AF589-AG589,"")</f>
        <v>10</v>
      </c>
      <c r="K589" s="28" t="n">
        <f>IF(AND(COUNT(AL589,AM589,AN589)=3,AL589&gt;=AM589,AM589&gt;=0,AN589=30),AL589-AM589,"")</f>
        <v>17</v>
      </c>
      <c r="L589" s="29" t="n">
        <f>IF(ISNUMBER(BI589),BI589/90,"")</f>
        <v>0.2506145682531516</v>
      </c>
      <c r="M589" s="28" t="n">
        <v>25</v>
      </c>
      <c r="N589" s="28" t="n">
        <v>0</v>
      </c>
      <c r="O589" s="28" t="n">
        <v>40</v>
      </c>
      <c r="P589" s="30" t="n">
        <f>IF(AND(ISNUMBER(L589),L589&gt;0,COUNT(M589:O589)=3,MIN(M589:O589)&gt;=0),SUM(M589:O589)/L589,"")</f>
        <v>259.3624163713499</v>
      </c>
      <c r="Q589" s="16" t="str">
        <v>沿用原计划SKU店铺</v>
      </c>
      <c r="R589" s="16" t="str">
        <v>已匹配</v>
      </c>
      <c r="S589" s="16" t="str">
        <v>在售</v>
      </c>
      <c r="T589" s="16" t="str">
        <v>2302153</v>
      </c>
      <c r="U589" s="16" t="str">
        <v>驼色</v>
      </c>
      <c r="V589" s="16" t="n">
        <v>8.5</v>
      </c>
      <c r="W589" s="8" t="str">
        <v>2026-10-11 至 2026-10-17</v>
      </c>
      <c r="X589" s="8" t="str">
        <v>2026-10-11、2026-10-12、2026-10-13、2026-10-14、2026-10-15、2026-10-16、2026-10-17</v>
      </c>
      <c r="Y589" s="8" t="str">
        <v>无</v>
      </c>
      <c r="Z589" s="8" t="n">
        <v>5</v>
      </c>
      <c r="AA589" s="8" t="n">
        <v>0</v>
      </c>
      <c r="AB589" s="8" t="n">
        <v>7</v>
      </c>
      <c r="AC589" s="8" t="str">
        <v>2026-10-02 至 2026-10-17</v>
      </c>
      <c r="AD589" s="8" t="str">
        <v>2026-10-02、2026-10-03、2026-10-04、2026-10-05、2026-10-08、2026-10-09、2026-10-10、2026-10-11、2026-10-12、2026-10-13、2026-10-14、2026-10-15、2026-10-16、2026-10-17</v>
      </c>
      <c r="AE589" s="8" t="str">
        <v>2026-10-06 大促；2026-10-07 大促</v>
      </c>
      <c r="AF589" s="8" t="n">
        <v>11</v>
      </c>
      <c r="AG589" s="8" t="n">
        <v>1</v>
      </c>
      <c r="AH589" s="8" t="n">
        <v>14</v>
      </c>
      <c r="AI589" s="8" t="str">
        <v>2026-09-16 至 2026-10-17</v>
      </c>
      <c r="AJ5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89" s="8" t="str">
        <v>2026-10-06 大促；2026-10-07 大促</v>
      </c>
      <c r="AL589" s="8" t="n">
        <v>18</v>
      </c>
      <c r="AM589" s="8" t="n">
        <v>1</v>
      </c>
      <c r="AN589" s="8" t="n">
        <v>30</v>
      </c>
      <c r="AO589" s="8" t="str">
        <v>2302153 / 驼色PU / 6574</v>
      </c>
      <c r="AP589" s="11" t="n">
        <v>1.7391279184229513</v>
      </c>
      <c r="AQ589" s="11" t="n">
        <v>1.7391279184229513</v>
      </c>
      <c r="AR589" s="11" t="n">
        <v>1.5731892896917212</v>
      </c>
      <c r="AS589" s="11" t="n">
        <f>IF(AND(COUNT(I589:K589,AP589:AR589)=6,MIN(AP589:AR589)&gt;0),I589/7/AP589*0.5+J589/14/AQ589*0.3+K589/30/AR589*0.2,"")</f>
        <v>0.4006123978244426</v>
      </c>
      <c r="AT589" s="8" t="n">
        <v>21</v>
      </c>
      <c r="AU589" s="8" t="n">
        <v>1</v>
      </c>
      <c r="AV589" s="8" t="n">
        <v>88</v>
      </c>
      <c r="AW589" s="11" t="n">
        <f>IF(AND(COUNT(AT589:AV589)=3,AT589&gt;=AU589,AU589&gt;=0,AV589&gt;0),(AT589-AU589)/AV589,"")</f>
        <v>0.22727272727272727</v>
      </c>
      <c r="AX589" s="8" t="n">
        <v>67</v>
      </c>
      <c r="AY589" s="8" t="n">
        <v>1</v>
      </c>
      <c r="AZ589" s="8" t="n">
        <v>178</v>
      </c>
      <c r="BA589" s="11" t="n">
        <f>IF(AND(COUNT(AX589:AZ589)=3,AX589&gt;=AY589,AY589&gt;=0,AZ589&gt;0),(AX589-AY589)/AZ589,"")</f>
        <v>0.3707865168539326</v>
      </c>
      <c r="BB589" s="8" t="n">
        <f>IF(COUNT(AS589,AW589,BA589)=3,1,0)</f>
        <v>1</v>
      </c>
      <c r="BC589" s="11" t="n">
        <f>IF(SUMIF($AO$11:$AO$1309,AO589,$BB$11:$BB$1309)=COUNTIF($AO$11:$AO$1309,AO589),SUMIF($AO$11:$AO$1309,AO589,$AS$11:$AS$1309),"")</f>
        <v>4.064868532287768</v>
      </c>
      <c r="BD589" s="11" t="n">
        <f>IF(SUMIF($AO$11:$AO$1309,AO589,$BB$11:$BB$1309)=COUNTIF($AO$11:$AO$1309,AO589),SUMIF($AO$11:$AO$1309,AO589,$AW$11:$AW$1309),"")</f>
        <v>5.079545454545455</v>
      </c>
      <c r="BE589" s="11" t="n">
        <f>IF(SUMIF($AO$11:$AO$1309,AO589,$BB$11:$BB$1309)=COUNTIF($AO$11:$AO$1309,AO589),SUMIF($AO$11:$AO$1309,AO589,$BA$11:$BA$1309),"")</f>
        <v>5.741573033707865</v>
      </c>
      <c r="BF589" s="12" t="n">
        <f>IF(COUNT(BD589:BE589)&lt;&gt;2,"",IF(AND(BD589&gt;0,BE589&gt;0),0.7*AW589/BD589+0.3*BA589/BE589,IF(BD589&gt;0,AW589/BD589,IF(BE589&gt;0,BA589/BE589,IF(AND(ISNUMBER(BH589),BH589=0),0,"")))))</f>
        <v>0.050693687422564866</v>
      </c>
      <c r="BG589" s="11" t="n">
        <f>IF(AND(COUNT(BN589:BU589)=8,MIN(BN589:BU589)&gt;=0),SUMPRODUCT(BN589:BQ589,BR589:BU589),"")</f>
        <v>109.4582336985339</v>
      </c>
      <c r="BH589" s="11" t="n">
        <f>IF(COUNT(BC589,BG589)=2,BC589*BG589,"")</f>
        <v>444.93332976097105</v>
      </c>
      <c r="BI589" s="11" t="n">
        <f>IF(ISNUMBER(CI589),CI589,"")</f>
        <v>22.555311142783644</v>
      </c>
      <c r="BJ589" s="8" t="str"/>
      <c r="BK589" s="8" t="str">
        <v>90天：2026-07-20 至 2026-10-17；180天：2026-04-21 至 2026-10-17</v>
      </c>
      <c r="BL589" s="8" t="str">
        <v>90天：2026-10-06、2026-10-07；180天：2026-10-06、2026-10-07</v>
      </c>
      <c r="BM589" s="8" t="str">
        <v>2026-10：12天 × 1.7391279184229513；2026-11：30天 × 1.4002077845513243；2026-12：31天 × 1.079339935625147；2027-01：17天 × 0.7719368903846591</v>
      </c>
      <c r="BN589" s="11" t="n">
        <v>1.7391279184229513</v>
      </c>
      <c r="BO589" s="11" t="n">
        <v>1.4002077845513243</v>
      </c>
      <c r="BP589" s="11" t="n">
        <v>1.079339935625147</v>
      </c>
      <c r="BQ589" s="11" t="n">
        <v>0.7719368903846591</v>
      </c>
      <c r="BR589" s="8" t="n">
        <v>12</v>
      </c>
      <c r="BS589" s="8" t="n">
        <v>30</v>
      </c>
      <c r="BT589" s="8" t="n">
        <v>31</v>
      </c>
      <c r="BU589" s="8" t="n">
        <v>17</v>
      </c>
      <c r="BV589" s="11" t="n">
        <f>IF(COUNT(BC589,BF589)=2,BC589*BF589,"")</f>
        <v>0.20606317478961614</v>
      </c>
      <c r="BW589" s="11" t="n">
        <f>IF(ISNUMBER(BN589),BN589,"")</f>
        <v>1.7391279184229513</v>
      </c>
      <c r="BX589" s="14" t="n">
        <f>IF(ISNUMBER(BR589),BR589,"")</f>
        <v>12</v>
      </c>
      <c r="BY589" s="13" t="n">
        <f>IF(AND(COUNT(BV589,BW589,BX589)=3,MIN(BV589,BW589,BX589)&gt;=0),BV589*BW589*BX589,"")</f>
        <v>4.300442642825879</v>
      </c>
      <c r="BZ589" s="11" t="n">
        <f>IF(ISNUMBER(BO589),BO589,"")</f>
        <v>1.4002077845513243</v>
      </c>
      <c r="CA589" s="14" t="n">
        <f>IF(ISNUMBER(BS589),BS589,"")</f>
        <v>30</v>
      </c>
      <c r="CB589" s="13" t="n">
        <f>IF(AND(COUNT(BV589,BZ589,CA589)=3,MIN(BV589,BZ589,CA589)&gt;=0),BV589*BZ589*CA589,"")</f>
        <v>8.65593784349342</v>
      </c>
      <c r="CC589" s="11" t="n">
        <f>IF(ISNUMBER(BP589),BP589,"")</f>
        <v>1.079339935625147</v>
      </c>
      <c r="CD589" s="14" t="n">
        <f>IF(ISNUMBER(BT589),BT589,"")</f>
        <v>31</v>
      </c>
      <c r="CE589" s="13" t="n">
        <f>IF(AND(COUNT(BV589,CC589,CD589)=3,MIN(BV589,CC589,CD589)&gt;=0),BV589*CC589*CD589,"")</f>
        <v>6.894778628176268</v>
      </c>
      <c r="CF589" s="11" t="n">
        <f>IF(ISNUMBER(BQ589),BQ589,"")</f>
        <v>0.7719368903846591</v>
      </c>
      <c r="CG589" s="14" t="n">
        <f>IF(ISNUMBER(BU589),BU589,"")</f>
        <v>17</v>
      </c>
      <c r="CH589" s="13" t="n">
        <f>IF(AND(COUNT(BV589,CF589,CG589)=3,MIN(BV589,CF589,CG589)&gt;=0),BV589*CF589*CG589,"")</f>
        <v>2.704152028288075</v>
      </c>
      <c r="CI589" s="13" t="n">
        <f>IF(COUNT(BY589,CB589,CE589,CH589)=4,SUM(BY589,CB589,CE589,CH589),"")</f>
        <v>22.555311142783644</v>
      </c>
    </row>
    <row r="590" ht="72" customHeight="1">
      <c r="A590" s="16" t="str">
        <v>2302153-CC-P-Z-9</v>
      </c>
      <c r="B590" s="16" t="str">
        <v>3店-SANDIEX-US</v>
      </c>
      <c r="C590" s="16" t="str">
        <v>徐新怡</v>
      </c>
      <c r="D590" s="26" t="n">
        <f>IF(NOT(ISNUMBER(E590)),"",IF(OR(E590&lt;=0,L590=0),0,IF(OR(NOT(ISNUMBER(F590)),F590&lt;0),"",MIN(E590,INT(F590)))))</f>
        <v>0</v>
      </c>
      <c r="E590" s="27" t="n">
        <f>IF(OR(NOT(ISNUMBER(L590)),COUNT(M590:O590)&lt;&gt;3,MIN(M590:O590)&lt;0),"",ROUNDUP(ROUND(BI590-SUM(M590:O590),10),0))</f>
        <v>-28</v>
      </c>
      <c r="F590" s="28" t="n">
        <v>85</v>
      </c>
      <c r="G590" s="28" t="n">
        <f>IF(AND(ISNUMBER(D590),ISNUMBER(E590)),IF(OR(E590&lt;=0,L590=0),0,E590-D590),"")</f>
        <v>0</v>
      </c>
      <c r="H590" s="16" t="str">
        <f>IF(NOT(ISNUMBER(E590)),"销量或海外库存待补",IF(OR(E590&lt;=0,L590=0),IF(L590=0,"零日销，本批不发","本批无需补货"),IF(NOT(ISNUMBER(D590)),"国内库存待补",IF(D590=0,"国内无可用库存",IF(G590&gt;0,"先发国内现货","按建议量发货")))))</f>
        <v>本批无需补货</v>
      </c>
      <c r="I590" s="28" t="n">
        <f>IF(AND(COUNT(Z590,AA590,AB590)=3,Z590&gt;=AA590,AA590&gt;=0,AB590=7),Z590-AA590,"")</f>
        <v>6</v>
      </c>
      <c r="J590" s="28" t="n">
        <f>IF(AND(COUNT(AF590,AG590,AH590)=3,AF590&gt;=AG590,AG590&gt;=0,AH590=14),AF590-AG590,"")</f>
        <v>12</v>
      </c>
      <c r="K590" s="28" t="n">
        <f>IF(AND(COUNT(AL590,AM590,AN590)=3,AL590&gt;=AM590,AM590&gt;=0,AN590=30),AL590-AM590,"")</f>
        <v>33</v>
      </c>
      <c r="L590" s="29" t="n">
        <f>IF(ISNUMBER(BI590),BI590/90,"")</f>
        <v>1.0015189526510833</v>
      </c>
      <c r="M590" s="28" t="n">
        <v>50</v>
      </c>
      <c r="N590" s="28" t="n">
        <v>4</v>
      </c>
      <c r="O590" s="28" t="n">
        <v>64</v>
      </c>
      <c r="P590" s="30" t="n">
        <f>IF(AND(ISNUMBER(L590),L590&gt;0,COUNT(M590:O590)=3,MIN(M590:O590)&gt;=0),SUM(M590:O590)/L590,"")</f>
        <v>117.82103542588648</v>
      </c>
      <c r="Q590" s="16" t="str">
        <v>沿用原计划SKU店铺</v>
      </c>
      <c r="R590" s="16" t="str">
        <v>已匹配</v>
      </c>
      <c r="S590" s="16" t="str">
        <v>在售</v>
      </c>
      <c r="T590" s="16" t="str">
        <v>2302153</v>
      </c>
      <c r="U590" s="16" t="str">
        <v>驼色</v>
      </c>
      <c r="V590" s="16" t="n">
        <v>9</v>
      </c>
      <c r="W590" s="8" t="str">
        <v>2026-10-11 至 2026-10-17</v>
      </c>
      <c r="X590" s="8" t="str">
        <v>2026-10-11、2026-10-12、2026-10-13、2026-10-14、2026-10-15、2026-10-16、2026-10-17</v>
      </c>
      <c r="Y590" s="8" t="str">
        <v>无</v>
      </c>
      <c r="Z590" s="8" t="n">
        <v>6</v>
      </c>
      <c r="AA590" s="8" t="n">
        <v>0</v>
      </c>
      <c r="AB590" s="8" t="n">
        <v>7</v>
      </c>
      <c r="AC590" s="8" t="str">
        <v>2026-10-02 至 2026-10-17</v>
      </c>
      <c r="AD590" s="8" t="str">
        <v>2026-10-02、2026-10-03、2026-10-04、2026-10-05、2026-10-08、2026-10-09、2026-10-10、2026-10-11、2026-10-12、2026-10-13、2026-10-14、2026-10-15、2026-10-16、2026-10-17</v>
      </c>
      <c r="AE590" s="8" t="str">
        <v>2026-10-06 大促；2026-10-07 大促</v>
      </c>
      <c r="AF590" s="8" t="n">
        <v>15</v>
      </c>
      <c r="AG590" s="8" t="n">
        <v>3</v>
      </c>
      <c r="AH590" s="8" t="n">
        <v>14</v>
      </c>
      <c r="AI590" s="8" t="str">
        <v>2026-09-16 至 2026-10-17</v>
      </c>
      <c r="AJ5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0" s="8" t="str">
        <v>2026-10-06 大促；2026-10-07 大促</v>
      </c>
      <c r="AL590" s="8" t="n">
        <v>36</v>
      </c>
      <c r="AM590" s="8" t="n">
        <v>3</v>
      </c>
      <c r="AN590" s="8" t="n">
        <v>30</v>
      </c>
      <c r="AO590" s="8" t="str">
        <v>2302153 / 驼色PU / 6574</v>
      </c>
      <c r="AP590" s="11" t="n">
        <v>1.7391279184229513</v>
      </c>
      <c r="AQ590" s="11" t="n">
        <v>1.7391279184229513</v>
      </c>
      <c r="AR590" s="11" t="n">
        <v>1.5731892896917212</v>
      </c>
      <c r="AS590" s="11" t="n">
        <f>IF(AND(COUNT(I590:K590,AP590:AR590)=6,MIN(AP590:AR590)&gt;0),I590/7/AP590*0.5+J590/14/AQ590*0.3+K590/30/AR590*0.2,"")</f>
        <v>0.534129596353163</v>
      </c>
      <c r="AT590" s="8" t="n">
        <v>96</v>
      </c>
      <c r="AU590" s="8" t="n">
        <v>3</v>
      </c>
      <c r="AV590" s="8" t="n">
        <v>88</v>
      </c>
      <c r="AW590" s="11" t="n">
        <f>IF(AND(COUNT(AT590:AV590)=3,AT590&gt;=AU590,AU590&gt;=0,AV590&gt;0),(AT590-AU590)/AV590,"")</f>
        <v>1.0568181818181819</v>
      </c>
      <c r="AX590" s="8" t="n">
        <v>197</v>
      </c>
      <c r="AY590" s="8" t="n">
        <v>3</v>
      </c>
      <c r="AZ590" s="8" t="n">
        <v>178</v>
      </c>
      <c r="BA590" s="11" t="n">
        <f>IF(AND(COUNT(AX590:AZ590)=3,AX590&gt;=AY590,AY590&gt;=0,AZ590&gt;0),(AX590-AY590)/AZ590,"")</f>
        <v>1.0898876404494382</v>
      </c>
      <c r="BB590" s="8" t="n">
        <f>IF(COUNT(AS590,AW590,BA590)=3,1,0)</f>
        <v>1</v>
      </c>
      <c r="BC590" s="11" t="n">
        <f>IF(SUMIF($AO$11:$AO$1309,AO590,$BB$11:$BB$1309)=COUNTIF($AO$11:$AO$1309,AO590),SUMIF($AO$11:$AO$1309,AO590,$AS$11:$AS$1309),"")</f>
        <v>4.064868532287768</v>
      </c>
      <c r="BD590" s="11" t="n">
        <f>IF(SUMIF($AO$11:$AO$1309,AO590,$BB$11:$BB$1309)=COUNTIF($AO$11:$AO$1309,AO590),SUMIF($AO$11:$AO$1309,AO590,$AW$11:$AW$1309),"")</f>
        <v>5.079545454545455</v>
      </c>
      <c r="BE590" s="11" t="n">
        <f>IF(SUMIF($AO$11:$AO$1309,AO590,$BB$11:$BB$1309)=COUNTIF($AO$11:$AO$1309,AO590),SUMIF($AO$11:$AO$1309,AO590,$BA$11:$BA$1309),"")</f>
        <v>5.741573033707865</v>
      </c>
      <c r="BF590" s="12" t="n">
        <f>IF(COUNT(BD590:BE590)&lt;&gt;2,"",IF(AND(BD590&gt;0,BE590&gt;0),0.7*AW590/BD590+0.3*BA590/BE590,IF(BD590&gt;0,AW590/BD590,IF(BE590&gt;0,BA590/BE590,IF(AND(ISNUMBER(BH590),BH590=0),0,"")))))</f>
        <v>0.20258474631923193</v>
      </c>
      <c r="BG590" s="11" t="n">
        <f>IF(AND(COUNT(BN590:BU590)=8,MIN(BN590:BU590)&gt;=0),SUMPRODUCT(BN590:BQ590,BR590:BU590),"")</f>
        <v>109.4582336985339</v>
      </c>
      <c r="BH590" s="11" t="n">
        <f>IF(COUNT(BC590,BG590)=2,BC590*BG590,"")</f>
        <v>444.93332976097105</v>
      </c>
      <c r="BI590" s="11" t="n">
        <f>IF(ISNUMBER(CI590),CI590,"")</f>
        <v>90.1367057385975</v>
      </c>
      <c r="BJ590" s="8" t="str"/>
      <c r="BK590" s="8" t="str">
        <v>90天：2026-07-20 至 2026-10-17；180天：2026-04-21 至 2026-10-17</v>
      </c>
      <c r="BL590" s="8" t="str">
        <v>90天：2026-10-06、2026-10-07；180天：2026-10-06、2026-10-07</v>
      </c>
      <c r="BM590" s="8" t="str">
        <v>2026-10：12天 × 1.7391279184229513；2026-11：30天 × 1.4002077845513243；2026-12：31天 × 1.079339935625147；2027-01：17天 × 0.7719368903846591</v>
      </c>
      <c r="BN590" s="11" t="n">
        <v>1.7391279184229513</v>
      </c>
      <c r="BO590" s="11" t="n">
        <v>1.4002077845513243</v>
      </c>
      <c r="BP590" s="11" t="n">
        <v>1.079339935625147</v>
      </c>
      <c r="BQ590" s="11" t="n">
        <v>0.7719368903846591</v>
      </c>
      <c r="BR590" s="8" t="n">
        <v>12</v>
      </c>
      <c r="BS590" s="8" t="n">
        <v>30</v>
      </c>
      <c r="BT590" s="8" t="n">
        <v>31</v>
      </c>
      <c r="BU590" s="8" t="n">
        <v>17</v>
      </c>
      <c r="BV590" s="11" t="n">
        <f>IF(COUNT(BC590,BF590)=2,BC590*BF590,"")</f>
        <v>0.8234803604345462</v>
      </c>
      <c r="BW590" s="11" t="n">
        <f>IF(ISNUMBER(BN590),BN590,"")</f>
        <v>1.7391279184229513</v>
      </c>
      <c r="BX590" s="14" t="n">
        <f>IF(ISNUMBER(BR590),BR590,"")</f>
        <v>12</v>
      </c>
      <c r="BY590" s="13" t="n">
        <f>IF(AND(COUNT(BV590,BW590,BX590)=3,MIN(BV590,BW590,BX590)&gt;=0),BV590*BW590*BX590,"")</f>
        <v>17.185652221256568</v>
      </c>
      <c r="BZ590" s="11" t="n">
        <f>IF(ISNUMBER(BO590),BO590,"")</f>
        <v>1.4002077845513243</v>
      </c>
      <c r="CA590" s="14" t="n">
        <f>IF(ISNUMBER(BS590),BS590,"")</f>
        <v>30</v>
      </c>
      <c r="CB590" s="13" t="n">
        <f>IF(AND(COUNT(BV590,BZ590,CA590)=3,MIN(BV590,BZ590,CA590)&gt;=0),BV590*BZ590*CA590,"")</f>
        <v>34.59130833316746</v>
      </c>
      <c r="CC590" s="11" t="n">
        <f>IF(ISNUMBER(BP590),BP590,"")</f>
        <v>1.079339935625147</v>
      </c>
      <c r="CD590" s="14" t="n">
        <f>IF(ISNUMBER(BT590),BT590,"")</f>
        <v>31</v>
      </c>
      <c r="CE590" s="13" t="n">
        <f>IF(AND(COUNT(BV590,CC590,CD590)=3,MIN(BV590,CC590,CD590)&gt;=0),BV590*CC590*CD590,"")</f>
        <v>27.553272415819876</v>
      </c>
      <c r="CF590" s="11" t="n">
        <f>IF(ISNUMBER(BQ590),BQ590,"")</f>
        <v>0.7719368903846591</v>
      </c>
      <c r="CG590" s="14" t="n">
        <f>IF(ISNUMBER(BU590),BU590,"")</f>
        <v>17</v>
      </c>
      <c r="CH590" s="13" t="n">
        <f>IF(AND(COUNT(BV590,CF590,CG590)=3,MIN(BV590,CF590,CG590)&gt;=0),BV590*CF590*CG590,"")</f>
        <v>10.806472768353592</v>
      </c>
      <c r="CI590" s="13" t="n">
        <f>IF(COUNT(BY590,CB590,CE590,CH590)=4,SUM(BY590,CB590,CE590,CH590),"")</f>
        <v>90.1367057385975</v>
      </c>
    </row>
    <row r="591" ht="72" customHeight="1">
      <c r="A591" s="16" t="str">
        <v>2302153-LP-S-Z-10.5</v>
      </c>
      <c r="B591" s="16" t="str">
        <v>3店-SANDIEX-US</v>
      </c>
      <c r="C591" s="16" t="str">
        <v>徐新怡</v>
      </c>
      <c r="D591" s="26" t="n">
        <f>IF(NOT(ISNUMBER(E591)),"",IF(OR(E591&lt;=0,L591=0),0,IF(OR(NOT(ISNUMBER(F591)),F591&lt;0),"",MIN(E591,INT(F591)))))</f>
        <v>0</v>
      </c>
      <c r="E591" s="27" t="n">
        <f>IF(OR(NOT(ISNUMBER(L591)),COUNT(M591:O591)&lt;&gt;3,MIN(M591:O591)&lt;0),"",ROUNDUP(ROUND(BI591-SUM(M591:O591),10),0))</f>
        <v>-3</v>
      </c>
      <c r="F591" s="28" t="n">
        <v>0</v>
      </c>
      <c r="G591" s="28" t="n">
        <f>IF(AND(ISNUMBER(D591),ISNUMBER(E591)),IF(OR(E591&lt;=0,L591=0),0,E591-D591),"")</f>
        <v>0</v>
      </c>
      <c r="H591" s="16" t="str">
        <f>IF(NOT(ISNUMBER(E591)),"销量或海外库存待补",IF(OR(E591&lt;=0,L591=0),IF(L591=0,"零日销，本批不发","本批无需补货"),IF(NOT(ISNUMBER(D591)),"国内库存待补",IF(D591=0,"国内无可用库存",IF(G591&gt;0,"先发国内现货","按建议量发货")))))</f>
        <v>本批无需补货</v>
      </c>
      <c r="I591" s="28" t="n">
        <f>IF(AND(COUNT(Z591,AA591,AB591)=3,Z591&gt;=AA591,AA591&gt;=0,AB591=7),Z591-AA591,"")</f>
        <v>1</v>
      </c>
      <c r="J591" s="28" t="n">
        <f>IF(AND(COUNT(AF591,AG591,AH591)=3,AF591&gt;=AG591,AG591&gt;=0,AH591=14),AF591-AG591,"")</f>
        <v>2</v>
      </c>
      <c r="K591" s="28" t="n">
        <f>IF(AND(COUNT(AL591,AM591,AN591)=3,AL591&gt;=AM591,AM591&gt;=0,AN591=30),AL591-AM591,"")</f>
        <v>2</v>
      </c>
      <c r="L591" s="29" t="n">
        <f>IF(ISNUMBER(BI591),BI591/90,"")</f>
        <v>0.13644701013103147</v>
      </c>
      <c r="M591" s="28" t="n">
        <v>0</v>
      </c>
      <c r="N591" s="28" t="n">
        <v>0</v>
      </c>
      <c r="O591" s="28" t="n">
        <v>15</v>
      </c>
      <c r="P591" s="30" t="n">
        <f>IF(AND(ISNUMBER(L591),L591&gt;0,COUNT(M591:O591)=3,MIN(M591:O591)&gt;=0),SUM(M591:O591)/L591,"")</f>
        <v>109.93278625596373</v>
      </c>
      <c r="Q591" s="16" t="str">
        <v>沿用原计划SKU店铺</v>
      </c>
      <c r="R591" s="16" t="str">
        <v>已匹配</v>
      </c>
      <c r="S591" s="16" t="str">
        <v>在售</v>
      </c>
      <c r="T591" s="16" t="str">
        <v>2302153</v>
      </c>
      <c r="U591" s="16" t="str">
        <v>豹纹</v>
      </c>
      <c r="V591" s="16" t="n">
        <v>10.5</v>
      </c>
      <c r="W591" s="8" t="str">
        <v>2026-10-11 至 2026-10-17</v>
      </c>
      <c r="X591" s="8" t="str">
        <v>2026-10-11、2026-10-12、2026-10-13、2026-10-14、2026-10-15、2026-10-16、2026-10-17</v>
      </c>
      <c r="Y591" s="8" t="str">
        <v>无</v>
      </c>
      <c r="Z591" s="8" t="n">
        <v>1</v>
      </c>
      <c r="AA591" s="8" t="n">
        <v>0</v>
      </c>
      <c r="AB591" s="8" t="n">
        <v>7</v>
      </c>
      <c r="AC591" s="8" t="str">
        <v>2026-10-02 至 2026-10-17</v>
      </c>
      <c r="AD591" s="8" t="str">
        <v>2026-10-02、2026-10-03、2026-10-04、2026-10-05、2026-10-08、2026-10-09、2026-10-10、2026-10-11、2026-10-12、2026-10-13、2026-10-14、2026-10-15、2026-10-16、2026-10-17</v>
      </c>
      <c r="AE591" s="8" t="str">
        <v>2026-10-06 大促；2026-10-07 大促</v>
      </c>
      <c r="AF591" s="8" t="n">
        <v>2</v>
      </c>
      <c r="AG591" s="8" t="n">
        <v>0</v>
      </c>
      <c r="AH591" s="8" t="n">
        <v>14</v>
      </c>
      <c r="AI591" s="8" t="str">
        <v>2026-09-16 至 2026-10-17</v>
      </c>
      <c r="AJ5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1" s="8" t="str">
        <v>2026-10-06 大促；2026-10-07 大促</v>
      </c>
      <c r="AL591" s="8" t="n">
        <v>2</v>
      </c>
      <c r="AM591" s="8" t="n">
        <v>0</v>
      </c>
      <c r="AN591" s="8" t="n">
        <v>30</v>
      </c>
      <c r="AO591" s="8" t="str">
        <v>2302153 / 豹纹羊京绒 / 6574</v>
      </c>
      <c r="AP591" s="11" t="n">
        <v>1.7391279184229513</v>
      </c>
      <c r="AQ591" s="11" t="n">
        <v>1.7391279184229513</v>
      </c>
      <c r="AR591" s="11" t="n">
        <v>1.5731892896917212</v>
      </c>
      <c r="AS591" s="11" t="n">
        <f>IF(AND(COUNT(I591:K591,AP591:AR591)=6,MIN(AP591:AR591)&gt;0),I591/7/AP591*0.5+J591/14/AQ591*0.3+K591/30/AR591*0.2,"")</f>
        <v>0.0741897330133516</v>
      </c>
      <c r="AT591" s="8" t="n">
        <v>13</v>
      </c>
      <c r="AU591" s="8" t="n">
        <v>0</v>
      </c>
      <c r="AV591" s="8" t="n">
        <v>88</v>
      </c>
      <c r="AW591" s="11" t="n">
        <f>IF(AND(COUNT(AT591:AV591)=3,AT591&gt;=AU591,AU591&gt;=0,AV591&gt;0),(AT591-AU591)/AV591,"")</f>
        <v>0.14772727272727273</v>
      </c>
      <c r="AX591" s="8" t="n">
        <v>24</v>
      </c>
      <c r="AY591" s="8" t="n">
        <v>0</v>
      </c>
      <c r="AZ591" s="8" t="n">
        <v>178</v>
      </c>
      <c r="BA591" s="11" t="n">
        <f>IF(AND(COUNT(AX591:AZ591)=3,AX591&gt;=AY591,AY591&gt;=0,AZ591&gt;0),(AX591-AY591)/AZ591,"")</f>
        <v>0.1348314606741573</v>
      </c>
      <c r="BB591" s="8" t="n">
        <f>IF(COUNT(AS591,AW591,BA591)=3,1,0)</f>
        <v>1</v>
      </c>
      <c r="BC591" s="11" t="n">
        <f>IF(SUMIF($AO$11:$AO$1309,AO591,$BB$11:$BB$1309)=COUNTIF($AO$11:$AO$1309,AO591),SUMIF($AO$11:$AO$1309,AO591,$AS$11:$AS$1309),"")</f>
        <v>4.164684574329155</v>
      </c>
      <c r="BD591" s="11" t="n">
        <f>IF(SUMIF($AO$11:$AO$1309,AO591,$BB$11:$BB$1309)=COUNTIF($AO$11:$AO$1309,AO591),SUMIF($AO$11:$AO$1309,AO591,$AW$11:$AW$1309),"")</f>
        <v>5.636363636363635</v>
      </c>
      <c r="BE591" s="11" t="n">
        <f>IF(SUMIF($AO$11:$AO$1309,AO591,$BB$11:$BB$1309)=COUNTIF($AO$11:$AO$1309,AO591),SUMIF($AO$11:$AO$1309,AO591,$BA$11:$BA$1309),"")</f>
        <v>4.707865168539326</v>
      </c>
      <c r="BF591" s="12" t="n">
        <f>IF(COUNT(BD591:BE591)&lt;&gt;2,"",IF(AND(BD591&gt;0,BE591&gt;0),0.7*AW591/BD591+0.3*BA591/BE591,IF(BD591&gt;0,AW591/BD591,IF(BE591&gt;0,BA591/BE591,IF(AND(ISNUMBER(BH591),BH591=0),0,"")))))</f>
        <v>0.02693865963507584</v>
      </c>
      <c r="BG591" s="11" t="n">
        <f>IF(AND(COUNT(BN591:BU591)=8,MIN(BN591:BU591)&gt;=0),SUMPRODUCT(BN591:BQ591,BR591:BU591),"")</f>
        <v>109.4582336985339</v>
      </c>
      <c r="BH591" s="11" t="n">
        <f>IF(COUNT(BC591,BG591)=2,BC591*BG591,"")</f>
        <v>455.85901741759983</v>
      </c>
      <c r="BI591" s="11" t="n">
        <f>IF(ISNUMBER(CI591),CI591,"")</f>
        <v>12.280230911792833</v>
      </c>
      <c r="BJ591" s="8" t="str"/>
      <c r="BK591" s="8" t="str">
        <v>90天：2026-07-20 至 2026-10-17；180天：2026-04-21 至 2026-10-17</v>
      </c>
      <c r="BL591" s="8" t="str">
        <v>90天：2026-10-06、2026-10-07；180天：2026-10-06、2026-10-07</v>
      </c>
      <c r="BM591" s="8" t="str">
        <v>2026-10：12天 × 1.7391279184229513；2026-11：30天 × 1.4002077845513243；2026-12：31天 × 1.079339935625147；2027-01：17天 × 0.7719368903846591</v>
      </c>
      <c r="BN591" s="11" t="n">
        <v>1.7391279184229513</v>
      </c>
      <c r="BO591" s="11" t="n">
        <v>1.4002077845513243</v>
      </c>
      <c r="BP591" s="11" t="n">
        <v>1.079339935625147</v>
      </c>
      <c r="BQ591" s="11" t="n">
        <v>0.7719368903846591</v>
      </c>
      <c r="BR591" s="8" t="n">
        <v>12</v>
      </c>
      <c r="BS591" s="8" t="n">
        <v>30</v>
      </c>
      <c r="BT591" s="8" t="n">
        <v>31</v>
      </c>
      <c r="BU591" s="8" t="n">
        <v>17</v>
      </c>
      <c r="BV591" s="11" t="n">
        <f>IF(COUNT(BC591,BF591)=2,BC591*BF591,"")</f>
        <v>0.11219102023530382</v>
      </c>
      <c r="BW591" s="11" t="n">
        <f>IF(ISNUMBER(BN591),BN591,"")</f>
        <v>1.7391279184229513</v>
      </c>
      <c r="BX591" s="14" t="n">
        <f>IF(ISNUMBER(BR591),BR591,"")</f>
        <v>12</v>
      </c>
      <c r="BY591" s="13" t="n">
        <f>IF(AND(COUNT(BV591,BW591,BX591)=3,MIN(BV591,BW591,BX591)&gt;=0),BV591*BW591*BX591,"")</f>
        <v>2.3413744258508538</v>
      </c>
      <c r="BZ591" s="11" t="n">
        <f>IF(ISNUMBER(BO591),BO591,"")</f>
        <v>1.4002077845513243</v>
      </c>
      <c r="CA591" s="14" t="n">
        <f>IF(ISNUMBER(BS591),BS591,"")</f>
        <v>30</v>
      </c>
      <c r="CB591" s="13" t="n">
        <f>IF(AND(COUNT(BV591,BZ591,CA591)=3,MIN(BV591,BZ591,CA591)&gt;=0),BV591*BZ591*CA591,"")</f>
        <v>4.712722196706827</v>
      </c>
      <c r="CC591" s="11" t="n">
        <f>IF(ISNUMBER(BP591),BP591,"")</f>
        <v>1.079339935625147</v>
      </c>
      <c r="CD591" s="14" t="n">
        <f>IF(ISNUMBER(BT591),BT591,"")</f>
        <v>31</v>
      </c>
      <c r="CE591" s="13" t="n">
        <f>IF(AND(COUNT(BV591,CC591,CD591)=3,MIN(BV591,CC591,CD591)&gt;=0),BV591*CC591*CD591,"")</f>
        <v>3.753859705313264</v>
      </c>
      <c r="CF591" s="11" t="n">
        <f>IF(ISNUMBER(BQ591),BQ591,"")</f>
        <v>0.7719368903846591</v>
      </c>
      <c r="CG591" s="14" t="n">
        <f>IF(ISNUMBER(BU591),BU591,"")</f>
        <v>17</v>
      </c>
      <c r="CH591" s="13" t="n">
        <f>IF(AND(COUNT(BV591,CF591,CG591)=3,MIN(BV591,CF591,CG591)&gt;=0),BV591*CF591*CG591,"")</f>
        <v>1.4722745839218876</v>
      </c>
      <c r="CI591" s="13" t="n">
        <f>IF(COUNT(BY591,CB591,CE591,CH591)=4,SUM(BY591,CB591,CE591,CH591),"")</f>
        <v>12.280230911792833</v>
      </c>
    </row>
    <row r="592" ht="72" customHeight="1">
      <c r="A592" s="16" t="str">
        <v>2302153-LP-S-Z-11</v>
      </c>
      <c r="B592" s="16" t="str">
        <v>3店-SANDIEX-US</v>
      </c>
      <c r="C592" s="16" t="str">
        <v>徐新怡</v>
      </c>
      <c r="D592" s="26" t="n">
        <f>IF(NOT(ISNUMBER(E592)),"",IF(OR(E592&lt;=0,L592=0),0,IF(OR(NOT(ISNUMBER(F592)),F592&lt;0),"",MIN(E592,INT(F592)))))</f>
        <v>0</v>
      </c>
      <c r="E592" s="27" t="n">
        <f>IF(OR(NOT(ISNUMBER(L592)),COUNT(M592:O592)&lt;&gt;3,MIN(M592:O592)&lt;0),"",ROUNDUP(ROUND(BI592-SUM(M592:O592),10),0))</f>
        <v>-10</v>
      </c>
      <c r="F592" s="28" t="n">
        <v>0</v>
      </c>
      <c r="G592" s="28" t="n">
        <f>IF(AND(ISNUMBER(D592),ISNUMBER(E592)),IF(OR(E592&lt;=0,L592=0),0,E592-D592),"")</f>
        <v>0</v>
      </c>
      <c r="H592" s="16" t="str">
        <f>IF(NOT(ISNUMBER(E592)),"销量或海外库存待补",IF(OR(E592&lt;=0,L592=0),IF(L592=0,"零日销，本批不发","本批无需补货"),IF(NOT(ISNUMBER(D592)),"国内库存待补",IF(D592=0,"国内无可用库存",IF(G592&gt;0,"先发国内现货","按建议量发货")))))</f>
        <v>本批无需补货</v>
      </c>
      <c r="I592" s="28" t="n">
        <f>IF(AND(COUNT(Z592,AA592,AB592)=3,Z592&gt;=AA592,AA592&gt;=0,AB592=7),Z592-AA592,"")</f>
        <v>3</v>
      </c>
      <c r="J592" s="28" t="n">
        <f>IF(AND(COUNT(AF592,AG592,AH592)=3,AF592&gt;=AG592,AG592&gt;=0,AH592=14),AF592-AG592,"")</f>
        <v>3</v>
      </c>
      <c r="K592" s="28" t="n">
        <f>IF(AND(COUNT(AL592,AM592,AN592)=3,AL592&gt;=AM592,AM592&gt;=0,AN592=30),AL592-AM592,"")</f>
        <v>4</v>
      </c>
      <c r="L592" s="29" t="n">
        <f>IF(ISNUMBER(BI592),BI592/90,"")</f>
        <v>0.17452592566710787</v>
      </c>
      <c r="M592" s="28" t="n">
        <v>0</v>
      </c>
      <c r="N592" s="28" t="n">
        <v>4</v>
      </c>
      <c r="O592" s="28" t="n">
        <v>21</v>
      </c>
      <c r="P592" s="30" t="n">
        <f>IF(AND(ISNUMBER(L592),L592&gt;0,COUNT(M592:O592)=3,MIN(M592:O592)&gt;=0),SUM(M592:O592)/L592,"")</f>
        <v>143.24519354038665</v>
      </c>
      <c r="Q592" s="16" t="str">
        <v>沿用原计划SKU店铺</v>
      </c>
      <c r="R592" s="16" t="str">
        <v>已匹配</v>
      </c>
      <c r="S592" s="16" t="str">
        <v>在售</v>
      </c>
      <c r="T592" s="16" t="str">
        <v>2302153</v>
      </c>
      <c r="U592" s="16" t="str">
        <v>豹纹</v>
      </c>
      <c r="V592" s="16" t="n">
        <v>11</v>
      </c>
      <c r="W592" s="8" t="str">
        <v>2026-10-11 至 2026-10-17</v>
      </c>
      <c r="X592" s="8" t="str">
        <v>2026-10-11、2026-10-12、2026-10-13、2026-10-14、2026-10-15、2026-10-16、2026-10-17</v>
      </c>
      <c r="Y592" s="8" t="str">
        <v>无</v>
      </c>
      <c r="Z592" s="8" t="n">
        <v>3</v>
      </c>
      <c r="AA592" s="8" t="n">
        <v>0</v>
      </c>
      <c r="AB592" s="8" t="n">
        <v>7</v>
      </c>
      <c r="AC592" s="8" t="str">
        <v>2026-10-02 至 2026-10-17</v>
      </c>
      <c r="AD592" s="8" t="str">
        <v>2026-10-02、2026-10-03、2026-10-04、2026-10-05、2026-10-08、2026-10-09、2026-10-10、2026-10-11、2026-10-12、2026-10-13、2026-10-14、2026-10-15、2026-10-16、2026-10-17</v>
      </c>
      <c r="AE592" s="8" t="str">
        <v>2026-10-06 大促；2026-10-07 大促</v>
      </c>
      <c r="AF592" s="8" t="n">
        <v>4</v>
      </c>
      <c r="AG592" s="8" t="n">
        <v>1</v>
      </c>
      <c r="AH592" s="8" t="n">
        <v>14</v>
      </c>
      <c r="AI592" s="8" t="str">
        <v>2026-09-16 至 2026-10-17</v>
      </c>
      <c r="AJ5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2" s="8" t="str">
        <v>2026-10-06 大促；2026-10-07 大促</v>
      </c>
      <c r="AL592" s="8" t="n">
        <v>5</v>
      </c>
      <c r="AM592" s="8" t="n">
        <v>1</v>
      </c>
      <c r="AN592" s="8" t="n">
        <v>30</v>
      </c>
      <c r="AO592" s="8" t="str">
        <v>2302153 / 豹纹羊京绒 / 6574</v>
      </c>
      <c r="AP592" s="11" t="n">
        <v>1.7391279184229513</v>
      </c>
      <c r="AQ592" s="11" t="n">
        <v>1.7391279184229513</v>
      </c>
      <c r="AR592" s="11" t="n">
        <v>1.5731892896917212</v>
      </c>
      <c r="AS592" s="11" t="n">
        <f>IF(AND(COUNT(I592:K592,AP592:AR592)=6,MIN(AP592:AR592)&gt;0),I592/7/AP592*0.5+J592/14/AQ592*0.3+K592/30/AR592*0.2,"")</f>
        <v>0.17712950762533397</v>
      </c>
      <c r="AT592" s="8" t="n">
        <v>14</v>
      </c>
      <c r="AU592" s="8" t="n">
        <v>1</v>
      </c>
      <c r="AV592" s="8" t="n">
        <v>88</v>
      </c>
      <c r="AW592" s="11" t="n">
        <f>IF(AND(COUNT(AT592:AV592)=3,AT592&gt;=AU592,AU592&gt;=0,AV592&gt;0),(AT592-AU592)/AV592,"")</f>
        <v>0.14772727272727273</v>
      </c>
      <c r="AX592" s="8" t="n">
        <v>46</v>
      </c>
      <c r="AY592" s="8" t="n">
        <v>1</v>
      </c>
      <c r="AZ592" s="8" t="n">
        <v>178</v>
      </c>
      <c r="BA592" s="11" t="n">
        <f>IF(AND(COUNT(AX592:AZ592)=3,AX592&gt;=AY592,AY592&gt;=0,AZ592&gt;0),(AX592-AY592)/AZ592,"")</f>
        <v>0.25280898876404495</v>
      </c>
      <c r="BB592" s="8" t="n">
        <f>IF(COUNT(AS592,AW592,BA592)=3,1,0)</f>
        <v>1</v>
      </c>
      <c r="BC592" s="11" t="n">
        <f>IF(SUMIF($AO$11:$AO$1309,AO592,$BB$11:$BB$1309)=COUNTIF($AO$11:$AO$1309,AO592),SUMIF($AO$11:$AO$1309,AO592,$AS$11:$AS$1309),"")</f>
        <v>4.164684574329155</v>
      </c>
      <c r="BD592" s="11" t="n">
        <f>IF(SUMIF($AO$11:$AO$1309,AO592,$BB$11:$BB$1309)=COUNTIF($AO$11:$AO$1309,AO592),SUMIF($AO$11:$AO$1309,AO592,$AW$11:$AW$1309),"")</f>
        <v>5.636363636363635</v>
      </c>
      <c r="BE592" s="11" t="n">
        <f>IF(SUMIF($AO$11:$AO$1309,AO592,$BB$11:$BB$1309)=COUNTIF($AO$11:$AO$1309,AO592),SUMIF($AO$11:$AO$1309,AO592,$BA$11:$BA$1309),"")</f>
        <v>4.707865168539326</v>
      </c>
      <c r="BF592" s="12" t="n">
        <f>IF(COUNT(BD592:BE592)&lt;&gt;2,"",IF(AND(BD592&gt;0,BE592&gt;0),0.7*AW592/BD592+0.3*BA592/BE592,IF(BD592&gt;0,AW592/BD592,IF(BE592&gt;0,BA592/BE592,IF(AND(ISNUMBER(BH592),BH592=0),0,"")))))</f>
        <v>0.03445655939641236</v>
      </c>
      <c r="BG592" s="11" t="n">
        <f>IF(AND(COUNT(BN592:BU592)=8,MIN(BN592:BU592)&gt;=0),SUMPRODUCT(BN592:BQ592,BR592:BU592),"")</f>
        <v>109.4582336985339</v>
      </c>
      <c r="BH592" s="11" t="n">
        <f>IF(COUNT(BC592,BG592)=2,BC592*BG592,"")</f>
        <v>455.85901741759983</v>
      </c>
      <c r="BI592" s="11" t="n">
        <f>IF(ISNUMBER(CI592),CI592,"")</f>
        <v>15.707333310039708</v>
      </c>
      <c r="BJ592" s="8" t="str"/>
      <c r="BK592" s="8" t="str">
        <v>90天：2026-07-20 至 2026-10-17；180天：2026-04-21 至 2026-10-17</v>
      </c>
      <c r="BL592" s="8" t="str">
        <v>90天：2026-10-06、2026-10-07；180天：2026-10-06、2026-10-07</v>
      </c>
      <c r="BM592" s="8" t="str">
        <v>2026-10：12天 × 1.7391279184229513；2026-11：30天 × 1.4002077845513243；2026-12：31天 × 1.079339935625147；2027-01：17天 × 0.7719368903846591</v>
      </c>
      <c r="BN592" s="11" t="n">
        <v>1.7391279184229513</v>
      </c>
      <c r="BO592" s="11" t="n">
        <v>1.4002077845513243</v>
      </c>
      <c r="BP592" s="11" t="n">
        <v>1.079339935625147</v>
      </c>
      <c r="BQ592" s="11" t="n">
        <v>0.7719368903846591</v>
      </c>
      <c r="BR592" s="8" t="n">
        <v>12</v>
      </c>
      <c r="BS592" s="8" t="n">
        <v>30</v>
      </c>
      <c r="BT592" s="8" t="n">
        <v>31</v>
      </c>
      <c r="BU592" s="8" t="n">
        <v>17</v>
      </c>
      <c r="BV592" s="11" t="n">
        <f>IF(COUNT(BC592,BF592)=2,BC592*BF592,"")</f>
        <v>0.14350070140269486</v>
      </c>
      <c r="BW592" s="11" t="n">
        <f>IF(ISNUMBER(BN592),BN592,"")</f>
        <v>1.7391279184229513</v>
      </c>
      <c r="BX592" s="14" t="n">
        <f>IF(ISNUMBER(BR592),BR592,"")</f>
        <v>12</v>
      </c>
      <c r="BY592" s="13" t="n">
        <f>IF(AND(COUNT(BV592,BW592,BX592)=3,MIN(BV592,BW592,BX592)&gt;=0),BV592*BW592*BX592,"")</f>
        <v>2.9947929134724265</v>
      </c>
      <c r="BZ592" s="11" t="n">
        <f>IF(ISNUMBER(BO592),BO592,"")</f>
        <v>1.4002077845513243</v>
      </c>
      <c r="CA592" s="14" t="n">
        <f>IF(ISNUMBER(BS592),BS592,"")</f>
        <v>30</v>
      </c>
      <c r="CB592" s="13" t="n">
        <f>IF(AND(COUNT(BV592,BZ592,CA592)=3,MIN(BV592,BZ592,CA592)&gt;=0),BV592*BZ592*CA592,"")</f>
        <v>6.0279239757788545</v>
      </c>
      <c r="CC592" s="11" t="n">
        <f>IF(ISNUMBER(BP592),BP592,"")</f>
        <v>1.079339935625147</v>
      </c>
      <c r="CD592" s="14" t="n">
        <f>IF(ISNUMBER(BT592),BT592,"")</f>
        <v>31</v>
      </c>
      <c r="CE592" s="13" t="n">
        <f>IF(AND(COUNT(BV592,CC592,CD592)=3,MIN(BV592,CC592,CD592)&gt;=0),BV592*CC592*CD592,"")</f>
        <v>4.801467172238592</v>
      </c>
      <c r="CF592" s="11" t="n">
        <f>IF(ISNUMBER(BQ592),BQ592,"")</f>
        <v>0.7719368903846591</v>
      </c>
      <c r="CG592" s="14" t="n">
        <f>IF(ISNUMBER(BU592),BU592,"")</f>
        <v>17</v>
      </c>
      <c r="CH592" s="13" t="n">
        <f>IF(AND(COUNT(BV592,CF592,CG592)=3,MIN(BV592,CF592,CG592)&gt;=0),BV592*CF592*CG592,"")</f>
        <v>1.8831492485498338</v>
      </c>
      <c r="CI592" s="13" t="n">
        <f>IF(COUNT(BY592,CB592,CE592,CH592)=4,SUM(BY592,CB592,CE592,CH592),"")</f>
        <v>15.707333310039708</v>
      </c>
    </row>
    <row r="593" ht="72" customHeight="1">
      <c r="A593" s="16" t="str">
        <v>2302153-LP-S-Z-7.5</v>
      </c>
      <c r="B593" s="16" t="str">
        <v>3店-SANDIEX-US</v>
      </c>
      <c r="C593" s="16" t="str">
        <v>徐新怡</v>
      </c>
      <c r="D593" s="26" t="n">
        <f>IF(NOT(ISNUMBER(E593)),"",IF(OR(E593&lt;=0,L593=0),0,IF(OR(NOT(ISNUMBER(F593)),F593&lt;0),"",MIN(E593,INT(F593)))))</f>
        <v>0</v>
      </c>
      <c r="E593" s="27" t="n">
        <f>IF(OR(NOT(ISNUMBER(L593)),COUNT(M593:O593)&lt;&gt;3,MIN(M593:O593)&lt;0),"",ROUNDUP(ROUND(BI593-SUM(M593:O593),10),0))</f>
        <v>-8</v>
      </c>
      <c r="F593" s="28" t="n">
        <v>0</v>
      </c>
      <c r="G593" s="28" t="n">
        <f>IF(AND(ISNUMBER(D593),ISNUMBER(E593)),IF(OR(E593&lt;=0,L593=0),0,E593-D593),"")</f>
        <v>0</v>
      </c>
      <c r="H593" s="16" t="str">
        <f>IF(NOT(ISNUMBER(E593)),"销量或海外库存待补",IF(OR(E593&lt;=0,L593=0),IF(L593=0,"零日销，本批不发","本批无需补货"),IF(NOT(ISNUMBER(D593)),"国内库存待补",IF(D593=0,"国内无可用库存",IF(G593&gt;0,"先发国内现货","按建议量发货")))))</f>
        <v>本批无需补货</v>
      </c>
      <c r="I593" s="28" t="n">
        <f>IF(AND(COUNT(Z593,AA593,AB593)=3,Z593&gt;=AA593,AA593&gt;=0,AB593=7),Z593-AA593,"")</f>
        <v>4</v>
      </c>
      <c r="J593" s="28" t="n">
        <f>IF(AND(COUNT(AF593,AG593,AH593)=3,AF593&gt;=AG593,AG593&gt;=0,AH593=14),AF593-AG593,"")</f>
        <v>10</v>
      </c>
      <c r="K593" s="28" t="n">
        <f>IF(AND(COUNT(AL593,AM593,AN593)=3,AL593&gt;=AM593,AM593&gt;=0,AN593=30),AL593-AM593,"")</f>
        <v>26</v>
      </c>
      <c r="L593" s="29" t="n">
        <f>IF(ISNUMBER(BI593),BI593/90,"")</f>
        <v>0.5742765481854927</v>
      </c>
      <c r="M593" s="28" t="n">
        <v>5</v>
      </c>
      <c r="N593" s="28" t="n">
        <v>4</v>
      </c>
      <c r="O593" s="28" t="n">
        <v>50</v>
      </c>
      <c r="P593" s="30" t="n">
        <f>IF(AND(ISNUMBER(L593),L593&gt;0,COUNT(M593:O593)=3,MIN(M593:O593)&gt;=0),SUM(M593:O593)/L593,"")</f>
        <v>102.73795819526111</v>
      </c>
      <c r="Q593" s="16" t="str">
        <v>沿用原计划SKU店铺</v>
      </c>
      <c r="R593" s="16" t="str">
        <v>已匹配</v>
      </c>
      <c r="S593" s="16" t="str">
        <v>在售</v>
      </c>
      <c r="T593" s="16" t="str">
        <v>2302153</v>
      </c>
      <c r="U593" s="16" t="str">
        <v>豹纹</v>
      </c>
      <c r="V593" s="16" t="n">
        <v>7.5</v>
      </c>
      <c r="W593" s="8" t="str">
        <v>2026-10-11 至 2026-10-17</v>
      </c>
      <c r="X593" s="8" t="str">
        <v>2026-10-11、2026-10-12、2026-10-13、2026-10-14、2026-10-15、2026-10-16、2026-10-17</v>
      </c>
      <c r="Y593" s="8" t="str">
        <v>无</v>
      </c>
      <c r="Z593" s="8" t="n">
        <v>4</v>
      </c>
      <c r="AA593" s="8" t="n">
        <v>0</v>
      </c>
      <c r="AB593" s="8" t="n">
        <v>7</v>
      </c>
      <c r="AC593" s="8" t="str">
        <v>2026-10-02 至 2026-10-17</v>
      </c>
      <c r="AD593" s="8" t="str">
        <v>2026-10-02、2026-10-03、2026-10-04、2026-10-05、2026-10-08、2026-10-09、2026-10-10、2026-10-11、2026-10-12、2026-10-13、2026-10-14、2026-10-15、2026-10-16、2026-10-17</v>
      </c>
      <c r="AE593" s="8" t="str">
        <v>2026-10-06 大促；2026-10-07 大促</v>
      </c>
      <c r="AF593" s="8" t="n">
        <v>18</v>
      </c>
      <c r="AG593" s="8" t="n">
        <v>8</v>
      </c>
      <c r="AH593" s="8" t="n">
        <v>14</v>
      </c>
      <c r="AI593" s="8" t="str">
        <v>2026-09-16 至 2026-10-17</v>
      </c>
      <c r="AJ5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3" s="8" t="str">
        <v>2026-10-06 大促；2026-10-07 大促</v>
      </c>
      <c r="AL593" s="8" t="n">
        <v>34</v>
      </c>
      <c r="AM593" s="8" t="n">
        <v>8</v>
      </c>
      <c r="AN593" s="8" t="n">
        <v>30</v>
      </c>
      <c r="AO593" s="8" t="str">
        <v>2302153 / 豹纹羊京绒 / 6574</v>
      </c>
      <c r="AP593" s="11" t="n">
        <v>1.7391279184229513</v>
      </c>
      <c r="AQ593" s="11" t="n">
        <v>1.7391279184229513</v>
      </c>
      <c r="AR593" s="11" t="n">
        <v>1.5731892896917212</v>
      </c>
      <c r="AS593" s="11" t="n">
        <f>IF(AND(COUNT(I593:K593,AP593:AR593)=6,MIN(AP593:AR593)&gt;0),I593/7/AP593*0.5+J593/14/AQ593*0.3+K593/30/AR593*0.2,"")</f>
        <v>0.3976799948005643</v>
      </c>
      <c r="AT593" s="8" t="n">
        <v>65</v>
      </c>
      <c r="AU593" s="8" t="n">
        <v>8</v>
      </c>
      <c r="AV593" s="8" t="n">
        <v>88</v>
      </c>
      <c r="AW593" s="11" t="n">
        <f>IF(AND(COUNT(AT593:AV593)=3,AT593&gt;=AU593,AU593&gt;=0,AV593&gt;0),(AT593-AU593)/AV593,"")</f>
        <v>0.6477272727272727</v>
      </c>
      <c r="AX593" s="8" t="n">
        <v>100</v>
      </c>
      <c r="AY593" s="8" t="n">
        <v>8</v>
      </c>
      <c r="AZ593" s="8" t="n">
        <v>178</v>
      </c>
      <c r="BA593" s="11" t="n">
        <f>IF(AND(COUNT(AX593:AZ593)=3,AX593&gt;=AY593,AY593&gt;=0,AZ593&gt;0),(AX593-AY593)/AZ593,"")</f>
        <v>0.5168539325842697</v>
      </c>
      <c r="BB593" s="8" t="n">
        <f>IF(COUNT(AS593,AW593,BA593)=3,1,0)</f>
        <v>1</v>
      </c>
      <c r="BC593" s="11" t="n">
        <f>IF(SUMIF($AO$11:$AO$1309,AO593,$BB$11:$BB$1309)=COUNTIF($AO$11:$AO$1309,AO593),SUMIF($AO$11:$AO$1309,AO593,$AS$11:$AS$1309),"")</f>
        <v>4.164684574329155</v>
      </c>
      <c r="BD593" s="11" t="n">
        <f>IF(SUMIF($AO$11:$AO$1309,AO593,$BB$11:$BB$1309)=COUNTIF($AO$11:$AO$1309,AO593),SUMIF($AO$11:$AO$1309,AO593,$AW$11:$AW$1309),"")</f>
        <v>5.636363636363635</v>
      </c>
      <c r="BE593" s="11" t="n">
        <f>IF(SUMIF($AO$11:$AO$1309,AO593,$BB$11:$BB$1309)=COUNTIF($AO$11:$AO$1309,AO593),SUMIF($AO$11:$AO$1309,AO593,$BA$11:$BA$1309),"")</f>
        <v>4.707865168539326</v>
      </c>
      <c r="BF593" s="12" t="n">
        <f>IF(COUNT(BD593:BE593)&lt;&gt;2,"",IF(AND(BD593&gt;0,BE593&gt;0),0.7*AW593/BD593+0.3*BA593/BE593,IF(BD593&gt;0,AW593/BD593,IF(BE593&gt;0,BA593/BE593,IF(AND(ISNUMBER(BH593),BH593=0),0,"")))))</f>
        <v>0.11337910924628533</v>
      </c>
      <c r="BG593" s="11" t="n">
        <f>IF(AND(COUNT(BN593:BU593)=8,MIN(BN593:BU593)&gt;=0),SUMPRODUCT(BN593:BQ593,BR593:BU593),"")</f>
        <v>109.4582336985339</v>
      </c>
      <c r="BH593" s="11" t="n">
        <f>IF(COUNT(BC593,BG593)=2,BC593*BG593,"")</f>
        <v>455.85901741759983</v>
      </c>
      <c r="BI593" s="11" t="n">
        <f>IF(ISNUMBER(CI593),CI593,"")</f>
        <v>51.68488933669434</v>
      </c>
      <c r="BJ593" s="8" t="str"/>
      <c r="BK593" s="8" t="str">
        <v>90天：2026-07-20 至 2026-10-17；180天：2026-04-21 至 2026-10-17</v>
      </c>
      <c r="BL593" s="8" t="str">
        <v>90天：2026-10-06、2026-10-07；180天：2026-10-06、2026-10-07</v>
      </c>
      <c r="BM593" s="8" t="str">
        <v>2026-10：12天 × 1.7391279184229513；2026-11：30天 × 1.4002077845513243；2026-12：31天 × 1.079339935625147；2027-01：17天 × 0.7719368903846591</v>
      </c>
      <c r="BN593" s="11" t="n">
        <v>1.7391279184229513</v>
      </c>
      <c r="BO593" s="11" t="n">
        <v>1.4002077845513243</v>
      </c>
      <c r="BP593" s="11" t="n">
        <v>1.079339935625147</v>
      </c>
      <c r="BQ593" s="11" t="n">
        <v>0.7719368903846591</v>
      </c>
      <c r="BR593" s="8" t="n">
        <v>12</v>
      </c>
      <c r="BS593" s="8" t="n">
        <v>30</v>
      </c>
      <c r="BT593" s="8" t="n">
        <v>31</v>
      </c>
      <c r="BU593" s="8" t="n">
        <v>17</v>
      </c>
      <c r="BV593" s="11" t="n">
        <f>IF(COUNT(BC593,BF593)=2,BC593*BF593,"")</f>
        <v>0.4721882273291846</v>
      </c>
      <c r="BW593" s="11" t="n">
        <f>IF(ISNUMBER(BN593),BN593,"")</f>
        <v>1.7391279184229513</v>
      </c>
      <c r="BX593" s="14" t="n">
        <f>IF(ISNUMBER(BR593),BR593,"")</f>
        <v>12</v>
      </c>
      <c r="BY593" s="13" t="n">
        <f>IF(AND(COUNT(BV593,BW593,BX593)=3,MIN(BV593,BW593,BX593)&gt;=0),BV593*BW593*BX593,"")</f>
        <v>9.854348746785938</v>
      </c>
      <c r="BZ593" s="11" t="n">
        <f>IF(ISNUMBER(BO593),BO593,"")</f>
        <v>1.4002077845513243</v>
      </c>
      <c r="CA593" s="14" t="n">
        <f>IF(ISNUMBER(BS593),BS593,"")</f>
        <v>30</v>
      </c>
      <c r="CB593" s="13" t="n">
        <f>IF(AND(COUNT(BV593,BZ593,CA593)=3,MIN(BV593,BZ593,CA593)&gt;=0),BV593*BZ593*CA593,"")</f>
        <v>19.83484895039444</v>
      </c>
      <c r="CC593" s="11" t="n">
        <f>IF(ISNUMBER(BP593),BP593,"")</f>
        <v>1.079339935625147</v>
      </c>
      <c r="CD593" s="14" t="n">
        <f>IF(ISNUMBER(BT593),BT593,"")</f>
        <v>31</v>
      </c>
      <c r="CE593" s="13" t="n">
        <f>IF(AND(COUNT(BV593,CC593,CD593)=3,MIN(BV593,CC593,CD593)&gt;=0),BV593*CC593*CD593,"")</f>
        <v>15.799199937541465</v>
      </c>
      <c r="CF593" s="11" t="n">
        <f>IF(ISNUMBER(BQ593),BQ593,"")</f>
        <v>0.7719368903846591</v>
      </c>
      <c r="CG593" s="14" t="n">
        <f>IF(ISNUMBER(BU593),BU593,"")</f>
        <v>17</v>
      </c>
      <c r="CH593" s="13" t="n">
        <f>IF(AND(COUNT(BV593,CF593,CG593)=3,MIN(BV593,CF593,CG593)&gt;=0),BV593*CF593*CG593,"")</f>
        <v>6.1964917019725</v>
      </c>
      <c r="CI593" s="13" t="n">
        <f>IF(COUNT(BY593,CB593,CE593,CH593)=4,SUM(BY593,CB593,CE593,CH593),"")</f>
        <v>51.68488933669434</v>
      </c>
    </row>
    <row r="594" ht="72" customHeight="1">
      <c r="A594" s="16" t="str">
        <v>2302153-LP-S-Z-8</v>
      </c>
      <c r="B594" s="16" t="str">
        <v>3店-SANDIEX-US</v>
      </c>
      <c r="C594" s="16" t="str">
        <v>徐新怡</v>
      </c>
      <c r="D594" s="26" t="n">
        <f>IF(NOT(ISNUMBER(E594)),"",IF(OR(E594&lt;=0,L594=0),0,IF(OR(NOT(ISNUMBER(F594)),F594&lt;0),"",MIN(E594,INT(F594)))))</f>
        <v>0</v>
      </c>
      <c r="E594" s="27" t="n">
        <f>IF(OR(NOT(ISNUMBER(L594)),COUNT(M594:O594)&lt;&gt;3,MIN(M594:O594)&lt;0),"",ROUNDUP(ROUND(BI594-SUM(M594:O594),10),0))</f>
        <v>-8</v>
      </c>
      <c r="F594" s="28" t="n">
        <v>10</v>
      </c>
      <c r="G594" s="28" t="n">
        <f>IF(AND(ISNUMBER(D594),ISNUMBER(E594)),IF(OR(E594&lt;=0,L594=0),0,E594-D594),"")</f>
        <v>0</v>
      </c>
      <c r="H594" s="16" t="str">
        <f>IF(NOT(ISNUMBER(E594)),"销量或海外库存待补",IF(OR(E594&lt;=0,L594=0),IF(L594=0,"零日销，本批不发","本批无需补货"),IF(NOT(ISNUMBER(D594)),"国内库存待补",IF(D594=0,"国内无可用库存",IF(G594&gt;0,"先发国内现货","按建议量发货")))))</f>
        <v>本批无需补货</v>
      </c>
      <c r="I594" s="28" t="n">
        <f>IF(AND(COUNT(Z594,AA594,AB594)=3,Z594&gt;=AA594,AA594&gt;=0,AB594=7),Z594-AA594,"")</f>
        <v>3</v>
      </c>
      <c r="J594" s="28" t="n">
        <f>IF(AND(COUNT(AF594,AG594,AH594)=3,AF594&gt;=AG594,AG594&gt;=0,AH594=14),AF594-AG594,"")</f>
        <v>10</v>
      </c>
      <c r="K594" s="28" t="n">
        <f>IF(AND(COUNT(AL594,AM594,AN594)=3,AL594&gt;=AM594,AM594&gt;=0,AN594=30),AL594-AM594,"")</f>
        <v>32</v>
      </c>
      <c r="L594" s="29" t="n">
        <f>IF(ISNUMBER(BI594),BI594/90,"")</f>
        <v>0.7127464397742138</v>
      </c>
      <c r="M594" s="28" t="n">
        <v>7</v>
      </c>
      <c r="N594" s="28" t="n">
        <v>5</v>
      </c>
      <c r="O594" s="28" t="n">
        <v>60</v>
      </c>
      <c r="P594" s="30" t="n">
        <f>IF(AND(ISNUMBER(L594),L594&gt;0,COUNT(M594:O594)=3,MIN(M594:O594)&gt;=0),SUM(M594:O594)/L594,"")</f>
        <v>101.01769154091937</v>
      </c>
      <c r="Q594" s="16" t="str">
        <v>沿用原计划SKU店铺</v>
      </c>
      <c r="R594" s="16" t="str">
        <v>已匹配</v>
      </c>
      <c r="S594" s="16" t="str">
        <v>在售</v>
      </c>
      <c r="T594" s="16" t="str">
        <v>2302153</v>
      </c>
      <c r="U594" s="16" t="str">
        <v>豹纹</v>
      </c>
      <c r="V594" s="16" t="n">
        <v>8</v>
      </c>
      <c r="W594" s="8" t="str">
        <v>2026-10-11 至 2026-10-17</v>
      </c>
      <c r="X594" s="8" t="str">
        <v>2026-10-11、2026-10-12、2026-10-13、2026-10-14、2026-10-15、2026-10-16、2026-10-17</v>
      </c>
      <c r="Y594" s="8" t="str">
        <v>无</v>
      </c>
      <c r="Z594" s="8" t="n">
        <v>3</v>
      </c>
      <c r="AA594" s="8" t="n">
        <v>0</v>
      </c>
      <c r="AB594" s="8" t="n">
        <v>7</v>
      </c>
      <c r="AC594" s="8" t="str">
        <v>2026-10-02 至 2026-10-17</v>
      </c>
      <c r="AD594" s="8" t="str">
        <v>2026-10-02、2026-10-03、2026-10-04、2026-10-05、2026-10-08、2026-10-09、2026-10-10、2026-10-11、2026-10-12、2026-10-13、2026-10-14、2026-10-15、2026-10-16、2026-10-17</v>
      </c>
      <c r="AE594" s="8" t="str">
        <v>2026-10-06 大促；2026-10-07 大促</v>
      </c>
      <c r="AF594" s="8" t="n">
        <v>15</v>
      </c>
      <c r="AG594" s="8" t="n">
        <v>5</v>
      </c>
      <c r="AH594" s="8" t="n">
        <v>14</v>
      </c>
      <c r="AI594" s="8" t="str">
        <v>2026-09-16 至 2026-10-17</v>
      </c>
      <c r="AJ5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4" s="8" t="str">
        <v>2026-10-06 大促；2026-10-07 大促</v>
      </c>
      <c r="AL594" s="8" t="n">
        <v>37</v>
      </c>
      <c r="AM594" s="8" t="n">
        <v>5</v>
      </c>
      <c r="AN594" s="8" t="n">
        <v>30</v>
      </c>
      <c r="AO594" s="8" t="str">
        <v>2302153 / 豹纹羊京绒 / 6574</v>
      </c>
      <c r="AP594" s="11" t="n">
        <v>1.7391279184229513</v>
      </c>
      <c r="AQ594" s="11" t="n">
        <v>1.7391279184229513</v>
      </c>
      <c r="AR594" s="11" t="n">
        <v>1.5731892896917212</v>
      </c>
      <c r="AS594" s="11" t="n">
        <f>IF(AND(COUNT(I594:K594,AP594:AR594)=6,MIN(AP594:AR594)&gt;0),I594/7/AP594*0.5+J594/14/AQ594*0.3+K594/30/AR594*0.2,"")</f>
        <v>0.3820345634519642</v>
      </c>
      <c r="AT594" s="8" t="n">
        <v>73</v>
      </c>
      <c r="AU594" s="8" t="n">
        <v>5</v>
      </c>
      <c r="AV594" s="8" t="n">
        <v>88</v>
      </c>
      <c r="AW594" s="11" t="n">
        <f>IF(AND(COUNT(AT594:AV594)=3,AT594&gt;=AU594,AU594&gt;=0,AV594&gt;0),(AT594-AU594)/AV594,"")</f>
        <v>0.7727272727272727</v>
      </c>
      <c r="AX594" s="8" t="n">
        <v>130</v>
      </c>
      <c r="AY594" s="8" t="n">
        <v>5</v>
      </c>
      <c r="AZ594" s="8" t="n">
        <v>178</v>
      </c>
      <c r="BA594" s="11" t="n">
        <f>IF(AND(COUNT(AX594:AZ594)=3,AX594&gt;=AY594,AY594&gt;=0,AZ594&gt;0),(AX594-AY594)/AZ594,"")</f>
        <v>0.702247191011236</v>
      </c>
      <c r="BB594" s="8" t="n">
        <f>IF(COUNT(AS594,AW594,BA594)=3,1,0)</f>
        <v>1</v>
      </c>
      <c r="BC594" s="11" t="n">
        <f>IF(SUMIF($AO$11:$AO$1309,AO594,$BB$11:$BB$1309)=COUNTIF($AO$11:$AO$1309,AO594),SUMIF($AO$11:$AO$1309,AO594,$AS$11:$AS$1309),"")</f>
        <v>4.164684574329155</v>
      </c>
      <c r="BD594" s="11" t="n">
        <f>IF(SUMIF($AO$11:$AO$1309,AO594,$BB$11:$BB$1309)=COUNTIF($AO$11:$AO$1309,AO594),SUMIF($AO$11:$AO$1309,AO594,$AW$11:$AW$1309),"")</f>
        <v>5.636363636363635</v>
      </c>
      <c r="BE594" s="11" t="n">
        <f>IF(SUMIF($AO$11:$AO$1309,AO594,$BB$11:$BB$1309)=COUNTIF($AO$11:$AO$1309,AO594),SUMIF($AO$11:$AO$1309,AO594,$BA$11:$BA$1309),"")</f>
        <v>4.707865168539326</v>
      </c>
      <c r="BF594" s="12" t="n">
        <f>IF(COUNT(BD594:BE594)&lt;&gt;2,"",IF(AND(BD594&gt;0,BE594&gt;0),0.7*AW594/BD594+0.3*BA594/BE594,IF(BD594&gt;0,AW594/BD594,IF(BE594&gt;0,BA594/BE594,IF(AND(ISNUMBER(BH594),BH594=0),0,"")))))</f>
        <v>0.14071714527677268</v>
      </c>
      <c r="BG594" s="11" t="n">
        <f>IF(AND(COUNT(BN594:BU594)=8,MIN(BN594:BU594)&gt;=0),SUMPRODUCT(BN594:BQ594,BR594:BU594),"")</f>
        <v>109.4582336985339</v>
      </c>
      <c r="BH594" s="11" t="n">
        <f>IF(COUNT(BC594,BG594)=2,BC594*BG594,"")</f>
        <v>455.85901741759983</v>
      </c>
      <c r="BI594" s="11" t="n">
        <f>IF(ISNUMBER(CI594),CI594,"")</f>
        <v>64.14717957967925</v>
      </c>
      <c r="BJ594" s="8" t="str"/>
      <c r="BK594" s="8" t="str">
        <v>90天：2026-07-20 至 2026-10-17；180天：2026-04-21 至 2026-10-17</v>
      </c>
      <c r="BL594" s="8" t="str">
        <v>90天：2026-10-06、2026-10-07；180天：2026-10-06、2026-10-07</v>
      </c>
      <c r="BM594" s="8" t="str">
        <v>2026-10：12天 × 1.7391279184229513；2026-11：30天 × 1.4002077845513243；2026-12：31天 × 1.079339935625147；2027-01：17天 × 0.7719368903846591</v>
      </c>
      <c r="BN594" s="11" t="n">
        <v>1.7391279184229513</v>
      </c>
      <c r="BO594" s="11" t="n">
        <v>1.4002077845513243</v>
      </c>
      <c r="BP594" s="11" t="n">
        <v>1.079339935625147</v>
      </c>
      <c r="BQ594" s="11" t="n">
        <v>0.7719368903846591</v>
      </c>
      <c r="BR594" s="8" t="n">
        <v>12</v>
      </c>
      <c r="BS594" s="8" t="n">
        <v>30</v>
      </c>
      <c r="BT594" s="8" t="n">
        <v>31</v>
      </c>
      <c r="BU594" s="8" t="n">
        <v>17</v>
      </c>
      <c r="BV594" s="11" t="n">
        <f>IF(COUNT(BC594,BF594)=2,BC594*BF594,"")</f>
        <v>0.5860425242778099</v>
      </c>
      <c r="BW594" s="11" t="n">
        <f>IF(ISNUMBER(BN594),BN594,"")</f>
        <v>1.7391279184229513</v>
      </c>
      <c r="BX594" s="14" t="n">
        <f>IF(ISNUMBER(BR594),BR594,"")</f>
        <v>12</v>
      </c>
      <c r="BY594" s="13" t="n">
        <f>IF(AND(COUNT(BV594,BW594,BX594)=3,MIN(BV594,BW594,BX594)&gt;=0),BV594*BW594*BX594,"")</f>
        <v>12.230434984255194</v>
      </c>
      <c r="BZ594" s="11" t="n">
        <f>IF(ISNUMBER(BO594),BO594,"")</f>
        <v>1.4002077845513243</v>
      </c>
      <c r="CA594" s="14" t="n">
        <f>IF(ISNUMBER(BS594),BS594,"")</f>
        <v>30</v>
      </c>
      <c r="CB594" s="13" t="n">
        <f>IF(AND(COUNT(BV594,BZ594,CA594)=3,MIN(BV594,BZ594,CA594)&gt;=0),BV594*BZ594*CA594,"")</f>
        <v>24.61743913715694</v>
      </c>
      <c r="CC594" s="11" t="n">
        <f>IF(ISNUMBER(BP594),BP594,"")</f>
        <v>1.079339935625147</v>
      </c>
      <c r="CD594" s="14" t="n">
        <f>IF(ISNUMBER(BT594),BT594,"")</f>
        <v>31</v>
      </c>
      <c r="CE594" s="13" t="n">
        <f>IF(AND(COUNT(BV594,CC594,CD594)=3,MIN(BV594,CC594,CD594)&gt;=0),BV594*CC594*CD594,"")</f>
        <v>19.60871211325591</v>
      </c>
      <c r="CF594" s="11" t="n">
        <f>IF(ISNUMBER(BQ594),BQ594,"")</f>
        <v>0.7719368903846591</v>
      </c>
      <c r="CG594" s="14" t="n">
        <f>IF(ISNUMBER(BU594),BU594,"")</f>
        <v>17</v>
      </c>
      <c r="CH594" s="13" t="n">
        <f>IF(AND(COUNT(BV594,CF594,CG594)=3,MIN(BV594,CF594,CG594)&gt;=0),BV594*CF594*CG594,"")</f>
        <v>7.690593345011207</v>
      </c>
      <c r="CI594" s="13" t="n">
        <f>IF(COUNT(BY594,CB594,CE594,CH594)=4,SUM(BY594,CB594,CE594,CH594),"")</f>
        <v>64.14717957967925</v>
      </c>
    </row>
    <row r="595" ht="72" customHeight="1">
      <c r="A595" s="16" t="str">
        <v>2302153-ND-S-Z-10</v>
      </c>
      <c r="B595" s="16" t="str">
        <v>3店-SANDIEX-US</v>
      </c>
      <c r="C595" s="16" t="str">
        <v>徐新怡</v>
      </c>
      <c r="D595" s="26" t="n">
        <f>IF(NOT(ISNUMBER(E595)),"",IF(OR(E595&lt;=0,L595=0),0,IF(OR(NOT(ISNUMBER(F595)),F595&lt;0),"",MIN(E595,INT(F595)))))</f>
        <v>0</v>
      </c>
      <c r="E595" s="27" t="n">
        <f>IF(OR(NOT(ISNUMBER(L595)),COUNT(M595:O595)&lt;&gt;3,MIN(M595:O595)&lt;0),"",ROUNDUP(ROUND(BI595-SUM(M595:O595),10),0))</f>
        <v>-16</v>
      </c>
      <c r="F595" s="28" t="n">
        <v>0</v>
      </c>
      <c r="G595" s="28" t="n">
        <f>IF(AND(ISNUMBER(D595),ISNUMBER(E595)),IF(OR(E595&lt;=0,L595=0),0,E595-D595),"")</f>
        <v>0</v>
      </c>
      <c r="H595" s="16" t="str">
        <f>IF(NOT(ISNUMBER(E595)),"销量或海外库存待补",IF(OR(E595&lt;=0,L595=0),IF(L595=0,"零日销，本批不发","本批无需补货"),IF(NOT(ISNUMBER(D595)),"国内库存待补",IF(D595=0,"国内无可用库存",IF(G595&gt;0,"先发国内现货","按建议量发货")))))</f>
        <v>本批无需补货</v>
      </c>
      <c r="I595" s="28" t="n">
        <f>IF(AND(COUNT(Z595,AA595,AB595)=3,Z595&gt;=AA595,AA595&gt;=0,AB595=7),Z595-AA595,"")</f>
        <v>4</v>
      </c>
      <c r="J595" s="28" t="n">
        <f>IF(AND(COUNT(AF595,AG595,AH595)=3,AF595&gt;=AG595,AG595&gt;=0,AH595=14),AF595-AG595,"")</f>
        <v>17</v>
      </c>
      <c r="K595" s="28" t="n">
        <f>IF(AND(COUNT(AL595,AM595,AN595)=3,AL595&gt;=AM595,AM595&gt;=0,AN595=30),AL595-AM595,"")</f>
        <v>53</v>
      </c>
      <c r="L595" s="29" t="n">
        <f>IF(ISNUMBER(BI595),BI595/90,"")</f>
        <v>1.594365882599003</v>
      </c>
      <c r="M595" s="28" t="n">
        <v>54</v>
      </c>
      <c r="N595" s="28" t="n">
        <v>0</v>
      </c>
      <c r="O595" s="28" t="n">
        <v>105</v>
      </c>
      <c r="P595" s="30" t="n">
        <f>IF(AND(ISNUMBER(L595),L595&gt;0,COUNT(M595:O595)=3,MIN(M595:O595)&gt;=0),SUM(M595:O595)/L595,"")</f>
        <v>99.72616808684553</v>
      </c>
      <c r="Q595" s="16" t="str">
        <v>沿用原计划SKU店铺</v>
      </c>
      <c r="R595" s="16" t="str">
        <v>已匹配</v>
      </c>
      <c r="S595" s="16" t="str">
        <v>在售</v>
      </c>
      <c r="T595" s="16" t="str">
        <v>2302153</v>
      </c>
      <c r="U595" s="16" t="str">
        <v>裸色</v>
      </c>
      <c r="V595" s="16" t="n">
        <v>10</v>
      </c>
      <c r="W595" s="8" t="str">
        <v>2026-10-11 至 2026-10-17</v>
      </c>
      <c r="X595" s="8" t="str">
        <v>2026-10-11、2026-10-12、2026-10-13、2026-10-14、2026-10-15、2026-10-16、2026-10-17</v>
      </c>
      <c r="Y595" s="8" t="str">
        <v>无</v>
      </c>
      <c r="Z595" s="8" t="n">
        <v>4</v>
      </c>
      <c r="AA595" s="8" t="n">
        <v>0</v>
      </c>
      <c r="AB595" s="8" t="n">
        <v>7</v>
      </c>
      <c r="AC595" s="8" t="str">
        <v>2026-10-02 至 2026-10-17</v>
      </c>
      <c r="AD595" s="8" t="str">
        <v>2026-10-02、2026-10-03、2026-10-04、2026-10-05、2026-10-08、2026-10-09、2026-10-10、2026-10-11、2026-10-12、2026-10-13、2026-10-14、2026-10-15、2026-10-16、2026-10-17</v>
      </c>
      <c r="AE595" s="8" t="str">
        <v>2026-10-06 大促；2026-10-07 大促</v>
      </c>
      <c r="AF595" s="8" t="n">
        <v>28</v>
      </c>
      <c r="AG595" s="8" t="n">
        <v>11</v>
      </c>
      <c r="AH595" s="8" t="n">
        <v>14</v>
      </c>
      <c r="AI595" s="8" t="str">
        <v>2026-09-16 至 2026-10-17</v>
      </c>
      <c r="AJ5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5" s="8" t="str">
        <v>2026-10-06 大促；2026-10-07 大促</v>
      </c>
      <c r="AL595" s="8" t="n">
        <v>64</v>
      </c>
      <c r="AM595" s="8" t="n">
        <v>11</v>
      </c>
      <c r="AN595" s="8" t="n">
        <v>30</v>
      </c>
      <c r="AO595" s="8" t="str">
        <v>2302153 / 裸色羊京绒 / 6574</v>
      </c>
      <c r="AP595" s="11" t="n">
        <v>1.7391279184229513</v>
      </c>
      <c r="AQ595" s="11" t="n">
        <v>1.7391279184229513</v>
      </c>
      <c r="AR595" s="11" t="n">
        <v>1.5731892896917212</v>
      </c>
      <c r="AS595" s="11" t="n">
        <f>IF(AND(COUNT(I595:K595,AP595:AR595)=6,MIN(AP595:AR595)&gt;0),I595/7/AP595*0.5+J595/14/AQ595*0.3+K595/30/AR595*0.2,"")</f>
        <v>0.5983473745189538</v>
      </c>
      <c r="AT595" s="8" t="n">
        <v>182</v>
      </c>
      <c r="AU595" s="8" t="n">
        <v>11</v>
      </c>
      <c r="AV595" s="8" t="n">
        <v>88</v>
      </c>
      <c r="AW595" s="11" t="n">
        <f>IF(AND(COUNT(AT595:AV595)=3,AT595&gt;=AU595,AU595&gt;=0,AV595&gt;0),(AT595-AU595)/AV595,"")</f>
        <v>1.9431818181818181</v>
      </c>
      <c r="AX595" s="8" t="n">
        <v>345</v>
      </c>
      <c r="AY595" s="8" t="n">
        <v>11</v>
      </c>
      <c r="AZ595" s="8" t="n">
        <v>178</v>
      </c>
      <c r="BA595" s="11" t="n">
        <f>IF(AND(COUNT(AX595:AZ595)=3,AX595&gt;=AY595,AY595&gt;=0,AZ595&gt;0),(AX595-AY595)/AZ595,"")</f>
        <v>1.8764044943820224</v>
      </c>
      <c r="BB595" s="8" t="n">
        <f>IF(COUNT(AS595,AW595,BA595)=3,1,0)</f>
        <v>1</v>
      </c>
      <c r="BC595" s="11" t="n">
        <f>IF(SUMIF($AO$11:$AO$1309,AO595,$BB$11:$BB$1309)=COUNTIF($AO$11:$AO$1309,AO595),SUMIF($AO$11:$AO$1309,AO595,$AS$11:$AS$1309),"")</f>
        <v>21.8107478678746</v>
      </c>
      <c r="BD595" s="11" t="n">
        <f>IF(SUMIF($AO$11:$AO$1309,AO595,$BB$11:$BB$1309)=COUNTIF($AO$11:$AO$1309,AO595),SUMIF($AO$11:$AO$1309,AO595,$AW$11:$AW$1309),"")</f>
        <v>32.32954545454545</v>
      </c>
      <c r="BE595" s="11" t="n">
        <f>IF(SUMIF($AO$11:$AO$1309,AO595,$BB$11:$BB$1309)=COUNTIF($AO$11:$AO$1309,AO595),SUMIF($AO$11:$AO$1309,AO595,$BA$11:$BA$1309),"")</f>
        <v>31.219101123595507</v>
      </c>
      <c r="BF595" s="12" t="n">
        <f>IF(COUNT(BD595:BE595)&lt;&gt;2,"",IF(AND(BD595&gt;0,BE595&gt;0),0.7*AW595/BD595+0.3*BA595/BE595,IF(BD595&gt;0,AW595/BD595,IF(BE595&gt;0,BA595/BE595,IF(AND(ISNUMBER(BH595),BH595=0),0,"")))))</f>
        <v>0.06010512556717679</v>
      </c>
      <c r="BG595" s="11" t="n">
        <f>IF(AND(COUNT(BN595:BU595)=8,MIN(BN595:BU595)&gt;=0),SUMPRODUCT(BN595:BQ595,BR595:BU595),"")</f>
        <v>109.4582336985339</v>
      </c>
      <c r="BH595" s="11" t="n">
        <f>IF(COUNT(BC595,BG595)=2,BC595*BG595,"")</f>
        <v>2387.365937261618</v>
      </c>
      <c r="BI595" s="11" t="n">
        <f>IF(ISNUMBER(CI595),CI595,"")</f>
        <v>143.49292943391026</v>
      </c>
      <c r="BJ595" s="8" t="str"/>
      <c r="BK595" s="8" t="str">
        <v>90天：2026-07-20 至 2026-10-17；180天：2026-04-21 至 2026-10-17</v>
      </c>
      <c r="BL595" s="8" t="str">
        <v>90天：2026-10-06、2026-10-07；180天：2026-10-06、2026-10-07</v>
      </c>
      <c r="BM595" s="8" t="str">
        <v>2026-10：12天 × 1.7391279184229513；2026-11：30天 × 1.4002077845513243；2026-12：31天 × 1.079339935625147；2027-01：17天 × 0.7719368903846591</v>
      </c>
      <c r="BN595" s="11" t="n">
        <v>1.7391279184229513</v>
      </c>
      <c r="BO595" s="11" t="n">
        <v>1.4002077845513243</v>
      </c>
      <c r="BP595" s="11" t="n">
        <v>1.079339935625147</v>
      </c>
      <c r="BQ595" s="11" t="n">
        <v>0.7719368903846591</v>
      </c>
      <c r="BR595" s="8" t="n">
        <v>12</v>
      </c>
      <c r="BS595" s="8" t="n">
        <v>30</v>
      </c>
      <c r="BT595" s="8" t="n">
        <v>31</v>
      </c>
      <c r="BU595" s="8" t="n">
        <v>17</v>
      </c>
      <c r="BV595" s="11" t="n">
        <f>IF(COUNT(BC595,BF595)=2,BC595*BF595,"")</f>
        <v>1.3109377393126362</v>
      </c>
      <c r="BW595" s="11" t="n">
        <f>IF(ISNUMBER(BN595),BN595,"")</f>
        <v>1.7391279184229513</v>
      </c>
      <c r="BX595" s="14" t="n">
        <f>IF(ISNUMBER(BR595),BR595,"")</f>
        <v>12</v>
      </c>
      <c r="BY595" s="13" t="n">
        <f>IF(AND(COUNT(BV595,BW595,BX595)=3,MIN(BV595,BW595,BX595)&gt;=0),BV595*BW595*BX595,"")</f>
        <v>27.358661061034496</v>
      </c>
      <c r="BZ595" s="11" t="n">
        <f>IF(ISNUMBER(BO595),BO595,"")</f>
        <v>1.4002077845513243</v>
      </c>
      <c r="CA595" s="14" t="n">
        <f>IF(ISNUMBER(BS595),BS595,"")</f>
        <v>30</v>
      </c>
      <c r="CB595" s="13" t="n">
        <f>IF(AND(COUNT(BV595,BZ595,CA595)=3,MIN(BV595,BZ595,CA595)&gt;=0),BV595*BZ595*CA595,"")</f>
        <v>55.06755682943003</v>
      </c>
      <c r="CC595" s="11" t="n">
        <f>IF(ISNUMBER(BP595),BP595,"")</f>
        <v>1.079339935625147</v>
      </c>
      <c r="CD595" s="14" t="n">
        <f>IF(ISNUMBER(BT595),BT595,"")</f>
        <v>31</v>
      </c>
      <c r="CE595" s="13" t="n">
        <f>IF(AND(COUNT(BV595,CC595,CD595)=3,MIN(BV595,CC595,CD595)&gt;=0),BV595*CC595*CD595,"")</f>
        <v>43.86337110990657</v>
      </c>
      <c r="CF595" s="11" t="n">
        <f>IF(ISNUMBER(BQ595),BQ595,"")</f>
        <v>0.7719368903846591</v>
      </c>
      <c r="CG595" s="14" t="n">
        <f>IF(ISNUMBER(BU595),BU595,"")</f>
        <v>17</v>
      </c>
      <c r="CH595" s="13" t="n">
        <f>IF(AND(COUNT(BV595,CF595,CG595)=3,MIN(BV595,CF595,CG595)&gt;=0),BV595*CF595*CG595,"")</f>
        <v>17.20334043353915</v>
      </c>
      <c r="CI595" s="13" t="n">
        <f>IF(COUNT(BY595,CB595,CE595,CH595)=4,SUM(BY595,CB595,CE595,CH595),"")</f>
        <v>143.49292943391026</v>
      </c>
    </row>
    <row r="596" ht="72" customHeight="1">
      <c r="A596" s="16" t="str">
        <v>2302153-ND-S-Z-11</v>
      </c>
      <c r="B596" s="16" t="str">
        <v>3店-SANDIEX-US</v>
      </c>
      <c r="C596" s="16" t="str">
        <v>徐新怡</v>
      </c>
      <c r="D596" s="26" t="n">
        <f>IF(NOT(ISNUMBER(E596)),"",IF(OR(E596&lt;=0,L596=0),0,IF(OR(NOT(ISNUMBER(F596)),F596&lt;0),"",MIN(E596,INT(F596)))))</f>
        <v>0</v>
      </c>
      <c r="E596" s="27" t="n">
        <f>IF(OR(NOT(ISNUMBER(L596)),COUNT(M596:O596)&lt;&gt;3,MIN(M596:O596)&lt;0),"",ROUNDUP(ROUND(BI596-SUM(M596:O596),10),0))</f>
        <v>-33</v>
      </c>
      <c r="F596" s="28" t="n">
        <v>10</v>
      </c>
      <c r="G596" s="28" t="n">
        <f>IF(AND(ISNUMBER(D596),ISNUMBER(E596)),IF(OR(E596&lt;=0,L596=0),0,E596-D596),"")</f>
        <v>0</v>
      </c>
      <c r="H596" s="16" t="str">
        <f>IF(NOT(ISNUMBER(E596)),"销量或海外库存待补",IF(OR(E596&lt;=0,L596=0),IF(L596=0,"零日销，本批不发","本批无需补货"),IF(NOT(ISNUMBER(D596)),"国内库存待补",IF(D596=0,"国内无可用库存",IF(G596&gt;0,"先发国内现货","按建议量发货")))))</f>
        <v>本批无需补货</v>
      </c>
      <c r="I596" s="28" t="n">
        <f>IF(AND(COUNT(Z596,AA596,AB596)=3,Z596&gt;=AA596,AA596&gt;=0,AB596=7),Z596-AA596,"")</f>
        <v>11</v>
      </c>
      <c r="J596" s="28" t="n">
        <f>IF(AND(COUNT(AF596,AG596,AH596)=3,AF596&gt;=AG596,AG596&gt;=0,AH596=14),AF596-AG596,"")</f>
        <v>23</v>
      </c>
      <c r="K596" s="28" t="n">
        <f>IF(AND(COUNT(AL596,AM596,AN596)=3,AL596&gt;=AM596,AM596&gt;=0,AN596=30),AL596-AM596,"")</f>
        <v>58</v>
      </c>
      <c r="L596" s="29" t="n">
        <f>IF(ISNUMBER(BI596),BI596/90,"")</f>
        <v>1.1826038979030957</v>
      </c>
      <c r="M596" s="28" t="n">
        <v>42</v>
      </c>
      <c r="N596" s="28" t="n">
        <v>7</v>
      </c>
      <c r="O596" s="28" t="n">
        <v>90</v>
      </c>
      <c r="P596" s="30" t="n">
        <f>IF(AND(ISNUMBER(L596),L596&gt;0,COUNT(M596:O596)=3,MIN(M596:O596)&gt;=0),SUM(M596:O596)/L596,"")</f>
        <v>117.53724154508906</v>
      </c>
      <c r="Q596" s="16" t="str">
        <v>沿用原计划SKU店铺</v>
      </c>
      <c r="R596" s="16" t="str">
        <v>已匹配</v>
      </c>
      <c r="S596" s="16" t="str">
        <v>在售</v>
      </c>
      <c r="T596" s="16" t="str">
        <v>2302153</v>
      </c>
      <c r="U596" s="16" t="str">
        <v>裸色</v>
      </c>
      <c r="V596" s="16" t="n">
        <v>11</v>
      </c>
      <c r="W596" s="8" t="str">
        <v>2026-10-11 至 2026-10-17</v>
      </c>
      <c r="X596" s="8" t="str">
        <v>2026-10-11、2026-10-12、2026-10-13、2026-10-14、2026-10-15、2026-10-16、2026-10-17</v>
      </c>
      <c r="Y596" s="8" t="str">
        <v>无</v>
      </c>
      <c r="Z596" s="8" t="n">
        <v>11</v>
      </c>
      <c r="AA596" s="8" t="n">
        <v>0</v>
      </c>
      <c r="AB596" s="8" t="n">
        <v>7</v>
      </c>
      <c r="AC596" s="8" t="str">
        <v>2026-10-02 至 2026-10-17</v>
      </c>
      <c r="AD596" s="8" t="str">
        <v>2026-10-02、2026-10-03、2026-10-04、2026-10-05、2026-10-08、2026-10-09、2026-10-10、2026-10-11、2026-10-12、2026-10-13、2026-10-14、2026-10-15、2026-10-16、2026-10-17</v>
      </c>
      <c r="AE596" s="8" t="str">
        <v>2026-10-06 大促；2026-10-07 大促</v>
      </c>
      <c r="AF596" s="8" t="n">
        <v>35</v>
      </c>
      <c r="AG596" s="8" t="n">
        <v>12</v>
      </c>
      <c r="AH596" s="8" t="n">
        <v>14</v>
      </c>
      <c r="AI596" s="8" t="str">
        <v>2026-09-16 至 2026-10-17</v>
      </c>
      <c r="AJ5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6" s="8" t="str">
        <v>2026-10-06 大促；2026-10-07 大促</v>
      </c>
      <c r="AL596" s="8" t="n">
        <v>70</v>
      </c>
      <c r="AM596" s="8" t="n">
        <v>12</v>
      </c>
      <c r="AN596" s="8" t="n">
        <v>30</v>
      </c>
      <c r="AO596" s="8" t="str">
        <v>2302153 / 裸色羊京绒 / 6574</v>
      </c>
      <c r="AP596" s="11" t="n">
        <v>1.7391279184229513</v>
      </c>
      <c r="AQ596" s="11" t="n">
        <v>1.7391279184229513</v>
      </c>
      <c r="AR596" s="11" t="n">
        <v>1.5731892896917212</v>
      </c>
      <c r="AS596" s="11" t="n">
        <f>IF(AND(COUNT(I596:K596,AP596:AR596)=6,MIN(AP596:AR596)&gt;0),I596/7/AP596*0.5+J596/14/AQ596*0.3+K596/30/AR596*0.2,"")</f>
        <v>0.9809648494429438</v>
      </c>
      <c r="AT596" s="8" t="n">
        <v>139</v>
      </c>
      <c r="AU596" s="8" t="n">
        <v>12</v>
      </c>
      <c r="AV596" s="8" t="n">
        <v>88</v>
      </c>
      <c r="AW596" s="11" t="n">
        <f>IF(AND(COUNT(AT596:AV596)=3,AT596&gt;=AU596,AU596&gt;=0,AV596&gt;0),(AT596-AU596)/AV596,"")</f>
        <v>1.4431818181818181</v>
      </c>
      <c r="AX596" s="8" t="n">
        <v>259</v>
      </c>
      <c r="AY596" s="8" t="n">
        <v>12</v>
      </c>
      <c r="AZ596" s="8" t="n">
        <v>178</v>
      </c>
      <c r="BA596" s="11" t="n">
        <f>IF(AND(COUNT(AX596:AZ596)=3,AX596&gt;=AY596,AY596&gt;=0,AZ596&gt;0),(AX596-AY596)/AZ596,"")</f>
        <v>1.3876404494382022</v>
      </c>
      <c r="BB596" s="8" t="n">
        <f>IF(COUNT(AS596,AW596,BA596)=3,1,0)</f>
        <v>1</v>
      </c>
      <c r="BC596" s="11" t="n">
        <f>IF(SUMIF($AO$11:$AO$1309,AO596,$BB$11:$BB$1309)=COUNTIF($AO$11:$AO$1309,AO596),SUMIF($AO$11:$AO$1309,AO596,$AS$11:$AS$1309),"")</f>
        <v>21.8107478678746</v>
      </c>
      <c r="BD596" s="11" t="n">
        <f>IF(SUMIF($AO$11:$AO$1309,AO596,$BB$11:$BB$1309)=COUNTIF($AO$11:$AO$1309,AO596),SUMIF($AO$11:$AO$1309,AO596,$AW$11:$AW$1309),"")</f>
        <v>32.32954545454545</v>
      </c>
      <c r="BE596" s="11" t="n">
        <f>IF(SUMIF($AO$11:$AO$1309,AO596,$BB$11:$BB$1309)=COUNTIF($AO$11:$AO$1309,AO596),SUMIF($AO$11:$AO$1309,AO596,$BA$11:$BA$1309),"")</f>
        <v>31.219101123595507</v>
      </c>
      <c r="BF596" s="12" t="n">
        <f>IF(COUNT(BD596:BE596)&lt;&gt;2,"",IF(AND(BD596&gt;0,BE596&gt;0),0.7*AW596/BD596+0.3*BA596/BE596,IF(BD596&gt;0,AW596/BD596,IF(BE596&gt;0,BA596/BE596,IF(AND(ISNUMBER(BH596),BH596=0),0,"")))))</f>
        <v>0.044582336184859066</v>
      </c>
      <c r="BG596" s="11" t="n">
        <f>IF(AND(COUNT(BN596:BU596)=8,MIN(BN596:BU596)&gt;=0),SUMPRODUCT(BN596:BQ596,BR596:BU596),"")</f>
        <v>109.4582336985339</v>
      </c>
      <c r="BH596" s="11" t="n">
        <f>IF(COUNT(BC596,BG596)=2,BC596*BG596,"")</f>
        <v>2387.365937261618</v>
      </c>
      <c r="BI596" s="11" t="n">
        <f>IF(ISNUMBER(CI596),CI596,"")</f>
        <v>106.4343508112786</v>
      </c>
      <c r="BJ596" s="8" t="str"/>
      <c r="BK596" s="8" t="str">
        <v>90天：2026-07-20 至 2026-10-17；180天：2026-04-21 至 2026-10-17</v>
      </c>
      <c r="BL596" s="8" t="str">
        <v>90天：2026-10-06、2026-10-07；180天：2026-10-06、2026-10-07</v>
      </c>
      <c r="BM596" s="8" t="str">
        <v>2026-10：12天 × 1.7391279184229513；2026-11：30天 × 1.4002077845513243；2026-12：31天 × 1.079339935625147；2027-01：17天 × 0.7719368903846591</v>
      </c>
      <c r="BN596" s="11" t="n">
        <v>1.7391279184229513</v>
      </c>
      <c r="BO596" s="11" t="n">
        <v>1.4002077845513243</v>
      </c>
      <c r="BP596" s="11" t="n">
        <v>1.079339935625147</v>
      </c>
      <c r="BQ596" s="11" t="n">
        <v>0.7719368903846591</v>
      </c>
      <c r="BR596" s="8" t="n">
        <v>12</v>
      </c>
      <c r="BS596" s="8" t="n">
        <v>30</v>
      </c>
      <c r="BT596" s="8" t="n">
        <v>31</v>
      </c>
      <c r="BU596" s="8" t="n">
        <v>17</v>
      </c>
      <c r="BV596" s="11" t="n">
        <f>IF(COUNT(BC596,BF596)=2,BC596*BF596,"")</f>
        <v>0.9723740938887835</v>
      </c>
      <c r="BW596" s="11" t="n">
        <f>IF(ISNUMBER(BN596),BN596,"")</f>
        <v>1.7391279184229513</v>
      </c>
      <c r="BX596" s="14" t="n">
        <f>IF(ISNUMBER(BR596),BR596,"")</f>
        <v>12</v>
      </c>
      <c r="BY596" s="13" t="n">
        <f>IF(AND(COUNT(BV596,BW596,BX596)=3,MIN(BV596,BW596,BX596)&gt;=0),BV596*BW596*BX596,"")</f>
        <v>20.29299520599844</v>
      </c>
      <c r="BZ596" s="11" t="n">
        <f>IF(ISNUMBER(BO596),BO596,"")</f>
        <v>1.4002077845513243</v>
      </c>
      <c r="CA596" s="14" t="n">
        <f>IF(ISNUMBER(BS596),BS596,"")</f>
        <v>30</v>
      </c>
      <c r="CB596" s="13" t="n">
        <f>IF(AND(COUNT(BV596,BZ596,CA596)=3,MIN(BV596,BZ596,CA596)&gt;=0),BV596*BZ596*CA596,"")</f>
        <v>40.84577327277345</v>
      </c>
      <c r="CC596" s="11" t="n">
        <f>IF(ISNUMBER(BP596),BP596,"")</f>
        <v>1.079339935625147</v>
      </c>
      <c r="CD596" s="14" t="n">
        <f>IF(ISNUMBER(BT596),BT596,"")</f>
        <v>31</v>
      </c>
      <c r="CE596" s="13" t="n">
        <f>IF(AND(COUNT(BV596,CC596,CD596)=3,MIN(BV596,CC596,CD596)&gt;=0),BV596*CC596*CD596,"")</f>
        <v>32.53518794894588</v>
      </c>
      <c r="CF596" s="11" t="n">
        <f>IF(ISNUMBER(BQ596),BQ596,"")</f>
        <v>0.7719368903846591</v>
      </c>
      <c r="CG596" s="14" t="n">
        <f>IF(ISNUMBER(BU596),BU596,"")</f>
        <v>17</v>
      </c>
      <c r="CH596" s="13" t="n">
        <f>IF(AND(COUNT(BV596,CF596,CG596)=3,MIN(BV596,CF596,CG596)&gt;=0),BV596*CF596*CG596,"")</f>
        <v>12.760394383560838</v>
      </c>
      <c r="CI596" s="13" t="n">
        <f>IF(COUNT(BY596,CB596,CE596,CH596)=4,SUM(BY596,CB596,CE596,CH596),"")</f>
        <v>106.4343508112786</v>
      </c>
    </row>
    <row r="597" ht="72" customHeight="1">
      <c r="A597" s="16" t="str">
        <v>2302153-ND-S-Z-6</v>
      </c>
      <c r="B597" s="16" t="str">
        <v>3店-SANDIEX-US</v>
      </c>
      <c r="C597" s="16" t="str">
        <v>徐新怡</v>
      </c>
      <c r="D597" s="26" t="n">
        <f>IF(NOT(ISNUMBER(E597)),"",IF(OR(E597&lt;=0,L597=0),0,IF(OR(NOT(ISNUMBER(F597)),F597&lt;0),"",MIN(E597,INT(F597)))))</f>
        <v>0</v>
      </c>
      <c r="E597" s="27" t="n">
        <f>IF(OR(NOT(ISNUMBER(L597)),COUNT(M597:O597)&lt;&gt;3,MIN(M597:O597)&lt;0),"",ROUNDUP(ROUND(BI597-SUM(M597:O597),10),0))</f>
        <v>-65</v>
      </c>
      <c r="F597" s="28" t="n">
        <v>104</v>
      </c>
      <c r="G597" s="28" t="n">
        <f>IF(AND(ISNUMBER(D597),ISNUMBER(E597)),IF(OR(E597&lt;=0,L597=0),0,E597-D597),"")</f>
        <v>0</v>
      </c>
      <c r="H597" s="16" t="str">
        <f>IF(NOT(ISNUMBER(E597)),"销量或海外库存待补",IF(OR(E597&lt;=0,L597=0),IF(L597=0,"零日销，本批不发","本批无需补货"),IF(NOT(ISNUMBER(D597)),"国内库存待补",IF(D597=0,"国内无可用库存",IF(G597&gt;0,"先发国内现货","按建议量发货")))))</f>
        <v>本批无需补货</v>
      </c>
      <c r="I597" s="28" t="n">
        <f>IF(AND(COUNT(Z597,AA597,AB597)=3,Z597&gt;=AA597,AA597&gt;=0,AB597=7),Z597-AA597,"")</f>
        <v>8</v>
      </c>
      <c r="J597" s="28" t="n">
        <f>IF(AND(COUNT(AF597,AG597,AH597)=3,AF597&gt;=AG597,AG597&gt;=0,AH597=14),AF597-AG597,"")</f>
        <v>20</v>
      </c>
      <c r="K597" s="28" t="n">
        <f>IF(AND(COUNT(AL597,AM597,AN597)=3,AL597&gt;=AM597,AM597&gt;=0,AN597=30),AL597-AM597,"")</f>
        <v>41</v>
      </c>
      <c r="L597" s="29" t="n">
        <f>IF(ISNUMBER(BI597),BI597/90,"")</f>
        <v>1.309118852894056</v>
      </c>
      <c r="M597" s="28" t="n">
        <v>64</v>
      </c>
      <c r="N597" s="28" t="n">
        <v>5</v>
      </c>
      <c r="O597" s="28" t="n">
        <v>113</v>
      </c>
      <c r="P597" s="30" t="n">
        <f>IF(AND(ISNUMBER(L597),L597&gt;0,COUNT(M597:O597)=3,MIN(M597:O597)&gt;=0),SUM(M597:O597)/L597,"")</f>
        <v>139.0248101596386</v>
      </c>
      <c r="Q597" s="16" t="str">
        <v>沿用原计划SKU店铺</v>
      </c>
      <c r="R597" s="16" t="str">
        <v>已匹配</v>
      </c>
      <c r="S597" s="16" t="str">
        <v>在售</v>
      </c>
      <c r="T597" s="16" t="str">
        <v>2302153</v>
      </c>
      <c r="U597" s="16" t="str">
        <v>裸色</v>
      </c>
      <c r="V597" s="16" t="n">
        <v>6</v>
      </c>
      <c r="W597" s="8" t="str">
        <v>2026-10-11 至 2026-10-17</v>
      </c>
      <c r="X597" s="8" t="str">
        <v>2026-10-11、2026-10-12、2026-10-13、2026-10-14、2026-10-15、2026-10-16、2026-10-17</v>
      </c>
      <c r="Y597" s="8" t="str">
        <v>无</v>
      </c>
      <c r="Z597" s="8" t="n">
        <v>8</v>
      </c>
      <c r="AA597" s="8" t="n">
        <v>0</v>
      </c>
      <c r="AB597" s="8" t="n">
        <v>7</v>
      </c>
      <c r="AC597" s="8" t="str">
        <v>2026-10-02 至 2026-10-17</v>
      </c>
      <c r="AD597" s="8" t="str">
        <v>2026-10-02、2026-10-03、2026-10-04、2026-10-05、2026-10-08、2026-10-09、2026-10-10、2026-10-11、2026-10-12、2026-10-13、2026-10-14、2026-10-15、2026-10-16、2026-10-17</v>
      </c>
      <c r="AE597" s="8" t="str">
        <v>2026-10-06 大促；2026-10-07 大促</v>
      </c>
      <c r="AF597" s="8" t="n">
        <v>20</v>
      </c>
      <c r="AG597" s="8" t="n">
        <v>0</v>
      </c>
      <c r="AH597" s="8" t="n">
        <v>14</v>
      </c>
      <c r="AI597" s="8" t="str">
        <v>2026-09-16 至 2026-10-17</v>
      </c>
      <c r="AJ5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7" s="8" t="str">
        <v>2026-10-06 大促；2026-10-07 大促</v>
      </c>
      <c r="AL597" s="8" t="n">
        <v>41</v>
      </c>
      <c r="AM597" s="8" t="n">
        <v>0</v>
      </c>
      <c r="AN597" s="8" t="n">
        <v>30</v>
      </c>
      <c r="AO597" s="8" t="str">
        <v>2302153 / 裸色羊京绒 / 6574</v>
      </c>
      <c r="AP597" s="11" t="n">
        <v>1.7391279184229513</v>
      </c>
      <c r="AQ597" s="11" t="n">
        <v>1.7391279184229513</v>
      </c>
      <c r="AR597" s="11" t="n">
        <v>1.5731892896917212</v>
      </c>
      <c r="AS597" s="11" t="n">
        <f>IF(AND(COUNT(I597:K597,AP597:AR597)=6,MIN(AP597:AR597)&gt;0),I597/7/AP597*0.5+J597/14/AQ597*0.3+K597/30/AR597*0.2,"")</f>
        <v>0.7487455524104816</v>
      </c>
      <c r="AT597" s="8" t="n">
        <v>133</v>
      </c>
      <c r="AU597" s="8" t="n">
        <v>0</v>
      </c>
      <c r="AV597" s="8" t="n">
        <v>88</v>
      </c>
      <c r="AW597" s="11" t="n">
        <f>IF(AND(COUNT(AT597:AV597)=3,AT597&gt;=AU597,AU597&gt;=0,AV597&gt;0),(AT597-AU597)/AV597,"")</f>
        <v>1.5113636363636365</v>
      </c>
      <c r="AX597" s="8" t="n">
        <v>308</v>
      </c>
      <c r="AY597" s="8" t="n">
        <v>0</v>
      </c>
      <c r="AZ597" s="8" t="n">
        <v>178</v>
      </c>
      <c r="BA597" s="11" t="n">
        <f>IF(AND(COUNT(AX597:AZ597)=3,AX597&gt;=AY597,AY597&gt;=0,AZ597&gt;0),(AX597-AY597)/AZ597,"")</f>
        <v>1.7303370786516854</v>
      </c>
      <c r="BB597" s="8" t="n">
        <f>IF(COUNT(AS597,AW597,BA597)=3,1,0)</f>
        <v>1</v>
      </c>
      <c r="BC597" s="11" t="n">
        <f>IF(SUMIF($AO$11:$AO$1309,AO597,$BB$11:$BB$1309)=COUNTIF($AO$11:$AO$1309,AO597),SUMIF($AO$11:$AO$1309,AO597,$AS$11:$AS$1309),"")</f>
        <v>21.8107478678746</v>
      </c>
      <c r="BD597" s="11" t="n">
        <f>IF(SUMIF($AO$11:$AO$1309,AO597,$BB$11:$BB$1309)=COUNTIF($AO$11:$AO$1309,AO597),SUMIF($AO$11:$AO$1309,AO597,$AW$11:$AW$1309),"")</f>
        <v>32.32954545454545</v>
      </c>
      <c r="BE597" s="11" t="n">
        <f>IF(SUMIF($AO$11:$AO$1309,AO597,$BB$11:$BB$1309)=COUNTIF($AO$11:$AO$1309,AO597),SUMIF($AO$11:$AO$1309,AO597,$BA$11:$BA$1309),"")</f>
        <v>31.219101123595507</v>
      </c>
      <c r="BF597" s="12" t="n">
        <f>IF(COUNT(BD597:BE597)&lt;&gt;2,"",IF(AND(BD597&gt;0,BE597&gt;0),0.7*AW597/BD597+0.3*BA597/BE597,IF(BD597&gt;0,AW597/BD597,IF(BE597&gt;0,BA597/BE597,IF(AND(ISNUMBER(BH597),BH597=0),0,"")))))</f>
        <v>0.0493517541326777</v>
      </c>
      <c r="BG597" s="11" t="n">
        <f>IF(AND(COUNT(BN597:BU597)=8,MIN(BN597:BU597)&gt;=0),SUMPRODUCT(BN597:BQ597,BR597:BU597),"")</f>
        <v>109.4582336985339</v>
      </c>
      <c r="BH597" s="11" t="n">
        <f>IF(COUNT(BC597,BG597)=2,BC597*BG597,"")</f>
        <v>2387.365937261618</v>
      </c>
      <c r="BI597" s="11" t="n">
        <f>IF(ISNUMBER(CI597),CI597,"")</f>
        <v>117.82069676046504</v>
      </c>
      <c r="BJ597" s="8" t="str"/>
      <c r="BK597" s="8" t="str">
        <v>90天：2026-07-20 至 2026-10-17；180天：2026-04-21 至 2026-10-17</v>
      </c>
      <c r="BL597" s="8" t="str">
        <v>90天：2026-10-06、2026-10-07；180天：2026-10-06、2026-10-07</v>
      </c>
      <c r="BM597" s="8" t="str">
        <v>2026-10：12天 × 1.7391279184229513；2026-11：30天 × 1.4002077845513243；2026-12：31天 × 1.079339935625147；2027-01：17天 × 0.7719368903846591</v>
      </c>
      <c r="BN597" s="11" t="n">
        <v>1.7391279184229513</v>
      </c>
      <c r="BO597" s="11" t="n">
        <v>1.4002077845513243</v>
      </c>
      <c r="BP597" s="11" t="n">
        <v>1.079339935625147</v>
      </c>
      <c r="BQ597" s="11" t="n">
        <v>0.7719368903846591</v>
      </c>
      <c r="BR597" s="8" t="n">
        <v>12</v>
      </c>
      <c r="BS597" s="8" t="n">
        <v>30</v>
      </c>
      <c r="BT597" s="8" t="n">
        <v>31</v>
      </c>
      <c r="BU597" s="8" t="n">
        <v>17</v>
      </c>
      <c r="BV597" s="11" t="n">
        <f>IF(COUNT(BC597,BF597)=2,BC597*BF597,"")</f>
        <v>1.0763986662251717</v>
      </c>
      <c r="BW597" s="11" t="n">
        <f>IF(ISNUMBER(BN597),BN597,"")</f>
        <v>1.7391279184229513</v>
      </c>
      <c r="BX597" s="14" t="n">
        <f>IF(ISNUMBER(BR597),BR597,"")</f>
        <v>12</v>
      </c>
      <c r="BY597" s="13" t="n">
        <f>IF(AND(COUNT(BV597,BW597,BX597)=3,MIN(BV597,BW597,BX597)&gt;=0),BV597*BW597*BX597,"")</f>
        <v>22.463939661425087</v>
      </c>
      <c r="BZ597" s="11" t="n">
        <f>IF(ISNUMBER(BO597),BO597,"")</f>
        <v>1.4002077845513243</v>
      </c>
      <c r="CA597" s="14" t="n">
        <f>IF(ISNUMBER(BS597),BS597,"")</f>
        <v>30</v>
      </c>
      <c r="CB597" s="13" t="n">
        <f>IF(AND(COUNT(BV597,BZ597,CA597)=3,MIN(BV597,BZ597,CA597)&gt;=0),BV597*BZ597*CA597,"")</f>
        <v>45.21545375187444</v>
      </c>
      <c r="CC597" s="11" t="n">
        <f>IF(ISNUMBER(BP597),BP597,"")</f>
        <v>1.079339935625147</v>
      </c>
      <c r="CD597" s="14" t="n">
        <f>IF(ISNUMBER(BT597),BT597,"")</f>
        <v>31</v>
      </c>
      <c r="CE597" s="13" t="n">
        <f>IF(AND(COUNT(BV597,CC597,CD597)=3,MIN(BV597,CC597,CD597)&gt;=0),BV597*CC597*CD597,"")</f>
        <v>36.0158020804246</v>
      </c>
      <c r="CF597" s="11" t="n">
        <f>IF(ISNUMBER(BQ597),BQ597,"")</f>
        <v>0.7719368903846591</v>
      </c>
      <c r="CG597" s="14" t="n">
        <f>IF(ISNUMBER(BU597),BU597,"")</f>
        <v>17</v>
      </c>
      <c r="CH597" s="13" t="n">
        <f>IF(AND(COUNT(BV597,CF597,CG597)=3,MIN(BV597,CF597,CG597)&gt;=0),BV597*CF597*CG597,"")</f>
        <v>14.12550126674091</v>
      </c>
      <c r="CI597" s="13" t="n">
        <f>IF(COUNT(BY597,CB597,CE597,CH597)=4,SUM(BY597,CB597,CE597,CH597),"")</f>
        <v>117.82069676046504</v>
      </c>
    </row>
    <row r="598" ht="72" customHeight="1">
      <c r="A598" s="16" t="str">
        <v>2302153-ND-S-Z-6.5</v>
      </c>
      <c r="B598" s="16" t="str">
        <v>3店-SANDIEX-US</v>
      </c>
      <c r="C598" s="16" t="str">
        <v>徐新怡</v>
      </c>
      <c r="D598" s="26" t="n">
        <f>IF(NOT(ISNUMBER(E598)),"",IF(OR(E598&lt;=0,L598=0),0,IF(OR(NOT(ISNUMBER(F598)),F598&lt;0),"",MIN(E598,INT(F598)))))</f>
        <v>0</v>
      </c>
      <c r="E598" s="27" t="n">
        <f>IF(OR(NOT(ISNUMBER(L598)),COUNT(M598:O598)&lt;&gt;3,MIN(M598:O598)&lt;0),"",ROUNDUP(ROUND(BI598-SUM(M598:O598),10),0))</f>
        <v>-148</v>
      </c>
      <c r="F598" s="28" t="n">
        <v>84</v>
      </c>
      <c r="G598" s="28" t="n">
        <f>IF(AND(ISNUMBER(D598),ISNUMBER(E598)),IF(OR(E598&lt;=0,L598=0),0,E598-D598),"")</f>
        <v>0</v>
      </c>
      <c r="H598" s="16" t="str">
        <f>IF(NOT(ISNUMBER(E598)),"销量或海外库存待补",IF(OR(E598&lt;=0,L598=0),IF(L598=0,"零日销，本批不发","本批无需补货"),IF(NOT(ISNUMBER(D598)),"国内库存待补",IF(D598=0,"国内无可用库存",IF(G598&gt;0,"先发国内现货","按建议量发货")))))</f>
        <v>本批无需补货</v>
      </c>
      <c r="I598" s="28" t="n">
        <f>IF(AND(COUNT(Z598,AA598,AB598)=3,Z598&gt;=AA598,AA598&gt;=0,AB598=7),Z598-AA598,"")</f>
        <v>4</v>
      </c>
      <c r="J598" s="28" t="n">
        <f>IF(AND(COUNT(AF598,AG598,AH598)=3,AF598&gt;=AG598,AG598&gt;=0,AH598=14),AF598-AG598,"")</f>
        <v>9</v>
      </c>
      <c r="K598" s="28" t="n">
        <f>IF(AND(COUNT(AL598,AM598,AN598)=3,AL598&gt;=AM598,AM598&gt;=0,AN598=30),AL598-AM598,"")</f>
        <v>15</v>
      </c>
      <c r="L598" s="29" t="n">
        <f>IF(ISNUMBER(BI598),BI598/90,"")</f>
        <v>0.9204083822928892</v>
      </c>
      <c r="M598" s="28" t="n">
        <v>55</v>
      </c>
      <c r="N598" s="28" t="n">
        <v>5</v>
      </c>
      <c r="O598" s="28" t="n">
        <v>170</v>
      </c>
      <c r="P598" s="30" t="n">
        <f>IF(AND(ISNUMBER(L598),L598&gt;0,COUNT(M598:O598)=3,MIN(M598:O598)&gt;=0),SUM(M598:O598)/L598,"")</f>
        <v>249.88907578941428</v>
      </c>
      <c r="Q598" s="16" t="str">
        <v>沿用原计划SKU店铺</v>
      </c>
      <c r="R598" s="16" t="str">
        <v>已匹配</v>
      </c>
      <c r="S598" s="16" t="str">
        <v>在售</v>
      </c>
      <c r="T598" s="16" t="str">
        <v>2302153</v>
      </c>
      <c r="U598" s="16" t="str">
        <v>裸色</v>
      </c>
      <c r="V598" s="16" t="n">
        <v>6.5</v>
      </c>
      <c r="W598" s="8" t="str">
        <v>2026-10-11 至 2026-10-17</v>
      </c>
      <c r="X598" s="8" t="str">
        <v>2026-10-11、2026-10-12、2026-10-13、2026-10-14、2026-10-15、2026-10-16、2026-10-17</v>
      </c>
      <c r="Y598" s="8" t="str">
        <v>无</v>
      </c>
      <c r="Z598" s="8" t="n">
        <v>4</v>
      </c>
      <c r="AA598" s="8" t="n">
        <v>0</v>
      </c>
      <c r="AB598" s="8" t="n">
        <v>7</v>
      </c>
      <c r="AC598" s="8" t="str">
        <v>2026-10-02 至 2026-10-17</v>
      </c>
      <c r="AD598" s="8" t="str">
        <v>2026-10-02、2026-10-03、2026-10-04、2026-10-05、2026-10-08、2026-10-09、2026-10-10、2026-10-11、2026-10-12、2026-10-13、2026-10-14、2026-10-15、2026-10-16、2026-10-17</v>
      </c>
      <c r="AE598" s="8" t="str">
        <v>2026-10-06 大促；2026-10-07 大促</v>
      </c>
      <c r="AF598" s="8" t="n">
        <v>12</v>
      </c>
      <c r="AG598" s="8" t="n">
        <v>3</v>
      </c>
      <c r="AH598" s="8" t="n">
        <v>14</v>
      </c>
      <c r="AI598" s="8" t="str">
        <v>2026-09-16 至 2026-10-17</v>
      </c>
      <c r="AJ5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8" s="8" t="str">
        <v>2026-10-06 大促；2026-10-07 大促</v>
      </c>
      <c r="AL598" s="8" t="n">
        <v>18</v>
      </c>
      <c r="AM598" s="8" t="n">
        <v>3</v>
      </c>
      <c r="AN598" s="8" t="n">
        <v>30</v>
      </c>
      <c r="AO598" s="8" t="str">
        <v>2302153 / 裸色羊京绒 / 6574</v>
      </c>
      <c r="AP598" s="11" t="n">
        <v>1.7391279184229513</v>
      </c>
      <c r="AQ598" s="11" t="n">
        <v>1.7391279184229513</v>
      </c>
      <c r="AR598" s="11" t="n">
        <v>1.5731892896917212</v>
      </c>
      <c r="AS598" s="11" t="n">
        <f>IF(AND(COUNT(I598:K598,AP598:AR598)=6,MIN(AP598:AR598)&gt;0),I598/7/AP598*0.5+J598/14/AQ598*0.3+K598/30/AR598*0.2,"")</f>
        <v>0.3387441112105042</v>
      </c>
      <c r="AT598" s="8" t="n">
        <v>85</v>
      </c>
      <c r="AU598" s="8" t="n">
        <v>3</v>
      </c>
      <c r="AV598" s="8" t="n">
        <v>88</v>
      </c>
      <c r="AW598" s="11" t="n">
        <f>IF(AND(COUNT(AT598:AV598)=3,AT598&gt;=AU598,AU598&gt;=0,AV598&gt;0),(AT598-AU598)/AV598,"")</f>
        <v>0.9318181818181818</v>
      </c>
      <c r="AX598" s="8" t="n">
        <v>272</v>
      </c>
      <c r="AY598" s="8" t="n">
        <v>3</v>
      </c>
      <c r="AZ598" s="8" t="n">
        <v>178</v>
      </c>
      <c r="BA598" s="11" t="n">
        <f>IF(AND(COUNT(AX598:AZ598)=3,AX598&gt;=AY598,AY598&gt;=0,AZ598&gt;0),(AX598-AY598)/AZ598,"")</f>
        <v>1.5112359550561798</v>
      </c>
      <c r="BB598" s="8" t="n">
        <f>IF(COUNT(AS598,AW598,BA598)=3,1,0)</f>
        <v>1</v>
      </c>
      <c r="BC598" s="11" t="n">
        <f>IF(SUMIF($AO$11:$AO$1309,AO598,$BB$11:$BB$1309)=COUNTIF($AO$11:$AO$1309,AO598),SUMIF($AO$11:$AO$1309,AO598,$AS$11:$AS$1309),"")</f>
        <v>21.8107478678746</v>
      </c>
      <c r="BD598" s="11" t="n">
        <f>IF(SUMIF($AO$11:$AO$1309,AO598,$BB$11:$BB$1309)=COUNTIF($AO$11:$AO$1309,AO598),SUMIF($AO$11:$AO$1309,AO598,$AW$11:$AW$1309),"")</f>
        <v>32.32954545454545</v>
      </c>
      <c r="BE598" s="11" t="n">
        <f>IF(SUMIF($AO$11:$AO$1309,AO598,$BB$11:$BB$1309)=COUNTIF($AO$11:$AO$1309,AO598),SUMIF($AO$11:$AO$1309,AO598,$BA$11:$BA$1309),"")</f>
        <v>31.219101123595507</v>
      </c>
      <c r="BF598" s="12" t="n">
        <f>IF(COUNT(BD598:BE598)&lt;&gt;2,"",IF(AND(BD598&gt;0,BE598&gt;0),0.7*AW598/BD598+0.3*BA598/BE598,IF(BD598&gt;0,AW598/BD598,IF(BE598&gt;0,BA598/BE598,IF(AND(ISNUMBER(BH598),BH598=0),0,"")))))</f>
        <v>0.03469797114613118</v>
      </c>
      <c r="BG598" s="11" t="n">
        <f>IF(AND(COUNT(BN598:BU598)=8,MIN(BN598:BU598)&gt;=0),SUMPRODUCT(BN598:BQ598,BR598:BU598),"")</f>
        <v>109.4582336985339</v>
      </c>
      <c r="BH598" s="11" t="n">
        <f>IF(COUNT(BC598,BG598)=2,BC598*BG598,"")</f>
        <v>2387.365937261618</v>
      </c>
      <c r="BI598" s="11" t="n">
        <f>IF(ISNUMBER(CI598),CI598,"")</f>
        <v>82.83675440636003</v>
      </c>
      <c r="BJ598" s="8" t="str"/>
      <c r="BK598" s="8" t="str">
        <v>90天：2026-07-20 至 2026-10-17；180天：2026-04-21 至 2026-10-17</v>
      </c>
      <c r="BL598" s="8" t="str">
        <v>90天：2026-10-06、2026-10-07；180天：2026-10-06、2026-10-07</v>
      </c>
      <c r="BM598" s="8" t="str">
        <v>2026-10：12天 × 1.7391279184229513；2026-11：30天 × 1.4002077845513243；2026-12：31天 × 1.079339935625147；2027-01：17天 × 0.7719368903846591</v>
      </c>
      <c r="BN598" s="11" t="n">
        <v>1.7391279184229513</v>
      </c>
      <c r="BO598" s="11" t="n">
        <v>1.4002077845513243</v>
      </c>
      <c r="BP598" s="11" t="n">
        <v>1.079339935625147</v>
      </c>
      <c r="BQ598" s="11" t="n">
        <v>0.7719368903846591</v>
      </c>
      <c r="BR598" s="8" t="n">
        <v>12</v>
      </c>
      <c r="BS598" s="8" t="n">
        <v>30</v>
      </c>
      <c r="BT598" s="8" t="n">
        <v>31</v>
      </c>
      <c r="BU598" s="8" t="n">
        <v>17</v>
      </c>
      <c r="BV598" s="11" t="n">
        <f>IF(COUNT(BC598,BF598)=2,BC598*BF598,"")</f>
        <v>0.756788700195055</v>
      </c>
      <c r="BW598" s="11" t="n">
        <f>IF(ISNUMBER(BN598),BN598,"")</f>
        <v>1.7391279184229513</v>
      </c>
      <c r="BX598" s="14" t="n">
        <f>IF(ISNUMBER(BR598),BR598,"")</f>
        <v>12</v>
      </c>
      <c r="BY598" s="13" t="n">
        <f>IF(AND(COUNT(BV598,BW598,BX598)=3,MIN(BV598,BW598,BX598)&gt;=0),BV598*BW598*BX598,"")</f>
        <v>15.793828282274845</v>
      </c>
      <c r="BZ598" s="11" t="n">
        <f>IF(ISNUMBER(BO598),BO598,"")</f>
        <v>1.4002077845513243</v>
      </c>
      <c r="CA598" s="14" t="n">
        <f>IF(ISNUMBER(BS598),BS598,"")</f>
        <v>30</v>
      </c>
      <c r="CB598" s="13" t="n">
        <f>IF(AND(COUNT(BV598,BZ598,CA598)=3,MIN(BV598,BZ598,CA598)&gt;=0),BV598*BZ598*CA598,"")</f>
        <v>31.789842878207825</v>
      </c>
      <c r="CC598" s="11" t="n">
        <f>IF(ISNUMBER(BP598),BP598,"")</f>
        <v>1.079339935625147</v>
      </c>
      <c r="CD598" s="14" t="n">
        <f>IF(ISNUMBER(BT598),BT598,"")</f>
        <v>31</v>
      </c>
      <c r="CE598" s="13" t="n">
        <f>IF(AND(COUNT(BV598,CC598,CD598)=3,MIN(BV598,CC598,CD598)&gt;=0),BV598*CC598*CD598,"")</f>
        <v>25.321800275461445</v>
      </c>
      <c r="CF598" s="11" t="n">
        <f>IF(ISNUMBER(BQ598),BQ598,"")</f>
        <v>0.7719368903846591</v>
      </c>
      <c r="CG598" s="14" t="n">
        <f>IF(ISNUMBER(BU598),BU598,"")</f>
        <v>17</v>
      </c>
      <c r="CH598" s="13" t="n">
        <f>IF(AND(COUNT(BV598,CF598,CG598)=3,MIN(BV598,CF598,CG598)&gt;=0),BV598*CF598*CG598,"")</f>
        <v>9.93128297041592</v>
      </c>
      <c r="CI598" s="13" t="n">
        <f>IF(COUNT(BY598,CB598,CE598,CH598)=4,SUM(BY598,CB598,CE598,CH598),"")</f>
        <v>82.83675440636003</v>
      </c>
    </row>
    <row r="599" ht="72" customHeight="1">
      <c r="A599" s="16" t="str">
        <v>2302153-ND-S-Z-7</v>
      </c>
      <c r="B599" s="16" t="str">
        <v>3店-SANDIEX-US</v>
      </c>
      <c r="C599" s="16" t="str">
        <v>徐新怡</v>
      </c>
      <c r="D599" s="26" t="n">
        <f>IF(NOT(ISNUMBER(E599)),"",IF(OR(E599&lt;=0,L599=0),0,IF(OR(NOT(ISNUMBER(F599)),F599&lt;0),"",MIN(E599,INT(F599)))))</f>
        <v>0</v>
      </c>
      <c r="E599" s="27" t="n">
        <f>IF(OR(NOT(ISNUMBER(L599)),COUNT(M599:O599)&lt;&gt;3,MIN(M599:O599)&lt;0),"",ROUNDUP(ROUND(BI599-SUM(M599:O599),10),0))</f>
        <v>-194</v>
      </c>
      <c r="F599" s="28" t="n">
        <v>213</v>
      </c>
      <c r="G599" s="28" t="n">
        <f>IF(AND(ISNUMBER(D599),ISNUMBER(E599)),IF(OR(E599&lt;=0,L599=0),0,E599-D599),"")</f>
        <v>0</v>
      </c>
      <c r="H599" s="16" t="str">
        <f>IF(NOT(ISNUMBER(E599)),"销量或海外库存待补",IF(OR(E599&lt;=0,L599=0),IF(L599=0,"零日销，本批不发","本批无需补货"),IF(NOT(ISNUMBER(D599)),"国内库存待补",IF(D599=0,"国内无可用库存",IF(G599&gt;0,"先发国内现货","按建议量发货")))))</f>
        <v>本批无需补货</v>
      </c>
      <c r="I599" s="28" t="n">
        <f>IF(AND(COUNT(Z599,AA599,AB599)=3,Z599&gt;=AA599,AA599&gt;=0,AB599=7),Z599-AA599,"")</f>
        <v>10</v>
      </c>
      <c r="J599" s="28" t="n">
        <f>IF(AND(COUNT(AF599,AG599,AH599)=3,AF599&gt;=AG599,AG599&gt;=0,AH599=14),AF599-AG599,"")</f>
        <v>21</v>
      </c>
      <c r="K599" s="28" t="n">
        <f>IF(AND(COUNT(AL599,AM599,AN599)=3,AL599&gt;=AM599,AM599&gt;=0,AN599=30),AL599-AM599,"")</f>
        <v>39</v>
      </c>
      <c r="L599" s="29" t="n">
        <f>IF(ISNUMBER(BI599),BI599/90,"")</f>
        <v>1.6623056595703056</v>
      </c>
      <c r="M599" s="28" t="n">
        <v>125</v>
      </c>
      <c r="N599" s="28" t="n">
        <v>8</v>
      </c>
      <c r="O599" s="28" t="n">
        <v>210</v>
      </c>
      <c r="P599" s="30" t="n">
        <f>IF(AND(ISNUMBER(L599),L599&gt;0,COUNT(M599:O599)=3,MIN(M599:O599)&gt;=0),SUM(M599:O599)/L599,"")</f>
        <v>206.3399098867672</v>
      </c>
      <c r="Q599" s="16" t="str">
        <v>沿用原计划SKU店铺</v>
      </c>
      <c r="R599" s="16" t="str">
        <v>已匹配</v>
      </c>
      <c r="S599" s="16" t="str">
        <v>在售</v>
      </c>
      <c r="T599" s="16" t="str">
        <v>2302153</v>
      </c>
      <c r="U599" s="16" t="str">
        <v>裸色</v>
      </c>
      <c r="V599" s="16" t="n">
        <v>7</v>
      </c>
      <c r="W599" s="8" t="str">
        <v>2026-10-11 至 2026-10-17</v>
      </c>
      <c r="X599" s="8" t="str">
        <v>2026-10-11、2026-10-12、2026-10-13、2026-10-14、2026-10-15、2026-10-16、2026-10-17</v>
      </c>
      <c r="Y599" s="8" t="str">
        <v>无</v>
      </c>
      <c r="Z599" s="8" t="n">
        <v>10</v>
      </c>
      <c r="AA599" s="8" t="n">
        <v>0</v>
      </c>
      <c r="AB599" s="8" t="n">
        <v>7</v>
      </c>
      <c r="AC599" s="8" t="str">
        <v>2026-10-02 至 2026-10-17</v>
      </c>
      <c r="AD599" s="8" t="str">
        <v>2026-10-02、2026-10-03、2026-10-04、2026-10-05、2026-10-08、2026-10-09、2026-10-10、2026-10-11、2026-10-12、2026-10-13、2026-10-14、2026-10-15、2026-10-16、2026-10-17</v>
      </c>
      <c r="AE599" s="8" t="str">
        <v>2026-10-06 大促；2026-10-07 大促</v>
      </c>
      <c r="AF599" s="8" t="n">
        <v>36</v>
      </c>
      <c r="AG599" s="8" t="n">
        <v>15</v>
      </c>
      <c r="AH599" s="8" t="n">
        <v>14</v>
      </c>
      <c r="AI599" s="8" t="str">
        <v>2026-09-16 至 2026-10-17</v>
      </c>
      <c r="AJ5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599" s="8" t="str">
        <v>2026-10-06 大促；2026-10-07 大促</v>
      </c>
      <c r="AL599" s="8" t="n">
        <v>54</v>
      </c>
      <c r="AM599" s="8" t="n">
        <v>15</v>
      </c>
      <c r="AN599" s="8" t="n">
        <v>30</v>
      </c>
      <c r="AO599" s="8" t="str">
        <v>2302153 / 裸色羊京绒 / 6574</v>
      </c>
      <c r="AP599" s="11" t="n">
        <v>1.7391279184229513</v>
      </c>
      <c r="AQ599" s="11" t="n">
        <v>1.7391279184229513</v>
      </c>
      <c r="AR599" s="11" t="n">
        <v>1.5731892896917212</v>
      </c>
      <c r="AS599" s="11" t="n">
        <f>IF(AND(COUNT(I599:K599,AP599:AR599)=6,MIN(AP599:AR599)&gt;0),I599/7/AP599*0.5+J599/14/AQ599*0.3+K599/30/AR599*0.2,"")</f>
        <v>0.8347346225895015</v>
      </c>
      <c r="AT599" s="8" t="n">
        <v>185</v>
      </c>
      <c r="AU599" s="8" t="n">
        <v>15</v>
      </c>
      <c r="AV599" s="8" t="n">
        <v>88</v>
      </c>
      <c r="AW599" s="11" t="n">
        <f>IF(AND(COUNT(AT599:AV599)=3,AT599&gt;=AU599,AU599&gt;=0,AV599&gt;0),(AT599-AU599)/AV599,"")</f>
        <v>1.9318181818181819</v>
      </c>
      <c r="AX599" s="8" t="n">
        <v>401</v>
      </c>
      <c r="AY599" s="8" t="n">
        <v>15</v>
      </c>
      <c r="AZ599" s="8" t="n">
        <v>178</v>
      </c>
      <c r="BA599" s="11" t="n">
        <f>IF(AND(COUNT(AX599:AZ599)=3,AX599&gt;=AY599,AY599&gt;=0,AZ599&gt;0),(AX599-AY599)/AZ599,"")</f>
        <v>2.168539325842697</v>
      </c>
      <c r="BB599" s="8" t="n">
        <f>IF(COUNT(AS599,AW599,BA599)=3,1,0)</f>
        <v>1</v>
      </c>
      <c r="BC599" s="11" t="n">
        <f>IF(SUMIF($AO$11:$AO$1309,AO599,$BB$11:$BB$1309)=COUNTIF($AO$11:$AO$1309,AO599),SUMIF($AO$11:$AO$1309,AO599,$AS$11:$AS$1309),"")</f>
        <v>21.8107478678746</v>
      </c>
      <c r="BD599" s="11" t="n">
        <f>IF(SUMIF($AO$11:$AO$1309,AO599,$BB$11:$BB$1309)=COUNTIF($AO$11:$AO$1309,AO599),SUMIF($AO$11:$AO$1309,AO599,$AW$11:$AW$1309),"")</f>
        <v>32.32954545454545</v>
      </c>
      <c r="BE599" s="11" t="n">
        <f>IF(SUMIF($AO$11:$AO$1309,AO599,$BB$11:$BB$1309)=COUNTIF($AO$11:$AO$1309,AO599),SUMIF($AO$11:$AO$1309,AO599,$BA$11:$BA$1309),"")</f>
        <v>31.219101123595507</v>
      </c>
      <c r="BF599" s="12" t="n">
        <f>IF(COUNT(BD599:BE599)&lt;&gt;2,"",IF(AND(BD599&gt;0,BE599&gt;0),0.7*AW599/BD599+0.3*BA599/BE599,IF(BD599&gt;0,AW599/BD599,IF(BE599&gt;0,BA599/BE599,IF(AND(ISNUMBER(BH599),BH599=0),0,"")))))</f>
        <v>0.0626663499827479</v>
      </c>
      <c r="BG599" s="11" t="n">
        <f>IF(AND(COUNT(BN599:BU599)=8,MIN(BN599:BU599)&gt;=0),SUMPRODUCT(BN599:BQ599,BR599:BU599),"")</f>
        <v>109.4582336985339</v>
      </c>
      <c r="BH599" s="11" t="n">
        <f>IF(COUNT(BC599,BG599)=2,BC599*BG599,"")</f>
        <v>2387.365937261618</v>
      </c>
      <c r="BI599" s="11" t="n">
        <f>IF(ISNUMBER(CI599),CI599,"")</f>
        <v>149.60750936132752</v>
      </c>
      <c r="BJ599" s="8" t="str"/>
      <c r="BK599" s="8" t="str">
        <v>90天：2026-07-20 至 2026-10-17；180天：2026-04-21 至 2026-10-17</v>
      </c>
      <c r="BL599" s="8" t="str">
        <v>90天：2026-10-06、2026-10-07；180天：2026-10-06、2026-10-07</v>
      </c>
      <c r="BM599" s="8" t="str">
        <v>2026-10：12天 × 1.7391279184229513；2026-11：30天 × 1.4002077845513243；2026-12：31天 × 1.079339935625147；2027-01：17天 × 0.7719368903846591</v>
      </c>
      <c r="BN599" s="11" t="n">
        <v>1.7391279184229513</v>
      </c>
      <c r="BO599" s="11" t="n">
        <v>1.4002077845513243</v>
      </c>
      <c r="BP599" s="11" t="n">
        <v>1.079339935625147</v>
      </c>
      <c r="BQ599" s="11" t="n">
        <v>0.7719368903846591</v>
      </c>
      <c r="BR599" s="8" t="n">
        <v>12</v>
      </c>
      <c r="BS599" s="8" t="n">
        <v>30</v>
      </c>
      <c r="BT599" s="8" t="n">
        <v>31</v>
      </c>
      <c r="BU599" s="8" t="n">
        <v>17</v>
      </c>
      <c r="BV599" s="11" t="n">
        <f>IF(COUNT(BC599,BF599)=2,BC599*BF599,"")</f>
        <v>1.3667999592737021</v>
      </c>
      <c r="BW599" s="11" t="n">
        <f>IF(ISNUMBER(BN599),BN599,"")</f>
        <v>1.7391279184229513</v>
      </c>
      <c r="BX599" s="14" t="n">
        <f>IF(ISNUMBER(BR599),BR599,"")</f>
        <v>12</v>
      </c>
      <c r="BY599" s="13" t="n">
        <f>IF(AND(COUNT(BV599,BW599,BX599)=3,MIN(BV599,BW599,BX599)&gt;=0),BV599*BW599*BX599,"")</f>
        <v>28.524479616866977</v>
      </c>
      <c r="BZ599" s="11" t="n">
        <f>IF(ISNUMBER(BO599),BO599,"")</f>
        <v>1.4002077845513243</v>
      </c>
      <c r="CA599" s="14" t="n">
        <f>IF(ISNUMBER(BS599),BS599,"")</f>
        <v>30</v>
      </c>
      <c r="CB599" s="13" t="n">
        <f>IF(AND(COUNT(BV599,BZ599,CA599)=3,MIN(BV599,BZ599,CA599)&gt;=0),BV599*BZ599*CA599,"")</f>
        <v>57.41411828698413</v>
      </c>
      <c r="CC599" s="11" t="n">
        <f>IF(ISNUMBER(BP599),BP599,"")</f>
        <v>1.079339935625147</v>
      </c>
      <c r="CD599" s="14" t="n">
        <f>IF(ISNUMBER(BT599),BT599,"")</f>
        <v>31</v>
      </c>
      <c r="CE599" s="13" t="n">
        <f>IF(AND(COUNT(BV599,CC599,CD599)=3,MIN(BV599,CC599,CD599)&gt;=0),BV599*CC599*CD599,"")</f>
        <v>45.732495181702866</v>
      </c>
      <c r="CF599" s="11" t="n">
        <f>IF(ISNUMBER(BQ599),BQ599,"")</f>
        <v>0.7719368903846591</v>
      </c>
      <c r="CG599" s="14" t="n">
        <f>IF(ISNUMBER(BU599),BU599,"")</f>
        <v>17</v>
      </c>
      <c r="CH599" s="13" t="n">
        <f>IF(AND(COUNT(BV599,CF599,CG599)=3,MIN(BV599,CF599,CG599)&gt;=0),BV599*CF599*CG599,"")</f>
        <v>17.936416275773542</v>
      </c>
      <c r="CI599" s="13" t="n">
        <f>IF(COUNT(BY599,CB599,CE599,CH599)=4,SUM(BY599,CB599,CE599,CH599),"")</f>
        <v>149.60750936132752</v>
      </c>
    </row>
    <row r="600" ht="72" customHeight="1">
      <c r="A600" s="16" t="str">
        <v>2302153-ND-S-Z-7.5</v>
      </c>
      <c r="B600" s="16" t="str">
        <v>3店-SANDIEX-US</v>
      </c>
      <c r="C600" s="16" t="str">
        <v>徐新怡</v>
      </c>
      <c r="D600" s="26" t="n">
        <f>IF(NOT(ISNUMBER(E600)),"",IF(OR(E600&lt;=0,L600=0),0,IF(OR(NOT(ISNUMBER(F600)),F600&lt;0),"",MIN(E600,INT(F600)))))</f>
        <v>0</v>
      </c>
      <c r="E600" s="27" t="n">
        <f>IF(OR(NOT(ISNUMBER(L600)),COUNT(M600:O600)&lt;&gt;3,MIN(M600:O600)&lt;0),"",ROUNDUP(ROUND(BI600-SUM(M600:O600),10),0))</f>
        <v>-1</v>
      </c>
      <c r="F600" s="28" t="n">
        <v>96</v>
      </c>
      <c r="G600" s="28" t="n">
        <f>IF(AND(ISNUMBER(D600),ISNUMBER(E600)),IF(OR(E600&lt;=0,L600=0),0,E600-D600),"")</f>
        <v>0</v>
      </c>
      <c r="H600" s="16" t="str">
        <f>IF(NOT(ISNUMBER(E600)),"销量或海外库存待补",IF(OR(E600&lt;=0,L600=0),IF(L600=0,"零日销，本批不发","本批无需补货"),IF(NOT(ISNUMBER(D600)),"国内库存待补",IF(D600=0,"国内无可用库存",IF(G600&gt;0,"先发国内现货","按建议量发货")))))</f>
        <v>本批无需补货</v>
      </c>
      <c r="I600" s="28" t="n">
        <f>IF(AND(COUNT(Z600,AA600,AB600)=3,Z600&gt;=AA600,AA600&gt;=0,AB600=7),Z600-AA600,"")</f>
        <v>55</v>
      </c>
      <c r="J600" s="28" t="n">
        <f>IF(AND(COUNT(AF600,AG600,AH600)=3,AF600&gt;=AG600,AG600&gt;=0,AH600=14),AF600-AG600,"")</f>
        <v>84</v>
      </c>
      <c r="K600" s="28" t="n">
        <f>IF(AND(COUNT(AL600,AM600,AN600)=3,AL600&gt;=AM600,AM600&gt;=0,AN600=30),AL600-AM600,"")</f>
        <v>175</v>
      </c>
      <c r="L600" s="29" t="n">
        <f>IF(ISNUMBER(BI600),BI600/90,"")</f>
        <v>3.7160733002896436</v>
      </c>
      <c r="M600" s="28" t="n">
        <v>145</v>
      </c>
      <c r="N600" s="28" t="n">
        <v>0</v>
      </c>
      <c r="O600" s="28" t="n">
        <v>190</v>
      </c>
      <c r="P600" s="30" t="n">
        <f>IF(AND(ISNUMBER(L600),L600&gt;0,COUNT(M600:O600)=3,MIN(M600:O600)&gt;=0),SUM(M600:O600)/L600,"")</f>
        <v>90.14892143647677</v>
      </c>
      <c r="Q600" s="16" t="str">
        <v>沿用原计划SKU店铺</v>
      </c>
      <c r="R600" s="16" t="str">
        <v>已匹配</v>
      </c>
      <c r="S600" s="16" t="str">
        <v>在售</v>
      </c>
      <c r="T600" s="16" t="str">
        <v>2302153</v>
      </c>
      <c r="U600" s="16" t="str">
        <v>裸色</v>
      </c>
      <c r="V600" s="16" t="n">
        <v>7.5</v>
      </c>
      <c r="W600" s="8" t="str">
        <v>2026-10-11 至 2026-10-17</v>
      </c>
      <c r="X600" s="8" t="str">
        <v>2026-10-11、2026-10-12、2026-10-13、2026-10-14、2026-10-15、2026-10-16、2026-10-17</v>
      </c>
      <c r="Y600" s="8" t="str">
        <v>无</v>
      </c>
      <c r="Z600" s="8" t="n">
        <v>55</v>
      </c>
      <c r="AA600" s="8" t="n">
        <v>0</v>
      </c>
      <c r="AB600" s="8" t="n">
        <v>7</v>
      </c>
      <c r="AC600" s="8" t="str">
        <v>2026-10-02 至 2026-10-17</v>
      </c>
      <c r="AD600" s="8" t="str">
        <v>2026-10-02、2026-10-03、2026-10-04、2026-10-05、2026-10-08、2026-10-09、2026-10-10、2026-10-11、2026-10-12、2026-10-13、2026-10-14、2026-10-15、2026-10-16、2026-10-17</v>
      </c>
      <c r="AE600" s="8" t="str">
        <v>2026-10-06 大促；2026-10-07 大促</v>
      </c>
      <c r="AF600" s="8" t="n">
        <v>120</v>
      </c>
      <c r="AG600" s="8" t="n">
        <v>36</v>
      </c>
      <c r="AH600" s="8" t="n">
        <v>14</v>
      </c>
      <c r="AI600" s="8" t="str">
        <v>2026-09-16 至 2026-10-17</v>
      </c>
      <c r="AJ6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0" s="8" t="str">
        <v>2026-10-06 大促；2026-10-07 大促</v>
      </c>
      <c r="AL600" s="8" t="n">
        <v>211</v>
      </c>
      <c r="AM600" s="8" t="n">
        <v>36</v>
      </c>
      <c r="AN600" s="8" t="n">
        <v>30</v>
      </c>
      <c r="AO600" s="8" t="str">
        <v>2302153 / 裸色羊京绒 / 6574</v>
      </c>
      <c r="AP600" s="11" t="n">
        <v>1.7391279184229513</v>
      </c>
      <c r="AQ600" s="11" t="n">
        <v>1.7391279184229513</v>
      </c>
      <c r="AR600" s="11" t="n">
        <v>1.5731892896917212</v>
      </c>
      <c r="AS600" s="11" t="n">
        <f>IF(AND(COUNT(I600:K600,AP600:AR600)=6,MIN(AP600:AR600)&gt;0),I600/7/AP600*0.5+J600/14/AQ600*0.3+K600/30/AR600*0.2,"")</f>
        <v>4.035526656385238</v>
      </c>
      <c r="AT600" s="8" t="n">
        <v>443</v>
      </c>
      <c r="AU600" s="8" t="n">
        <v>36</v>
      </c>
      <c r="AV600" s="8" t="n">
        <v>88</v>
      </c>
      <c r="AW600" s="11" t="n">
        <f>IF(AND(COUNT(AT600:AV600)=3,AT600&gt;=AU600,AU600&gt;=0,AV600&gt;0),(AT600-AU600)/AV600,"")</f>
        <v>4.625</v>
      </c>
      <c r="AX600" s="8" t="n">
        <v>776</v>
      </c>
      <c r="AY600" s="8" t="n">
        <v>36</v>
      </c>
      <c r="AZ600" s="8" t="n">
        <v>178</v>
      </c>
      <c r="BA600" s="11" t="n">
        <f>IF(AND(COUNT(AX600:AZ600)=3,AX600&gt;=AY600,AY600&gt;=0,AZ600&gt;0),(AX600-AY600)/AZ600,"")</f>
        <v>4.157303370786517</v>
      </c>
      <c r="BB600" s="8" t="n">
        <f>IF(COUNT(AS600,AW600,BA600)=3,1,0)</f>
        <v>1</v>
      </c>
      <c r="BC600" s="11" t="n">
        <f>IF(SUMIF($AO$11:$AO$1309,AO600,$BB$11:$BB$1309)=COUNTIF($AO$11:$AO$1309,AO600),SUMIF($AO$11:$AO$1309,AO600,$AS$11:$AS$1309),"")</f>
        <v>21.8107478678746</v>
      </c>
      <c r="BD600" s="11" t="n">
        <f>IF(SUMIF($AO$11:$AO$1309,AO600,$BB$11:$BB$1309)=COUNTIF($AO$11:$AO$1309,AO600),SUMIF($AO$11:$AO$1309,AO600,$AW$11:$AW$1309),"")</f>
        <v>32.32954545454545</v>
      </c>
      <c r="BE600" s="11" t="n">
        <f>IF(SUMIF($AO$11:$AO$1309,AO600,$BB$11:$BB$1309)=COUNTIF($AO$11:$AO$1309,AO600),SUMIF($AO$11:$AO$1309,AO600,$BA$11:$BA$1309),"")</f>
        <v>31.219101123595507</v>
      </c>
      <c r="BF600" s="12" t="n">
        <f>IF(COUNT(BD600:BE600)&lt;&gt;2,"",IF(AND(BD600&gt;0,BE600&gt;0),0.7*AW600/BD600+0.3*BA600/BE600,IF(BD600&gt;0,AW600/BD600,IF(BE600&gt;0,BA600/BE600,IF(AND(ISNUMBER(BH600),BH600=0),0,"")))))</f>
        <v>0.1400902106401369</v>
      </c>
      <c r="BG600" s="11" t="n">
        <f>IF(AND(COUNT(BN600:BU600)=8,MIN(BN600:BU600)&gt;=0),SUMPRODUCT(BN600:BQ600,BR600:BU600),"")</f>
        <v>109.4582336985339</v>
      </c>
      <c r="BH600" s="11" t="n">
        <f>IF(COUNT(BC600,BG600)=2,BC600*BG600,"")</f>
        <v>2387.365937261618</v>
      </c>
      <c r="BI600" s="11" t="n">
        <f>IF(ISNUMBER(CI600),CI600,"")</f>
        <v>334.44659702606793</v>
      </c>
      <c r="BJ600" s="8" t="str"/>
      <c r="BK600" s="8" t="str">
        <v>90天：2026-07-20 至 2026-10-17；180天：2026-04-21 至 2026-10-17</v>
      </c>
      <c r="BL600" s="8" t="str">
        <v>90天：2026-10-06、2026-10-07；180天：2026-10-06、2026-10-07</v>
      </c>
      <c r="BM600" s="8" t="str">
        <v>2026-10：12天 × 1.7391279184229513；2026-11：30天 × 1.4002077845513243；2026-12：31天 × 1.079339935625147；2027-01：17天 × 0.7719368903846591</v>
      </c>
      <c r="BN600" s="11" t="n">
        <v>1.7391279184229513</v>
      </c>
      <c r="BO600" s="11" t="n">
        <v>1.4002077845513243</v>
      </c>
      <c r="BP600" s="11" t="n">
        <v>1.079339935625147</v>
      </c>
      <c r="BQ600" s="11" t="n">
        <v>0.7719368903846591</v>
      </c>
      <c r="BR600" s="8" t="n">
        <v>12</v>
      </c>
      <c r="BS600" s="8" t="n">
        <v>30</v>
      </c>
      <c r="BT600" s="8" t="n">
        <v>31</v>
      </c>
      <c r="BU600" s="8" t="n">
        <v>17</v>
      </c>
      <c r="BV600" s="11" t="n">
        <f>IF(COUNT(BC600,BF600)=2,BC600*BF600,"")</f>
        <v>3.0554722630294697</v>
      </c>
      <c r="BW600" s="11" t="n">
        <f>IF(ISNUMBER(BN600),BN600,"")</f>
        <v>1.7391279184229513</v>
      </c>
      <c r="BX600" s="14" t="n">
        <f>IF(ISNUMBER(BR600),BR600,"")</f>
        <v>12</v>
      </c>
      <c r="BY600" s="13" t="n">
        <f>IF(AND(COUNT(BV600,BW600,BX600)=3,MIN(BV600,BW600,BX600)&gt;=0),BV600*BW600*BX600,"")</f>
        <v>63.76628539921807</v>
      </c>
      <c r="BZ600" s="11" t="n">
        <f>IF(ISNUMBER(BO600),BO600,"")</f>
        <v>1.4002077845513243</v>
      </c>
      <c r="CA600" s="14" t="n">
        <f>IF(ISNUMBER(BS600),BS600,"")</f>
        <v>30</v>
      </c>
      <c r="CB600" s="13" t="n">
        <f>IF(AND(COUNT(BV600,BZ600,CA600)=3,MIN(BV600,BZ600,CA600)&gt;=0),BV600*BZ600*CA600,"")</f>
        <v>128.34888144523546</v>
      </c>
      <c r="CC600" s="11" t="n">
        <f>IF(ISNUMBER(BP600),BP600,"")</f>
        <v>1.079339935625147</v>
      </c>
      <c r="CD600" s="14" t="n">
        <f>IF(ISNUMBER(BT600),BT600,"")</f>
        <v>31</v>
      </c>
      <c r="CE600" s="13" t="n">
        <f>IF(AND(COUNT(BV600,CC600,CD600)=3,MIN(BV600,CC600,CD600)&gt;=0),BV600*CC600*CD600,"")</f>
        <v>102.23469030616215</v>
      </c>
      <c r="CF600" s="11" t="n">
        <f>IF(ISNUMBER(BQ600),BQ600,"")</f>
        <v>0.7719368903846591</v>
      </c>
      <c r="CG600" s="14" t="n">
        <f>IF(ISNUMBER(BU600),BU600,"")</f>
        <v>17</v>
      </c>
      <c r="CH600" s="13" t="n">
        <f>IF(AND(COUNT(BV600,CF600,CG600)=3,MIN(BV600,CF600,CG600)&gt;=0),BV600*CF600*CG600,"")</f>
        <v>40.096739875452286</v>
      </c>
      <c r="CI600" s="13" t="n">
        <f>IF(COUNT(BY600,CB600,CE600,CH600)=4,SUM(BY600,CB600,CE600,CH600),"")</f>
        <v>334.44659702606793</v>
      </c>
    </row>
    <row r="601" ht="72" customHeight="1">
      <c r="A601" s="16" t="str">
        <v>2302153-ND-S-Z-9</v>
      </c>
      <c r="B601" s="16" t="str">
        <v>3店-SANDIEX-US</v>
      </c>
      <c r="C601" s="16" t="str">
        <v>徐新怡</v>
      </c>
      <c r="D601" s="26" t="n">
        <f>IF(NOT(ISNUMBER(E601)),"",IF(OR(E601&lt;=0,L601=0),0,IF(OR(NOT(ISNUMBER(F601)),F601&lt;0),"",MIN(E601,INT(F601)))))</f>
        <v>0</v>
      </c>
      <c r="E601" s="27" t="n">
        <f>IF(OR(NOT(ISNUMBER(L601)),COUNT(M601:O601)&lt;&gt;3,MIN(M601:O601)&lt;0),"",ROUNDUP(ROUND(BI601-SUM(M601:O601),10),0))</f>
        <v>-23</v>
      </c>
      <c r="F601" s="28" t="n">
        <v>232</v>
      </c>
      <c r="G601" s="28" t="n">
        <f>IF(AND(ISNUMBER(D601),ISNUMBER(E601)),IF(OR(E601&lt;=0,L601=0),0,E601-D601),"")</f>
        <v>0</v>
      </c>
      <c r="H601" s="16" t="str">
        <f>IF(NOT(ISNUMBER(E601)),"销量或海外库存待补",IF(OR(E601&lt;=0,L601=0),IF(L601=0,"零日销，本批不发","本批无需补货"),IF(NOT(ISNUMBER(D601)),"国内库存待补",IF(D601=0,"国内无可用库存",IF(G601&gt;0,"先发国内现货","按建议量发货")))))</f>
        <v>本批无需补货</v>
      </c>
      <c r="I601" s="28" t="n">
        <f>IF(AND(COUNT(Z601,AA601,AB601)=3,Z601&gt;=AA601,AA601&gt;=0,AB601=7),Z601-AA601,"")</f>
        <v>50</v>
      </c>
      <c r="J601" s="28" t="n">
        <f>IF(AND(COUNT(AF601,AG601,AH601)=3,AF601&gt;=AG601,AG601&gt;=0,AH601=14),AF601-AG601,"")</f>
        <v>95</v>
      </c>
      <c r="K601" s="28" t="n">
        <f>IF(AND(COUNT(AL601,AM601,AN601)=3,AL601&gt;=AM601,AM601&gt;=0,AN601=30),AL601-AM601,"")</f>
        <v>164</v>
      </c>
      <c r="L601" s="29" t="n">
        <f>IF(ISNUMBER(BI601),BI601/90,"")</f>
        <v>3.6563697663681385</v>
      </c>
      <c r="M601" s="28" t="n">
        <v>149</v>
      </c>
      <c r="N601" s="28" t="n">
        <v>23</v>
      </c>
      <c r="O601" s="28" t="n">
        <v>180</v>
      </c>
      <c r="P601" s="30" t="n">
        <f>IF(AND(ISNUMBER(L601),L601&gt;0,COUNT(M601:O601)=3,MIN(M601:O601)&gt;=0),SUM(M601:O601)/L601,"")</f>
        <v>96.2703507828314</v>
      </c>
      <c r="Q601" s="16" t="str">
        <v>沿用原计划SKU店铺</v>
      </c>
      <c r="R601" s="16" t="str">
        <v>已匹配</v>
      </c>
      <c r="S601" s="16" t="str">
        <v>在售</v>
      </c>
      <c r="T601" s="16" t="str">
        <v>2302153</v>
      </c>
      <c r="U601" s="16" t="str">
        <v>裸色</v>
      </c>
      <c r="V601" s="16" t="n">
        <v>9</v>
      </c>
      <c r="W601" s="8" t="str">
        <v>2026-10-11 至 2026-10-17</v>
      </c>
      <c r="X601" s="8" t="str">
        <v>2026-10-11、2026-10-12、2026-10-13、2026-10-14、2026-10-15、2026-10-16、2026-10-17</v>
      </c>
      <c r="Y601" s="8" t="str">
        <v>无</v>
      </c>
      <c r="Z601" s="8" t="n">
        <v>50</v>
      </c>
      <c r="AA601" s="8" t="n">
        <v>0</v>
      </c>
      <c r="AB601" s="8" t="n">
        <v>7</v>
      </c>
      <c r="AC601" s="8" t="str">
        <v>2026-10-02 至 2026-10-17</v>
      </c>
      <c r="AD601" s="8" t="str">
        <v>2026-10-02、2026-10-03、2026-10-04、2026-10-05、2026-10-08、2026-10-09、2026-10-10、2026-10-11、2026-10-12、2026-10-13、2026-10-14、2026-10-15、2026-10-16、2026-10-17</v>
      </c>
      <c r="AE601" s="8" t="str">
        <v>2026-10-06 大促；2026-10-07 大促</v>
      </c>
      <c r="AF601" s="8" t="n">
        <v>117</v>
      </c>
      <c r="AG601" s="8" t="n">
        <v>22</v>
      </c>
      <c r="AH601" s="8" t="n">
        <v>14</v>
      </c>
      <c r="AI601" s="8" t="str">
        <v>2026-09-16 至 2026-10-17</v>
      </c>
      <c r="AJ6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1" s="8" t="str">
        <v>2026-10-06 大促；2026-10-07 大促</v>
      </c>
      <c r="AL601" s="8" t="n">
        <v>186</v>
      </c>
      <c r="AM601" s="8" t="n">
        <v>22</v>
      </c>
      <c r="AN601" s="8" t="n">
        <v>30</v>
      </c>
      <c r="AO601" s="8" t="str">
        <v>2302153 / 裸色羊京绒 / 6574</v>
      </c>
      <c r="AP601" s="11" t="n">
        <v>1.7391279184229513</v>
      </c>
      <c r="AQ601" s="11" t="n">
        <v>1.7391279184229513</v>
      </c>
      <c r="AR601" s="11" t="n">
        <v>1.5731892896917212</v>
      </c>
      <c r="AS601" s="11" t="n">
        <f>IF(AND(COUNT(I601:K601,AP601:AR601)=6,MIN(AP601:AR601)&gt;0),I601/7/AP601*0.5+J601/14/AQ601*0.3+K601/30/AR601*0.2,"")</f>
        <v>3.919090689597916</v>
      </c>
      <c r="AT601" s="8" t="n">
        <v>417</v>
      </c>
      <c r="AU601" s="8" t="n">
        <v>22</v>
      </c>
      <c r="AV601" s="8" t="n">
        <v>88</v>
      </c>
      <c r="AW601" s="11" t="n">
        <f>IF(AND(COUNT(AT601:AV601)=3,AT601&gt;=AU601,AU601&gt;=0,AV601&gt;0),(AT601-AU601)/AV601,"")</f>
        <v>4.488636363636363</v>
      </c>
      <c r="AX601" s="8" t="n">
        <v>775</v>
      </c>
      <c r="AY601" s="8" t="n">
        <v>22</v>
      </c>
      <c r="AZ601" s="8" t="n">
        <v>178</v>
      </c>
      <c r="BA601" s="11" t="n">
        <f>IF(AND(COUNT(AX601:AZ601)=3,AX601&gt;=AY601,AY601&gt;=0,AZ601&gt;0),(AX601-AY601)/AZ601,"")</f>
        <v>4.230337078651686</v>
      </c>
      <c r="BB601" s="8" t="n">
        <f>IF(COUNT(AS601,AW601,BA601)=3,1,0)</f>
        <v>1</v>
      </c>
      <c r="BC601" s="11" t="n">
        <f>IF(SUMIF($AO$11:$AO$1309,AO601,$BB$11:$BB$1309)=COUNTIF($AO$11:$AO$1309,AO601),SUMIF($AO$11:$AO$1309,AO601,$AS$11:$AS$1309),"")</f>
        <v>21.8107478678746</v>
      </c>
      <c r="BD601" s="11" t="n">
        <f>IF(SUMIF($AO$11:$AO$1309,AO601,$BB$11:$BB$1309)=COUNTIF($AO$11:$AO$1309,AO601),SUMIF($AO$11:$AO$1309,AO601,$AW$11:$AW$1309),"")</f>
        <v>32.32954545454545</v>
      </c>
      <c r="BE601" s="11" t="n">
        <f>IF(SUMIF($AO$11:$AO$1309,AO601,$BB$11:$BB$1309)=COUNTIF($AO$11:$AO$1309,AO601),SUMIF($AO$11:$AO$1309,AO601,$BA$11:$BA$1309),"")</f>
        <v>31.219101123595507</v>
      </c>
      <c r="BF601" s="12" t="n">
        <f>IF(COUNT(BD601:BE601)&lt;&gt;2,"",IF(AND(BD601&gt;0,BE601&gt;0),0.7*AW601/BD601+0.3*BA601/BE601,IF(BD601&gt;0,AW601/BD601,IF(BE601&gt;0,BA601/BE601,IF(AND(ISNUMBER(BH601),BH601=0),0,"")))))</f>
        <v>0.13783947983717554</v>
      </c>
      <c r="BG601" s="11" t="n">
        <f>IF(AND(COUNT(BN601:BU601)=8,MIN(BN601:BU601)&gt;=0),SUMPRODUCT(BN601:BQ601,BR601:BU601),"")</f>
        <v>109.4582336985339</v>
      </c>
      <c r="BH601" s="11" t="n">
        <f>IF(COUNT(BC601,BG601)=2,BC601*BG601,"")</f>
        <v>2387.365937261618</v>
      </c>
      <c r="BI601" s="11" t="n">
        <f>IF(ISNUMBER(CI601),CI601,"")</f>
        <v>329.07327897313246</v>
      </c>
      <c r="BJ601" s="8" t="str"/>
      <c r="BK601" s="8" t="str">
        <v>90天：2026-07-20 至 2026-10-17；180天：2026-04-21 至 2026-10-17</v>
      </c>
      <c r="BL601" s="8" t="str">
        <v>90天：2026-10-06、2026-10-07；180天：2026-10-06、2026-10-07</v>
      </c>
      <c r="BM601" s="8" t="str">
        <v>2026-10：12天 × 1.7391279184229513；2026-11：30天 × 1.4002077845513243；2026-12：31天 × 1.079339935625147；2027-01：17天 × 0.7719368903846591</v>
      </c>
      <c r="BN601" s="11" t="n">
        <v>1.7391279184229513</v>
      </c>
      <c r="BO601" s="11" t="n">
        <v>1.4002077845513243</v>
      </c>
      <c r="BP601" s="11" t="n">
        <v>1.079339935625147</v>
      </c>
      <c r="BQ601" s="11" t="n">
        <v>0.7719368903846591</v>
      </c>
      <c r="BR601" s="8" t="n">
        <v>12</v>
      </c>
      <c r="BS601" s="8" t="n">
        <v>30</v>
      </c>
      <c r="BT601" s="8" t="n">
        <v>31</v>
      </c>
      <c r="BU601" s="8" t="n">
        <v>17</v>
      </c>
      <c r="BV601" s="11" t="n">
        <f>IF(COUNT(BC601,BF601)=2,BC601*BF601,"")</f>
        <v>3.00638214096762</v>
      </c>
      <c r="BW601" s="11" t="n">
        <f>IF(ISNUMBER(BN601),BN601,"")</f>
        <v>1.7391279184229513</v>
      </c>
      <c r="BX601" s="14" t="n">
        <f>IF(ISNUMBER(BR601),BR601,"")</f>
        <v>12</v>
      </c>
      <c r="BY601" s="13" t="n">
        <f>IF(AND(COUNT(BV601,BW601,BX601)=3,MIN(BV601,BW601,BX601)&gt;=0),BV601*BW601*BX601,"")</f>
        <v>62.74179737765944</v>
      </c>
      <c r="BZ601" s="11" t="n">
        <f>IF(ISNUMBER(BO601),BO601,"")</f>
        <v>1.4002077845513243</v>
      </c>
      <c r="CA601" s="14" t="n">
        <f>IF(ISNUMBER(BS601),BS601,"")</f>
        <v>30</v>
      </c>
      <c r="CB601" s="13" t="n">
        <f>IF(AND(COUNT(BV601,BZ601,CA601)=3,MIN(BV601,BZ601,CA601)&gt;=0),BV601*BZ601*CA601,"")</f>
        <v>126.28679031356815</v>
      </c>
      <c r="CC601" s="11" t="n">
        <f>IF(ISNUMBER(BP601),BP601,"")</f>
        <v>1.079339935625147</v>
      </c>
      <c r="CD601" s="14" t="n">
        <f>IF(ISNUMBER(BT601),BT601,"")</f>
        <v>31</v>
      </c>
      <c r="CE601" s="13" t="n">
        <f>IF(AND(COUNT(BV601,CC601,CD601)=3,MIN(BV601,CC601,CD601)&gt;=0),BV601*CC601*CD601,"")</f>
        <v>100.59215750139406</v>
      </c>
      <c r="CF601" s="11" t="n">
        <f>IF(ISNUMBER(BQ601),BQ601,"")</f>
        <v>0.7719368903846591</v>
      </c>
      <c r="CG601" s="14" t="n">
        <f>IF(ISNUMBER(BU601),BU601,"")</f>
        <v>17</v>
      </c>
      <c r="CH601" s="13" t="n">
        <f>IF(AND(COUNT(BV601,CF601,CG601)=3,MIN(BV601,CF601,CG601)&gt;=0),BV601*CF601*CG601,"")</f>
        <v>39.45253378051081</v>
      </c>
      <c r="CI601" s="13" t="n">
        <f>IF(COUNT(BY601,CB601,CE601,CH601)=4,SUM(BY601,CB601,CE601,CH601),"")</f>
        <v>329.07327897313246</v>
      </c>
    </row>
    <row r="602" ht="72" customHeight="1">
      <c r="A602" s="16" t="str">
        <v>2302153-ND-S-Z-9.5</v>
      </c>
      <c r="B602" s="16" t="str">
        <v>3店-SANDIEX-US</v>
      </c>
      <c r="C602" s="16" t="str">
        <v>徐新怡</v>
      </c>
      <c r="D602" s="26" t="n">
        <f>IF(NOT(ISNUMBER(E602)),"",IF(OR(E602&lt;=0,L602=0),0,IF(OR(NOT(ISNUMBER(F602)),F602&lt;0),"",MIN(E602,INT(F602)))))</f>
        <v>0</v>
      </c>
      <c r="E602" s="27" t="n">
        <f>IF(OR(NOT(ISNUMBER(L602)),COUNT(M602:O602)&lt;&gt;3,MIN(M602:O602)&lt;0),"",ROUNDUP(ROUND(BI602-SUM(M602:O602),10),0))</f>
        <v>-25</v>
      </c>
      <c r="F602" s="28" t="n">
        <v>313</v>
      </c>
      <c r="G602" s="28" t="n">
        <f>IF(AND(ISNUMBER(D602),ISNUMBER(E602)),IF(OR(E602&lt;=0,L602=0),0,E602-D602),"")</f>
        <v>0</v>
      </c>
      <c r="H602" s="16" t="str">
        <f>IF(NOT(ISNUMBER(E602)),"销量或海外库存待补",IF(OR(E602&lt;=0,L602=0),IF(L602=0,"零日销，本批不发","本批无需补货"),IF(NOT(ISNUMBER(D602)),"国内库存待补",IF(D602=0,"国内无可用库存",IF(G602&gt;0,"先发国内现货","按建议量发货")))))</f>
        <v>本批无需补货</v>
      </c>
      <c r="I602" s="28" t="n">
        <f>IF(AND(COUNT(Z602,AA602,AB602)=3,Z602&gt;=AA602,AA602&gt;=0,AB602=7),Z602-AA602,"")</f>
        <v>25</v>
      </c>
      <c r="J602" s="28" t="n">
        <f>IF(AND(COUNT(AF602,AG602,AH602)=3,AF602&gt;=AG602,AG602&gt;=0,AH602=14),AF602-AG602,"")</f>
        <v>54</v>
      </c>
      <c r="K602" s="28" t="n">
        <f>IF(AND(COUNT(AL602,AM602,AN602)=3,AL602&gt;=AM602,AM602&gt;=0,AN602=30),AL602-AM602,"")</f>
        <v>100</v>
      </c>
      <c r="L602" s="29" t="n">
        <f>IF(ISNUMBER(BI602),BI602/90,"")</f>
        <v>2.269234456889805</v>
      </c>
      <c r="M602" s="28" t="n">
        <v>138</v>
      </c>
      <c r="N602" s="28" t="n">
        <v>11</v>
      </c>
      <c r="O602" s="28" t="n">
        <v>80</v>
      </c>
      <c r="P602" s="30" t="n">
        <f>IF(AND(ISNUMBER(L602),L602&gt;0,COUNT(M602:O602)=3,MIN(M602:O602)&gt;=0),SUM(M602:O602)/L602,"")</f>
        <v>100.915090243194</v>
      </c>
      <c r="Q602" s="16" t="str">
        <v>沿用原计划SKU店铺</v>
      </c>
      <c r="R602" s="16" t="str">
        <v>已匹配</v>
      </c>
      <c r="S602" s="16" t="str">
        <v>在售</v>
      </c>
      <c r="T602" s="16" t="str">
        <v>2302153</v>
      </c>
      <c r="U602" s="16" t="str">
        <v>裸色</v>
      </c>
      <c r="V602" s="16" t="n">
        <v>9.5</v>
      </c>
      <c r="W602" s="8" t="str">
        <v>2026-10-11 至 2026-10-17</v>
      </c>
      <c r="X602" s="8" t="str">
        <v>2026-10-11、2026-10-12、2026-10-13、2026-10-14、2026-10-15、2026-10-16、2026-10-17</v>
      </c>
      <c r="Y602" s="8" t="str">
        <v>无</v>
      </c>
      <c r="Z602" s="8" t="n">
        <v>25</v>
      </c>
      <c r="AA602" s="8" t="n">
        <v>0</v>
      </c>
      <c r="AB602" s="8" t="n">
        <v>7</v>
      </c>
      <c r="AC602" s="8" t="str">
        <v>2026-10-02 至 2026-10-17</v>
      </c>
      <c r="AD602" s="8" t="str">
        <v>2026-10-02、2026-10-03、2026-10-04、2026-10-05、2026-10-08、2026-10-09、2026-10-10、2026-10-11、2026-10-12、2026-10-13、2026-10-14、2026-10-15、2026-10-16、2026-10-17</v>
      </c>
      <c r="AE602" s="8" t="str">
        <v>2026-10-06 大促；2026-10-07 大促</v>
      </c>
      <c r="AF602" s="8" t="n">
        <v>75</v>
      </c>
      <c r="AG602" s="8" t="n">
        <v>21</v>
      </c>
      <c r="AH602" s="8" t="n">
        <v>14</v>
      </c>
      <c r="AI602" s="8" t="str">
        <v>2026-09-16 至 2026-10-17</v>
      </c>
      <c r="AJ6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2" s="8" t="str">
        <v>2026-10-06 大促；2026-10-07 大促</v>
      </c>
      <c r="AL602" s="8" t="n">
        <v>121</v>
      </c>
      <c r="AM602" s="8" t="n">
        <v>21</v>
      </c>
      <c r="AN602" s="8" t="n">
        <v>30</v>
      </c>
      <c r="AO602" s="8" t="str">
        <v>2302153 / 裸色羊京绒 / 6574</v>
      </c>
      <c r="AP602" s="11" t="n">
        <v>1.7391279184229513</v>
      </c>
      <c r="AQ602" s="11" t="n">
        <v>1.7391279184229513</v>
      </c>
      <c r="AR602" s="11" t="n">
        <v>1.5731892896917212</v>
      </c>
      <c r="AS602" s="11" t="n">
        <f>IF(AND(COUNT(I602:K602,AP602:AR602)=6,MIN(AP602:AR602)&gt;0),I602/7/AP602*0.5+J602/14/AQ602*0.3+K602/30/AR602*0.2,"")</f>
        <v>2.115912916343475</v>
      </c>
      <c r="AT602" s="8" t="n">
        <v>266</v>
      </c>
      <c r="AU602" s="8" t="n">
        <v>21</v>
      </c>
      <c r="AV602" s="8" t="n">
        <v>88</v>
      </c>
      <c r="AW602" s="11" t="n">
        <f>IF(AND(COUNT(AT602:AV602)=3,AT602&gt;=AU602,AU602&gt;=0,AV602&gt;0),(AT602-AU602)/AV602,"")</f>
        <v>2.784090909090909</v>
      </c>
      <c r="AX602" s="8" t="n">
        <v>489</v>
      </c>
      <c r="AY602" s="8" t="n">
        <v>21</v>
      </c>
      <c r="AZ602" s="8" t="n">
        <v>178</v>
      </c>
      <c r="BA602" s="11" t="n">
        <f>IF(AND(COUNT(AX602:AZ602)=3,AX602&gt;=AY602,AY602&gt;=0,AZ602&gt;0),(AX602-AY602)/AZ602,"")</f>
        <v>2.6292134831460676</v>
      </c>
      <c r="BB602" s="8" t="n">
        <f>IF(COUNT(AS602,AW602,BA602)=3,1,0)</f>
        <v>1</v>
      </c>
      <c r="BC602" s="11" t="n">
        <f>IF(SUMIF($AO$11:$AO$1309,AO602,$BB$11:$BB$1309)=COUNTIF($AO$11:$AO$1309,AO602),SUMIF($AO$11:$AO$1309,AO602,$AS$11:$AS$1309),"")</f>
        <v>21.8107478678746</v>
      </c>
      <c r="BD602" s="11" t="n">
        <f>IF(SUMIF($AO$11:$AO$1309,AO602,$BB$11:$BB$1309)=COUNTIF($AO$11:$AO$1309,AO602),SUMIF($AO$11:$AO$1309,AO602,$AW$11:$AW$1309),"")</f>
        <v>32.32954545454545</v>
      </c>
      <c r="BE602" s="11" t="n">
        <f>IF(SUMIF($AO$11:$AO$1309,AO602,$BB$11:$BB$1309)=COUNTIF($AO$11:$AO$1309,AO602),SUMIF($AO$11:$AO$1309,AO602,$BA$11:$BA$1309),"")</f>
        <v>31.219101123595507</v>
      </c>
      <c r="BF602" s="12" t="n">
        <f>IF(COUNT(BD602:BE602)&lt;&gt;2,"",IF(AND(BD602&gt;0,BE602&gt;0),0.7*AW602/BD602+0.3*BA602/BE602,IF(BD602&gt;0,AW602/BD602,IF(BE602&gt;0,BA602/BE602,IF(AND(ISNUMBER(BH602),BH602=0),0,"")))))</f>
        <v>0.08554662606702926</v>
      </c>
      <c r="BG602" s="11" t="n">
        <f>IF(AND(COUNT(BN602:BU602)=8,MIN(BN602:BU602)&gt;=0),SUMPRODUCT(BN602:BQ602,BR602:BU602),"")</f>
        <v>109.4582336985339</v>
      </c>
      <c r="BH602" s="11" t="n">
        <f>IF(COUNT(BC602,BG602)=2,BC602*BG602,"")</f>
        <v>2387.365937261618</v>
      </c>
      <c r="BI602" s="11" t="n">
        <f>IF(ISNUMBER(CI602),CI602,"")</f>
        <v>204.23110112008246</v>
      </c>
      <c r="BJ602" s="8" t="str"/>
      <c r="BK602" s="8" t="str">
        <v>90天：2026-07-20 至 2026-10-17；180天：2026-04-21 至 2026-10-17</v>
      </c>
      <c r="BL602" s="8" t="str">
        <v>90天：2026-10-06、2026-10-07；180天：2026-10-06、2026-10-07</v>
      </c>
      <c r="BM602" s="8" t="str">
        <v>2026-10：12天 × 1.7391279184229513；2026-11：30天 × 1.4002077845513243；2026-12：31天 × 1.079339935625147；2027-01：17天 × 0.7719368903846591</v>
      </c>
      <c r="BN602" s="11" t="n">
        <v>1.7391279184229513</v>
      </c>
      <c r="BO602" s="11" t="n">
        <v>1.4002077845513243</v>
      </c>
      <c r="BP602" s="11" t="n">
        <v>1.079339935625147</v>
      </c>
      <c r="BQ602" s="11" t="n">
        <v>0.7719368903846591</v>
      </c>
      <c r="BR602" s="8" t="n">
        <v>12</v>
      </c>
      <c r="BS602" s="8" t="n">
        <v>30</v>
      </c>
      <c r="BT602" s="8" t="n">
        <v>31</v>
      </c>
      <c r="BU602" s="8" t="n">
        <v>17</v>
      </c>
      <c r="BV602" s="11" t="n">
        <f>IF(COUNT(BC602,BF602)=2,BC602*BF602,"")</f>
        <v>1.865835892095324</v>
      </c>
      <c r="BW602" s="11" t="n">
        <f>IF(ISNUMBER(BN602),BN602,"")</f>
        <v>1.7391279184229513</v>
      </c>
      <c r="BX602" s="14" t="n">
        <f>IF(ISNUMBER(BR602),BR602,"")</f>
        <v>12</v>
      </c>
      <c r="BY602" s="13" t="n">
        <f>IF(AND(COUNT(BV602,BW602,BX602)=3,MIN(BV602,BW602,BX602)&gt;=0),BV602*BW602*BX602,"")</f>
        <v>38.93912749366285</v>
      </c>
      <c r="BZ602" s="11" t="n">
        <f>IF(ISNUMBER(BO602),BO602,"")</f>
        <v>1.4002077845513243</v>
      </c>
      <c r="CA602" s="14" t="n">
        <f>IF(ISNUMBER(BS602),BS602,"")</f>
        <v>30</v>
      </c>
      <c r="CB602" s="13" t="n">
        <f>IF(AND(COUNT(BV602,BZ602,CA602)=3,MIN(BV602,BZ602,CA602)&gt;=0),BV602*BZ602*CA602,"")</f>
        <v>78.37673822421412</v>
      </c>
      <c r="CC602" s="11" t="n">
        <f>IF(ISNUMBER(BP602),BP602,"")</f>
        <v>1.079339935625147</v>
      </c>
      <c r="CD602" s="14" t="n">
        <f>IF(ISNUMBER(BT602),BT602,"")</f>
        <v>31</v>
      </c>
      <c r="CE602" s="13" t="n">
        <f>IF(AND(COUNT(BV602,CC602,CD602)=3,MIN(BV602,CC602,CD602)&gt;=0),BV602*CC602*CD602,"")</f>
        <v>62.43000694149893</v>
      </c>
      <c r="CF602" s="11" t="n">
        <f>IF(ISNUMBER(BQ602),BQ602,"")</f>
        <v>0.7719368903846591</v>
      </c>
      <c r="CG602" s="14" t="n">
        <f>IF(ISNUMBER(BU602),BU602,"")</f>
        <v>17</v>
      </c>
      <c r="CH602" s="13" t="n">
        <f>IF(AND(COUNT(BV602,CF602,CG602)=3,MIN(BV602,CF602,CG602)&gt;=0),BV602*CF602*CG602,"")</f>
        <v>24.48522846070656</v>
      </c>
      <c r="CI602" s="13" t="n">
        <f>IF(COUNT(BY602,CB602,CE602,CH602)=4,SUM(BY602,CB602,CE602,CH602),"")</f>
        <v>204.23110112008246</v>
      </c>
    </row>
    <row r="603" ht="72" customHeight="1">
      <c r="A603" s="16" t="str">
        <v>2302153-NY-38</v>
      </c>
      <c r="B603" s="16" t="str">
        <v>3店-SANDIEX-US</v>
      </c>
      <c r="C603" s="16" t="str">
        <v>徐新怡</v>
      </c>
      <c r="D603" s="26" t="n">
        <f>IF(NOT(ISNUMBER(E603)),"",IF(OR(E603&lt;=0,L603=0),0,IF(OR(NOT(ISNUMBER(F603)),F603&lt;0),"",MIN(E603,INT(F603)))))</f>
        <v>0</v>
      </c>
      <c r="E603" s="27" t="n">
        <f>IF(OR(NOT(ISNUMBER(L603)),COUNT(M603:O603)&lt;&gt;3,MIN(M603:O603)&lt;0),"",ROUNDUP(ROUND(BI603-SUM(M603:O603),10),0))</f>
        <v>-2</v>
      </c>
      <c r="F603" s="28" t="n">
        <v>38</v>
      </c>
      <c r="G603" s="28" t="n">
        <f>IF(AND(ISNUMBER(D603),ISNUMBER(E603)),IF(OR(E603&lt;=0,L603=0),0,E603-D603),"")</f>
        <v>0</v>
      </c>
      <c r="H603" s="16" t="str">
        <f>IF(NOT(ISNUMBER(E603)),"销量或海外库存待补",IF(OR(E603&lt;=0,L603=0),IF(L603=0,"零日销，本批不发","本批无需补货"),IF(NOT(ISNUMBER(D603)),"国内库存待补",IF(D603=0,"国内无可用库存",IF(G603&gt;0,"先发国内现货","按建议量发货")))))</f>
        <v>本批无需补货</v>
      </c>
      <c r="I603" s="28" t="n">
        <f>IF(AND(COUNT(Z603,AA603,AB603)=3,Z603&gt;=AA603,AA603&gt;=0,AB603=7),Z603-AA603,"")</f>
        <v>2</v>
      </c>
      <c r="J603" s="28" t="n">
        <f>IF(AND(COUNT(AF603,AG603,AH603)=3,AF603&gt;=AG603,AG603&gt;=0,AH603=14),AF603-AG603,"")</f>
        <v>2</v>
      </c>
      <c r="K603" s="28" t="n">
        <f>IF(AND(COUNT(AL603,AM603,AN603)=3,AL603&gt;=AM603,AM603&gt;=0,AN603=30),AL603-AM603,"")</f>
        <v>9</v>
      </c>
      <c r="L603" s="29" t="n">
        <f>IF(ISNUMBER(BI603),BI603/90,"")</f>
        <v>0.2199903042791975</v>
      </c>
      <c r="M603" s="28" t="n">
        <v>21</v>
      </c>
      <c r="N603" s="28" t="n">
        <v>0</v>
      </c>
      <c r="O603" s="28" t="n">
        <v>0</v>
      </c>
      <c r="P603" s="30" t="n">
        <f>IF(AND(ISNUMBER(L603),L603&gt;0,COUNT(M603:O603)=3,MIN(M603:O603)&gt;=0),SUM(M603:O603)/L603,"")</f>
        <v>95.45875246096371</v>
      </c>
      <c r="Q603" s="16" t="str">
        <v>沿用原计划SKU店铺</v>
      </c>
      <c r="R603" s="16" t="str">
        <v>已匹配</v>
      </c>
      <c r="S603" s="16" t="str">
        <v>在售</v>
      </c>
      <c r="T603" s="16" t="str">
        <v>2302153</v>
      </c>
      <c r="U603" s="16" t="str">
        <v>藏青色</v>
      </c>
      <c r="V603" s="16" t="n">
        <v>7</v>
      </c>
      <c r="W603" s="8" t="str">
        <v>2026-10-11 至 2026-10-17</v>
      </c>
      <c r="X603" s="8" t="str">
        <v>2026-10-11、2026-10-12、2026-10-13、2026-10-14、2026-10-15、2026-10-16、2026-10-17</v>
      </c>
      <c r="Y603" s="8" t="str">
        <v>无</v>
      </c>
      <c r="Z603" s="8" t="n">
        <v>2</v>
      </c>
      <c r="AA603" s="8" t="n">
        <v>0</v>
      </c>
      <c r="AB603" s="8" t="n">
        <v>7</v>
      </c>
      <c r="AC603" s="8" t="str">
        <v>2026-10-02 至 2026-10-17</v>
      </c>
      <c r="AD603" s="8" t="str">
        <v>2026-10-02、2026-10-03、2026-10-04、2026-10-05、2026-10-08、2026-10-09、2026-10-10、2026-10-11、2026-10-12、2026-10-13、2026-10-14、2026-10-15、2026-10-16、2026-10-17</v>
      </c>
      <c r="AE603" s="8" t="str">
        <v>2026-10-06 大促；2026-10-07 大促</v>
      </c>
      <c r="AF603" s="8" t="n">
        <v>4</v>
      </c>
      <c r="AG603" s="8" t="n">
        <v>2</v>
      </c>
      <c r="AH603" s="8" t="n">
        <v>14</v>
      </c>
      <c r="AI603" s="8" t="str">
        <v>2026-09-16 至 2026-10-17</v>
      </c>
      <c r="AJ6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3" s="8" t="str">
        <v>2026-10-06 大促；2026-10-07 大促</v>
      </c>
      <c r="AL603" s="8" t="n">
        <v>11</v>
      </c>
      <c r="AM603" s="8" t="n">
        <v>2</v>
      </c>
      <c r="AN603" s="8" t="n">
        <v>30</v>
      </c>
      <c r="AO603" s="8" t="str">
        <v>2302153 / 藏青色羊京绒 / 6574</v>
      </c>
      <c r="AP603" s="11" t="n">
        <v>1.7391279184229513</v>
      </c>
      <c r="AQ603" s="11" t="n">
        <v>1.7391279184229513</v>
      </c>
      <c r="AR603" s="11" t="n">
        <v>1.5731892896917212</v>
      </c>
      <c r="AS603" s="11" t="n">
        <f>IF(AND(COUNT(I603:K603,AP603:AR603)=6,MIN(AP603:AR603)&gt;0),I603/7/AP603*0.5+J603/14/AQ603*0.3+K603/30/AR603*0.2,"")</f>
        <v>0.14492495376908004</v>
      </c>
      <c r="AT603" s="8" t="n">
        <v>26</v>
      </c>
      <c r="AU603" s="8" t="n">
        <v>2</v>
      </c>
      <c r="AV603" s="8" t="n">
        <v>88</v>
      </c>
      <c r="AW603" s="11" t="n">
        <f>IF(AND(COUNT(AT603:AV603)=3,AT603&gt;=AU603,AU603&gt;=0,AV603&gt;0),(AT603-AU603)/AV603,"")</f>
        <v>0.2727272727272727</v>
      </c>
      <c r="AX603" s="8" t="n">
        <v>27</v>
      </c>
      <c r="AY603" s="8" t="n">
        <v>2</v>
      </c>
      <c r="AZ603" s="8" t="n">
        <v>178</v>
      </c>
      <c r="BA603" s="11" t="n">
        <f>IF(AND(COUNT(AX603:AZ603)=3,AX603&gt;=AY603,AY603&gt;=0,AZ603&gt;0),(AX603-AY603)/AZ603,"")</f>
        <v>0.1404494382022472</v>
      </c>
      <c r="BB603" s="8" t="n">
        <f>IF(COUNT(AS603,AW603,BA603)=3,1,0)</f>
        <v>1</v>
      </c>
      <c r="BC603" s="11" t="n">
        <f>IF(SUMIF($AO$11:$AO$1309,AO603,$BB$11:$BB$1309)=COUNTIF($AO$11:$AO$1309,AO603),SUMIF($AO$11:$AO$1309,AO603,$AS$11:$AS$1309),"")</f>
        <v>1.647227964272497</v>
      </c>
      <c r="BD603" s="11" t="n">
        <f>IF(SUMIF($AO$11:$AO$1309,AO603,$BB$11:$BB$1309)=COUNTIF($AO$11:$AO$1309,AO603),SUMIF($AO$11:$AO$1309,AO603,$AW$11:$AW$1309),"")</f>
        <v>2.425267379679144</v>
      </c>
      <c r="BE603" s="11" t="n">
        <f>IF(SUMIF($AO$11:$AO$1309,AO603,$BB$11:$BB$1309)=COUNTIF($AO$11:$AO$1309,AO603),SUMIF($AO$11:$AO$1309,AO603,$BA$11:$BA$1309),"")</f>
        <v>1.3550882825040127</v>
      </c>
      <c r="BF603" s="12" t="n">
        <f>IF(COUNT(BD603:BE603)&lt;&gt;2,"",IF(AND(BD603&gt;0,BE603&gt;0),0.7*AW603/BD603+0.3*BA603/BE603,IF(BD603&gt;0,AW603/BD603,IF(BE603&gt;0,BA603/BE603,IF(AND(ISNUMBER(BH603),BH603=0),0,"")))))</f>
        <v>0.10981050975229113</v>
      </c>
      <c r="BG603" s="11" t="n">
        <f>IF(AND(COUNT(BN603:BU603)=8,MIN(BN603:BU603)&gt;=0),SUMPRODUCT(BN603:BQ603,BR603:BU603),"")</f>
        <v>109.4582336985339</v>
      </c>
      <c r="BH603" s="11" t="n">
        <f>IF(COUNT(BC603,BG603)=2,BC603*BG603,"")</f>
        <v>180.3026634680992</v>
      </c>
      <c r="BI603" s="11" t="n">
        <f>IF(ISNUMBER(CI603),CI603,"")</f>
        <v>19.799127385127775</v>
      </c>
      <c r="BJ603" s="8" t="str"/>
      <c r="BK603" s="8" t="str">
        <v>90天：2026-07-20 至 2026-10-17；180天：2026-04-21 至 2026-10-17</v>
      </c>
      <c r="BL603" s="8" t="str">
        <v>90天：2026-10-06、2026-10-07；180天：2026-10-06、2026-10-07</v>
      </c>
      <c r="BM603" s="8" t="str">
        <v>2026-10：12天 × 1.7391279184229513；2026-11：30天 × 1.4002077845513243；2026-12：31天 × 1.079339935625147；2027-01：17天 × 0.7719368903846591</v>
      </c>
      <c r="BN603" s="11" t="n">
        <v>1.7391279184229513</v>
      </c>
      <c r="BO603" s="11" t="n">
        <v>1.4002077845513243</v>
      </c>
      <c r="BP603" s="11" t="n">
        <v>1.079339935625147</v>
      </c>
      <c r="BQ603" s="11" t="n">
        <v>0.7719368903846591</v>
      </c>
      <c r="BR603" s="8" t="n">
        <v>12</v>
      </c>
      <c r="BS603" s="8" t="n">
        <v>30</v>
      </c>
      <c r="BT603" s="8" t="n">
        <v>31</v>
      </c>
      <c r="BU603" s="8" t="n">
        <v>17</v>
      </c>
      <c r="BV603" s="11" t="n">
        <f>IF(COUNT(BC603,BF603)=2,BC603*BF603,"")</f>
        <v>0.1808829424349917</v>
      </c>
      <c r="BW603" s="11" t="n">
        <f>IF(ISNUMBER(BN603),BN603,"")</f>
        <v>1.7391279184229513</v>
      </c>
      <c r="BX603" s="14" t="n">
        <f>IF(ISNUMBER(BR603),BR603,"")</f>
        <v>12</v>
      </c>
      <c r="BY603" s="13" t="n">
        <f>IF(AND(COUNT(BV603,BW603,BX603)=3,MIN(BV603,BW603,BX603)&gt;=0),BV603*BW603*BX603,"")</f>
        <v>3.774942901862228</v>
      </c>
      <c r="BZ603" s="11" t="n">
        <f>IF(ISNUMBER(BO603),BO603,"")</f>
        <v>1.4002077845513243</v>
      </c>
      <c r="CA603" s="14" t="n">
        <f>IF(ISNUMBER(BS603),BS603,"")</f>
        <v>30</v>
      </c>
      <c r="CB603" s="13" t="n">
        <f>IF(AND(COUNT(BV603,BZ603,CA603)=3,MIN(BV603,BZ603,CA603)&gt;=0),BV603*BZ603*CA603,"")</f>
        <v>7.598211122700734</v>
      </c>
      <c r="CC603" s="11" t="n">
        <f>IF(ISNUMBER(BP603),BP603,"")</f>
        <v>1.079339935625147</v>
      </c>
      <c r="CD603" s="14" t="n">
        <f>IF(ISNUMBER(BT603),BT603,"")</f>
        <v>31</v>
      </c>
      <c r="CE603" s="13" t="n">
        <f>IF(AND(COUNT(BV603,CC603,CD603)=3,MIN(BV603,CC603,CD603)&gt;=0),BV603*CC603*CD603,"")</f>
        <v>6.052259686747604</v>
      </c>
      <c r="CF603" s="11" t="n">
        <f>IF(ISNUMBER(BQ603),BQ603,"")</f>
        <v>0.7719368903846591</v>
      </c>
      <c r="CG603" s="14" t="n">
        <f>IF(ISNUMBER(BU603),BU603,"")</f>
        <v>17</v>
      </c>
      <c r="CH603" s="13" t="n">
        <f>IF(AND(COUNT(BV603,CF603,CG603)=3,MIN(BV603,CF603,CG603)&gt;=0),BV603*CF603*CG603,"")</f>
        <v>2.3737136738172113</v>
      </c>
      <c r="CI603" s="13" t="n">
        <f>IF(COUNT(BY603,CB603,CE603,CH603)=4,SUM(BY603,CB603,CE603,CH603),"")</f>
        <v>19.799127385127775</v>
      </c>
    </row>
    <row r="604" ht="72" customHeight="1">
      <c r="A604" s="16" t="str">
        <v>2302153-NY-39</v>
      </c>
      <c r="B604" s="16" t="str">
        <v>3店-SANDIEX-US</v>
      </c>
      <c r="C604" s="16" t="str">
        <v>徐新怡</v>
      </c>
      <c r="D604" s="26" t="n">
        <f>IF(NOT(ISNUMBER(E604)),"",IF(OR(E604&lt;=0,L604=0),0,IF(OR(NOT(ISNUMBER(F604)),F604&lt;0),"",MIN(E604,INT(F604)))))</f>
        <v>0</v>
      </c>
      <c r="E604" s="27" t="n">
        <f>IF(OR(NOT(ISNUMBER(L604)),COUNT(M604:O604)&lt;&gt;3,MIN(M604:O604)&lt;0),"",ROUNDUP(ROUND(BI604-SUM(M604:O604),10),0))</f>
        <v>-41</v>
      </c>
      <c r="F604" s="28" t="n">
        <v>69</v>
      </c>
      <c r="G604" s="28" t="n">
        <f>IF(AND(ISNUMBER(D604),ISNUMBER(E604)),IF(OR(E604&lt;=0,L604=0),0,E604-D604),"")</f>
        <v>0</v>
      </c>
      <c r="H604" s="16" t="str">
        <f>IF(NOT(ISNUMBER(E604)),"销量或海外库存待补",IF(OR(E604&lt;=0,L604=0),IF(L604=0,"零日销，本批不发","本批无需补货"),IF(NOT(ISNUMBER(D604)),"国内库存待补",IF(D604=0,"国内无可用库存",IF(G604&gt;0,"先发国内现货","按建议量发货")))))</f>
        <v>本批无需补货</v>
      </c>
      <c r="I604" s="28" t="n">
        <f>IF(AND(COUNT(Z604,AA604,AB604)=3,Z604&gt;=AA604,AA604&gt;=0,AB604=7),Z604-AA604,"")</f>
        <v>1</v>
      </c>
      <c r="J604" s="28" t="n">
        <f>IF(AND(COUNT(AF604,AG604,AH604)=3,AF604&gt;=AG604,AG604&gt;=0,AH604=14),AF604-AG604,"")</f>
        <v>1</v>
      </c>
      <c r="K604" s="28" t="n">
        <f>IF(AND(COUNT(AL604,AM604,AN604)=3,AL604&gt;=AM604,AM604&gt;=0,AN604=30),AL604-AM604,"")</f>
        <v>3</v>
      </c>
      <c r="L604" s="29" t="n">
        <f>IF(ISNUMBER(BI604),BI604/90,"")</f>
        <v>0.1674242520520048</v>
      </c>
      <c r="M604" s="28" t="n">
        <v>30</v>
      </c>
      <c r="N604" s="28" t="n">
        <v>3</v>
      </c>
      <c r="O604" s="28" t="n">
        <v>23</v>
      </c>
      <c r="P604" s="30" t="n">
        <f>IF(AND(ISNUMBER(L604),L604&gt;0,COUNT(M604:O604)=3,MIN(M604:O604)&gt;=0),SUM(M604:O604)/L604,"")</f>
        <v>334.4796187747367</v>
      </c>
      <c r="Q604" s="16" t="str">
        <v>沿用原计划SKU店铺</v>
      </c>
      <c r="R604" s="16" t="str">
        <v>已匹配</v>
      </c>
      <c r="S604" s="16" t="str">
        <v>在售</v>
      </c>
      <c r="T604" s="16" t="str">
        <v>2302153</v>
      </c>
      <c r="U604" s="16" t="str">
        <v>藏青色</v>
      </c>
      <c r="V604" s="16" t="n">
        <v>8</v>
      </c>
      <c r="W604" s="8" t="str">
        <v>2026-10-11 至 2026-10-17</v>
      </c>
      <c r="X604" s="8" t="str">
        <v>2026-10-11、2026-10-12、2026-10-13、2026-10-14、2026-10-15、2026-10-16、2026-10-17</v>
      </c>
      <c r="Y604" s="8" t="str">
        <v>无</v>
      </c>
      <c r="Z604" s="8" t="n">
        <v>1</v>
      </c>
      <c r="AA604" s="8" t="n">
        <v>0</v>
      </c>
      <c r="AB604" s="8" t="n">
        <v>7</v>
      </c>
      <c r="AC604" s="8" t="str">
        <v>2026-10-02 至 2026-10-17</v>
      </c>
      <c r="AD604" s="8" t="str">
        <v>2026-10-02、2026-10-03、2026-10-04、2026-10-05、2026-10-08、2026-10-09、2026-10-10、2026-10-11、2026-10-12、2026-10-13、2026-10-14、2026-10-15、2026-10-16、2026-10-17</v>
      </c>
      <c r="AE604" s="8" t="str">
        <v>2026-10-06 大促；2026-10-07 大促</v>
      </c>
      <c r="AF604" s="8" t="n">
        <v>2</v>
      </c>
      <c r="AG604" s="8" t="n">
        <v>1</v>
      </c>
      <c r="AH604" s="8" t="n">
        <v>14</v>
      </c>
      <c r="AI604" s="8" t="str">
        <v>2026-09-16 至 2026-10-17</v>
      </c>
      <c r="AJ6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4" s="8" t="str">
        <v>2026-10-06 大促；2026-10-07 大促</v>
      </c>
      <c r="AL604" s="8" t="n">
        <v>4</v>
      </c>
      <c r="AM604" s="8" t="n">
        <v>1</v>
      </c>
      <c r="AN604" s="8" t="n">
        <v>30</v>
      </c>
      <c r="AO604" s="8" t="str">
        <v>2302153 / 藏青色羊京绒 / 6574</v>
      </c>
      <c r="AP604" s="11" t="n">
        <v>1.7391279184229513</v>
      </c>
      <c r="AQ604" s="11" t="n">
        <v>1.7391279184229513</v>
      </c>
      <c r="AR604" s="11" t="n">
        <v>1.5731892896917212</v>
      </c>
      <c r="AS604" s="11" t="n">
        <f>IF(AND(COUNT(I604:K604,AP604:AR604)=6,MIN(AP604:AR604)&gt;0),I604/7/AP604*0.5+J604/14/AQ604*0.3+K604/30/AR604*0.2,"")</f>
        <v>0.06610596272217907</v>
      </c>
      <c r="AT604" s="8" t="n">
        <v>17</v>
      </c>
      <c r="AU604" s="8" t="n">
        <v>1</v>
      </c>
      <c r="AV604" s="8" t="n">
        <v>88</v>
      </c>
      <c r="AW604" s="11" t="n">
        <f>IF(AND(COUNT(AT604:AV604)=3,AT604&gt;=AU604,AU604&gt;=0,AV604&gt;0),(AT604-AU604)/AV604,"")</f>
        <v>0.18181818181818182</v>
      </c>
      <c r="AX604" s="8" t="n">
        <v>26</v>
      </c>
      <c r="AY604" s="8" t="n">
        <v>1</v>
      </c>
      <c r="AZ604" s="8" t="n">
        <v>178</v>
      </c>
      <c r="BA604" s="11" t="n">
        <f>IF(AND(COUNT(AX604:AZ604)=3,AX604&gt;=AY604,AY604&gt;=0,AZ604&gt;0),(AX604-AY604)/AZ604,"")</f>
        <v>0.1404494382022472</v>
      </c>
      <c r="BB604" s="8" t="n">
        <f>IF(COUNT(AS604,AW604,BA604)=3,1,0)</f>
        <v>1</v>
      </c>
      <c r="BC604" s="11" t="n">
        <f>IF(SUMIF($AO$11:$AO$1309,AO604,$BB$11:$BB$1309)=COUNTIF($AO$11:$AO$1309,AO604),SUMIF($AO$11:$AO$1309,AO604,$AS$11:$AS$1309),"")</f>
        <v>1.647227964272497</v>
      </c>
      <c r="BD604" s="11" t="n">
        <f>IF(SUMIF($AO$11:$AO$1309,AO604,$BB$11:$BB$1309)=COUNTIF($AO$11:$AO$1309,AO604),SUMIF($AO$11:$AO$1309,AO604,$AW$11:$AW$1309),"")</f>
        <v>2.425267379679144</v>
      </c>
      <c r="BE604" s="11" t="n">
        <f>IF(SUMIF($AO$11:$AO$1309,AO604,$BB$11:$BB$1309)=COUNTIF($AO$11:$AO$1309,AO604),SUMIF($AO$11:$AO$1309,AO604,$BA$11:$BA$1309),"")</f>
        <v>1.3550882825040127</v>
      </c>
      <c r="BF604" s="12" t="n">
        <f>IF(COUNT(BD604:BE604)&lt;&gt;2,"",IF(AND(BD604&gt;0,BE604&gt;0),0.7*AW604/BD604+0.3*BA604/BE604,IF(BD604&gt;0,AW604/BD604,IF(BE604&gt;0,BA604/BE604,IF(AND(ISNUMBER(BH604),BH604=0),0,"")))))</f>
        <v>0.08357160340754718</v>
      </c>
      <c r="BG604" s="11" t="n">
        <f>IF(AND(COUNT(BN604:BU604)=8,MIN(BN604:BU604)&gt;=0),SUMPRODUCT(BN604:BQ604,BR604:BU604),"")</f>
        <v>109.4582336985339</v>
      </c>
      <c r="BH604" s="11" t="n">
        <f>IF(COUNT(BC604,BG604)=2,BC604*BG604,"")</f>
        <v>180.3026634680992</v>
      </c>
      <c r="BI604" s="11" t="n">
        <f>IF(ISNUMBER(CI604),CI604,"")</f>
        <v>15.068182684680433</v>
      </c>
      <c r="BJ604" s="8" t="str"/>
      <c r="BK604" s="8" t="str">
        <v>90天：2026-07-20 至 2026-10-17；180天：2026-04-21 至 2026-10-17</v>
      </c>
      <c r="BL604" s="8" t="str">
        <v>90天：2026-10-06、2026-10-07；180天：2026-10-06、2026-10-07</v>
      </c>
      <c r="BM604" s="8" t="str">
        <v>2026-10：12天 × 1.7391279184229513；2026-11：30天 × 1.4002077845513243；2026-12：31天 × 1.079339935625147；2027-01：17天 × 0.7719368903846591</v>
      </c>
      <c r="BN604" s="11" t="n">
        <v>1.7391279184229513</v>
      </c>
      <c r="BO604" s="11" t="n">
        <v>1.4002077845513243</v>
      </c>
      <c r="BP604" s="11" t="n">
        <v>1.079339935625147</v>
      </c>
      <c r="BQ604" s="11" t="n">
        <v>0.7719368903846591</v>
      </c>
      <c r="BR604" s="8" t="n">
        <v>12</v>
      </c>
      <c r="BS604" s="8" t="n">
        <v>30</v>
      </c>
      <c r="BT604" s="8" t="n">
        <v>31</v>
      </c>
      <c r="BU604" s="8" t="n">
        <v>17</v>
      </c>
      <c r="BV604" s="11" t="n">
        <f>IF(COUNT(BC604,BF604)=2,BC604*BF604,"")</f>
        <v>0.1376614821520024</v>
      </c>
      <c r="BW604" s="11" t="n">
        <f>IF(ISNUMBER(BN604),BN604,"")</f>
        <v>1.7391279184229513</v>
      </c>
      <c r="BX604" s="14" t="n">
        <f>IF(ISNUMBER(BR604),BR604,"")</f>
        <v>12</v>
      </c>
      <c r="BY604" s="13" t="n">
        <f>IF(AND(COUNT(BV604,BW604,BX604)=3,MIN(BV604,BW604,BX604)&gt;=0),BV604*BW604*BX604,"")</f>
        <v>2.8729311228243626</v>
      </c>
      <c r="BZ604" s="11" t="n">
        <f>IF(ISNUMBER(BO604),BO604,"")</f>
        <v>1.4002077845513243</v>
      </c>
      <c r="CA604" s="14" t="n">
        <f>IF(ISNUMBER(BS604),BS604,"")</f>
        <v>30</v>
      </c>
      <c r="CB604" s="13" t="n">
        <f>IF(AND(COUNT(BV604,BZ604,CA604)=3,MIN(BV604,BZ604,CA604)&gt;=0),BV604*BZ604*CA604,"")</f>
        <v>5.782640368263209</v>
      </c>
      <c r="CC604" s="11" t="n">
        <f>IF(ISNUMBER(BP604),BP604,"")</f>
        <v>1.079339935625147</v>
      </c>
      <c r="CD604" s="14" t="n">
        <f>IF(ISNUMBER(BT604),BT604,"")</f>
        <v>31</v>
      </c>
      <c r="CE604" s="13" t="n">
        <f>IF(AND(COUNT(BV604,CC604,CD604)=3,MIN(BV604,CC604,CD604)&gt;=0),BV604*CC604*CD604,"")</f>
        <v>4.606089593804143</v>
      </c>
      <c r="CF604" s="11" t="n">
        <f>IF(ISNUMBER(BQ604),BQ604,"")</f>
        <v>0.7719368903846591</v>
      </c>
      <c r="CG604" s="14" t="n">
        <f>IF(ISNUMBER(BU604),BU604,"")</f>
        <v>17</v>
      </c>
      <c r="CH604" s="13" t="n">
        <f>IF(AND(COUNT(BV604,CF604,CG604)=3,MIN(BV604,CF604,CG604)&gt;=0),BV604*CF604*CG604,"")</f>
        <v>1.8065215997887196</v>
      </c>
      <c r="CI604" s="13" t="n">
        <f>IF(COUNT(BY604,CB604,CE604,CH604)=4,SUM(BY604,CB604,CE604,CH604),"")</f>
        <v>15.068182684680433</v>
      </c>
    </row>
    <row r="605" ht="72" customHeight="1">
      <c r="A605" s="16" t="str">
        <v>2302153-NY-39.5</v>
      </c>
      <c r="B605" s="16" t="str">
        <v>3店-SANDIEX-US</v>
      </c>
      <c r="C605" s="16" t="str">
        <v>徐新怡</v>
      </c>
      <c r="D605" s="26" t="n">
        <f>IF(NOT(ISNUMBER(E605)),"",IF(OR(E605&lt;=0,L605=0),0,IF(OR(NOT(ISNUMBER(F605)),F605&lt;0),"",MIN(E605,INT(F605)))))</f>
        <v>0</v>
      </c>
      <c r="E605" s="27" t="n">
        <f>IF(OR(NOT(ISNUMBER(L605)),COUNT(M605:O605)&lt;&gt;3,MIN(M605:O605)&lt;0),"",ROUNDUP(ROUND(BI605-SUM(M605:O605),10),0))</f>
        <v>-24</v>
      </c>
      <c r="F605" s="28" t="n">
        <v>43</v>
      </c>
      <c r="G605" s="28" t="n">
        <f>IF(AND(ISNUMBER(D605),ISNUMBER(E605)),IF(OR(E605&lt;=0,L605=0),0,E605-D605),"")</f>
        <v>0</v>
      </c>
      <c r="H605" s="16" t="str">
        <f>IF(NOT(ISNUMBER(E605)),"销量或海外库存待补",IF(OR(E605&lt;=0,L605=0),IF(L605=0,"零日销，本批不发","本批无需补货"),IF(NOT(ISNUMBER(D605)),"国内库存待补",IF(D605=0,"国内无可用库存",IF(G605&gt;0,"先发国内现货","按建议量发货")))))</f>
        <v>本批无需补货</v>
      </c>
      <c r="I605" s="28" t="n">
        <f>IF(AND(COUNT(Z605,AA605,AB605)=3,Z605&gt;=AA605,AA605&gt;=0,AB605=7),Z605-AA605,"")</f>
        <v>0</v>
      </c>
      <c r="J605" s="28" t="n">
        <f>IF(AND(COUNT(AF605,AG605,AH605)=3,AF605&gt;=AG605,AG605&gt;=0,AH605=14),AF605-AG605,"")</f>
        <v>1</v>
      </c>
      <c r="K605" s="28" t="n">
        <f>IF(AND(COUNT(AL605,AM605,AN605)=3,AL605&gt;=AM605,AM605&gt;=0,AN605=30),AL605-AM605,"")</f>
        <v>9</v>
      </c>
      <c r="L605" s="29" t="n">
        <f>IF(ISNUMBER(BI605),BI605/90,"")</f>
        <v>0.20934047712630413</v>
      </c>
      <c r="M605" s="28" t="n">
        <v>32</v>
      </c>
      <c r="N605" s="28" t="n">
        <v>0</v>
      </c>
      <c r="O605" s="28" t="n">
        <v>10</v>
      </c>
      <c r="P605" s="30" t="n">
        <f>IF(AND(ISNUMBER(L605),L605&gt;0,COUNT(M605:O605)=3,MIN(M605:O605)&gt;=0),SUM(M605:O605)/L605,"")</f>
        <v>200.63009589234665</v>
      </c>
      <c r="Q605" s="16" t="str">
        <v>沿用原计划SKU店铺</v>
      </c>
      <c r="R605" s="16" t="str">
        <v>已匹配</v>
      </c>
      <c r="S605" s="16" t="str">
        <v>在售</v>
      </c>
      <c r="T605" s="16" t="str">
        <v>2302153</v>
      </c>
      <c r="U605" s="16" t="str">
        <v>藏青色</v>
      </c>
      <c r="V605" s="16" t="n">
        <v>8.5</v>
      </c>
      <c r="W605" s="8" t="str">
        <v>2026-10-11 至 2026-10-17</v>
      </c>
      <c r="X605" s="8" t="str">
        <v>2026-10-11、2026-10-12、2026-10-13、2026-10-14、2026-10-15、2026-10-16、2026-10-17</v>
      </c>
      <c r="Y605" s="8" t="str">
        <v>无</v>
      </c>
      <c r="Z605" s="8" t="n">
        <v>0</v>
      </c>
      <c r="AA605" s="8" t="n">
        <v>0</v>
      </c>
      <c r="AB605" s="8" t="n">
        <v>7</v>
      </c>
      <c r="AC605" s="8" t="str">
        <v>2026-10-02 至 2026-10-17</v>
      </c>
      <c r="AD605" s="8" t="str">
        <v>2026-10-02、2026-10-03、2026-10-04、2026-10-05、2026-10-08、2026-10-09、2026-10-10、2026-10-11、2026-10-12、2026-10-13、2026-10-14、2026-10-15、2026-10-16、2026-10-17</v>
      </c>
      <c r="AE605" s="8" t="str">
        <v>2026-10-06 大促；2026-10-07 大促</v>
      </c>
      <c r="AF605" s="8" t="n">
        <v>2</v>
      </c>
      <c r="AG605" s="8" t="n">
        <v>1</v>
      </c>
      <c r="AH605" s="8" t="n">
        <v>14</v>
      </c>
      <c r="AI605" s="8" t="str">
        <v>2026-09-16 至 2026-10-17</v>
      </c>
      <c r="AJ6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5" s="8" t="str">
        <v>2026-10-06 大促；2026-10-07 大促</v>
      </c>
      <c r="AL605" s="8" t="n">
        <v>10</v>
      </c>
      <c r="AM605" s="8" t="n">
        <v>1</v>
      </c>
      <c r="AN605" s="8" t="n">
        <v>30</v>
      </c>
      <c r="AO605" s="8" t="str">
        <v>2302153 / 藏青色羊京绒 / 6574</v>
      </c>
      <c r="AP605" s="11" t="n">
        <v>1.7391279184229513</v>
      </c>
      <c r="AQ605" s="11" t="n">
        <v>1.7391279184229513</v>
      </c>
      <c r="AR605" s="11" t="n">
        <v>1.5731892896917212</v>
      </c>
      <c r="AS605" s="11" t="n">
        <f>IF(AND(COUNT(I605:K605,AP605:AR605)=6,MIN(AP605:AR605)&gt;0),I605/7/AP605*0.5+J605/14/AQ605*0.3+K605/30/AR605*0.2,"")</f>
        <v>0.05046053137357893</v>
      </c>
      <c r="AT605" s="8" t="n">
        <v>23</v>
      </c>
      <c r="AU605" s="8" t="n">
        <v>1</v>
      </c>
      <c r="AV605" s="8" t="n">
        <v>88</v>
      </c>
      <c r="AW605" s="11" t="n">
        <f>IF(AND(COUNT(AT605:AV605)=3,AT605&gt;=AU605,AU605&gt;=0,AV605&gt;0),(AT605-AU605)/AV605,"")</f>
        <v>0.25</v>
      </c>
      <c r="AX605" s="8" t="n">
        <v>27</v>
      </c>
      <c r="AY605" s="8" t="n">
        <v>1</v>
      </c>
      <c r="AZ605" s="8" t="n">
        <v>178</v>
      </c>
      <c r="BA605" s="11" t="n">
        <f>IF(AND(COUNT(AX605:AZ605)=3,AX605&gt;=AY605,AY605&gt;=0,AZ605&gt;0),(AX605-AY605)/AZ605,"")</f>
        <v>0.14606741573033707</v>
      </c>
      <c r="BB605" s="8" t="n">
        <f>IF(COUNT(AS605,AW605,BA605)=3,1,0)</f>
        <v>1</v>
      </c>
      <c r="BC605" s="11" t="n">
        <f>IF(SUMIF($AO$11:$AO$1309,AO605,$BB$11:$BB$1309)=COUNTIF($AO$11:$AO$1309,AO605),SUMIF($AO$11:$AO$1309,AO605,$AS$11:$AS$1309),"")</f>
        <v>1.647227964272497</v>
      </c>
      <c r="BD605" s="11" t="n">
        <f>IF(SUMIF($AO$11:$AO$1309,AO605,$BB$11:$BB$1309)=COUNTIF($AO$11:$AO$1309,AO605),SUMIF($AO$11:$AO$1309,AO605,$AW$11:$AW$1309),"")</f>
        <v>2.425267379679144</v>
      </c>
      <c r="BE605" s="11" t="n">
        <f>IF(SUMIF($AO$11:$AO$1309,AO605,$BB$11:$BB$1309)=COUNTIF($AO$11:$AO$1309,AO605),SUMIF($AO$11:$AO$1309,AO605,$BA$11:$BA$1309),"")</f>
        <v>1.3550882825040127</v>
      </c>
      <c r="BF605" s="12" t="n">
        <f>IF(COUNT(BD605:BE605)&lt;&gt;2,"",IF(AND(BD605&gt;0,BE605&gt;0),0.7*AW605/BD605+0.3*BA605/BE605,IF(BD605&gt;0,AW605/BD605,IF(BE605&gt;0,BA605/BE605,IF(AND(ISNUMBER(BH605),BH605=0),0,"")))))</f>
        <v>0.10449453479482751</v>
      </c>
      <c r="BG605" s="11" t="n">
        <f>IF(AND(COUNT(BN605:BU605)=8,MIN(BN605:BU605)&gt;=0),SUMPRODUCT(BN605:BQ605,BR605:BU605),"")</f>
        <v>109.4582336985339</v>
      </c>
      <c r="BH605" s="11" t="n">
        <f>IF(COUNT(BC605,BG605)=2,BC605*BG605,"")</f>
        <v>180.3026634680992</v>
      </c>
      <c r="BI605" s="11" t="n">
        <f>IF(ISNUMBER(CI605),CI605,"")</f>
        <v>18.84064294136737</v>
      </c>
      <c r="BJ605" s="8" t="str"/>
      <c r="BK605" s="8" t="str">
        <v>90天：2026-07-20 至 2026-10-17；180天：2026-04-21 至 2026-10-17</v>
      </c>
      <c r="BL605" s="8" t="str">
        <v>90天：2026-10-06、2026-10-07；180天：2026-10-06、2026-10-07</v>
      </c>
      <c r="BM605" s="8" t="str">
        <v>2026-10：12天 × 1.7391279184229513；2026-11：30天 × 1.4002077845513243；2026-12：31天 × 1.079339935625147；2027-01：17天 × 0.7719368903846591</v>
      </c>
      <c r="BN605" s="11" t="n">
        <v>1.7391279184229513</v>
      </c>
      <c r="BO605" s="11" t="n">
        <v>1.4002077845513243</v>
      </c>
      <c r="BP605" s="11" t="n">
        <v>1.079339935625147</v>
      </c>
      <c r="BQ605" s="11" t="n">
        <v>0.7719368903846591</v>
      </c>
      <c r="BR605" s="8" t="n">
        <v>12</v>
      </c>
      <c r="BS605" s="8" t="n">
        <v>30</v>
      </c>
      <c r="BT605" s="8" t="n">
        <v>31</v>
      </c>
      <c r="BU605" s="8" t="n">
        <v>17</v>
      </c>
      <c r="BV605" s="11" t="n">
        <f>IF(COUNT(BC605,BF605)=2,BC605*BF605,"")</f>
        <v>0.1721263198276853</v>
      </c>
      <c r="BW605" s="11" t="n">
        <f>IF(ISNUMBER(BN605),BN605,"")</f>
        <v>1.7391279184229513</v>
      </c>
      <c r="BX605" s="14" t="n">
        <f>IF(ISNUMBER(BR605),BR605,"")</f>
        <v>12</v>
      </c>
      <c r="BY605" s="13" t="n">
        <f>IF(AND(COUNT(BV605,BW605,BX605)=3,MIN(BV605,BW605,BX605)&gt;=0),BV605*BW605*BX605,"")</f>
        <v>3.592196259692706</v>
      </c>
      <c r="BZ605" s="11" t="n">
        <f>IF(ISNUMBER(BO605),BO605,"")</f>
        <v>1.4002077845513243</v>
      </c>
      <c r="CA605" s="14" t="n">
        <f>IF(ISNUMBER(BS605),BS605,"")</f>
        <v>30</v>
      </c>
      <c r="CB605" s="13" t="n">
        <f>IF(AND(COUNT(BV605,BZ605,CA605)=3,MIN(BV605,BZ605,CA605)&gt;=0),BV605*BZ605*CA605,"")</f>
        <v>7.230378388466878</v>
      </c>
      <c r="CC605" s="11" t="n">
        <f>IF(ISNUMBER(BP605),BP605,"")</f>
        <v>1.079339935625147</v>
      </c>
      <c r="CD605" s="14" t="n">
        <f>IF(ISNUMBER(BT605),BT605,"")</f>
        <v>31</v>
      </c>
      <c r="CE605" s="13" t="n">
        <f>IF(AND(COUNT(BV605,CC605,CD605)=3,MIN(BV605,CC605,CD605)&gt;=0),BV605*CC605*CD605,"")</f>
        <v>5.7592671398284265</v>
      </c>
      <c r="CF605" s="11" t="n">
        <f>IF(ISNUMBER(BQ605),BQ605,"")</f>
        <v>0.7719368903846591</v>
      </c>
      <c r="CG605" s="14" t="n">
        <f>IF(ISNUMBER(BU605),BU605,"")</f>
        <v>17</v>
      </c>
      <c r="CH605" s="13" t="n">
        <f>IF(AND(COUNT(BV605,CF605,CG605)=3,MIN(BV605,CF605,CG605)&gt;=0),BV605*CF605*CG605,"")</f>
        <v>2.2588011533793577</v>
      </c>
      <c r="CI605" s="13" t="n">
        <f>IF(COUNT(BY605,CB605,CE605,CH605)=4,SUM(BY605,CB605,CE605,CH605),"")</f>
        <v>18.84064294136737</v>
      </c>
    </row>
    <row r="606" ht="72" customHeight="1">
      <c r="A606" s="16" t="str">
        <v>2302153-NY-40</v>
      </c>
      <c r="B606" s="16" t="str">
        <v>3店-SANDIEX-US</v>
      </c>
      <c r="C606" s="16" t="str">
        <v>徐新怡</v>
      </c>
      <c r="D606" s="26" t="n">
        <f>IF(NOT(ISNUMBER(E606)),"",IF(OR(E606&lt;=0,L606=0),0,IF(OR(NOT(ISNUMBER(F606)),F606&lt;0),"",MIN(E606,INT(F606)))))</f>
        <v>0</v>
      </c>
      <c r="E606" s="27" t="n">
        <f>IF(OR(NOT(ISNUMBER(L606)),COUNT(M606:O606)&lt;&gt;3,MIN(M606:O606)&lt;0),"",ROUNDUP(ROUND(BI606-SUM(M606:O606),10),0))</f>
        <v>-2</v>
      </c>
      <c r="F606" s="28" t="n">
        <v>30</v>
      </c>
      <c r="G606" s="28" t="n">
        <f>IF(AND(ISNUMBER(D606),ISNUMBER(E606)),IF(OR(E606&lt;=0,L606=0),0,E606-D606),"")</f>
        <v>0</v>
      </c>
      <c r="H606" s="16" t="str">
        <f>IF(NOT(ISNUMBER(E606)),"销量或海外库存待补",IF(OR(E606&lt;=0,L606=0),IF(L606=0,"零日销，本批不发","本批无需补货"),IF(NOT(ISNUMBER(D606)),"国内库存待补",IF(D606=0,"国内无可用库存",IF(G606&gt;0,"先发国内现货","按建议量发货")))))</f>
        <v>本批无需补货</v>
      </c>
      <c r="I606" s="28" t="n">
        <f>IF(AND(COUNT(Z606,AA606,AB606)=3,Z606&gt;=AA606,AA606&gt;=0,AB606=7),Z606-AA606,"")</f>
        <v>1</v>
      </c>
      <c r="J606" s="28" t="n">
        <f>IF(AND(COUNT(AF606,AG606,AH606)=3,AF606&gt;=AG606,AG606&gt;=0,AH606=14),AF606-AG606,"")</f>
        <v>6</v>
      </c>
      <c r="K606" s="28" t="n">
        <f>IF(AND(COUNT(AL606,AM606,AN606)=3,AL606&gt;=AM606,AM606&gt;=0,AN606=30),AL606-AM606,"")</f>
        <v>17</v>
      </c>
      <c r="L606" s="29" t="n">
        <f>IF(ISNUMBER(BI606),BI606/90,"")</f>
        <v>0.2859190872092294</v>
      </c>
      <c r="M606" s="28" t="n">
        <v>27</v>
      </c>
      <c r="N606" s="28" t="n">
        <v>0</v>
      </c>
      <c r="O606" s="28" t="n">
        <v>0</v>
      </c>
      <c r="P606" s="30" t="n">
        <f>IF(AND(ISNUMBER(L606),L606&gt;0,COUNT(M606:O606)=3,MIN(M606:O606)&gt;=0),SUM(M606:O606)/L606,"")</f>
        <v>94.43231042578836</v>
      </c>
      <c r="Q606" s="16" t="str">
        <v>沿用原计划SKU店铺</v>
      </c>
      <c r="R606" s="16" t="str">
        <v>已匹配</v>
      </c>
      <c r="S606" s="16" t="str">
        <v>在售</v>
      </c>
      <c r="T606" s="16" t="str">
        <v>2302153</v>
      </c>
      <c r="U606" s="16" t="str">
        <v>藏青色</v>
      </c>
      <c r="V606" s="16" t="n">
        <v>9</v>
      </c>
      <c r="W606" s="8" t="str">
        <v>2026-10-11 至 2026-10-17</v>
      </c>
      <c r="X606" s="8" t="str">
        <v>2026-10-11、2026-10-12、2026-10-13、2026-10-14、2026-10-15、2026-10-16、2026-10-17</v>
      </c>
      <c r="Y606" s="8" t="str">
        <v>无</v>
      </c>
      <c r="Z606" s="8" t="n">
        <v>1</v>
      </c>
      <c r="AA606" s="8" t="n">
        <v>0</v>
      </c>
      <c r="AB606" s="8" t="n">
        <v>7</v>
      </c>
      <c r="AC606" s="8" t="str">
        <v>2026-10-02 至 2026-10-17</v>
      </c>
      <c r="AD606" s="8" t="str">
        <v>2026-10-02、2026-10-03、2026-10-04、2026-10-05、2026-10-08、2026-10-09、2026-10-10、2026-10-11、2026-10-12、2026-10-13、2026-10-14、2026-10-15、2026-10-16、2026-10-17</v>
      </c>
      <c r="AE606" s="8" t="str">
        <v>2026-10-06 大促；2026-10-07 大促</v>
      </c>
      <c r="AF606" s="8" t="n">
        <v>13</v>
      </c>
      <c r="AG606" s="8" t="n">
        <v>7</v>
      </c>
      <c r="AH606" s="8" t="n">
        <v>14</v>
      </c>
      <c r="AI606" s="8" t="str">
        <v>2026-09-16 至 2026-10-17</v>
      </c>
      <c r="AJ6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6" s="8" t="str">
        <v>2026-10-06 大促；2026-10-07 大促</v>
      </c>
      <c r="AL606" s="8" t="n">
        <v>24</v>
      </c>
      <c r="AM606" s="8" t="n">
        <v>7</v>
      </c>
      <c r="AN606" s="8" t="n">
        <v>30</v>
      </c>
      <c r="AO606" s="8" t="str">
        <v>2302153 / 藏青色羊京绒 / 6574</v>
      </c>
      <c r="AP606" s="11" t="n">
        <v>1.7391279184229513</v>
      </c>
      <c r="AQ606" s="11" t="n">
        <v>1.7391279184229513</v>
      </c>
      <c r="AR606" s="11" t="n">
        <v>1.5731892896917212</v>
      </c>
      <c r="AS606" s="11" t="n">
        <f>IF(AND(COUNT(I606:K606,AP606:AR606)=6,MIN(AP606:AR606)&gt;0),I606/7/AP606*0.5+J606/14/AQ606*0.3+K606/30/AR606*0.2,"")</f>
        <v>0.18704066023461396</v>
      </c>
      <c r="AT606" s="8" t="n">
        <v>38</v>
      </c>
      <c r="AU606" s="8" t="n">
        <v>7</v>
      </c>
      <c r="AV606" s="8" t="n">
        <v>88</v>
      </c>
      <c r="AW606" s="11" t="n">
        <f>IF(AND(COUNT(AT606:AV606)=3,AT606&gt;=AU606,AU606&gt;=0,AV606&gt;0),(AT606-AU606)/AV606,"")</f>
        <v>0.3522727272727273</v>
      </c>
      <c r="AX606" s="8" t="n">
        <v>40</v>
      </c>
      <c r="AY606" s="8" t="n">
        <v>7</v>
      </c>
      <c r="AZ606" s="8" t="n">
        <v>178</v>
      </c>
      <c r="BA606" s="11" t="n">
        <f>IF(AND(COUNT(AX606:AZ606)=3,AX606&gt;=AY606,AY606&gt;=0,AZ606&gt;0),(AX606-AY606)/AZ606,"")</f>
        <v>0.1853932584269663</v>
      </c>
      <c r="BB606" s="8" t="n">
        <f>IF(COUNT(AS606,AW606,BA606)=3,1,0)</f>
        <v>1</v>
      </c>
      <c r="BC606" s="11" t="n">
        <f>IF(SUMIF($AO$11:$AO$1309,AO606,$BB$11:$BB$1309)=COUNTIF($AO$11:$AO$1309,AO606),SUMIF($AO$11:$AO$1309,AO606,$AS$11:$AS$1309),"")</f>
        <v>1.647227964272497</v>
      </c>
      <c r="BD606" s="11" t="n">
        <f>IF(SUMIF($AO$11:$AO$1309,AO606,$BB$11:$BB$1309)=COUNTIF($AO$11:$AO$1309,AO606),SUMIF($AO$11:$AO$1309,AO606,$AW$11:$AW$1309),"")</f>
        <v>2.425267379679144</v>
      </c>
      <c r="BE606" s="11" t="n">
        <f>IF(SUMIF($AO$11:$AO$1309,AO606,$BB$11:$BB$1309)=COUNTIF($AO$11:$AO$1309,AO606),SUMIF($AO$11:$AO$1309,AO606,$BA$11:$BA$1309),"")</f>
        <v>1.3550882825040127</v>
      </c>
      <c r="BF606" s="12" t="n">
        <f>IF(COUNT(BD606:BE606)&lt;&gt;2,"",IF(AND(BD606&gt;0,BE606&gt;0),0.7*AW606/BD606+0.3*BA606/BE606,IF(BD606&gt;0,AW606/BD606,IF(BE606&gt;0,BA606/BE606,IF(AND(ISNUMBER(BH606),BH606=0),0,"")))))</f>
        <v>0.14271956583372106</v>
      </c>
      <c r="BG606" s="11" t="n">
        <f>IF(AND(COUNT(BN606:BU606)=8,MIN(BN606:BU606)&gt;=0),SUMPRODUCT(BN606:BQ606,BR606:BU606),"")</f>
        <v>109.4582336985339</v>
      </c>
      <c r="BH606" s="11" t="n">
        <f>IF(COUNT(BC606,BG606)=2,BC606*BG606,"")</f>
        <v>180.3026634680992</v>
      </c>
      <c r="BI606" s="11" t="n">
        <f>IF(ISNUMBER(CI606),CI606,"")</f>
        <v>25.732717848830642</v>
      </c>
      <c r="BJ606" s="8" t="str"/>
      <c r="BK606" s="8" t="str">
        <v>90天：2026-07-20 至 2026-10-17；180天：2026-04-21 至 2026-10-17</v>
      </c>
      <c r="BL606" s="8" t="str">
        <v>90天：2026-10-06、2026-10-07；180天：2026-10-06、2026-10-07</v>
      </c>
      <c r="BM606" s="8" t="str">
        <v>2026-10：12天 × 1.7391279184229513；2026-11：30天 × 1.4002077845513243；2026-12：31天 × 1.079339935625147；2027-01：17天 × 0.7719368903846591</v>
      </c>
      <c r="BN606" s="11" t="n">
        <v>1.7391279184229513</v>
      </c>
      <c r="BO606" s="11" t="n">
        <v>1.4002077845513243</v>
      </c>
      <c r="BP606" s="11" t="n">
        <v>1.079339935625147</v>
      </c>
      <c r="BQ606" s="11" t="n">
        <v>0.7719368903846591</v>
      </c>
      <c r="BR606" s="8" t="n">
        <v>12</v>
      </c>
      <c r="BS606" s="8" t="n">
        <v>30</v>
      </c>
      <c r="BT606" s="8" t="n">
        <v>31</v>
      </c>
      <c r="BU606" s="8" t="n">
        <v>17</v>
      </c>
      <c r="BV606" s="11" t="n">
        <f>IF(COUNT(BC606,BF606)=2,BC606*BF606,"")</f>
        <v>0.23509165989013495</v>
      </c>
      <c r="BW606" s="11" t="n">
        <f>IF(ISNUMBER(BN606),BN606,"")</f>
        <v>1.7391279184229513</v>
      </c>
      <c r="BX606" s="14" t="n">
        <f>IF(ISNUMBER(BR606),BR606,"")</f>
        <v>12</v>
      </c>
      <c r="BY606" s="13" t="n">
        <f>IF(AND(COUNT(BV606,BW606,BX606)=3,MIN(BV606,BW606,BX606)&gt;=0),BV606*BW606*BX606,"")</f>
        <v>4.906253629239922</v>
      </c>
      <c r="BZ606" s="11" t="n">
        <f>IF(ISNUMBER(BO606),BO606,"")</f>
        <v>1.4002077845513243</v>
      </c>
      <c r="CA606" s="14" t="n">
        <f>IF(ISNUMBER(BS606),BS606,"")</f>
        <v>30</v>
      </c>
      <c r="CB606" s="13" t="n">
        <f>IF(AND(COUNT(BV606,BZ606,CA606)=3,MIN(BV606,BZ606,CA606)&gt;=0),BV606*BZ606*CA606,"")</f>
        <v>9.87531516783778</v>
      </c>
      <c r="CC606" s="11" t="n">
        <f>IF(ISNUMBER(BP606),BP606,"")</f>
        <v>1.079339935625147</v>
      </c>
      <c r="CD606" s="14" t="n">
        <f>IF(ISNUMBER(BT606),BT606,"")</f>
        <v>31</v>
      </c>
      <c r="CE606" s="13" t="n">
        <f>IF(AND(COUNT(BV606,CC606,CD606)=3,MIN(BV606,CC606,CD606)&gt;=0),BV606*CC606*CD606,"")</f>
        <v>7.866058328606643</v>
      </c>
      <c r="CF606" s="11" t="n">
        <f>IF(ISNUMBER(BQ606),BQ606,"")</f>
        <v>0.7719368903846591</v>
      </c>
      <c r="CG606" s="14" t="n">
        <f>IF(ISNUMBER(BU606),BU606,"")</f>
        <v>17</v>
      </c>
      <c r="CH606" s="13" t="n">
        <f>IF(AND(COUNT(BV606,CF606,CG606)=3,MIN(BV606,CF606,CG606)&gt;=0),BV606*CF606*CG606,"")</f>
        <v>3.085090723146297</v>
      </c>
      <c r="CI606" s="13" t="n">
        <f>IF(COUNT(BY606,CB606,CE606,CH606)=4,SUM(BY606,CB606,CE606,CH606),"")</f>
        <v>25.732717848830642</v>
      </c>
    </row>
    <row r="607" ht="72" customHeight="1">
      <c r="A607" s="16" t="str">
        <v>2302153-NY-40.5</v>
      </c>
      <c r="B607" s="16" t="str">
        <v>3店-SANDIEX-US</v>
      </c>
      <c r="C607" s="16" t="str">
        <v>徐新怡</v>
      </c>
      <c r="D607" s="26" t="n">
        <f>IF(NOT(ISNUMBER(E607)),"",IF(OR(E607&lt;=0,L607=0),0,IF(OR(NOT(ISNUMBER(F607)),F607&lt;0),"",MIN(E607,INT(F607)))))</f>
        <v>0</v>
      </c>
      <c r="E607" s="27" t="n">
        <f>IF(OR(NOT(ISNUMBER(L607)),COUNT(M607:O607)&lt;&gt;3,MIN(M607:O607)&lt;0),"",ROUNDUP(ROUND(BI607-SUM(M607:O607),10),0))</f>
        <v>-10</v>
      </c>
      <c r="F607" s="28" t="n">
        <v>20</v>
      </c>
      <c r="G607" s="28" t="n">
        <f>IF(AND(ISNUMBER(D607),ISNUMBER(E607)),IF(OR(E607&lt;=0,L607=0),0,E607-D607),"")</f>
        <v>0</v>
      </c>
      <c r="H607" s="16" t="str">
        <f>IF(NOT(ISNUMBER(E607)),"销量或海外库存待补",IF(OR(E607&lt;=0,L607=0),IF(L607=0,"零日销，本批不发","本批无需补货"),IF(NOT(ISNUMBER(D607)),"国内库存待补",IF(D607=0,"国内无可用库存",IF(G607&gt;0,"先发国内现货","按建议量发货")))))</f>
        <v>本批无需补货</v>
      </c>
      <c r="I607" s="28" t="n">
        <f>IF(AND(COUNT(Z607,AA607,AB607)=3,Z607&gt;=AA607,AA607&gt;=0,AB607=7),Z607-AA607,"")</f>
        <v>4</v>
      </c>
      <c r="J607" s="28" t="n">
        <f>IF(AND(COUNT(AF607,AG607,AH607)=3,AF607&gt;=AG607,AG607&gt;=0,AH607=14),AF607-AG607,"")</f>
        <v>12</v>
      </c>
      <c r="K607" s="28" t="n">
        <f>IF(AND(COUNT(AL607,AM607,AN607)=3,AL607&gt;=AM607,AM607&gt;=0,AN607=30),AL607-AM607,"")</f>
        <v>13</v>
      </c>
      <c r="L607" s="29" t="n">
        <f>IF(ISNUMBER(BI607),BI607/90,"")</f>
        <v>0.22248199018310233</v>
      </c>
      <c r="M607" s="28" t="n">
        <v>22</v>
      </c>
      <c r="N607" s="28" t="n">
        <v>0</v>
      </c>
      <c r="O607" s="28" t="n">
        <v>8</v>
      </c>
      <c r="P607" s="30" t="n">
        <f>IF(AND(ISNUMBER(L607),L607&gt;0,COUNT(M607:O607)=3,MIN(M607:O607)&gt;=0),SUM(M607:O607)/L607,"")</f>
        <v>134.8423752201697</v>
      </c>
      <c r="Q607" s="16" t="str">
        <v>沿用原计划SKU店铺</v>
      </c>
      <c r="R607" s="16" t="str">
        <v>已匹配</v>
      </c>
      <c r="S607" s="16" t="str">
        <v>在售</v>
      </c>
      <c r="T607" s="16" t="str">
        <v>2302153</v>
      </c>
      <c r="U607" s="16" t="str">
        <v>藏青色</v>
      </c>
      <c r="V607" s="16" t="n">
        <v>9.5</v>
      </c>
      <c r="W607" s="8" t="str">
        <v>2026-10-11 至 2026-10-17</v>
      </c>
      <c r="X607" s="8" t="str">
        <v>2026-10-11、2026-10-12、2026-10-13、2026-10-14、2026-10-15、2026-10-16、2026-10-17</v>
      </c>
      <c r="Y607" s="8" t="str">
        <v>无</v>
      </c>
      <c r="Z607" s="8" t="n">
        <v>4</v>
      </c>
      <c r="AA607" s="8" t="n">
        <v>0</v>
      </c>
      <c r="AB607" s="8" t="n">
        <v>7</v>
      </c>
      <c r="AC607" s="8" t="str">
        <v>2026-10-02 至 2026-10-17</v>
      </c>
      <c r="AD607" s="8" t="str">
        <v>2026-10-02、2026-10-03、2026-10-04、2026-10-05、2026-10-08、2026-10-09、2026-10-10、2026-10-11、2026-10-12、2026-10-13、2026-10-14、2026-10-15、2026-10-16、2026-10-17</v>
      </c>
      <c r="AE607" s="8" t="str">
        <v>2026-10-06 大促；2026-10-07 大促</v>
      </c>
      <c r="AF607" s="8" t="n">
        <v>14</v>
      </c>
      <c r="AG607" s="8" t="n">
        <v>2</v>
      </c>
      <c r="AH607" s="8" t="n">
        <v>14</v>
      </c>
      <c r="AI607" s="8" t="str">
        <v>2026-09-16 至 2026-10-17</v>
      </c>
      <c r="AJ6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7" s="8" t="str">
        <v>2026-10-06 大促；2026-10-07 大促</v>
      </c>
      <c r="AL607" s="8" t="n">
        <v>15</v>
      </c>
      <c r="AM607" s="8" t="n">
        <v>2</v>
      </c>
      <c r="AN607" s="8" t="n">
        <v>30</v>
      </c>
      <c r="AO607" s="8" t="str">
        <v>2302153 / 藏青色羊京绒 / 6574</v>
      </c>
      <c r="AP607" s="11" t="n">
        <v>1.7391279184229513</v>
      </c>
      <c r="AQ607" s="11" t="n">
        <v>1.7391279184229513</v>
      </c>
      <c r="AR607" s="11" t="n">
        <v>1.5731892896917212</v>
      </c>
      <c r="AS607" s="11" t="n">
        <f>IF(AND(COUNT(I607:K607,AP607:AR607)=6,MIN(AP607:AR607)&gt;0),I607/7/AP607*0.5+J607/14/AQ607*0.3+K607/30/AR607*0.2,"")</f>
        <v>0.36723309819226235</v>
      </c>
      <c r="AT607" s="8" t="n">
        <v>26</v>
      </c>
      <c r="AU607" s="8" t="n">
        <v>2</v>
      </c>
      <c r="AV607" s="8" t="n">
        <v>88</v>
      </c>
      <c r="AW607" s="11" t="n">
        <f>IF(AND(COUNT(AT607:AV607)=3,AT607&gt;=AU607,AU607&gt;=0,AV607&gt;0),(AT607-AU607)/AV607,"")</f>
        <v>0.2727272727272727</v>
      </c>
      <c r="AX607" s="8" t="n">
        <v>28</v>
      </c>
      <c r="AY607" s="8" t="n">
        <v>2</v>
      </c>
      <c r="AZ607" s="8" t="n">
        <v>178</v>
      </c>
      <c r="BA607" s="11" t="n">
        <f>IF(AND(COUNT(AX607:AZ607)=3,AX607&gt;=AY607,AY607&gt;=0,AZ607&gt;0),(AX607-AY607)/AZ607,"")</f>
        <v>0.14606741573033707</v>
      </c>
      <c r="BB607" s="8" t="n">
        <f>IF(COUNT(AS607,AW607,BA607)=3,1,0)</f>
        <v>1</v>
      </c>
      <c r="BC607" s="11" t="n">
        <f>IF(SUMIF($AO$11:$AO$1309,AO607,$BB$11:$BB$1309)=COUNTIF($AO$11:$AO$1309,AO607),SUMIF($AO$11:$AO$1309,AO607,$AS$11:$AS$1309),"")</f>
        <v>1.647227964272497</v>
      </c>
      <c r="BD607" s="11" t="n">
        <f>IF(SUMIF($AO$11:$AO$1309,AO607,$BB$11:$BB$1309)=COUNTIF($AO$11:$AO$1309,AO607),SUMIF($AO$11:$AO$1309,AO607,$AW$11:$AW$1309),"")</f>
        <v>2.425267379679144</v>
      </c>
      <c r="BE607" s="11" t="n">
        <f>IF(SUMIF($AO$11:$AO$1309,AO607,$BB$11:$BB$1309)=COUNTIF($AO$11:$AO$1309,AO607),SUMIF($AO$11:$AO$1309,AO607,$BA$11:$BA$1309),"")</f>
        <v>1.3550882825040127</v>
      </c>
      <c r="BF607" s="12" t="n">
        <f>IF(COUNT(BD607:BE607)&lt;&gt;2,"",IF(AND(BD607&gt;0,BE607&gt;0),0.7*AW607/BD607+0.3*BA607/BE607,IF(BD607&gt;0,AW607/BD607,IF(BE607&gt;0,BA607/BE607,IF(AND(ISNUMBER(BH607),BH607=0),0,"")))))</f>
        <v>0.11105426138101351</v>
      </c>
      <c r="BG607" s="11" t="n">
        <f>IF(AND(COUNT(BN607:BU607)=8,MIN(BN607:BU607)&gt;=0),SUMPRODUCT(BN607:BQ607,BR607:BU607),"")</f>
        <v>109.4582336985339</v>
      </c>
      <c r="BH607" s="11" t="n">
        <f>IF(COUNT(BC607,BG607)=2,BC607*BG607,"")</f>
        <v>180.3026634680992</v>
      </c>
      <c r="BI607" s="11" t="n">
        <f>IF(ISNUMBER(CI607),CI607,"")</f>
        <v>20.02337911647921</v>
      </c>
      <c r="BJ607" s="8" t="str"/>
      <c r="BK607" s="8" t="str">
        <v>90天：2026-07-20 至 2026-10-17；180天：2026-04-21 至 2026-10-17</v>
      </c>
      <c r="BL607" s="8" t="str">
        <v>90天：2026-10-06、2026-10-07；180天：2026-10-06、2026-10-07</v>
      </c>
      <c r="BM607" s="8" t="str">
        <v>2026-10：12天 × 1.7391279184229513；2026-11：30天 × 1.4002077845513243；2026-12：31天 × 1.079339935625147；2027-01：17天 × 0.7719368903846591</v>
      </c>
      <c r="BN607" s="11" t="n">
        <v>1.7391279184229513</v>
      </c>
      <c r="BO607" s="11" t="n">
        <v>1.4002077845513243</v>
      </c>
      <c r="BP607" s="11" t="n">
        <v>1.079339935625147</v>
      </c>
      <c r="BQ607" s="11" t="n">
        <v>0.7719368903846591</v>
      </c>
      <c r="BR607" s="8" t="n">
        <v>12</v>
      </c>
      <c r="BS607" s="8" t="n">
        <v>30</v>
      </c>
      <c r="BT607" s="8" t="n">
        <v>31</v>
      </c>
      <c r="BU607" s="8" t="n">
        <v>17</v>
      </c>
      <c r="BV607" s="11" t="n">
        <f>IF(COUNT(BC607,BF607)=2,BC607*BF607,"")</f>
        <v>0.18293168489843267</v>
      </c>
      <c r="BW607" s="11" t="n">
        <f>IF(ISNUMBER(BN607),BN607,"")</f>
        <v>1.7391279184229513</v>
      </c>
      <c r="BX607" s="14" t="n">
        <f>IF(ISNUMBER(BR607),BR607,"")</f>
        <v>12</v>
      </c>
      <c r="BY607" s="13" t="n">
        <f>IF(AND(COUNT(BV607,BW607,BX607)=3,MIN(BV607,BW607,BX607)&gt;=0),BV607*BW607*BX607,"")</f>
        <v>3.8176992044521736</v>
      </c>
      <c r="BZ607" s="11" t="n">
        <f>IF(ISNUMBER(BO607),BO607,"")</f>
        <v>1.4002077845513243</v>
      </c>
      <c r="CA607" s="14" t="n">
        <f>IF(ISNUMBER(BS607),BS607,"")</f>
        <v>30</v>
      </c>
      <c r="CB607" s="13" t="n">
        <f>IF(AND(COUNT(BV607,BZ607,CA607)=3,MIN(BV607,BZ607,CA607)&gt;=0),BV607*BZ607*CA607,"")</f>
        <v>7.684271077076261</v>
      </c>
      <c r="CC607" s="11" t="n">
        <f>IF(ISNUMBER(BP607),BP607,"")</f>
        <v>1.079339935625147</v>
      </c>
      <c r="CD607" s="14" t="n">
        <f>IF(ISNUMBER(BT607),BT607,"")</f>
        <v>31</v>
      </c>
      <c r="CE607" s="13" t="n">
        <f>IF(AND(COUNT(BV607,CC607,CD607)=3,MIN(BV607,CC607,CD607)&gt;=0),BV607*CC607*CD607,"")</f>
        <v>6.120809663064294</v>
      </c>
      <c r="CF607" s="11" t="n">
        <f>IF(ISNUMBER(BQ607),BQ607,"")</f>
        <v>0.7719368903846591</v>
      </c>
      <c r="CG607" s="14" t="n">
        <f>IF(ISNUMBER(BU607),BU607,"")</f>
        <v>17</v>
      </c>
      <c r="CH607" s="13" t="n">
        <f>IF(AND(COUNT(BV607,CF607,CG607)=3,MIN(BV607,CF607,CG607)&gt;=0),BV607*CF607*CG607,"")</f>
        <v>2.400599171886481</v>
      </c>
      <c r="CI607" s="13" t="n">
        <f>IF(COUNT(BY607,CB607,CE607,CH607)=4,SUM(BY607,CB607,CE607,CH607),"")</f>
        <v>20.02337911647921</v>
      </c>
    </row>
    <row r="608" ht="72" customHeight="1">
      <c r="A608" s="16" t="str">
        <v>230918-BK-P-Z-11</v>
      </c>
      <c r="B608" s="16" t="str">
        <v>1店-MUSSHOE-US</v>
      </c>
      <c r="C608" s="16" t="str">
        <v>艾年</v>
      </c>
      <c r="D608" s="26" t="n">
        <f>IF(NOT(ISNUMBER(E608)),"",IF(OR(E608&lt;=0,L608=0),0,IF(OR(NOT(ISNUMBER(F608)),F608&lt;0),"",MIN(E608,INT(F608)))))</f>
        <v>0</v>
      </c>
      <c r="E608" s="27" t="n">
        <f>IF(OR(NOT(ISNUMBER(L608)),COUNT(M608:O608)&lt;&gt;3,MIN(M608:O608)&lt;0),"",ROUNDUP(ROUND(BI608-SUM(M608:O608),10),0))</f>
        <v>-25</v>
      </c>
      <c r="F608" s="28" t="n">
        <v>0</v>
      </c>
      <c r="G608" s="28" t="n">
        <f>IF(AND(ISNUMBER(D608),ISNUMBER(E608)),IF(OR(E608&lt;=0,L608=0),0,E608-D608),"")</f>
        <v>0</v>
      </c>
      <c r="H608" s="16" t="str">
        <f>IF(NOT(ISNUMBER(E608)),"销量或海外库存待补",IF(OR(E608&lt;=0,L608=0),IF(L608=0,"零日销，本批不发","本批无需补货"),IF(NOT(ISNUMBER(D608)),"国内库存待补",IF(D608=0,"国内无可用库存",IF(G608&gt;0,"先发国内现货","按建议量发货")))))</f>
        <v>本批无需补货</v>
      </c>
      <c r="I608" s="28" t="n">
        <f>IF(AND(COUNT(Z608,AA608,AB608)=3,Z608&gt;=AA608,AA608&gt;=0,AB608=7),Z608-AA608,"")</f>
        <v>6</v>
      </c>
      <c r="J608" s="28" t="n">
        <f>IF(AND(COUNT(AF608,AG608,AH608)=3,AF608&gt;=AG608,AG608&gt;=0,AH608=14),AF608-AG608,"")</f>
        <v>8</v>
      </c>
      <c r="K608" s="28" t="n">
        <f>IF(AND(COUNT(AL608,AM608,AN608)=3,AL608&gt;=AM608,AM608&gt;=0,AN608=30),AL608-AM608,"")</f>
        <v>15</v>
      </c>
      <c r="L608" s="29" t="n">
        <f>IF(ISNUMBER(BI608),BI608/90,"")</f>
        <v>0.5180013566595163</v>
      </c>
      <c r="M608" s="28" t="n">
        <v>15</v>
      </c>
      <c r="N608" s="28" t="n">
        <v>0</v>
      </c>
      <c r="O608" s="28" t="n">
        <v>56</v>
      </c>
      <c r="P608" s="30" t="n">
        <f>IF(AND(ISNUMBER(L608),L608&gt;0,COUNT(M608:O608)=3,MIN(M608:O608)&gt;=0),SUM(M608:O608)/L608,"")</f>
        <v>137.06527808703885</v>
      </c>
      <c r="Q608" s="16" t="str">
        <v>沿用原计划SKU店铺</v>
      </c>
      <c r="R608" s="16" t="str">
        <v>已匹配</v>
      </c>
      <c r="S608" s="16" t="str">
        <v>在售</v>
      </c>
      <c r="T608" s="16" t="str">
        <v>230918</v>
      </c>
      <c r="U608" s="16" t="str">
        <v>黑色PU</v>
      </c>
      <c r="V608" s="16" t="n">
        <v>11</v>
      </c>
      <c r="W608" s="8" t="str">
        <v>2026-10-11 至 2026-10-17</v>
      </c>
      <c r="X608" s="8" t="str">
        <v>2026-10-11、2026-10-12、2026-10-13、2026-10-14、2026-10-15、2026-10-16、2026-10-17</v>
      </c>
      <c r="Y608" s="8" t="str">
        <v>无</v>
      </c>
      <c r="Z608" s="8" t="n">
        <v>6</v>
      </c>
      <c r="AA608" s="8" t="n">
        <v>0</v>
      </c>
      <c r="AB608" s="8" t="n">
        <v>7</v>
      </c>
      <c r="AC608" s="8" t="str">
        <v>2026-10-02 至 2026-10-17</v>
      </c>
      <c r="AD608" s="8" t="str">
        <v>2026-10-02、2026-10-03、2026-10-04、2026-10-05、2026-10-08、2026-10-09、2026-10-10、2026-10-11、2026-10-12、2026-10-13、2026-10-14、2026-10-15、2026-10-16、2026-10-17</v>
      </c>
      <c r="AE608" s="8" t="str">
        <v>2026-10-06 大促；2026-10-07 大促</v>
      </c>
      <c r="AF608" s="8" t="n">
        <v>8</v>
      </c>
      <c r="AG608" s="8" t="n">
        <v>0</v>
      </c>
      <c r="AH608" s="8" t="n">
        <v>14</v>
      </c>
      <c r="AI608" s="8" t="str">
        <v>2026-09-16 至 2026-10-17</v>
      </c>
      <c r="AJ6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8" s="8" t="str">
        <v>2026-10-06 大促；2026-10-07 大促</v>
      </c>
      <c r="AL608" s="8" t="n">
        <v>15</v>
      </c>
      <c r="AM608" s="8" t="n">
        <v>0</v>
      </c>
      <c r="AN608" s="8" t="n">
        <v>30</v>
      </c>
      <c r="AO608" s="8" t="str">
        <v>230918 / 黑色PU / 13120</v>
      </c>
      <c r="AP608" s="11" t="n">
        <v>1.6747911769553039</v>
      </c>
      <c r="AQ608" s="11" t="n">
        <v>1.6747911769553039</v>
      </c>
      <c r="AR608" s="11" t="n">
        <v>1.7386907395039133</v>
      </c>
      <c r="AS608" s="11" t="n">
        <f>IF(AND(COUNT(I608:K608,AP608:AR608)=6,MIN(AP608:AR608)&gt;0),I608/7/AP608*0.5+J608/14/AQ608*0.3+K608/30/AR608*0.2,"")</f>
        <v>0.4157681599740199</v>
      </c>
      <c r="AT608" s="8" t="n">
        <v>43</v>
      </c>
      <c r="AU608" s="8" t="n">
        <v>0</v>
      </c>
      <c r="AV608" s="8" t="n">
        <v>88</v>
      </c>
      <c r="AW608" s="11" t="n">
        <f>IF(AND(COUNT(AT608:AV608)=3,AT608&gt;=AU608,AU608&gt;=0,AV608&gt;0),(AT608-AU608)/AV608,"")</f>
        <v>0.48863636363636365</v>
      </c>
      <c r="AX608" s="8" t="n">
        <v>77</v>
      </c>
      <c r="AY608" s="8" t="n">
        <v>0</v>
      </c>
      <c r="AZ608" s="8" t="n">
        <v>178</v>
      </c>
      <c r="BA608" s="11" t="n">
        <f>IF(AND(COUNT(AX608:AZ608)=3,AX608&gt;=AY608,AY608&gt;=0,AZ608&gt;0),(AX608-AY608)/AZ608,"")</f>
        <v>0.43258426966292135</v>
      </c>
      <c r="BB608" s="8" t="n">
        <f>IF(COUNT(AS608,AW608,BA608)=3,1,0)</f>
        <v>1</v>
      </c>
      <c r="BC608" s="11" t="n">
        <f>IF(SUMIF($AO$11:$AO$1309,AO608,$BB$11:$BB$1309)=COUNTIF($AO$11:$AO$1309,AO608),SUMIF($AO$11:$AO$1309,AO608,$AS$11:$AS$1309),"")</f>
        <v>6.885958849970173</v>
      </c>
      <c r="BD608" s="11" t="n">
        <f>IF(SUMIF($AO$11:$AO$1309,AO608,$BB$11:$BB$1309)=COUNTIF($AO$11:$AO$1309,AO608),SUMIF($AO$11:$AO$1309,AO608,$AW$11:$AW$1309),"")</f>
        <v>8.045454545454545</v>
      </c>
      <c r="BE608" s="11" t="n">
        <f>IF(SUMIF($AO$11:$AO$1309,AO608,$BB$11:$BB$1309)=COUNTIF($AO$11:$AO$1309,AO608),SUMIF($AO$11:$AO$1309,AO608,$BA$11:$BA$1309),"")</f>
        <v>7.202247191011236</v>
      </c>
      <c r="BF608" s="12" t="n">
        <f>IF(COUNT(BD608:BE608)&lt;&gt;2,"",IF(AND(BD608&gt;0,BE608&gt;0),0.7*AW608/BD608+0.3*BA608/BE608,IF(BD608&gt;0,AW608/BD608,IF(BE608&gt;0,BA608/BE608,IF(AND(ISNUMBER(BH608),BH608=0),0,"")))))</f>
        <v>0.060532845042615274</v>
      </c>
      <c r="BG608" s="11" t="n">
        <f>IF(AND(COUNT(BN608:BU608)=8,MIN(BN608:BU608)&gt;=0),SUMPRODUCT(BN608:BQ608,BR608:BU608),"")</f>
        <v>111.84534083910866</v>
      </c>
      <c r="BH608" s="11" t="n">
        <f>IF(COUNT(BC608,BG608)=2,BC608*BG608,"")</f>
        <v>770.1624145789907</v>
      </c>
      <c r="BI608" s="11" t="n">
        <f>IF(ISNUMBER(CI608),CI608,"")</f>
        <v>46.620122099356465</v>
      </c>
      <c r="BJ608" s="8" t="str"/>
      <c r="BK608" s="8" t="str">
        <v>90天：2026-07-20 至 2026-10-17；180天：2026-04-21 至 2026-10-17</v>
      </c>
      <c r="BL608" s="8" t="str">
        <v>90天：2026-10-06、2026-10-07；180天：2026-10-06、2026-10-07</v>
      </c>
      <c r="BM608" s="8" t="str">
        <v>2026-10：12天 × 1.6747911769553037；2026-11：30天 × 1.5065205700457112；2026-12：31天 × 1.1492423388181006；2027-01：17天 × 0.6426892418183868</v>
      </c>
      <c r="BN608" s="11" t="n">
        <v>1.6747911769553037</v>
      </c>
      <c r="BO608" s="11" t="n">
        <v>1.5065205700457112</v>
      </c>
      <c r="BP608" s="11" t="n">
        <v>1.1492423388181006</v>
      </c>
      <c r="BQ608" s="11" t="n">
        <v>0.6426892418183868</v>
      </c>
      <c r="BR608" s="8" t="n">
        <v>12</v>
      </c>
      <c r="BS608" s="8" t="n">
        <v>30</v>
      </c>
      <c r="BT608" s="8" t="n">
        <v>31</v>
      </c>
      <c r="BU608" s="8" t="n">
        <v>17</v>
      </c>
      <c r="BV608" s="11" t="n">
        <f>IF(COUNT(BC608,BF608)=2,BC608*BF608,"")</f>
        <v>0.41682668003506973</v>
      </c>
      <c r="BW608" s="11" t="n">
        <f>IF(ISNUMBER(BN608),BN608,"")</f>
        <v>1.6747911769553037</v>
      </c>
      <c r="BX608" s="14" t="n">
        <f>IF(ISNUMBER(BR608),BR608,"")</f>
        <v>12</v>
      </c>
      <c r="BY608" s="13" t="n">
        <f>IF(AND(COUNT(BV608,BW608,BX608)=3,MIN(BV608,BW608,BX608)&gt;=0),BV608*BW608*BX608,"")</f>
        <v>8.377171752507675</v>
      </c>
      <c r="BZ608" s="11" t="n">
        <f>IF(ISNUMBER(BO608),BO608,"")</f>
        <v>1.5065205700457112</v>
      </c>
      <c r="CA608" s="14" t="n">
        <f>IF(ISNUMBER(BS608),BS608,"")</f>
        <v>30</v>
      </c>
      <c r="CB608" s="13" t="n">
        <f>IF(AND(COUNT(BV608,BZ608,CA608)=3,MIN(BV608,BZ608,CA608)&gt;=0),BV608*BZ608*CA608,"")</f>
        <v>18.838739028500836</v>
      </c>
      <c r="CC608" s="11" t="n">
        <f>IF(ISNUMBER(BP608),BP608,"")</f>
        <v>1.1492423388181006</v>
      </c>
      <c r="CD608" s="14" t="n">
        <f>IF(ISNUMBER(BT608),BT608,"")</f>
        <v>31</v>
      </c>
      <c r="CE608" s="13" t="n">
        <f>IF(AND(COUNT(BV608,CC608,CD608)=3,MIN(BV608,CC608,CD608)&gt;=0),BV608*CC608*CD608,"")</f>
        <v>14.850080928003916</v>
      </c>
      <c r="CF608" s="11" t="n">
        <f>IF(ISNUMBER(BQ608),BQ608,"")</f>
        <v>0.6426892418183868</v>
      </c>
      <c r="CG608" s="14" t="n">
        <f>IF(ISNUMBER(BU608),BU608,"")</f>
        <v>17</v>
      </c>
      <c r="CH608" s="13" t="n">
        <f>IF(AND(COUNT(BV608,CF608,CG608)=3,MIN(BV608,CF608,CG608)&gt;=0),BV608*CF608*CG608,"")</f>
        <v>4.554130390344043</v>
      </c>
      <c r="CI608" s="13" t="n">
        <f>IF(COUNT(BY608,CB608,CE608,CH608)=4,SUM(BY608,CB608,CE608,CH608),"")</f>
        <v>46.620122099356465</v>
      </c>
    </row>
    <row r="609" ht="72" customHeight="1">
      <c r="A609" s="16" t="str">
        <v>230918-BK-P-Z-6</v>
      </c>
      <c r="B609" s="16" t="str">
        <v>1店-MUSSHOE-US</v>
      </c>
      <c r="C609" s="16" t="str">
        <v>艾年</v>
      </c>
      <c r="D609" s="26" t="n">
        <f>IF(NOT(ISNUMBER(E609)),"",IF(OR(E609&lt;=0,L609=0),0,IF(OR(NOT(ISNUMBER(F609)),F609&lt;0),"",MIN(E609,INT(F609)))))</f>
        <v>0</v>
      </c>
      <c r="E609" s="27" t="n">
        <f>IF(OR(NOT(ISNUMBER(L609)),COUNT(M609:O609)&lt;&gt;3,MIN(M609:O609)&lt;0),"",ROUNDUP(ROUND(BI609-SUM(M609:O609),10),0))</f>
        <v>-19</v>
      </c>
      <c r="F609" s="28" t="n">
        <v>27</v>
      </c>
      <c r="G609" s="28" t="n">
        <f>IF(AND(ISNUMBER(D609),ISNUMBER(E609)),IF(OR(E609&lt;=0,L609=0),0,E609-D609),"")</f>
        <v>0</v>
      </c>
      <c r="H609" s="16" t="str">
        <f>IF(NOT(ISNUMBER(E609)),"销量或海外库存待补",IF(OR(E609&lt;=0,L609=0),IF(L609=0,"零日销，本批不发","本批无需补货"),IF(NOT(ISNUMBER(D609)),"国内库存待补",IF(D609=0,"国内无可用库存",IF(G609&gt;0,"先发国内现货","按建议量发货")))))</f>
        <v>本批无需补货</v>
      </c>
      <c r="I609" s="28" t="n">
        <f>IF(AND(COUNT(Z609,AA609,AB609)=3,Z609&gt;=AA609,AA609&gt;=0,AB609=7),Z609-AA609,"")</f>
        <v>3</v>
      </c>
      <c r="J609" s="28" t="n">
        <f>IF(AND(COUNT(AF609,AG609,AH609)=3,AF609&gt;=AG609,AG609&gt;=0,AH609=14),AF609-AG609,"")</f>
        <v>5</v>
      </c>
      <c r="K609" s="28" t="n">
        <f>IF(AND(COUNT(AL609,AM609,AN609)=3,AL609&gt;=AM609,AM609&gt;=0,AN609=30),AL609-AM609,"")</f>
        <v>12</v>
      </c>
      <c r="L609" s="29" t="n">
        <f>IF(ISNUMBER(BI609),BI609/90,"")</f>
        <v>0.5480388923295239</v>
      </c>
      <c r="M609" s="28" t="n">
        <v>23</v>
      </c>
      <c r="N609" s="28" t="n">
        <v>0</v>
      </c>
      <c r="O609" s="28" t="n">
        <v>45</v>
      </c>
      <c r="P609" s="30" t="n">
        <f>IF(AND(ISNUMBER(L609),L609&gt;0,COUNT(M609:O609)=3,MIN(M609:O609)&gt;=0),SUM(M609:O609)/L609,"")</f>
        <v>124.07878519525414</v>
      </c>
      <c r="Q609" s="16" t="str">
        <v>沿用原计划SKU店铺</v>
      </c>
      <c r="R609" s="16" t="str">
        <v>已匹配</v>
      </c>
      <c r="S609" s="16" t="str">
        <v>在售</v>
      </c>
      <c r="T609" s="16" t="str">
        <v>230918</v>
      </c>
      <c r="U609" s="16" t="str">
        <v>黑色PU</v>
      </c>
      <c r="V609" s="16" t="n">
        <v>6</v>
      </c>
      <c r="W609" s="8" t="str">
        <v>2026-10-11 至 2026-10-17</v>
      </c>
      <c r="X609" s="8" t="str">
        <v>2026-10-11、2026-10-12、2026-10-13、2026-10-14、2026-10-15、2026-10-16、2026-10-17</v>
      </c>
      <c r="Y609" s="8" t="str">
        <v>无</v>
      </c>
      <c r="Z609" s="8" t="n">
        <v>3</v>
      </c>
      <c r="AA609" s="8" t="n">
        <v>0</v>
      </c>
      <c r="AB609" s="8" t="n">
        <v>7</v>
      </c>
      <c r="AC609" s="8" t="str">
        <v>2026-10-02 至 2026-10-17</v>
      </c>
      <c r="AD609" s="8" t="str">
        <v>2026-10-02、2026-10-03、2026-10-04、2026-10-05、2026-10-08、2026-10-09、2026-10-10、2026-10-11、2026-10-12、2026-10-13、2026-10-14、2026-10-15、2026-10-16、2026-10-17</v>
      </c>
      <c r="AE609" s="8" t="str">
        <v>2026-10-06 大促；2026-10-07 大促</v>
      </c>
      <c r="AF609" s="8" t="n">
        <v>9</v>
      </c>
      <c r="AG609" s="8" t="n">
        <v>4</v>
      </c>
      <c r="AH609" s="8" t="n">
        <v>14</v>
      </c>
      <c r="AI609" s="8" t="str">
        <v>2026-09-16 至 2026-10-17</v>
      </c>
      <c r="AJ6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09" s="8" t="str">
        <v>2026-10-06 大促；2026-10-07 大促</v>
      </c>
      <c r="AL609" s="8" t="n">
        <v>16</v>
      </c>
      <c r="AM609" s="8" t="n">
        <v>4</v>
      </c>
      <c r="AN609" s="8" t="n">
        <v>30</v>
      </c>
      <c r="AO609" s="8" t="str">
        <v>230918 / 黑色PU / 13120</v>
      </c>
      <c r="AP609" s="11" t="n">
        <v>1.6747911769553039</v>
      </c>
      <c r="AQ609" s="11" t="n">
        <v>1.6747911769553039</v>
      </c>
      <c r="AR609" s="11" t="n">
        <v>1.7386907395039133</v>
      </c>
      <c r="AS609" s="11" t="n">
        <f>IF(AND(COUNT(I609:K609,AP609:AR609)=6,MIN(AP609:AR609)&gt;0),I609/7/AP609*0.5+J609/14/AQ609*0.3+K609/30/AR609*0.2,"")</f>
        <v>0.2379332144200507</v>
      </c>
      <c r="AT609" s="8" t="n">
        <v>47</v>
      </c>
      <c r="AU609" s="8" t="n">
        <v>4</v>
      </c>
      <c r="AV609" s="8" t="n">
        <v>88</v>
      </c>
      <c r="AW609" s="11" t="n">
        <f>IF(AND(COUNT(AT609:AV609)=3,AT609&gt;=AU609,AU609&gt;=0,AV609&gt;0),(AT609-AU609)/AV609,"")</f>
        <v>0.48863636363636365</v>
      </c>
      <c r="AX609" s="8" t="n">
        <v>96</v>
      </c>
      <c r="AY609" s="8" t="n">
        <v>4</v>
      </c>
      <c r="AZ609" s="8" t="n">
        <v>178</v>
      </c>
      <c r="BA609" s="11" t="n">
        <f>IF(AND(COUNT(AX609:AZ609)=3,AX609&gt;=AY609,AY609&gt;=0,AZ609&gt;0),(AX609-AY609)/AZ609,"")</f>
        <v>0.5168539325842697</v>
      </c>
      <c r="BB609" s="8" t="n">
        <f>IF(COUNT(AS609,AW609,BA609)=3,1,0)</f>
        <v>1</v>
      </c>
      <c r="BC609" s="11" t="n">
        <f>IF(SUMIF($AO$11:$AO$1309,AO609,$BB$11:$BB$1309)=COUNTIF($AO$11:$AO$1309,AO609),SUMIF($AO$11:$AO$1309,AO609,$AS$11:$AS$1309),"")</f>
        <v>6.885958849970173</v>
      </c>
      <c r="BD609" s="11" t="n">
        <f>IF(SUMIF($AO$11:$AO$1309,AO609,$BB$11:$BB$1309)=COUNTIF($AO$11:$AO$1309,AO609),SUMIF($AO$11:$AO$1309,AO609,$AW$11:$AW$1309),"")</f>
        <v>8.045454545454545</v>
      </c>
      <c r="BE609" s="11" t="n">
        <f>IF(SUMIF($AO$11:$AO$1309,AO609,$BB$11:$BB$1309)=COUNTIF($AO$11:$AO$1309,AO609),SUMIF($AO$11:$AO$1309,AO609,$BA$11:$BA$1309),"")</f>
        <v>7.202247191011236</v>
      </c>
      <c r="BF609" s="12" t="n">
        <f>IF(COUNT(BD609:BE609)&lt;&gt;2,"",IF(AND(BD609&gt;0,BE609&gt;0),0.7*AW609/BD609+0.3*BA609/BE609,IF(BD609&gt;0,AW609/BD609,IF(BE609&gt;0,BA609/BE609,IF(AND(ISNUMBER(BH609),BH609=0),0,"")))))</f>
        <v>0.06404298544823149</v>
      </c>
      <c r="BG609" s="11" t="n">
        <f>IF(AND(COUNT(BN609:BU609)=8,MIN(BN609:BU609)&gt;=0),SUMPRODUCT(BN609:BQ609,BR609:BU609),"")</f>
        <v>111.84534083910866</v>
      </c>
      <c r="BH609" s="11" t="n">
        <f>IF(COUNT(BC609,BG609)=2,BC609*BG609,"")</f>
        <v>770.1624145789907</v>
      </c>
      <c r="BI609" s="11" t="n">
        <f>IF(ISNUMBER(CI609),CI609,"")</f>
        <v>49.32350030965714</v>
      </c>
      <c r="BJ609" s="8" t="str"/>
      <c r="BK609" s="8" t="str">
        <v>90天：2026-07-20 至 2026-10-17；180天：2026-04-21 至 2026-10-17</v>
      </c>
      <c r="BL609" s="8" t="str">
        <v>90天：2026-10-06、2026-10-07；180天：2026-10-06、2026-10-07</v>
      </c>
      <c r="BM609" s="8" t="str">
        <v>2026-10：12天 × 1.6747911769553037；2026-11：30天 × 1.5065205700457112；2026-12：31天 × 1.1492423388181006；2027-01：17天 × 0.6426892418183868</v>
      </c>
      <c r="BN609" s="11" t="n">
        <v>1.6747911769553037</v>
      </c>
      <c r="BO609" s="11" t="n">
        <v>1.5065205700457112</v>
      </c>
      <c r="BP609" s="11" t="n">
        <v>1.1492423388181006</v>
      </c>
      <c r="BQ609" s="11" t="n">
        <v>0.6426892418183868</v>
      </c>
      <c r="BR609" s="8" t="n">
        <v>12</v>
      </c>
      <c r="BS609" s="8" t="n">
        <v>30</v>
      </c>
      <c r="BT609" s="8" t="n">
        <v>31</v>
      </c>
      <c r="BU609" s="8" t="n">
        <v>17</v>
      </c>
      <c r="BV609" s="11" t="n">
        <f>IF(COUNT(BC609,BF609)=2,BC609*BF609,"")</f>
        <v>0.44099736242576065</v>
      </c>
      <c r="BW609" s="11" t="n">
        <f>IF(ISNUMBER(BN609),BN609,"")</f>
        <v>1.6747911769553037</v>
      </c>
      <c r="BX609" s="14" t="n">
        <f>IF(ISNUMBER(BR609),BR609,"")</f>
        <v>12</v>
      </c>
      <c r="BY609" s="13" t="n">
        <f>IF(AND(COUNT(BV609,BW609,BX609)=3,MIN(BV609,BW609,BX609)&gt;=0),BV609*BW609*BX609,"")</f>
        <v>8.862941899814691</v>
      </c>
      <c r="BZ609" s="11" t="n">
        <f>IF(ISNUMBER(BO609),BO609,"")</f>
        <v>1.5065205700457112</v>
      </c>
      <c r="CA609" s="14" t="n">
        <f>IF(ISNUMBER(BS609),BS609,"")</f>
        <v>30</v>
      </c>
      <c r="CB609" s="13" t="n">
        <f>IF(AND(COUNT(BV609,BZ609,CA609)=3,MIN(BV609,BZ609,CA609)&gt;=0),BV609*BZ609*CA609,"")</f>
        <v>19.93114793490936</v>
      </c>
      <c r="CC609" s="11" t="n">
        <f>IF(ISNUMBER(BP609),BP609,"")</f>
        <v>1.1492423388181006</v>
      </c>
      <c r="CD609" s="14" t="n">
        <f>IF(ISNUMBER(BT609),BT609,"")</f>
        <v>31</v>
      </c>
      <c r="CE609" s="13" t="n">
        <f>IF(AND(COUNT(BV609,CC609,CD609)=3,MIN(BV609,CC609,CD609)&gt;=0),BV609*CC609*CD609,"")</f>
        <v>15.711198046410637</v>
      </c>
      <c r="CF609" s="11" t="n">
        <f>IF(ISNUMBER(BQ609),BQ609,"")</f>
        <v>0.6426892418183868</v>
      </c>
      <c r="CG609" s="14" t="n">
        <f>IF(ISNUMBER(BU609),BU609,"")</f>
        <v>17</v>
      </c>
      <c r="CH609" s="13" t="n">
        <f>IF(AND(COUNT(BV609,CF609,CG609)=3,MIN(BV609,CF609,CG609)&gt;=0),BV609*CF609*CG609,"")</f>
        <v>4.818212428522448</v>
      </c>
      <c r="CI609" s="13" t="n">
        <f>IF(COUNT(BY609,CB609,CE609,CH609)=4,SUM(BY609,CB609,CE609,CH609),"")</f>
        <v>49.32350030965714</v>
      </c>
    </row>
    <row r="610" ht="72" customHeight="1">
      <c r="A610" s="16" t="str">
        <v>230918-BK-P-Z-7</v>
      </c>
      <c r="B610" s="16" t="str">
        <v>1店-MUSSHOE-US</v>
      </c>
      <c r="C610" s="16" t="str">
        <v>艾年</v>
      </c>
      <c r="D610" s="26" t="n">
        <f>IF(NOT(ISNUMBER(E610)),"",IF(OR(E610&lt;=0,L610=0),0,IF(OR(NOT(ISNUMBER(F610)),F610&lt;0),"",MIN(E610,INT(F610)))))</f>
        <v>0</v>
      </c>
      <c r="E610" s="27" t="n">
        <f>IF(OR(NOT(ISNUMBER(L610)),COUNT(M610:O610)&lt;&gt;3,MIN(M610:O610)&lt;0),"",ROUNDUP(ROUND(BI610-SUM(M610:O610),10),0))</f>
        <v>-7</v>
      </c>
      <c r="F610" s="28" t="n">
        <v>0</v>
      </c>
      <c r="G610" s="28" t="n">
        <f>IF(AND(ISNUMBER(D610),ISNUMBER(E610)),IF(OR(E610&lt;=0,L610=0),0,E610-D610),"")</f>
        <v>0</v>
      </c>
      <c r="H610" s="16" t="str">
        <f>IF(NOT(ISNUMBER(E610)),"销量或海外库存待补",IF(OR(E610&lt;=0,L610=0),IF(L610=0,"零日销，本批不发","本批无需补货"),IF(NOT(ISNUMBER(D610)),"国内库存待补",IF(D610=0,"国内无可用库存",IF(G610&gt;0,"先发国内现货","按建议量发货")))))</f>
        <v>本批无需补货</v>
      </c>
      <c r="I610" s="28" t="n">
        <f>IF(AND(COUNT(Z610,AA610,AB610)=3,Z610&gt;=AA610,AA610&gt;=0,AB610=7),Z610-AA610,"")</f>
        <v>19</v>
      </c>
      <c r="J610" s="28" t="n">
        <f>IF(AND(COUNT(AF610,AG610,AH610)=3,AF610&gt;=AG610,AG610&gt;=0,AH610=14),AF610-AG610,"")</f>
        <v>27</v>
      </c>
      <c r="K610" s="28" t="n">
        <f>IF(AND(COUNT(AL610,AM610,AN610)=3,AL610&gt;=AM610,AM610&gt;=0,AN610=30),AL610-AM610,"")</f>
        <v>45</v>
      </c>
      <c r="L610" s="29" t="n">
        <f>IF(ISNUMBER(BI610),BI610/90,"")</f>
        <v>1.4567318570087637</v>
      </c>
      <c r="M610" s="28" t="n">
        <v>44</v>
      </c>
      <c r="N610" s="28" t="n">
        <v>0</v>
      </c>
      <c r="O610" s="28" t="n">
        <v>94</v>
      </c>
      <c r="P610" s="30" t="n">
        <f>IF(AND(ISNUMBER(L610),L610&gt;0,COUNT(M610:O610)=3,MIN(M610:O610)&gt;=0),SUM(M610:O610)/L610,"")</f>
        <v>94.73260252807788</v>
      </c>
      <c r="Q610" s="16" t="str">
        <v>沿用原计划SKU店铺</v>
      </c>
      <c r="R610" s="16" t="str">
        <v>已匹配</v>
      </c>
      <c r="S610" s="16" t="str">
        <v>在售</v>
      </c>
      <c r="T610" s="16" t="str">
        <v>230918</v>
      </c>
      <c r="U610" s="16" t="str">
        <v>黑色PU</v>
      </c>
      <c r="V610" s="16" t="n">
        <v>7</v>
      </c>
      <c r="W610" s="8" t="str">
        <v>2026-10-11 至 2026-10-17</v>
      </c>
      <c r="X610" s="8" t="str">
        <v>2026-10-11、2026-10-12、2026-10-13、2026-10-14、2026-10-15、2026-10-16、2026-10-17</v>
      </c>
      <c r="Y610" s="8" t="str">
        <v>无</v>
      </c>
      <c r="Z610" s="8" t="n">
        <v>19</v>
      </c>
      <c r="AA610" s="8" t="n">
        <v>0</v>
      </c>
      <c r="AB610" s="8" t="n">
        <v>7</v>
      </c>
      <c r="AC610" s="8" t="str">
        <v>2026-10-02 至 2026-10-17</v>
      </c>
      <c r="AD610" s="8" t="str">
        <v>2026-10-02、2026-10-03、2026-10-04、2026-10-05、2026-10-08、2026-10-09、2026-10-10、2026-10-11、2026-10-12、2026-10-13、2026-10-14、2026-10-15、2026-10-16、2026-10-17</v>
      </c>
      <c r="AE610" s="8" t="str">
        <v>2026-10-06 大促；2026-10-07 大促</v>
      </c>
      <c r="AF610" s="8" t="n">
        <v>28</v>
      </c>
      <c r="AG610" s="8" t="n">
        <v>1</v>
      </c>
      <c r="AH610" s="8" t="n">
        <v>14</v>
      </c>
      <c r="AI610" s="8" t="str">
        <v>2026-09-16 至 2026-10-17</v>
      </c>
      <c r="AJ6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0" s="8" t="str">
        <v>2026-10-06 大促；2026-10-07 大促</v>
      </c>
      <c r="AL610" s="8" t="n">
        <v>46</v>
      </c>
      <c r="AM610" s="8" t="n">
        <v>1</v>
      </c>
      <c r="AN610" s="8" t="n">
        <v>30</v>
      </c>
      <c r="AO610" s="8" t="str">
        <v>230918 / 黑色PU / 13120</v>
      </c>
      <c r="AP610" s="11" t="n">
        <v>1.6747911769553039</v>
      </c>
      <c r="AQ610" s="11" t="n">
        <v>1.6747911769553039</v>
      </c>
      <c r="AR610" s="11" t="n">
        <v>1.7386907395039133</v>
      </c>
      <c r="AS610" s="11" t="n">
        <f>IF(AND(COUNT(I610:K610,AP610:AR610)=6,MIN(AP610:AR610)&gt;0),I610/7/AP610*0.5+J610/14/AQ610*0.3+K610/30/AR610*0.2,"")</f>
        <v>1.3283380365717958</v>
      </c>
      <c r="AT610" s="8" t="n">
        <v>123</v>
      </c>
      <c r="AU610" s="8" t="n">
        <v>1</v>
      </c>
      <c r="AV610" s="8" t="n">
        <v>88</v>
      </c>
      <c r="AW610" s="11" t="n">
        <f>IF(AND(COUNT(AT610:AV610)=3,AT610&gt;=AU610,AU610&gt;=0,AV610&gt;0),(AT610-AU610)/AV610,"")</f>
        <v>1.3863636363636365</v>
      </c>
      <c r="AX610" s="8" t="n">
        <v>213</v>
      </c>
      <c r="AY610" s="8" t="n">
        <v>1</v>
      </c>
      <c r="AZ610" s="8" t="n">
        <v>178</v>
      </c>
      <c r="BA610" s="11" t="n">
        <f>IF(AND(COUNT(AX610:AZ610)=3,AX610&gt;=AY610,AY610&gt;=0,AZ610&gt;0),(AX610-AY610)/AZ610,"")</f>
        <v>1.1910112359550562</v>
      </c>
      <c r="BB610" s="8" t="n">
        <f>IF(COUNT(AS610,AW610,BA610)=3,1,0)</f>
        <v>1</v>
      </c>
      <c r="BC610" s="11" t="n">
        <f>IF(SUMIF($AO$11:$AO$1309,AO610,$BB$11:$BB$1309)=COUNTIF($AO$11:$AO$1309,AO610),SUMIF($AO$11:$AO$1309,AO610,$AS$11:$AS$1309),"")</f>
        <v>6.885958849970173</v>
      </c>
      <c r="BD610" s="11" t="n">
        <f>IF(SUMIF($AO$11:$AO$1309,AO610,$BB$11:$BB$1309)=COUNTIF($AO$11:$AO$1309,AO610),SUMIF($AO$11:$AO$1309,AO610,$AW$11:$AW$1309),"")</f>
        <v>8.045454545454545</v>
      </c>
      <c r="BE610" s="11" t="n">
        <f>IF(SUMIF($AO$11:$AO$1309,AO610,$BB$11:$BB$1309)=COUNTIF($AO$11:$AO$1309,AO610),SUMIF($AO$11:$AO$1309,AO610,$BA$11:$BA$1309),"")</f>
        <v>7.202247191011236</v>
      </c>
      <c r="BF610" s="12" t="n">
        <f>IF(COUNT(BD610:BE610)&lt;&gt;2,"",IF(AND(BD610&gt;0,BE610&gt;0),0.7*AW610/BD610+0.3*BA610/BE610,IF(BD610&gt;0,AW610/BD610,IF(BE610&gt;0,BA610/BE610,IF(AND(ISNUMBER(BH610),BH610=0),0,"")))))</f>
        <v>0.17023145332592965</v>
      </c>
      <c r="BG610" s="11" t="n">
        <f>IF(AND(COUNT(BN610:BU610)=8,MIN(BN610:BU610)&gt;=0),SUMPRODUCT(BN610:BQ610,BR610:BU610),"")</f>
        <v>111.84534083910866</v>
      </c>
      <c r="BH610" s="11" t="n">
        <f>IF(COUNT(BC610,BG610)=2,BC610*BG610,"")</f>
        <v>770.1624145789907</v>
      </c>
      <c r="BI610" s="11" t="n">
        <f>IF(ISNUMBER(CI610),CI610,"")</f>
        <v>131.10586713078874</v>
      </c>
      <c r="BJ610" s="8" t="str"/>
      <c r="BK610" s="8" t="str">
        <v>90天：2026-07-20 至 2026-10-17；180天：2026-04-21 至 2026-10-17</v>
      </c>
      <c r="BL610" s="8" t="str">
        <v>90天：2026-10-06、2026-10-07；180天：2026-10-06、2026-10-07</v>
      </c>
      <c r="BM610" s="8" t="str">
        <v>2026-10：12天 × 1.6747911769553037；2026-11：30天 × 1.5065205700457112；2026-12：31天 × 1.1492423388181006；2027-01：17天 × 0.6426892418183868</v>
      </c>
      <c r="BN610" s="11" t="n">
        <v>1.6747911769553037</v>
      </c>
      <c r="BO610" s="11" t="n">
        <v>1.5065205700457112</v>
      </c>
      <c r="BP610" s="11" t="n">
        <v>1.1492423388181006</v>
      </c>
      <c r="BQ610" s="11" t="n">
        <v>0.6426892418183868</v>
      </c>
      <c r="BR610" s="8" t="n">
        <v>12</v>
      </c>
      <c r="BS610" s="8" t="n">
        <v>30</v>
      </c>
      <c r="BT610" s="8" t="n">
        <v>31</v>
      </c>
      <c r="BU610" s="8" t="n">
        <v>17</v>
      </c>
      <c r="BV610" s="11" t="n">
        <f>IF(COUNT(BC610,BF610)=2,BC610*BF610,"")</f>
        <v>1.1722067825729696</v>
      </c>
      <c r="BW610" s="11" t="n">
        <f>IF(ISNUMBER(BN610),BN610,"")</f>
        <v>1.6747911769553037</v>
      </c>
      <c r="BX610" s="14" t="n">
        <f>IF(ISNUMBER(BR610),BR610,"")</f>
        <v>12</v>
      </c>
      <c r="BY610" s="13" t="n">
        <f>IF(AND(COUNT(BV610,BW610,BX610)=3,MIN(BV610,BW610,BX610)&gt;=0),BV610*BW610*BX610,"")</f>
        <v>23.55841892424448</v>
      </c>
      <c r="BZ610" s="11" t="n">
        <f>IF(ISNUMBER(BO610),BO610,"")</f>
        <v>1.5065205700457112</v>
      </c>
      <c r="CA610" s="14" t="n">
        <f>IF(ISNUMBER(BS610),BS610,"")</f>
        <v>30</v>
      </c>
      <c r="CB610" s="13" t="n">
        <f>IF(AND(COUNT(BV610,BZ610,CA610)=3,MIN(BV610,BZ610,CA610)&gt;=0),BV610*BZ610*CA610,"")</f>
        <v>52.97860890879838</v>
      </c>
      <c r="CC610" s="11" t="n">
        <f>IF(ISNUMBER(BP610),BP610,"")</f>
        <v>1.1492423388181006</v>
      </c>
      <c r="CD610" s="14" t="n">
        <f>IF(ISNUMBER(BT610),BT610,"")</f>
        <v>31</v>
      </c>
      <c r="CE610" s="13" t="n">
        <f>IF(AND(COUNT(BV610,CC610,CD610)=3,MIN(BV610,CC610,CD610)&gt;=0),BV610*CC610*CD610,"")</f>
        <v>41.76163959586061</v>
      </c>
      <c r="CF610" s="11" t="n">
        <f>IF(ISNUMBER(BQ610),BQ610,"")</f>
        <v>0.6426892418183868</v>
      </c>
      <c r="CG610" s="14" t="n">
        <f>IF(ISNUMBER(BU610),BU610,"")</f>
        <v>17</v>
      </c>
      <c r="CH610" s="13" t="n">
        <f>IF(AND(COUNT(BV610,CF610,CG610)=3,MIN(BV610,CF610,CG610)&gt;=0),BV610*CF610*CG610,"")</f>
        <v>12.80719970188527</v>
      </c>
      <c r="CI610" s="13" t="n">
        <f>IF(COUNT(BY610,CB610,CE610,CH610)=4,SUM(BY610,CB610,CE610,CH610),"")</f>
        <v>131.10586713078874</v>
      </c>
    </row>
    <row r="611" ht="72" customHeight="1">
      <c r="A611" s="16" t="str">
        <v>230918-BK-P-Z-8</v>
      </c>
      <c r="B611" s="16" t="str">
        <v>1店-MUSSHOE-US</v>
      </c>
      <c r="C611" s="16" t="str">
        <v>艾年</v>
      </c>
      <c r="D611" s="26" t="n">
        <f>IF(NOT(ISNUMBER(E611)),"",IF(OR(E611&lt;=0,L611=0),0,IF(OR(NOT(ISNUMBER(F611)),F611&lt;0),"",MIN(E611,INT(F611)))))</f>
        <v>0</v>
      </c>
      <c r="E611" s="27" t="n">
        <f>IF(OR(NOT(ISNUMBER(L611)),COUNT(M611:O611)&lt;&gt;3,MIN(M611:O611)&lt;0),"",ROUNDUP(ROUND(BI611-SUM(M611:O611),10),0))</f>
        <v>-5</v>
      </c>
      <c r="F611" s="28" t="n">
        <v>120</v>
      </c>
      <c r="G611" s="28" t="n">
        <f>IF(AND(ISNUMBER(D611),ISNUMBER(E611)),IF(OR(E611&lt;=0,L611=0),0,E611-D611),"")</f>
        <v>0</v>
      </c>
      <c r="H611" s="16" t="str">
        <f>IF(NOT(ISNUMBER(E611)),"销量或海外库存待补",IF(OR(E611&lt;=0,L611=0),IF(L611=0,"零日销，本批不发","本批无需补货"),IF(NOT(ISNUMBER(D611)),"国内库存待补",IF(D611=0,"国内无可用库存",IF(G611&gt;0,"先发国内现货","按建议量发货")))))</f>
        <v>本批无需补货</v>
      </c>
      <c r="I611" s="28" t="n">
        <f>IF(AND(COUNT(Z611,AA611,AB611)=3,Z611&gt;=AA611,AA611&gt;=0,AB611=7),Z611-AA611,"")</f>
        <v>23</v>
      </c>
      <c r="J611" s="28" t="n">
        <f>IF(AND(COUNT(AF611,AG611,AH611)=3,AF611&gt;=AG611,AG611&gt;=0,AH611=14),AF611-AG611,"")</f>
        <v>37</v>
      </c>
      <c r="K611" s="28" t="n">
        <f>IF(AND(COUNT(AL611,AM611,AN611)=3,AL611&gt;=AM611,AM611&gt;=0,AN611=30),AL611-AM611,"")</f>
        <v>73</v>
      </c>
      <c r="L611" s="29" t="n">
        <f>IF(ISNUMBER(BI611),BI611/90,"")</f>
        <v>2.661195554275953</v>
      </c>
      <c r="M611" s="28" t="n">
        <v>143</v>
      </c>
      <c r="N611" s="28" t="n">
        <v>0</v>
      </c>
      <c r="O611" s="28" t="n">
        <v>101</v>
      </c>
      <c r="P611" s="30" t="n">
        <f>IF(AND(ISNUMBER(L611),L611&gt;0,COUNT(M611:O611)=3,MIN(M611:O611)&gt;=0),SUM(M611:O611)/L611,"")</f>
        <v>91.68811349017398</v>
      </c>
      <c r="Q611" s="16" t="str">
        <v>沿用原计划SKU店铺</v>
      </c>
      <c r="R611" s="16" t="str">
        <v>已匹配</v>
      </c>
      <c r="S611" s="16" t="str">
        <v>在售</v>
      </c>
      <c r="T611" s="16" t="str">
        <v>230918</v>
      </c>
      <c r="U611" s="16" t="str">
        <v>黑色PU</v>
      </c>
      <c r="V611" s="16" t="n">
        <v>8</v>
      </c>
      <c r="W611" s="8" t="str">
        <v>2026-10-11 至 2026-10-17</v>
      </c>
      <c r="X611" s="8" t="str">
        <v>2026-10-11、2026-10-12、2026-10-13、2026-10-14、2026-10-15、2026-10-16、2026-10-17</v>
      </c>
      <c r="Y611" s="8" t="str">
        <v>无</v>
      </c>
      <c r="Z611" s="8" t="n">
        <v>23</v>
      </c>
      <c r="AA611" s="8" t="n">
        <v>0</v>
      </c>
      <c r="AB611" s="8" t="n">
        <v>7</v>
      </c>
      <c r="AC611" s="8" t="str">
        <v>2026-10-02 至 2026-10-17</v>
      </c>
      <c r="AD611" s="8" t="str">
        <v>2026-10-02、2026-10-03、2026-10-04、2026-10-05、2026-10-08、2026-10-09、2026-10-10、2026-10-11、2026-10-12、2026-10-13、2026-10-14、2026-10-15、2026-10-16、2026-10-17</v>
      </c>
      <c r="AE611" s="8" t="str">
        <v>2026-10-06 大促；2026-10-07 大促</v>
      </c>
      <c r="AF611" s="8" t="n">
        <v>65</v>
      </c>
      <c r="AG611" s="8" t="n">
        <v>28</v>
      </c>
      <c r="AH611" s="8" t="n">
        <v>14</v>
      </c>
      <c r="AI611" s="8" t="str">
        <v>2026-09-16 至 2026-10-17</v>
      </c>
      <c r="AJ6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1" s="8" t="str">
        <v>2026-10-06 大促；2026-10-07 大促</v>
      </c>
      <c r="AL611" s="8" t="n">
        <v>101</v>
      </c>
      <c r="AM611" s="8" t="n">
        <v>28</v>
      </c>
      <c r="AN611" s="8" t="n">
        <v>30</v>
      </c>
      <c r="AO611" s="8" t="str">
        <v>230918 / 黑色PU / 13120</v>
      </c>
      <c r="AP611" s="11" t="n">
        <v>1.6747911769553039</v>
      </c>
      <c r="AQ611" s="11" t="n">
        <v>1.6747911769553039</v>
      </c>
      <c r="AR611" s="11" t="n">
        <v>1.7386907395039133</v>
      </c>
      <c r="AS611" s="11" t="n">
        <f>IF(AND(COUNT(I611:K611,AP611:AR611)=6,MIN(AP611:AR611)&gt;0),I611/7/AP611*0.5+J611/14/AQ611*0.3+K611/30/AR611*0.2,"")</f>
        <v>1.7342431956883653</v>
      </c>
      <c r="AT611" s="8" t="n">
        <v>241</v>
      </c>
      <c r="AU611" s="8" t="n">
        <v>28</v>
      </c>
      <c r="AV611" s="8" t="n">
        <v>88</v>
      </c>
      <c r="AW611" s="11" t="n">
        <f>IF(AND(COUNT(AT611:AV611)=3,AT611&gt;=AU611,AU611&gt;=0,AV611&gt;0),(AT611-AU611)/AV611,"")</f>
        <v>2.4204545454545454</v>
      </c>
      <c r="AX611" s="8" t="n">
        <v>457</v>
      </c>
      <c r="AY611" s="8" t="n">
        <v>28</v>
      </c>
      <c r="AZ611" s="8" t="n">
        <v>178</v>
      </c>
      <c r="BA611" s="11" t="n">
        <f>IF(AND(COUNT(AX611:AZ611)=3,AX611&gt;=AY611,AY611&gt;=0,AZ611&gt;0),(AX611-AY611)/AZ611,"")</f>
        <v>2.4101123595505616</v>
      </c>
      <c r="BB611" s="8" t="n">
        <f>IF(COUNT(AS611,AW611,BA611)=3,1,0)</f>
        <v>1</v>
      </c>
      <c r="BC611" s="11" t="n">
        <f>IF(SUMIF($AO$11:$AO$1309,AO611,$BB$11:$BB$1309)=COUNTIF($AO$11:$AO$1309,AO611),SUMIF($AO$11:$AO$1309,AO611,$AS$11:$AS$1309),"")</f>
        <v>6.885958849970173</v>
      </c>
      <c r="BD611" s="11" t="n">
        <f>IF(SUMIF($AO$11:$AO$1309,AO611,$BB$11:$BB$1309)=COUNTIF($AO$11:$AO$1309,AO611),SUMIF($AO$11:$AO$1309,AO611,$AW$11:$AW$1309),"")</f>
        <v>8.045454545454545</v>
      </c>
      <c r="BE611" s="11" t="n">
        <f>IF(SUMIF($AO$11:$AO$1309,AO611,$BB$11:$BB$1309)=COUNTIF($AO$11:$AO$1309,AO611),SUMIF($AO$11:$AO$1309,AO611,$BA$11:$BA$1309),"")</f>
        <v>7.202247191011236</v>
      </c>
      <c r="BF611" s="12" t="n">
        <f>IF(COUNT(BD611:BE611)&lt;&gt;2,"",IF(AND(BD611&gt;0,BE611&gt;0),0.7*AW611/BD611+0.3*BA611/BE611,IF(BD611&gt;0,AW611/BD611,IF(BE611&gt;0,BA611/BE611,IF(AND(ISNUMBER(BH611),BH611=0),0,"")))))</f>
        <v>0.31098323593960703</v>
      </c>
      <c r="BG611" s="11" t="n">
        <f>IF(AND(COUNT(BN611:BU611)=8,MIN(BN611:BU611)&gt;=0),SUMPRODUCT(BN611:BQ611,BR611:BU611),"")</f>
        <v>111.84534083910866</v>
      </c>
      <c r="BH611" s="11" t="n">
        <f>IF(COUNT(BC611,BG611)=2,BC611*BG611,"")</f>
        <v>770.1624145789907</v>
      </c>
      <c r="BI611" s="11" t="n">
        <f>IF(ISNUMBER(CI611),CI611,"")</f>
        <v>239.50759988483574</v>
      </c>
      <c r="BJ611" s="8" t="str"/>
      <c r="BK611" s="8" t="str">
        <v>90天：2026-07-20 至 2026-10-17；180天：2026-04-21 至 2026-10-17</v>
      </c>
      <c r="BL611" s="8" t="str">
        <v>90天：2026-10-06、2026-10-07；180天：2026-10-06、2026-10-07</v>
      </c>
      <c r="BM611" s="8" t="str">
        <v>2026-10：12天 × 1.6747911769553037；2026-11：30天 × 1.5065205700457112；2026-12：31天 × 1.1492423388181006；2027-01：17天 × 0.6426892418183868</v>
      </c>
      <c r="BN611" s="11" t="n">
        <v>1.6747911769553037</v>
      </c>
      <c r="BO611" s="11" t="n">
        <v>1.5065205700457112</v>
      </c>
      <c r="BP611" s="11" t="n">
        <v>1.1492423388181006</v>
      </c>
      <c r="BQ611" s="11" t="n">
        <v>0.6426892418183868</v>
      </c>
      <c r="BR611" s="8" t="n">
        <v>12</v>
      </c>
      <c r="BS611" s="8" t="n">
        <v>30</v>
      </c>
      <c r="BT611" s="8" t="n">
        <v>31</v>
      </c>
      <c r="BU611" s="8" t="n">
        <v>17</v>
      </c>
      <c r="BV611" s="11" t="n">
        <f>IF(COUNT(BC611,BF611)=2,BC611*BF611,"")</f>
        <v>2.1414177657106994</v>
      </c>
      <c r="BW611" s="11" t="n">
        <f>IF(ISNUMBER(BN611),BN611,"")</f>
        <v>1.6747911769553037</v>
      </c>
      <c r="BX611" s="14" t="n">
        <f>IF(ISNUMBER(BR611),BR611,"")</f>
        <v>12</v>
      </c>
      <c r="BY611" s="13" t="n">
        <f>IF(AND(COUNT(BV611,BW611,BX611)=3,MIN(BV611,BW611,BX611)&gt;=0),BV611*BW611*BX611,"")</f>
        <v>43.037130962251425</v>
      </c>
      <c r="BZ611" s="11" t="n">
        <f>IF(ISNUMBER(BO611),BO611,"")</f>
        <v>1.5065205700457112</v>
      </c>
      <c r="CA611" s="14" t="n">
        <f>IF(ISNUMBER(BS611),BS611,"")</f>
        <v>30</v>
      </c>
      <c r="CB611" s="13" t="n">
        <f>IF(AND(COUNT(BV611,BZ611,CA611)=3,MIN(BV611,BZ611,CA611)&gt;=0),BV611*BZ611*CA611,"")</f>
        <v>96.78269739313488</v>
      </c>
      <c r="CC611" s="11" t="n">
        <f>IF(ISNUMBER(BP611),BP611,"")</f>
        <v>1.1492423388181006</v>
      </c>
      <c r="CD611" s="14" t="n">
        <f>IF(ISNUMBER(BT611),BT611,"")</f>
        <v>31</v>
      </c>
      <c r="CE611" s="13" t="n">
        <f>IF(AND(COUNT(BV611,CC611,CD611)=3,MIN(BV611,CC611,CD611)&gt;=0),BV611*CC611*CD611,"")</f>
        <v>76.29124680501185</v>
      </c>
      <c r="CF611" s="11" t="n">
        <f>IF(ISNUMBER(BQ611),BQ611,"")</f>
        <v>0.6426892418183868</v>
      </c>
      <c r="CG611" s="14" t="n">
        <f>IF(ISNUMBER(BU611),BU611,"")</f>
        <v>17</v>
      </c>
      <c r="CH611" s="13" t="n">
        <f>IF(AND(COUNT(BV611,CF611,CG611)=3,MIN(BV611,CF611,CG611)&gt;=0),BV611*CF611*CG611,"")</f>
        <v>23.396524724437565</v>
      </c>
      <c r="CI611" s="13" t="n">
        <f>IF(COUNT(BY611,CB611,CE611,CH611)=4,SUM(BY611,CB611,CE611,CH611),"")</f>
        <v>239.50759988483574</v>
      </c>
    </row>
    <row r="612" ht="72" customHeight="1">
      <c r="A612" s="16" t="str">
        <v>230918-BK-S-Z-11</v>
      </c>
      <c r="B612" s="16" t="str">
        <v>1店-MUSSHOE-US</v>
      </c>
      <c r="C612" s="16" t="str">
        <v>艾年</v>
      </c>
      <c r="D612" s="26" t="n">
        <f>IF(NOT(ISNUMBER(E612)),"",IF(OR(E612&lt;=0,L612=0),0,IF(OR(NOT(ISNUMBER(F612)),F612&lt;0),"",MIN(E612,INT(F612)))))</f>
        <v>0</v>
      </c>
      <c r="E612" s="27" t="n">
        <f>IF(OR(NOT(ISNUMBER(L612)),COUNT(M612:O612)&lt;&gt;3,MIN(M612:O612)&lt;0),"",ROUNDUP(ROUND(BI612-SUM(M612:O612),10),0))</f>
        <v>-23</v>
      </c>
      <c r="F612" s="28" t="n">
        <v>51</v>
      </c>
      <c r="G612" s="28" t="n">
        <f>IF(AND(ISNUMBER(D612),ISNUMBER(E612)),IF(OR(E612&lt;=0,L612=0),0,E612-D612),"")</f>
        <v>0</v>
      </c>
      <c r="H612" s="16" t="str">
        <f>IF(NOT(ISNUMBER(E612)),"销量或海外库存待补",IF(OR(E612&lt;=0,L612=0),IF(L612=0,"零日销，本批不发","本批无需补货"),IF(NOT(ISNUMBER(D612)),"国内库存待补",IF(D612=0,"国内无可用库存",IF(G612&gt;0,"先发国内现货","按建议量发货")))))</f>
        <v>本批无需补货</v>
      </c>
      <c r="I612" s="28" t="n">
        <f>IF(AND(COUNT(Z612,AA612,AB612)=3,Z612&gt;=AA612,AA612&gt;=0,AB612=7),Z612-AA612,"")</f>
        <v>10</v>
      </c>
      <c r="J612" s="28" t="n">
        <f>IF(AND(COUNT(AF612,AG612,AH612)=3,AF612&gt;=AG612,AG612&gt;=0,AH612=14),AF612-AG612,"")</f>
        <v>16</v>
      </c>
      <c r="K612" s="28" t="n">
        <f>IF(AND(COUNT(AL612,AM612,AN612)=3,AL612&gt;=AM612,AM612&gt;=0,AN612=30),AL612-AM612,"")</f>
        <v>22</v>
      </c>
      <c r="L612" s="29" t="n">
        <f>IF(ISNUMBER(BI612),BI612/90,"")</f>
        <v>0.773990904443042</v>
      </c>
      <c r="M612" s="28" t="n">
        <v>90</v>
      </c>
      <c r="N612" s="28" t="n">
        <v>1</v>
      </c>
      <c r="O612" s="28" t="n">
        <v>1</v>
      </c>
      <c r="P612" s="30" t="n">
        <f>IF(AND(ISNUMBER(L612),L612&gt;0,COUNT(M612:O612)=3,MIN(M612:O612)&gt;=0),SUM(M612:O612)/L612,"")</f>
        <v>118.86444591516552</v>
      </c>
      <c r="Q612" s="16" t="str">
        <v>沿用原计划SKU店铺</v>
      </c>
      <c r="R612" s="16" t="str">
        <v>已匹配</v>
      </c>
      <c r="S612" s="16" t="str">
        <v>在售</v>
      </c>
      <c r="T612" s="16" t="str">
        <v>230918</v>
      </c>
      <c r="U612" s="16" t="str">
        <v>黑色</v>
      </c>
      <c r="V612" s="16" t="n">
        <v>11</v>
      </c>
      <c r="W612" s="8" t="str">
        <v>2026-10-11 至 2026-10-17</v>
      </c>
      <c r="X612" s="8" t="str">
        <v>2026-10-11、2026-10-12、2026-10-13、2026-10-14、2026-10-15、2026-10-16、2026-10-17</v>
      </c>
      <c r="Y612" s="8" t="str">
        <v>无</v>
      </c>
      <c r="Z612" s="8" t="n">
        <v>10</v>
      </c>
      <c r="AA612" s="8" t="n">
        <v>0</v>
      </c>
      <c r="AB612" s="8" t="n">
        <v>7</v>
      </c>
      <c r="AC612" s="8" t="str">
        <v>2026-10-02 至 2026-10-17</v>
      </c>
      <c r="AD612" s="8" t="str">
        <v>2026-10-02、2026-10-03、2026-10-04、2026-10-05、2026-10-08、2026-10-09、2026-10-10、2026-10-11、2026-10-12、2026-10-13、2026-10-14、2026-10-15、2026-10-16、2026-10-17</v>
      </c>
      <c r="AE612" s="8" t="str">
        <v>2026-10-06 大促；2026-10-07 大促</v>
      </c>
      <c r="AF612" s="8" t="n">
        <v>18</v>
      </c>
      <c r="AG612" s="8" t="n">
        <v>2</v>
      </c>
      <c r="AH612" s="8" t="n">
        <v>14</v>
      </c>
      <c r="AI612" s="8" t="str">
        <v>2026-09-16 至 2026-10-17</v>
      </c>
      <c r="AJ6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2" s="8" t="str">
        <v>2026-10-06 大促；2026-10-07 大促</v>
      </c>
      <c r="AL612" s="8" t="n">
        <v>24</v>
      </c>
      <c r="AM612" s="8" t="n">
        <v>2</v>
      </c>
      <c r="AN612" s="8" t="n">
        <v>30</v>
      </c>
      <c r="AO612" s="8" t="str">
        <v>230918 / 黑色 / 13120</v>
      </c>
      <c r="AP612" s="11" t="n">
        <v>1.6747911769553039</v>
      </c>
      <c r="AQ612" s="11" t="n">
        <v>1.6747911769553039</v>
      </c>
      <c r="AR612" s="11" t="n">
        <v>1.7386907395039133</v>
      </c>
      <c r="AS612" s="11" t="n">
        <f>IF(AND(COUNT(I612:K612,AP612:AR612)=6,MIN(AP612:AR612)&gt;0),I612/7/AP612*0.5+J612/14/AQ612*0.3+K612/30/AR612*0.2,"")</f>
        <v>0.7155634173433059</v>
      </c>
      <c r="AT612" s="8" t="n">
        <v>59</v>
      </c>
      <c r="AU612" s="8" t="n">
        <v>2</v>
      </c>
      <c r="AV612" s="8" t="n">
        <v>88</v>
      </c>
      <c r="AW612" s="11" t="n">
        <f>IF(AND(COUNT(AT612:AV612)=3,AT612&gt;=AU612,AU612&gt;=0,AV612&gt;0),(AT612-AU612)/AV612,"")</f>
        <v>0.6477272727272727</v>
      </c>
      <c r="AX612" s="8" t="n">
        <v>160</v>
      </c>
      <c r="AY612" s="8" t="n">
        <v>2</v>
      </c>
      <c r="AZ612" s="8" t="n">
        <v>178</v>
      </c>
      <c r="BA612" s="11" t="n">
        <f>IF(AND(COUNT(AX612:AZ612)=3,AX612&gt;=AY612,AY612&gt;=0,AZ612&gt;0),(AX612-AY612)/AZ612,"")</f>
        <v>0.8876404494382022</v>
      </c>
      <c r="BB612" s="8" t="n">
        <f>IF(COUNT(AS612,AW612,BA612)=3,1,0)</f>
        <v>1</v>
      </c>
      <c r="BC612" s="11" t="n">
        <f>IF(SUMIF($AO$11:$AO$1309,AO612,$BB$11:$BB$1309)=COUNTIF($AO$11:$AO$1309,AO612),SUMIF($AO$11:$AO$1309,AO612,$AS$11:$AS$1309),"")</f>
        <v>11.342019976477065</v>
      </c>
      <c r="BD612" s="11" t="n">
        <f>IF(SUMIF($AO$11:$AO$1309,AO612,$BB$11:$BB$1309)=COUNTIF($AO$11:$AO$1309,AO612),SUMIF($AO$11:$AO$1309,AO612,$AW$11:$AW$1309),"")</f>
        <v>13.352272727272727</v>
      </c>
      <c r="BE612" s="11" t="n">
        <f>IF(SUMIF($AO$11:$AO$1309,AO612,$BB$11:$BB$1309)=COUNTIF($AO$11:$AO$1309,AO612),SUMIF($AO$11:$AO$1309,AO612,$BA$11:$BA$1309),"")</f>
        <v>12.707865168539326</v>
      </c>
      <c r="BF612" s="12" t="n">
        <f>IF(COUNT(BD612:BE612)&lt;&gt;2,"",IF(AND(BD612&gt;0,BE612&gt;0),0.7*AW612/BD612+0.3*BA612/BE612,IF(BD612&gt;0,AW612/BD612,IF(BE612&gt;0,BA612/BE612,IF(AND(ISNUMBER(BH612),BH612=0),0,"")))))</f>
        <v>0.05491235397031435</v>
      </c>
      <c r="BG612" s="11" t="n">
        <f>IF(AND(COUNT(BN612:BU612)=8,MIN(BN612:BU612)&gt;=0),SUMPRODUCT(BN612:BQ612,BR612:BU612),"")</f>
        <v>111.84534083910866</v>
      </c>
      <c r="BH612" s="11" t="n">
        <f>IF(COUNT(BC612,BG612)=2,BC612*BG612,"")</f>
        <v>1268.5520900730564</v>
      </c>
      <c r="BI612" s="11" t="n">
        <f>IF(ISNUMBER(CI612),CI612,"")</f>
        <v>69.65918139987377</v>
      </c>
      <c r="BJ612" s="8" t="str"/>
      <c r="BK612" s="8" t="str">
        <v>90天：2026-07-20 至 2026-10-17；180天：2026-04-21 至 2026-10-17</v>
      </c>
      <c r="BL612" s="8" t="str">
        <v>90天：2026-10-06、2026-10-07；180天：2026-10-06、2026-10-07</v>
      </c>
      <c r="BM612" s="8" t="str">
        <v>2026-10：12天 × 1.6747911769553037；2026-11：30天 × 1.5065205700457112；2026-12：31天 × 1.1492423388181006；2027-01：17天 × 0.6426892418183868</v>
      </c>
      <c r="BN612" s="11" t="n">
        <v>1.6747911769553037</v>
      </c>
      <c r="BO612" s="11" t="n">
        <v>1.5065205700457112</v>
      </c>
      <c r="BP612" s="11" t="n">
        <v>1.1492423388181006</v>
      </c>
      <c r="BQ612" s="11" t="n">
        <v>0.6426892418183868</v>
      </c>
      <c r="BR612" s="8" t="n">
        <v>12</v>
      </c>
      <c r="BS612" s="8" t="n">
        <v>30</v>
      </c>
      <c r="BT612" s="8" t="n">
        <v>31</v>
      </c>
      <c r="BU612" s="8" t="n">
        <v>17</v>
      </c>
      <c r="BV612" s="11" t="n">
        <f>IF(COUNT(BC612,BF612)=2,BC612*BF612,"")</f>
        <v>0.622817015686685</v>
      </c>
      <c r="BW612" s="11" t="n">
        <f>IF(ISNUMBER(BN612),BN612,"")</f>
        <v>1.6747911769553037</v>
      </c>
      <c r="BX612" s="14" t="n">
        <f>IF(ISNUMBER(BR612),BR612,"")</f>
        <v>12</v>
      </c>
      <c r="BY612" s="13" t="n">
        <f>IF(AND(COUNT(BV612,BW612,BX612)=3,MIN(BV612,BW612,BX612)&gt;=0),BV612*BW612*BX612,"")</f>
        <v>12.517061312756315</v>
      </c>
      <c r="BZ612" s="11" t="n">
        <f>IF(ISNUMBER(BO612),BO612,"")</f>
        <v>1.5065205700457112</v>
      </c>
      <c r="CA612" s="14" t="n">
        <f>IF(ISNUMBER(BS612),BS612,"")</f>
        <v>30</v>
      </c>
      <c r="CB612" s="13" t="n">
        <f>IF(AND(COUNT(BV612,BZ612,CA612)=3,MIN(BV612,BZ612,CA612)&gt;=0),BV612*BZ612*CA612,"")</f>
        <v>28.1485993651942</v>
      </c>
      <c r="CC612" s="11" t="n">
        <f>IF(ISNUMBER(BP612),BP612,"")</f>
        <v>1.1492423388181006</v>
      </c>
      <c r="CD612" s="14" t="n">
        <f>IF(ISNUMBER(BT612),BT612,"")</f>
        <v>31</v>
      </c>
      <c r="CE612" s="13" t="n">
        <f>IF(AND(COUNT(BV612,CC612,CD612)=3,MIN(BV612,CC612,CD612)&gt;=0),BV612*CC612*CD612,"")</f>
        <v>22.188798196667744</v>
      </c>
      <c r="CF612" s="11" t="n">
        <f>IF(ISNUMBER(BQ612),BQ612,"")</f>
        <v>0.6426892418183868</v>
      </c>
      <c r="CG612" s="14" t="n">
        <f>IF(ISNUMBER(BU612),BU612,"")</f>
        <v>17</v>
      </c>
      <c r="CH612" s="13" t="n">
        <f>IF(AND(COUNT(BV612,CF612,CG612)=3,MIN(BV612,CF612,CG612)&gt;=0),BV612*CF612*CG612,"")</f>
        <v>6.804722525255521</v>
      </c>
      <c r="CI612" s="13" t="n">
        <f>IF(COUNT(BY612,CB612,CE612,CH612)=4,SUM(BY612,CB612,CE612,CH612),"")</f>
        <v>69.65918139987377</v>
      </c>
    </row>
    <row r="613" ht="72" customHeight="1">
      <c r="A613" s="16" t="str">
        <v>230918-BK-S-Z-6</v>
      </c>
      <c r="B613" s="16" t="str">
        <v>1店-MUSSHOE-US</v>
      </c>
      <c r="C613" s="16" t="str">
        <v>艾年</v>
      </c>
      <c r="D613" s="26" t="n">
        <f>IF(NOT(ISNUMBER(E613)),"",IF(OR(E613&lt;=0,L613=0),0,IF(OR(NOT(ISNUMBER(F613)),F613&lt;0),"",MIN(E613,INT(F613)))))</f>
        <v>0</v>
      </c>
      <c r="E613" s="27" t="n">
        <f>IF(OR(NOT(ISNUMBER(L613)),COUNT(M613:O613)&lt;&gt;3,MIN(M613:O613)&lt;0),"",ROUNDUP(ROUND(BI613-SUM(M613:O613),10),0))</f>
        <v>-32</v>
      </c>
      <c r="F613" s="28" t="n">
        <v>122</v>
      </c>
      <c r="G613" s="28" t="n">
        <f>IF(AND(ISNUMBER(D613),ISNUMBER(E613)),IF(OR(E613&lt;=0,L613=0),0,E613-D613),"")</f>
        <v>0</v>
      </c>
      <c r="H613" s="16" t="str">
        <f>IF(NOT(ISNUMBER(E613)),"销量或海外库存待补",IF(OR(E613&lt;=0,L613=0),IF(L613=0,"零日销，本批不发","本批无需补货"),IF(NOT(ISNUMBER(D613)),"国内库存待补",IF(D613=0,"国内无可用库存",IF(G613&gt;0,"先发国内现货","按建议量发货")))))</f>
        <v>本批无需补货</v>
      </c>
      <c r="I613" s="28" t="n">
        <f>IF(AND(COUNT(Z613,AA613,AB613)=3,Z613&gt;=AA613,AA613&gt;=0,AB613=7),Z613-AA613,"")</f>
        <v>7</v>
      </c>
      <c r="J613" s="28" t="n">
        <f>IF(AND(COUNT(AF613,AG613,AH613)=3,AF613&gt;=AG613,AG613&gt;=0,AH613=14),AF613-AG613,"")</f>
        <v>15</v>
      </c>
      <c r="K613" s="28" t="n">
        <f>IF(AND(COUNT(AL613,AM613,AN613)=3,AL613&gt;=AM613,AM613&gt;=0,AN613=30),AL613-AM613,"")</f>
        <v>26</v>
      </c>
      <c r="L613" s="29" t="n">
        <f>IF(ISNUMBER(BI613),BI613/90,"")</f>
        <v>0.9540371466832962</v>
      </c>
      <c r="M613" s="28" t="n">
        <v>47</v>
      </c>
      <c r="N613" s="28" t="n">
        <v>0</v>
      </c>
      <c r="O613" s="28" t="n">
        <v>70</v>
      </c>
      <c r="P613" s="30" t="n">
        <f>IF(AND(ISNUMBER(L613),L613&gt;0,COUNT(M613:O613)=3,MIN(M613:O613)&gt;=0),SUM(M613:O613)/L613,"")</f>
        <v>122.63673422649184</v>
      </c>
      <c r="Q613" s="16" t="str">
        <v>沿用原计划SKU店铺</v>
      </c>
      <c r="R613" s="16" t="str">
        <v>已匹配</v>
      </c>
      <c r="S613" s="16" t="str">
        <v>在售</v>
      </c>
      <c r="T613" s="16" t="str">
        <v>230918</v>
      </c>
      <c r="U613" s="16" t="str">
        <v>黑色</v>
      </c>
      <c r="V613" s="16" t="n">
        <v>6</v>
      </c>
      <c r="W613" s="8" t="str">
        <v>2026-10-11 至 2026-10-17</v>
      </c>
      <c r="X613" s="8" t="str">
        <v>2026-10-11、2026-10-12、2026-10-13、2026-10-14、2026-10-15、2026-10-16、2026-10-17</v>
      </c>
      <c r="Y613" s="8" t="str">
        <v>无</v>
      </c>
      <c r="Z613" s="8" t="n">
        <v>7</v>
      </c>
      <c r="AA613" s="8" t="n">
        <v>0</v>
      </c>
      <c r="AB613" s="8" t="n">
        <v>7</v>
      </c>
      <c r="AC613" s="8" t="str">
        <v>2026-10-02 至 2026-10-17</v>
      </c>
      <c r="AD613" s="8" t="str">
        <v>2026-10-02、2026-10-03、2026-10-04、2026-10-05、2026-10-08、2026-10-09、2026-10-10、2026-10-11、2026-10-12、2026-10-13、2026-10-14、2026-10-15、2026-10-16、2026-10-17</v>
      </c>
      <c r="AE613" s="8" t="str">
        <v>2026-10-06 大促；2026-10-07 大促</v>
      </c>
      <c r="AF613" s="8" t="n">
        <v>26</v>
      </c>
      <c r="AG613" s="8" t="n">
        <v>11</v>
      </c>
      <c r="AH613" s="8" t="n">
        <v>14</v>
      </c>
      <c r="AI613" s="8" t="str">
        <v>2026-09-16 至 2026-10-17</v>
      </c>
      <c r="AJ6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3" s="8" t="str">
        <v>2026-10-06 大促；2026-10-07 大促</v>
      </c>
      <c r="AL613" s="8" t="n">
        <v>37</v>
      </c>
      <c r="AM613" s="8" t="n">
        <v>11</v>
      </c>
      <c r="AN613" s="8" t="n">
        <v>30</v>
      </c>
      <c r="AO613" s="8" t="str">
        <v>230918 / 黑色 / 13120</v>
      </c>
      <c r="AP613" s="11" t="n">
        <v>1.6747911769553039</v>
      </c>
      <c r="AQ613" s="11" t="n">
        <v>1.6747911769553039</v>
      </c>
      <c r="AR613" s="11" t="n">
        <v>1.7386907395039133</v>
      </c>
      <c r="AS613" s="11" t="n">
        <f>IF(AND(COUNT(I613:K613,AP613:AR613)=6,MIN(AP613:AR613)&gt;0),I613/7/AP613*0.5+J613/14/AQ613*0.3+K613/30/AR613*0.2,"")</f>
        <v>0.5901581351752175</v>
      </c>
      <c r="AT613" s="8" t="n">
        <v>91</v>
      </c>
      <c r="AU613" s="8" t="n">
        <v>11</v>
      </c>
      <c r="AV613" s="8" t="n">
        <v>88</v>
      </c>
      <c r="AW613" s="11" t="n">
        <f>IF(AND(COUNT(AT613:AV613)=3,AT613&gt;=AU613,AU613&gt;=0,AV613&gt;0),(AT613-AU613)/AV613,"")</f>
        <v>0.9090909090909091</v>
      </c>
      <c r="AX613" s="8" t="n">
        <v>162</v>
      </c>
      <c r="AY613" s="8" t="n">
        <v>11</v>
      </c>
      <c r="AZ613" s="8" t="n">
        <v>178</v>
      </c>
      <c r="BA613" s="11" t="n">
        <f>IF(AND(COUNT(AX613:AZ613)=3,AX613&gt;=AY613,AY613&gt;=0,AZ613&gt;0),(AX613-AY613)/AZ613,"")</f>
        <v>0.848314606741573</v>
      </c>
      <c r="BB613" s="8" t="n">
        <f>IF(COUNT(AS613,AW613,BA613)=3,1,0)</f>
        <v>1</v>
      </c>
      <c r="BC613" s="11" t="n">
        <f>IF(SUMIF($AO$11:$AO$1309,AO613,$BB$11:$BB$1309)=COUNTIF($AO$11:$AO$1309,AO613),SUMIF($AO$11:$AO$1309,AO613,$AS$11:$AS$1309),"")</f>
        <v>11.342019976477065</v>
      </c>
      <c r="BD613" s="11" t="n">
        <f>IF(SUMIF($AO$11:$AO$1309,AO613,$BB$11:$BB$1309)=COUNTIF($AO$11:$AO$1309,AO613),SUMIF($AO$11:$AO$1309,AO613,$AW$11:$AW$1309),"")</f>
        <v>13.352272727272727</v>
      </c>
      <c r="BE613" s="11" t="n">
        <f>IF(SUMIF($AO$11:$AO$1309,AO613,$BB$11:$BB$1309)=COUNTIF($AO$11:$AO$1309,AO613),SUMIF($AO$11:$AO$1309,AO613,$BA$11:$BA$1309),"")</f>
        <v>12.707865168539326</v>
      </c>
      <c r="BF613" s="12" t="n">
        <f>IF(COUNT(BD613:BE613)&lt;&gt;2,"",IF(AND(BD613&gt;0,BE613&gt;0),0.7*AW613/BD613+0.3*BA613/BE613,IF(BD613&gt;0,AW613/BD613,IF(BE613&gt;0,BA613/BE613,IF(AND(ISNUMBER(BH613),BH613=0),0,"")))))</f>
        <v>0.0676860996670241</v>
      </c>
      <c r="BG613" s="11" t="n">
        <f>IF(AND(COUNT(BN613:BU613)=8,MIN(BN613:BU613)&gt;=0),SUMPRODUCT(BN613:BQ613,BR613:BU613),"")</f>
        <v>111.84534083910866</v>
      </c>
      <c r="BH613" s="11" t="n">
        <f>IF(COUNT(BC613,BG613)=2,BC613*BG613,"")</f>
        <v>1268.5520900730564</v>
      </c>
      <c r="BI613" s="11" t="n">
        <f>IF(ISNUMBER(CI613),CI613,"")</f>
        <v>85.86334320149666</v>
      </c>
      <c r="BJ613" s="8" t="str"/>
      <c r="BK613" s="8" t="str">
        <v>90天：2026-07-20 至 2026-10-17；180天：2026-04-21 至 2026-10-17</v>
      </c>
      <c r="BL613" s="8" t="str">
        <v>90天：2026-10-06、2026-10-07；180天：2026-10-06、2026-10-07</v>
      </c>
      <c r="BM613" s="8" t="str">
        <v>2026-10：12天 × 1.6747911769553037；2026-11：30天 × 1.5065205700457112；2026-12：31天 × 1.1492423388181006；2027-01：17天 × 0.6426892418183868</v>
      </c>
      <c r="BN613" s="11" t="n">
        <v>1.6747911769553037</v>
      </c>
      <c r="BO613" s="11" t="n">
        <v>1.5065205700457112</v>
      </c>
      <c r="BP613" s="11" t="n">
        <v>1.1492423388181006</v>
      </c>
      <c r="BQ613" s="11" t="n">
        <v>0.6426892418183868</v>
      </c>
      <c r="BR613" s="8" t="n">
        <v>12</v>
      </c>
      <c r="BS613" s="8" t="n">
        <v>30</v>
      </c>
      <c r="BT613" s="8" t="n">
        <v>31</v>
      </c>
      <c r="BU613" s="8" t="n">
        <v>17</v>
      </c>
      <c r="BV613" s="11" t="n">
        <f>IF(COUNT(BC613,BF613)=2,BC613*BF613,"")</f>
        <v>0.767697094553205</v>
      </c>
      <c r="BW613" s="11" t="n">
        <f>IF(ISNUMBER(BN613),BN613,"")</f>
        <v>1.6747911769553037</v>
      </c>
      <c r="BX613" s="14" t="n">
        <f>IF(ISNUMBER(BR613),BR613,"")</f>
        <v>12</v>
      </c>
      <c r="BY613" s="13" t="n">
        <f>IF(AND(COUNT(BV613,BW613,BX613)=3,MIN(BV613,BW613,BX613)&gt;=0),BV613*BW613*BX613,"")</f>
        <v>15.428787846383152</v>
      </c>
      <c r="BZ613" s="11" t="n">
        <f>IF(ISNUMBER(BO613),BO613,"")</f>
        <v>1.5065205700457112</v>
      </c>
      <c r="CA613" s="14" t="n">
        <f>IF(ISNUMBER(BS613),BS613,"")</f>
        <v>30</v>
      </c>
      <c r="CB613" s="13" t="n">
        <f>IF(AND(COUNT(BV613,BZ613,CA613)=3,MIN(BV613,BZ613,CA613)&gt;=0),BV613*BZ613*CA613,"")</f>
        <v>34.69654393526192</v>
      </c>
      <c r="CC613" s="11" t="n">
        <f>IF(ISNUMBER(BP613),BP613,"")</f>
        <v>1.1492423388181006</v>
      </c>
      <c r="CD613" s="14" t="n">
        <f>IF(ISNUMBER(BT613),BT613,"")</f>
        <v>31</v>
      </c>
      <c r="CE613" s="13" t="n">
        <f>IF(AND(COUNT(BV613,CC613,CD613)=3,MIN(BV613,CC613,CD613)&gt;=0),BV613*CC613*CD613,"")</f>
        <v>27.350370137893762</v>
      </c>
      <c r="CF613" s="11" t="n">
        <f>IF(ISNUMBER(BQ613),BQ613,"")</f>
        <v>0.6426892418183868</v>
      </c>
      <c r="CG613" s="14" t="n">
        <f>IF(ISNUMBER(BU613),BU613,"")</f>
        <v>17</v>
      </c>
      <c r="CH613" s="13" t="n">
        <f>IF(AND(COUNT(BV613,CF613,CG613)=3,MIN(BV613,CF613,CG613)&gt;=0),BV613*CF613*CG613,"")</f>
        <v>8.387641281957821</v>
      </c>
      <c r="CI613" s="13" t="n">
        <f>IF(COUNT(BY613,CB613,CE613,CH613)=4,SUM(BY613,CB613,CE613,CH613),"")</f>
        <v>85.86334320149666</v>
      </c>
    </row>
    <row r="614" ht="72" customHeight="1">
      <c r="A614" s="16" t="str">
        <v>230918-BK-S-Z-7</v>
      </c>
      <c r="B614" s="16" t="str">
        <v>1店-MUSSHOE-US</v>
      </c>
      <c r="C614" s="16" t="str">
        <v>艾年</v>
      </c>
      <c r="D614" s="26" t="n">
        <f>IF(NOT(ISNUMBER(E614)),"",IF(OR(E614&lt;=0,L614=0),0,IF(OR(NOT(ISNUMBER(F614)),F614&lt;0),"",MIN(E614,INT(F614)))))</f>
        <v>0</v>
      </c>
      <c r="E614" s="27" t="n">
        <f>IF(OR(NOT(ISNUMBER(L614)),COUNT(M614:O614)&lt;&gt;3,MIN(M614:O614)&lt;0),"",ROUNDUP(ROUND(BI614-SUM(M614:O614),10),0))</f>
        <v>-70</v>
      </c>
      <c r="F614" s="28" t="n">
        <v>11</v>
      </c>
      <c r="G614" s="28" t="n">
        <f>IF(AND(ISNUMBER(D614),ISNUMBER(E614)),IF(OR(E614&lt;=0,L614=0),0,E614-D614),"")</f>
        <v>0</v>
      </c>
      <c r="H614" s="16" t="str">
        <f>IF(NOT(ISNUMBER(E614)),"销量或海外库存待补",IF(OR(E614&lt;=0,L614=0),IF(L614=0,"零日销，本批不发","本批无需补货"),IF(NOT(ISNUMBER(D614)),"国内库存待补",IF(D614=0,"国内无可用库存",IF(G614&gt;0,"先发国内现货","按建议量发货")))))</f>
        <v>本批无需补货</v>
      </c>
      <c r="I614" s="28" t="n">
        <f>IF(AND(COUNT(Z614,AA614,AB614)=3,Z614&gt;=AA614,AA614&gt;=0,AB614=7),Z614-AA614,"")</f>
        <v>24</v>
      </c>
      <c r="J614" s="28" t="n">
        <f>IF(AND(COUNT(AF614,AG614,AH614)=3,AF614&gt;=AG614,AG614&gt;=0,AH614=14),AF614-AG614,"")</f>
        <v>39</v>
      </c>
      <c r="K614" s="28" t="n">
        <f>IF(AND(COUNT(AL614,AM614,AN614)=3,AL614&gt;=AM614,AM614&gt;=0,AN614=30),AL614-AM614,"")</f>
        <v>75</v>
      </c>
      <c r="L614" s="29" t="n">
        <f>IF(ISNUMBER(BI614),BI614/90,"")</f>
        <v>2.3627058110862613</v>
      </c>
      <c r="M614" s="28" t="n">
        <v>37</v>
      </c>
      <c r="N614" s="28" t="n">
        <v>1</v>
      </c>
      <c r="O614" s="28" t="n">
        <v>244</v>
      </c>
      <c r="P614" s="30" t="n">
        <f>IF(AND(ISNUMBER(L614),L614&gt;0,COUNT(M614:O614)=3,MIN(M614:O614)&gt;=0),SUM(M614:O614)/L614,"")</f>
        <v>119.35468168605792</v>
      </c>
      <c r="Q614" s="16" t="str">
        <v>沿用原计划SKU店铺</v>
      </c>
      <c r="R614" s="16" t="str">
        <v>已匹配</v>
      </c>
      <c r="S614" s="16" t="str">
        <v>在售</v>
      </c>
      <c r="T614" s="16" t="str">
        <v>230918</v>
      </c>
      <c r="U614" s="16" t="str">
        <v>黑色</v>
      </c>
      <c r="V614" s="16" t="n">
        <v>7</v>
      </c>
      <c r="W614" s="8" t="str">
        <v>2026-10-11 至 2026-10-17</v>
      </c>
      <c r="X614" s="8" t="str">
        <v>2026-10-11、2026-10-12、2026-10-13、2026-10-14、2026-10-15、2026-10-16、2026-10-17</v>
      </c>
      <c r="Y614" s="8" t="str">
        <v>无</v>
      </c>
      <c r="Z614" s="8" t="n">
        <v>24</v>
      </c>
      <c r="AA614" s="8" t="n">
        <v>0</v>
      </c>
      <c r="AB614" s="8" t="n">
        <v>7</v>
      </c>
      <c r="AC614" s="8" t="str">
        <v>2026-10-02 至 2026-10-17</v>
      </c>
      <c r="AD614" s="8" t="str">
        <v>2026-10-02、2026-10-03、2026-10-04、2026-10-05、2026-10-08、2026-10-09、2026-10-10、2026-10-11、2026-10-12、2026-10-13、2026-10-14、2026-10-15、2026-10-16、2026-10-17</v>
      </c>
      <c r="AE614" s="8" t="str">
        <v>2026-10-06 大促；2026-10-07 大促</v>
      </c>
      <c r="AF614" s="8" t="n">
        <v>57</v>
      </c>
      <c r="AG614" s="8" t="n">
        <v>18</v>
      </c>
      <c r="AH614" s="8" t="n">
        <v>14</v>
      </c>
      <c r="AI614" s="8" t="str">
        <v>2026-09-16 至 2026-10-17</v>
      </c>
      <c r="AJ6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4" s="8" t="str">
        <v>2026-10-06 大促；2026-10-07 大促</v>
      </c>
      <c r="AL614" s="8" t="n">
        <v>93</v>
      </c>
      <c r="AM614" s="8" t="n">
        <v>18</v>
      </c>
      <c r="AN614" s="8" t="n">
        <v>30</v>
      </c>
      <c r="AO614" s="8" t="str">
        <v>230918 / 黑色 / 13120</v>
      </c>
      <c r="AP614" s="11" t="n">
        <v>1.6747911769553039</v>
      </c>
      <c r="AQ614" s="11" t="n">
        <v>1.6747911769553039</v>
      </c>
      <c r="AR614" s="11" t="n">
        <v>1.7386907395039133</v>
      </c>
      <c r="AS614" s="11" t="n">
        <f>IF(AND(COUNT(I614:K614,AP614:AR614)=6,MIN(AP614:AR614)&gt;0),I614/7/AP614*0.5+J614/14/AQ614*0.3+K614/30/AR614*0.2,"")</f>
        <v>1.8101505857157116</v>
      </c>
      <c r="AT614" s="8" t="n">
        <v>215</v>
      </c>
      <c r="AU614" s="8" t="n">
        <v>18</v>
      </c>
      <c r="AV614" s="8" t="n">
        <v>88</v>
      </c>
      <c r="AW614" s="11" t="n">
        <f>IF(AND(COUNT(AT614:AV614)=3,AT614&gt;=AU614,AU614&gt;=0,AV614&gt;0),(AT614-AU614)/AV614,"")</f>
        <v>2.2386363636363638</v>
      </c>
      <c r="AX614" s="8" t="n">
        <v>397</v>
      </c>
      <c r="AY614" s="8" t="n">
        <v>18</v>
      </c>
      <c r="AZ614" s="8" t="n">
        <v>178</v>
      </c>
      <c r="BA614" s="11" t="n">
        <f>IF(AND(COUNT(AX614:AZ614)=3,AX614&gt;=AY614,AY614&gt;=0,AZ614&gt;0),(AX614-AY614)/AZ614,"")</f>
        <v>2.1292134831460676</v>
      </c>
      <c r="BB614" s="8" t="n">
        <f>IF(COUNT(AS614,AW614,BA614)=3,1,0)</f>
        <v>1</v>
      </c>
      <c r="BC614" s="11" t="n">
        <f>IF(SUMIF($AO$11:$AO$1309,AO614,$BB$11:$BB$1309)=COUNTIF($AO$11:$AO$1309,AO614),SUMIF($AO$11:$AO$1309,AO614,$AS$11:$AS$1309),"")</f>
        <v>11.342019976477065</v>
      </c>
      <c r="BD614" s="11" t="n">
        <f>IF(SUMIF($AO$11:$AO$1309,AO614,$BB$11:$BB$1309)=COUNTIF($AO$11:$AO$1309,AO614),SUMIF($AO$11:$AO$1309,AO614,$AW$11:$AW$1309),"")</f>
        <v>13.352272727272727</v>
      </c>
      <c r="BE614" s="11" t="n">
        <f>IF(SUMIF($AO$11:$AO$1309,AO614,$BB$11:$BB$1309)=COUNTIF($AO$11:$AO$1309,AO614),SUMIF($AO$11:$AO$1309,AO614,$BA$11:$BA$1309),"")</f>
        <v>12.707865168539326</v>
      </c>
      <c r="BF614" s="12" t="n">
        <f>IF(COUNT(BD614:BE614)&lt;&gt;2,"",IF(AND(BD614&gt;0,BE614&gt;0),0.7*AW614/BD614+0.3*BA614/BE614,IF(BD614&gt;0,AW614/BD614,IF(BE614&gt;0,BA614/BE614,IF(AND(ISNUMBER(BH614),BH614=0),0,"")))))</f>
        <v>0.1676269541170495</v>
      </c>
      <c r="BG614" s="11" t="n">
        <f>IF(AND(COUNT(BN614:BU614)=8,MIN(BN614:BU614)&gt;=0),SUMPRODUCT(BN614:BQ614,BR614:BU614),"")</f>
        <v>111.84534083910866</v>
      </c>
      <c r="BH614" s="11" t="n">
        <f>IF(COUNT(BC614,BG614)=2,BC614*BG614,"")</f>
        <v>1268.5520900730564</v>
      </c>
      <c r="BI614" s="11" t="n">
        <f>IF(ISNUMBER(CI614),CI614,"")</f>
        <v>212.6435229977635</v>
      </c>
      <c r="BJ614" s="8" t="str"/>
      <c r="BK614" s="8" t="str">
        <v>90天：2026-07-20 至 2026-10-17；180天：2026-04-21 至 2026-10-17</v>
      </c>
      <c r="BL614" s="8" t="str">
        <v>90天：2026-10-06、2026-10-07；180天：2026-10-06、2026-10-07</v>
      </c>
      <c r="BM614" s="8" t="str">
        <v>2026-10：12天 × 1.6747911769553037；2026-11：30天 × 1.5065205700457112；2026-12：31天 × 1.1492423388181006；2027-01：17天 × 0.6426892418183868</v>
      </c>
      <c r="BN614" s="11" t="n">
        <v>1.6747911769553037</v>
      </c>
      <c r="BO614" s="11" t="n">
        <v>1.5065205700457112</v>
      </c>
      <c r="BP614" s="11" t="n">
        <v>1.1492423388181006</v>
      </c>
      <c r="BQ614" s="11" t="n">
        <v>0.6426892418183868</v>
      </c>
      <c r="BR614" s="8" t="n">
        <v>12</v>
      </c>
      <c r="BS614" s="8" t="n">
        <v>30</v>
      </c>
      <c r="BT614" s="8" t="n">
        <v>31</v>
      </c>
      <c r="BU614" s="8" t="n">
        <v>17</v>
      </c>
      <c r="BV614" s="11" t="n">
        <f>IF(COUNT(BC614,BF614)=2,BC614*BF614,"")</f>
        <v>1.90122826219158</v>
      </c>
      <c r="BW614" s="11" t="n">
        <f>IF(ISNUMBER(BN614),BN614,"")</f>
        <v>1.6747911769553037</v>
      </c>
      <c r="BX614" s="14" t="n">
        <f>IF(ISNUMBER(BR614),BR614,"")</f>
        <v>12</v>
      </c>
      <c r="BY614" s="13" t="n">
        <f>IF(AND(COUNT(BV614,BW614,BX614)=3,MIN(BV614,BW614,BX614)&gt;=0),BV614*BW614*BX614,"")</f>
        <v>38.20992382675827</v>
      </c>
      <c r="BZ614" s="11" t="n">
        <f>IF(ISNUMBER(BO614),BO614,"")</f>
        <v>1.5065205700457112</v>
      </c>
      <c r="CA614" s="14" t="n">
        <f>IF(ISNUMBER(BS614),BS614,"")</f>
        <v>30</v>
      </c>
      <c r="CB614" s="13" t="n">
        <f>IF(AND(COUNT(BV614,BZ614,CA614)=3,MIN(BV614,BZ614,CA614)&gt;=0),BV614*BZ614*CA614,"")</f>
        <v>85.92718456031628</v>
      </c>
      <c r="CC614" s="11" t="n">
        <f>IF(ISNUMBER(BP614),BP614,"")</f>
        <v>1.1492423388181006</v>
      </c>
      <c r="CD614" s="14" t="n">
        <f>IF(ISNUMBER(BT614),BT614,"")</f>
        <v>31</v>
      </c>
      <c r="CE614" s="13" t="n">
        <f>IF(AND(COUNT(BV614,CC614,CD614)=3,MIN(BV614,CC614,CD614)&gt;=0),BV614*CC614*CD614,"")</f>
        <v>67.73413245471185</v>
      </c>
      <c r="CF614" s="11" t="n">
        <f>IF(ISNUMBER(BQ614),BQ614,"")</f>
        <v>0.6426892418183868</v>
      </c>
      <c r="CG614" s="14" t="n">
        <f>IF(ISNUMBER(BU614),BU614,"")</f>
        <v>17</v>
      </c>
      <c r="CH614" s="13" t="n">
        <f>IF(AND(COUNT(BV614,CF614,CG614)=3,MIN(BV614,CF614,CG614)&gt;=0),BV614*CF614*CG614,"")</f>
        <v>20.772282155977123</v>
      </c>
      <c r="CI614" s="13" t="n">
        <f>IF(COUNT(BY614,CB614,CE614,CH614)=4,SUM(BY614,CB614,CE614,CH614),"")</f>
        <v>212.6435229977635</v>
      </c>
    </row>
    <row r="615" ht="72" customHeight="1">
      <c r="A615" s="16" t="str">
        <v>230918-BK-S-Z-9</v>
      </c>
      <c r="B615" s="16" t="str">
        <v>1店-MUSSHOE-US</v>
      </c>
      <c r="C615" s="16" t="str">
        <v>艾年</v>
      </c>
      <c r="D615" s="26" t="n">
        <f>IF(NOT(ISNUMBER(E615)),"",IF(OR(E615&lt;=0,L615=0),0,IF(OR(NOT(ISNUMBER(F615)),F615&lt;0),"",MIN(E615,INT(F615)))))</f>
        <v>0</v>
      </c>
      <c r="E615" s="27" t="n">
        <f>IF(OR(NOT(ISNUMBER(L615)),COUNT(M615:O615)&lt;&gt;3,MIN(M615:O615)&lt;0),"",ROUNDUP(ROUND(BI615-SUM(M615:O615),10),0))</f>
        <v>-14</v>
      </c>
      <c r="F615" s="28" t="n">
        <v>131</v>
      </c>
      <c r="G615" s="28" t="n">
        <f>IF(AND(ISNUMBER(D615),ISNUMBER(E615)),IF(OR(E615&lt;=0,L615=0),0,E615-D615),"")</f>
        <v>0</v>
      </c>
      <c r="H615" s="16" t="str">
        <f>IF(NOT(ISNUMBER(E615)),"销量或海外库存待补",IF(OR(E615&lt;=0,L615=0),IF(L615=0,"零日销，本批不发","本批无需补货"),IF(NOT(ISNUMBER(D615)),"国内库存待补",IF(D615=0,"国内无可用库存",IF(G615&gt;0,"先发国内现货","按建议量发货")))))</f>
        <v>本批无需补货</v>
      </c>
      <c r="I615" s="28" t="n">
        <f>IF(AND(COUNT(Z615,AA615,AB615)=3,Z615&gt;=AA615,AA615&gt;=0,AB615=7),Z615-AA615,"")</f>
        <v>68</v>
      </c>
      <c r="J615" s="28" t="n">
        <f>IF(AND(COUNT(AF615,AG615,AH615)=3,AF615&gt;=AG615,AG615&gt;=0,AH615=14),AF615-AG615,"")</f>
        <v>105</v>
      </c>
      <c r="K615" s="28" t="n">
        <f>IF(AND(COUNT(AL615,AM615,AN615)=3,AL615&gt;=AM615,AM615&gt;=0,AN615=30),AL615-AM615,"")</f>
        <v>169</v>
      </c>
      <c r="L615" s="29" t="n">
        <f>IF(ISNUMBER(BI615),BI615/90,"")</f>
        <v>5.046338094834683</v>
      </c>
      <c r="M615" s="28" t="n">
        <v>170</v>
      </c>
      <c r="N615" s="28" t="n">
        <v>0</v>
      </c>
      <c r="O615" s="28" t="n">
        <v>298</v>
      </c>
      <c r="P615" s="30" t="n">
        <f>IF(AND(ISNUMBER(L615),L615&gt;0,COUNT(M615:O615)=3,MIN(M615:O615)&gt;=0),SUM(M615:O615)/L615,"")</f>
        <v>92.74051623275781</v>
      </c>
      <c r="Q615" s="16" t="str">
        <v>沿用原计划SKU店铺</v>
      </c>
      <c r="R615" s="16" t="str">
        <v>已匹配</v>
      </c>
      <c r="S615" s="16" t="str">
        <v>在售</v>
      </c>
      <c r="T615" s="16" t="str">
        <v>230918</v>
      </c>
      <c r="U615" s="16" t="str">
        <v>黑色</v>
      </c>
      <c r="V615" s="16" t="n">
        <v>9</v>
      </c>
      <c r="W615" s="8" t="str">
        <v>2026-10-11 至 2026-10-17</v>
      </c>
      <c r="X615" s="8" t="str">
        <v>2026-10-11、2026-10-12、2026-10-13、2026-10-14、2026-10-15、2026-10-16、2026-10-17</v>
      </c>
      <c r="Y615" s="8" t="str">
        <v>无</v>
      </c>
      <c r="Z615" s="8" t="n">
        <v>68</v>
      </c>
      <c r="AA615" s="8" t="n">
        <v>0</v>
      </c>
      <c r="AB615" s="8" t="n">
        <v>7</v>
      </c>
      <c r="AC615" s="8" t="str">
        <v>2026-10-02 至 2026-10-17</v>
      </c>
      <c r="AD615" s="8" t="str">
        <v>2026-10-02、2026-10-03、2026-10-04、2026-10-05、2026-10-08、2026-10-09、2026-10-10、2026-10-11、2026-10-12、2026-10-13、2026-10-14、2026-10-15、2026-10-16、2026-10-17</v>
      </c>
      <c r="AE615" s="8" t="str">
        <v>2026-10-06 大促；2026-10-07 大促</v>
      </c>
      <c r="AF615" s="8" t="n">
        <v>139</v>
      </c>
      <c r="AG615" s="8" t="n">
        <v>34</v>
      </c>
      <c r="AH615" s="8" t="n">
        <v>14</v>
      </c>
      <c r="AI615" s="8" t="str">
        <v>2026-09-16 至 2026-10-17</v>
      </c>
      <c r="AJ61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5" s="8" t="str">
        <v>2026-10-06 大促；2026-10-07 大促</v>
      </c>
      <c r="AL615" s="8" t="n">
        <v>203</v>
      </c>
      <c r="AM615" s="8" t="n">
        <v>34</v>
      </c>
      <c r="AN615" s="8" t="n">
        <v>30</v>
      </c>
      <c r="AO615" s="8" t="str">
        <v>230918 / 黑色 / 13120</v>
      </c>
      <c r="AP615" s="11" t="n">
        <v>1.6747911769553039</v>
      </c>
      <c r="AQ615" s="11" t="n">
        <v>1.6747911769553039</v>
      </c>
      <c r="AR615" s="11" t="n">
        <v>1.7386907395039133</v>
      </c>
      <c r="AS615" s="11" t="n">
        <f>IF(AND(COUNT(I615:K615,AP615:AR615)=6,MIN(AP615:AR615)&gt;0),I615/7/AP615*0.5+J615/14/AQ615*0.3+K615/30/AR615*0.2,"")</f>
        <v>4.891596577102581</v>
      </c>
      <c r="AT615" s="8" t="n">
        <v>468</v>
      </c>
      <c r="AU615" s="8" t="n">
        <v>34</v>
      </c>
      <c r="AV615" s="8" t="n">
        <v>88</v>
      </c>
      <c r="AW615" s="11" t="n">
        <f>IF(AND(COUNT(AT615:AV615)=3,AT615&gt;=AU615,AU615&gt;=0,AV615&gt;0),(AT615-AU615)/AV615,"")</f>
        <v>4.931818181818182</v>
      </c>
      <c r="AX615" s="8" t="n">
        <v>784</v>
      </c>
      <c r="AY615" s="8" t="n">
        <v>34</v>
      </c>
      <c r="AZ615" s="8" t="n">
        <v>178</v>
      </c>
      <c r="BA615" s="11" t="n">
        <f>IF(AND(COUNT(AX615:AZ615)=3,AX615&gt;=AY615,AY615&gt;=0,AZ615&gt;0),(AX615-AY615)/AZ615,"")</f>
        <v>4.213483146067416</v>
      </c>
      <c r="BB615" s="8" t="n">
        <f>IF(COUNT(AS615,AW615,BA615)=3,1,0)</f>
        <v>1</v>
      </c>
      <c r="BC615" s="11" t="n">
        <f>IF(SUMIF($AO$11:$AO$1309,AO615,$BB$11:$BB$1309)=COUNTIF($AO$11:$AO$1309,AO615),SUMIF($AO$11:$AO$1309,AO615,$AS$11:$AS$1309),"")</f>
        <v>11.342019976477065</v>
      </c>
      <c r="BD615" s="11" t="n">
        <f>IF(SUMIF($AO$11:$AO$1309,AO615,$BB$11:$BB$1309)=COUNTIF($AO$11:$AO$1309,AO615),SUMIF($AO$11:$AO$1309,AO615,$AW$11:$AW$1309),"")</f>
        <v>13.352272727272727</v>
      </c>
      <c r="BE615" s="11" t="n">
        <f>IF(SUMIF($AO$11:$AO$1309,AO615,$BB$11:$BB$1309)=COUNTIF($AO$11:$AO$1309,AO615),SUMIF($AO$11:$AO$1309,AO615,$BA$11:$BA$1309),"")</f>
        <v>12.707865168539326</v>
      </c>
      <c r="BF615" s="12" t="n">
        <f>IF(COUNT(BD615:BE615)&lt;&gt;2,"",IF(AND(BD615&gt;0,BE615&gt;0),0.7*AW615/BD615+0.3*BA615/BE615,IF(BD615&gt;0,AW615/BD615,IF(BE615&gt;0,BA615/BE615,IF(AND(ISNUMBER(BH615),BH615=0),0,"")))))</f>
        <v>0.35802268751058186</v>
      </c>
      <c r="BG615" s="11" t="n">
        <f>IF(AND(COUNT(BN615:BU615)=8,MIN(BN615:BU615)&gt;=0),SUMPRODUCT(BN615:BQ615,BR615:BU615),"")</f>
        <v>111.84534083910866</v>
      </c>
      <c r="BH615" s="11" t="n">
        <f>IF(COUNT(BC615,BG615)=2,BC615*BG615,"")</f>
        <v>1268.5520900730564</v>
      </c>
      <c r="BI615" s="11" t="n">
        <f>IF(ISNUMBER(CI615),CI615,"")</f>
        <v>454.17042853512146</v>
      </c>
      <c r="BJ615" s="8" t="str"/>
      <c r="BK615" s="8" t="str">
        <v>90天：2026-07-20 至 2026-10-17；180天：2026-04-21 至 2026-10-17</v>
      </c>
      <c r="BL615" s="8" t="str">
        <v>90天：2026-10-06、2026-10-07；180天：2026-10-06、2026-10-07</v>
      </c>
      <c r="BM615" s="8" t="str">
        <v>2026-10：12天 × 1.6747911769553037；2026-11：30天 × 1.5065205700457112；2026-12：31天 × 1.1492423388181006；2027-01：17天 × 0.6426892418183868</v>
      </c>
      <c r="BN615" s="11" t="n">
        <v>1.6747911769553037</v>
      </c>
      <c r="BO615" s="11" t="n">
        <v>1.5065205700457112</v>
      </c>
      <c r="BP615" s="11" t="n">
        <v>1.1492423388181006</v>
      </c>
      <c r="BQ615" s="11" t="n">
        <v>0.6426892418183868</v>
      </c>
      <c r="BR615" s="8" t="n">
        <v>12</v>
      </c>
      <c r="BS615" s="8" t="n">
        <v>30</v>
      </c>
      <c r="BT615" s="8" t="n">
        <v>31</v>
      </c>
      <c r="BU615" s="8" t="n">
        <v>17</v>
      </c>
      <c r="BV615" s="11" t="n">
        <f>IF(COUNT(BC615,BF615)=2,BC615*BF615,"")</f>
        <v>4.060700473777025</v>
      </c>
      <c r="BW615" s="11" t="n">
        <f>IF(ISNUMBER(BN615),BN615,"")</f>
        <v>1.6747911769553037</v>
      </c>
      <c r="BX615" s="14" t="n">
        <f>IF(ISNUMBER(BR615),BR615,"")</f>
        <v>12</v>
      </c>
      <c r="BY615" s="13" t="n">
        <f>IF(AND(COUNT(BV615,BW615,BX615)=3,MIN(BV615,BW615,BX615)&gt;=0),BV615*BW615*BX615,"")</f>
        <v>81.6099039088798</v>
      </c>
      <c r="BZ615" s="11" t="n">
        <f>IF(ISNUMBER(BO615),BO615,"")</f>
        <v>1.5065205700457112</v>
      </c>
      <c r="CA615" s="14" t="n">
        <f>IF(ISNUMBER(BS615),BS615,"")</f>
        <v>30</v>
      </c>
      <c r="CB615" s="13" t="n">
        <f>IF(AND(COUNT(BV615,BZ615,CA615)=3,MIN(BV615,BZ615,CA615)&gt;=0),BV615*BZ615*CA615,"")</f>
        <v>183.5258637761836</v>
      </c>
      <c r="CC615" s="11" t="n">
        <f>IF(ISNUMBER(BP615),BP615,"")</f>
        <v>1.1492423388181006</v>
      </c>
      <c r="CD615" s="14" t="n">
        <f>IF(ISNUMBER(BT615),BT615,"")</f>
        <v>31</v>
      </c>
      <c r="CE615" s="13" t="n">
        <f>IF(AND(COUNT(BV615,CC615,CD615)=3,MIN(BV615,CC615,CD615)&gt;=0),BV615*CC615*CD615,"")</f>
        <v>144.66859620142162</v>
      </c>
      <c r="CF615" s="11" t="n">
        <f>IF(ISNUMBER(BQ615),BQ615,"")</f>
        <v>0.6426892418183868</v>
      </c>
      <c r="CG615" s="14" t="n">
        <f>IF(ISNUMBER(BU615),BU615,"")</f>
        <v>17</v>
      </c>
      <c r="CH615" s="13" t="n">
        <f>IF(AND(COUNT(BV615,CF615,CG615)=3,MIN(BV615,CF615,CG615)&gt;=0),BV615*CF615*CG615,"")</f>
        <v>44.36606464863645</v>
      </c>
      <c r="CI615" s="13" t="n">
        <f>IF(COUNT(BY615,CB615,CE615,CH615)=4,SUM(BY615,CB615,CE615,CH615),"")</f>
        <v>454.17042853512146</v>
      </c>
    </row>
    <row r="616" ht="72" customHeight="1">
      <c r="A616" s="16" t="str">
        <v>230918-BW-S-Z-11</v>
      </c>
      <c r="B616" s="16" t="str">
        <v>1店-MUSSHOE-US</v>
      </c>
      <c r="C616" s="16" t="str">
        <v>艾年</v>
      </c>
      <c r="D616" s="26" t="n">
        <f>IF(NOT(ISNUMBER(E616)),"",IF(OR(E616&lt;=0,L616=0),0,IF(OR(NOT(ISNUMBER(F616)),F616&lt;0),"",MIN(E616,INT(F616)))))</f>
        <v>0</v>
      </c>
      <c r="E616" s="27" t="n">
        <f>IF(OR(NOT(ISNUMBER(L616)),COUNT(M616:O616)&lt;&gt;3,MIN(M616:O616)&lt;0),"",ROUNDUP(ROUND(BI616-SUM(M616:O616),10),0))</f>
        <v>-19</v>
      </c>
      <c r="F616" s="28" t="n">
        <v>0</v>
      </c>
      <c r="G616" s="28" t="n">
        <f>IF(AND(ISNUMBER(D616),ISNUMBER(E616)),IF(OR(E616&lt;=0,L616=0),0,E616-D616),"")</f>
        <v>0</v>
      </c>
      <c r="H616" s="16" t="str">
        <f>IF(NOT(ISNUMBER(E616)),"销量或海外库存待补",IF(OR(E616&lt;=0,L616=0),IF(L616=0,"零日销，本批不发","本批无需补货"),IF(NOT(ISNUMBER(D616)),"国内库存待补",IF(D616=0,"国内无可用库存",IF(G616&gt;0,"先发国内现货","按建议量发货")))))</f>
        <v>本批无需补货</v>
      </c>
      <c r="I616" s="28" t="n">
        <f>IF(AND(COUNT(Z616,AA616,AB616)=3,Z616&gt;=AA616,AA616&gt;=0,AB616=7),Z616-AA616,"")</f>
        <v>2</v>
      </c>
      <c r="J616" s="28" t="n">
        <f>IF(AND(COUNT(AF616,AG616,AH616)=3,AF616&gt;=AG616,AG616&gt;=0,AH616=14),AF616-AG616,"")</f>
        <v>2</v>
      </c>
      <c r="K616" s="28" t="n">
        <f>IF(AND(COUNT(AL616,AM616,AN616)=3,AL616&gt;=AM616,AM616&gt;=0,AN616=30),AL616-AM616,"")</f>
        <v>6</v>
      </c>
      <c r="L616" s="29" t="n">
        <f>IF(ISNUMBER(BI616),BI616/90,"")</f>
        <v>0.25880741736841223</v>
      </c>
      <c r="M616" s="28" t="n">
        <v>42</v>
      </c>
      <c r="N616" s="28" t="n">
        <v>0</v>
      </c>
      <c r="O616" s="28" t="n">
        <v>0</v>
      </c>
      <c r="P616" s="30" t="n">
        <f>IF(AND(ISNUMBER(L616),L616&gt;0,COUNT(M616:O616)=3,MIN(M616:O616)&gt;=0),SUM(M616:O616)/L616,"")</f>
        <v>162.28282955357892</v>
      </c>
      <c r="Q616" s="16" t="str">
        <v>沿用原计划SKU店铺</v>
      </c>
      <c r="R616" s="16" t="str">
        <v>已匹配</v>
      </c>
      <c r="S616" s="16" t="str">
        <v>在售</v>
      </c>
      <c r="T616" s="16" t="str">
        <v>230918</v>
      </c>
      <c r="U616" s="16" t="str">
        <v>米白色PU</v>
      </c>
      <c r="V616" s="16" t="n">
        <v>11</v>
      </c>
      <c r="W616" s="8" t="str">
        <v>2026-10-11 至 2026-10-17</v>
      </c>
      <c r="X616" s="8" t="str">
        <v>2026-10-11、2026-10-12、2026-10-13、2026-10-14、2026-10-15、2026-10-16、2026-10-17</v>
      </c>
      <c r="Y616" s="8" t="str">
        <v>无</v>
      </c>
      <c r="Z616" s="8" t="n">
        <v>2</v>
      </c>
      <c r="AA616" s="8" t="n">
        <v>0</v>
      </c>
      <c r="AB616" s="8" t="n">
        <v>7</v>
      </c>
      <c r="AC616" s="8" t="str">
        <v>2026-10-02 至 2026-10-17</v>
      </c>
      <c r="AD616" s="8" t="str">
        <v>2026-10-02、2026-10-03、2026-10-04、2026-10-05、2026-10-08、2026-10-09、2026-10-10、2026-10-11、2026-10-12、2026-10-13、2026-10-14、2026-10-15、2026-10-16、2026-10-17</v>
      </c>
      <c r="AE616" s="8" t="str">
        <v>2026-10-06 大促；2026-10-07 大促</v>
      </c>
      <c r="AF616" s="8" t="n">
        <v>4</v>
      </c>
      <c r="AG616" s="8" t="n">
        <v>2</v>
      </c>
      <c r="AH616" s="8" t="n">
        <v>14</v>
      </c>
      <c r="AI616" s="8" t="str">
        <v>2026-09-16 至 2026-10-17</v>
      </c>
      <c r="AJ6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6" s="8" t="str">
        <v>2026-10-06 大促；2026-10-07 大促</v>
      </c>
      <c r="AL616" s="8" t="n">
        <v>8</v>
      </c>
      <c r="AM616" s="8" t="n">
        <v>2</v>
      </c>
      <c r="AN616" s="8" t="n">
        <v>30</v>
      </c>
      <c r="AO616" s="8" t="str">
        <v>230918 / 米白色PU / 13120</v>
      </c>
      <c r="AP616" s="11" t="n">
        <v>1.6747911769553039</v>
      </c>
      <c r="AQ616" s="11" t="n">
        <v>1.6747911769553039</v>
      </c>
      <c r="AR616" s="11" t="n">
        <v>1.7386907395039133</v>
      </c>
      <c r="AS616" s="11" t="n">
        <f>IF(AND(COUNT(I616:K616,AP616:AR616)=6,MIN(AP616:AR616)&gt;0),I616/7/AP616*0.5+J616/14/AQ616*0.3+K616/30/AR616*0.2,"")</f>
        <v>0.13389384132971355</v>
      </c>
      <c r="AT616" s="8" t="n">
        <v>30</v>
      </c>
      <c r="AU616" s="8" t="n">
        <v>2</v>
      </c>
      <c r="AV616" s="8" t="n">
        <v>88</v>
      </c>
      <c r="AW616" s="11" t="n">
        <f>IF(AND(COUNT(AT616:AV616)=3,AT616&gt;=AU616,AU616&gt;=0,AV616&gt;0),(AT616-AU616)/AV616,"")</f>
        <v>0.3181818181818182</v>
      </c>
      <c r="AX616" s="8" t="n">
        <v>59</v>
      </c>
      <c r="AY616" s="8" t="n">
        <v>2</v>
      </c>
      <c r="AZ616" s="8" t="n">
        <v>178</v>
      </c>
      <c r="BA616" s="11" t="n">
        <f>IF(AND(COUNT(AX616:AZ616)=3,AX616&gt;=AY616,AY616&gt;=0,AZ616&gt;0),(AX616-AY616)/AZ616,"")</f>
        <v>0.3202247191011236</v>
      </c>
      <c r="BB616" s="8" t="n">
        <f>IF(COUNT(AS616,AW616,BA616)=3,1,0)</f>
        <v>1</v>
      </c>
      <c r="BC616" s="11" t="n">
        <f>IF(SUMIF($AO$11:$AO$1309,AO616,$BB$11:$BB$1309)=COUNTIF($AO$11:$AO$1309,AO616),SUMIF($AO$11:$AO$1309,AO616,$AS$11:$AS$1309),"")</f>
        <v>2.0540299204395773</v>
      </c>
      <c r="BD616" s="11" t="n">
        <f>IF(SUMIF($AO$11:$AO$1309,AO616,$BB$11:$BB$1309)=COUNTIF($AO$11:$AO$1309,AO616),SUMIF($AO$11:$AO$1309,AO616,$AW$11:$AW$1309),"")</f>
        <v>3.090909090909091</v>
      </c>
      <c r="BE616" s="11" t="n">
        <f>IF(SUMIF($AO$11:$AO$1309,AO616,$BB$11:$BB$1309)=COUNTIF($AO$11:$AO$1309,AO616),SUMIF($AO$11:$AO$1309,AO616,$BA$11:$BA$1309),"")</f>
        <v>3.275280898876405</v>
      </c>
      <c r="BF616" s="12" t="n">
        <f>IF(COUNT(BD616:BE616)&lt;&gt;2,"",IF(AND(BD616&gt;0,BE616&gt;0),0.7*AW616/BD616+0.3*BA616/BE616,IF(BD616&gt;0,AW616/BD616,IF(BE616&gt;0,BA616/BE616,IF(AND(ISNUMBER(BH616),BH616=0),0,"")))))</f>
        <v>0.10138986984159014</v>
      </c>
      <c r="BG616" s="11" t="n">
        <f>IF(AND(COUNT(BN616:BU616)=8,MIN(BN616:BU616)&gt;=0),SUMPRODUCT(BN616:BQ616,BR616:BU616),"")</f>
        <v>111.84534083910866</v>
      </c>
      <c r="BH616" s="11" t="n">
        <f>IF(COUNT(BC616,BG616)=2,BC616*BG616,"")</f>
        <v>229.73367654529176</v>
      </c>
      <c r="BI616" s="11" t="n">
        <f>IF(ISNUMBER(CI616),CI616,"")</f>
        <v>23.292667563157103</v>
      </c>
      <c r="BJ616" s="8" t="str"/>
      <c r="BK616" s="8" t="str">
        <v>90天：2026-07-20 至 2026-10-17；180天：2026-04-21 至 2026-10-17</v>
      </c>
      <c r="BL616" s="8" t="str">
        <v>90天：2026-10-06、2026-10-07；180天：2026-10-06、2026-10-07</v>
      </c>
      <c r="BM616" s="8" t="str">
        <v>2026-10：12天 × 1.6747911769553037；2026-11：30天 × 1.5065205700457112；2026-12：31天 × 1.1492423388181006；2027-01：17天 × 0.6426892418183868</v>
      </c>
      <c r="BN616" s="11" t="n">
        <v>1.6747911769553037</v>
      </c>
      <c r="BO616" s="11" t="n">
        <v>1.5065205700457112</v>
      </c>
      <c r="BP616" s="11" t="n">
        <v>1.1492423388181006</v>
      </c>
      <c r="BQ616" s="11" t="n">
        <v>0.6426892418183868</v>
      </c>
      <c r="BR616" s="8" t="n">
        <v>12</v>
      </c>
      <c r="BS616" s="8" t="n">
        <v>30</v>
      </c>
      <c r="BT616" s="8" t="n">
        <v>31</v>
      </c>
      <c r="BU616" s="8" t="n">
        <v>17</v>
      </c>
      <c r="BV616" s="11" t="n">
        <f>IF(COUNT(BC616,BF616)=2,BC616*BF616,"")</f>
        <v>0.2082578262841005</v>
      </c>
      <c r="BW616" s="11" t="n">
        <f>IF(ISNUMBER(BN616),BN616,"")</f>
        <v>1.6747911769553037</v>
      </c>
      <c r="BX616" s="14" t="n">
        <f>IF(ISNUMBER(BR616),BR616,"")</f>
        <v>12</v>
      </c>
      <c r="BY616" s="13" t="n">
        <f>IF(AND(COUNT(BV616,BW616,BX616)=3,MIN(BV616,BW616,BX616)&gt;=0),BV616*BW616*BX616,"")</f>
        <v>4.185460439910022</v>
      </c>
      <c r="BZ616" s="11" t="n">
        <f>IF(ISNUMBER(BO616),BO616,"")</f>
        <v>1.5065205700457112</v>
      </c>
      <c r="CA616" s="14" t="n">
        <f>IF(ISNUMBER(BS616),BS616,"")</f>
        <v>30</v>
      </c>
      <c r="CB616" s="13" t="n">
        <f>IF(AND(COUNT(BV616,BZ616,CA616)=3,MIN(BV616,BZ616,CA616)&gt;=0),BV616*BZ616*CA616,"")</f>
        <v>9.412340975100113</v>
      </c>
      <c r="CC616" s="11" t="n">
        <f>IF(ISNUMBER(BP616),BP616,"")</f>
        <v>1.1492423388181006</v>
      </c>
      <c r="CD616" s="14" t="n">
        <f>IF(ISNUMBER(BT616),BT616,"")</f>
        <v>31</v>
      </c>
      <c r="CE616" s="13" t="n">
        <f>IF(AND(COUNT(BV616,CC616,CD616)=3,MIN(BV616,CC616,CD616)&gt;=0),BV616*CC616*CD616,"")</f>
        <v>7.419500052033314</v>
      </c>
      <c r="CF616" s="11" t="n">
        <f>IF(ISNUMBER(BQ616),BQ616,"")</f>
        <v>0.6426892418183868</v>
      </c>
      <c r="CG616" s="14" t="n">
        <f>IF(ISNUMBER(BU616),BU616,"")</f>
        <v>17</v>
      </c>
      <c r="CH616" s="13" t="n">
        <f>IF(AND(COUNT(BV616,CF616,CG616)=3,MIN(BV616,CF616,CG616)&gt;=0),BV616*CF616*CG616,"")</f>
        <v>2.2753660961136557</v>
      </c>
      <c r="CI616" s="13" t="n">
        <f>IF(COUNT(BY616,CB616,CE616,CH616)=4,SUM(BY616,CB616,CE616,CH616),"")</f>
        <v>23.292667563157103</v>
      </c>
    </row>
    <row r="617" ht="72" customHeight="1">
      <c r="A617" s="16" t="str">
        <v>230918-BW-S-Z-6</v>
      </c>
      <c r="B617" s="16" t="str">
        <v>1店-MUSSHOE-US</v>
      </c>
      <c r="C617" s="16" t="str">
        <v>艾年</v>
      </c>
      <c r="D617" s="26" t="n">
        <f>IF(NOT(ISNUMBER(E617)),"",IF(OR(E617&lt;=0,L617=0),0,IF(OR(NOT(ISNUMBER(F617)),F617&lt;0),"",MIN(E617,INT(F617)))))</f>
        <v>0</v>
      </c>
      <c r="E617" s="27" t="n">
        <f>IF(OR(NOT(ISNUMBER(L617)),COUNT(M617:O617)&lt;&gt;3,MIN(M617:O617)&lt;0),"",ROUNDUP(ROUND(BI617-SUM(M617:O617),10),0))</f>
        <v>-68</v>
      </c>
      <c r="F617" s="28" t="n">
        <v>29</v>
      </c>
      <c r="G617" s="28" t="n">
        <f>IF(AND(ISNUMBER(D617),ISNUMBER(E617)),IF(OR(E617&lt;=0,L617=0),0,E617-D617),"")</f>
        <v>0</v>
      </c>
      <c r="H617" s="16" t="str">
        <f>IF(NOT(ISNUMBER(E617)),"销量或海外库存待补",IF(OR(E617&lt;=0,L617=0),IF(L617=0,"零日销，本批不发","本批无需补货"),IF(NOT(ISNUMBER(D617)),"国内库存待补",IF(D617=0,"国内无可用库存",IF(G617&gt;0,"先发国内现货","按建议量发货")))))</f>
        <v>本批无需补货</v>
      </c>
      <c r="I617" s="28" t="n">
        <f>IF(AND(COUNT(Z617,AA617,AB617)=3,Z617&gt;=AA617,AA617&gt;=0,AB617=7),Z617-AA617,"")</f>
        <v>2</v>
      </c>
      <c r="J617" s="28" t="n">
        <f>IF(AND(COUNT(AF617,AG617,AH617)=3,AF617&gt;=AG617,AG617&gt;=0,AH617=14),AF617-AG617,"")</f>
        <v>4</v>
      </c>
      <c r="K617" s="28" t="n">
        <f>IF(AND(COUNT(AL617,AM617,AN617)=3,AL617&gt;=AM617,AM617&gt;=0,AN617=30),AL617-AM617,"")</f>
        <v>10</v>
      </c>
      <c r="L617" s="29" t="n">
        <f>IF(ISNUMBER(BI617),BI617/90,"")</f>
        <v>0.3599641266747052</v>
      </c>
      <c r="M617" s="28" t="n">
        <v>35</v>
      </c>
      <c r="N617" s="28" t="n">
        <v>0</v>
      </c>
      <c r="O617" s="28" t="n">
        <v>65</v>
      </c>
      <c r="P617" s="30" t="n">
        <f>IF(AND(ISNUMBER(L617),L617&gt;0,COUNT(M617:O617)=3,MIN(M617:O617)&gt;=0),SUM(M617:O617)/L617,"")</f>
        <v>277.805460571266</v>
      </c>
      <c r="Q617" s="16" t="str">
        <v>沿用原计划SKU店铺</v>
      </c>
      <c r="R617" s="16" t="str">
        <v>已匹配</v>
      </c>
      <c r="S617" s="16" t="str">
        <v>在售</v>
      </c>
      <c r="T617" s="16" t="str">
        <v>230918</v>
      </c>
      <c r="U617" s="16" t="str">
        <v>米白色PU</v>
      </c>
      <c r="V617" s="16" t="n">
        <v>6</v>
      </c>
      <c r="W617" s="8" t="str">
        <v>2026-10-11 至 2026-10-17</v>
      </c>
      <c r="X617" s="8" t="str">
        <v>2026-10-11、2026-10-12、2026-10-13、2026-10-14、2026-10-15、2026-10-16、2026-10-17</v>
      </c>
      <c r="Y617" s="8" t="str">
        <v>无</v>
      </c>
      <c r="Z617" s="8" t="n">
        <v>2</v>
      </c>
      <c r="AA617" s="8" t="n">
        <v>0</v>
      </c>
      <c r="AB617" s="8" t="n">
        <v>7</v>
      </c>
      <c r="AC617" s="8" t="str">
        <v>2026-10-02 至 2026-10-17</v>
      </c>
      <c r="AD617" s="8" t="str">
        <v>2026-10-02、2026-10-03、2026-10-04、2026-10-05、2026-10-08、2026-10-09、2026-10-10、2026-10-11、2026-10-12、2026-10-13、2026-10-14、2026-10-15、2026-10-16、2026-10-17</v>
      </c>
      <c r="AE617" s="8" t="str">
        <v>2026-10-06 大促；2026-10-07 大促</v>
      </c>
      <c r="AF617" s="8" t="n">
        <v>6</v>
      </c>
      <c r="AG617" s="8" t="n">
        <v>2</v>
      </c>
      <c r="AH617" s="8" t="n">
        <v>14</v>
      </c>
      <c r="AI617" s="8" t="str">
        <v>2026-09-16 至 2026-10-17</v>
      </c>
      <c r="AJ6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7" s="8" t="str">
        <v>2026-10-06 大促；2026-10-07 大促</v>
      </c>
      <c r="AL617" s="8" t="n">
        <v>12</v>
      </c>
      <c r="AM617" s="8" t="n">
        <v>2</v>
      </c>
      <c r="AN617" s="8" t="n">
        <v>30</v>
      </c>
      <c r="AO617" s="8" t="str">
        <v>230918 / 米白色PU / 13120</v>
      </c>
      <c r="AP617" s="11" t="n">
        <v>1.6747911769553039</v>
      </c>
      <c r="AQ617" s="11" t="n">
        <v>1.6747911769553039</v>
      </c>
      <c r="AR617" s="11" t="n">
        <v>1.7386907395039133</v>
      </c>
      <c r="AS617" s="11" t="n">
        <f>IF(AND(COUNT(I617:K617,AP617:AR617)=6,MIN(AP617:AR617)&gt;0),I617/7/AP617*0.5+J617/14/AQ617*0.3+K617/30/AR617*0.2,"")</f>
        <v>0.17482059649529408</v>
      </c>
      <c r="AT617" s="8" t="n">
        <v>40</v>
      </c>
      <c r="AU617" s="8" t="n">
        <v>2</v>
      </c>
      <c r="AV617" s="8" t="n">
        <v>88</v>
      </c>
      <c r="AW617" s="11" t="n">
        <f>IF(AND(COUNT(AT617:AV617)=3,AT617&gt;=AU617,AU617&gt;=0,AV617&gt;0),(AT617-AU617)/AV617,"")</f>
        <v>0.4318181818181818</v>
      </c>
      <c r="AX617" s="8" t="n">
        <v>86</v>
      </c>
      <c r="AY617" s="8" t="n">
        <v>2</v>
      </c>
      <c r="AZ617" s="8" t="n">
        <v>178</v>
      </c>
      <c r="BA617" s="11" t="n">
        <f>IF(AND(COUNT(AX617:AZ617)=3,AX617&gt;=AY617,AY617&gt;=0,AZ617&gt;0),(AX617-AY617)/AZ617,"")</f>
        <v>0.47191011235955055</v>
      </c>
      <c r="BB617" s="8" t="n">
        <f>IF(COUNT(AS617,AW617,BA617)=3,1,0)</f>
        <v>1</v>
      </c>
      <c r="BC617" s="11" t="n">
        <f>IF(SUMIF($AO$11:$AO$1309,AO617,$BB$11:$BB$1309)=COUNTIF($AO$11:$AO$1309,AO617),SUMIF($AO$11:$AO$1309,AO617,$AS$11:$AS$1309),"")</f>
        <v>2.0540299204395773</v>
      </c>
      <c r="BD617" s="11" t="n">
        <f>IF(SUMIF($AO$11:$AO$1309,AO617,$BB$11:$BB$1309)=COUNTIF($AO$11:$AO$1309,AO617),SUMIF($AO$11:$AO$1309,AO617,$AW$11:$AW$1309),"")</f>
        <v>3.090909090909091</v>
      </c>
      <c r="BE617" s="11" t="n">
        <f>IF(SUMIF($AO$11:$AO$1309,AO617,$BB$11:$BB$1309)=COUNTIF($AO$11:$AO$1309,AO617),SUMIF($AO$11:$AO$1309,AO617,$BA$11:$BA$1309),"")</f>
        <v>3.275280898876405</v>
      </c>
      <c r="BF617" s="12" t="n">
        <f>IF(COUNT(BD617:BE617)&lt;&gt;2,"",IF(AND(BD617&gt;0,BE617&gt;0),0.7*AW617/BD617+0.3*BA617/BE617,IF(BD617&gt;0,AW617/BD617,IF(BE617&gt;0,BA617/BE617,IF(AND(ISNUMBER(BH617),BH617=0),0,"")))))</f>
        <v>0.14101881747553224</v>
      </c>
      <c r="BG617" s="11" t="n">
        <f>IF(AND(COUNT(BN617:BU617)=8,MIN(BN617:BU617)&gt;=0),SUMPRODUCT(BN617:BQ617,BR617:BU617),"")</f>
        <v>111.84534083910866</v>
      </c>
      <c r="BH617" s="11" t="n">
        <f>IF(COUNT(BC617,BG617)=2,BC617*BG617,"")</f>
        <v>229.73367654529176</v>
      </c>
      <c r="BI617" s="11" t="n">
        <f>IF(ISNUMBER(CI617),CI617,"")</f>
        <v>32.396771400723466</v>
      </c>
      <c r="BJ617" s="8" t="str"/>
      <c r="BK617" s="8" t="str">
        <v>90天：2026-07-20 至 2026-10-17；180天：2026-04-21 至 2026-10-17</v>
      </c>
      <c r="BL617" s="8" t="str">
        <v>90天：2026-10-06、2026-10-07；180天：2026-10-06、2026-10-07</v>
      </c>
      <c r="BM617" s="8" t="str">
        <v>2026-10：12天 × 1.6747911769553037；2026-11：30天 × 1.5065205700457112；2026-12：31天 × 1.1492423388181006；2027-01：17天 × 0.6426892418183868</v>
      </c>
      <c r="BN617" s="11" t="n">
        <v>1.6747911769553037</v>
      </c>
      <c r="BO617" s="11" t="n">
        <v>1.5065205700457112</v>
      </c>
      <c r="BP617" s="11" t="n">
        <v>1.1492423388181006</v>
      </c>
      <c r="BQ617" s="11" t="n">
        <v>0.6426892418183868</v>
      </c>
      <c r="BR617" s="8" t="n">
        <v>12</v>
      </c>
      <c r="BS617" s="8" t="n">
        <v>30</v>
      </c>
      <c r="BT617" s="8" t="n">
        <v>31</v>
      </c>
      <c r="BU617" s="8" t="n">
        <v>17</v>
      </c>
      <c r="BV617" s="11" t="n">
        <f>IF(COUNT(BC617,BF617)=2,BC617*BF617,"")</f>
        <v>0.28965687043975075</v>
      </c>
      <c r="BW617" s="11" t="n">
        <f>IF(ISNUMBER(BN617),BN617,"")</f>
        <v>1.6747911769553037</v>
      </c>
      <c r="BX617" s="14" t="n">
        <f>IF(ISNUMBER(BR617),BR617,"")</f>
        <v>12</v>
      </c>
      <c r="BY617" s="13" t="n">
        <f>IF(AND(COUNT(BV617,BW617,BX617)=3,MIN(BV617,BW617,BX617)&gt;=0),BV617*BW617*BX617,"")</f>
        <v>5.821377251483761</v>
      </c>
      <c r="BZ617" s="11" t="n">
        <f>IF(ISNUMBER(BO617),BO617,"")</f>
        <v>1.5065205700457112</v>
      </c>
      <c r="CA617" s="14" t="n">
        <f>IF(ISNUMBER(BS617),BS617,"")</f>
        <v>30</v>
      </c>
      <c r="CB617" s="13" t="n">
        <f>IF(AND(COUNT(BV617,BZ617,CA617)=3,MIN(BV617,BZ617,CA617)&gt;=0),BV617*BZ617*CA617,"")</f>
        <v>13.0912210071765</v>
      </c>
      <c r="CC617" s="11" t="n">
        <f>IF(ISNUMBER(BP617),BP617,"")</f>
        <v>1.1492423388181006</v>
      </c>
      <c r="CD617" s="14" t="n">
        <f>IF(ISNUMBER(BT617),BT617,"")</f>
        <v>31</v>
      </c>
      <c r="CE617" s="13" t="n">
        <f>IF(AND(COUNT(BV617,CC617,CD617)=3,MIN(BV617,CC617,CD617)&gt;=0),BV617*CC617*CD617,"")</f>
        <v>10.319464116406232</v>
      </c>
      <c r="CF617" s="11" t="n">
        <f>IF(ISNUMBER(BQ617),BQ617,"")</f>
        <v>0.6426892418183868</v>
      </c>
      <c r="CG617" s="14" t="n">
        <f>IF(ISNUMBER(BU617),BU617,"")</f>
        <v>17</v>
      </c>
      <c r="CH617" s="13" t="n">
        <f>IF(AND(COUNT(BV617,CF617,CG617)=3,MIN(BV617,CF617,CG617)&gt;=0),BV617*CF617*CG617,"")</f>
        <v>3.164709025656972</v>
      </c>
      <c r="CI617" s="13" t="n">
        <f>IF(COUNT(BY617,CB617,CE617,CH617)=4,SUM(BY617,CB617,CE617,CH617),"")</f>
        <v>32.396771400723466</v>
      </c>
    </row>
    <row r="618" ht="72" customHeight="1">
      <c r="A618" s="16" t="str">
        <v>230918-BW-S-Z-7</v>
      </c>
      <c r="B618" s="16" t="str">
        <v>1店-MUSSHOE-US</v>
      </c>
      <c r="C618" s="16" t="str">
        <v>艾年</v>
      </c>
      <c r="D618" s="26" t="n">
        <f>IF(NOT(ISNUMBER(E618)),"",IF(OR(E618&lt;=0,L618=0),0,IF(OR(NOT(ISNUMBER(F618)),F618&lt;0),"",MIN(E618,INT(F618)))))</f>
        <v>0</v>
      </c>
      <c r="E618" s="27" t="n">
        <f>IF(OR(NOT(ISNUMBER(L618)),COUNT(M618:O618)&lt;&gt;3,MIN(M618:O618)&lt;0),"",ROUNDUP(ROUND(BI618-SUM(M618:O618),10),0))</f>
        <v>-84</v>
      </c>
      <c r="F618" s="28" t="n">
        <v>121</v>
      </c>
      <c r="G618" s="28" t="n">
        <f>IF(AND(ISNUMBER(D618),ISNUMBER(E618)),IF(OR(E618&lt;=0,L618=0),0,E618-D618),"")</f>
        <v>0</v>
      </c>
      <c r="H618" s="16" t="str">
        <f>IF(NOT(ISNUMBER(E618)),"销量或海外库存待补",IF(OR(E618&lt;=0,L618=0),IF(L618=0,"零日销，本批不发","本批无需补货"),IF(NOT(ISNUMBER(D618)),"国内库存待补",IF(D618=0,"国内无可用库存",IF(G618&gt;0,"先发国内现货","按建议量发货")))))</f>
        <v>本批无需补货</v>
      </c>
      <c r="I618" s="28" t="n">
        <f>IF(AND(COUNT(Z618,AA618,AB618)=3,Z618&gt;=AA618,AA618&gt;=0,AB618=7),Z618-AA618,"")</f>
        <v>1</v>
      </c>
      <c r="J618" s="28" t="n">
        <f>IF(AND(COUNT(AF618,AG618,AH618)=3,AF618&gt;=AG618,AG618&gt;=0,AH618=14),AF618-AG618,"")</f>
        <v>3</v>
      </c>
      <c r="K618" s="28" t="n">
        <f>IF(AND(COUNT(AL618,AM618,AN618)=3,AL618&gt;=AM618,AM618&gt;=0,AN618=30),AL618-AM618,"")</f>
        <v>10</v>
      </c>
      <c r="L618" s="29" t="n">
        <f>IF(ISNUMBER(BI618),BI618/90,"")</f>
        <v>0.2588009785721101</v>
      </c>
      <c r="M618" s="28" t="n">
        <v>69</v>
      </c>
      <c r="N618" s="28" t="n">
        <v>0</v>
      </c>
      <c r="O618" s="28" t="n">
        <v>38</v>
      </c>
      <c r="P618" s="30" t="n">
        <f>IF(AND(ISNUMBER(L618),L618&gt;0,COUNT(M618:O618)=3,MIN(M618:O618)&gt;=0),SUM(M618:O618)/L618,"")</f>
        <v>413.4451136558838</v>
      </c>
      <c r="Q618" s="16" t="str">
        <v>沿用原计划SKU店铺</v>
      </c>
      <c r="R618" s="16" t="str">
        <v>已匹配</v>
      </c>
      <c r="S618" s="16" t="str">
        <v>在售</v>
      </c>
      <c r="T618" s="16" t="str">
        <v>230918</v>
      </c>
      <c r="U618" s="16" t="str">
        <v>米白色PU</v>
      </c>
      <c r="V618" s="16" t="n">
        <v>7</v>
      </c>
      <c r="W618" s="8" t="str">
        <v>2026-10-11 至 2026-10-17</v>
      </c>
      <c r="X618" s="8" t="str">
        <v>2026-10-11、2026-10-12、2026-10-13、2026-10-14、2026-10-15、2026-10-16、2026-10-17</v>
      </c>
      <c r="Y618" s="8" t="str">
        <v>无</v>
      </c>
      <c r="Z618" s="8" t="n">
        <v>1</v>
      </c>
      <c r="AA618" s="8" t="n">
        <v>0</v>
      </c>
      <c r="AB618" s="8" t="n">
        <v>7</v>
      </c>
      <c r="AC618" s="8" t="str">
        <v>2026-10-02 至 2026-10-17</v>
      </c>
      <c r="AD618" s="8" t="str">
        <v>2026-10-02、2026-10-03、2026-10-04、2026-10-05、2026-10-08、2026-10-09、2026-10-10、2026-10-11、2026-10-12、2026-10-13、2026-10-14、2026-10-15、2026-10-16、2026-10-17</v>
      </c>
      <c r="AE618" s="8" t="str">
        <v>2026-10-06 大促；2026-10-07 大促</v>
      </c>
      <c r="AF618" s="8" t="n">
        <v>4</v>
      </c>
      <c r="AG618" s="8" t="n">
        <v>1</v>
      </c>
      <c r="AH618" s="8" t="n">
        <v>14</v>
      </c>
      <c r="AI618" s="8" t="str">
        <v>2026-09-16 至 2026-10-17</v>
      </c>
      <c r="AJ6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8" s="8" t="str">
        <v>2026-10-06 大促；2026-10-07 大促</v>
      </c>
      <c r="AL618" s="8" t="n">
        <v>11</v>
      </c>
      <c r="AM618" s="8" t="n">
        <v>1</v>
      </c>
      <c r="AN618" s="8" t="n">
        <v>30</v>
      </c>
      <c r="AO618" s="8" t="str">
        <v>230918 / 米白色PU / 13120</v>
      </c>
      <c r="AP618" s="11" t="n">
        <v>1.6747911769553039</v>
      </c>
      <c r="AQ618" s="11" t="n">
        <v>1.6747911769553039</v>
      </c>
      <c r="AR618" s="11" t="n">
        <v>1.7386907395039133</v>
      </c>
      <c r="AS618" s="11" t="n">
        <f>IF(AND(COUNT(I618:K618,AP618:AR618)=6,MIN(AP618:AR618)&gt;0),I618/7/AP618*0.5+J618/14/AQ618*0.3+K618/30/AR618*0.2,"")</f>
        <v>0.11937658405073784</v>
      </c>
      <c r="AT618" s="8" t="n">
        <v>25</v>
      </c>
      <c r="AU618" s="8" t="n">
        <v>1</v>
      </c>
      <c r="AV618" s="8" t="n">
        <v>88</v>
      </c>
      <c r="AW618" s="11" t="n">
        <f>IF(AND(COUNT(AT618:AV618)=3,AT618&gt;=AU618,AU618&gt;=0,AV618&gt;0),(AT618-AU618)/AV618,"")</f>
        <v>0.2727272727272727</v>
      </c>
      <c r="AX618" s="8" t="n">
        <v>78</v>
      </c>
      <c r="AY618" s="8" t="n">
        <v>1</v>
      </c>
      <c r="AZ618" s="8" t="n">
        <v>178</v>
      </c>
      <c r="BA618" s="11" t="n">
        <f>IF(AND(COUNT(AX618:AZ618)=3,AX618&gt;=AY618,AY618&gt;=0,AZ618&gt;0),(AX618-AY618)/AZ618,"")</f>
        <v>0.43258426966292135</v>
      </c>
      <c r="BB618" s="8" t="n">
        <f>IF(COUNT(AS618,AW618,BA618)=3,1,0)</f>
        <v>1</v>
      </c>
      <c r="BC618" s="11" t="n">
        <f>IF(SUMIF($AO$11:$AO$1309,AO618,$BB$11:$BB$1309)=COUNTIF($AO$11:$AO$1309,AO618),SUMIF($AO$11:$AO$1309,AO618,$AS$11:$AS$1309),"")</f>
        <v>2.0540299204395773</v>
      </c>
      <c r="BD618" s="11" t="n">
        <f>IF(SUMIF($AO$11:$AO$1309,AO618,$BB$11:$BB$1309)=COUNTIF($AO$11:$AO$1309,AO618),SUMIF($AO$11:$AO$1309,AO618,$AW$11:$AW$1309),"")</f>
        <v>3.090909090909091</v>
      </c>
      <c r="BE618" s="11" t="n">
        <f>IF(SUMIF($AO$11:$AO$1309,AO618,$BB$11:$BB$1309)=COUNTIF($AO$11:$AO$1309,AO618),SUMIF($AO$11:$AO$1309,AO618,$BA$11:$BA$1309),"")</f>
        <v>3.275280898876405</v>
      </c>
      <c r="BF618" s="12" t="n">
        <f>IF(COUNT(BD618:BE618)&lt;&gt;2,"",IF(AND(BD618&gt;0,BE618&gt;0),0.7*AW618/BD618+0.3*BA618/BE618,IF(BD618&gt;0,AW618/BD618,IF(BE618&gt;0,BA618/BE618,IF(AND(ISNUMBER(BH618),BH618=0),0,"")))))</f>
        <v>0.1013873473917869</v>
      </c>
      <c r="BG618" s="11" t="n">
        <f>IF(AND(COUNT(BN618:BU618)=8,MIN(BN618:BU618)&gt;=0),SUMPRODUCT(BN618:BQ618,BR618:BU618),"")</f>
        <v>111.84534083910866</v>
      </c>
      <c r="BH618" s="11" t="n">
        <f>IF(COUNT(BC618,BG618)=2,BC618*BG618,"")</f>
        <v>229.73367654529176</v>
      </c>
      <c r="BI618" s="11" t="n">
        <f>IF(ISNUMBER(CI618),CI618,"")</f>
        <v>23.292088071489907</v>
      </c>
      <c r="BJ618" s="8" t="str"/>
      <c r="BK618" s="8" t="str">
        <v>90天：2026-07-20 至 2026-10-17；180天：2026-04-21 至 2026-10-17</v>
      </c>
      <c r="BL618" s="8" t="str">
        <v>90天：2026-10-06、2026-10-07；180天：2026-10-06、2026-10-07</v>
      </c>
      <c r="BM618" s="8" t="str">
        <v>2026-10：12天 × 1.6747911769553037；2026-11：30天 × 1.5065205700457112；2026-12：31天 × 1.1492423388181006；2027-01：17天 × 0.6426892418183868</v>
      </c>
      <c r="BN618" s="11" t="n">
        <v>1.6747911769553037</v>
      </c>
      <c r="BO618" s="11" t="n">
        <v>1.5065205700457112</v>
      </c>
      <c r="BP618" s="11" t="n">
        <v>1.1492423388181006</v>
      </c>
      <c r="BQ618" s="11" t="n">
        <v>0.6426892418183868</v>
      </c>
      <c r="BR618" s="8" t="n">
        <v>12</v>
      </c>
      <c r="BS618" s="8" t="n">
        <v>30</v>
      </c>
      <c r="BT618" s="8" t="n">
        <v>31</v>
      </c>
      <c r="BU618" s="8" t="n">
        <v>17</v>
      </c>
      <c r="BV618" s="11" t="n">
        <f>IF(COUNT(BC618,BF618)=2,BC618*BF618,"")</f>
        <v>0.20825264509673183</v>
      </c>
      <c r="BW618" s="11" t="n">
        <f>IF(ISNUMBER(BN618),BN618,"")</f>
        <v>1.6747911769553037</v>
      </c>
      <c r="BX618" s="14" t="n">
        <f>IF(ISNUMBER(BR618),BR618,"")</f>
        <v>12</v>
      </c>
      <c r="BY618" s="13" t="n">
        <f>IF(AND(COUNT(BV618,BW618,BX618)=3,MIN(BV618,BW618,BX618)&gt;=0),BV618*BW618*BX618,"")</f>
        <v>4.185356311027328</v>
      </c>
      <c r="BZ618" s="11" t="n">
        <f>IF(ISNUMBER(BO618),BO618,"")</f>
        <v>1.5065205700457112</v>
      </c>
      <c r="CA618" s="14" t="n">
        <f>IF(ISNUMBER(BS618),BS618,"")</f>
        <v>30</v>
      </c>
      <c r="CB618" s="13" t="n">
        <f>IF(AND(COUNT(BV618,BZ618,CA618)=3,MIN(BV618,BZ618,CA618)&gt;=0),BV618*BZ618*CA618,"")</f>
        <v>9.412106808139669</v>
      </c>
      <c r="CC618" s="11" t="n">
        <f>IF(ISNUMBER(BP618),BP618,"")</f>
        <v>1.1492423388181006</v>
      </c>
      <c r="CD618" s="14" t="n">
        <f>IF(ISNUMBER(BT618),BT618,"")</f>
        <v>31</v>
      </c>
      <c r="CE618" s="13" t="n">
        <f>IF(AND(COUNT(BV618,CC618,CD618)=3,MIN(BV618,CC618,CD618)&gt;=0),BV618*CC618*CD618,"")</f>
        <v>7.419315464396742</v>
      </c>
      <c r="CF618" s="11" t="n">
        <f>IF(ISNUMBER(BQ618),BQ618,"")</f>
        <v>0.6426892418183868</v>
      </c>
      <c r="CG618" s="14" t="n">
        <f>IF(ISNUMBER(BU618),BU618,"")</f>
        <v>17</v>
      </c>
      <c r="CH618" s="13" t="n">
        <f>IF(AND(COUNT(BV618,CF618,CG618)=3,MIN(BV618,CF618,CG618)&gt;=0),BV618*CF618*CG618,"")</f>
        <v>2.275309487926167</v>
      </c>
      <c r="CI618" s="13" t="n">
        <f>IF(COUNT(BY618,CB618,CE618,CH618)=4,SUM(BY618,CB618,CE618,CH618),"")</f>
        <v>23.292088071489907</v>
      </c>
    </row>
    <row r="619" ht="72" customHeight="1">
      <c r="A619" s="16" t="str">
        <v>230918-BW-S-Z-8</v>
      </c>
      <c r="B619" s="16" t="str">
        <v>1店-MUSSHOE-US</v>
      </c>
      <c r="C619" s="16" t="str">
        <v>艾年</v>
      </c>
      <c r="D619" s="26" t="n">
        <f>IF(NOT(ISNUMBER(E619)),"",IF(OR(E619&lt;=0,L619=0),0,IF(OR(NOT(ISNUMBER(F619)),F619&lt;0),"",MIN(E619,INT(F619)))))</f>
        <v>0</v>
      </c>
      <c r="E619" s="27" t="n">
        <f>IF(OR(NOT(ISNUMBER(L619)),COUNT(M619:O619)&lt;&gt;3,MIN(M619:O619)&lt;0),"",ROUNDUP(ROUND(BI619-SUM(M619:O619),10),0))</f>
        <v>-78</v>
      </c>
      <c r="F619" s="28" t="n">
        <v>150</v>
      </c>
      <c r="G619" s="28" t="n">
        <f>IF(AND(ISNUMBER(D619),ISNUMBER(E619)),IF(OR(E619&lt;=0,L619=0),0,E619-D619),"")</f>
        <v>0</v>
      </c>
      <c r="H619" s="16" t="str">
        <f>IF(NOT(ISNUMBER(E619)),"销量或海外库存待补",IF(OR(E619&lt;=0,L619=0),IF(L619=0,"零日销，本批不发","本批无需补货"),IF(NOT(ISNUMBER(D619)),"国内库存待补",IF(D619=0,"国内无可用库存",IF(G619&gt;0,"先发国内现货","按建议量发货")))))</f>
        <v>本批无需补货</v>
      </c>
      <c r="I619" s="28" t="n">
        <f>IF(AND(COUNT(Z619,AA619,AB619)=3,Z619&gt;=AA619,AA619&gt;=0,AB619=7),Z619-AA619,"")</f>
        <v>10</v>
      </c>
      <c r="J619" s="28" t="n">
        <f>IF(AND(COUNT(AF619,AG619,AH619)=3,AF619&gt;=AG619,AG619&gt;=0,AH619=14),AF619-AG619,"")</f>
        <v>17</v>
      </c>
      <c r="K619" s="28" t="n">
        <f>IF(AND(COUNT(AL619,AM619,AN619)=3,AL619&gt;=AM619,AM619&gt;=0,AN619=30),AL619-AM619,"")</f>
        <v>24</v>
      </c>
      <c r="L619" s="29" t="n">
        <f>IF(ISNUMBER(BI619),BI619/90,"")</f>
        <v>0.5898661777433005</v>
      </c>
      <c r="M619" s="28" t="n">
        <v>90</v>
      </c>
      <c r="N619" s="28" t="n">
        <v>0</v>
      </c>
      <c r="O619" s="28" t="n">
        <v>41</v>
      </c>
      <c r="P619" s="30" t="n">
        <f>IF(AND(ISNUMBER(L619),L619&gt;0,COUNT(M619:O619)=3,MIN(M619:O619)&gt;=0),SUM(M619:O619)/L619,"")</f>
        <v>222.08427087848546</v>
      </c>
      <c r="Q619" s="16" t="str">
        <v>沿用原计划SKU店铺</v>
      </c>
      <c r="R619" s="16" t="str">
        <v>已匹配</v>
      </c>
      <c r="S619" s="16" t="str">
        <v>在售</v>
      </c>
      <c r="T619" s="16" t="str">
        <v>230918</v>
      </c>
      <c r="U619" s="16" t="str">
        <v>米白色PU</v>
      </c>
      <c r="V619" s="16" t="n">
        <v>8</v>
      </c>
      <c r="W619" s="8" t="str">
        <v>2026-10-11 至 2026-10-17</v>
      </c>
      <c r="X619" s="8" t="str">
        <v>2026-10-11、2026-10-12、2026-10-13、2026-10-14、2026-10-15、2026-10-16、2026-10-17</v>
      </c>
      <c r="Y619" s="8" t="str">
        <v>无</v>
      </c>
      <c r="Z619" s="8" t="n">
        <v>10</v>
      </c>
      <c r="AA619" s="8" t="n">
        <v>0</v>
      </c>
      <c r="AB619" s="8" t="n">
        <v>7</v>
      </c>
      <c r="AC619" s="8" t="str">
        <v>2026-10-02 至 2026-10-17</v>
      </c>
      <c r="AD619" s="8" t="str">
        <v>2026-10-02、2026-10-03、2026-10-04、2026-10-05、2026-10-08、2026-10-09、2026-10-10、2026-10-11、2026-10-12、2026-10-13、2026-10-14、2026-10-15、2026-10-16、2026-10-17</v>
      </c>
      <c r="AE619" s="8" t="str">
        <v>2026-10-06 大促；2026-10-07 大促</v>
      </c>
      <c r="AF619" s="8" t="n">
        <v>19</v>
      </c>
      <c r="AG619" s="8" t="n">
        <v>2</v>
      </c>
      <c r="AH619" s="8" t="n">
        <v>14</v>
      </c>
      <c r="AI619" s="8" t="str">
        <v>2026-09-16 至 2026-10-17</v>
      </c>
      <c r="AJ6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19" s="8" t="str">
        <v>2026-10-06 大促；2026-10-07 大促</v>
      </c>
      <c r="AL619" s="8" t="n">
        <v>26</v>
      </c>
      <c r="AM619" s="8" t="n">
        <v>2</v>
      </c>
      <c r="AN619" s="8" t="n">
        <v>30</v>
      </c>
      <c r="AO619" s="8" t="str">
        <v>230918 / 米白色PU / 13120</v>
      </c>
      <c r="AP619" s="11" t="n">
        <v>1.6747911769553039</v>
      </c>
      <c r="AQ619" s="11" t="n">
        <v>1.6747911769553039</v>
      </c>
      <c r="AR619" s="11" t="n">
        <v>1.7386907395039133</v>
      </c>
      <c r="AS619" s="11" t="n">
        <f>IF(AND(COUNT(I619:K619,AP619:AR619)=6,MIN(AP619:AR619)&gt;0),I619/7/AP619*0.5+J619/14/AQ619*0.3+K619/30/AR619*0.2,"")</f>
        <v>0.736026794926096</v>
      </c>
      <c r="AT619" s="8" t="n">
        <v>63</v>
      </c>
      <c r="AU619" s="8" t="n">
        <v>2</v>
      </c>
      <c r="AV619" s="8" t="n">
        <v>88</v>
      </c>
      <c r="AW619" s="11" t="n">
        <f>IF(AND(COUNT(AT619:AV619)=3,AT619&gt;=AU619,AU619&gt;=0,AV619&gt;0),(AT619-AU619)/AV619,"")</f>
        <v>0.6931818181818182</v>
      </c>
      <c r="AX619" s="8" t="n">
        <v>146</v>
      </c>
      <c r="AY619" s="8" t="n">
        <v>2</v>
      </c>
      <c r="AZ619" s="8" t="n">
        <v>178</v>
      </c>
      <c r="BA619" s="11" t="n">
        <f>IF(AND(COUNT(AX619:AZ619)=3,AX619&gt;=AY619,AY619&gt;=0,AZ619&gt;0),(AX619-AY619)/AZ619,"")</f>
        <v>0.8089887640449438</v>
      </c>
      <c r="BB619" s="8" t="n">
        <f>IF(COUNT(AS619,AW619,BA619)=3,1,0)</f>
        <v>1</v>
      </c>
      <c r="BC619" s="11" t="n">
        <f>IF(SUMIF($AO$11:$AO$1309,AO619,$BB$11:$BB$1309)=COUNTIF($AO$11:$AO$1309,AO619),SUMIF($AO$11:$AO$1309,AO619,$AS$11:$AS$1309),"")</f>
        <v>2.0540299204395773</v>
      </c>
      <c r="BD619" s="11" t="n">
        <f>IF(SUMIF($AO$11:$AO$1309,AO619,$BB$11:$BB$1309)=COUNTIF($AO$11:$AO$1309,AO619),SUMIF($AO$11:$AO$1309,AO619,$AW$11:$AW$1309),"")</f>
        <v>3.090909090909091</v>
      </c>
      <c r="BE619" s="11" t="n">
        <f>IF(SUMIF($AO$11:$AO$1309,AO619,$BB$11:$BB$1309)=COUNTIF($AO$11:$AO$1309,AO619),SUMIF($AO$11:$AO$1309,AO619,$BA$11:$BA$1309),"")</f>
        <v>3.275280898876405</v>
      </c>
      <c r="BF619" s="12" t="n">
        <f>IF(COUNT(BD619:BE619)&lt;&gt;2,"",IF(AND(BD619&gt;0,BE619&gt;0),0.7*AW619/BD619+0.3*BA619/BE619,IF(BD619&gt;0,AW619/BD619,IF(BE619&gt;0,BA619/BE619,IF(AND(ISNUMBER(BH619),BH619=0),0,"")))))</f>
        <v>0.2310847795378872</v>
      </c>
      <c r="BG619" s="11" t="n">
        <f>IF(AND(COUNT(BN619:BU619)=8,MIN(BN619:BU619)&gt;=0),SUMPRODUCT(BN619:BQ619,BR619:BU619),"")</f>
        <v>111.84534083910866</v>
      </c>
      <c r="BH619" s="11" t="n">
        <f>IF(COUNT(BC619,BG619)=2,BC619*BG619,"")</f>
        <v>229.73367654529176</v>
      </c>
      <c r="BI619" s="11" t="n">
        <f>IF(ISNUMBER(CI619),CI619,"")</f>
        <v>53.08795599689705</v>
      </c>
      <c r="BJ619" s="8" t="str"/>
      <c r="BK619" s="8" t="str">
        <v>90天：2026-07-20 至 2026-10-17；180天：2026-04-21 至 2026-10-17</v>
      </c>
      <c r="BL619" s="8" t="str">
        <v>90天：2026-10-06、2026-10-07；180天：2026-10-06、2026-10-07</v>
      </c>
      <c r="BM619" s="8" t="str">
        <v>2026-10：12天 × 1.6747911769553037；2026-11：30天 × 1.5065205700457112；2026-12：31天 × 1.1492423388181006；2027-01：17天 × 0.6426892418183868</v>
      </c>
      <c r="BN619" s="11" t="n">
        <v>1.6747911769553037</v>
      </c>
      <c r="BO619" s="11" t="n">
        <v>1.5065205700457112</v>
      </c>
      <c r="BP619" s="11" t="n">
        <v>1.1492423388181006</v>
      </c>
      <c r="BQ619" s="11" t="n">
        <v>0.6426892418183868</v>
      </c>
      <c r="BR619" s="8" t="n">
        <v>12</v>
      </c>
      <c r="BS619" s="8" t="n">
        <v>30</v>
      </c>
      <c r="BT619" s="8" t="n">
        <v>31</v>
      </c>
      <c r="BU619" s="8" t="n">
        <v>17</v>
      </c>
      <c r="BV619" s="11" t="n">
        <f>IF(COUNT(BC619,BF619)=2,BC619*BF619,"")</f>
        <v>0.4746550513290037</v>
      </c>
      <c r="BW619" s="11" t="n">
        <f>IF(ISNUMBER(BN619),BN619,"")</f>
        <v>1.6747911769553037</v>
      </c>
      <c r="BX619" s="14" t="n">
        <f>IF(ISNUMBER(BR619),BR619,"")</f>
        <v>12</v>
      </c>
      <c r="BY619" s="13" t="n">
        <f>IF(AND(COUNT(BV619,BW619,BX619)=3,MIN(BV619,BW619,BX619)&gt;=0),BV619*BW619*BX619,"")</f>
        <v>9.539377104756985</v>
      </c>
      <c r="BZ619" s="11" t="n">
        <f>IF(ISNUMBER(BO619),BO619,"")</f>
        <v>1.5065205700457112</v>
      </c>
      <c r="CA619" s="14" t="n">
        <f>IF(ISNUMBER(BS619),BS619,"")</f>
        <v>30</v>
      </c>
      <c r="CB619" s="13" t="n">
        <f>IF(AND(COUNT(BV619,BZ619,CA619)=3,MIN(BV619,BZ619,CA619)&gt;=0),BV619*BZ619*CA619,"")</f>
        <v>21.45232795509741</v>
      </c>
      <c r="CC619" s="11" t="n">
        <f>IF(ISNUMBER(BP619),BP619,"")</f>
        <v>1.1492423388181006</v>
      </c>
      <c r="CD619" s="14" t="n">
        <f>IF(ISNUMBER(BT619),BT619,"")</f>
        <v>31</v>
      </c>
      <c r="CE619" s="13" t="n">
        <f>IF(AND(COUNT(BV619,CC619,CD619)=3,MIN(BV619,CC619,CD619)&gt;=0),BV619*CC619*CD619,"")</f>
        <v>16.910304120956265</v>
      </c>
      <c r="CF619" s="11" t="n">
        <f>IF(ISNUMBER(BQ619),BQ619,"")</f>
        <v>0.6426892418183868</v>
      </c>
      <c r="CG619" s="14" t="n">
        <f>IF(ISNUMBER(BU619),BU619,"")</f>
        <v>17</v>
      </c>
      <c r="CH619" s="13" t="n">
        <f>IF(AND(COUNT(BV619,CF619,CG619)=3,MIN(BV619,CF619,CG619)&gt;=0),BV619*CF619*CG619,"")</f>
        <v>5.185946816086383</v>
      </c>
      <c r="CI619" s="13" t="n">
        <f>IF(COUNT(BY619,CB619,CE619,CH619)=4,SUM(BY619,CB619,CE619,CH619),"")</f>
        <v>53.08795599689705</v>
      </c>
    </row>
    <row r="620" ht="72" customHeight="1">
      <c r="A620" s="16" t="str">
        <v>230918-BW-S-Z-9</v>
      </c>
      <c r="B620" s="16" t="str">
        <v>1店-MUSSHOE-US</v>
      </c>
      <c r="C620" s="16" t="str">
        <v>艾年</v>
      </c>
      <c r="D620" s="26" t="n">
        <f>IF(NOT(ISNUMBER(E620)),"",IF(OR(E620&lt;=0,L620=0),0,IF(OR(NOT(ISNUMBER(F620)),F620&lt;0),"",MIN(E620,INT(F620)))))</f>
        <v>0</v>
      </c>
      <c r="E620" s="27" t="n">
        <f>IF(OR(NOT(ISNUMBER(L620)),COUNT(M620:O620)&lt;&gt;3,MIN(M620:O620)&lt;0),"",ROUNDUP(ROUND(BI620-SUM(M620:O620),10),0))</f>
        <v>-24</v>
      </c>
      <c r="F620" s="28" t="n">
        <v>145</v>
      </c>
      <c r="G620" s="28" t="n">
        <f>IF(AND(ISNUMBER(D620),ISNUMBER(E620)),IF(OR(E620&lt;=0,L620=0),0,E620-D620),"")</f>
        <v>0</v>
      </c>
      <c r="H620" s="16" t="str">
        <f>IF(NOT(ISNUMBER(E620)),"销量或海外库存待补",IF(OR(E620&lt;=0,L620=0),IF(L620=0,"零日销，本批不发","本批无需补货"),IF(NOT(ISNUMBER(D620)),"国内库存待补",IF(D620=0,"国内无可用库存",IF(G620&gt;0,"先发国内现货","按建议量发货")))))</f>
        <v>本批无需补货</v>
      </c>
      <c r="I620" s="28" t="n">
        <f>IF(AND(COUNT(Z620,AA620,AB620)=3,Z620&gt;=AA620,AA620&gt;=0,AB620=7),Z620-AA620,"")</f>
        <v>9</v>
      </c>
      <c r="J620" s="28" t="n">
        <f>IF(AND(COUNT(AF620,AG620,AH620)=3,AF620&gt;=AG620,AG620&gt;=0,AH620=14),AF620-AG620,"")</f>
        <v>16</v>
      </c>
      <c r="K620" s="28" t="n">
        <f>IF(AND(COUNT(AL620,AM620,AN620)=3,AL620&gt;=AM620,AM620&gt;=0,AN620=30),AL620-AM620,"")</f>
        <v>35</v>
      </c>
      <c r="L620" s="29" t="n">
        <f>IF(ISNUMBER(BI620),BI620/90,"")</f>
        <v>0.8197794967054247</v>
      </c>
      <c r="M620" s="28" t="n">
        <v>72</v>
      </c>
      <c r="N620" s="28" t="n">
        <v>0</v>
      </c>
      <c r="O620" s="28" t="n">
        <v>25</v>
      </c>
      <c r="P620" s="30" t="n">
        <f>IF(AND(ISNUMBER(L620),L620&gt;0,COUNT(M620:O620)=3,MIN(M620:O620)&gt;=0),SUM(M620:O620)/L620,"")</f>
        <v>118.32450114918582</v>
      </c>
      <c r="Q620" s="16" t="str">
        <v>沿用原计划SKU店铺</v>
      </c>
      <c r="R620" s="16" t="str">
        <v>已匹配</v>
      </c>
      <c r="S620" s="16" t="str">
        <v>在售</v>
      </c>
      <c r="T620" s="16" t="str">
        <v>230918</v>
      </c>
      <c r="U620" s="16" t="str">
        <v>米白色PU</v>
      </c>
      <c r="V620" s="16" t="n">
        <v>9</v>
      </c>
      <c r="W620" s="8" t="str">
        <v>2026-10-11 至 2026-10-17</v>
      </c>
      <c r="X620" s="8" t="str">
        <v>2026-10-11、2026-10-12、2026-10-13、2026-10-14、2026-10-15、2026-10-16、2026-10-17</v>
      </c>
      <c r="Y620" s="8" t="str">
        <v>无</v>
      </c>
      <c r="Z620" s="8" t="n">
        <v>9</v>
      </c>
      <c r="AA620" s="8" t="n">
        <v>0</v>
      </c>
      <c r="AB620" s="8" t="n">
        <v>7</v>
      </c>
      <c r="AC620" s="8" t="str">
        <v>2026-10-02 至 2026-10-17</v>
      </c>
      <c r="AD620" s="8" t="str">
        <v>2026-10-02、2026-10-03、2026-10-04、2026-10-05、2026-10-08、2026-10-09、2026-10-10、2026-10-11、2026-10-12、2026-10-13、2026-10-14、2026-10-15、2026-10-16、2026-10-17</v>
      </c>
      <c r="AE620" s="8" t="str">
        <v>2026-10-06 大促；2026-10-07 大促</v>
      </c>
      <c r="AF620" s="8" t="n">
        <v>21</v>
      </c>
      <c r="AG620" s="8" t="n">
        <v>5</v>
      </c>
      <c r="AH620" s="8" t="n">
        <v>14</v>
      </c>
      <c r="AI620" s="8" t="str">
        <v>2026-09-16 至 2026-10-17</v>
      </c>
      <c r="AJ6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0" s="8" t="str">
        <v>2026-10-06 大促；2026-10-07 大促</v>
      </c>
      <c r="AL620" s="8" t="n">
        <v>40</v>
      </c>
      <c r="AM620" s="8" t="n">
        <v>5</v>
      </c>
      <c r="AN620" s="8" t="n">
        <v>30</v>
      </c>
      <c r="AO620" s="8" t="str">
        <v>230918 / 米白色PU / 13120</v>
      </c>
      <c r="AP620" s="11" t="n">
        <v>1.6747911769553039</v>
      </c>
      <c r="AQ620" s="11" t="n">
        <v>1.6747911769553039</v>
      </c>
      <c r="AR620" s="11" t="n">
        <v>1.7386907395039133</v>
      </c>
      <c r="AS620" s="11" t="n">
        <f>IF(AND(COUNT(I620:K620,AP620:AR620)=6,MIN(AP620:AR620)&gt;0),I620/7/AP620*0.5+J620/14/AQ620*0.3+K620/30/AR620*0.2,"")</f>
        <v>0.7227601126226418</v>
      </c>
      <c r="AT620" s="8" t="n">
        <v>96</v>
      </c>
      <c r="AU620" s="8" t="n">
        <v>5</v>
      </c>
      <c r="AV620" s="8" t="n">
        <v>88</v>
      </c>
      <c r="AW620" s="11" t="n">
        <f>IF(AND(COUNT(AT620:AV620)=3,AT620&gt;=AU620,AU620&gt;=0,AV620&gt;0),(AT620-AU620)/AV620,"")</f>
        <v>1.0340909090909092</v>
      </c>
      <c r="AX620" s="8" t="n">
        <v>174</v>
      </c>
      <c r="AY620" s="8" t="n">
        <v>5</v>
      </c>
      <c r="AZ620" s="8" t="n">
        <v>178</v>
      </c>
      <c r="BA620" s="11" t="n">
        <f>IF(AND(COUNT(AX620:AZ620)=3,AX620&gt;=AY620,AY620&gt;=0,AZ620&gt;0),(AX620-AY620)/AZ620,"")</f>
        <v>0.949438202247191</v>
      </c>
      <c r="BB620" s="8" t="n">
        <f>IF(COUNT(AS620,AW620,BA620)=3,1,0)</f>
        <v>1</v>
      </c>
      <c r="BC620" s="11" t="n">
        <f>IF(SUMIF($AO$11:$AO$1309,AO620,$BB$11:$BB$1309)=COUNTIF($AO$11:$AO$1309,AO620),SUMIF($AO$11:$AO$1309,AO620,$AS$11:$AS$1309),"")</f>
        <v>2.0540299204395773</v>
      </c>
      <c r="BD620" s="11" t="n">
        <f>IF(SUMIF($AO$11:$AO$1309,AO620,$BB$11:$BB$1309)=COUNTIF($AO$11:$AO$1309,AO620),SUMIF($AO$11:$AO$1309,AO620,$AW$11:$AW$1309),"")</f>
        <v>3.090909090909091</v>
      </c>
      <c r="BE620" s="11" t="n">
        <f>IF(SUMIF($AO$11:$AO$1309,AO620,$BB$11:$BB$1309)=COUNTIF($AO$11:$AO$1309,AO620),SUMIF($AO$11:$AO$1309,AO620,$BA$11:$BA$1309),"")</f>
        <v>3.275280898876405</v>
      </c>
      <c r="BF620" s="12" t="n">
        <f>IF(COUNT(BD620:BE620)&lt;&gt;2,"",IF(AND(BD620&gt;0,BE620&gt;0),0.7*AW620/BD620+0.3*BA620/BE620,IF(BD620&gt;0,AW620/BD620,IF(BE620&gt;0,BA620/BE620,IF(AND(ISNUMBER(BH620),BH620=0),0,"")))))</f>
        <v>0.32115515588739785</v>
      </c>
      <c r="BG620" s="11" t="n">
        <f>IF(AND(COUNT(BN620:BU620)=8,MIN(BN620:BU620)&gt;=0),SUMPRODUCT(BN620:BQ620,BR620:BU620),"")</f>
        <v>111.84534083910866</v>
      </c>
      <c r="BH620" s="11" t="n">
        <f>IF(COUNT(BC620,BG620)=2,BC620*BG620,"")</f>
        <v>229.73367654529176</v>
      </c>
      <c r="BI620" s="11" t="n">
        <f>IF(ISNUMBER(CI620),CI620,"")</f>
        <v>73.78015470348822</v>
      </c>
      <c r="BJ620" s="8" t="str"/>
      <c r="BK620" s="8" t="str">
        <v>90天：2026-07-20 至 2026-10-17；180天：2026-04-21 至 2026-10-17</v>
      </c>
      <c r="BL620" s="8" t="str">
        <v>90天：2026-10-06、2026-10-07；180天：2026-10-06、2026-10-07</v>
      </c>
      <c r="BM620" s="8" t="str">
        <v>2026-10：12天 × 1.6747911769553037；2026-11：30天 × 1.5065205700457112；2026-12：31天 × 1.1492423388181006；2027-01：17天 × 0.6426892418183868</v>
      </c>
      <c r="BN620" s="11" t="n">
        <v>1.6747911769553037</v>
      </c>
      <c r="BO620" s="11" t="n">
        <v>1.5065205700457112</v>
      </c>
      <c r="BP620" s="11" t="n">
        <v>1.1492423388181006</v>
      </c>
      <c r="BQ620" s="11" t="n">
        <v>0.6426892418183868</v>
      </c>
      <c r="BR620" s="8" t="n">
        <v>12</v>
      </c>
      <c r="BS620" s="8" t="n">
        <v>30</v>
      </c>
      <c r="BT620" s="8" t="n">
        <v>31</v>
      </c>
      <c r="BU620" s="8" t="n">
        <v>17</v>
      </c>
      <c r="BV620" s="11" t="n">
        <f>IF(COUNT(BC620,BF620)=2,BC620*BF620,"")</f>
        <v>0.6596622992961518</v>
      </c>
      <c r="BW620" s="11" t="n">
        <f>IF(ISNUMBER(BN620),BN620,"")</f>
        <v>1.6747911769553037</v>
      </c>
      <c r="BX620" s="14" t="n">
        <f>IF(ISNUMBER(BR620),BR620,"")</f>
        <v>12</v>
      </c>
      <c r="BY620" s="13" t="n">
        <f>IF(AND(COUNT(BV620,BW620,BX620)=3,MIN(BV620,BW620,BX620)&gt;=0),BV620*BW620*BX620,"")</f>
        <v>13.257559183574928</v>
      </c>
      <c r="BZ620" s="11" t="n">
        <f>IF(ISNUMBER(BO620),BO620,"")</f>
        <v>1.5065205700457112</v>
      </c>
      <c r="CA620" s="14" t="n">
        <f>IF(ISNUMBER(BS620),BS620,"")</f>
        <v>30</v>
      </c>
      <c r="CB620" s="13" t="n">
        <f>IF(AND(COUNT(BV620,BZ620,CA620)=3,MIN(BV620,BZ620,CA620)&gt;=0),BV620*BZ620*CA620,"")</f>
        <v>29.813844695199094</v>
      </c>
      <c r="CC620" s="11" t="n">
        <f>IF(ISNUMBER(BP620),BP620,"")</f>
        <v>1.1492423388181006</v>
      </c>
      <c r="CD620" s="14" t="n">
        <f>IF(ISNUMBER(BT620),BT620,"")</f>
        <v>31</v>
      </c>
      <c r="CE620" s="13" t="n">
        <f>IF(AND(COUNT(BV620,CC620,CD620)=3,MIN(BV620,CC620,CD620)&gt;=0),BV620*CC620*CD620,"")</f>
        <v>23.501467153870298</v>
      </c>
      <c r="CF620" s="11" t="n">
        <f>IF(ISNUMBER(BQ620),BQ620,"")</f>
        <v>0.6426892418183868</v>
      </c>
      <c r="CG620" s="14" t="n">
        <f>IF(ISNUMBER(BU620),BU620,"")</f>
        <v>17</v>
      </c>
      <c r="CH620" s="13" t="n">
        <f>IF(AND(COUNT(BV620,CF620,CG620)=3,MIN(BV620,CF620,CG620)&gt;=0),BV620*CF620*CG620,"")</f>
        <v>7.2072836708439</v>
      </c>
      <c r="CI620" s="13" t="n">
        <f>IF(COUNT(BY620,CB620,CE620,CH620)=4,SUM(BY620,CB620,CE620,CH620),"")</f>
        <v>73.78015470348822</v>
      </c>
    </row>
    <row r="621" ht="72" customHeight="1">
      <c r="A621" s="16" t="str">
        <v>230918-LP-S-Z-11</v>
      </c>
      <c r="B621" s="16" t="str">
        <v>1店-MUSSHOE-US</v>
      </c>
      <c r="C621" s="16" t="str">
        <v>艾年</v>
      </c>
      <c r="D621" s="26" t="n">
        <f>IF(NOT(ISNUMBER(E621)),"",IF(OR(E621&lt;=0,L621=0),0,IF(OR(NOT(ISNUMBER(F621)),F621&lt;0),"",MIN(E621,INT(F621)))))</f>
        <v>0</v>
      </c>
      <c r="E621" s="27" t="n">
        <f>IF(OR(NOT(ISNUMBER(L621)),COUNT(M621:O621)&lt;&gt;3,MIN(M621:O621)&lt;0),"",ROUNDUP(ROUND(BI621-SUM(M621:O621),10),0))</f>
        <v>0</v>
      </c>
      <c r="F621" s="28" t="n">
        <v>0</v>
      </c>
      <c r="G621" s="28" t="n">
        <f>IF(AND(ISNUMBER(D621),ISNUMBER(E621)),IF(OR(E621&lt;=0,L621=0),0,E621-D621),"")</f>
        <v>0</v>
      </c>
      <c r="H621" s="16" t="str">
        <f>IF(NOT(ISNUMBER(E621)),"销量或海外库存待补",IF(OR(E621&lt;=0,L621=0),IF(L621=0,"零日销，本批不发","本批无需补货"),IF(NOT(ISNUMBER(D621)),"国内库存待补",IF(D621=0,"国内无可用库存",IF(G621&gt;0,"先发国内现货","按建议量发货")))))</f>
        <v>零日销，本批不发</v>
      </c>
      <c r="I621" s="28" t="n">
        <f>IF(AND(COUNT(Z621,AA621,AB621)=3,Z621&gt;=AA621,AA621&gt;=0,AB621=7),Z621-AA621,"")</f>
        <v>0</v>
      </c>
      <c r="J621" s="28" t="n">
        <f>IF(AND(COUNT(AF621,AG621,AH621)=3,AF621&gt;=AG621,AG621&gt;=0,AH621=14),AF621-AG621,"")</f>
        <v>0</v>
      </c>
      <c r="K621" s="28" t="n">
        <f>IF(AND(COUNT(AL621,AM621,AN621)=3,AL621&gt;=AM621,AM621&gt;=0,AN621=30),AL621-AM621,"")</f>
        <v>0</v>
      </c>
      <c r="L621" s="29" t="n">
        <f>IF(ISNUMBER(BI621),BI621/90,"")</f>
        <v>0</v>
      </c>
      <c r="M621" s="28" t="n">
        <v>0</v>
      </c>
      <c r="N621" s="28" t="n">
        <v>0</v>
      </c>
      <c r="O621" s="28" t="n">
        <v>0</v>
      </c>
      <c r="P621" s="30" t="str">
        <f>IF(AND(ISNUMBER(L621),L621&gt;0,COUNT(M621:O621)=3,MIN(M621:O621)&gt;=0),SUM(M621:O621)/L621,"")</f>
      </c>
      <c r="Q621" s="16" t="str">
        <v>沿用原计划SKU店铺</v>
      </c>
      <c r="R621" s="16" t="str">
        <v>已匹配</v>
      </c>
      <c r="S621" s="16" t="str">
        <v>停售</v>
      </c>
      <c r="T621" s="16" t="str">
        <v>230918</v>
      </c>
      <c r="U621" s="16" t="str">
        <v>豹纹</v>
      </c>
      <c r="V621" s="16" t="n">
        <v>11</v>
      </c>
      <c r="W621" s="8" t="str">
        <v>2026-10-08 至 2026-10-17</v>
      </c>
      <c r="X621" s="8" t="str">
        <v>2026-10-08、2026-10-09、2026-10-10、2026-10-11、2026-10-14、2026-10-15、2026-10-17</v>
      </c>
      <c r="Y621" s="8" t="str">
        <v>2026-10-12 有记录的停售日；2026-10-13 有记录的停售日；2026-10-16 有记录的停售日</v>
      </c>
      <c r="Z621" s="8" t="n">
        <v>0</v>
      </c>
      <c r="AA621" s="8" t="n">
        <v>0</v>
      </c>
      <c r="AB621" s="8" t="n">
        <v>7</v>
      </c>
      <c r="AC621" s="8" t="str">
        <v>2026-09-29 至 2026-10-17</v>
      </c>
      <c r="AD621" s="8" t="str">
        <v>2026-09-29、2026-09-30、2026-10-01、2026-10-02、2026-10-03、2026-10-04、2026-10-05、2026-10-08、2026-10-09、2026-10-10、2026-10-11、2026-10-14、2026-10-15、2026-10-17</v>
      </c>
      <c r="AE621" s="8" t="str">
        <v>2026-10-06 大促；2026-10-07 大促；2026-10-12 有记录的停售日；2026-10-13 有记录的停售日；2026-10-16 有记录的停售日</v>
      </c>
      <c r="AF621" s="8" t="n">
        <v>0</v>
      </c>
      <c r="AG621" s="8" t="n">
        <v>0</v>
      </c>
      <c r="AH621" s="8" t="n">
        <v>14</v>
      </c>
      <c r="AI621" s="8" t="str">
        <v>2026-09-13 至 2026-10-17</v>
      </c>
      <c r="AJ62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21" s="8" t="str">
        <v>2026-10-06 大促；2026-10-07 大促；2026-10-12 有记录的停售日；2026-10-13 有记录的停售日；2026-10-16 有记录的停售日</v>
      </c>
      <c r="AL621" s="8" t="n">
        <v>0</v>
      </c>
      <c r="AM621" s="8" t="n">
        <v>0</v>
      </c>
      <c r="AN621" s="8" t="n">
        <v>30</v>
      </c>
      <c r="AO621" s="8" t="str">
        <v>230918 / 豹纹 / 13120</v>
      </c>
      <c r="AP621" s="11" t="n">
        <v>1.6747911769553039</v>
      </c>
      <c r="AQ621" s="11" t="n">
        <v>1.6930481948263352</v>
      </c>
      <c r="AR621" s="11" t="n">
        <v>1.7514706520136352</v>
      </c>
      <c r="AS621" s="11" t="n">
        <f>IF(AND(COUNT(I621:K621,AP621:AR621)=6,MIN(AP621:AR621)&gt;0),I621/7/AP621*0.5+J621/14/AQ621*0.3+K621/30/AR621*0.2,"")</f>
        <v>0</v>
      </c>
      <c r="AT621" s="8" t="n">
        <v>0</v>
      </c>
      <c r="AU621" s="8" t="n">
        <v>0</v>
      </c>
      <c r="AV621" s="8" t="n">
        <v>85</v>
      </c>
      <c r="AW621" s="11" t="n">
        <f>IF(AND(COUNT(AT621:AV621)=3,AT621&gt;=AU621,AU621&gt;=0,AV621&gt;0),(AT621-AU621)/AV621,"")</f>
        <v>0</v>
      </c>
      <c r="AX621" s="8" t="n">
        <v>0</v>
      </c>
      <c r="AY621" s="8" t="n">
        <v>0</v>
      </c>
      <c r="AZ621" s="8" t="n">
        <v>175</v>
      </c>
      <c r="BA621" s="11" t="n">
        <f>IF(AND(COUNT(AX621:AZ621)=3,AX621&gt;=AY621,AY621&gt;=0,AZ621&gt;0),(AX621-AY621)/AZ621,"")</f>
        <v>0</v>
      </c>
      <c r="BB621" s="8" t="n">
        <f>IF(COUNT(AS621,AW621,BA621)=3,1,0)</f>
        <v>1</v>
      </c>
      <c r="BC621" s="11" t="n">
        <f>IF(SUMIF($AO$11:$AO$1309,AO621,$BB$11:$BB$1309)=COUNTIF($AO$11:$AO$1309,AO621),SUMIF($AO$11:$AO$1309,AO621,$AS$11:$AS$1309),"")</f>
        <v>0.910768616617277</v>
      </c>
      <c r="BD621" s="11" t="n">
        <f>IF(SUMIF($AO$11:$AO$1309,AO621,$BB$11:$BB$1309)=COUNTIF($AO$11:$AO$1309,AO621),SUMIF($AO$11:$AO$1309,AO621,$AW$11:$AW$1309),"")</f>
        <v>1.699880140143832</v>
      </c>
      <c r="BE621" s="11" t="n">
        <f>IF(SUMIF($AO$11:$AO$1309,AO621,$BB$11:$BB$1309)=COUNTIF($AO$11:$AO$1309,AO621),SUMIF($AO$11:$AO$1309,AO621,$BA$11:$BA$1309),"")</f>
        <v>1.5794197930552911</v>
      </c>
      <c r="BF621" s="12" t="n">
        <f>IF(COUNT(BD621:BE621)&lt;&gt;2,"",IF(AND(BD621&gt;0,BE621&gt;0),0.7*AW621/BD621+0.3*BA621/BE621,IF(BD621&gt;0,AW621/BD621,IF(BE621&gt;0,BA621/BE621,IF(AND(ISNUMBER(BH621),BH621=0),0,"")))))</f>
        <v>0</v>
      </c>
      <c r="BG621" s="11" t="n">
        <f>IF(AND(COUNT(BN621:BU621)=8,MIN(BN621:BU621)&gt;=0),SUMPRODUCT(BN621:BQ621,BR621:BU621),"")</f>
        <v>111.84534083910866</v>
      </c>
      <c r="BH621" s="11" t="n">
        <f>IF(COUNT(BC621,BG621)=2,BC621*BG621,"")</f>
        <v>101.86522635112283</v>
      </c>
      <c r="BI621" s="11" t="n">
        <f>IF(ISNUMBER(CI621),CI621,"")</f>
        <v>0</v>
      </c>
      <c r="BJ621" s="8" t="str"/>
      <c r="BK621" s="8" t="str">
        <v>90天：2026-07-20 至 2026-10-17；180天：2026-04-21 至 2026-10-17</v>
      </c>
      <c r="BL621" s="8" t="str">
        <v>90天：2026-10-06、2026-10-07、2026-10-12、2026-10-13、2026-10-16；180天：2026-10-06、2026-10-07、2026-10-12、2026-10-13、2026-10-16</v>
      </c>
      <c r="BM621" s="8" t="str">
        <v>2026-10：12天 × 1.6747911769553037；2026-11：30天 × 1.5065205700457112；2026-12：31天 × 1.1492423388181006；2027-01：17天 × 0.6426892418183868</v>
      </c>
      <c r="BN621" s="11" t="n">
        <v>1.6747911769553037</v>
      </c>
      <c r="BO621" s="11" t="n">
        <v>1.5065205700457112</v>
      </c>
      <c r="BP621" s="11" t="n">
        <v>1.1492423388181006</v>
      </c>
      <c r="BQ621" s="11" t="n">
        <v>0.6426892418183868</v>
      </c>
      <c r="BR621" s="8" t="n">
        <v>12</v>
      </c>
      <c r="BS621" s="8" t="n">
        <v>30</v>
      </c>
      <c r="BT621" s="8" t="n">
        <v>31</v>
      </c>
      <c r="BU621" s="8" t="n">
        <v>17</v>
      </c>
      <c r="BV621" s="11" t="n">
        <f>IF(COUNT(BC621,BF621)=2,BC621*BF621,"")</f>
        <v>0</v>
      </c>
      <c r="BW621" s="11" t="n">
        <f>IF(ISNUMBER(BN621),BN621,"")</f>
        <v>1.6747911769553037</v>
      </c>
      <c r="BX621" s="14" t="n">
        <f>IF(ISNUMBER(BR621),BR621,"")</f>
        <v>12</v>
      </c>
      <c r="BY621" s="13" t="n">
        <f>IF(AND(COUNT(BV621,BW621,BX621)=3,MIN(BV621,BW621,BX621)&gt;=0),BV621*BW621*BX621,"")</f>
        <v>0</v>
      </c>
      <c r="BZ621" s="11" t="n">
        <f>IF(ISNUMBER(BO621),BO621,"")</f>
        <v>1.5065205700457112</v>
      </c>
      <c r="CA621" s="14" t="n">
        <f>IF(ISNUMBER(BS621),BS621,"")</f>
        <v>30</v>
      </c>
      <c r="CB621" s="13" t="n">
        <f>IF(AND(COUNT(BV621,BZ621,CA621)=3,MIN(BV621,BZ621,CA621)&gt;=0),BV621*BZ621*CA621,"")</f>
        <v>0</v>
      </c>
      <c r="CC621" s="11" t="n">
        <f>IF(ISNUMBER(BP621),BP621,"")</f>
        <v>1.1492423388181006</v>
      </c>
      <c r="CD621" s="14" t="n">
        <f>IF(ISNUMBER(BT621),BT621,"")</f>
        <v>31</v>
      </c>
      <c r="CE621" s="13" t="n">
        <f>IF(AND(COUNT(BV621,CC621,CD621)=3,MIN(BV621,CC621,CD621)&gt;=0),BV621*CC621*CD621,"")</f>
        <v>0</v>
      </c>
      <c r="CF621" s="11" t="n">
        <f>IF(ISNUMBER(BQ621),BQ621,"")</f>
        <v>0.6426892418183868</v>
      </c>
      <c r="CG621" s="14" t="n">
        <f>IF(ISNUMBER(BU621),BU621,"")</f>
        <v>17</v>
      </c>
      <c r="CH621" s="13" t="n">
        <f>IF(AND(COUNT(BV621,CF621,CG621)=3,MIN(BV621,CF621,CG621)&gt;=0),BV621*CF621*CG621,"")</f>
        <v>0</v>
      </c>
      <c r="CI621" s="13" t="n">
        <f>IF(COUNT(BY621,CB621,CE621,CH621)=4,SUM(BY621,CB621,CE621,CH621),"")</f>
        <v>0</v>
      </c>
    </row>
    <row r="622" ht="72" customHeight="1">
      <c r="A622" s="16" t="str">
        <v>230918-LP-S-Z-6</v>
      </c>
      <c r="B622" s="16" t="str">
        <v>1店-MUSSHOE-US</v>
      </c>
      <c r="C622" s="16" t="str">
        <v>艾年</v>
      </c>
      <c r="D622" s="26" t="n">
        <f>IF(NOT(ISNUMBER(E622)),"",IF(OR(E622&lt;=0,L622=0),0,IF(OR(NOT(ISNUMBER(F622)),F622&lt;0),"",MIN(E622,INT(F622)))))</f>
        <v>0</v>
      </c>
      <c r="E622" s="27" t="n">
        <f>IF(OR(NOT(ISNUMBER(L622)),COUNT(M622:O622)&lt;&gt;3,MIN(M622:O622)&lt;0),"",ROUNDUP(ROUND(BI622-SUM(M622:O622),10),0))</f>
        <v>-17</v>
      </c>
      <c r="F622" s="28" t="n">
        <v>6</v>
      </c>
      <c r="G622" s="28" t="n">
        <f>IF(AND(ISNUMBER(D622),ISNUMBER(E622)),IF(OR(E622&lt;=0,L622=0),0,E622-D622),"")</f>
        <v>0</v>
      </c>
      <c r="H622" s="16" t="str">
        <f>IF(NOT(ISNUMBER(E622)),"销量或海外库存待补",IF(OR(E622&lt;=0,L622=0),IF(L622=0,"零日销，本批不发","本批无需补货"),IF(NOT(ISNUMBER(D622)),"国内库存待补",IF(D622=0,"国内无可用库存",IF(G622&gt;0,"先发国内现货","按建议量发货")))))</f>
        <v>本批无需补货</v>
      </c>
      <c r="I622" s="28" t="n">
        <f>IF(AND(COUNT(Z622,AA622,AB622)=3,Z622&gt;=AA622,AA622&gt;=0,AB622=7),Z622-AA622,"")</f>
        <v>1</v>
      </c>
      <c r="J622" s="28" t="n">
        <f>IF(AND(COUNT(AF622,AG622,AH622)=3,AF622&gt;=AG622,AG622&gt;=0,AH622=14),AF622-AG622,"")</f>
        <v>1</v>
      </c>
      <c r="K622" s="28" t="n">
        <f>IF(AND(COUNT(AL622,AM622,AN622)=3,AL622&gt;=AM622,AM622&gt;=0,AN622=30),AL622-AM622,"")</f>
        <v>2</v>
      </c>
      <c r="L622" s="29" t="n">
        <f>IF(ISNUMBER(BI622),BI622/90,"")</f>
        <v>0.033263367312566544</v>
      </c>
      <c r="M622" s="28" t="n">
        <v>9</v>
      </c>
      <c r="N622" s="28" t="n">
        <v>0</v>
      </c>
      <c r="O622" s="28" t="n">
        <v>10</v>
      </c>
      <c r="P622" s="30" t="n">
        <f>IF(AND(ISNUMBER(L622),L622&gt;0,COUNT(M622:O622)=3,MIN(M622:O622)&gt;=0),SUM(M622:O622)/L622,"")</f>
        <v>571.1989354974895</v>
      </c>
      <c r="Q622" s="16" t="str">
        <v>沿用原计划SKU店铺</v>
      </c>
      <c r="R622" s="16" t="str">
        <v>已匹配</v>
      </c>
      <c r="S622" s="16" t="str">
        <v>在售</v>
      </c>
      <c r="T622" s="16" t="str">
        <v>230918</v>
      </c>
      <c r="U622" s="16" t="str">
        <v>豹纹</v>
      </c>
      <c r="V622" s="16" t="n">
        <v>6</v>
      </c>
      <c r="W622" s="8" t="str">
        <v>2026-10-11 至 2026-10-17</v>
      </c>
      <c r="X622" s="8" t="str">
        <v>2026-10-11、2026-10-12、2026-10-13、2026-10-14、2026-10-15、2026-10-16、2026-10-17</v>
      </c>
      <c r="Y622" s="8" t="str">
        <v>无</v>
      </c>
      <c r="Z622" s="8" t="n">
        <v>1</v>
      </c>
      <c r="AA622" s="8" t="n">
        <v>0</v>
      </c>
      <c r="AB622" s="8" t="n">
        <v>7</v>
      </c>
      <c r="AC622" s="8" t="str">
        <v>2026-10-02 至 2026-10-17</v>
      </c>
      <c r="AD622" s="8" t="str">
        <v>2026-10-02、2026-10-03、2026-10-04、2026-10-05、2026-10-08、2026-10-09、2026-10-10、2026-10-11、2026-10-12、2026-10-13、2026-10-14、2026-10-15、2026-10-16、2026-10-17</v>
      </c>
      <c r="AE622" s="8" t="str">
        <v>2026-10-06 大促；2026-10-07 大促</v>
      </c>
      <c r="AF622" s="8" t="n">
        <v>1</v>
      </c>
      <c r="AG622" s="8" t="n">
        <v>0</v>
      </c>
      <c r="AH622" s="8" t="n">
        <v>14</v>
      </c>
      <c r="AI622" s="8" t="str">
        <v>2026-09-16 至 2026-10-17</v>
      </c>
      <c r="AJ6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2" s="8" t="str">
        <v>2026-10-06 大促；2026-10-07 大促</v>
      </c>
      <c r="AL622" s="8" t="n">
        <v>2</v>
      </c>
      <c r="AM622" s="8" t="n">
        <v>0</v>
      </c>
      <c r="AN622" s="8" t="n">
        <v>30</v>
      </c>
      <c r="AO622" s="8" t="str">
        <v>230918 / 豹纹 / 13120</v>
      </c>
      <c r="AP622" s="11" t="n">
        <v>1.6747911769553039</v>
      </c>
      <c r="AQ622" s="11" t="n">
        <v>1.6747911769553039</v>
      </c>
      <c r="AR622" s="11" t="n">
        <v>1.7386907395039133</v>
      </c>
      <c r="AS622" s="11" t="n">
        <f>IF(AND(COUNT(I622:K622,AP622:AR622)=6,MIN(AP622:AR622)&gt;0),I622/7/AP622*0.5+J622/14/AQ622*0.3+K622/30/AR622*0.2,"")</f>
        <v>0.0631126179247566</v>
      </c>
      <c r="AT622" s="8" t="n">
        <v>4</v>
      </c>
      <c r="AU622" s="8" t="n">
        <v>0</v>
      </c>
      <c r="AV622" s="8" t="n">
        <v>88</v>
      </c>
      <c r="AW622" s="11" t="n">
        <f>IF(AND(COUNT(AT622:AV622)=3,AT622&gt;=AU622,AU622&gt;=0,AV622&gt;0),(AT622-AU622)/AV622,"")</f>
        <v>0.045454545454545456</v>
      </c>
      <c r="AX622" s="8" t="n">
        <v>10</v>
      </c>
      <c r="AY622" s="8" t="n">
        <v>0</v>
      </c>
      <c r="AZ622" s="8" t="n">
        <v>178</v>
      </c>
      <c r="BA622" s="11" t="n">
        <f>IF(AND(COUNT(AX622:AZ622)=3,AX622&gt;=AY622,AY622&gt;=0,AZ622&gt;0),(AX622-AY622)/AZ622,"")</f>
        <v>0.056179775280898875</v>
      </c>
      <c r="BB622" s="8" t="n">
        <f>IF(COUNT(AS622,AW622,BA622)=3,1,0)</f>
        <v>1</v>
      </c>
      <c r="BC622" s="11" t="n">
        <f>IF(SUMIF($AO$11:$AO$1309,AO622,$BB$11:$BB$1309)=COUNTIF($AO$11:$AO$1309,AO622),SUMIF($AO$11:$AO$1309,AO622,$AS$11:$AS$1309),"")</f>
        <v>0.910768616617277</v>
      </c>
      <c r="BD622" s="11" t="n">
        <f>IF(SUMIF($AO$11:$AO$1309,AO622,$BB$11:$BB$1309)=COUNTIF($AO$11:$AO$1309,AO622),SUMIF($AO$11:$AO$1309,AO622,$AW$11:$AW$1309),"")</f>
        <v>1.699880140143832</v>
      </c>
      <c r="BE622" s="11" t="n">
        <f>IF(SUMIF($AO$11:$AO$1309,AO622,$BB$11:$BB$1309)=COUNTIF($AO$11:$AO$1309,AO622),SUMIF($AO$11:$AO$1309,AO622,$BA$11:$BA$1309),"")</f>
        <v>1.5794197930552911</v>
      </c>
      <c r="BF622" s="12" t="n">
        <f>IF(COUNT(BD622:BE622)&lt;&gt;2,"",IF(AND(BD622&gt;0,BE622&gt;0),0.7*AW622/BD622+0.3*BA622/BE622,IF(BD622&gt;0,AW622/BD622,IF(BE622&gt;0,BA622/BE622,IF(AND(ISNUMBER(BH622),BH622=0),0,"")))))</f>
        <v>0.029388861786964357</v>
      </c>
      <c r="BG622" s="11" t="n">
        <f>IF(AND(COUNT(BN622:BU622)=8,MIN(BN622:BU622)&gt;=0),SUMPRODUCT(BN622:BQ622,BR622:BU622),"")</f>
        <v>111.84534083910866</v>
      </c>
      <c r="BH622" s="11" t="n">
        <f>IF(COUNT(BC622,BG622)=2,BC622*BG622,"")</f>
        <v>101.86522635112283</v>
      </c>
      <c r="BI622" s="11" t="n">
        <f>IF(ISNUMBER(CI622),CI622,"")</f>
        <v>2.993703058130989</v>
      </c>
      <c r="BJ622" s="8" t="str"/>
      <c r="BK622" s="8" t="str">
        <v>90天：2026-07-20 至 2026-10-17；180天：2026-04-21 至 2026-10-17</v>
      </c>
      <c r="BL622" s="8" t="str">
        <v>90天：2026-10-06、2026-10-07；180天：2026-10-06、2026-10-07</v>
      </c>
      <c r="BM622" s="8" t="str">
        <v>2026-10：12天 × 1.6747911769553037；2026-11：30天 × 1.5065205700457112；2026-12：31天 × 1.1492423388181006；2027-01：17天 × 0.6426892418183868</v>
      </c>
      <c r="BN622" s="11" t="n">
        <v>1.6747911769553037</v>
      </c>
      <c r="BO622" s="11" t="n">
        <v>1.5065205700457112</v>
      </c>
      <c r="BP622" s="11" t="n">
        <v>1.1492423388181006</v>
      </c>
      <c r="BQ622" s="11" t="n">
        <v>0.6426892418183868</v>
      </c>
      <c r="BR622" s="8" t="n">
        <v>12</v>
      </c>
      <c r="BS622" s="8" t="n">
        <v>30</v>
      </c>
      <c r="BT622" s="8" t="n">
        <v>31</v>
      </c>
      <c r="BU622" s="8" t="n">
        <v>17</v>
      </c>
      <c r="BV622" s="11" t="n">
        <f>IF(COUNT(BC622,BF622)=2,BC622*BF622,"")</f>
        <v>0.026766452993669886</v>
      </c>
      <c r="BW622" s="11" t="n">
        <f>IF(ISNUMBER(BN622),BN622,"")</f>
        <v>1.6747911769553037</v>
      </c>
      <c r="BX622" s="14" t="n">
        <f>IF(ISNUMBER(BR622),BR622,"")</f>
        <v>12</v>
      </c>
      <c r="BY622" s="13" t="n">
        <f>IF(AND(COUNT(BV622,BW622,BX622)=3,MIN(BV622,BW622,BX622)&gt;=0),BV622*BW622*BX622,"")</f>
        <v>0.5379386317462465</v>
      </c>
      <c r="BZ622" s="11" t="n">
        <f>IF(ISNUMBER(BO622),BO622,"")</f>
        <v>1.5065205700457112</v>
      </c>
      <c r="CA622" s="14" t="n">
        <f>IF(ISNUMBER(BS622),BS622,"")</f>
        <v>30</v>
      </c>
      <c r="CB622" s="13" t="n">
        <f>IF(AND(COUNT(BV622,BZ622,CA622)=3,MIN(BV622,BZ622,CA622)&gt;=0),BV622*BZ622*CA622,"")</f>
        <v>1.2097263606637585</v>
      </c>
      <c r="CC622" s="11" t="n">
        <f>IF(ISNUMBER(BP622),BP622,"")</f>
        <v>1.1492423388181006</v>
      </c>
      <c r="CD622" s="14" t="n">
        <f>IF(ISNUMBER(BT622),BT622,"")</f>
        <v>31</v>
      </c>
      <c r="CE622" s="13" t="n">
        <f>IF(AND(COUNT(BV622,CC622,CD622)=3,MIN(BV622,CC622,CD622)&gt;=0),BV622*CC622*CD622,"")</f>
        <v>0.9535953722496078</v>
      </c>
      <c r="CF622" s="11" t="n">
        <f>IF(ISNUMBER(BQ622),BQ622,"")</f>
        <v>0.6426892418183868</v>
      </c>
      <c r="CG622" s="14" t="n">
        <f>IF(ISNUMBER(BU622),BU622,"")</f>
        <v>17</v>
      </c>
      <c r="CH622" s="13" t="n">
        <f>IF(AND(COUNT(BV622,CF622,CG622)=3,MIN(BV622,CF622,CG622)&gt;=0),BV622*CF622*CG622,"")</f>
        <v>0.2924426934713762</v>
      </c>
      <c r="CI622" s="13" t="n">
        <f>IF(COUNT(BY622,CB622,CE622,CH622)=4,SUM(BY622,CB622,CE622,CH622),"")</f>
        <v>2.993703058130989</v>
      </c>
    </row>
    <row r="623" ht="72" customHeight="1">
      <c r="A623" s="16" t="str">
        <v>230918-LP-S-Z-7</v>
      </c>
      <c r="B623" s="16" t="str">
        <v>1店-MUSSHOE-US</v>
      </c>
      <c r="C623" s="16" t="str">
        <v>艾年</v>
      </c>
      <c r="D623" s="26" t="n">
        <f>IF(NOT(ISNUMBER(E623)),"",IF(OR(E623&lt;=0,L623=0),0,IF(OR(NOT(ISNUMBER(F623)),F623&lt;0),"",MIN(E623,INT(F623)))))</f>
        <v>0</v>
      </c>
      <c r="E623" s="27" t="n">
        <f>IF(OR(NOT(ISNUMBER(L623)),COUNT(M623:O623)&lt;&gt;3,MIN(M623:O623)&lt;0),"",ROUNDUP(ROUND(BI623-SUM(M623:O623),10),0))</f>
        <v>-60</v>
      </c>
      <c r="F623" s="28" t="n">
        <v>0</v>
      </c>
      <c r="G623" s="28" t="n">
        <f>IF(AND(ISNUMBER(D623),ISNUMBER(E623)),IF(OR(E623&lt;=0,L623=0),0,E623-D623),"")</f>
        <v>0</v>
      </c>
      <c r="H623" s="16" t="str">
        <f>IF(NOT(ISNUMBER(E623)),"销量或海外库存待补",IF(OR(E623&lt;=0,L623=0),IF(L623=0,"零日销，本批不发","本批无需补货"),IF(NOT(ISNUMBER(D623)),"国内库存待补",IF(D623=0,"国内无可用库存",IF(G623&gt;0,"先发国内现货","按建议量发货")))))</f>
        <v>本批无需补货</v>
      </c>
      <c r="I623" s="28" t="n">
        <f>IF(AND(COUNT(Z623,AA623,AB623)=3,Z623&gt;=AA623,AA623&gt;=0,AB623=7),Z623-AA623,"")</f>
        <v>0</v>
      </c>
      <c r="J623" s="28" t="n">
        <f>IF(AND(COUNT(AF623,AG623,AH623)=3,AF623&gt;=AG623,AG623&gt;=0,AH623=14),AF623-AG623,"")</f>
        <v>0</v>
      </c>
      <c r="K623" s="28" t="n">
        <f>IF(AND(COUNT(AL623,AM623,AN623)=3,AL623&gt;=AM623,AM623&gt;=0,AN623=30),AL623-AM623,"")</f>
        <v>0</v>
      </c>
      <c r="L623" s="29" t="n">
        <f>IF(ISNUMBER(BI623),BI623/90,"")</f>
        <v>0.05141690056449036</v>
      </c>
      <c r="M623" s="28" t="n">
        <v>0</v>
      </c>
      <c r="N623" s="28" t="n">
        <v>0</v>
      </c>
      <c r="O623" s="28" t="n">
        <v>64</v>
      </c>
      <c r="P623" s="30" t="n">
        <f>IF(AND(ISNUMBER(L623),L623&gt;0,COUNT(M623:O623)=3,MIN(M623:O623)&gt;=0),SUM(M623:O623)/L623,"")</f>
        <v>1244.726914640199</v>
      </c>
      <c r="Q623" s="16" t="str">
        <v>沿用原计划SKU店铺</v>
      </c>
      <c r="R623" s="16" t="str">
        <v>已匹配</v>
      </c>
      <c r="S623" s="16" t="str">
        <v>停售</v>
      </c>
      <c r="T623" s="16" t="str">
        <v>230918</v>
      </c>
      <c r="U623" s="16" t="str">
        <v>豹纹</v>
      </c>
      <c r="V623" s="16" t="n">
        <v>7</v>
      </c>
      <c r="W623" s="8" t="str">
        <v>2026-10-08 至 2026-10-17</v>
      </c>
      <c r="X623" s="8" t="str">
        <v>2026-10-08、2026-10-09、2026-10-10、2026-10-11、2026-10-14、2026-10-15、2026-10-17</v>
      </c>
      <c r="Y623" s="8" t="str">
        <v>2026-10-12 有记录的停售日；2026-10-13 有记录的停售日；2026-10-16 有记录的停售日</v>
      </c>
      <c r="Z623" s="8" t="n">
        <v>0</v>
      </c>
      <c r="AA623" s="8" t="n">
        <v>0</v>
      </c>
      <c r="AB623" s="8" t="n">
        <v>7</v>
      </c>
      <c r="AC623" s="8" t="str">
        <v>2026-09-29 至 2026-10-17</v>
      </c>
      <c r="AD623" s="8" t="str">
        <v>2026-09-29、2026-09-30、2026-10-01、2026-10-02、2026-10-03、2026-10-04、2026-10-05、2026-10-08、2026-10-09、2026-10-10、2026-10-11、2026-10-14、2026-10-15、2026-10-17</v>
      </c>
      <c r="AE623" s="8" t="str">
        <v>2026-10-06 大促；2026-10-07 大促；2026-10-12 有记录的停售日；2026-10-13 有记录的停售日；2026-10-16 有记录的停售日</v>
      </c>
      <c r="AF623" s="8" t="n">
        <v>0</v>
      </c>
      <c r="AG623" s="8" t="n">
        <v>0</v>
      </c>
      <c r="AH623" s="8" t="n">
        <v>14</v>
      </c>
      <c r="AI623" s="8" t="str">
        <v>2026-09-13 至 2026-10-17</v>
      </c>
      <c r="AJ6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23" s="8" t="str">
        <v>2026-10-06 大促；2026-10-07 大促；2026-10-12 有记录的停售日；2026-10-13 有记录的停售日；2026-10-16 有记录的停售日</v>
      </c>
      <c r="AL623" s="8" t="n">
        <v>0</v>
      </c>
      <c r="AM623" s="8" t="n">
        <v>0</v>
      </c>
      <c r="AN623" s="8" t="n">
        <v>30</v>
      </c>
      <c r="AO623" s="8" t="str">
        <v>230918 / 豹纹 / 13120</v>
      </c>
      <c r="AP623" s="11" t="n">
        <v>1.6747911769553039</v>
      </c>
      <c r="AQ623" s="11" t="n">
        <v>1.6930481948263352</v>
      </c>
      <c r="AR623" s="11" t="n">
        <v>1.7514706520136352</v>
      </c>
      <c r="AS623" s="11" t="n">
        <f>IF(AND(COUNT(I623:K623,AP623:AR623)=6,MIN(AP623:AR623)&gt;0),I623/7/AP623*0.5+J623/14/AQ623*0.3+K623/30/AR623*0.2,"")</f>
        <v>0</v>
      </c>
      <c r="AT623" s="8" t="n">
        <v>4</v>
      </c>
      <c r="AU623" s="8" t="n">
        <v>0</v>
      </c>
      <c r="AV623" s="8" t="n">
        <v>85</v>
      </c>
      <c r="AW623" s="11" t="n">
        <f>IF(AND(COUNT(AT623:AV623)=3,AT623&gt;=AU623,AU623&gt;=0,AV623&gt;0),(AT623-AU623)/AV623,"")</f>
        <v>0.047058823529411764</v>
      </c>
      <c r="AX623" s="8" t="n">
        <v>24</v>
      </c>
      <c r="AY623" s="8" t="n">
        <v>0</v>
      </c>
      <c r="AZ623" s="8" t="n">
        <v>175</v>
      </c>
      <c r="BA623" s="11" t="n">
        <f>IF(AND(COUNT(AX623:AZ623)=3,AX623&gt;=AY623,AY623&gt;=0,AZ623&gt;0),(AX623-AY623)/AZ623,"")</f>
        <v>0.13714285714285715</v>
      </c>
      <c r="BB623" s="8" t="n">
        <f>IF(COUNT(AS623,AW623,BA623)=3,1,0)</f>
        <v>1</v>
      </c>
      <c r="BC623" s="11" t="n">
        <f>IF(SUMIF($AO$11:$AO$1309,AO623,$BB$11:$BB$1309)=COUNTIF($AO$11:$AO$1309,AO623),SUMIF($AO$11:$AO$1309,AO623,$AS$11:$AS$1309),"")</f>
        <v>0.910768616617277</v>
      </c>
      <c r="BD623" s="11" t="n">
        <f>IF(SUMIF($AO$11:$AO$1309,AO623,$BB$11:$BB$1309)=COUNTIF($AO$11:$AO$1309,AO623),SUMIF($AO$11:$AO$1309,AO623,$AW$11:$AW$1309),"")</f>
        <v>1.699880140143832</v>
      </c>
      <c r="BE623" s="11" t="n">
        <f>IF(SUMIF($AO$11:$AO$1309,AO623,$BB$11:$BB$1309)=COUNTIF($AO$11:$AO$1309,AO623),SUMIF($AO$11:$AO$1309,AO623,$BA$11:$BA$1309),"")</f>
        <v>1.5794197930552911</v>
      </c>
      <c r="BF623" s="12" t="n">
        <f>IF(COUNT(BD623:BE623)&lt;&gt;2,"",IF(AND(BD623&gt;0,BE623&gt;0),0.7*AW623/BD623+0.3*BA623/BE623,IF(BD623&gt;0,AW623/BD623,IF(BE623&gt;0,BA623/BE623,IF(AND(ISNUMBER(BH623),BH623=0),0,"")))))</f>
        <v>0.045427877761282015</v>
      </c>
      <c r="BG623" s="11" t="n">
        <f>IF(AND(COUNT(BN623:BU623)=8,MIN(BN623:BU623)&gt;=0),SUMPRODUCT(BN623:BQ623,BR623:BU623),"")</f>
        <v>111.84534083910866</v>
      </c>
      <c r="BH623" s="11" t="n">
        <f>IF(COUNT(BC623,BG623)=2,BC623*BG623,"")</f>
        <v>101.86522635112283</v>
      </c>
      <c r="BI623" s="11" t="n">
        <f>IF(ISNUMBER(CI623),CI623,"")</f>
        <v>4.627521050804132</v>
      </c>
      <c r="BJ623" s="8" t="str"/>
      <c r="BK623" s="8" t="str">
        <v>90天：2026-07-20 至 2026-10-17；180天：2026-04-21 至 2026-10-17</v>
      </c>
      <c r="BL623" s="8" t="str">
        <v>90天：2026-10-06、2026-10-07、2026-10-12、2026-10-13、2026-10-16；180天：2026-10-06、2026-10-07、2026-10-12、2026-10-13、2026-10-16</v>
      </c>
      <c r="BM623" s="8" t="str">
        <v>2026-10：12天 × 1.6747911769553037；2026-11：30天 × 1.5065205700457112；2026-12：31天 × 1.1492423388181006；2027-01：17天 × 0.6426892418183868</v>
      </c>
      <c r="BN623" s="11" t="n">
        <v>1.6747911769553037</v>
      </c>
      <c r="BO623" s="11" t="n">
        <v>1.5065205700457112</v>
      </c>
      <c r="BP623" s="11" t="n">
        <v>1.1492423388181006</v>
      </c>
      <c r="BQ623" s="11" t="n">
        <v>0.6426892418183868</v>
      </c>
      <c r="BR623" s="8" t="n">
        <v>12</v>
      </c>
      <c r="BS623" s="8" t="n">
        <v>30</v>
      </c>
      <c r="BT623" s="8" t="n">
        <v>31</v>
      </c>
      <c r="BU623" s="8" t="n">
        <v>17</v>
      </c>
      <c r="BV623" s="11" t="n">
        <f>IF(COUNT(BC623,BF623)=2,BC623*BF623,"")</f>
        <v>0.04137428538450159</v>
      </c>
      <c r="BW623" s="11" t="n">
        <f>IF(ISNUMBER(BN623),BN623,"")</f>
        <v>1.6747911769553037</v>
      </c>
      <c r="BX623" s="14" t="n">
        <f>IF(ISNUMBER(BR623),BR623,"")</f>
        <v>12</v>
      </c>
      <c r="BY623" s="13" t="n">
        <f>IF(AND(COUNT(BV623,BW623,BX623)=3,MIN(BV623,BW623,BX623)&gt;=0),BV623*BW623*BX623,"")</f>
        <v>0.8315194573775284</v>
      </c>
      <c r="BZ623" s="11" t="n">
        <f>IF(ISNUMBER(BO623),BO623,"")</f>
        <v>1.5065205700457112</v>
      </c>
      <c r="CA623" s="14" t="n">
        <f>IF(ISNUMBER(BS623),BS623,"")</f>
        <v>30</v>
      </c>
      <c r="CB623" s="13" t="n">
        <f>IF(AND(COUNT(BV623,BZ623,CA623)=3,MIN(BV623,BZ623,CA623)&gt;=0),BV623*BZ623*CA623,"")</f>
        <v>1.8699363600807979</v>
      </c>
      <c r="CC623" s="11" t="n">
        <f>IF(ISNUMBER(BP623),BP623,"")</f>
        <v>1.1492423388181006</v>
      </c>
      <c r="CD623" s="14" t="n">
        <f>IF(ISNUMBER(BT623),BT623,"")</f>
        <v>31</v>
      </c>
      <c r="CE623" s="13" t="n">
        <f>IF(AND(COUNT(BV623,CC623,CD623)=3,MIN(BV623,CC623,CD623)&gt;=0),BV623*CC623*CD623,"")</f>
        <v>1.474021495568577</v>
      </c>
      <c r="CF623" s="11" t="n">
        <f>IF(ISNUMBER(BQ623),BQ623,"")</f>
        <v>0.6426892418183868</v>
      </c>
      <c r="CG623" s="14" t="n">
        <f>IF(ISNUMBER(BU623),BU623,"")</f>
        <v>17</v>
      </c>
      <c r="CH623" s="13" t="n">
        <f>IF(AND(COUNT(BV623,CF623,CG623)=3,MIN(BV623,CF623,CG623)&gt;=0),BV623*CF623*CG623,"")</f>
        <v>0.4520437377772291</v>
      </c>
      <c r="CI623" s="13" t="n">
        <f>IF(COUNT(BY623,CB623,CE623,CH623)=4,SUM(BY623,CB623,CE623,CH623),"")</f>
        <v>4.627521050804132</v>
      </c>
    </row>
    <row r="624" ht="72" customHeight="1">
      <c r="A624" s="16" t="str">
        <v>230918-LP-S-Z-8</v>
      </c>
      <c r="B624" s="16" t="str">
        <v>1店-MUSSHOE-US</v>
      </c>
      <c r="C624" s="16" t="str">
        <v>艾年</v>
      </c>
      <c r="D624" s="26" t="n">
        <f>IF(NOT(ISNUMBER(E624)),"",IF(OR(E624&lt;=0,L624=0),0,IF(OR(NOT(ISNUMBER(F624)),F624&lt;0),"",MIN(E624,INT(F624)))))</f>
        <v>0</v>
      </c>
      <c r="E624" s="27" t="n">
        <f>IF(OR(NOT(ISNUMBER(L624)),COUNT(M624:O624)&lt;&gt;3,MIN(M624:O624)&lt;0),"",ROUNDUP(ROUND(BI624-SUM(M624:O624),10),0))</f>
        <v>-64</v>
      </c>
      <c r="F624" s="28" t="n">
        <v>60</v>
      </c>
      <c r="G624" s="28" t="n">
        <f>IF(AND(ISNUMBER(D624),ISNUMBER(E624)),IF(OR(E624&lt;=0,L624=0),0,E624-D624),"")</f>
        <v>0</v>
      </c>
      <c r="H624" s="16" t="str">
        <f>IF(NOT(ISNUMBER(E624)),"销量或海外库存待补",IF(OR(E624&lt;=0,L624=0),IF(L624=0,"零日销，本批不发","本批无需补货"),IF(NOT(ISNUMBER(D624)),"国内库存待补",IF(D624=0,"国内无可用库存",IF(G624&gt;0,"先发国内现货","按建议量发货")))))</f>
        <v>本批无需补货</v>
      </c>
      <c r="I624" s="28" t="n">
        <f>IF(AND(COUNT(Z624,AA624,AB624)=3,Z624&gt;=AA624,AA624&gt;=0,AB624=7),Z624-AA624,"")</f>
        <v>0</v>
      </c>
      <c r="J624" s="28" t="n">
        <f>IF(AND(COUNT(AF624,AG624,AH624)=3,AF624&gt;=AG624,AG624&gt;=0,AH624=14),AF624-AG624,"")</f>
        <v>0</v>
      </c>
      <c r="K624" s="28" t="n">
        <f>IF(AND(COUNT(AL624,AM624,AN624)=3,AL624&gt;=AM624,AM624&gt;=0,AN624=30),AL624-AM624,"")</f>
        <v>4</v>
      </c>
      <c r="L624" s="29" t="n">
        <f>IF(ISNUMBER(BI624),BI624/90,"")</f>
        <v>0.32432087552303906</v>
      </c>
      <c r="M624" s="28" t="n">
        <v>0</v>
      </c>
      <c r="N624" s="28" t="n">
        <v>0</v>
      </c>
      <c r="O624" s="28" t="n">
        <v>93</v>
      </c>
      <c r="P624" s="30" t="n">
        <f>IF(AND(ISNUMBER(L624),L624&gt;0,COUNT(M624:O624)=3,MIN(M624:O624)&gt;=0),SUM(M624:O624)/L624,"")</f>
        <v>286.75304927571176</v>
      </c>
      <c r="Q624" s="16" t="str">
        <v>沿用原计划SKU店铺</v>
      </c>
      <c r="R624" s="16" t="str">
        <v>已匹配</v>
      </c>
      <c r="S624" s="16" t="str">
        <v>停售</v>
      </c>
      <c r="T624" s="16" t="str">
        <v>230918</v>
      </c>
      <c r="U624" s="16" t="str">
        <v>豹纹</v>
      </c>
      <c r="V624" s="16" t="n">
        <v>8</v>
      </c>
      <c r="W624" s="8" t="str">
        <v>2026-10-10 至 2026-10-17</v>
      </c>
      <c r="X624" s="8" t="str">
        <v>2026-10-10、2026-10-11、2026-10-12、2026-10-13、2026-10-14、2026-10-15、2026-10-17</v>
      </c>
      <c r="Y624" s="8" t="str">
        <v>2026-10-16 有记录的停售日</v>
      </c>
      <c r="Z624" s="8" t="n">
        <v>0</v>
      </c>
      <c r="AA624" s="8" t="n">
        <v>0</v>
      </c>
      <c r="AB624" s="8" t="n">
        <v>7</v>
      </c>
      <c r="AC624" s="8" t="str">
        <v>2026-10-01 至 2026-10-17</v>
      </c>
      <c r="AD624" s="8" t="str">
        <v>2026-10-01、2026-10-02、2026-10-03、2026-10-04、2026-10-05、2026-10-08、2026-10-09、2026-10-10、2026-10-11、2026-10-12、2026-10-13、2026-10-14、2026-10-15、2026-10-17</v>
      </c>
      <c r="AE624" s="8" t="str">
        <v>2026-10-06 大促；2026-10-07 大促；2026-10-16 有记录的停售日</v>
      </c>
      <c r="AF624" s="8" t="n">
        <v>0</v>
      </c>
      <c r="AG624" s="8" t="n">
        <v>0</v>
      </c>
      <c r="AH624" s="8" t="n">
        <v>14</v>
      </c>
      <c r="AI624" s="8" t="str">
        <v>2026-09-15 至 2026-10-17</v>
      </c>
      <c r="AJ624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624" s="8" t="str">
        <v>2026-10-06 大促；2026-10-07 大促；2026-10-16 有记录的停售日</v>
      </c>
      <c r="AL624" s="8" t="n">
        <v>4</v>
      </c>
      <c r="AM624" s="8" t="n">
        <v>0</v>
      </c>
      <c r="AN624" s="8" t="n">
        <v>30</v>
      </c>
      <c r="AO624" s="8" t="str">
        <v>230918 / 豹纹 / 13120</v>
      </c>
      <c r="AP624" s="11" t="n">
        <v>1.6747911769553039</v>
      </c>
      <c r="AQ624" s="11" t="n">
        <v>1.6747911769553039</v>
      </c>
      <c r="AR624" s="11" t="n">
        <v>1.7429507103404873</v>
      </c>
      <c r="AS624" s="11" t="n">
        <f>IF(AND(COUNT(I624:K624,AP624:AR624)=6,MIN(AP624:AR624)&gt;0),I624/7/AP624*0.5+J624/14/AQ624*0.3+K624/30/AR624*0.2,"")</f>
        <v>0.015299725063055459</v>
      </c>
      <c r="AT624" s="8" t="n">
        <v>39</v>
      </c>
      <c r="AU624" s="8" t="n">
        <v>0</v>
      </c>
      <c r="AV624" s="8" t="n">
        <v>87</v>
      </c>
      <c r="AW624" s="11" t="n">
        <f>IF(AND(COUNT(AT624:AV624)=3,AT624&gt;=AU624,AU624&gt;=0,AV624&gt;0),(AT624-AU624)/AV624,"")</f>
        <v>0.4482758620689655</v>
      </c>
      <c r="AX624" s="8" t="n">
        <v>95</v>
      </c>
      <c r="AY624" s="8" t="n">
        <v>0</v>
      </c>
      <c r="AZ624" s="8" t="n">
        <v>177</v>
      </c>
      <c r="BA624" s="11" t="n">
        <f>IF(AND(COUNT(AX624:AZ624)=3,AX624&gt;=AY624,AY624&gt;=0,AZ624&gt;0),(AX624-AY624)/AZ624,"")</f>
        <v>0.536723163841808</v>
      </c>
      <c r="BB624" s="8" t="n">
        <f>IF(COUNT(AS624,AW624,BA624)=3,1,0)</f>
        <v>1</v>
      </c>
      <c r="BC624" s="11" t="n">
        <f>IF(SUMIF($AO$11:$AO$1309,AO624,$BB$11:$BB$1309)=COUNTIF($AO$11:$AO$1309,AO624),SUMIF($AO$11:$AO$1309,AO624,$AS$11:$AS$1309),"")</f>
        <v>0.910768616617277</v>
      </c>
      <c r="BD624" s="11" t="n">
        <f>IF(SUMIF($AO$11:$AO$1309,AO624,$BB$11:$BB$1309)=COUNTIF($AO$11:$AO$1309,AO624),SUMIF($AO$11:$AO$1309,AO624,$AW$11:$AW$1309),"")</f>
        <v>1.699880140143832</v>
      </c>
      <c r="BE624" s="11" t="n">
        <f>IF(SUMIF($AO$11:$AO$1309,AO624,$BB$11:$BB$1309)=COUNTIF($AO$11:$AO$1309,AO624),SUMIF($AO$11:$AO$1309,AO624,$BA$11:$BA$1309),"")</f>
        <v>1.5794197930552911</v>
      </c>
      <c r="BF624" s="12" t="n">
        <f>IF(COUNT(BD624:BE624)&lt;&gt;2,"",IF(AND(BD624&gt;0,BE624&gt;0),0.7*AW624/BD624+0.3*BA624/BE624,IF(BD624&gt;0,AW624/BD624,IF(BE624&gt;0,BA624/BE624,IF(AND(ISNUMBER(BH624),BH624=0),0,"")))))</f>
        <v>0.2865440920580821</v>
      </c>
      <c r="BG624" s="11" t="n">
        <f>IF(AND(COUNT(BN624:BU624)=8,MIN(BN624:BU624)&gt;=0),SUMPRODUCT(BN624:BQ624,BR624:BU624),"")</f>
        <v>111.84534083910866</v>
      </c>
      <c r="BH624" s="11" t="n">
        <f>IF(COUNT(BC624,BG624)=2,BC624*BG624,"")</f>
        <v>101.86522635112283</v>
      </c>
      <c r="BI624" s="11" t="n">
        <f>IF(ISNUMBER(CI624),CI624,"")</f>
        <v>29.188878797073517</v>
      </c>
      <c r="BJ624" s="8" t="str"/>
      <c r="BK624" s="8" t="str">
        <v>90天：2026-07-20 至 2026-10-17；180天：2026-04-21 至 2026-10-17</v>
      </c>
      <c r="BL624" s="8" t="str">
        <v>90天：2026-10-06、2026-10-07、2026-10-16；180天：2026-10-06、2026-10-07、2026-10-16</v>
      </c>
      <c r="BM624" s="8" t="str">
        <v>2026-10：12天 × 1.6747911769553037；2026-11：30天 × 1.5065205700457112；2026-12：31天 × 1.1492423388181006；2027-01：17天 × 0.6426892418183868</v>
      </c>
      <c r="BN624" s="11" t="n">
        <v>1.6747911769553037</v>
      </c>
      <c r="BO624" s="11" t="n">
        <v>1.5065205700457112</v>
      </c>
      <c r="BP624" s="11" t="n">
        <v>1.1492423388181006</v>
      </c>
      <c r="BQ624" s="11" t="n">
        <v>0.6426892418183868</v>
      </c>
      <c r="BR624" s="8" t="n">
        <v>12</v>
      </c>
      <c r="BS624" s="8" t="n">
        <v>30</v>
      </c>
      <c r="BT624" s="8" t="n">
        <v>31</v>
      </c>
      <c r="BU624" s="8" t="n">
        <v>17</v>
      </c>
      <c r="BV624" s="11" t="n">
        <f>IF(COUNT(BC624,BF624)=2,BC624*BF624,"")</f>
        <v>0.26097536632359314</v>
      </c>
      <c r="BW624" s="11" t="n">
        <f>IF(ISNUMBER(BN624),BN624,"")</f>
        <v>1.6747911769553037</v>
      </c>
      <c r="BX624" s="14" t="n">
        <f>IF(ISNUMBER(BR624),BR624,"")</f>
        <v>12</v>
      </c>
      <c r="BY624" s="13" t="n">
        <f>IF(AND(COUNT(BV624,BW624,BX624)=3,MIN(BV624,BW624,BX624)&gt;=0),BV624*BW624*BX624,"")</f>
        <v>5.244950891057185</v>
      </c>
      <c r="BZ624" s="11" t="n">
        <f>IF(ISNUMBER(BO624),BO624,"")</f>
        <v>1.5065205700457112</v>
      </c>
      <c r="CA624" s="14" t="n">
        <f>IF(ISNUMBER(BS624),BS624,"")</f>
        <v>30</v>
      </c>
      <c r="CB624" s="13" t="n">
        <f>IF(AND(COUNT(BV624,BZ624,CA624)=3,MIN(BV624,BZ624,CA624)&gt;=0),BV624*BZ624*CA624,"")</f>
        <v>11.794942729251234</v>
      </c>
      <c r="CC624" s="11" t="n">
        <f>IF(ISNUMBER(BP624),BP624,"")</f>
        <v>1.1492423388181006</v>
      </c>
      <c r="CD624" s="14" t="n">
        <f>IF(ISNUMBER(BT624),BT624,"")</f>
        <v>31</v>
      </c>
      <c r="CE624" s="13" t="n">
        <f>IF(AND(COUNT(BV624,CC624,CD624)=3,MIN(BV624,CC624,CD624)&gt;=0),BV624*CC624*CD624,"")</f>
        <v>9.29764215139674</v>
      </c>
      <c r="CF624" s="11" t="n">
        <f>IF(ISNUMBER(BQ624),BQ624,"")</f>
        <v>0.6426892418183868</v>
      </c>
      <c r="CG624" s="14" t="n">
        <f>IF(ISNUMBER(BU624),BU624,"")</f>
        <v>17</v>
      </c>
      <c r="CH624" s="13" t="n">
        <f>IF(AND(COUNT(BV624,CF624,CG624)=3,MIN(BV624,CF624,CG624)&gt;=0),BV624*CF624*CG624,"")</f>
        <v>2.851343025368359</v>
      </c>
      <c r="CI624" s="13" t="n">
        <f>IF(COUNT(BY624,CB624,CE624,CH624)=4,SUM(BY624,CB624,CE624,CH624),"")</f>
        <v>29.188878797073517</v>
      </c>
    </row>
    <row r="625" ht="72" customHeight="1">
      <c r="A625" s="16" t="str">
        <v>230918-LP-S-Z-9</v>
      </c>
      <c r="B625" s="16" t="str">
        <v>1店-MUSSHOE-US</v>
      </c>
      <c r="C625" s="16" t="str">
        <v>艾年</v>
      </c>
      <c r="D625" s="26" t="n">
        <f>IF(NOT(ISNUMBER(E625)),"",IF(OR(E625&lt;=0,L625=0),0,IF(OR(NOT(ISNUMBER(F625)),F625&lt;0),"",MIN(E625,INT(F625)))))</f>
        <v>0</v>
      </c>
      <c r="E625" s="27" t="n">
        <f>IF(OR(NOT(ISNUMBER(L625)),COUNT(M625:O625)&lt;&gt;3,MIN(M625:O625)&lt;0),"",ROUNDUP(ROUND(BI625-SUM(M625:O625),10),0))</f>
        <v>-13</v>
      </c>
      <c r="F625" s="28" t="n">
        <v>8</v>
      </c>
      <c r="G625" s="28" t="n">
        <f>IF(AND(ISNUMBER(D625),ISNUMBER(E625)),IF(OR(E625&lt;=0,L625=0),0,E625-D625),"")</f>
        <v>0</v>
      </c>
      <c r="H625" s="16" t="str">
        <f>IF(NOT(ISNUMBER(E625)),"销量或海外库存待补",IF(OR(E625&lt;=0,L625=0),IF(L625=0,"零日销，本批不发","本批无需补货"),IF(NOT(ISNUMBER(D625)),"国内库存待补",IF(D625=0,"国内无可用库存",IF(G625&gt;0,"先发国内现货","按建议量发货")))))</f>
        <v>本批无需补货</v>
      </c>
      <c r="I625" s="28" t="n">
        <f>IF(AND(COUNT(Z625,AA625,AB625)=3,Z625&gt;=AA625,AA625&gt;=0,AB625=7),Z625-AA625,"")</f>
        <v>11</v>
      </c>
      <c r="J625" s="28" t="n">
        <f>IF(AND(COUNT(AF625,AG625,AH625)=3,AF625&gt;=AG625,AG625&gt;=0,AH625=14),AF625-AG625,"")</f>
        <v>17</v>
      </c>
      <c r="K625" s="28" t="n">
        <f>IF(AND(COUNT(AL625,AM625,AN625)=3,AL625&gt;=AM625,AM625&gt;=0,AN625=30),AL625-AM625,"")</f>
        <v>38</v>
      </c>
      <c r="L625" s="29" t="n">
        <f>IF(ISNUMBER(BI625),BI625/90,"")</f>
        <v>0.7093213943129493</v>
      </c>
      <c r="M625" s="28" t="n">
        <v>11</v>
      </c>
      <c r="N625" s="28" t="n">
        <v>0</v>
      </c>
      <c r="O625" s="28" t="n">
        <v>65</v>
      </c>
      <c r="P625" s="30" t="n">
        <f>IF(AND(ISNUMBER(L625),L625&gt;0,COUNT(M625:O625)=3,MIN(M625:O625)&gt;=0),SUM(M625:O625)/L625,"")</f>
        <v>107.14466052953868</v>
      </c>
      <c r="Q625" s="16" t="str">
        <v>沿用原计划SKU店铺</v>
      </c>
      <c r="R625" s="16" t="str">
        <v>已匹配</v>
      </c>
      <c r="S625" s="16" t="str">
        <v>在售</v>
      </c>
      <c r="T625" s="16" t="str">
        <v>230918</v>
      </c>
      <c r="U625" s="16" t="str">
        <v>豹纹</v>
      </c>
      <c r="V625" s="16" t="n">
        <v>9</v>
      </c>
      <c r="W625" s="8" t="str">
        <v>2026-10-11 至 2026-10-17</v>
      </c>
      <c r="X625" s="8" t="str">
        <v>2026-10-11、2026-10-12、2026-10-13、2026-10-14、2026-10-15、2026-10-16、2026-10-17</v>
      </c>
      <c r="Y625" s="8" t="str">
        <v>无</v>
      </c>
      <c r="Z625" s="8" t="n">
        <v>11</v>
      </c>
      <c r="AA625" s="8" t="n">
        <v>0</v>
      </c>
      <c r="AB625" s="8" t="n">
        <v>7</v>
      </c>
      <c r="AC625" s="8" t="str">
        <v>2026-10-02 至 2026-10-17</v>
      </c>
      <c r="AD625" s="8" t="str">
        <v>2026-10-02、2026-10-03、2026-10-04、2026-10-05、2026-10-08、2026-10-09、2026-10-10、2026-10-11、2026-10-12、2026-10-13、2026-10-14、2026-10-15、2026-10-16、2026-10-17</v>
      </c>
      <c r="AE625" s="8" t="str">
        <v>2026-10-06 大促；2026-10-07 大促</v>
      </c>
      <c r="AF625" s="8" t="n">
        <v>20</v>
      </c>
      <c r="AG625" s="8" t="n">
        <v>3</v>
      </c>
      <c r="AH625" s="8" t="n">
        <v>14</v>
      </c>
      <c r="AI625" s="8" t="str">
        <v>2026-09-16 至 2026-10-17</v>
      </c>
      <c r="AJ6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5" s="8" t="str">
        <v>2026-10-06 大促；2026-10-07 大促</v>
      </c>
      <c r="AL625" s="8" t="n">
        <v>41</v>
      </c>
      <c r="AM625" s="8" t="n">
        <v>3</v>
      </c>
      <c r="AN625" s="8" t="n">
        <v>30</v>
      </c>
      <c r="AO625" s="8" t="str">
        <v>230918 / 豹纹 / 13120</v>
      </c>
      <c r="AP625" s="11" t="n">
        <v>1.6747911769553039</v>
      </c>
      <c r="AQ625" s="11" t="n">
        <v>1.6747911769553039</v>
      </c>
      <c r="AR625" s="11" t="n">
        <v>1.7386907395039133</v>
      </c>
      <c r="AS625" s="11" t="n">
        <f>IF(AND(COUNT(I625:K625,AP625:AR625)=6,MIN(AP625:AR625)&gt;0),I625/7/AP625*0.5+J625/14/AQ625*0.3+K625/30/AR625*0.2,"")</f>
        <v>0.832356273629465</v>
      </c>
      <c r="AT625" s="8" t="n">
        <v>105</v>
      </c>
      <c r="AU625" s="8" t="n">
        <v>3</v>
      </c>
      <c r="AV625" s="8" t="n">
        <v>88</v>
      </c>
      <c r="AW625" s="11" t="n">
        <f>IF(AND(COUNT(AT625:AV625)=3,AT625&gt;=AU625,AU625&gt;=0,AV625&gt;0),(AT625-AU625)/AV625,"")</f>
        <v>1.1590909090909092</v>
      </c>
      <c r="AX625" s="8" t="n">
        <v>143</v>
      </c>
      <c r="AY625" s="8" t="n">
        <v>3</v>
      </c>
      <c r="AZ625" s="8" t="n">
        <v>178</v>
      </c>
      <c r="BA625" s="11" t="n">
        <f>IF(AND(COUNT(AX625:AZ625)=3,AX625&gt;=AY625,AY625&gt;=0,AZ625&gt;0),(AX625-AY625)/AZ625,"")</f>
        <v>0.7865168539325843</v>
      </c>
      <c r="BB625" s="8" t="n">
        <f>IF(COUNT(AS625,AW625,BA625)=3,1,0)</f>
        <v>1</v>
      </c>
      <c r="BC625" s="11" t="n">
        <f>IF(SUMIF($AO$11:$AO$1309,AO625,$BB$11:$BB$1309)=COUNTIF($AO$11:$AO$1309,AO625),SUMIF($AO$11:$AO$1309,AO625,$AS$11:$AS$1309),"")</f>
        <v>0.910768616617277</v>
      </c>
      <c r="BD625" s="11" t="n">
        <f>IF(SUMIF($AO$11:$AO$1309,AO625,$BB$11:$BB$1309)=COUNTIF($AO$11:$AO$1309,AO625),SUMIF($AO$11:$AO$1309,AO625,$AW$11:$AW$1309),"")</f>
        <v>1.699880140143832</v>
      </c>
      <c r="BE625" s="11" t="n">
        <f>IF(SUMIF($AO$11:$AO$1309,AO625,$BB$11:$BB$1309)=COUNTIF($AO$11:$AO$1309,AO625),SUMIF($AO$11:$AO$1309,AO625,$BA$11:$BA$1309),"")</f>
        <v>1.5794197930552911</v>
      </c>
      <c r="BF625" s="12" t="n">
        <f>IF(COUNT(BD625:BE625)&lt;&gt;2,"",IF(AND(BD625&gt;0,BE625&gt;0),0.7*AW625/BD625+0.3*BA625/BE625,IF(BD625&gt;0,AW625/BD625,IF(BE625&gt;0,BA625/BE625,IF(AND(ISNUMBER(BH625),BH625=0),0,"")))))</f>
        <v>0.6266998835119335</v>
      </c>
      <c r="BG625" s="11" t="n">
        <f>IF(AND(COUNT(BN625:BU625)=8,MIN(BN625:BU625)&gt;=0),SUMPRODUCT(BN625:BQ625,BR625:BU625),"")</f>
        <v>111.84534083910866</v>
      </c>
      <c r="BH625" s="11" t="n">
        <f>IF(COUNT(BC625,BG625)=2,BC625*BG625,"")</f>
        <v>101.86522635112283</v>
      </c>
      <c r="BI625" s="11" t="n">
        <f>IF(ISNUMBER(CI625),CI625,"")</f>
        <v>63.83892548816543</v>
      </c>
      <c r="BJ625" s="8" t="str"/>
      <c r="BK625" s="8" t="str">
        <v>90天：2026-07-20 至 2026-10-17；180天：2026-04-21 至 2026-10-17</v>
      </c>
      <c r="BL625" s="8" t="str">
        <v>90天：2026-10-06、2026-10-07；180天：2026-10-06、2026-10-07</v>
      </c>
      <c r="BM625" s="8" t="str">
        <v>2026-10：12天 × 1.6747911769553037；2026-11：30天 × 1.5065205700457112；2026-12：31天 × 1.1492423388181006；2027-01：17天 × 0.6426892418183868</v>
      </c>
      <c r="BN625" s="11" t="n">
        <v>1.6747911769553037</v>
      </c>
      <c r="BO625" s="11" t="n">
        <v>1.5065205700457112</v>
      </c>
      <c r="BP625" s="11" t="n">
        <v>1.1492423388181006</v>
      </c>
      <c r="BQ625" s="11" t="n">
        <v>0.6426892418183868</v>
      </c>
      <c r="BR625" s="8" t="n">
        <v>12</v>
      </c>
      <c r="BS625" s="8" t="n">
        <v>30</v>
      </c>
      <c r="BT625" s="8" t="n">
        <v>31</v>
      </c>
      <c r="BU625" s="8" t="n">
        <v>17</v>
      </c>
      <c r="BV625" s="11" t="n">
        <f>IF(COUNT(BC625,BF625)=2,BC625*BF625,"")</f>
        <v>0.5707785859403723</v>
      </c>
      <c r="BW625" s="11" t="n">
        <f>IF(ISNUMBER(BN625),BN625,"")</f>
        <v>1.6747911769553037</v>
      </c>
      <c r="BX625" s="14" t="n">
        <f>IF(ISNUMBER(BR625),BR625,"")</f>
        <v>12</v>
      </c>
      <c r="BY625" s="13" t="n">
        <f>IF(AND(COUNT(BV625,BW625,BX625)=3,MIN(BV625,BW625,BX625)&gt;=0),BV625*BW625*BX625,"")</f>
        <v>11.471219276735521</v>
      </c>
      <c r="BZ625" s="11" t="n">
        <f>IF(ISNUMBER(BO625),BO625,"")</f>
        <v>1.5065205700457112</v>
      </c>
      <c r="CA625" s="14" t="n">
        <f>IF(ISNUMBER(BS625),BS625,"")</f>
        <v>30</v>
      </c>
      <c r="CB625" s="13" t="n">
        <f>IF(AND(COUNT(BV625,BZ625,CA625)=3,MIN(BV625,BZ625,CA625)&gt;=0),BV625*BZ625*CA625,"")</f>
        <v>25.79669041982324</v>
      </c>
      <c r="CC625" s="11" t="n">
        <f>IF(ISNUMBER(BP625),BP625,"")</f>
        <v>1.1492423388181006</v>
      </c>
      <c r="CD625" s="14" t="n">
        <f>IF(ISNUMBER(BT625),BT625,"")</f>
        <v>31</v>
      </c>
      <c r="CE625" s="13" t="n">
        <f>IF(AND(COUNT(BV625,CC625,CD625)=3,MIN(BV625,CC625,CD625)&gt;=0),BV625*CC625*CD625,"")</f>
        <v>20.334850428655454</v>
      </c>
      <c r="CF625" s="11" t="n">
        <f>IF(ISNUMBER(BQ625),BQ625,"")</f>
        <v>0.6426892418183868</v>
      </c>
      <c r="CG625" s="14" t="n">
        <f>IF(ISNUMBER(BU625),BU625,"")</f>
        <v>17</v>
      </c>
      <c r="CH625" s="13" t="n">
        <f>IF(AND(COUNT(BV625,CF625,CG625)=3,MIN(BV625,CF625,CG625)&gt;=0),BV625*CF625*CG625,"")</f>
        <v>6.236165362951211</v>
      </c>
      <c r="CI625" s="13" t="n">
        <f>IF(COUNT(BY625,CB625,CE625,CH625)=4,SUM(BY625,CB625,CE625,CH625),"")</f>
        <v>63.83892548816543</v>
      </c>
    </row>
    <row r="626" ht="72" customHeight="1">
      <c r="A626" s="16" t="str">
        <v>230918-ND-S-Z-10</v>
      </c>
      <c r="B626" s="16" t="str">
        <v>1店-MUSSHOE-US</v>
      </c>
      <c r="C626" s="16" t="str">
        <v>艾年</v>
      </c>
      <c r="D626" s="26" t="n">
        <f>IF(NOT(ISNUMBER(E626)),"",IF(OR(E626&lt;=0,L626=0),0,IF(OR(NOT(ISNUMBER(F626)),F626&lt;0),"",MIN(E626,INT(F626)))))</f>
        <v>0</v>
      </c>
      <c r="E626" s="27" t="n">
        <f>IF(OR(NOT(ISNUMBER(L626)),COUNT(M626:O626)&lt;&gt;3,MIN(M626:O626)&lt;0),"",ROUNDUP(ROUND(BI626-SUM(M626:O626),10),0))</f>
        <v>-73</v>
      </c>
      <c r="F626" s="28" t="n">
        <v>152</v>
      </c>
      <c r="G626" s="28" t="n">
        <f>IF(AND(ISNUMBER(D626),ISNUMBER(E626)),IF(OR(E626&lt;=0,L626=0),0,E626-D626),"")</f>
        <v>0</v>
      </c>
      <c r="H626" s="16" t="str">
        <f>IF(NOT(ISNUMBER(E626)),"销量或海外库存待补",IF(OR(E626&lt;=0,L626=0),IF(L626=0,"零日销，本批不发","本批无需补货"),IF(NOT(ISNUMBER(D626)),"国内库存待补",IF(D626=0,"国内无可用库存",IF(G626&gt;0,"先发国内现货","按建议量发货")))))</f>
        <v>本批无需补货</v>
      </c>
      <c r="I626" s="28" t="n">
        <f>IF(AND(COUNT(Z626,AA626,AB626)=3,Z626&gt;=AA626,AA626&gt;=0,AB626=7),Z626-AA626,"")</f>
        <v>56</v>
      </c>
      <c r="J626" s="28" t="n">
        <f>IF(AND(COUNT(AF626,AG626,AH626)=3,AF626&gt;=AG626,AG626&gt;=0,AH626=14),AF626-AG626,"")</f>
        <v>95</v>
      </c>
      <c r="K626" s="28" t="n">
        <f>IF(AND(COUNT(AL626,AM626,AN626)=3,AL626&gt;=AM626,AM626&gt;=0,AN626=30),AL626-AM626,"")</f>
        <v>173</v>
      </c>
      <c r="L626" s="29" t="n">
        <f>IF(ISNUMBER(BI626),BI626/90,"")</f>
        <v>4.739505197627045</v>
      </c>
      <c r="M626" s="28" t="n">
        <v>178</v>
      </c>
      <c r="N626" s="28" t="n">
        <v>0</v>
      </c>
      <c r="O626" s="28" t="n">
        <v>321</v>
      </c>
      <c r="P626" s="30" t="n">
        <f>IF(AND(ISNUMBER(L626),L626&gt;0,COUNT(M626:O626)=3,MIN(M626:O626)&gt;=0),SUM(M626:O626)/L626,"")</f>
        <v>105.2852521925363</v>
      </c>
      <c r="Q626" s="16" t="str">
        <v>沿用原计划SKU店铺</v>
      </c>
      <c r="R626" s="16" t="str">
        <v>已匹配</v>
      </c>
      <c r="S626" s="16" t="str">
        <v>在售</v>
      </c>
      <c r="T626" s="16" t="str">
        <v>230918</v>
      </c>
      <c r="U626" s="16" t="str">
        <v>裸色</v>
      </c>
      <c r="V626" s="16" t="n">
        <v>10</v>
      </c>
      <c r="W626" s="8" t="str">
        <v>2026-10-11 至 2026-10-17</v>
      </c>
      <c r="X626" s="8" t="str">
        <v>2026-10-11、2026-10-12、2026-10-13、2026-10-14、2026-10-15、2026-10-16、2026-10-17</v>
      </c>
      <c r="Y626" s="8" t="str">
        <v>无</v>
      </c>
      <c r="Z626" s="8" t="n">
        <v>56</v>
      </c>
      <c r="AA626" s="8" t="n">
        <v>0</v>
      </c>
      <c r="AB626" s="8" t="n">
        <v>7</v>
      </c>
      <c r="AC626" s="8" t="str">
        <v>2026-10-02 至 2026-10-17</v>
      </c>
      <c r="AD626" s="8" t="str">
        <v>2026-10-02、2026-10-03、2026-10-04、2026-10-05、2026-10-08、2026-10-09、2026-10-10、2026-10-11、2026-10-12、2026-10-13、2026-10-14、2026-10-15、2026-10-16、2026-10-17</v>
      </c>
      <c r="AE626" s="8" t="str">
        <v>2026-10-06 大促；2026-10-07 大促</v>
      </c>
      <c r="AF626" s="8" t="n">
        <v>141</v>
      </c>
      <c r="AG626" s="8" t="n">
        <v>46</v>
      </c>
      <c r="AH626" s="8" t="n">
        <v>14</v>
      </c>
      <c r="AI626" s="8" t="str">
        <v>2026-09-16 至 2026-10-17</v>
      </c>
      <c r="AJ6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6" s="8" t="str">
        <v>2026-10-06 大促；2026-10-07 大促</v>
      </c>
      <c r="AL626" s="8" t="n">
        <v>219</v>
      </c>
      <c r="AM626" s="8" t="n">
        <v>46</v>
      </c>
      <c r="AN626" s="8" t="n">
        <v>30</v>
      </c>
      <c r="AO626" s="8" t="str">
        <v>230918 / 裸色 / 13120</v>
      </c>
      <c r="AP626" s="11" t="n">
        <v>1.6747911769553039</v>
      </c>
      <c r="AQ626" s="11" t="n">
        <v>1.6747911769553039</v>
      </c>
      <c r="AR626" s="11" t="n">
        <v>1.7386907395039133</v>
      </c>
      <c r="AS626" s="11" t="n">
        <f>IF(AND(COUNT(I626:K626,AP626:AR626)=6,MIN(AP626:AR626)&gt;0),I626/7/AP626*0.5+J626/14/AQ626*0.3+K626/30/AR626*0.2,"")</f>
        <v>4.267195182933487</v>
      </c>
      <c r="AT626" s="8" t="n">
        <v>513</v>
      </c>
      <c r="AU626" s="8" t="n">
        <v>46</v>
      </c>
      <c r="AV626" s="8" t="n">
        <v>88</v>
      </c>
      <c r="AW626" s="11" t="n">
        <f>IF(AND(COUNT(AT626:AV626)=3,AT626&gt;=AU626,AU626&gt;=0,AV626&gt;0),(AT626-AU626)/AV626,"")</f>
        <v>5.306818181818182</v>
      </c>
      <c r="AX626" s="8" t="n">
        <v>923</v>
      </c>
      <c r="AY626" s="8" t="n">
        <v>46</v>
      </c>
      <c r="AZ626" s="8" t="n">
        <v>178</v>
      </c>
      <c r="BA626" s="11" t="n">
        <f>IF(AND(COUNT(AX626:AZ626)=3,AX626&gt;=AY626,AY626&gt;=0,AZ626&gt;0),(AX626-AY626)/AZ626,"")</f>
        <v>4.926966292134831</v>
      </c>
      <c r="BB626" s="8" t="n">
        <f>IF(COUNT(AS626,AW626,BA626)=3,1,0)</f>
        <v>1</v>
      </c>
      <c r="BC626" s="11" t="n">
        <f>IF(SUMIF($AO$11:$AO$1309,AO626,$BB$11:$BB$1309)=COUNTIF($AO$11:$AO$1309,AO626),SUMIF($AO$11:$AO$1309,AO626,$AS$11:$AS$1309),"")</f>
        <v>33.13758128862247</v>
      </c>
      <c r="BD626" s="11" t="n">
        <f>IF(SUMIF($AO$11:$AO$1309,AO626,$BB$11:$BB$1309)=COUNTIF($AO$11:$AO$1309,AO626),SUMIF($AO$11:$AO$1309,AO626,$AW$11:$AW$1309),"")</f>
        <v>46.07954545454545</v>
      </c>
      <c r="BE626" s="11" t="n">
        <f>IF(SUMIF($AO$11:$AO$1309,AO626,$BB$11:$BB$1309)=COUNTIF($AO$11:$AO$1309,AO626),SUMIF($AO$11:$AO$1309,AO626,$BA$11:$BA$1309),"")</f>
        <v>42.87640449438202</v>
      </c>
      <c r="BF626" s="12" t="n">
        <f>IF(COUNT(BD626:BE626)&lt;&gt;2,"",IF(AND(BD626&gt;0,BE626&gt;0),0.7*AW626/BD626+0.3*BA626/BE626,IF(BD626&gt;0,AW626/BD626,IF(BE626&gt;0,BA626/BE626,IF(AND(ISNUMBER(BH626),BH626=0),0,"")))))</f>
        <v>0.11508979325159559</v>
      </c>
      <c r="BG626" s="11" t="n">
        <f>IF(AND(COUNT(BN626:BU626)=8,MIN(BN626:BU626)&gt;=0),SUMPRODUCT(BN626:BQ626,BR626:BU626),"")</f>
        <v>111.84534083910866</v>
      </c>
      <c r="BH626" s="11" t="n">
        <f>IF(COUNT(BC626,BG626)=2,BC626*BG626,"")</f>
        <v>3706.2840738096497</v>
      </c>
      <c r="BI626" s="11" t="n">
        <f>IF(ISNUMBER(CI626),CI626,"")</f>
        <v>426.55546778643406</v>
      </c>
      <c r="BJ626" s="8" t="str"/>
      <c r="BK626" s="8" t="str">
        <v>90天：2026-07-20 至 2026-10-17；180天：2026-04-21 至 2026-10-17</v>
      </c>
      <c r="BL626" s="8" t="str">
        <v>90天：2026-10-06、2026-10-07；180天：2026-10-06、2026-10-07</v>
      </c>
      <c r="BM626" s="8" t="str">
        <v>2026-10：12天 × 1.6747911769553037；2026-11：30天 × 1.5065205700457112；2026-12：31天 × 1.1492423388181006；2027-01：17天 × 0.6426892418183868</v>
      </c>
      <c r="BN626" s="11" t="n">
        <v>1.6747911769553037</v>
      </c>
      <c r="BO626" s="11" t="n">
        <v>1.5065205700457112</v>
      </c>
      <c r="BP626" s="11" t="n">
        <v>1.1492423388181006</v>
      </c>
      <c r="BQ626" s="11" t="n">
        <v>0.6426892418183868</v>
      </c>
      <c r="BR626" s="8" t="n">
        <v>12</v>
      </c>
      <c r="BS626" s="8" t="n">
        <v>30</v>
      </c>
      <c r="BT626" s="8" t="n">
        <v>31</v>
      </c>
      <c r="BU626" s="8" t="n">
        <v>17</v>
      </c>
      <c r="BV626" s="11" t="n">
        <f>IF(COUNT(BC626,BF626)=2,BC626*BF626,"")</f>
        <v>3.8137973793655027</v>
      </c>
      <c r="BW626" s="11" t="n">
        <f>IF(ISNUMBER(BN626),BN626,"")</f>
        <v>1.6747911769553037</v>
      </c>
      <c r="BX626" s="14" t="n">
        <f>IF(ISNUMBER(BR626),BR626,"")</f>
        <v>12</v>
      </c>
      <c r="BY626" s="13" t="n">
        <f>IF(AND(COUNT(BV626,BW626,BX626)=3,MIN(BV626,BW626,BX626)&gt;=0),BV626*BW626*BX626,"")</f>
        <v>76.64777041987924</v>
      </c>
      <c r="BZ626" s="11" t="n">
        <f>IF(ISNUMBER(BO626),BO626,"")</f>
        <v>1.5065205700457112</v>
      </c>
      <c r="CA626" s="14" t="n">
        <f>IF(ISNUMBER(BS626),BS626,"")</f>
        <v>30</v>
      </c>
      <c r="CB626" s="13" t="n">
        <f>IF(AND(COUNT(BV626,BZ626,CA626)=3,MIN(BV626,BZ626,CA626)&gt;=0),BV626*BZ626*CA626,"")</f>
        <v>172.3669260600167</v>
      </c>
      <c r="CC626" s="11" t="n">
        <f>IF(ISNUMBER(BP626),BP626,"")</f>
        <v>1.1492423388181006</v>
      </c>
      <c r="CD626" s="14" t="n">
        <f>IF(ISNUMBER(BT626),BT626,"")</f>
        <v>31</v>
      </c>
      <c r="CE626" s="13" t="n">
        <f>IF(AND(COUNT(BV626,CC626,CD626)=3,MIN(BV626,CC626,CD626)&gt;=0),BV626*CC626*CD626,"")</f>
        <v>135.87230002125094</v>
      </c>
      <c r="CF626" s="11" t="n">
        <f>IF(ISNUMBER(BQ626),BQ626,"")</f>
        <v>0.6426892418183868</v>
      </c>
      <c r="CG626" s="14" t="n">
        <f>IF(ISNUMBER(BU626),BU626,"")</f>
        <v>17</v>
      </c>
      <c r="CH626" s="13" t="n">
        <f>IF(AND(COUNT(BV626,CF626,CG626)=3,MIN(BV626,CF626,CG626)&gt;=0),BV626*CF626*CG626,"")</f>
        <v>41.66847128528721</v>
      </c>
      <c r="CI626" s="13" t="n">
        <f>IF(COUNT(BY626,CB626,CE626,CH626)=4,SUM(BY626,CB626,CE626,CH626),"")</f>
        <v>426.55546778643406</v>
      </c>
    </row>
    <row r="627" ht="72" customHeight="1">
      <c r="A627" s="16" t="str">
        <v>230918-ND-S-Z-11</v>
      </c>
      <c r="B627" s="16" t="str">
        <v>1店-MUSSHOE-US</v>
      </c>
      <c r="C627" s="16" t="str">
        <v>艾年</v>
      </c>
      <c r="D627" s="26" t="n">
        <f>IF(NOT(ISNUMBER(E627)),"",IF(OR(E627&lt;=0,L627=0),0,IF(OR(NOT(ISNUMBER(F627)),F627&lt;0),"",MIN(E627,INT(F627)))))</f>
        <v>0</v>
      </c>
      <c r="E627" s="27" t="n">
        <f>IF(OR(NOT(ISNUMBER(L627)),COUNT(M627:O627)&lt;&gt;3,MIN(M627:O627)&lt;0),"",ROUNDUP(ROUND(BI627-SUM(M627:O627),10),0))</f>
        <v>-65</v>
      </c>
      <c r="F627" s="28" t="n">
        <v>57</v>
      </c>
      <c r="G627" s="28" t="n">
        <f>IF(AND(ISNUMBER(D627),ISNUMBER(E627)),IF(OR(E627&lt;=0,L627=0),0,E627-D627),"")</f>
        <v>0</v>
      </c>
      <c r="H627" s="16" t="str">
        <f>IF(NOT(ISNUMBER(E627)),"销量或海外库存待补",IF(OR(E627&lt;=0,L627=0),IF(L627=0,"零日销，本批不发","本批无需补货"),IF(NOT(ISNUMBER(D627)),"国内库存待补",IF(D627=0,"国内无可用库存",IF(G627&gt;0,"先发国内现货","按建议量发货")))))</f>
        <v>本批无需补货</v>
      </c>
      <c r="I627" s="28" t="n">
        <f>IF(AND(COUNT(Z627,AA627,AB627)=3,Z627&gt;=AA627,AA627&gt;=0,AB627=7),Z627-AA627,"")</f>
        <v>23</v>
      </c>
      <c r="J627" s="28" t="n">
        <f>IF(AND(COUNT(AF627,AG627,AH627)=3,AF627&gt;=AG627,AG627&gt;=0,AH627=14),AF627-AG627,"")</f>
        <v>39</v>
      </c>
      <c r="K627" s="28" t="n">
        <f>IF(AND(COUNT(AL627,AM627,AN627)=3,AL627&gt;=AM627,AM627&gt;=0,AN627=30),AL627-AM627,"")</f>
        <v>72</v>
      </c>
      <c r="L627" s="29" t="n">
        <f>IF(ISNUMBER(BI627),BI627/90,"")</f>
        <v>2.189148890211381</v>
      </c>
      <c r="M627" s="28" t="n">
        <v>122</v>
      </c>
      <c r="N627" s="28" t="n">
        <v>0</v>
      </c>
      <c r="O627" s="28" t="n">
        <v>140</v>
      </c>
      <c r="P627" s="30" t="n">
        <f>IF(AND(ISNUMBER(L627),L627&gt;0,COUNT(M627:O627)=3,MIN(M627:O627)&gt;=0),SUM(M627:O627)/L627,"")</f>
        <v>119.68121545844315</v>
      </c>
      <c r="Q627" s="16" t="str">
        <v>沿用原计划SKU店铺</v>
      </c>
      <c r="R627" s="16" t="str">
        <v>已匹配</v>
      </c>
      <c r="S627" s="16" t="str">
        <v>在售</v>
      </c>
      <c r="T627" s="16" t="str">
        <v>230918</v>
      </c>
      <c r="U627" s="16" t="str">
        <v>裸色</v>
      </c>
      <c r="V627" s="16" t="n">
        <v>11</v>
      </c>
      <c r="W627" s="8" t="str">
        <v>2026-10-11 至 2026-10-17</v>
      </c>
      <c r="X627" s="8" t="str">
        <v>2026-10-11、2026-10-12、2026-10-13、2026-10-14、2026-10-15、2026-10-16、2026-10-17</v>
      </c>
      <c r="Y627" s="8" t="str">
        <v>无</v>
      </c>
      <c r="Z627" s="8" t="n">
        <v>23</v>
      </c>
      <c r="AA627" s="8" t="n">
        <v>0</v>
      </c>
      <c r="AB627" s="8" t="n">
        <v>7</v>
      </c>
      <c r="AC627" s="8" t="str">
        <v>2026-10-02 至 2026-10-17</v>
      </c>
      <c r="AD627" s="8" t="str">
        <v>2026-10-02、2026-10-03、2026-10-04、2026-10-05、2026-10-08、2026-10-09、2026-10-10、2026-10-11、2026-10-12、2026-10-13、2026-10-14、2026-10-15、2026-10-16、2026-10-17</v>
      </c>
      <c r="AE627" s="8" t="str">
        <v>2026-10-06 大促；2026-10-07 大促</v>
      </c>
      <c r="AF627" s="8" t="n">
        <v>58</v>
      </c>
      <c r="AG627" s="8" t="n">
        <v>19</v>
      </c>
      <c r="AH627" s="8" t="n">
        <v>14</v>
      </c>
      <c r="AI627" s="8" t="str">
        <v>2026-09-16 至 2026-10-17</v>
      </c>
      <c r="AJ6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7" s="8" t="str">
        <v>2026-10-06 大促；2026-10-07 大促</v>
      </c>
      <c r="AL627" s="8" t="n">
        <v>91</v>
      </c>
      <c r="AM627" s="8" t="n">
        <v>19</v>
      </c>
      <c r="AN627" s="8" t="n">
        <v>30</v>
      </c>
      <c r="AO627" s="8" t="str">
        <v>230918 / 裸色 / 13120</v>
      </c>
      <c r="AP627" s="11" t="n">
        <v>1.6747911769553039</v>
      </c>
      <c r="AQ627" s="11" t="n">
        <v>1.6747911769553039</v>
      </c>
      <c r="AR627" s="11" t="n">
        <v>1.7386907395039133</v>
      </c>
      <c r="AS627" s="11" t="n">
        <f>IF(AND(COUNT(I627:K627,AP627:AR627)=6,MIN(AP627:AR627)&gt;0),I627/7/AP627*0.5+J627/14/AQ627*0.3+K627/30/AR627*0.2,"")</f>
        <v>1.7559984371534447</v>
      </c>
      <c r="AT627" s="8" t="n">
        <v>237</v>
      </c>
      <c r="AU627" s="8" t="n">
        <v>19</v>
      </c>
      <c r="AV627" s="8" t="n">
        <v>88</v>
      </c>
      <c r="AW627" s="11" t="n">
        <f>IF(AND(COUNT(AT627:AV627)=3,AT627&gt;=AU627,AU627&gt;=0,AV627&gt;0),(AT627-AU627)/AV627,"")</f>
        <v>2.477272727272727</v>
      </c>
      <c r="AX627" s="8" t="n">
        <v>414</v>
      </c>
      <c r="AY627" s="8" t="n">
        <v>19</v>
      </c>
      <c r="AZ627" s="8" t="n">
        <v>178</v>
      </c>
      <c r="BA627" s="11" t="n">
        <f>IF(AND(COUNT(AX627:AZ627)=3,AX627&gt;=AY627,AY627&gt;=0,AZ627&gt;0),(AX627-AY627)/AZ627,"")</f>
        <v>2.2191011235955056</v>
      </c>
      <c r="BB627" s="8" t="n">
        <f>IF(COUNT(AS627,AW627,BA627)=3,1,0)</f>
        <v>1</v>
      </c>
      <c r="BC627" s="11" t="n">
        <f>IF(SUMIF($AO$11:$AO$1309,AO627,$BB$11:$BB$1309)=COUNTIF($AO$11:$AO$1309,AO627),SUMIF($AO$11:$AO$1309,AO627,$AS$11:$AS$1309),"")</f>
        <v>33.13758128862247</v>
      </c>
      <c r="BD627" s="11" t="n">
        <f>IF(SUMIF($AO$11:$AO$1309,AO627,$BB$11:$BB$1309)=COUNTIF($AO$11:$AO$1309,AO627),SUMIF($AO$11:$AO$1309,AO627,$AW$11:$AW$1309),"")</f>
        <v>46.07954545454545</v>
      </c>
      <c r="BE627" s="11" t="n">
        <f>IF(SUMIF($AO$11:$AO$1309,AO627,$BB$11:$BB$1309)=COUNTIF($AO$11:$AO$1309,AO627),SUMIF($AO$11:$AO$1309,AO627,$BA$11:$BA$1309),"")</f>
        <v>42.87640449438202</v>
      </c>
      <c r="BF627" s="12" t="n">
        <f>IF(COUNT(BD627:BE627)&lt;&gt;2,"",IF(AND(BD627&gt;0,BE627&gt;0),0.7*AW627/BD627+0.3*BA627/BE627,IF(BD627&gt;0,AW627/BD627,IF(BE627&gt;0,BA627/BE627,IF(AND(ISNUMBER(BH627),BH627=0),0,"")))))</f>
        <v>0.053159281964187385</v>
      </c>
      <c r="BG627" s="11" t="n">
        <f>IF(AND(COUNT(BN627:BU627)=8,MIN(BN627:BU627)&gt;=0),SUMPRODUCT(BN627:BQ627,BR627:BU627),"")</f>
        <v>111.84534083910866</v>
      </c>
      <c r="BH627" s="11" t="n">
        <f>IF(COUNT(BC627,BG627)=2,BC627*BG627,"")</f>
        <v>3706.2840738096497</v>
      </c>
      <c r="BI627" s="11" t="n">
        <f>IF(ISNUMBER(CI627),CI627,"")</f>
        <v>197.0234001190243</v>
      </c>
      <c r="BJ627" s="8" t="str"/>
      <c r="BK627" s="8" t="str">
        <v>90天：2026-07-20 至 2026-10-17；180天：2026-04-21 至 2026-10-17</v>
      </c>
      <c r="BL627" s="8" t="str">
        <v>90天：2026-10-06、2026-10-07；180天：2026-10-06、2026-10-07</v>
      </c>
      <c r="BM627" s="8" t="str">
        <v>2026-10：12天 × 1.6747911769553037；2026-11：30天 × 1.5065205700457112；2026-12：31天 × 1.1492423388181006；2027-01：17天 × 0.6426892418183868</v>
      </c>
      <c r="BN627" s="11" t="n">
        <v>1.6747911769553037</v>
      </c>
      <c r="BO627" s="11" t="n">
        <v>1.5065205700457112</v>
      </c>
      <c r="BP627" s="11" t="n">
        <v>1.1492423388181006</v>
      </c>
      <c r="BQ627" s="11" t="n">
        <v>0.6426892418183868</v>
      </c>
      <c r="BR627" s="8" t="n">
        <v>12</v>
      </c>
      <c r="BS627" s="8" t="n">
        <v>30</v>
      </c>
      <c r="BT627" s="8" t="n">
        <v>31</v>
      </c>
      <c r="BU627" s="8" t="n">
        <v>17</v>
      </c>
      <c r="BV627" s="11" t="n">
        <f>IF(COUNT(BC627,BF627)=2,BC627*BF627,"")</f>
        <v>1.761570027333062</v>
      </c>
      <c r="BW627" s="11" t="n">
        <f>IF(ISNUMBER(BN627),BN627,"")</f>
        <v>1.6747911769553037</v>
      </c>
      <c r="BX627" s="14" t="n">
        <f>IF(ISNUMBER(BR627),BR627,"")</f>
        <v>12</v>
      </c>
      <c r="BY627" s="13" t="n">
        <f>IF(AND(COUNT(BV627,BW627,BX627)=3,MIN(BV627,BW627,BX627)&gt;=0),BV627*BW627*BX627,"")</f>
        <v>35.4031432723959</v>
      </c>
      <c r="BZ627" s="11" t="n">
        <f>IF(ISNUMBER(BO627),BO627,"")</f>
        <v>1.5065205700457112</v>
      </c>
      <c r="CA627" s="14" t="n">
        <f>IF(ISNUMBER(BS627),BS627,"")</f>
        <v>30</v>
      </c>
      <c r="CB627" s="13" t="n">
        <f>IF(AND(COUNT(BV627,BZ627,CA627)=3,MIN(BV627,BZ627,CA627)&gt;=0),BV627*BZ627*CA627,"")</f>
        <v>79.6152444525973</v>
      </c>
      <c r="CC627" s="11" t="n">
        <f>IF(ISNUMBER(BP627),BP627,"")</f>
        <v>1.1492423388181006</v>
      </c>
      <c r="CD627" s="14" t="n">
        <f>IF(ISNUMBER(BT627),BT627,"")</f>
        <v>31</v>
      </c>
      <c r="CE627" s="13" t="n">
        <f>IF(AND(COUNT(BV627,CC627,CD627)=3,MIN(BV627,CC627,CD627)&gt;=0),BV627*CC627*CD627,"")</f>
        <v>62.75859660432752</v>
      </c>
      <c r="CF627" s="11" t="n">
        <f>IF(ISNUMBER(BQ627),BQ627,"")</f>
        <v>0.6426892418183868</v>
      </c>
      <c r="CG627" s="14" t="n">
        <f>IF(ISNUMBER(BU627),BU627,"")</f>
        <v>17</v>
      </c>
      <c r="CH627" s="13" t="n">
        <f>IF(AND(COUNT(BV627,CF627,CG627)=3,MIN(BV627,CF627,CG627)&gt;=0),BV627*CF627*CG627,"")</f>
        <v>19.24641578970357</v>
      </c>
      <c r="CI627" s="13" t="n">
        <f>IF(COUNT(BY627,CB627,CE627,CH627)=4,SUM(BY627,CB627,CE627,CH627),"")</f>
        <v>197.0234001190243</v>
      </c>
    </row>
    <row r="628" ht="72" customHeight="1">
      <c r="A628" s="16" t="str">
        <v>230918-ND-S-Z-6</v>
      </c>
      <c r="B628" s="16" t="str">
        <v>1店-MUSSHOE-US</v>
      </c>
      <c r="C628" s="16" t="str">
        <v>艾年</v>
      </c>
      <c r="D628" s="26" t="n">
        <f>IF(NOT(ISNUMBER(E628)),"",IF(OR(E628&lt;=0,L628=0),0,IF(OR(NOT(ISNUMBER(F628)),F628&lt;0),"",MIN(E628,INT(F628)))))</f>
        <v>0</v>
      </c>
      <c r="E628" s="27" t="n">
        <f>IF(OR(NOT(ISNUMBER(L628)),COUNT(M628:O628)&lt;&gt;3,MIN(M628:O628)&lt;0),"",ROUNDUP(ROUND(BI628-SUM(M628:O628),10),0))</f>
        <v>-27</v>
      </c>
      <c r="F628" s="28" t="n">
        <v>188</v>
      </c>
      <c r="G628" s="28" t="n">
        <f>IF(AND(ISNUMBER(D628),ISNUMBER(E628)),IF(OR(E628&lt;=0,L628=0),0,E628-D628),"")</f>
        <v>0</v>
      </c>
      <c r="H628" s="16" t="str">
        <f>IF(NOT(ISNUMBER(E628)),"销量或海外库存待补",IF(OR(E628&lt;=0,L628=0),IF(L628=0,"零日销，本批不发","本批无需补货"),IF(NOT(ISNUMBER(D628)),"国内库存待补",IF(D628=0,"国内无可用库存",IF(G628&gt;0,"先发国内现货","按建议量发货")))))</f>
        <v>本批无需补货</v>
      </c>
      <c r="I628" s="28" t="n">
        <f>IF(AND(COUNT(Z628,AA628,AB628)=3,Z628&gt;=AA628,AA628&gt;=0,AB628=7),Z628-AA628,"")</f>
        <v>39</v>
      </c>
      <c r="J628" s="28" t="n">
        <f>IF(AND(COUNT(AF628,AG628,AH628)=3,AF628&gt;=AG628,AG628&gt;=0,AH628=14),AF628-AG628,"")</f>
        <v>54</v>
      </c>
      <c r="K628" s="28" t="n">
        <f>IF(AND(COUNT(AL628,AM628,AN628)=3,AL628&gt;=AM628,AM628&gt;=0,AN628=30),AL628-AM628,"")</f>
        <v>113</v>
      </c>
      <c r="L628" s="29" t="n">
        <f>IF(ISNUMBER(BI628),BI628/90,"")</f>
        <v>2.8167594172067627</v>
      </c>
      <c r="M628" s="28" t="n">
        <v>139</v>
      </c>
      <c r="N628" s="28" t="n">
        <v>0</v>
      </c>
      <c r="O628" s="28" t="n">
        <v>141</v>
      </c>
      <c r="P628" s="30" t="n">
        <f>IF(AND(ISNUMBER(L628),L628&gt;0,COUNT(M628:O628)=3,MIN(M628:O628)&gt;=0),SUM(M628:O628)/L628,"")</f>
        <v>99.40501069759866</v>
      </c>
      <c r="Q628" s="16" t="str">
        <v>沿用原计划SKU店铺</v>
      </c>
      <c r="R628" s="16" t="str">
        <v>已匹配</v>
      </c>
      <c r="S628" s="16" t="str">
        <v>在售</v>
      </c>
      <c r="T628" s="16" t="str">
        <v>230918</v>
      </c>
      <c r="U628" s="16" t="str">
        <v>裸色</v>
      </c>
      <c r="V628" s="16" t="n">
        <v>6</v>
      </c>
      <c r="W628" s="8" t="str">
        <v>2026-10-11 至 2026-10-17</v>
      </c>
      <c r="X628" s="8" t="str">
        <v>2026-10-11、2026-10-12、2026-10-13、2026-10-14、2026-10-15、2026-10-16、2026-10-17</v>
      </c>
      <c r="Y628" s="8" t="str">
        <v>无</v>
      </c>
      <c r="Z628" s="8" t="n">
        <v>39</v>
      </c>
      <c r="AA628" s="8" t="n">
        <v>0</v>
      </c>
      <c r="AB628" s="8" t="n">
        <v>7</v>
      </c>
      <c r="AC628" s="8" t="str">
        <v>2026-10-02 至 2026-10-17</v>
      </c>
      <c r="AD628" s="8" t="str">
        <v>2026-10-02、2026-10-03、2026-10-04、2026-10-05、2026-10-08、2026-10-09、2026-10-10、2026-10-11、2026-10-12、2026-10-13、2026-10-14、2026-10-15、2026-10-16、2026-10-17</v>
      </c>
      <c r="AE628" s="8" t="str">
        <v>2026-10-06 大促；2026-10-07 大促</v>
      </c>
      <c r="AF628" s="8" t="n">
        <v>88</v>
      </c>
      <c r="AG628" s="8" t="n">
        <v>34</v>
      </c>
      <c r="AH628" s="8" t="n">
        <v>14</v>
      </c>
      <c r="AI628" s="8" t="str">
        <v>2026-09-16 至 2026-10-17</v>
      </c>
      <c r="AJ6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8" s="8" t="str">
        <v>2026-10-06 大促；2026-10-07 大促</v>
      </c>
      <c r="AL628" s="8" t="n">
        <v>147</v>
      </c>
      <c r="AM628" s="8" t="n">
        <v>34</v>
      </c>
      <c r="AN628" s="8" t="n">
        <v>30</v>
      </c>
      <c r="AO628" s="8" t="str">
        <v>230918 / 裸色 / 13120</v>
      </c>
      <c r="AP628" s="11" t="n">
        <v>1.6747911769553039</v>
      </c>
      <c r="AQ628" s="11" t="n">
        <v>1.6747911769553039</v>
      </c>
      <c r="AR628" s="11" t="n">
        <v>1.7386907395039133</v>
      </c>
      <c r="AS628" s="11" t="n">
        <f>IF(AND(COUNT(I628:K628,AP628:AR628)=6,MIN(AP628:AR628)&gt;0),I628/7/AP628*0.5+J628/14/AQ628*0.3+K628/30/AR628*0.2,"")</f>
        <v>2.787514276507862</v>
      </c>
      <c r="AT628" s="8" t="n">
        <v>310</v>
      </c>
      <c r="AU628" s="8" t="n">
        <v>34</v>
      </c>
      <c r="AV628" s="8" t="n">
        <v>88</v>
      </c>
      <c r="AW628" s="11" t="n">
        <f>IF(AND(COUNT(AT628:AV628)=3,AT628&gt;=AU628,AU628&gt;=0,AV628&gt;0),(AT628-AU628)/AV628,"")</f>
        <v>3.1363636363636362</v>
      </c>
      <c r="AX628" s="8" t="n">
        <v>562</v>
      </c>
      <c r="AY628" s="8" t="n">
        <v>34</v>
      </c>
      <c r="AZ628" s="8" t="n">
        <v>178</v>
      </c>
      <c r="BA628" s="11" t="n">
        <f>IF(AND(COUNT(AX628:AZ628)=3,AX628&gt;=AY628,AY628&gt;=0,AZ628&gt;0),(AX628-AY628)/AZ628,"")</f>
        <v>2.966292134831461</v>
      </c>
      <c r="BB628" s="8" t="n">
        <f>IF(COUNT(AS628,AW628,BA628)=3,1,0)</f>
        <v>1</v>
      </c>
      <c r="BC628" s="11" t="n">
        <f>IF(SUMIF($AO$11:$AO$1309,AO628,$BB$11:$BB$1309)=COUNTIF($AO$11:$AO$1309,AO628),SUMIF($AO$11:$AO$1309,AO628,$AS$11:$AS$1309),"")</f>
        <v>33.13758128862247</v>
      </c>
      <c r="BD628" s="11" t="n">
        <f>IF(SUMIF($AO$11:$AO$1309,AO628,$BB$11:$BB$1309)=COUNTIF($AO$11:$AO$1309,AO628),SUMIF($AO$11:$AO$1309,AO628,$AW$11:$AW$1309),"")</f>
        <v>46.07954545454545</v>
      </c>
      <c r="BE628" s="11" t="n">
        <f>IF(SUMIF($AO$11:$AO$1309,AO628,$BB$11:$BB$1309)=COUNTIF($AO$11:$AO$1309,AO628),SUMIF($AO$11:$AO$1309,AO628,$BA$11:$BA$1309),"")</f>
        <v>42.87640449438202</v>
      </c>
      <c r="BF628" s="12" t="n">
        <f>IF(COUNT(BD628:BE628)&lt;&gt;2,"",IF(AND(BD628&gt;0,BE628&gt;0),0.7*AW628/BD628+0.3*BA628/BE628,IF(BD628&gt;0,AW628/BD628,IF(BE628&gt;0,BA628/BE628,IF(AND(ISNUMBER(BH628),BH628=0),0,"")))))</f>
        <v>0.06839959984179791</v>
      </c>
      <c r="BG628" s="11" t="n">
        <f>IF(AND(COUNT(BN628:BU628)=8,MIN(BN628:BU628)&gt;=0),SUMPRODUCT(BN628:BQ628,BR628:BU628),"")</f>
        <v>111.84534083910866</v>
      </c>
      <c r="BH628" s="11" t="n">
        <f>IF(COUNT(BC628,BG628)=2,BC628*BG628,"")</f>
        <v>3706.2840738096497</v>
      </c>
      <c r="BI628" s="11" t="n">
        <f>IF(ISNUMBER(CI628),CI628,"")</f>
        <v>253.50834754860864</v>
      </c>
      <c r="BJ628" s="8" t="str"/>
      <c r="BK628" s="8" t="str">
        <v>90天：2026-07-20 至 2026-10-17；180天：2026-04-21 至 2026-10-17</v>
      </c>
      <c r="BL628" s="8" t="str">
        <v>90天：2026-10-06、2026-10-07；180天：2026-10-06、2026-10-07</v>
      </c>
      <c r="BM628" s="8" t="str">
        <v>2026-10：12天 × 1.6747911769553037；2026-11：30天 × 1.5065205700457112；2026-12：31天 × 1.1492423388181006；2027-01：17天 × 0.6426892418183868</v>
      </c>
      <c r="BN628" s="11" t="n">
        <v>1.6747911769553037</v>
      </c>
      <c r="BO628" s="11" t="n">
        <v>1.5065205700457112</v>
      </c>
      <c r="BP628" s="11" t="n">
        <v>1.1492423388181006</v>
      </c>
      <c r="BQ628" s="11" t="n">
        <v>0.6426892418183868</v>
      </c>
      <c r="BR628" s="8" t="n">
        <v>12</v>
      </c>
      <c r="BS628" s="8" t="n">
        <v>30</v>
      </c>
      <c r="BT628" s="8" t="n">
        <v>31</v>
      </c>
      <c r="BU628" s="8" t="n">
        <v>17</v>
      </c>
      <c r="BV628" s="11" t="n">
        <f>IF(COUNT(BC628,BF628)=2,BC628*BF628,"")</f>
        <v>2.266597299866827</v>
      </c>
      <c r="BW628" s="11" t="n">
        <f>IF(ISNUMBER(BN628),BN628,"")</f>
        <v>1.6747911769553037</v>
      </c>
      <c r="BX628" s="14" t="n">
        <f>IF(ISNUMBER(BR628),BR628,"")</f>
        <v>12</v>
      </c>
      <c r="BY628" s="13" t="n">
        <f>IF(AND(COUNT(BV628,BW628,BX628)=3,MIN(BV628,BW628,BX628)&gt;=0),BV628*BW628*BX628,"")</f>
        <v>45.552925914332114</v>
      </c>
      <c r="BZ628" s="11" t="n">
        <f>IF(ISNUMBER(BO628),BO628,"")</f>
        <v>1.5065205700457112</v>
      </c>
      <c r="CA628" s="14" t="n">
        <f>IF(ISNUMBER(BS628),BS628,"")</f>
        <v>30</v>
      </c>
      <c r="CB628" s="13" t="n">
        <f>IF(AND(COUNT(BV628,BZ628,CA628)=3,MIN(BV628,BZ628,CA628)&gt;=0),BV628*BZ628*CA628,"")</f>
        <v>102.44026368778324</v>
      </c>
      <c r="CC628" s="11" t="n">
        <f>IF(ISNUMBER(BP628),BP628,"")</f>
        <v>1.1492423388181006</v>
      </c>
      <c r="CD628" s="14" t="n">
        <f>IF(ISNUMBER(BT628),BT628,"")</f>
        <v>31</v>
      </c>
      <c r="CE628" s="13" t="n">
        <f>IF(AND(COUNT(BV628,CC628,CD628)=3,MIN(BV628,CC628,CD628)&gt;=0),BV628*CC628*CD628,"")</f>
        <v>80.75095704379005</v>
      </c>
      <c r="CF628" s="11" t="n">
        <f>IF(ISNUMBER(BQ628),BQ628,"")</f>
        <v>0.6426892418183868</v>
      </c>
      <c r="CG628" s="14" t="n">
        <f>IF(ISNUMBER(BU628),BU628,"")</f>
        <v>17</v>
      </c>
      <c r="CH628" s="13" t="n">
        <f>IF(AND(COUNT(BV628,CF628,CG628)=3,MIN(BV628,CF628,CG628)&gt;=0),BV628*CF628*CG628,"")</f>
        <v>24.764200902703234</v>
      </c>
      <c r="CI628" s="13" t="n">
        <f>IF(COUNT(BY628,CB628,CE628,CH628)=4,SUM(BY628,CB628,CE628,CH628),"")</f>
        <v>253.50834754860864</v>
      </c>
    </row>
    <row r="629" ht="72" customHeight="1">
      <c r="A629" s="16" t="str">
        <v>230918-ND-S-Z-7</v>
      </c>
      <c r="B629" s="16" t="str">
        <v>1店-MUSSHOE-US</v>
      </c>
      <c r="C629" s="16" t="str">
        <v>艾年</v>
      </c>
      <c r="D629" s="26" t="n">
        <f>IF(NOT(ISNUMBER(E629)),"",IF(OR(E629&lt;=0,L629=0),0,IF(OR(NOT(ISNUMBER(F629)),F629&lt;0),"",MIN(E629,INT(F629)))))</f>
        <v>0</v>
      </c>
      <c r="E629" s="27" t="n">
        <f>IF(OR(NOT(ISNUMBER(L629)),COUNT(M629:O629)&lt;&gt;3,MIN(M629:O629)&lt;0),"",ROUNDUP(ROUND(BI629-SUM(M629:O629),10),0))</f>
        <v>-165</v>
      </c>
      <c r="F629" s="28" t="n">
        <v>0</v>
      </c>
      <c r="G629" s="28" t="n">
        <f>IF(AND(ISNUMBER(D629),ISNUMBER(E629)),IF(OR(E629&lt;=0,L629=0),0,E629-D629),"")</f>
        <v>0</v>
      </c>
      <c r="H629" s="16" t="str">
        <f>IF(NOT(ISNUMBER(E629)),"销量或海外库存待补",IF(OR(E629&lt;=0,L629=0),IF(L629=0,"零日销，本批不发","本批无需补货"),IF(NOT(ISNUMBER(D629)),"国内库存待补",IF(D629=0,"国内无可用库存",IF(G629&gt;0,"先发国内现货","按建议量发货")))))</f>
        <v>本批无需补货</v>
      </c>
      <c r="I629" s="28" t="n">
        <f>IF(AND(COUNT(Z629,AA629,AB629)=3,Z629&gt;=AA629,AA629&gt;=0,AB629=7),Z629-AA629,"")</f>
        <v>84</v>
      </c>
      <c r="J629" s="28" t="n">
        <f>IF(AND(COUNT(AF629,AG629,AH629)=3,AF629&gt;=AG629,AG629&gt;=0,AH629=14),AF629-AG629,"")</f>
        <v>136</v>
      </c>
      <c r="K629" s="28" t="n">
        <f>IF(AND(COUNT(AL629,AM629,AN629)=3,AL629&gt;=AM629,AM629&gt;=0,AN629=30),AL629-AM629,"")</f>
        <v>238</v>
      </c>
      <c r="L629" s="29" t="n">
        <f>IF(ISNUMBER(BI629),BI629/90,"")</f>
        <v>7.236159809158508</v>
      </c>
      <c r="M629" s="28" t="n">
        <v>374</v>
      </c>
      <c r="N629" s="28" t="n">
        <v>0</v>
      </c>
      <c r="O629" s="28" t="n">
        <v>442</v>
      </c>
      <c r="P629" s="30" t="n">
        <f>IF(AND(ISNUMBER(L629),L629&gt;0,COUNT(M629:O629)=3,MIN(M629:O629)&gt;=0),SUM(M629:O629)/L629,"")</f>
        <v>112.7669954120171</v>
      </c>
      <c r="Q629" s="16" t="str">
        <v>沿用原计划SKU店铺</v>
      </c>
      <c r="R629" s="16" t="str">
        <v>已匹配</v>
      </c>
      <c r="S629" s="16" t="str">
        <v>在售</v>
      </c>
      <c r="T629" s="16" t="str">
        <v>230918</v>
      </c>
      <c r="U629" s="16" t="str">
        <v>裸色</v>
      </c>
      <c r="V629" s="16" t="n">
        <v>7</v>
      </c>
      <c r="W629" s="8" t="str">
        <v>2026-10-11 至 2026-10-17</v>
      </c>
      <c r="X629" s="8" t="str">
        <v>2026-10-11、2026-10-12、2026-10-13、2026-10-14、2026-10-15、2026-10-16、2026-10-17</v>
      </c>
      <c r="Y629" s="8" t="str">
        <v>无</v>
      </c>
      <c r="Z629" s="8" t="n">
        <v>84</v>
      </c>
      <c r="AA629" s="8" t="n">
        <v>0</v>
      </c>
      <c r="AB629" s="8" t="n">
        <v>7</v>
      </c>
      <c r="AC629" s="8" t="str">
        <v>2026-10-02 至 2026-10-17</v>
      </c>
      <c r="AD629" s="8" t="str">
        <v>2026-10-02、2026-10-03、2026-10-04、2026-10-05、2026-10-08、2026-10-09、2026-10-10、2026-10-11、2026-10-12、2026-10-13、2026-10-14、2026-10-15、2026-10-16、2026-10-17</v>
      </c>
      <c r="AE629" s="8" t="str">
        <v>2026-10-06 大促；2026-10-07 大促</v>
      </c>
      <c r="AF629" s="8" t="n">
        <v>202</v>
      </c>
      <c r="AG629" s="8" t="n">
        <v>66</v>
      </c>
      <c r="AH629" s="8" t="n">
        <v>14</v>
      </c>
      <c r="AI629" s="8" t="str">
        <v>2026-09-16 至 2026-10-17</v>
      </c>
      <c r="AJ6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29" s="8" t="str">
        <v>2026-10-06 大促；2026-10-07 大促</v>
      </c>
      <c r="AL629" s="8" t="n">
        <v>304</v>
      </c>
      <c r="AM629" s="8" t="n">
        <v>66</v>
      </c>
      <c r="AN629" s="8" t="n">
        <v>30</v>
      </c>
      <c r="AO629" s="8" t="str">
        <v>230918 / 裸色 / 13120</v>
      </c>
      <c r="AP629" s="11" t="n">
        <v>1.6747911769553039</v>
      </c>
      <c r="AQ629" s="11" t="n">
        <v>1.6747911769553039</v>
      </c>
      <c r="AR629" s="11" t="n">
        <v>1.7386907395039133</v>
      </c>
      <c r="AS629" s="11" t="n">
        <f>IF(AND(COUNT(I629:K629,AP629:AR629)=6,MIN(AP629:AR629)&gt;0),I629/7/AP629*0.5+J629/14/AQ629*0.3+K629/30/AR629*0.2,"")</f>
        <v>6.235189246821242</v>
      </c>
      <c r="AT629" s="8" t="n">
        <v>779</v>
      </c>
      <c r="AU629" s="8" t="n">
        <v>66</v>
      </c>
      <c r="AV629" s="8" t="n">
        <v>88</v>
      </c>
      <c r="AW629" s="11" t="n">
        <f>IF(AND(COUNT(AT629:AV629)=3,AT629&gt;=AU629,AU629&gt;=0,AV629&gt;0),(AT629-AU629)/AV629,"")</f>
        <v>8.102272727272727</v>
      </c>
      <c r="AX629" s="8" t="n">
        <v>1405</v>
      </c>
      <c r="AY629" s="8" t="n">
        <v>66</v>
      </c>
      <c r="AZ629" s="8" t="n">
        <v>178</v>
      </c>
      <c r="BA629" s="11" t="n">
        <f>IF(AND(COUNT(AX629:AZ629)=3,AX629&gt;=AY629,AY629&gt;=0,AZ629&gt;0),(AX629-AY629)/AZ629,"")</f>
        <v>7.522471910112359</v>
      </c>
      <c r="BB629" s="8" t="n">
        <f>IF(COUNT(AS629,AW629,BA629)=3,1,0)</f>
        <v>1</v>
      </c>
      <c r="BC629" s="11" t="n">
        <f>IF(SUMIF($AO$11:$AO$1309,AO629,$BB$11:$BB$1309)=COUNTIF($AO$11:$AO$1309,AO629),SUMIF($AO$11:$AO$1309,AO629,$AS$11:$AS$1309),"")</f>
        <v>33.13758128862247</v>
      </c>
      <c r="BD629" s="11" t="n">
        <f>IF(SUMIF($AO$11:$AO$1309,AO629,$BB$11:$BB$1309)=COUNTIF($AO$11:$AO$1309,AO629),SUMIF($AO$11:$AO$1309,AO629,$AW$11:$AW$1309),"")</f>
        <v>46.07954545454545</v>
      </c>
      <c r="BE629" s="11" t="n">
        <f>IF(SUMIF($AO$11:$AO$1309,AO629,$BB$11:$BB$1309)=COUNTIF($AO$11:$AO$1309,AO629),SUMIF($AO$11:$AO$1309,AO629,$BA$11:$BA$1309),"")</f>
        <v>42.87640449438202</v>
      </c>
      <c r="BF629" s="12" t="n">
        <f>IF(COUNT(BD629:BE629)&lt;&gt;2,"",IF(AND(BD629&gt;0,BE629&gt;0),0.7*AW629/BD629+0.3*BA629/BE629,IF(BD629&gt;0,AW629/BD629,IF(BE629&gt;0,BA629/BE629,IF(AND(ISNUMBER(BH629),BH629=0),0,"")))))</f>
        <v>0.1757162618554622</v>
      </c>
      <c r="BG629" s="11" t="n">
        <f>IF(AND(COUNT(BN629:BU629)=8,MIN(BN629:BU629)&gt;=0),SUMPRODUCT(BN629:BQ629,BR629:BU629),"")</f>
        <v>111.84534083910866</v>
      </c>
      <c r="BH629" s="11" t="n">
        <f>IF(COUNT(BC629,BG629)=2,BC629*BG629,"")</f>
        <v>3706.2840738096497</v>
      </c>
      <c r="BI629" s="11" t="n">
        <f>IF(ISNUMBER(CI629),CI629,"")</f>
        <v>651.2543828242657</v>
      </c>
      <c r="BJ629" s="8" t="str"/>
      <c r="BK629" s="8" t="str">
        <v>90天：2026-07-20 至 2026-10-17；180天：2026-04-21 至 2026-10-17</v>
      </c>
      <c r="BL629" s="8" t="str">
        <v>90天：2026-10-06、2026-10-07；180天：2026-10-06、2026-10-07</v>
      </c>
      <c r="BM629" s="8" t="str">
        <v>2026-10：12天 × 1.6747911769553037；2026-11：30天 × 1.5065205700457112；2026-12：31天 × 1.1492423388181006；2027-01：17天 × 0.6426892418183868</v>
      </c>
      <c r="BN629" s="11" t="n">
        <v>1.6747911769553037</v>
      </c>
      <c r="BO629" s="11" t="n">
        <v>1.5065205700457112</v>
      </c>
      <c r="BP629" s="11" t="n">
        <v>1.1492423388181006</v>
      </c>
      <c r="BQ629" s="11" t="n">
        <v>0.6426892418183868</v>
      </c>
      <c r="BR629" s="8" t="n">
        <v>12</v>
      </c>
      <c r="BS629" s="8" t="n">
        <v>30</v>
      </c>
      <c r="BT629" s="8" t="n">
        <v>31</v>
      </c>
      <c r="BU629" s="8" t="n">
        <v>17</v>
      </c>
      <c r="BV629" s="11" t="n">
        <f>IF(COUNT(BC629,BF629)=2,BC629*BF629,"")</f>
        <v>5.822811910968251</v>
      </c>
      <c r="BW629" s="11" t="n">
        <f>IF(ISNUMBER(BN629),BN629,"")</f>
        <v>1.6747911769553037</v>
      </c>
      <c r="BX629" s="14" t="n">
        <f>IF(ISNUMBER(BR629),BR629,"")</f>
        <v>12</v>
      </c>
      <c r="BY629" s="13" t="n">
        <f>IF(AND(COUNT(BV629,BW629,BX629)=3,MIN(BV629,BW629,BX629)&gt;=0),BV629*BW629*BX629,"")</f>
        <v>117.02392816271853</v>
      </c>
      <c r="BZ629" s="11" t="n">
        <f>IF(ISNUMBER(BO629),BO629,"")</f>
        <v>1.5065205700457112</v>
      </c>
      <c r="CA629" s="14" t="n">
        <f>IF(ISNUMBER(BS629),BS629,"")</f>
        <v>30</v>
      </c>
      <c r="CB629" s="13" t="n">
        <f>IF(AND(COUNT(BV629,BZ629,CA629)=3,MIN(BV629,BZ629,CA629)&gt;=0),BV629*BZ629*CA629,"")</f>
        <v>263.1655775814254</v>
      </c>
      <c r="CC629" s="11" t="n">
        <f>IF(ISNUMBER(BP629),BP629,"")</f>
        <v>1.1492423388181006</v>
      </c>
      <c r="CD629" s="14" t="n">
        <f>IF(ISNUMBER(BT629),BT629,"")</f>
        <v>31</v>
      </c>
      <c r="CE629" s="13" t="n">
        <f>IF(AND(COUNT(BV629,CC629,CD629)=3,MIN(BV629,CC629,CD629)&gt;=0),BV629*CC629*CD629,"")</f>
        <v>207.44648135083042</v>
      </c>
      <c r="CF629" s="11" t="n">
        <f>IF(ISNUMBER(BQ629),BQ629,"")</f>
        <v>0.6426892418183868</v>
      </c>
      <c r="CG629" s="14" t="n">
        <f>IF(ISNUMBER(BU629),BU629,"")</f>
        <v>17</v>
      </c>
      <c r="CH629" s="13" t="n">
        <f>IF(AND(COUNT(BV629,CF629,CG629)=3,MIN(BV629,CF629,CG629)&gt;=0),BV629*CF629*CG629,"")</f>
        <v>63.61839572929137</v>
      </c>
      <c r="CI629" s="13" t="n">
        <f>IF(COUNT(BY629,CB629,CE629,CH629)=4,SUM(BY629,CB629,CE629,CH629),"")</f>
        <v>651.2543828242657</v>
      </c>
    </row>
    <row r="630" ht="72" customHeight="1">
      <c r="A630" s="16" t="str">
        <v>230918-ND-S-Z-8</v>
      </c>
      <c r="B630" s="16" t="str">
        <v>1店-MUSSHOE-US</v>
      </c>
      <c r="C630" s="16" t="str">
        <v>艾年</v>
      </c>
      <c r="D630" s="26" t="n">
        <f>IF(NOT(ISNUMBER(E630)),"",IF(OR(E630&lt;=0,L630=0),0,IF(OR(NOT(ISNUMBER(F630)),F630&lt;0),"",MIN(E630,INT(F630)))))</f>
        <v>0</v>
      </c>
      <c r="E630" s="27" t="n">
        <f>IF(OR(NOT(ISNUMBER(L630)),COUNT(M630:O630)&lt;&gt;3,MIN(M630:O630)&lt;0),"",ROUNDUP(ROUND(BI630-SUM(M630:O630),10),0))</f>
        <v>-453</v>
      </c>
      <c r="F630" s="28" t="n">
        <v>86</v>
      </c>
      <c r="G630" s="28" t="n">
        <f>IF(AND(ISNUMBER(D630),ISNUMBER(E630)),IF(OR(E630&lt;=0,L630=0),0,E630-D630),"")</f>
        <v>0</v>
      </c>
      <c r="H630" s="16" t="str">
        <f>IF(NOT(ISNUMBER(E630)),"销量或海外库存待补",IF(OR(E630&lt;=0,L630=0),IF(L630=0,"零日销，本批不发","本批无需补货"),IF(NOT(ISNUMBER(D630)),"国内库存待补",IF(D630=0,"国内无可用库存",IF(G630&gt;0,"先发国内现货","按建议量发货")))))</f>
        <v>本批无需补货</v>
      </c>
      <c r="I630" s="28" t="n">
        <f>IF(AND(COUNT(Z630,AA630,AB630)=3,Z630&gt;=AA630,AA630&gt;=0,AB630=7),Z630-AA630,"")</f>
        <v>135</v>
      </c>
      <c r="J630" s="28" t="n">
        <f>IF(AND(COUNT(AF630,AG630,AH630)=3,AF630&gt;=AG630,AG630&gt;=0,AH630=14),AF630-AG630,"")</f>
        <v>198</v>
      </c>
      <c r="K630" s="28" t="n">
        <f>IF(AND(COUNT(AL630,AM630,AN630)=3,AL630&gt;=AM630,AM630&gt;=0,AN630=30),AL630-AM630,"")</f>
        <v>408</v>
      </c>
      <c r="L630" s="29" t="n">
        <f>IF(ISNUMBER(BI630),BI630/90,"")</f>
        <v>11.908662436669504</v>
      </c>
      <c r="M630" s="28" t="n">
        <v>504</v>
      </c>
      <c r="N630" s="28" t="n">
        <v>0</v>
      </c>
      <c r="O630" s="28" t="n">
        <v>1020</v>
      </c>
      <c r="P630" s="30" t="n">
        <f>IF(AND(ISNUMBER(L630),L630&gt;0,COUNT(M630:O630)=3,MIN(M630:O630)&gt;=0),SUM(M630:O630)/L630,"")</f>
        <v>127.97406997676367</v>
      </c>
      <c r="Q630" s="16" t="str">
        <v>沿用原计划SKU店铺</v>
      </c>
      <c r="R630" s="16" t="str">
        <v>已匹配</v>
      </c>
      <c r="S630" s="16" t="str">
        <v>在售</v>
      </c>
      <c r="T630" s="16" t="str">
        <v>230918</v>
      </c>
      <c r="U630" s="16" t="str">
        <v>裸色</v>
      </c>
      <c r="V630" s="16" t="n">
        <v>8</v>
      </c>
      <c r="W630" s="8" t="str">
        <v>2026-10-11 至 2026-10-17</v>
      </c>
      <c r="X630" s="8" t="str">
        <v>2026-10-11、2026-10-12、2026-10-13、2026-10-14、2026-10-15、2026-10-16、2026-10-17</v>
      </c>
      <c r="Y630" s="8" t="str">
        <v>无</v>
      </c>
      <c r="Z630" s="8" t="n">
        <v>135</v>
      </c>
      <c r="AA630" s="8" t="n">
        <v>0</v>
      </c>
      <c r="AB630" s="8" t="n">
        <v>7</v>
      </c>
      <c r="AC630" s="8" t="str">
        <v>2026-10-02 至 2026-10-17</v>
      </c>
      <c r="AD630" s="8" t="str">
        <v>2026-10-02、2026-10-03、2026-10-04、2026-10-05、2026-10-08、2026-10-09、2026-10-10、2026-10-11、2026-10-12、2026-10-13、2026-10-14、2026-10-15、2026-10-16、2026-10-17</v>
      </c>
      <c r="AE630" s="8" t="str">
        <v>2026-10-06 大促；2026-10-07 大促</v>
      </c>
      <c r="AF630" s="8" t="n">
        <v>307</v>
      </c>
      <c r="AG630" s="8" t="n">
        <v>109</v>
      </c>
      <c r="AH630" s="8" t="n">
        <v>14</v>
      </c>
      <c r="AI630" s="8" t="str">
        <v>2026-09-16 至 2026-10-17</v>
      </c>
      <c r="AJ6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0" s="8" t="str">
        <v>2026-10-06 大促；2026-10-07 大促</v>
      </c>
      <c r="AL630" s="8" t="n">
        <v>517</v>
      </c>
      <c r="AM630" s="8" t="n">
        <v>109</v>
      </c>
      <c r="AN630" s="8" t="n">
        <v>30</v>
      </c>
      <c r="AO630" s="8" t="str">
        <v>230918 / 裸色 / 13120</v>
      </c>
      <c r="AP630" s="11" t="n">
        <v>1.6747911769553039</v>
      </c>
      <c r="AQ630" s="11" t="n">
        <v>1.6747911769553039</v>
      </c>
      <c r="AR630" s="11" t="n">
        <v>1.7386907395039133</v>
      </c>
      <c r="AS630" s="11" t="n">
        <f>IF(AND(COUNT(I630:K630,AP630:AR630)=6,MIN(AP630:AR630)&gt;0),I630/7/AP630*0.5+J630/14/AQ630*0.3+K630/30/AR630*0.2,"")</f>
        <v>9.855407840439131</v>
      </c>
      <c r="AT630" s="8" t="n">
        <v>1288</v>
      </c>
      <c r="AU630" s="8" t="n">
        <v>109</v>
      </c>
      <c r="AV630" s="8" t="n">
        <v>88</v>
      </c>
      <c r="AW630" s="11" t="n">
        <f>IF(AND(COUNT(AT630:AV630)=3,AT630&gt;=AU630,AU630&gt;=0,AV630&gt;0),(AT630-AU630)/AV630,"")</f>
        <v>13.397727272727273</v>
      </c>
      <c r="AX630" s="8" t="n">
        <v>2288</v>
      </c>
      <c r="AY630" s="8" t="n">
        <v>109</v>
      </c>
      <c r="AZ630" s="8" t="n">
        <v>178</v>
      </c>
      <c r="BA630" s="11" t="n">
        <f>IF(AND(COUNT(AX630:AZ630)=3,AX630&gt;=AY630,AY630&gt;=0,AZ630&gt;0),(AX630-AY630)/AZ630,"")</f>
        <v>12.241573033707866</v>
      </c>
      <c r="BB630" s="8" t="n">
        <f>IF(COUNT(AS630,AW630,BA630)=3,1,0)</f>
        <v>1</v>
      </c>
      <c r="BC630" s="11" t="n">
        <f>IF(SUMIF($AO$11:$AO$1309,AO630,$BB$11:$BB$1309)=COUNTIF($AO$11:$AO$1309,AO630),SUMIF($AO$11:$AO$1309,AO630,$AS$11:$AS$1309),"")</f>
        <v>33.13758128862247</v>
      </c>
      <c r="BD630" s="11" t="n">
        <f>IF(SUMIF($AO$11:$AO$1309,AO630,$BB$11:$BB$1309)=COUNTIF($AO$11:$AO$1309,AO630),SUMIF($AO$11:$AO$1309,AO630,$AW$11:$AW$1309),"")</f>
        <v>46.07954545454545</v>
      </c>
      <c r="BE630" s="11" t="n">
        <f>IF(SUMIF($AO$11:$AO$1309,AO630,$BB$11:$BB$1309)=COUNTIF($AO$11:$AO$1309,AO630),SUMIF($AO$11:$AO$1309,AO630,$BA$11:$BA$1309),"")</f>
        <v>42.87640449438202</v>
      </c>
      <c r="BF630" s="12" t="n">
        <f>IF(COUNT(BD630:BE630)&lt;&gt;2,"",IF(AND(BD630&gt;0,BE630&gt;0),0.7*AW630/BD630+0.3*BA630/BE630,IF(BD630&gt;0,AW630/BD630,IF(BE630&gt;0,BA630/BE630,IF(AND(ISNUMBER(BH630),BH630=0),0,"")))))</f>
        <v>0.28917902620415825</v>
      </c>
      <c r="BG630" s="11" t="n">
        <f>IF(AND(COUNT(BN630:BU630)=8,MIN(BN630:BU630)&gt;=0),SUMPRODUCT(BN630:BQ630,BR630:BU630),"")</f>
        <v>111.84534083910866</v>
      </c>
      <c r="BH630" s="11" t="n">
        <f>IF(COUNT(BC630,BG630)=2,BC630*BG630,"")</f>
        <v>3706.2840738096497</v>
      </c>
      <c r="BI630" s="11" t="n">
        <f>IF(ISNUMBER(CI630),CI630,"")</f>
        <v>1071.7796193002553</v>
      </c>
      <c r="BJ630" s="8" t="str"/>
      <c r="BK630" s="8" t="str">
        <v>90天：2026-07-20 至 2026-10-17；180天：2026-04-21 至 2026-10-17</v>
      </c>
      <c r="BL630" s="8" t="str">
        <v>90天：2026-10-06、2026-10-07；180天：2026-10-06、2026-10-07</v>
      </c>
      <c r="BM630" s="8" t="str">
        <v>2026-10：12天 × 1.6747911769553037；2026-11：30天 × 1.5065205700457112；2026-12：31天 × 1.1492423388181006；2027-01：17天 × 0.6426892418183868</v>
      </c>
      <c r="BN630" s="11" t="n">
        <v>1.6747911769553037</v>
      </c>
      <c r="BO630" s="11" t="n">
        <v>1.5065205700457112</v>
      </c>
      <c r="BP630" s="11" t="n">
        <v>1.1492423388181006</v>
      </c>
      <c r="BQ630" s="11" t="n">
        <v>0.6426892418183868</v>
      </c>
      <c r="BR630" s="8" t="n">
        <v>12</v>
      </c>
      <c r="BS630" s="8" t="n">
        <v>30</v>
      </c>
      <c r="BT630" s="8" t="n">
        <v>31</v>
      </c>
      <c r="BU630" s="8" t="n">
        <v>17</v>
      </c>
      <c r="BV630" s="11" t="n">
        <f>IF(COUNT(BC630,BF630)=2,BC630*BF630,"")</f>
        <v>9.582693487804981</v>
      </c>
      <c r="BW630" s="11" t="n">
        <f>IF(ISNUMBER(BN630),BN630,"")</f>
        <v>1.6747911769553037</v>
      </c>
      <c r="BX630" s="14" t="n">
        <f>IF(ISNUMBER(BR630),BR630,"")</f>
        <v>12</v>
      </c>
      <c r="BY630" s="13" t="n">
        <f>IF(AND(COUNT(BV630,BW630,BX630)=3,MIN(BV630,BW630,BX630)&gt;=0),BV630*BW630*BX630,"")</f>
        <v>192.58812605811397</v>
      </c>
      <c r="BZ630" s="11" t="n">
        <f>IF(ISNUMBER(BO630),BO630,"")</f>
        <v>1.5065205700457112</v>
      </c>
      <c r="CA630" s="14" t="n">
        <f>IF(ISNUMBER(BS630),BS630,"")</f>
        <v>30</v>
      </c>
      <c r="CB630" s="13" t="n">
        <f>IF(AND(COUNT(BV630,BZ630,CA630)=3,MIN(BV630,BZ630,CA630)&gt;=0),BV630*BZ630*CA630,"")</f>
        <v>433.0957456746385</v>
      </c>
      <c r="CC630" s="11" t="n">
        <f>IF(ISNUMBER(BP630),BP630,"")</f>
        <v>1.1492423388181006</v>
      </c>
      <c r="CD630" s="14" t="n">
        <f>IF(ISNUMBER(BT630),BT630,"")</f>
        <v>31</v>
      </c>
      <c r="CE630" s="13" t="n">
        <f>IF(AND(COUNT(BV630,CC630,CD630)=3,MIN(BV630,CC630,CD630)&gt;=0),BV630*CC630*CD630,"")</f>
        <v>341.3979493591613</v>
      </c>
      <c r="CF630" s="11" t="n">
        <f>IF(ISNUMBER(BQ630),BQ630,"")</f>
        <v>0.6426892418183868</v>
      </c>
      <c r="CG630" s="14" t="n">
        <f>IF(ISNUMBER(BU630),BU630,"")</f>
        <v>17</v>
      </c>
      <c r="CH630" s="13" t="n">
        <f>IF(AND(COUNT(BV630,CF630,CG630)=3,MIN(BV630,CF630,CG630)&gt;=0),BV630*CF630*CG630,"")</f>
        <v>104.6977982083414</v>
      </c>
      <c r="CI630" s="13" t="n">
        <f>IF(COUNT(BY630,CB630,CE630,CH630)=4,SUM(BY630,CB630,CE630,CH630),"")</f>
        <v>1071.7796193002553</v>
      </c>
    </row>
    <row r="631" ht="72" customHeight="1">
      <c r="A631" s="16" t="str">
        <v>230918-ND-S-Z-9</v>
      </c>
      <c r="B631" s="16" t="str">
        <v>1店-MUSSHOE-US</v>
      </c>
      <c r="C631" s="16" t="str">
        <v>艾年</v>
      </c>
      <c r="D631" s="26" t="n">
        <f>IF(NOT(ISNUMBER(E631)),"",IF(OR(E631&lt;=0,L631=0),0,IF(OR(NOT(ISNUMBER(F631)),F631&lt;0),"",MIN(E631,INT(F631)))))</f>
        <v>0</v>
      </c>
      <c r="E631" s="27" t="n">
        <f>IF(OR(NOT(ISNUMBER(L631)),COUNT(M631:O631)&lt;&gt;3,MIN(M631:O631)&lt;0),"",ROUNDUP(ROUND(BI631-SUM(M631:O631),10),0))</f>
        <v>-339</v>
      </c>
      <c r="F631" s="28" t="n">
        <v>230</v>
      </c>
      <c r="G631" s="28" t="n">
        <f>IF(AND(ISNUMBER(D631),ISNUMBER(E631)),IF(OR(E631&lt;=0,L631=0),0,E631-D631),"")</f>
        <v>0</v>
      </c>
      <c r="H631" s="16" t="str">
        <f>IF(NOT(ISNUMBER(E631)),"销量或海外库存待补",IF(OR(E631&lt;=0,L631=0),IF(L631=0,"零日销，本批不发","本批无需补货"),IF(NOT(ISNUMBER(D631)),"国内库存待补",IF(D631=0,"国内无可用库存",IF(G631&gt;0,"先发国内现货","按建议量发货")))))</f>
        <v>本批无需补货</v>
      </c>
      <c r="I631" s="28" t="n">
        <f>IF(AND(COUNT(Z631,AA631,AB631)=3,Z631&gt;=AA631,AA631&gt;=0,AB631=7),Z631-AA631,"")</f>
        <v>109</v>
      </c>
      <c r="J631" s="28" t="n">
        <f>IF(AND(COUNT(AF631,AG631,AH631)=3,AF631&gt;=AG631,AG631&gt;=0,AH631=14),AF631-AG631,"")</f>
        <v>177</v>
      </c>
      <c r="K631" s="28" t="n">
        <f>IF(AND(COUNT(AL631,AM631,AN631)=3,AL631&gt;=AM631,AM631&gt;=0,AN631=30),AL631-AM631,"")</f>
        <v>345</v>
      </c>
      <c r="L631" s="29" t="n">
        <f>IF(ISNUMBER(BI631),BI631/90,"")</f>
        <v>12.290698402567358</v>
      </c>
      <c r="M631" s="28" t="n">
        <v>898</v>
      </c>
      <c r="N631" s="28" t="n">
        <v>0</v>
      </c>
      <c r="O631" s="28" t="n">
        <v>547</v>
      </c>
      <c r="P631" s="30" t="n">
        <f>IF(AND(ISNUMBER(L631),L631&gt;0,COUNT(M631:O631)=3,MIN(M631:O631)&gt;=0),SUM(M631:O631)/L631,"")</f>
        <v>117.56858338482697</v>
      </c>
      <c r="Q631" s="16" t="str">
        <v>沿用原计划SKU店铺</v>
      </c>
      <c r="R631" s="16" t="str">
        <v>已匹配</v>
      </c>
      <c r="S631" s="16" t="str">
        <v>在售</v>
      </c>
      <c r="T631" s="16" t="str">
        <v>230918</v>
      </c>
      <c r="U631" s="16" t="str">
        <v>裸色</v>
      </c>
      <c r="V631" s="16" t="n">
        <v>9</v>
      </c>
      <c r="W631" s="8" t="str">
        <v>2026-10-11 至 2026-10-17</v>
      </c>
      <c r="X631" s="8" t="str">
        <v>2026-10-11、2026-10-12、2026-10-13、2026-10-14、2026-10-15、2026-10-16、2026-10-17</v>
      </c>
      <c r="Y631" s="8" t="str">
        <v>无</v>
      </c>
      <c r="Z631" s="8" t="n">
        <v>109</v>
      </c>
      <c r="AA631" s="8" t="n">
        <v>0</v>
      </c>
      <c r="AB631" s="8" t="n">
        <v>7</v>
      </c>
      <c r="AC631" s="8" t="str">
        <v>2026-10-02 至 2026-10-17</v>
      </c>
      <c r="AD631" s="8" t="str">
        <v>2026-10-02、2026-10-03、2026-10-04、2026-10-05、2026-10-08、2026-10-09、2026-10-10、2026-10-11、2026-10-12、2026-10-13、2026-10-14、2026-10-15、2026-10-16、2026-10-17</v>
      </c>
      <c r="AE631" s="8" t="str">
        <v>2026-10-06 大促；2026-10-07 大促</v>
      </c>
      <c r="AF631" s="8" t="n">
        <v>319</v>
      </c>
      <c r="AG631" s="8" t="n">
        <v>142</v>
      </c>
      <c r="AH631" s="8" t="n">
        <v>14</v>
      </c>
      <c r="AI631" s="8" t="str">
        <v>2026-09-16 至 2026-10-17</v>
      </c>
      <c r="AJ6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1" s="8" t="str">
        <v>2026-10-06 大促；2026-10-07 大促</v>
      </c>
      <c r="AL631" s="8" t="n">
        <v>487</v>
      </c>
      <c r="AM631" s="8" t="n">
        <v>142</v>
      </c>
      <c r="AN631" s="8" t="n">
        <v>30</v>
      </c>
      <c r="AO631" s="8" t="str">
        <v>230918 / 裸色 / 13120</v>
      </c>
      <c r="AP631" s="11" t="n">
        <v>1.6747911769553039</v>
      </c>
      <c r="AQ631" s="11" t="n">
        <v>1.6747911769553039</v>
      </c>
      <c r="AR631" s="11" t="n">
        <v>1.7386907395039133</v>
      </c>
      <c r="AS631" s="11" t="n">
        <f>IF(AND(COUNT(I631:K631,AP631:AR631)=6,MIN(AP631:AR631)&gt;0),I631/7/AP631*0.5+J631/14/AQ631*0.3+K631/30/AR631*0.2,"")</f>
        <v>8.236276304767305</v>
      </c>
      <c r="AT631" s="8" t="n">
        <v>1344</v>
      </c>
      <c r="AU631" s="8" t="n">
        <v>142</v>
      </c>
      <c r="AV631" s="8" t="n">
        <v>88</v>
      </c>
      <c r="AW631" s="11" t="n">
        <f>IF(AND(COUNT(AT631:AV631)=3,AT631&gt;=AU631,AU631&gt;=0,AV631&gt;0),(AT631-AU631)/AV631,"")</f>
        <v>13.659090909090908</v>
      </c>
      <c r="AX631" s="8" t="n">
        <v>2456</v>
      </c>
      <c r="AY631" s="8" t="n">
        <v>142</v>
      </c>
      <c r="AZ631" s="8" t="n">
        <v>178</v>
      </c>
      <c r="BA631" s="11" t="n">
        <f>IF(AND(COUNT(AX631:AZ631)=3,AX631&gt;=AY631,AY631&gt;=0,AZ631&gt;0),(AX631-AY631)/AZ631,"")</f>
        <v>13</v>
      </c>
      <c r="BB631" s="8" t="n">
        <f>IF(COUNT(AS631,AW631,BA631)=3,1,0)</f>
        <v>1</v>
      </c>
      <c r="BC631" s="11" t="n">
        <f>IF(SUMIF($AO$11:$AO$1309,AO631,$BB$11:$BB$1309)=COUNTIF($AO$11:$AO$1309,AO631),SUMIF($AO$11:$AO$1309,AO631,$AS$11:$AS$1309),"")</f>
        <v>33.13758128862247</v>
      </c>
      <c r="BD631" s="11" t="n">
        <f>IF(SUMIF($AO$11:$AO$1309,AO631,$BB$11:$BB$1309)=COUNTIF($AO$11:$AO$1309,AO631),SUMIF($AO$11:$AO$1309,AO631,$AW$11:$AW$1309),"")</f>
        <v>46.07954545454545</v>
      </c>
      <c r="BE631" s="11" t="n">
        <f>IF(SUMIF($AO$11:$AO$1309,AO631,$BB$11:$BB$1309)=COUNTIF($AO$11:$AO$1309,AO631),SUMIF($AO$11:$AO$1309,AO631,$BA$11:$BA$1309),"")</f>
        <v>42.87640449438202</v>
      </c>
      <c r="BF631" s="12" t="n">
        <f>IF(COUNT(BD631:BE631)&lt;&gt;2,"",IF(AND(BD631&gt;0,BE631&gt;0),0.7*AW631/BD631+0.3*BA631/BE631,IF(BD631&gt;0,AW631/BD631,IF(BE631&gt;0,BA631/BE631,IF(AND(ISNUMBER(BH631),BH631=0),0,"")))))</f>
        <v>0.29845603688279865</v>
      </c>
      <c r="BG631" s="11" t="n">
        <f>IF(AND(COUNT(BN631:BU631)=8,MIN(BN631:BU631)&gt;=0),SUMPRODUCT(BN631:BQ631,BR631:BU631),"")</f>
        <v>111.84534083910866</v>
      </c>
      <c r="BH631" s="11" t="n">
        <f>IF(COUNT(BC631,BG631)=2,BC631*BG631,"")</f>
        <v>3706.2840738096497</v>
      </c>
      <c r="BI631" s="11" t="n">
        <f>IF(ISNUMBER(CI631),CI631,"")</f>
        <v>1106.1628562310623</v>
      </c>
      <c r="BJ631" s="8" t="str"/>
      <c r="BK631" s="8" t="str">
        <v>90天：2026-07-20 至 2026-10-17；180天：2026-04-21 至 2026-10-17</v>
      </c>
      <c r="BL631" s="8" t="str">
        <v>90天：2026-10-06、2026-10-07；180天：2026-10-06、2026-10-07</v>
      </c>
      <c r="BM631" s="8" t="str">
        <v>2026-10：12天 × 1.6747911769553037；2026-11：30天 × 1.5065205700457112；2026-12：31天 × 1.1492423388181006；2027-01：17天 × 0.6426892418183868</v>
      </c>
      <c r="BN631" s="11" t="n">
        <v>1.6747911769553037</v>
      </c>
      <c r="BO631" s="11" t="n">
        <v>1.5065205700457112</v>
      </c>
      <c r="BP631" s="11" t="n">
        <v>1.1492423388181006</v>
      </c>
      <c r="BQ631" s="11" t="n">
        <v>0.6426892418183868</v>
      </c>
      <c r="BR631" s="8" t="n">
        <v>12</v>
      </c>
      <c r="BS631" s="8" t="n">
        <v>30</v>
      </c>
      <c r="BT631" s="8" t="n">
        <v>31</v>
      </c>
      <c r="BU631" s="8" t="n">
        <v>17</v>
      </c>
      <c r="BV631" s="11" t="n">
        <f>IF(COUNT(BC631,BF631)=2,BC631*BF631,"")</f>
        <v>9.890111183283846</v>
      </c>
      <c r="BW631" s="11" t="n">
        <f>IF(ISNUMBER(BN631),BN631,"")</f>
        <v>1.6747911769553037</v>
      </c>
      <c r="BX631" s="14" t="n">
        <f>IF(ISNUMBER(BR631),BR631,"")</f>
        <v>12</v>
      </c>
      <c r="BY631" s="13" t="n">
        <f>IF(AND(COUNT(BV631,BW631,BX631)=3,MIN(BV631,BW631,BX631)&gt;=0),BV631*BW631*BX631,"")</f>
        <v>198.76645138644918</v>
      </c>
      <c r="BZ631" s="11" t="n">
        <f>IF(ISNUMBER(BO631),BO631,"")</f>
        <v>1.5065205700457112</v>
      </c>
      <c r="CA631" s="14" t="n">
        <f>IF(ISNUMBER(BS631),BS631,"")</f>
        <v>30</v>
      </c>
      <c r="CB631" s="13" t="n">
        <f>IF(AND(COUNT(BV631,BZ631,CA631)=3,MIN(BV631,BZ631,CA631)&gt;=0),BV631*BZ631*CA631,"")</f>
        <v>446.9896781296873</v>
      </c>
      <c r="CC631" s="11" t="n">
        <f>IF(ISNUMBER(BP631),BP631,"")</f>
        <v>1.1492423388181006</v>
      </c>
      <c r="CD631" s="14" t="n">
        <f>IF(ISNUMBER(BT631),BT631,"")</f>
        <v>31</v>
      </c>
      <c r="CE631" s="13" t="n">
        <f>IF(AND(COUNT(BV631,CC631,CD631)=3,MIN(BV631,CC631,CD631)&gt;=0),BV631*CC631*CD631,"")</f>
        <v>352.3501697308935</v>
      </c>
      <c r="CF631" s="11" t="n">
        <f>IF(ISNUMBER(BQ631),BQ631,"")</f>
        <v>0.6426892418183868</v>
      </c>
      <c r="CG631" s="14" t="n">
        <f>IF(ISNUMBER(BU631),BU631,"")</f>
        <v>17</v>
      </c>
      <c r="CH631" s="13" t="n">
        <f>IF(AND(COUNT(BV631,CF631,CG631)=3,MIN(BV631,CF631,CG631)&gt;=0),BV631*CF631*CG631,"")</f>
        <v>108.05655698403214</v>
      </c>
      <c r="CI631" s="13" t="n">
        <f>IF(COUNT(BY631,CB631,CE631,CH631)=4,SUM(BY631,CB631,CE631,CH631),"")</f>
        <v>1106.1628562310623</v>
      </c>
    </row>
    <row r="632" ht="72" customHeight="1">
      <c r="A632" s="16" t="str">
        <v>230918-TN-P-Z-10</v>
      </c>
      <c r="B632" s="16" t="str">
        <v>1店-MUSSHOE-US</v>
      </c>
      <c r="C632" s="16" t="str">
        <v>艾年</v>
      </c>
      <c r="D632" s="26" t="n">
        <f>IF(NOT(ISNUMBER(E632)),"",IF(OR(E632&lt;=0,L632=0),0,IF(OR(NOT(ISNUMBER(F632)),F632&lt;0),"",MIN(E632,INT(F632)))))</f>
        <v>0</v>
      </c>
      <c r="E632" s="27" t="n">
        <f>IF(OR(NOT(ISNUMBER(L632)),COUNT(M632:O632)&lt;&gt;3,MIN(M632:O632)&lt;0),"",ROUNDUP(ROUND(BI632-SUM(M632:O632),10),0))</f>
        <v>-57</v>
      </c>
      <c r="F632" s="28" t="n">
        <v>1</v>
      </c>
      <c r="G632" s="28" t="n">
        <f>IF(AND(ISNUMBER(D632),ISNUMBER(E632)),IF(OR(E632&lt;=0,L632=0),0,E632-D632),"")</f>
        <v>0</v>
      </c>
      <c r="H632" s="16" t="str">
        <f>IF(NOT(ISNUMBER(E632)),"销量或海外库存待补",IF(OR(E632&lt;=0,L632=0),IF(L632=0,"零日销，本批不发","本批无需补货"),IF(NOT(ISNUMBER(D632)),"国内库存待补",IF(D632=0,"国内无可用库存",IF(G632&gt;0,"先发国内现货","按建议量发货")))))</f>
        <v>本批无需补货</v>
      </c>
      <c r="I632" s="28" t="n">
        <f>IF(AND(COUNT(Z632,AA632,AB632)=3,Z632&gt;=AA632,AA632&gt;=0,AB632=7),Z632-AA632,"")</f>
        <v>3</v>
      </c>
      <c r="J632" s="28" t="n">
        <f>IF(AND(COUNT(AF632,AG632,AH632)=3,AF632&gt;=AG632,AG632&gt;=0,AH632=14),AF632-AG632,"")</f>
        <v>9</v>
      </c>
      <c r="K632" s="28" t="n">
        <f>IF(AND(COUNT(AL632,AM632,AN632)=3,AL632&gt;=AM632,AM632&gt;=0,AN632=30),AL632-AM632,"")</f>
        <v>23</v>
      </c>
      <c r="L632" s="29" t="n">
        <f>IF(ISNUMBER(BI632),BI632/90,"")</f>
        <v>0.554683729700836</v>
      </c>
      <c r="M632" s="28" t="n">
        <v>5</v>
      </c>
      <c r="N632" s="28" t="n">
        <v>0</v>
      </c>
      <c r="O632" s="28" t="n">
        <v>101</v>
      </c>
      <c r="P632" s="30" t="n">
        <f>IF(AND(ISNUMBER(L632),L632&gt;0,COUNT(M632:O632)=3,MIN(M632:O632)&gt;=0),SUM(M632:O632)/L632,"")</f>
        <v>191.09989048564702</v>
      </c>
      <c r="Q632" s="16" t="str">
        <v>沿用原计划SKU店铺</v>
      </c>
      <c r="R632" s="16" t="str">
        <v>已匹配</v>
      </c>
      <c r="S632" s="16" t="str">
        <v>在售</v>
      </c>
      <c r="T632" s="16" t="str">
        <v>230918</v>
      </c>
      <c r="U632" s="16" t="str">
        <v>驼色PU</v>
      </c>
      <c r="V632" s="16" t="n">
        <v>10</v>
      </c>
      <c r="W632" s="8" t="str">
        <v>2026-10-11 至 2026-10-17</v>
      </c>
      <c r="X632" s="8" t="str">
        <v>2026-10-11、2026-10-12、2026-10-13、2026-10-14、2026-10-15、2026-10-16、2026-10-17</v>
      </c>
      <c r="Y632" s="8" t="str">
        <v>无</v>
      </c>
      <c r="Z632" s="8" t="n">
        <v>3</v>
      </c>
      <c r="AA632" s="8" t="n">
        <v>0</v>
      </c>
      <c r="AB632" s="8" t="n">
        <v>7</v>
      </c>
      <c r="AC632" s="8" t="str">
        <v>2026-10-02 至 2026-10-17</v>
      </c>
      <c r="AD632" s="8" t="str">
        <v>2026-10-02、2026-10-03、2026-10-04、2026-10-05、2026-10-08、2026-10-09、2026-10-10、2026-10-11、2026-10-12、2026-10-13、2026-10-14、2026-10-15、2026-10-16、2026-10-17</v>
      </c>
      <c r="AE632" s="8" t="str">
        <v>2026-10-06 大促；2026-10-07 大促</v>
      </c>
      <c r="AF632" s="8" t="n">
        <v>10</v>
      </c>
      <c r="AG632" s="8" t="n">
        <v>1</v>
      </c>
      <c r="AH632" s="8" t="n">
        <v>14</v>
      </c>
      <c r="AI632" s="8" t="str">
        <v>2026-09-16 至 2026-10-17</v>
      </c>
      <c r="AJ6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2" s="8" t="str">
        <v>2026-10-06 大促；2026-10-07 大促</v>
      </c>
      <c r="AL632" s="8" t="n">
        <v>24</v>
      </c>
      <c r="AM632" s="8" t="n">
        <v>1</v>
      </c>
      <c r="AN632" s="8" t="n">
        <v>30</v>
      </c>
      <c r="AO632" s="8" t="str">
        <v>230918 / 驼色PU / 13120</v>
      </c>
      <c r="AP632" s="11" t="n">
        <v>1.6747911769553039</v>
      </c>
      <c r="AQ632" s="11" t="n">
        <v>1.6747911769553039</v>
      </c>
      <c r="AR632" s="11" t="n">
        <v>1.7386907395039133</v>
      </c>
      <c r="AS632" s="11" t="n">
        <f>IF(AND(COUNT(I632:K632,AP632:AR632)=6,MIN(AP632:AR632)&gt;0),I632/7/AP632*0.5+J632/14/AQ632*0.3+K632/30/AR632*0.2,"")</f>
        <v>0.33128963297151226</v>
      </c>
      <c r="AT632" s="8" t="n">
        <v>69</v>
      </c>
      <c r="AU632" s="8" t="n">
        <v>1</v>
      </c>
      <c r="AV632" s="8" t="n">
        <v>88</v>
      </c>
      <c r="AW632" s="11" t="n">
        <f>IF(AND(COUNT(AT632:AV632)=3,AT632&gt;=AU632,AU632&gt;=0,AV632&gt;0),(AT632-AU632)/AV632,"")</f>
        <v>0.7727272727272727</v>
      </c>
      <c r="AX632" s="8" t="n">
        <v>114</v>
      </c>
      <c r="AY632" s="8" t="n">
        <v>1</v>
      </c>
      <c r="AZ632" s="8" t="n">
        <v>178</v>
      </c>
      <c r="BA632" s="11" t="n">
        <f>IF(AND(COUNT(AX632:AZ632)=3,AX632&gt;=AY632,AY632&gt;=0,AZ632&gt;0),(AX632-AY632)/AZ632,"")</f>
        <v>0.6348314606741573</v>
      </c>
      <c r="BB632" s="8" t="n">
        <f>IF(COUNT(AS632,AW632,BA632)=3,1,0)</f>
        <v>1</v>
      </c>
      <c r="BC632" s="11" t="n">
        <f>IF(SUMIF($AO$11:$AO$1309,AO632,$BB$11:$BB$1309)=COUNTIF($AO$11:$AO$1309,AO632),SUMIF($AO$11:$AO$1309,AO632,$AS$11:$AS$1309),"")</f>
        <v>2.1763382757354544</v>
      </c>
      <c r="BD632" s="11" t="n">
        <f>IF(SUMIF($AO$11:$AO$1309,AO632,$BB$11:$BB$1309)=COUNTIF($AO$11:$AO$1309,AO632),SUMIF($AO$11:$AO$1309,AO632,$AW$11:$AW$1309),"")</f>
        <v>3.659090909090909</v>
      </c>
      <c r="BE632" s="11" t="n">
        <f>IF(SUMIF($AO$11:$AO$1309,AO632,$BB$11:$BB$1309)=COUNTIF($AO$11:$AO$1309,AO632),SUMIF($AO$11:$AO$1309,AO632,$BA$11:$BA$1309),"")</f>
        <v>3.3258426966292136</v>
      </c>
      <c r="BF632" s="12" t="n">
        <f>IF(COUNT(BD632:BE632)&lt;&gt;2,"",IF(AND(BD632&gt;0,BE632&gt;0),0.7*AW632/BD632+0.3*BA632/BE632,IF(BD632&gt;0,AW632/BD632,IF(BE632&gt;0,BA632/BE632,IF(AND(ISNUMBER(BH632),BH632=0),0,"")))))</f>
        <v>0.20508960047003522</v>
      </c>
      <c r="BG632" s="11" t="n">
        <f>IF(AND(COUNT(BN632:BU632)=8,MIN(BN632:BU632)&gt;=0),SUMPRODUCT(BN632:BQ632,BR632:BU632),"")</f>
        <v>111.84534083910866</v>
      </c>
      <c r="BH632" s="11" t="n">
        <f>IF(COUNT(BC632,BG632)=2,BC632*BG632,"")</f>
        <v>243.41329623082993</v>
      </c>
      <c r="BI632" s="11" t="n">
        <f>IF(ISNUMBER(CI632),CI632,"")</f>
        <v>49.92153567307524</v>
      </c>
      <c r="BJ632" s="8" t="str"/>
      <c r="BK632" s="8" t="str">
        <v>90天：2026-07-20 至 2026-10-17；180天：2026-04-21 至 2026-10-17</v>
      </c>
      <c r="BL632" s="8" t="str">
        <v>90天：2026-10-06、2026-10-07；180天：2026-10-06、2026-10-07</v>
      </c>
      <c r="BM632" s="8" t="str">
        <v>2026-10：12天 × 1.6747911769553037；2026-11：30天 × 1.5065205700457112；2026-12：31天 × 1.1492423388181006；2027-01：17天 × 0.6426892418183868</v>
      </c>
      <c r="BN632" s="11" t="n">
        <v>1.6747911769553037</v>
      </c>
      <c r="BO632" s="11" t="n">
        <v>1.5065205700457112</v>
      </c>
      <c r="BP632" s="11" t="n">
        <v>1.1492423388181006</v>
      </c>
      <c r="BQ632" s="11" t="n">
        <v>0.6426892418183868</v>
      </c>
      <c r="BR632" s="8" t="n">
        <v>12</v>
      </c>
      <c r="BS632" s="8" t="n">
        <v>30</v>
      </c>
      <c r="BT632" s="8" t="n">
        <v>31</v>
      </c>
      <c r="BU632" s="8" t="n">
        <v>17</v>
      </c>
      <c r="BV632" s="11" t="n">
        <f>IF(COUNT(BC632,BF632)=2,BC632*BF632,"")</f>
        <v>0.44634434745822965</v>
      </c>
      <c r="BW632" s="11" t="n">
        <f>IF(ISNUMBER(BN632),BN632,"")</f>
        <v>1.6747911769553037</v>
      </c>
      <c r="BX632" s="14" t="n">
        <f>IF(ISNUMBER(BR632),BR632,"")</f>
        <v>12</v>
      </c>
      <c r="BY632" s="13" t="n">
        <f>IF(AND(COUNT(BV632,BW632,BX632)=3,MIN(BV632,BW632,BX632)&gt;=0),BV632*BW632*BX632,"")</f>
        <v>8.970402900082984</v>
      </c>
      <c r="BZ632" s="11" t="n">
        <f>IF(ISNUMBER(BO632),BO632,"")</f>
        <v>1.5065205700457112</v>
      </c>
      <c r="CA632" s="14" t="n">
        <f>IF(ISNUMBER(BS632),BS632,"")</f>
        <v>30</v>
      </c>
      <c r="CB632" s="13" t="n">
        <f>IF(AND(COUNT(BV632,BZ632,CA632)=3,MIN(BV632,BZ632,CA632)&gt;=0),BV632*BZ632*CA632,"")</f>
        <v>20.172808223083592</v>
      </c>
      <c r="CC632" s="11" t="n">
        <f>IF(ISNUMBER(BP632),BP632,"")</f>
        <v>1.1492423388181006</v>
      </c>
      <c r="CD632" s="14" t="n">
        <f>IF(ISNUMBER(BT632),BT632,"")</f>
        <v>31</v>
      </c>
      <c r="CE632" s="13" t="n">
        <f>IF(AND(COUNT(BV632,CC632,CD632)=3,MIN(BV632,CC632,CD632)&gt;=0),BV632*CC632*CD632,"")</f>
        <v>15.901692475525179</v>
      </c>
      <c r="CF632" s="11" t="n">
        <f>IF(ISNUMBER(BQ632),BQ632,"")</f>
        <v>0.6426892418183868</v>
      </c>
      <c r="CG632" s="14" t="n">
        <f>IF(ISNUMBER(BU632),BU632,"")</f>
        <v>17</v>
      </c>
      <c r="CH632" s="13" t="n">
        <f>IF(AND(COUNT(BV632,CF632,CG632)=3,MIN(BV632,CF632,CG632)&gt;=0),BV632*CF632*CG632,"")</f>
        <v>4.876632074383488</v>
      </c>
      <c r="CI632" s="13" t="n">
        <f>IF(COUNT(BY632,CB632,CE632,CH632)=4,SUM(BY632,CB632,CE632,CH632),"")</f>
        <v>49.92153567307524</v>
      </c>
    </row>
    <row r="633" ht="72" customHeight="1">
      <c r="A633" s="16" t="str">
        <v>230918-TN-P-Z-11</v>
      </c>
      <c r="B633" s="16" t="str">
        <v>1店-MUSSHOE-US</v>
      </c>
      <c r="C633" s="16" t="str">
        <v>艾年</v>
      </c>
      <c r="D633" s="26" t="n">
        <f>IF(NOT(ISNUMBER(E633)),"",IF(OR(E633&lt;=0,L633=0),0,IF(OR(NOT(ISNUMBER(F633)),F633&lt;0),"",MIN(E633,INT(F633)))))</f>
        <v>0</v>
      </c>
      <c r="E633" s="27" t="n">
        <f>IF(OR(NOT(ISNUMBER(L633)),COUNT(M633:O633)&lt;&gt;3,MIN(M633:O633)&lt;0),"",ROUNDUP(ROUND(BI633-SUM(M633:O633),10),0))</f>
        <v>-24</v>
      </c>
      <c r="F633" s="28" t="n">
        <v>31</v>
      </c>
      <c r="G633" s="28" t="n">
        <f>IF(AND(ISNUMBER(D633),ISNUMBER(E633)),IF(OR(E633&lt;=0,L633=0),0,E633-D633),"")</f>
        <v>0</v>
      </c>
      <c r="H633" s="16" t="str">
        <f>IF(NOT(ISNUMBER(E633)),"销量或海外库存待补",IF(OR(E633&lt;=0,L633=0),IF(L633=0,"零日销，本批不发","本批无需补货"),IF(NOT(ISNUMBER(D633)),"国内库存待补",IF(D633=0,"国内无可用库存",IF(G633&gt;0,"先发国内现货","按建议量发货")))))</f>
        <v>本批无需补货</v>
      </c>
      <c r="I633" s="28" t="n">
        <f>IF(AND(COUNT(Z633,AA633,AB633)=3,Z633&gt;=AA633,AA633&gt;=0,AB633=7),Z633-AA633,"")</f>
        <v>1</v>
      </c>
      <c r="J633" s="28" t="n">
        <f>IF(AND(COUNT(AF633,AG633,AH633)=3,AF633&gt;=AG633,AG633&gt;=0,AH633=14),AF633-AG633,"")</f>
        <v>2</v>
      </c>
      <c r="K633" s="28" t="n">
        <f>IF(AND(COUNT(AL633,AM633,AN633)=3,AL633&gt;=AM633,AM633&gt;=0,AN633=30),AL633-AM633,"")</f>
        <v>9</v>
      </c>
      <c r="L633" s="29" t="n">
        <f>IF(ISNUMBER(BI633),BI633/90,"")</f>
        <v>0.18651674921721936</v>
      </c>
      <c r="M633" s="28" t="n">
        <v>38</v>
      </c>
      <c r="N633" s="28" t="n">
        <v>1</v>
      </c>
      <c r="O633" s="28" t="n">
        <v>1</v>
      </c>
      <c r="P633" s="30" t="n">
        <f>IF(AND(ISNUMBER(L633),L633&gt;0,COUNT(M633:O633)=3,MIN(M633:O633)&gt;=0),SUM(M633:O633)/L633,"")</f>
        <v>214.45795172751795</v>
      </c>
      <c r="Q633" s="16" t="str">
        <v>沿用原计划SKU店铺</v>
      </c>
      <c r="R633" s="16" t="str">
        <v>已匹配</v>
      </c>
      <c r="S633" s="16" t="str">
        <v>在售</v>
      </c>
      <c r="T633" s="16" t="str">
        <v>230918</v>
      </c>
      <c r="U633" s="16" t="str">
        <v>驼色PU</v>
      </c>
      <c r="V633" s="16" t="n">
        <v>11</v>
      </c>
      <c r="W633" s="8" t="str">
        <v>2026-10-11 至 2026-10-17</v>
      </c>
      <c r="X633" s="8" t="str">
        <v>2026-10-11、2026-10-12、2026-10-13、2026-10-14、2026-10-15、2026-10-16、2026-10-17</v>
      </c>
      <c r="Y633" s="8" t="str">
        <v>无</v>
      </c>
      <c r="Z633" s="8" t="n">
        <v>1</v>
      </c>
      <c r="AA633" s="8" t="n">
        <v>0</v>
      </c>
      <c r="AB633" s="8" t="n">
        <v>7</v>
      </c>
      <c r="AC633" s="8" t="str">
        <v>2026-10-02 至 2026-10-17</v>
      </c>
      <c r="AD633" s="8" t="str">
        <v>2026-10-02、2026-10-03、2026-10-04、2026-10-05、2026-10-08、2026-10-09、2026-10-10、2026-10-11、2026-10-12、2026-10-13、2026-10-14、2026-10-15、2026-10-16、2026-10-17</v>
      </c>
      <c r="AE633" s="8" t="str">
        <v>2026-10-06 大促；2026-10-07 大促</v>
      </c>
      <c r="AF633" s="8" t="n">
        <v>3</v>
      </c>
      <c r="AG633" s="8" t="n">
        <v>1</v>
      </c>
      <c r="AH633" s="8" t="n">
        <v>14</v>
      </c>
      <c r="AI633" s="8" t="str">
        <v>2026-09-16 至 2026-10-17</v>
      </c>
      <c r="AJ6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3" s="8" t="str">
        <v>2026-10-06 大促；2026-10-07 大促</v>
      </c>
      <c r="AL633" s="8" t="n">
        <v>10</v>
      </c>
      <c r="AM633" s="8" t="n">
        <v>1</v>
      </c>
      <c r="AN633" s="8" t="n">
        <v>30</v>
      </c>
      <c r="AO633" s="8" t="str">
        <v>230918 / 驼色PU / 13120</v>
      </c>
      <c r="AP633" s="11" t="n">
        <v>1.6747911769553039</v>
      </c>
      <c r="AQ633" s="11" t="n">
        <v>1.6747911769553039</v>
      </c>
      <c r="AR633" s="11" t="n">
        <v>1.7386907395039133</v>
      </c>
      <c r="AS633" s="11" t="n">
        <f>IF(AND(COUNT(I633:K633,AP633:AR633)=6,MIN(AP633:AR633)&gt;0),I633/7/AP633*0.5+J633/14/AQ633*0.3+K633/30/AR633*0.2,"")</f>
        <v>0.10274750920804776</v>
      </c>
      <c r="AT633" s="8" t="n">
        <v>22</v>
      </c>
      <c r="AU633" s="8" t="n">
        <v>1</v>
      </c>
      <c r="AV633" s="8" t="n">
        <v>88</v>
      </c>
      <c r="AW633" s="11" t="n">
        <f>IF(AND(COUNT(AT633:AV633)=3,AT633&gt;=AU633,AU633&gt;=0,AV633&gt;0),(AT633-AU633)/AV633,"")</f>
        <v>0.23863636363636365</v>
      </c>
      <c r="AX633" s="8" t="n">
        <v>47</v>
      </c>
      <c r="AY633" s="8" t="n">
        <v>1</v>
      </c>
      <c r="AZ633" s="8" t="n">
        <v>178</v>
      </c>
      <c r="BA633" s="11" t="n">
        <f>IF(AND(COUNT(AX633:AZ633)=3,AX633&gt;=AY633,AY633&gt;=0,AZ633&gt;0),(AX633-AY633)/AZ633,"")</f>
        <v>0.25842696629213485</v>
      </c>
      <c r="BB633" s="8" t="n">
        <f>IF(COUNT(AS633,AW633,BA633)=3,1,0)</f>
        <v>1</v>
      </c>
      <c r="BC633" s="11" t="n">
        <f>IF(SUMIF($AO$11:$AO$1309,AO633,$BB$11:$BB$1309)=COUNTIF($AO$11:$AO$1309,AO633),SUMIF($AO$11:$AO$1309,AO633,$AS$11:$AS$1309),"")</f>
        <v>2.1763382757354544</v>
      </c>
      <c r="BD633" s="11" t="n">
        <f>IF(SUMIF($AO$11:$AO$1309,AO633,$BB$11:$BB$1309)=COUNTIF($AO$11:$AO$1309,AO633),SUMIF($AO$11:$AO$1309,AO633,$AW$11:$AW$1309),"")</f>
        <v>3.659090909090909</v>
      </c>
      <c r="BE633" s="11" t="n">
        <f>IF(SUMIF($AO$11:$AO$1309,AO633,$BB$11:$BB$1309)=COUNTIF($AO$11:$AO$1309,AO633),SUMIF($AO$11:$AO$1309,AO633,$BA$11:$BA$1309),"")</f>
        <v>3.3258426966292136</v>
      </c>
      <c r="BF633" s="12" t="n">
        <f>IF(COUNT(BD633:BE633)&lt;&gt;2,"",IF(AND(BD633&gt;0,BE633&gt;0),0.7*AW633/BD633+0.3*BA633/BE633,IF(BD633&gt;0,AW633/BD633,IF(BE633&gt;0,BA633/BE633,IF(AND(ISNUMBER(BH633),BH633=0),0,"")))))</f>
        <v>0.06896298472385429</v>
      </c>
      <c r="BG633" s="11" t="n">
        <f>IF(AND(COUNT(BN633:BU633)=8,MIN(BN633:BU633)&gt;=0),SUMPRODUCT(BN633:BQ633,BR633:BU633),"")</f>
        <v>111.84534083910866</v>
      </c>
      <c r="BH633" s="11" t="n">
        <f>IF(COUNT(BC633,BG633)=2,BC633*BG633,"")</f>
        <v>243.41329623082993</v>
      </c>
      <c r="BI633" s="11" t="n">
        <f>IF(ISNUMBER(CI633),CI633,"")</f>
        <v>16.786507429549744</v>
      </c>
      <c r="BJ633" s="8" t="str"/>
      <c r="BK633" s="8" t="str">
        <v>90天：2026-07-20 至 2026-10-17；180天：2026-04-21 至 2026-10-17</v>
      </c>
      <c r="BL633" s="8" t="str">
        <v>90天：2026-10-06、2026-10-07；180天：2026-10-06、2026-10-07</v>
      </c>
      <c r="BM633" s="8" t="str">
        <v>2026-10：12天 × 1.6747911769553037；2026-11：30天 × 1.5065205700457112；2026-12：31天 × 1.1492423388181006；2027-01：17天 × 0.6426892418183868</v>
      </c>
      <c r="BN633" s="11" t="n">
        <v>1.6747911769553037</v>
      </c>
      <c r="BO633" s="11" t="n">
        <v>1.5065205700457112</v>
      </c>
      <c r="BP633" s="11" t="n">
        <v>1.1492423388181006</v>
      </c>
      <c r="BQ633" s="11" t="n">
        <v>0.6426892418183868</v>
      </c>
      <c r="BR633" s="8" t="n">
        <v>12</v>
      </c>
      <c r="BS633" s="8" t="n">
        <v>30</v>
      </c>
      <c r="BT633" s="8" t="n">
        <v>31</v>
      </c>
      <c r="BU633" s="8" t="n">
        <v>17</v>
      </c>
      <c r="BV633" s="11" t="n">
        <f>IF(COUNT(BC633,BF633)=2,BC633*BF633,"")</f>
        <v>0.15008678326348351</v>
      </c>
      <c r="BW633" s="11" t="n">
        <f>IF(ISNUMBER(BN633),BN633,"")</f>
        <v>1.6747911769553037</v>
      </c>
      <c r="BX633" s="14" t="n">
        <f>IF(ISNUMBER(BR633),BR633,"")</f>
        <v>12</v>
      </c>
      <c r="BY633" s="13" t="n">
        <f>IF(AND(COUNT(BV633,BW633,BX633)=3,MIN(BV633,BW633,BX633)&gt;=0),BV633*BW633*BX633,"")</f>
        <v>3.0163682446474214</v>
      </c>
      <c r="BZ633" s="11" t="n">
        <f>IF(ISNUMBER(BO633),BO633,"")</f>
        <v>1.5065205700457112</v>
      </c>
      <c r="CA633" s="14" t="n">
        <f>IF(ISNUMBER(BS633),BS633,"")</f>
        <v>30</v>
      </c>
      <c r="CB633" s="13" t="n">
        <f>IF(AND(COUNT(BV633,BZ633,CA633)=3,MIN(BV633,BZ633,CA633)&gt;=0),BV633*BZ633*CA633,"")</f>
        <v>6.783264788352909</v>
      </c>
      <c r="CC633" s="11" t="n">
        <f>IF(ISNUMBER(BP633),BP633,"")</f>
        <v>1.1492423388181006</v>
      </c>
      <c r="CD633" s="14" t="n">
        <f>IF(ISNUMBER(BT633),BT633,"")</f>
        <v>31</v>
      </c>
      <c r="CE633" s="13" t="n">
        <f>IF(AND(COUNT(BV633,CC633,CD633)=3,MIN(BV633,CC633,CD633)&gt;=0),BV633*CC633*CD633,"")</f>
        <v>5.347068660525746</v>
      </c>
      <c r="CF633" s="11" t="n">
        <f>IF(ISNUMBER(BQ633),BQ633,"")</f>
        <v>0.6426892418183868</v>
      </c>
      <c r="CG633" s="14" t="n">
        <f>IF(ISNUMBER(BU633),BU633,"")</f>
        <v>17</v>
      </c>
      <c r="CH633" s="13" t="n">
        <f>IF(AND(COUNT(BV633,CF633,CG633)=3,MIN(BV633,CF633,CG633)&gt;=0),BV633*CF633*CG633,"")</f>
        <v>1.639805736023669</v>
      </c>
      <c r="CI633" s="13" t="n">
        <f>IF(COUNT(BY633,CB633,CE633,CH633)=4,SUM(BY633,CB633,CE633,CH633),"")</f>
        <v>16.786507429549744</v>
      </c>
    </row>
    <row r="634" ht="72" customHeight="1">
      <c r="A634" s="16" t="str">
        <v>230918-TN-P-Z-6</v>
      </c>
      <c r="B634" s="16" t="str">
        <v>1店-MUSSHOE-US</v>
      </c>
      <c r="C634" s="16" t="str">
        <v>艾年</v>
      </c>
      <c r="D634" s="26" t="n">
        <f>IF(NOT(ISNUMBER(E634)),"",IF(OR(E634&lt;=0,L634=0),0,IF(OR(NOT(ISNUMBER(F634)),F634&lt;0),"",MIN(E634,INT(F634)))))</f>
        <v>0</v>
      </c>
      <c r="E634" s="27" t="n">
        <f>IF(OR(NOT(ISNUMBER(L634)),COUNT(M634:O634)&lt;&gt;3,MIN(M634:O634)&lt;0),"",ROUNDUP(ROUND(BI634-SUM(M634:O634),10),0))</f>
        <v>-34</v>
      </c>
      <c r="F634" s="28" t="n">
        <v>41</v>
      </c>
      <c r="G634" s="28" t="n">
        <f>IF(AND(ISNUMBER(D634),ISNUMBER(E634)),IF(OR(E634&lt;=0,L634=0),0,E634-D634),"")</f>
        <v>0</v>
      </c>
      <c r="H634" s="16" t="str">
        <f>IF(NOT(ISNUMBER(E634)),"销量或海外库存待补",IF(OR(E634&lt;=0,L634=0),IF(L634=0,"零日销，本批不发","本批无需补货"),IF(NOT(ISNUMBER(D634)),"国内库存待补",IF(D634=0,"国内无可用库存",IF(G634&gt;0,"先发国内现货","按建议量发货")))))</f>
        <v>本批无需补货</v>
      </c>
      <c r="I634" s="28" t="n">
        <f>IF(AND(COUNT(Z634,AA634,AB634)=3,Z634&gt;=AA634,AA634&gt;=0,AB634=7),Z634-AA634,"")</f>
        <v>0</v>
      </c>
      <c r="J634" s="28" t="n">
        <f>IF(AND(COUNT(AF634,AG634,AH634)=3,AF634&gt;=AG634,AG634&gt;=0,AH634=14),AF634-AG634,"")</f>
        <v>1</v>
      </c>
      <c r="K634" s="28" t="n">
        <f>IF(AND(COUNT(AL634,AM634,AN634)=3,AL634&gt;=AM634,AM634&gt;=0,AN634=30),AL634-AM634,"")</f>
        <v>6</v>
      </c>
      <c r="L634" s="29" t="n">
        <f>IF(ISNUMBER(BI634),BI634/90,"")</f>
        <v>0.1347926155684825</v>
      </c>
      <c r="M634" s="28" t="n">
        <v>17</v>
      </c>
      <c r="N634" s="28" t="n">
        <v>0</v>
      </c>
      <c r="O634" s="28" t="n">
        <v>29</v>
      </c>
      <c r="P634" s="30" t="n">
        <f>IF(AND(ISNUMBER(L634),L634&gt;0,COUNT(M634:O634)=3,MIN(M634:O634)&gt;=0),SUM(M634:O634)/L634,"")</f>
        <v>341.26498551865643</v>
      </c>
      <c r="Q634" s="16" t="str">
        <v>沿用原计划SKU店铺</v>
      </c>
      <c r="R634" s="16" t="str">
        <v>已匹配</v>
      </c>
      <c r="S634" s="16" t="str">
        <v>在售</v>
      </c>
      <c r="T634" s="16" t="str">
        <v>230918</v>
      </c>
      <c r="U634" s="16" t="str">
        <v>驼色PU</v>
      </c>
      <c r="V634" s="16" t="n">
        <v>6</v>
      </c>
      <c r="W634" s="8" t="str">
        <v>2026-10-11 至 2026-10-17</v>
      </c>
      <c r="X634" s="8" t="str">
        <v>2026-10-11、2026-10-12、2026-10-13、2026-10-14、2026-10-15、2026-10-16、2026-10-17</v>
      </c>
      <c r="Y634" s="8" t="str">
        <v>无</v>
      </c>
      <c r="Z634" s="8" t="n">
        <v>0</v>
      </c>
      <c r="AA634" s="8" t="n">
        <v>0</v>
      </c>
      <c r="AB634" s="8" t="n">
        <v>7</v>
      </c>
      <c r="AC634" s="8" t="str">
        <v>2026-10-02 至 2026-10-17</v>
      </c>
      <c r="AD634" s="8" t="str">
        <v>2026-10-02、2026-10-03、2026-10-04、2026-10-05、2026-10-08、2026-10-09、2026-10-10、2026-10-11、2026-10-12、2026-10-13、2026-10-14、2026-10-15、2026-10-16、2026-10-17</v>
      </c>
      <c r="AE634" s="8" t="str">
        <v>2026-10-06 大促；2026-10-07 大促</v>
      </c>
      <c r="AF634" s="8" t="n">
        <v>2</v>
      </c>
      <c r="AG634" s="8" t="n">
        <v>1</v>
      </c>
      <c r="AH634" s="8" t="n">
        <v>14</v>
      </c>
      <c r="AI634" s="8" t="str">
        <v>2026-09-16 至 2026-10-17</v>
      </c>
      <c r="AJ6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4" s="8" t="str">
        <v>2026-10-06 大促；2026-10-07 大促</v>
      </c>
      <c r="AL634" s="8" t="n">
        <v>7</v>
      </c>
      <c r="AM634" s="8" t="n">
        <v>1</v>
      </c>
      <c r="AN634" s="8" t="n">
        <v>30</v>
      </c>
      <c r="AO634" s="8" t="str">
        <v>230918 / 驼色PU / 13120</v>
      </c>
      <c r="AP634" s="11" t="n">
        <v>1.6747911769553039</v>
      </c>
      <c r="AQ634" s="11" t="n">
        <v>1.6747911769553039</v>
      </c>
      <c r="AR634" s="11" t="n">
        <v>1.7386907395039133</v>
      </c>
      <c r="AS634" s="11" t="n">
        <f>IF(AND(COUNT(I634:K634,AP634:AR634)=6,MIN(AP634:AR634)&gt;0),I634/7/AP634*0.5+J634/14/AQ634*0.3+K634/30/AR634*0.2,"")</f>
        <v>0.03580058854319099</v>
      </c>
      <c r="AT634" s="8" t="n">
        <v>16</v>
      </c>
      <c r="AU634" s="8" t="n">
        <v>1</v>
      </c>
      <c r="AV634" s="8" t="n">
        <v>88</v>
      </c>
      <c r="AW634" s="11" t="n">
        <f>IF(AND(COUNT(AT634:AV634)=3,AT634&gt;=AU634,AU634&gt;=0,AV634&gt;0),(AT634-AU634)/AV634,"")</f>
        <v>0.17045454545454544</v>
      </c>
      <c r="AX634" s="8" t="n">
        <v>35</v>
      </c>
      <c r="AY634" s="8" t="n">
        <v>1</v>
      </c>
      <c r="AZ634" s="8" t="n">
        <v>178</v>
      </c>
      <c r="BA634" s="11" t="n">
        <f>IF(AND(COUNT(AX634:AZ634)=3,AX634&gt;=AY634,AY634&gt;=0,AZ634&gt;0),(AX634-AY634)/AZ634,"")</f>
        <v>0.19101123595505617</v>
      </c>
      <c r="BB634" s="8" t="n">
        <f>IF(COUNT(AS634,AW634,BA634)=3,1,0)</f>
        <v>1</v>
      </c>
      <c r="BC634" s="11" t="n">
        <f>IF(SUMIF($AO$11:$AO$1309,AO634,$BB$11:$BB$1309)=COUNTIF($AO$11:$AO$1309,AO634),SUMIF($AO$11:$AO$1309,AO634,$AS$11:$AS$1309),"")</f>
        <v>2.1763382757354544</v>
      </c>
      <c r="BD634" s="11" t="n">
        <f>IF(SUMIF($AO$11:$AO$1309,AO634,$BB$11:$BB$1309)=COUNTIF($AO$11:$AO$1309,AO634),SUMIF($AO$11:$AO$1309,AO634,$AW$11:$AW$1309),"")</f>
        <v>3.659090909090909</v>
      </c>
      <c r="BE634" s="11" t="n">
        <f>IF(SUMIF($AO$11:$AO$1309,AO634,$BB$11:$BB$1309)=COUNTIF($AO$11:$AO$1309,AO634),SUMIF($AO$11:$AO$1309,AO634,$BA$11:$BA$1309),"")</f>
        <v>3.3258426966292136</v>
      </c>
      <c r="BF634" s="12" t="n">
        <f>IF(COUNT(BD634:BE634)&lt;&gt;2,"",IF(AND(BD634&gt;0,BE634&gt;0),0.7*AW634/BD634+0.3*BA634/BE634,IF(BD634&gt;0,AW634/BD634,IF(BE634&gt;0,BA634/BE634,IF(AND(ISNUMBER(BH634),BH634=0),0,"")))))</f>
        <v>0.04983842538190363</v>
      </c>
      <c r="BG634" s="11" t="n">
        <f>IF(AND(COUNT(BN634:BU634)=8,MIN(BN634:BU634)&gt;=0),SUMPRODUCT(BN634:BQ634,BR634:BU634),"")</f>
        <v>111.84534083910866</v>
      </c>
      <c r="BH634" s="11" t="n">
        <f>IF(COUNT(BC634,BG634)=2,BC634*BG634,"")</f>
        <v>243.41329623082993</v>
      </c>
      <c r="BI634" s="11" t="n">
        <f>IF(ISNUMBER(CI634),CI634,"")</f>
        <v>12.131335401163424</v>
      </c>
      <c r="BJ634" s="8" t="str"/>
      <c r="BK634" s="8" t="str">
        <v>90天：2026-07-20 至 2026-10-17；180天：2026-04-21 至 2026-10-17</v>
      </c>
      <c r="BL634" s="8" t="str">
        <v>90天：2026-10-06、2026-10-07；180天：2026-10-06、2026-10-07</v>
      </c>
      <c r="BM634" s="8" t="str">
        <v>2026-10：12天 × 1.6747911769553037；2026-11：30天 × 1.5065205700457112；2026-12：31天 × 1.1492423388181006；2027-01：17天 × 0.6426892418183868</v>
      </c>
      <c r="BN634" s="11" t="n">
        <v>1.6747911769553037</v>
      </c>
      <c r="BO634" s="11" t="n">
        <v>1.5065205700457112</v>
      </c>
      <c r="BP634" s="11" t="n">
        <v>1.1492423388181006</v>
      </c>
      <c r="BQ634" s="11" t="n">
        <v>0.6426892418183868</v>
      </c>
      <c r="BR634" s="8" t="n">
        <v>12</v>
      </c>
      <c r="BS634" s="8" t="n">
        <v>30</v>
      </c>
      <c r="BT634" s="8" t="n">
        <v>31</v>
      </c>
      <c r="BU634" s="8" t="n">
        <v>17</v>
      </c>
      <c r="BV634" s="11" t="n">
        <f>IF(COUNT(BC634,BF634)=2,BC634*BF634,"")</f>
        <v>0.10846527276102226</v>
      </c>
      <c r="BW634" s="11" t="n">
        <f>IF(ISNUMBER(BN634),BN634,"")</f>
        <v>1.6747911769553037</v>
      </c>
      <c r="BX634" s="14" t="n">
        <f>IF(ISNUMBER(BR634),BR634,"")</f>
        <v>12</v>
      </c>
      <c r="BY634" s="13" t="n">
        <f>IF(AND(COUNT(BV634,BW634,BX634)=3,MIN(BV634,BW634,BX634)&gt;=0),BV634*BW634*BX634,"")</f>
        <v>2.179880181914526</v>
      </c>
      <c r="BZ634" s="11" t="n">
        <f>IF(ISNUMBER(BO634),BO634,"")</f>
        <v>1.5065205700457112</v>
      </c>
      <c r="CA634" s="14" t="n">
        <f>IF(ISNUMBER(BS634),BS634,"")</f>
        <v>30</v>
      </c>
      <c r="CB634" s="13" t="n">
        <f>IF(AND(COUNT(BV634,BZ634,CA634)=3,MIN(BV634,BZ634,CA634)&gt;=0),BV634*BZ634*CA634,"")</f>
        <v>4.9021549365029635</v>
      </c>
      <c r="CC634" s="11" t="n">
        <f>IF(ISNUMBER(BP634),BP634,"")</f>
        <v>1.1492423388181006</v>
      </c>
      <c r="CD634" s="14" t="n">
        <f>IF(ISNUMBER(BT634),BT634,"")</f>
        <v>31</v>
      </c>
      <c r="CE634" s="13" t="n">
        <f>IF(AND(COUNT(BV634,CC634,CD634)=3,MIN(BV634,CC634,CD634)&gt;=0),BV634*CC634*CD634,"")</f>
        <v>3.8642393962010337</v>
      </c>
      <c r="CF634" s="11" t="n">
        <f>IF(ISNUMBER(BQ634),BQ634,"")</f>
        <v>0.6426892418183868</v>
      </c>
      <c r="CG634" s="14" t="n">
        <f>IF(ISNUMBER(BU634),BU634,"")</f>
        <v>17</v>
      </c>
      <c r="CH634" s="13" t="n">
        <f>IF(AND(COUNT(BV634,CF634,CG634)=3,MIN(BV634,CF634,CG634)&gt;=0),BV634*CF634*CG634,"")</f>
        <v>1.1850608865449008</v>
      </c>
      <c r="CI634" s="13" t="n">
        <f>IF(COUNT(BY634,CB634,CE634,CH634)=4,SUM(BY634,CB634,CE634,CH634),"")</f>
        <v>12.131335401163424</v>
      </c>
    </row>
    <row r="635" ht="72" customHeight="1">
      <c r="A635" s="16" t="str">
        <v>230918-TN-P-Z-7</v>
      </c>
      <c r="B635" s="16" t="str">
        <v>1店-MUSSHOE-US</v>
      </c>
      <c r="C635" s="16" t="str">
        <v>艾年</v>
      </c>
      <c r="D635" s="26" t="n">
        <f>IF(NOT(ISNUMBER(E635)),"",IF(OR(E635&lt;=0,L635=0),0,IF(OR(NOT(ISNUMBER(F635)),F635&lt;0),"",MIN(E635,INT(F635)))))</f>
        <v>0</v>
      </c>
      <c r="E635" s="27" t="n">
        <f>IF(OR(NOT(ISNUMBER(L635)),COUNT(M635:O635)&lt;&gt;3,MIN(M635:O635)&lt;0),"",ROUNDUP(ROUND(BI635-SUM(M635:O635),10),0))</f>
        <v>-50</v>
      </c>
      <c r="F635" s="28" t="n">
        <v>50</v>
      </c>
      <c r="G635" s="28" t="n">
        <f>IF(AND(ISNUMBER(D635),ISNUMBER(E635)),IF(OR(E635&lt;=0,L635=0),0,E635-D635),"")</f>
        <v>0</v>
      </c>
      <c r="H635" s="16" t="str">
        <f>IF(NOT(ISNUMBER(E635)),"销量或海外库存待补",IF(OR(E635&lt;=0,L635=0),IF(L635=0,"零日销，本批不发","本批无需补货"),IF(NOT(ISNUMBER(D635)),"国内库存待补",IF(D635=0,"国内无可用库存",IF(G635&gt;0,"先发国内现货","按建议量发货")))))</f>
        <v>本批无需补货</v>
      </c>
      <c r="I635" s="28" t="n">
        <f>IF(AND(COUNT(Z635,AA635,AB635)=3,Z635&gt;=AA635,AA635&gt;=0,AB635=7),Z635-AA635,"")</f>
        <v>8</v>
      </c>
      <c r="J635" s="28" t="n">
        <f>IF(AND(COUNT(AF635,AG635,AH635)=3,AF635&gt;=AG635,AG635&gt;=0,AH635=14),AF635-AG635,"")</f>
        <v>9</v>
      </c>
      <c r="K635" s="28" t="n">
        <f>IF(AND(COUNT(AL635,AM635,AN635)=3,AL635&gt;=AM635,AM635&gt;=0,AN635=30),AL635-AM635,"")</f>
        <v>16</v>
      </c>
      <c r="L635" s="29" t="n">
        <f>IF(ISNUMBER(BI635),BI635/90,"")</f>
        <v>0.438681832424099</v>
      </c>
      <c r="M635" s="28" t="n">
        <v>29</v>
      </c>
      <c r="N635" s="28" t="n">
        <v>0</v>
      </c>
      <c r="O635" s="28" t="n">
        <v>60</v>
      </c>
      <c r="P635" s="30" t="n">
        <f>IF(AND(ISNUMBER(L635),L635&gt;0,COUNT(M635:O635)=3,MIN(M635:O635)&gt;=0),SUM(M635:O635)/L635,"")</f>
        <v>202.88052392823636</v>
      </c>
      <c r="Q635" s="16" t="str">
        <v>沿用原计划SKU店铺</v>
      </c>
      <c r="R635" s="16" t="str">
        <v>已匹配</v>
      </c>
      <c r="S635" s="16" t="str">
        <v>在售</v>
      </c>
      <c r="T635" s="16" t="str">
        <v>230918</v>
      </c>
      <c r="U635" s="16" t="str">
        <v>驼色PU</v>
      </c>
      <c r="V635" s="16" t="n">
        <v>7</v>
      </c>
      <c r="W635" s="8" t="str">
        <v>2026-10-11 至 2026-10-17</v>
      </c>
      <c r="X635" s="8" t="str">
        <v>2026-10-11、2026-10-12、2026-10-13、2026-10-14、2026-10-15、2026-10-16、2026-10-17</v>
      </c>
      <c r="Y635" s="8" t="str">
        <v>无</v>
      </c>
      <c r="Z635" s="8" t="n">
        <v>8</v>
      </c>
      <c r="AA635" s="8" t="n">
        <v>0</v>
      </c>
      <c r="AB635" s="8" t="n">
        <v>7</v>
      </c>
      <c r="AC635" s="8" t="str">
        <v>2026-10-02 至 2026-10-17</v>
      </c>
      <c r="AD635" s="8" t="str">
        <v>2026-10-02、2026-10-03、2026-10-04、2026-10-05、2026-10-08、2026-10-09、2026-10-10、2026-10-11、2026-10-12、2026-10-13、2026-10-14、2026-10-15、2026-10-16、2026-10-17</v>
      </c>
      <c r="AE635" s="8" t="str">
        <v>2026-10-06 大促；2026-10-07 大促</v>
      </c>
      <c r="AF635" s="8" t="n">
        <v>12</v>
      </c>
      <c r="AG635" s="8" t="n">
        <v>3</v>
      </c>
      <c r="AH635" s="8" t="n">
        <v>14</v>
      </c>
      <c r="AI635" s="8" t="str">
        <v>2026-09-16 至 2026-10-17</v>
      </c>
      <c r="AJ6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5" s="8" t="str">
        <v>2026-10-06 大促；2026-10-07 大促</v>
      </c>
      <c r="AL635" s="8" t="n">
        <v>19</v>
      </c>
      <c r="AM635" s="8" t="n">
        <v>3</v>
      </c>
      <c r="AN635" s="8" t="n">
        <v>30</v>
      </c>
      <c r="AO635" s="8" t="str">
        <v>230918 / 驼色PU / 13120</v>
      </c>
      <c r="AP635" s="11" t="n">
        <v>1.6747911769553039</v>
      </c>
      <c r="AQ635" s="11" t="n">
        <v>1.6747911769553039</v>
      </c>
      <c r="AR635" s="11" t="n">
        <v>1.7386907395039133</v>
      </c>
      <c r="AS635" s="11" t="n">
        <f>IF(AND(COUNT(I635:K635,AP635:AR635)=6,MIN(AP635:AR635)&gt;0),I635/7/AP635*0.5+J635/14/AQ635*0.3+K635/30/AR635*0.2,"")</f>
        <v>0.5176957155006428</v>
      </c>
      <c r="AT635" s="8" t="n">
        <v>55</v>
      </c>
      <c r="AU635" s="8" t="n">
        <v>3</v>
      </c>
      <c r="AV635" s="8" t="n">
        <v>88</v>
      </c>
      <c r="AW635" s="11" t="n">
        <f>IF(AND(COUNT(AT635:AV635)=3,AT635&gt;=AU635,AU635&gt;=0,AV635&gt;0),(AT635-AU635)/AV635,"")</f>
        <v>0.5909090909090909</v>
      </c>
      <c r="AX635" s="8" t="n">
        <v>100</v>
      </c>
      <c r="AY635" s="8" t="n">
        <v>3</v>
      </c>
      <c r="AZ635" s="8" t="n">
        <v>178</v>
      </c>
      <c r="BA635" s="11" t="n">
        <f>IF(AND(COUNT(AX635:AZ635)=3,AX635&gt;=AY635,AY635&gt;=0,AZ635&gt;0),(AX635-AY635)/AZ635,"")</f>
        <v>0.5449438202247191</v>
      </c>
      <c r="BB635" s="8" t="n">
        <f>IF(COUNT(AS635,AW635,BA635)=3,1,0)</f>
        <v>1</v>
      </c>
      <c r="BC635" s="11" t="n">
        <f>IF(SUMIF($AO$11:$AO$1309,AO635,$BB$11:$BB$1309)=COUNTIF($AO$11:$AO$1309,AO635),SUMIF($AO$11:$AO$1309,AO635,$AS$11:$AS$1309),"")</f>
        <v>2.1763382757354544</v>
      </c>
      <c r="BD635" s="11" t="n">
        <f>IF(SUMIF($AO$11:$AO$1309,AO635,$BB$11:$BB$1309)=COUNTIF($AO$11:$AO$1309,AO635),SUMIF($AO$11:$AO$1309,AO635,$AW$11:$AW$1309),"")</f>
        <v>3.659090909090909</v>
      </c>
      <c r="BE635" s="11" t="n">
        <f>IF(SUMIF($AO$11:$AO$1309,AO635,$BB$11:$BB$1309)=COUNTIF($AO$11:$AO$1309,AO635),SUMIF($AO$11:$AO$1309,AO635,$BA$11:$BA$1309),"")</f>
        <v>3.3258426966292136</v>
      </c>
      <c r="BF635" s="12" t="n">
        <f>IF(COUNT(BD635:BE635)&lt;&gt;2,"",IF(AND(BD635&gt;0,BE635&gt;0),0.7*AW635/BD635+0.3*BA635/BE635,IF(BD635&gt;0,AW635/BD635,IF(BE635&gt;0,BA635/BE635,IF(AND(ISNUMBER(BH635),BH635=0),0,"")))))</f>
        <v>0.16219888366627497</v>
      </c>
      <c r="BG635" s="11" t="n">
        <f>IF(AND(COUNT(BN635:BU635)=8,MIN(BN635:BU635)&gt;=0),SUMPRODUCT(BN635:BQ635,BR635:BU635),"")</f>
        <v>111.84534083910866</v>
      </c>
      <c r="BH635" s="11" t="n">
        <f>IF(COUNT(BC635,BG635)=2,BC635*BG635,"")</f>
        <v>243.41329623082993</v>
      </c>
      <c r="BI635" s="11" t="n">
        <f>IF(ISNUMBER(CI635),CI635,"")</f>
        <v>39.481364918168914</v>
      </c>
      <c r="BJ635" s="8" t="str"/>
      <c r="BK635" s="8" t="str">
        <v>90天：2026-07-20 至 2026-10-17；180天：2026-04-21 至 2026-10-17</v>
      </c>
      <c r="BL635" s="8" t="str">
        <v>90天：2026-10-06、2026-10-07；180天：2026-10-06、2026-10-07</v>
      </c>
      <c r="BM635" s="8" t="str">
        <v>2026-10：12天 × 1.6747911769553037；2026-11：30天 × 1.5065205700457112；2026-12：31天 × 1.1492423388181006；2027-01：17天 × 0.6426892418183868</v>
      </c>
      <c r="BN635" s="11" t="n">
        <v>1.6747911769553037</v>
      </c>
      <c r="BO635" s="11" t="n">
        <v>1.5065205700457112</v>
      </c>
      <c r="BP635" s="11" t="n">
        <v>1.1492423388181006</v>
      </c>
      <c r="BQ635" s="11" t="n">
        <v>0.6426892418183868</v>
      </c>
      <c r="BR635" s="8" t="n">
        <v>12</v>
      </c>
      <c r="BS635" s="8" t="n">
        <v>30</v>
      </c>
      <c r="BT635" s="8" t="n">
        <v>31</v>
      </c>
      <c r="BU635" s="8" t="n">
        <v>17</v>
      </c>
      <c r="BV635" s="11" t="n">
        <f>IF(COUNT(BC635,BF635)=2,BC635*BF635,"")</f>
        <v>0.35299963880447643</v>
      </c>
      <c r="BW635" s="11" t="n">
        <f>IF(ISNUMBER(BN635),BN635,"")</f>
        <v>1.6747911769553037</v>
      </c>
      <c r="BX635" s="14" t="n">
        <f>IF(ISNUMBER(BR635),BR635,"")</f>
        <v>12</v>
      </c>
      <c r="BY635" s="13" t="n">
        <f>IF(AND(COUNT(BV635,BW635,BX635)=3,MIN(BV635,BW635,BX635)&gt;=0),BV635*BW635*BX635,"")</f>
        <v>7.094408166457754</v>
      </c>
      <c r="BZ635" s="11" t="n">
        <f>IF(ISNUMBER(BO635),BO635,"")</f>
        <v>1.5065205700457112</v>
      </c>
      <c r="CA635" s="14" t="n">
        <f>IF(ISNUMBER(BS635),BS635,"")</f>
        <v>30</v>
      </c>
      <c r="CB635" s="13" t="n">
        <f>IF(AND(COUNT(BV635,BZ635,CA635)=3,MIN(BV635,BZ635,CA635)&gt;=0),BV635*BZ635*CA635,"")</f>
        <v>15.954036512329498</v>
      </c>
      <c r="CC635" s="11" t="n">
        <f>IF(ISNUMBER(BP635),BP635,"")</f>
        <v>1.1492423388181006</v>
      </c>
      <c r="CD635" s="14" t="n">
        <f>IF(ISNUMBER(BT635),BT635,"")</f>
        <v>31</v>
      </c>
      <c r="CE635" s="13" t="n">
        <f>IF(AND(COUNT(BV635,CC635,CD635)=3,MIN(BV635,CC635,CD635)&gt;=0),BV635*CC635*CD635,"")</f>
        <v>12.576146045549638</v>
      </c>
      <c r="CF635" s="11" t="n">
        <f>IF(ISNUMBER(BQ635),BQ635,"")</f>
        <v>0.6426892418183868</v>
      </c>
      <c r="CG635" s="14" t="n">
        <f>IF(ISNUMBER(BU635),BU635,"")</f>
        <v>17</v>
      </c>
      <c r="CH635" s="13" t="n">
        <f>IF(AND(COUNT(BV635,CF635,CG635)=3,MIN(BV635,CF635,CG635)&gt;=0),BV635*CF635*CG635,"")</f>
        <v>3.856774193832027</v>
      </c>
      <c r="CI635" s="13" t="n">
        <f>IF(COUNT(BY635,CB635,CE635,CH635)=4,SUM(BY635,CB635,CE635,CH635),"")</f>
        <v>39.481364918168914</v>
      </c>
    </row>
    <row r="636" ht="72" customHeight="1">
      <c r="A636" s="16" t="str">
        <v>230918-TN-P-Z-8</v>
      </c>
      <c r="B636" s="16" t="str">
        <v>1店-MUSSHOE-US</v>
      </c>
      <c r="C636" s="16" t="str">
        <v>艾年</v>
      </c>
      <c r="D636" s="26" t="n">
        <f>IF(NOT(ISNUMBER(E636)),"",IF(OR(E636&lt;=0,L636=0),0,IF(OR(NOT(ISNUMBER(F636)),F636&lt;0),"",MIN(E636,INT(F636)))))</f>
        <v>0</v>
      </c>
      <c r="E636" s="27" t="n">
        <f>IF(OR(NOT(ISNUMBER(L636)),COUNT(M636:O636)&lt;&gt;3,MIN(M636:O636)&lt;0),"",ROUNDUP(ROUND(BI636-SUM(M636:O636),10),0))</f>
        <v>-45</v>
      </c>
      <c r="F636" s="28" t="n">
        <v>89</v>
      </c>
      <c r="G636" s="28" t="n">
        <f>IF(AND(ISNUMBER(D636),ISNUMBER(E636)),IF(OR(E636&lt;=0,L636=0),0,E636-D636),"")</f>
        <v>0</v>
      </c>
      <c r="H636" s="16" t="str">
        <f>IF(NOT(ISNUMBER(E636)),"销量或海外库存待补",IF(OR(E636&lt;=0,L636=0),IF(L636=0,"零日销，本批不发","本批无需补货"),IF(NOT(ISNUMBER(D636)),"国内库存待补",IF(D636=0,"国内无可用库存",IF(G636&gt;0,"先发国内现货","按建议量发货")))))</f>
        <v>本批无需补货</v>
      </c>
      <c r="I636" s="28" t="n">
        <f>IF(AND(COUNT(Z636,AA636,AB636)=3,Z636&gt;=AA636,AA636&gt;=0,AB636=7),Z636-AA636,"")</f>
        <v>8</v>
      </c>
      <c r="J636" s="28" t="n">
        <f>IF(AND(COUNT(AF636,AG636,AH636)=3,AF636&gt;=AG636,AG636&gt;=0,AH636=14),AF636-AG636,"")</f>
        <v>18</v>
      </c>
      <c r="K636" s="28" t="n">
        <f>IF(AND(COUNT(AL636,AM636,AN636)=3,AL636&gt;=AM636,AM636&gt;=0,AN636=30),AL636-AM636,"")</f>
        <v>40</v>
      </c>
      <c r="L636" s="29" t="n">
        <f>IF(ISNUMBER(BI636),BI636/90,"")</f>
        <v>0.7004409081625994</v>
      </c>
      <c r="M636" s="28" t="n">
        <v>88</v>
      </c>
      <c r="N636" s="28" t="n">
        <v>0</v>
      </c>
      <c r="O636" s="28" t="n">
        <v>20</v>
      </c>
      <c r="P636" s="30" t="n">
        <f>IF(AND(ISNUMBER(L636),L636&gt;0,COUNT(M636:O636)=3,MIN(M636:O636)&gt;=0),SUM(M636:O636)/L636,"")</f>
        <v>154.18859569939485</v>
      </c>
      <c r="Q636" s="16" t="str">
        <v>沿用原计划SKU店铺</v>
      </c>
      <c r="R636" s="16" t="str">
        <v>已匹配</v>
      </c>
      <c r="S636" s="16" t="str">
        <v>在售</v>
      </c>
      <c r="T636" s="16" t="str">
        <v>230918</v>
      </c>
      <c r="U636" s="16" t="str">
        <v>驼色PU</v>
      </c>
      <c r="V636" s="16" t="n">
        <v>8</v>
      </c>
      <c r="W636" s="8" t="str">
        <v>2026-10-11 至 2026-10-17</v>
      </c>
      <c r="X636" s="8" t="str">
        <v>2026-10-11、2026-10-12、2026-10-13、2026-10-14、2026-10-15、2026-10-16、2026-10-17</v>
      </c>
      <c r="Y636" s="8" t="str">
        <v>无</v>
      </c>
      <c r="Z636" s="8" t="n">
        <v>8</v>
      </c>
      <c r="AA636" s="8" t="n">
        <v>0</v>
      </c>
      <c r="AB636" s="8" t="n">
        <v>7</v>
      </c>
      <c r="AC636" s="8" t="str">
        <v>2026-10-02 至 2026-10-17</v>
      </c>
      <c r="AD636" s="8" t="str">
        <v>2026-10-02、2026-10-03、2026-10-04、2026-10-05、2026-10-08、2026-10-09、2026-10-10、2026-10-11、2026-10-12、2026-10-13、2026-10-14、2026-10-15、2026-10-16、2026-10-17</v>
      </c>
      <c r="AE636" s="8" t="str">
        <v>2026-10-06 大促；2026-10-07 大促</v>
      </c>
      <c r="AF636" s="8" t="n">
        <v>27</v>
      </c>
      <c r="AG636" s="8" t="n">
        <v>9</v>
      </c>
      <c r="AH636" s="8" t="n">
        <v>14</v>
      </c>
      <c r="AI636" s="8" t="str">
        <v>2026-09-16 至 2026-10-17</v>
      </c>
      <c r="AJ6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6" s="8" t="str">
        <v>2026-10-06 大促；2026-10-07 大促</v>
      </c>
      <c r="AL636" s="8" t="n">
        <v>49</v>
      </c>
      <c r="AM636" s="8" t="n">
        <v>9</v>
      </c>
      <c r="AN636" s="8" t="n">
        <v>30</v>
      </c>
      <c r="AO636" s="8" t="str">
        <v>230918 / 驼色PU / 13120</v>
      </c>
      <c r="AP636" s="11" t="n">
        <v>1.6747911769553039</v>
      </c>
      <c r="AQ636" s="11" t="n">
        <v>1.6747911769553039</v>
      </c>
      <c r="AR636" s="11" t="n">
        <v>1.7386907395039133</v>
      </c>
      <c r="AS636" s="11" t="n">
        <f>IF(AND(COUNT(I636:K636,AP636:AR636)=6,MIN(AP636:AR636)&gt;0),I636/7/AP636*0.5+J636/14/AQ636*0.3+K636/30/AR636*0.2,"")</f>
        <v>0.7248719301863562</v>
      </c>
      <c r="AT636" s="8" t="n">
        <v>92</v>
      </c>
      <c r="AU636" s="8" t="n">
        <v>9</v>
      </c>
      <c r="AV636" s="8" t="n">
        <v>88</v>
      </c>
      <c r="AW636" s="11" t="n">
        <f>IF(AND(COUNT(AT636:AV636)=3,AT636&gt;=AU636,AU636&gt;=0,AV636&gt;0),(AT636-AU636)/AV636,"")</f>
        <v>0.9431818181818182</v>
      </c>
      <c r="AX636" s="8" t="n">
        <v>164</v>
      </c>
      <c r="AY636" s="8" t="n">
        <v>9</v>
      </c>
      <c r="AZ636" s="8" t="n">
        <v>178</v>
      </c>
      <c r="BA636" s="11" t="n">
        <f>IF(AND(COUNT(AX636:AZ636)=3,AX636&gt;=AY636,AY636&gt;=0,AZ636&gt;0),(AX636-AY636)/AZ636,"")</f>
        <v>0.8707865168539326</v>
      </c>
      <c r="BB636" s="8" t="n">
        <f>IF(COUNT(AS636,AW636,BA636)=3,1,0)</f>
        <v>1</v>
      </c>
      <c r="BC636" s="11" t="n">
        <f>IF(SUMIF($AO$11:$AO$1309,AO636,$BB$11:$BB$1309)=COUNTIF($AO$11:$AO$1309,AO636),SUMIF($AO$11:$AO$1309,AO636,$AS$11:$AS$1309),"")</f>
        <v>2.1763382757354544</v>
      </c>
      <c r="BD636" s="11" t="n">
        <f>IF(SUMIF($AO$11:$AO$1309,AO636,$BB$11:$BB$1309)=COUNTIF($AO$11:$AO$1309,AO636),SUMIF($AO$11:$AO$1309,AO636,$AW$11:$AW$1309),"")</f>
        <v>3.659090909090909</v>
      </c>
      <c r="BE636" s="11" t="n">
        <f>IF(SUMIF($AO$11:$AO$1309,AO636,$BB$11:$BB$1309)=COUNTIF($AO$11:$AO$1309,AO636),SUMIF($AO$11:$AO$1309,AO636,$BA$11:$BA$1309),"")</f>
        <v>3.3258426966292136</v>
      </c>
      <c r="BF636" s="12" t="n">
        <f>IF(COUNT(BD636:BE636)&lt;&gt;2,"",IF(AND(BD636&gt;0,BE636&gt;0),0.7*AW636/BD636+0.3*BA636/BE636,IF(BD636&gt;0,AW636/BD636,IF(BE636&gt;0,BA636/BE636,IF(AND(ISNUMBER(BH636),BH636=0),0,"")))))</f>
        <v>0.258982079905993</v>
      </c>
      <c r="BG636" s="11" t="n">
        <f>IF(AND(COUNT(BN636:BU636)=8,MIN(BN636:BU636)&gt;=0),SUMPRODUCT(BN636:BQ636,BR636:BU636),"")</f>
        <v>111.84534083910866</v>
      </c>
      <c r="BH636" s="11" t="n">
        <f>IF(COUNT(BC636,BG636)=2,BC636*BG636,"")</f>
        <v>243.41329623082993</v>
      </c>
      <c r="BI636" s="11" t="n">
        <f>IF(ISNUMBER(CI636),CI636,"")</f>
        <v>63.039681734633945</v>
      </c>
      <c r="BJ636" s="8" t="str"/>
      <c r="BK636" s="8" t="str">
        <v>90天：2026-07-20 至 2026-10-17；180天：2026-04-21 至 2026-10-17</v>
      </c>
      <c r="BL636" s="8" t="str">
        <v>90天：2026-10-06、2026-10-07；180天：2026-10-06、2026-10-07</v>
      </c>
      <c r="BM636" s="8" t="str">
        <v>2026-10：12天 × 1.6747911769553037；2026-11：30天 × 1.5065205700457112；2026-12：31天 × 1.1492423388181006；2027-01：17天 × 0.6426892418183868</v>
      </c>
      <c r="BN636" s="11" t="n">
        <v>1.6747911769553037</v>
      </c>
      <c r="BO636" s="11" t="n">
        <v>1.5065205700457112</v>
      </c>
      <c r="BP636" s="11" t="n">
        <v>1.1492423388181006</v>
      </c>
      <c r="BQ636" s="11" t="n">
        <v>0.6426892418183868</v>
      </c>
      <c r="BR636" s="8" t="n">
        <v>12</v>
      </c>
      <c r="BS636" s="8" t="n">
        <v>30</v>
      </c>
      <c r="BT636" s="8" t="n">
        <v>31</v>
      </c>
      <c r="BU636" s="8" t="n">
        <v>17</v>
      </c>
      <c r="BV636" s="11" t="n">
        <f>IF(COUNT(BC636,BF636)=2,BC636*BF636,"")</f>
        <v>0.5636326132289904</v>
      </c>
      <c r="BW636" s="11" t="n">
        <f>IF(ISNUMBER(BN636),BN636,"")</f>
        <v>1.6747911769553037</v>
      </c>
      <c r="BX636" s="14" t="n">
        <f>IF(ISNUMBER(BR636),BR636,"")</f>
        <v>12</v>
      </c>
      <c r="BY636" s="13" t="n">
        <f>IF(AND(COUNT(BV636,BW636,BX636)=3,MIN(BV636,BW636,BX636)&gt;=0),BV636*BW636*BX636,"")</f>
        <v>11.327603132162093</v>
      </c>
      <c r="BZ636" s="11" t="n">
        <f>IF(ISNUMBER(BO636),BO636,"")</f>
        <v>1.5065205700457112</v>
      </c>
      <c r="CA636" s="14" t="n">
        <f>IF(ISNUMBER(BS636),BS636,"")</f>
        <v>30</v>
      </c>
      <c r="CB636" s="13" t="n">
        <f>IF(AND(COUNT(BV636,BZ636,CA636)=3,MIN(BV636,BZ636,CA636)&gt;=0),BV636*BZ636*CA636,"")</f>
        <v>25.473723773342776</v>
      </c>
      <c r="CC636" s="11" t="n">
        <f>IF(ISNUMBER(BP636),BP636,"")</f>
        <v>1.1492423388181006</v>
      </c>
      <c r="CD636" s="14" t="n">
        <f>IF(ISNUMBER(BT636),BT636,"")</f>
        <v>31</v>
      </c>
      <c r="CE636" s="13" t="n">
        <f>IF(AND(COUNT(BV636,CC636,CD636)=3,MIN(BV636,CC636,CD636)&gt;=0),BV636*CC636*CD636,"")</f>
        <v>20.080264342504726</v>
      </c>
      <c r="CF636" s="11" t="n">
        <f>IF(ISNUMBER(BQ636),BQ636,"")</f>
        <v>0.6426892418183868</v>
      </c>
      <c r="CG636" s="14" t="n">
        <f>IF(ISNUMBER(BU636),BU636,"")</f>
        <v>17</v>
      </c>
      <c r="CH636" s="13" t="n">
        <f>IF(AND(COUNT(BV636,CF636,CG636)=3,MIN(BV636,CF636,CG636)&gt;=0),BV636*CF636*CG636,"")</f>
        <v>6.15809048662435</v>
      </c>
      <c r="CI636" s="13" t="n">
        <f>IF(COUNT(BY636,CB636,CE636,CH636)=4,SUM(BY636,CB636,CE636,CH636),"")</f>
        <v>63.039681734633945</v>
      </c>
    </row>
    <row r="637" ht="72" customHeight="1">
      <c r="A637" s="16" t="str">
        <v>230918-TN-P-Z-9</v>
      </c>
      <c r="B637" s="16" t="str">
        <v>1店-MUSSHOE-US</v>
      </c>
      <c r="C637" s="16" t="str">
        <v>艾年</v>
      </c>
      <c r="D637" s="26" t="n">
        <f>IF(NOT(ISNUMBER(E637)),"",IF(OR(E637&lt;=0,L637=0),0,IF(OR(NOT(ISNUMBER(F637)),F637&lt;0),"",MIN(E637,INT(F637)))))</f>
        <v>0</v>
      </c>
      <c r="E637" s="27" t="n">
        <f>IF(OR(NOT(ISNUMBER(L637)),COUNT(M637:O637)&lt;&gt;3,MIN(M637:O637)&lt;0),"",ROUNDUP(ROUND(BI637-SUM(M637:O637),10),0))</f>
        <v>-39</v>
      </c>
      <c r="F637" s="28" t="n">
        <v>75</v>
      </c>
      <c r="G637" s="28" t="n">
        <f>IF(AND(ISNUMBER(D637),ISNUMBER(E637)),IF(OR(E637&lt;=0,L637=0),0,E637-D637),"")</f>
        <v>0</v>
      </c>
      <c r="H637" s="16" t="str">
        <f>IF(NOT(ISNUMBER(E637)),"销量或海外库存待补",IF(OR(E637&lt;=0,L637=0),IF(L637=0,"零日销，本批不发","本批无需补货"),IF(NOT(ISNUMBER(D637)),"国内库存待补",IF(D637=0,"国内无可用库存",IF(G637&gt;0,"先发国内现货","按建议量发货")))))</f>
        <v>本批无需补货</v>
      </c>
      <c r="I637" s="28" t="n">
        <f>IF(AND(COUNT(Z637,AA637,AB637)=3,Z637&gt;=AA637,AA637&gt;=0,AB637=7),Z637-AA637,"")</f>
        <v>5</v>
      </c>
      <c r="J637" s="28" t="n">
        <f>IF(AND(COUNT(AF637,AG637,AH637)=3,AF637&gt;=AG637,AG637&gt;=0,AH637=14),AF637-AG637,"")</f>
        <v>13</v>
      </c>
      <c r="K637" s="28" t="n">
        <f>IF(AND(COUNT(AL637,AM637,AN637)=3,AL637&gt;=AM637,AM637&gt;=0,AN637=30),AL637-AM637,"")</f>
        <v>22</v>
      </c>
      <c r="L637" s="29" t="n">
        <f>IF(ISNUMBER(BI637),BI637/90,"")</f>
        <v>0.6894763452693187</v>
      </c>
      <c r="M637" s="28" t="n">
        <v>74</v>
      </c>
      <c r="N637" s="28" t="n">
        <v>0</v>
      </c>
      <c r="O637" s="28" t="n">
        <v>27</v>
      </c>
      <c r="P637" s="30" t="n">
        <f>IF(AND(ISNUMBER(L637),L637&gt;0,COUNT(M637:O637)=3,MIN(M637:O637)&gt;=0),SUM(M637:O637)/L637,"")</f>
        <v>146.48798424048624</v>
      </c>
      <c r="Q637" s="16" t="str">
        <v>沿用原计划SKU店铺</v>
      </c>
      <c r="R637" s="16" t="str">
        <v>已匹配</v>
      </c>
      <c r="S637" s="16" t="str">
        <v>在售</v>
      </c>
      <c r="T637" s="16" t="str">
        <v>230918</v>
      </c>
      <c r="U637" s="16" t="str">
        <v>驼色PU</v>
      </c>
      <c r="V637" s="16" t="n">
        <v>9</v>
      </c>
      <c r="W637" s="8" t="str">
        <v>2026-10-11 至 2026-10-17</v>
      </c>
      <c r="X637" s="8" t="str">
        <v>2026-10-11、2026-10-12、2026-10-13、2026-10-14、2026-10-15、2026-10-16、2026-10-17</v>
      </c>
      <c r="Y637" s="8" t="str">
        <v>无</v>
      </c>
      <c r="Z637" s="8" t="n">
        <v>5</v>
      </c>
      <c r="AA637" s="8" t="n">
        <v>0</v>
      </c>
      <c r="AB637" s="8" t="n">
        <v>7</v>
      </c>
      <c r="AC637" s="8" t="str">
        <v>2026-10-02 至 2026-10-17</v>
      </c>
      <c r="AD637" s="8" t="str">
        <v>2026-10-02、2026-10-03、2026-10-04、2026-10-05、2026-10-08、2026-10-09、2026-10-10、2026-10-11、2026-10-12、2026-10-13、2026-10-14、2026-10-15、2026-10-16、2026-10-17</v>
      </c>
      <c r="AE637" s="8" t="str">
        <v>2026-10-06 大促；2026-10-07 大促</v>
      </c>
      <c r="AF637" s="8" t="n">
        <v>19</v>
      </c>
      <c r="AG637" s="8" t="n">
        <v>6</v>
      </c>
      <c r="AH637" s="8" t="n">
        <v>14</v>
      </c>
      <c r="AI637" s="8" t="str">
        <v>2026-09-16 至 2026-10-17</v>
      </c>
      <c r="AJ6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7" s="8" t="str">
        <v>2026-10-06 大促；2026-10-07 大促</v>
      </c>
      <c r="AL637" s="8" t="n">
        <v>28</v>
      </c>
      <c r="AM637" s="8" t="n">
        <v>6</v>
      </c>
      <c r="AN637" s="8" t="n">
        <v>30</v>
      </c>
      <c r="AO637" s="8" t="str">
        <v>230918 / 驼色PU / 13120</v>
      </c>
      <c r="AP637" s="11" t="n">
        <v>1.6747911769553039</v>
      </c>
      <c r="AQ637" s="11" t="n">
        <v>1.6747911769553039</v>
      </c>
      <c r="AR637" s="11" t="n">
        <v>1.7386907395039133</v>
      </c>
      <c r="AS637" s="11" t="n">
        <f>IF(AND(COUNT(I637:K637,AP637:AR637)=6,MIN(AP637:AR637)&gt;0),I637/7/AP637*0.5+J637/14/AQ637*0.3+K637/30/AR637*0.2,"")</f>
        <v>0.4639328993257044</v>
      </c>
      <c r="AT637" s="8" t="n">
        <v>89</v>
      </c>
      <c r="AU637" s="8" t="n">
        <v>6</v>
      </c>
      <c r="AV637" s="8" t="n">
        <v>88</v>
      </c>
      <c r="AW637" s="11" t="n">
        <f>IF(AND(COUNT(AT637:AV637)=3,AT637&gt;=AU637,AU637&gt;=0,AV637&gt;0),(AT637-AU637)/AV637,"")</f>
        <v>0.9431818181818182</v>
      </c>
      <c r="AX637" s="8" t="n">
        <v>153</v>
      </c>
      <c r="AY637" s="8" t="n">
        <v>6</v>
      </c>
      <c r="AZ637" s="8" t="n">
        <v>178</v>
      </c>
      <c r="BA637" s="11" t="n">
        <f>IF(AND(COUNT(AX637:AZ637)=3,AX637&gt;=AY637,AY637&gt;=0,AZ637&gt;0),(AX637-AY637)/AZ637,"")</f>
        <v>0.8258426966292135</v>
      </c>
      <c r="BB637" s="8" t="n">
        <f>IF(COUNT(AS637,AW637,BA637)=3,1,0)</f>
        <v>1</v>
      </c>
      <c r="BC637" s="11" t="n">
        <f>IF(SUMIF($AO$11:$AO$1309,AO637,$BB$11:$BB$1309)=COUNTIF($AO$11:$AO$1309,AO637),SUMIF($AO$11:$AO$1309,AO637,$AS$11:$AS$1309),"")</f>
        <v>2.1763382757354544</v>
      </c>
      <c r="BD637" s="11" t="n">
        <f>IF(SUMIF($AO$11:$AO$1309,AO637,$BB$11:$BB$1309)=COUNTIF($AO$11:$AO$1309,AO637),SUMIF($AO$11:$AO$1309,AO637,$AW$11:$AW$1309),"")</f>
        <v>3.659090909090909</v>
      </c>
      <c r="BE637" s="11" t="n">
        <f>IF(SUMIF($AO$11:$AO$1309,AO637,$BB$11:$BB$1309)=COUNTIF($AO$11:$AO$1309,AO637),SUMIF($AO$11:$AO$1309,AO637,$BA$11:$BA$1309),"")</f>
        <v>3.3258426966292136</v>
      </c>
      <c r="BF637" s="12" t="n">
        <f>IF(COUNT(BD637:BE637)&lt;&gt;2,"",IF(AND(BD637&gt;0,BE637&gt;0),0.7*AW637/BD637+0.3*BA637/BE637,IF(BD637&gt;0,AW637/BD637,IF(BE637&gt;0,BA637/BE637,IF(AND(ISNUMBER(BH637),BH637=0),0,"")))))</f>
        <v>0.2549280258519389</v>
      </c>
      <c r="BG637" s="11" t="n">
        <f>IF(AND(COUNT(BN637:BU637)=8,MIN(BN637:BU637)&gt;=0),SUMPRODUCT(BN637:BQ637,BR637:BU637),"")</f>
        <v>111.84534083910866</v>
      </c>
      <c r="BH637" s="11" t="n">
        <f>IF(COUNT(BC637,BG637)=2,BC637*BG637,"")</f>
        <v>243.41329623082993</v>
      </c>
      <c r="BI637" s="11" t="n">
        <f>IF(ISNUMBER(CI637),CI637,"")</f>
        <v>62.05287107423868</v>
      </c>
      <c r="BJ637" s="8" t="str"/>
      <c r="BK637" s="8" t="str">
        <v>90天：2026-07-20 至 2026-10-17；180天：2026-04-21 至 2026-10-17</v>
      </c>
      <c r="BL637" s="8" t="str">
        <v>90天：2026-10-06、2026-10-07；180天：2026-10-06、2026-10-07</v>
      </c>
      <c r="BM637" s="8" t="str">
        <v>2026-10：12天 × 1.6747911769553037；2026-11：30天 × 1.5065205700457112；2026-12：31天 × 1.1492423388181006；2027-01：17天 × 0.6426892418183868</v>
      </c>
      <c r="BN637" s="11" t="n">
        <v>1.6747911769553037</v>
      </c>
      <c r="BO637" s="11" t="n">
        <v>1.5065205700457112</v>
      </c>
      <c r="BP637" s="11" t="n">
        <v>1.1492423388181006</v>
      </c>
      <c r="BQ637" s="11" t="n">
        <v>0.6426892418183868</v>
      </c>
      <c r="BR637" s="8" t="n">
        <v>12</v>
      </c>
      <c r="BS637" s="8" t="n">
        <v>30</v>
      </c>
      <c r="BT637" s="8" t="n">
        <v>31</v>
      </c>
      <c r="BU637" s="8" t="n">
        <v>17</v>
      </c>
      <c r="BV637" s="11" t="n">
        <f>IF(COUNT(BC637,BF637)=2,BC637*BF637,"")</f>
        <v>0.5548096202192521</v>
      </c>
      <c r="BW637" s="11" t="n">
        <f>IF(ISNUMBER(BN637),BN637,"")</f>
        <v>1.6747911769553037</v>
      </c>
      <c r="BX637" s="14" t="n">
        <f>IF(ISNUMBER(BR637),BR637,"")</f>
        <v>12</v>
      </c>
      <c r="BY637" s="13" t="n">
        <f>IF(AND(COUNT(BV637,BW637,BX637)=3,MIN(BV637,BW637,BX637)&gt;=0),BV637*BW637*BX637,"")</f>
        <v>11.150283081997515</v>
      </c>
      <c r="BZ637" s="11" t="n">
        <f>IF(ISNUMBER(BO637),BO637,"")</f>
        <v>1.5065205700457112</v>
      </c>
      <c r="CA637" s="14" t="n">
        <f>IF(ISNUMBER(BS637),BS637,"")</f>
        <v>30</v>
      </c>
      <c r="CB637" s="13" t="n">
        <f>IF(AND(COUNT(BV637,BZ637,CA637)=3,MIN(BV637,BZ637,CA637)&gt;=0),BV637*BZ637*CA637,"")</f>
        <v>25.074963159586563</v>
      </c>
      <c r="CC637" s="11" t="n">
        <f>IF(ISNUMBER(BP637),BP637,"")</f>
        <v>1.1492423388181006</v>
      </c>
      <c r="CD637" s="14" t="n">
        <f>IF(ISNUMBER(BT637),BT637,"")</f>
        <v>31</v>
      </c>
      <c r="CE637" s="13" t="n">
        <f>IF(AND(COUNT(BV637,CC637,CD637)=3,MIN(BV637,CC637,CD637)&gt;=0),BV637*CC637*CD637,"")</f>
        <v>19.765931871726217</v>
      </c>
      <c r="CF637" s="11" t="n">
        <f>IF(ISNUMBER(BQ637),BQ637,"")</f>
        <v>0.6426892418183868</v>
      </c>
      <c r="CG637" s="14" t="n">
        <f>IF(ISNUMBER(BU637),BU637,"")</f>
        <v>17</v>
      </c>
      <c r="CH637" s="13" t="n">
        <f>IF(AND(COUNT(BV637,CF637,CG637)=3,MIN(BV637,CF637,CG637)&gt;=0),BV637*CF637*CG637,"")</f>
        <v>6.06169296092839</v>
      </c>
      <c r="CI637" s="13" t="n">
        <f>IF(COUNT(BY637,CB637,CE637,CH637)=4,SUM(BY637,CB637,CE637,CH637),"")</f>
        <v>62.05287107423868</v>
      </c>
    </row>
    <row r="638" ht="72" customHeight="1">
      <c r="A638" s="16" t="str">
        <v>230918-TN-S-Z-10</v>
      </c>
      <c r="B638" s="16" t="str">
        <v>1店-MUSSHOE-US</v>
      </c>
      <c r="C638" s="16" t="str">
        <v>艾年</v>
      </c>
      <c r="D638" s="26" t="n">
        <f>IF(NOT(ISNUMBER(E638)),"",IF(OR(E638&lt;=0,L638=0),0,IF(OR(NOT(ISNUMBER(F638)),F638&lt;0),"",MIN(E638,INT(F638)))))</f>
        <v>0</v>
      </c>
      <c r="E638" s="27" t="n">
        <f>IF(OR(NOT(ISNUMBER(L638)),COUNT(M638:O638)&lt;&gt;3,MIN(M638:O638)&lt;0),"",ROUNDUP(ROUND(BI638-SUM(M638:O638),10),0))</f>
        <v>-31</v>
      </c>
      <c r="F638" s="28" t="n">
        <v>68</v>
      </c>
      <c r="G638" s="28" t="n">
        <f>IF(AND(ISNUMBER(D638),ISNUMBER(E638)),IF(OR(E638&lt;=0,L638=0),0,E638-D638),"")</f>
        <v>0</v>
      </c>
      <c r="H638" s="16" t="str">
        <f>IF(NOT(ISNUMBER(E638)),"销量或海外库存待补",IF(OR(E638&lt;=0,L638=0),IF(L638=0,"零日销，本批不发","本批无需补货"),IF(NOT(ISNUMBER(D638)),"国内库存待补",IF(D638=0,"国内无可用库存",IF(G638&gt;0,"先发国内现货","按建议量发货")))))</f>
        <v>本批无需补货</v>
      </c>
      <c r="I638" s="28" t="n">
        <f>IF(AND(COUNT(Z638,AA638,AB638)=3,Z638&gt;=AA638,AA638&gt;=0,AB638=7),Z638-AA638,"")</f>
        <v>1</v>
      </c>
      <c r="J638" s="28" t="n">
        <f>IF(AND(COUNT(AF638,AG638,AH638)=3,AF638&gt;=AG638,AG638&gt;=0,AH638=14),AF638-AG638,"")</f>
        <v>7</v>
      </c>
      <c r="K638" s="28" t="n">
        <f>IF(AND(COUNT(AL638,AM638,AN638)=3,AL638&gt;=AM638,AM638&gt;=0,AN638=30),AL638-AM638,"")</f>
        <v>8</v>
      </c>
      <c r="L638" s="29" t="n">
        <f>IF(ISNUMBER(BI638),BI638/90,"")</f>
        <v>0.10478672953481004</v>
      </c>
      <c r="M638" s="28" t="n">
        <v>40</v>
      </c>
      <c r="N638" s="28" t="n">
        <v>0</v>
      </c>
      <c r="O638" s="28" t="n">
        <v>0</v>
      </c>
      <c r="P638" s="30" t="n">
        <f>IF(AND(ISNUMBER(L638),L638&gt;0,COUNT(M638:O638)=3,MIN(M638:O638)&gt;=0),SUM(M638:O638)/L638,"")</f>
        <v>381.7277261880002</v>
      </c>
      <c r="Q638" s="16" t="str">
        <v>沿用原计划SKU店铺</v>
      </c>
      <c r="R638" s="16" t="str">
        <v>已匹配</v>
      </c>
      <c r="S638" s="16" t="str">
        <v>在售</v>
      </c>
      <c r="T638" s="16" t="str">
        <v>230918</v>
      </c>
      <c r="U638" s="16" t="str">
        <v>驼色</v>
      </c>
      <c r="V638" s="16" t="n">
        <v>10</v>
      </c>
      <c r="W638" s="8" t="str">
        <v>2026-10-11 至 2026-10-17</v>
      </c>
      <c r="X638" s="8" t="str">
        <v>2026-10-11、2026-10-12、2026-10-13、2026-10-14、2026-10-15、2026-10-16、2026-10-17</v>
      </c>
      <c r="Y638" s="8" t="str">
        <v>无</v>
      </c>
      <c r="Z638" s="8" t="n">
        <v>1</v>
      </c>
      <c r="AA638" s="8" t="n">
        <v>0</v>
      </c>
      <c r="AB638" s="8" t="n">
        <v>7</v>
      </c>
      <c r="AC638" s="8" t="str">
        <v>2026-10-02 至 2026-10-17</v>
      </c>
      <c r="AD638" s="8" t="str">
        <v>2026-10-02、2026-10-03、2026-10-04、2026-10-05、2026-10-08、2026-10-09、2026-10-10、2026-10-11、2026-10-12、2026-10-13、2026-10-14、2026-10-15、2026-10-16、2026-10-17</v>
      </c>
      <c r="AE638" s="8" t="str">
        <v>2026-10-06 大促；2026-10-07 大促</v>
      </c>
      <c r="AF638" s="8" t="n">
        <v>8</v>
      </c>
      <c r="AG638" s="8" t="n">
        <v>1</v>
      </c>
      <c r="AH638" s="8" t="n">
        <v>14</v>
      </c>
      <c r="AI638" s="8" t="str">
        <v>2026-09-16 至 2026-10-17</v>
      </c>
      <c r="AJ6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8" s="8" t="str">
        <v>2026-10-06 大促；2026-10-07 大促</v>
      </c>
      <c r="AL638" s="8" t="n">
        <v>9</v>
      </c>
      <c r="AM638" s="8" t="n">
        <v>1</v>
      </c>
      <c r="AN638" s="8" t="n">
        <v>30</v>
      </c>
      <c r="AO638" s="8" t="str">
        <v>230918 / 驼色 / 13120</v>
      </c>
      <c r="AP638" s="11" t="n">
        <v>1.6747911769553039</v>
      </c>
      <c r="AQ638" s="11" t="n">
        <v>1.6747911769553039</v>
      </c>
      <c r="AR638" s="11" t="n">
        <v>1.7386907395039133</v>
      </c>
      <c r="AS638" s="11" t="n">
        <f>IF(AND(COUNT(I638:K638,AP638:AR638)=6,MIN(AP638:AR638)&gt;0),I638/7/AP638*0.5+J638/14/AQ638*0.3+K638/30/AR638*0.2,"")</f>
        <v>0.1628870669808971</v>
      </c>
      <c r="AT638" s="8" t="n">
        <v>9</v>
      </c>
      <c r="AU638" s="8" t="n">
        <v>1</v>
      </c>
      <c r="AV638" s="8" t="n">
        <v>88</v>
      </c>
      <c r="AW638" s="11" t="n">
        <f>IF(AND(COUNT(AT638:AV638)=3,AT638&gt;=AU638,AU638&gt;=0,AV638&gt;0),(AT638-AU638)/AV638,"")</f>
        <v>0.09090909090909091</v>
      </c>
      <c r="AX638" s="8" t="n">
        <v>9</v>
      </c>
      <c r="AY638" s="8" t="n">
        <v>1</v>
      </c>
      <c r="AZ638" s="8" t="n">
        <v>178</v>
      </c>
      <c r="BA638" s="11" t="n">
        <f>IF(AND(COUNT(AX638:AZ638)=3,AX638&gt;=AY638,AY638&gt;=0,AZ638&gt;0),(AX638-AY638)/AZ638,"")</f>
        <v>0.0449438202247191</v>
      </c>
      <c r="BB638" s="8" t="n">
        <f>IF(COUNT(AS638,AW638,BA638)=3,1,0)</f>
        <v>1</v>
      </c>
      <c r="BC638" s="11" t="n">
        <f>IF(SUMIF($AO$11:$AO$1309,AO638,$BB$11:$BB$1309)=COUNTIF($AO$11:$AO$1309,AO638),SUMIF($AO$11:$AO$1309,AO638,$AS$11:$AS$1309),"")</f>
        <v>2.0831057239042963</v>
      </c>
      <c r="BD638" s="11" t="n">
        <f>IF(SUMIF($AO$11:$AO$1309,AO638,$BB$11:$BB$1309)=COUNTIF($AO$11:$AO$1309,AO638),SUMIF($AO$11:$AO$1309,AO638,$AW$11:$AW$1309),"")</f>
        <v>1.9659090909090908</v>
      </c>
      <c r="BE638" s="11" t="n">
        <f>IF(SUMIF($AO$11:$AO$1309,AO638,$BB$11:$BB$1309)=COUNTIF($AO$11:$AO$1309,AO638),SUMIF($AO$11:$AO$1309,AO638,$BA$11:$BA$1309),"")</f>
        <v>1.6629213483146068</v>
      </c>
      <c r="BF638" s="12" t="n">
        <f>IF(COUNT(BD638:BE638)&lt;&gt;2,"",IF(AND(BD638&gt;0,BE638&gt;0),0.7*AW638/BD638+0.3*BA638/BE638,IF(BD638&gt;0,AW638/BD638,IF(BE638&gt;0,BA638/BE638,IF(AND(ISNUMBER(BH638),BH638=0),0,"")))))</f>
        <v>0.0404780503046399</v>
      </c>
      <c r="BG638" s="11" t="n">
        <f>IF(AND(COUNT(BN638:BU638)=8,MIN(BN638:BU638)&gt;=0),SUMPRODUCT(BN638:BQ638,BR638:BU638),"")</f>
        <v>111.84534083910866</v>
      </c>
      <c r="BH638" s="11" t="n">
        <f>IF(COUNT(BC638,BG638)=2,BC638*BG638,"")</f>
        <v>232.9856696939742</v>
      </c>
      <c r="BI638" s="11" t="n">
        <f>IF(ISNUMBER(CI638),CI638,"")</f>
        <v>9.430805658132904</v>
      </c>
      <c r="BJ638" s="8" t="str"/>
      <c r="BK638" s="8" t="str">
        <v>90天：2026-07-20 至 2026-10-17；180天：2026-04-21 至 2026-10-17</v>
      </c>
      <c r="BL638" s="8" t="str">
        <v>90天：2026-10-06、2026-10-07；180天：2026-10-06、2026-10-07</v>
      </c>
      <c r="BM638" s="8" t="str">
        <v>2026-10：12天 × 1.6747911769553037；2026-11：30天 × 1.5065205700457112；2026-12：31天 × 1.1492423388181006；2027-01：17天 × 0.6426892418183868</v>
      </c>
      <c r="BN638" s="11" t="n">
        <v>1.6747911769553037</v>
      </c>
      <c r="BO638" s="11" t="n">
        <v>1.5065205700457112</v>
      </c>
      <c r="BP638" s="11" t="n">
        <v>1.1492423388181006</v>
      </c>
      <c r="BQ638" s="11" t="n">
        <v>0.6426892418183868</v>
      </c>
      <c r="BR638" s="8" t="n">
        <v>12</v>
      </c>
      <c r="BS638" s="8" t="n">
        <v>30</v>
      </c>
      <c r="BT638" s="8" t="n">
        <v>31</v>
      </c>
      <c r="BU638" s="8" t="n">
        <v>17</v>
      </c>
      <c r="BV638" s="11" t="n">
        <f>IF(COUNT(BC638,BF638)=2,BC638*BF638,"")</f>
        <v>0.08432005828208142</v>
      </c>
      <c r="BW638" s="11" t="n">
        <f>IF(ISNUMBER(BN638),BN638,"")</f>
        <v>1.6747911769553037</v>
      </c>
      <c r="BX638" s="14" t="n">
        <f>IF(ISNUMBER(BR638),BR638,"")</f>
        <v>12</v>
      </c>
      <c r="BY638" s="13" t="n">
        <f>IF(AND(COUNT(BV638,BW638,BX638)=3,MIN(BV638,BW638,BX638)&gt;=0),BV638*BW638*BX638,"")</f>
        <v>1.6946218758142433</v>
      </c>
      <c r="BZ638" s="11" t="n">
        <f>IF(ISNUMBER(BO638),BO638,"")</f>
        <v>1.5065205700457112</v>
      </c>
      <c r="CA638" s="14" t="n">
        <f>IF(ISNUMBER(BS638),BS638,"")</f>
        <v>30</v>
      </c>
      <c r="CB638" s="13" t="n">
        <f>IF(AND(COUNT(BV638,BZ638,CA638)=3,MIN(BV638,BZ638,CA638)&gt;=0),BV638*BZ638*CA638,"")</f>
        <v>3.8108970680822667</v>
      </c>
      <c r="CC638" s="11" t="n">
        <f>IF(ISNUMBER(BP638),BP638,"")</f>
        <v>1.1492423388181006</v>
      </c>
      <c r="CD638" s="14" t="n">
        <f>IF(ISNUMBER(BT638),BT638,"")</f>
        <v>31</v>
      </c>
      <c r="CE638" s="13" t="n">
        <f>IF(AND(COUNT(BV638,CC638,CD638)=3,MIN(BV638,CC638,CD638)&gt;=0),BV638*CC638*CD638,"")</f>
        <v>3.004029610670712</v>
      </c>
      <c r="CF638" s="11" t="n">
        <f>IF(ISNUMBER(BQ638),BQ638,"")</f>
        <v>0.6426892418183868</v>
      </c>
      <c r="CG638" s="14" t="n">
        <f>IF(ISNUMBER(BU638),BU638,"")</f>
        <v>17</v>
      </c>
      <c r="CH638" s="13" t="n">
        <f>IF(AND(COUNT(BV638,CF638,CG638)=3,MIN(BV638,CF638,CG638)&gt;=0),BV638*CF638*CG638,"")</f>
        <v>0.9212571035656826</v>
      </c>
      <c r="CI638" s="13" t="n">
        <f>IF(COUNT(BY638,CB638,CE638,CH638)=4,SUM(BY638,CB638,CE638,CH638),"")</f>
        <v>9.430805658132904</v>
      </c>
    </row>
    <row r="639" ht="72" customHeight="1">
      <c r="A639" s="16" t="str">
        <v>230918-TN-S-Z-11</v>
      </c>
      <c r="B639" s="16" t="str">
        <v>1店-MUSSHOE-US</v>
      </c>
      <c r="C639" s="16" t="str">
        <v>艾年</v>
      </c>
      <c r="D639" s="26" t="n">
        <f>IF(NOT(ISNUMBER(E639)),"",IF(OR(E639&lt;=0,L639=0),0,IF(OR(NOT(ISNUMBER(F639)),F639&lt;0),"",MIN(E639,INT(F639)))))</f>
        <v>0</v>
      </c>
      <c r="E639" s="27" t="n">
        <f>IF(OR(NOT(ISNUMBER(L639)),COUNT(M639:O639)&lt;&gt;3,MIN(M639:O639)&lt;0),"",ROUNDUP(ROUND(BI639-SUM(M639:O639),10),0))</f>
        <v>-27</v>
      </c>
      <c r="F639" s="28" t="n">
        <v>0</v>
      </c>
      <c r="G639" s="28" t="n">
        <f>IF(AND(ISNUMBER(D639),ISNUMBER(E639)),IF(OR(E639&lt;=0,L639=0),0,E639-D639),"")</f>
        <v>0</v>
      </c>
      <c r="H639" s="16" t="str">
        <f>IF(NOT(ISNUMBER(E639)),"销量或海外库存待补",IF(OR(E639&lt;=0,L639=0),IF(L639=0,"零日销，本批不发","本批无需补货"),IF(NOT(ISNUMBER(D639)),"国内库存待补",IF(D639=0,"国内无可用库存",IF(G639&gt;0,"先发国内现货","按建议量发货")))))</f>
        <v>本批无需补货</v>
      </c>
      <c r="I639" s="28" t="n">
        <f>IF(AND(COUNT(Z639,AA639,AB639)=3,Z639&gt;=AA639,AA639&gt;=0,AB639=7),Z639-AA639,"")</f>
        <v>2</v>
      </c>
      <c r="J639" s="28" t="n">
        <f>IF(AND(COUNT(AF639,AG639,AH639)=3,AF639&gt;=AG639,AG639&gt;=0,AH639=14),AF639-AG639,"")</f>
        <v>3</v>
      </c>
      <c r="K639" s="28" t="n">
        <f>IF(AND(COUNT(AL639,AM639,AN639)=3,AL639&gt;=AM639,AM639&gt;=0,AN639=30),AL639-AM639,"")</f>
        <v>5</v>
      </c>
      <c r="L639" s="29" t="n">
        <f>IF(ISNUMBER(BI639),BI639/90,"")</f>
        <v>0.1677356081611828</v>
      </c>
      <c r="M639" s="28" t="n">
        <v>41</v>
      </c>
      <c r="N639" s="28" t="n">
        <v>0</v>
      </c>
      <c r="O639" s="28" t="n">
        <v>1</v>
      </c>
      <c r="P639" s="30" t="n">
        <f>IF(AND(ISNUMBER(L639),L639&gt;0,COUNT(M639:O639)=3,MIN(M639:O639)&gt;=0),SUM(M639:O639)/L639,"")</f>
        <v>250.39406039319204</v>
      </c>
      <c r="Q639" s="16" t="str">
        <v>沿用原计划SKU店铺</v>
      </c>
      <c r="R639" s="16" t="str">
        <v>已匹配</v>
      </c>
      <c r="S639" s="16" t="str">
        <v>在售</v>
      </c>
      <c r="T639" s="16" t="str">
        <v>230918</v>
      </c>
      <c r="U639" s="16" t="str">
        <v>驼色</v>
      </c>
      <c r="V639" s="16" t="n">
        <v>11</v>
      </c>
      <c r="W639" s="8" t="str">
        <v>2026-10-11 至 2026-10-17</v>
      </c>
      <c r="X639" s="8" t="str">
        <v>2026-10-11、2026-10-12、2026-10-13、2026-10-14、2026-10-15、2026-10-16、2026-10-17</v>
      </c>
      <c r="Y639" s="8" t="str">
        <v>无</v>
      </c>
      <c r="Z639" s="8" t="n">
        <v>2</v>
      </c>
      <c r="AA639" s="8" t="n">
        <v>0</v>
      </c>
      <c r="AB639" s="8" t="n">
        <v>7</v>
      </c>
      <c r="AC639" s="8" t="str">
        <v>2026-10-02 至 2026-10-17</v>
      </c>
      <c r="AD639" s="8" t="str">
        <v>2026-10-02、2026-10-03、2026-10-04、2026-10-05、2026-10-08、2026-10-09、2026-10-10、2026-10-11、2026-10-12、2026-10-13、2026-10-14、2026-10-15、2026-10-16、2026-10-17</v>
      </c>
      <c r="AE639" s="8" t="str">
        <v>2026-10-06 大促；2026-10-07 大促</v>
      </c>
      <c r="AF639" s="8" t="n">
        <v>6</v>
      </c>
      <c r="AG639" s="8" t="n">
        <v>3</v>
      </c>
      <c r="AH639" s="8" t="n">
        <v>14</v>
      </c>
      <c r="AI639" s="8" t="str">
        <v>2026-09-16 至 2026-10-17</v>
      </c>
      <c r="AJ6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39" s="8" t="str">
        <v>2026-10-06 大促；2026-10-07 大促</v>
      </c>
      <c r="AL639" s="8" t="n">
        <v>8</v>
      </c>
      <c r="AM639" s="8" t="n">
        <v>3</v>
      </c>
      <c r="AN639" s="8" t="n">
        <v>30</v>
      </c>
      <c r="AO639" s="8" t="str">
        <v>230918 / 驼色 / 13120</v>
      </c>
      <c r="AP639" s="11" t="n">
        <v>1.6747911769553039</v>
      </c>
      <c r="AQ639" s="11" t="n">
        <v>1.6747911769553039</v>
      </c>
      <c r="AR639" s="11" t="n">
        <v>1.7386907395039133</v>
      </c>
      <c r="AS639" s="11" t="n">
        <f>IF(AND(COUNT(I639:K639,AP639:AR639)=6,MIN(AP639:AR639)&gt;0),I639/7/AP639*0.5+J639/14/AQ639*0.3+K639/30/AR639*0.2,"")</f>
        <v>0.14285431069220328</v>
      </c>
      <c r="AT639" s="8" t="n">
        <v>12</v>
      </c>
      <c r="AU639" s="8" t="n">
        <v>3</v>
      </c>
      <c r="AV639" s="8" t="n">
        <v>88</v>
      </c>
      <c r="AW639" s="11" t="n">
        <f>IF(AND(COUNT(AT639:AV639)=3,AT639&gt;=AU639,AU639&gt;=0,AV639&gt;0),(AT639-AU639)/AV639,"")</f>
        <v>0.10227272727272728</v>
      </c>
      <c r="AX639" s="8" t="n">
        <v>31</v>
      </c>
      <c r="AY639" s="8" t="n">
        <v>3</v>
      </c>
      <c r="AZ639" s="8" t="n">
        <v>178</v>
      </c>
      <c r="BA639" s="11" t="n">
        <f>IF(AND(COUNT(AX639:AZ639)=3,AX639&gt;=AY639,AY639&gt;=0,AZ639&gt;0),(AX639-AY639)/AZ639,"")</f>
        <v>0.15730337078651685</v>
      </c>
      <c r="BB639" s="8" t="n">
        <f>IF(COUNT(AS639,AW639,BA639)=3,1,0)</f>
        <v>1</v>
      </c>
      <c r="BC639" s="11" t="n">
        <f>IF(SUMIF($AO$11:$AO$1309,AO639,$BB$11:$BB$1309)=COUNTIF($AO$11:$AO$1309,AO639),SUMIF($AO$11:$AO$1309,AO639,$AS$11:$AS$1309),"")</f>
        <v>2.0831057239042963</v>
      </c>
      <c r="BD639" s="11" t="n">
        <f>IF(SUMIF($AO$11:$AO$1309,AO639,$BB$11:$BB$1309)=COUNTIF($AO$11:$AO$1309,AO639),SUMIF($AO$11:$AO$1309,AO639,$AW$11:$AW$1309),"")</f>
        <v>1.9659090909090908</v>
      </c>
      <c r="BE639" s="11" t="n">
        <f>IF(SUMIF($AO$11:$AO$1309,AO639,$BB$11:$BB$1309)=COUNTIF($AO$11:$AO$1309,AO639),SUMIF($AO$11:$AO$1309,AO639,$BA$11:$BA$1309),"")</f>
        <v>1.6629213483146068</v>
      </c>
      <c r="BF639" s="12" t="n">
        <f>IF(COUNT(BD639:BE639)&lt;&gt;2,"",IF(AND(BD639&gt;0,BE639&gt;0),0.7*AW639/BD639+0.3*BA639/BE639,IF(BD639&gt;0,AW639/BD639,IF(BE639&gt;0,BA639/BE639,IF(AND(ISNUMBER(BH639),BH639=0),0,"")))))</f>
        <v>0.06479456334947664</v>
      </c>
      <c r="BG639" s="11" t="n">
        <f>IF(AND(COUNT(BN639:BU639)=8,MIN(BN639:BU639)&gt;=0),SUMPRODUCT(BN639:BQ639,BR639:BU639),"")</f>
        <v>111.84534083910866</v>
      </c>
      <c r="BH639" s="11" t="n">
        <f>IF(COUNT(BC639,BG639)=2,BC639*BG639,"")</f>
        <v>232.9856696939742</v>
      </c>
      <c r="BI639" s="11" t="n">
        <f>IF(ISNUMBER(CI639),CI639,"")</f>
        <v>15.096204734506452</v>
      </c>
      <c r="BJ639" s="8" t="str"/>
      <c r="BK639" s="8" t="str">
        <v>90天：2026-07-20 至 2026-10-17；180天：2026-04-21 至 2026-10-17</v>
      </c>
      <c r="BL639" s="8" t="str">
        <v>90天：2026-10-06、2026-10-07；180天：2026-10-06、2026-10-07</v>
      </c>
      <c r="BM639" s="8" t="str">
        <v>2026-10：12天 × 1.6747911769553037；2026-11：30天 × 1.5065205700457112；2026-12：31天 × 1.1492423388181006；2027-01：17天 × 0.6426892418183868</v>
      </c>
      <c r="BN639" s="11" t="n">
        <v>1.6747911769553037</v>
      </c>
      <c r="BO639" s="11" t="n">
        <v>1.5065205700457112</v>
      </c>
      <c r="BP639" s="11" t="n">
        <v>1.1492423388181006</v>
      </c>
      <c r="BQ639" s="11" t="n">
        <v>0.6426892418183868</v>
      </c>
      <c r="BR639" s="8" t="n">
        <v>12</v>
      </c>
      <c r="BS639" s="8" t="n">
        <v>30</v>
      </c>
      <c r="BT639" s="8" t="n">
        <v>31</v>
      </c>
      <c r="BU639" s="8" t="n">
        <v>17</v>
      </c>
      <c r="BV639" s="11" t="n">
        <f>IF(COUNT(BC639,BF639)=2,BC639*BF639,"")</f>
        <v>0.13497392579117432</v>
      </c>
      <c r="BW639" s="11" t="n">
        <f>IF(ISNUMBER(BN639),BN639,"")</f>
        <v>1.6747911769553037</v>
      </c>
      <c r="BX639" s="14" t="n">
        <f>IF(ISNUMBER(BR639),BR639,"")</f>
        <v>12</v>
      </c>
      <c r="BY639" s="13" t="n">
        <f>IF(AND(COUNT(BV639,BW639,BX639)=3,MIN(BV639,BW639,BX639)&gt;=0),BV639*BW639*BX639,"")</f>
        <v>2.712637680408944</v>
      </c>
      <c r="BZ639" s="11" t="n">
        <f>IF(ISNUMBER(BO639),BO639,"")</f>
        <v>1.5065205700457112</v>
      </c>
      <c r="CA639" s="14" t="n">
        <f>IF(ISNUMBER(BS639),BS639,"")</f>
        <v>30</v>
      </c>
      <c r="CB639" s="13" t="n">
        <f>IF(AND(COUNT(BV639,BZ639,CA639)=3,MIN(BV639,BZ639,CA639)&gt;=0),BV639*BZ639*CA639,"")</f>
        <v>6.1002298687268235</v>
      </c>
      <c r="CC639" s="11" t="n">
        <f>IF(ISNUMBER(BP639),BP639,"")</f>
        <v>1.1492423388181006</v>
      </c>
      <c r="CD639" s="14" t="n">
        <f>IF(ISNUMBER(BT639),BT639,"")</f>
        <v>31</v>
      </c>
      <c r="CE639" s="13" t="n">
        <f>IF(AND(COUNT(BV639,CC639,CD639)=3,MIN(BV639,CC639,CD639)&gt;=0),BV639*CC639*CD639,"")</f>
        <v>4.808650254827008</v>
      </c>
      <c r="CF639" s="11" t="n">
        <f>IF(ISNUMBER(BQ639),BQ639,"")</f>
        <v>0.6426892418183868</v>
      </c>
      <c r="CG639" s="14" t="n">
        <f>IF(ISNUMBER(BU639),BU639,"")</f>
        <v>17</v>
      </c>
      <c r="CH639" s="13" t="n">
        <f>IF(AND(COUNT(BV639,CF639,CG639)=3,MIN(BV639,CF639,CG639)&gt;=0),BV639*CF639*CG639,"")</f>
        <v>1.4746869305436776</v>
      </c>
      <c r="CI639" s="13" t="n">
        <f>IF(COUNT(BY639,CB639,CE639,CH639)=4,SUM(BY639,CB639,CE639,CH639),"")</f>
        <v>15.096204734506452</v>
      </c>
    </row>
    <row r="640" ht="72" customHeight="1">
      <c r="A640" s="16" t="str">
        <v>230918-TN-S-Z-6</v>
      </c>
      <c r="B640" s="16" t="str">
        <v>1店-MUSSHOE-US</v>
      </c>
      <c r="C640" s="16" t="str">
        <v>艾年</v>
      </c>
      <c r="D640" s="26" t="n">
        <f>IF(NOT(ISNUMBER(E640)),"",IF(OR(E640&lt;=0,L640=0),0,IF(OR(NOT(ISNUMBER(F640)),F640&lt;0),"",MIN(E640,INT(F640)))))</f>
        <v>0</v>
      </c>
      <c r="E640" s="27" t="n">
        <f>IF(OR(NOT(ISNUMBER(L640)),COUNT(M640:O640)&lt;&gt;3,MIN(M640:O640)&lt;0),"",ROUNDUP(ROUND(BI640-SUM(M640:O640),10),0))</f>
        <v>-31</v>
      </c>
      <c r="F640" s="28" t="n">
        <v>21</v>
      </c>
      <c r="G640" s="28" t="n">
        <f>IF(AND(ISNUMBER(D640),ISNUMBER(E640)),IF(OR(E640&lt;=0,L640=0),0,E640-D640),"")</f>
        <v>0</v>
      </c>
      <c r="H640" s="16" t="str">
        <f>IF(NOT(ISNUMBER(E640)),"销量或海外库存待补",IF(OR(E640&lt;=0,L640=0),IF(L640=0,"零日销，本批不发","本批无需补货"),IF(NOT(ISNUMBER(D640)),"国内库存待补",IF(D640=0,"国内无可用库存",IF(G640&gt;0,"先发国内现货","按建议量发货")))))</f>
        <v>本批无需补货</v>
      </c>
      <c r="I640" s="28" t="n">
        <f>IF(AND(COUNT(Z640,AA640,AB640)=3,Z640&gt;=AA640,AA640&gt;=0,AB640=7),Z640-AA640,"")</f>
        <v>2</v>
      </c>
      <c r="J640" s="28" t="n">
        <f>IF(AND(COUNT(AF640,AG640,AH640)=3,AF640&gt;=AG640,AG640&gt;=0,AH640=14),AF640-AG640,"")</f>
        <v>4</v>
      </c>
      <c r="K640" s="28" t="n">
        <f>IF(AND(COUNT(AL640,AM640,AN640)=3,AL640&gt;=AM640,AM640&gt;=0,AN640=30),AL640-AM640,"")</f>
        <v>6</v>
      </c>
      <c r="L640" s="29" t="n">
        <f>IF(ISNUMBER(BI640),BI640/90,"")</f>
        <v>0.196515560459604</v>
      </c>
      <c r="M640" s="28" t="n">
        <v>15</v>
      </c>
      <c r="N640" s="28" t="n">
        <v>0</v>
      </c>
      <c r="O640" s="28" t="n">
        <v>33</v>
      </c>
      <c r="P640" s="30" t="n">
        <f>IF(AND(ISNUMBER(L640),L640&gt;0,COUNT(M640:O640)=3,MIN(M640:O640)&gt;=0),SUM(M640:O640)/L640,"")</f>
        <v>244.25546703649934</v>
      </c>
      <c r="Q640" s="16" t="str">
        <v>沿用原计划SKU店铺</v>
      </c>
      <c r="R640" s="16" t="str">
        <v>已匹配</v>
      </c>
      <c r="S640" s="16" t="str">
        <v>在售</v>
      </c>
      <c r="T640" s="16" t="str">
        <v>230918</v>
      </c>
      <c r="U640" s="16" t="str">
        <v>驼色</v>
      </c>
      <c r="V640" s="16" t="n">
        <v>6</v>
      </c>
      <c r="W640" s="8" t="str">
        <v>2026-10-11 至 2026-10-17</v>
      </c>
      <c r="X640" s="8" t="str">
        <v>2026-10-11、2026-10-12、2026-10-13、2026-10-14、2026-10-15、2026-10-16、2026-10-17</v>
      </c>
      <c r="Y640" s="8" t="str">
        <v>无</v>
      </c>
      <c r="Z640" s="8" t="n">
        <v>2</v>
      </c>
      <c r="AA640" s="8" t="n">
        <v>0</v>
      </c>
      <c r="AB640" s="8" t="n">
        <v>7</v>
      </c>
      <c r="AC640" s="8" t="str">
        <v>2026-10-02 至 2026-10-17</v>
      </c>
      <c r="AD640" s="8" t="str">
        <v>2026-10-02、2026-10-03、2026-10-04、2026-10-05、2026-10-08、2026-10-09、2026-10-10、2026-10-11、2026-10-12、2026-10-13、2026-10-14、2026-10-15、2026-10-16、2026-10-17</v>
      </c>
      <c r="AE640" s="8" t="str">
        <v>2026-10-06 大促；2026-10-07 大促</v>
      </c>
      <c r="AF640" s="8" t="n">
        <v>5</v>
      </c>
      <c r="AG640" s="8" t="n">
        <v>1</v>
      </c>
      <c r="AH640" s="8" t="n">
        <v>14</v>
      </c>
      <c r="AI640" s="8" t="str">
        <v>2026-09-16 至 2026-10-17</v>
      </c>
      <c r="AJ6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0" s="8" t="str">
        <v>2026-10-06 大促；2026-10-07 大促</v>
      </c>
      <c r="AL640" s="8" t="n">
        <v>7</v>
      </c>
      <c r="AM640" s="8" t="n">
        <v>1</v>
      </c>
      <c r="AN640" s="8" t="n">
        <v>30</v>
      </c>
      <c r="AO640" s="8" t="str">
        <v>230918 / 驼色 / 13120</v>
      </c>
      <c r="AP640" s="11" t="n">
        <v>1.6747911769553039</v>
      </c>
      <c r="AQ640" s="11" t="n">
        <v>1.6747911769553039</v>
      </c>
      <c r="AR640" s="11" t="n">
        <v>1.7386907395039133</v>
      </c>
      <c r="AS640" s="11" t="n">
        <f>IF(AND(COUNT(I640:K640,AP640:AR640)=6,MIN(AP640:AR640)&gt;0),I640/7/AP640*0.5+J640/14/AQ640*0.3+K640/30/AR640*0.2,"")</f>
        <v>0.15948338553489336</v>
      </c>
      <c r="AT640" s="8" t="n">
        <v>14</v>
      </c>
      <c r="AU640" s="8" t="n">
        <v>1</v>
      </c>
      <c r="AV640" s="8" t="n">
        <v>88</v>
      </c>
      <c r="AW640" s="11" t="n">
        <f>IF(AND(COUNT(AT640:AV640)=3,AT640&gt;=AU640,AU640&gt;=0,AV640&gt;0),(AT640-AU640)/AV640,"")</f>
        <v>0.14772727272727273</v>
      </c>
      <c r="AX640" s="8" t="n">
        <v>24</v>
      </c>
      <c r="AY640" s="8" t="n">
        <v>1</v>
      </c>
      <c r="AZ640" s="8" t="n">
        <v>178</v>
      </c>
      <c r="BA640" s="11" t="n">
        <f>IF(AND(COUNT(AX640:AZ640)=3,AX640&gt;=AY640,AY640&gt;=0,AZ640&gt;0),(AX640-AY640)/AZ640,"")</f>
        <v>0.12921348314606743</v>
      </c>
      <c r="BB640" s="8" t="n">
        <f>IF(COUNT(AS640,AW640,BA640)=3,1,0)</f>
        <v>1</v>
      </c>
      <c r="BC640" s="11" t="n">
        <f>IF(SUMIF($AO$11:$AO$1309,AO640,$BB$11:$BB$1309)=COUNTIF($AO$11:$AO$1309,AO640),SUMIF($AO$11:$AO$1309,AO640,$AS$11:$AS$1309),"")</f>
        <v>2.0831057239042963</v>
      </c>
      <c r="BD640" s="11" t="n">
        <f>IF(SUMIF($AO$11:$AO$1309,AO640,$BB$11:$BB$1309)=COUNTIF($AO$11:$AO$1309,AO640),SUMIF($AO$11:$AO$1309,AO640,$AW$11:$AW$1309),"")</f>
        <v>1.9659090909090908</v>
      </c>
      <c r="BE640" s="11" t="n">
        <f>IF(SUMIF($AO$11:$AO$1309,AO640,$BB$11:$BB$1309)=COUNTIF($AO$11:$AO$1309,AO640),SUMIF($AO$11:$AO$1309,AO640,$BA$11:$BA$1309),"")</f>
        <v>1.6629213483146068</v>
      </c>
      <c r="BF640" s="12" t="n">
        <f>IF(COUNT(BD640:BE640)&lt;&gt;2,"",IF(AND(BD640&gt;0,BE640&gt;0),0.7*AW640/BD640+0.3*BA640/BE640,IF(BD640&gt;0,AW640/BD640,IF(BE640&gt;0,BA640/BE640,IF(AND(ISNUMBER(BH640),BH640=0),0,"")))))</f>
        <v>0.07591196688017497</v>
      </c>
      <c r="BG640" s="11" t="n">
        <f>IF(AND(COUNT(BN640:BU640)=8,MIN(BN640:BU640)&gt;=0),SUMPRODUCT(BN640:BQ640,BR640:BU640),"")</f>
        <v>111.84534083910866</v>
      </c>
      <c r="BH640" s="11" t="n">
        <f>IF(COUNT(BC640,BG640)=2,BC640*BG640,"")</f>
        <v>232.9856696939742</v>
      </c>
      <c r="BI640" s="11" t="n">
        <f>IF(ISNUMBER(CI640),CI640,"")</f>
        <v>17.68640044136436</v>
      </c>
      <c r="BJ640" s="8" t="str"/>
      <c r="BK640" s="8" t="str">
        <v>90天：2026-07-20 至 2026-10-17；180天：2026-04-21 至 2026-10-17</v>
      </c>
      <c r="BL640" s="8" t="str">
        <v>90天：2026-10-06、2026-10-07；180天：2026-10-06、2026-10-07</v>
      </c>
      <c r="BM640" s="8" t="str">
        <v>2026-10：12天 × 1.6747911769553037；2026-11：30天 × 1.5065205700457112；2026-12：31天 × 1.1492423388181006；2027-01：17天 × 0.6426892418183868</v>
      </c>
      <c r="BN640" s="11" t="n">
        <v>1.6747911769553037</v>
      </c>
      <c r="BO640" s="11" t="n">
        <v>1.5065205700457112</v>
      </c>
      <c r="BP640" s="11" t="n">
        <v>1.1492423388181006</v>
      </c>
      <c r="BQ640" s="11" t="n">
        <v>0.6426892418183868</v>
      </c>
      <c r="BR640" s="8" t="n">
        <v>12</v>
      </c>
      <c r="BS640" s="8" t="n">
        <v>30</v>
      </c>
      <c r="BT640" s="8" t="n">
        <v>31</v>
      </c>
      <c r="BU640" s="8" t="n">
        <v>17</v>
      </c>
      <c r="BV640" s="11" t="n">
        <f>IF(COUNT(BC640,BF640)=2,BC640*BF640,"")</f>
        <v>0.15813265272092586</v>
      </c>
      <c r="BW640" s="11" t="n">
        <f>IF(ISNUMBER(BN640),BN640,"")</f>
        <v>1.6747911769553037</v>
      </c>
      <c r="BX640" s="14" t="n">
        <f>IF(ISNUMBER(BR640),BR640,"")</f>
        <v>12</v>
      </c>
      <c r="BY640" s="13" t="n">
        <f>IF(AND(COUNT(BV640,BW640,BX640)=3,MIN(BV640,BW640,BX640)&gt;=0),BV640*BW640*BX640,"")</f>
        <v>3.1780700587865245</v>
      </c>
      <c r="BZ640" s="11" t="n">
        <f>IF(ISNUMBER(BO640),BO640,"")</f>
        <v>1.5065205700457112</v>
      </c>
      <c r="CA640" s="14" t="n">
        <f>IF(ISNUMBER(BS640),BS640,"")</f>
        <v>30</v>
      </c>
      <c r="CB640" s="13" t="n">
        <f>IF(AND(COUNT(BV640,BZ640,CA640)=3,MIN(BV640,BZ640,CA640)&gt;=0),BV640*BZ640*CA640,"")</f>
        <v>7.146902823599091</v>
      </c>
      <c r="CC640" s="11" t="n">
        <f>IF(ISNUMBER(BP640),BP640,"")</f>
        <v>1.1492423388181006</v>
      </c>
      <c r="CD640" s="14" t="n">
        <f>IF(ISNUMBER(BT640),BT640,"")</f>
        <v>31</v>
      </c>
      <c r="CE640" s="13" t="n">
        <f>IF(AND(COUNT(BV640,CC640,CD640)=3,MIN(BV640,CC640,CD640)&gt;=0),BV640*CC640*CD640,"")</f>
        <v>5.633714929351727</v>
      </c>
      <c r="CF640" s="11" t="n">
        <f>IF(ISNUMBER(BQ640),BQ640,"")</f>
        <v>0.6426892418183868</v>
      </c>
      <c r="CG640" s="14" t="n">
        <f>IF(ISNUMBER(BU640),BU640,"")</f>
        <v>17</v>
      </c>
      <c r="CH640" s="13" t="n">
        <f>IF(AND(COUNT(BV640,CF640,CG640)=3,MIN(BV640,CF640,CG640)&gt;=0),BV640*CF640*CG640,"")</f>
        <v>1.727712629627016</v>
      </c>
      <c r="CI640" s="13" t="n">
        <f>IF(COUNT(BY640,CB640,CE640,CH640)=4,SUM(BY640,CB640,CE640,CH640),"")</f>
        <v>17.68640044136436</v>
      </c>
    </row>
    <row r="641" ht="72" customHeight="1">
      <c r="A641" s="16" t="str">
        <v>230918-TN-S-Z-7</v>
      </c>
      <c r="B641" s="16" t="str">
        <v>1店-MUSSHOE-US</v>
      </c>
      <c r="C641" s="16" t="str">
        <v>艾年</v>
      </c>
      <c r="D641" s="26" t="n">
        <f>IF(NOT(ISNUMBER(E641)),"",IF(OR(E641&lt;=0,L641=0),0,IF(OR(NOT(ISNUMBER(F641)),F641&lt;0),"",MIN(E641,INT(F641)))))</f>
        <v>0</v>
      </c>
      <c r="E641" s="27" t="n">
        <f>IF(OR(NOT(ISNUMBER(L641)),COUNT(M641:O641)&lt;&gt;3,MIN(M641:O641)&lt;0),"",ROUNDUP(ROUND(BI641-SUM(M641:O641),10),0))</f>
        <v>-1</v>
      </c>
      <c r="F641" s="28" t="n">
        <v>0</v>
      </c>
      <c r="G641" s="28" t="n">
        <f>IF(AND(ISNUMBER(D641),ISNUMBER(E641)),IF(OR(E641&lt;=0,L641=0),0,E641-D641),"")</f>
        <v>0</v>
      </c>
      <c r="H641" s="16" t="str">
        <f>IF(NOT(ISNUMBER(E641)),"销量或海外库存待补",IF(OR(E641&lt;=0,L641=0),IF(L641=0,"零日销，本批不发","本批无需补货"),IF(NOT(ISNUMBER(D641)),"国内库存待补",IF(D641=0,"国内无可用库存",IF(G641&gt;0,"先发国内现货","按建议量发货")))))</f>
        <v>本批无需补货</v>
      </c>
      <c r="I641" s="28" t="n">
        <f>IF(AND(COUNT(Z641,AA641,AB641)=3,Z641&gt;=AA641,AA641&gt;=0,AB641=7),Z641-AA641,"")</f>
        <v>6</v>
      </c>
      <c r="J641" s="28" t="n">
        <f>IF(AND(COUNT(AF641,AG641,AH641)=3,AF641&gt;=AG641,AG641&gt;=0,AH641=14),AF641-AG641,"")</f>
        <v>9</v>
      </c>
      <c r="K641" s="28" t="n">
        <f>IF(AND(COUNT(AL641,AM641,AN641)=3,AL641&gt;=AM641,AM641&gt;=0,AN641=30),AL641-AM641,"")</f>
        <v>13</v>
      </c>
      <c r="L641" s="29" t="n">
        <f>IF(ISNUMBER(BI641),BI641/90,"")</f>
        <v>0.5423805203135968</v>
      </c>
      <c r="M641" s="28" t="n">
        <v>24</v>
      </c>
      <c r="N641" s="28" t="n">
        <v>0</v>
      </c>
      <c r="O641" s="28" t="n">
        <v>25</v>
      </c>
      <c r="P641" s="30" t="n">
        <f>IF(AND(ISNUMBER(L641),L641&gt;0,COUNT(M641:O641)=3,MIN(M641:O641)&gt;=0),SUM(M641:O641)/L641,"")</f>
        <v>90.3424775868958</v>
      </c>
      <c r="Q641" s="16" t="str">
        <v>沿用原计划SKU店铺</v>
      </c>
      <c r="R641" s="16" t="str">
        <v>已匹配</v>
      </c>
      <c r="S641" s="16" t="str">
        <v>在售</v>
      </c>
      <c r="T641" s="16" t="str">
        <v>230918</v>
      </c>
      <c r="U641" s="16" t="str">
        <v>驼色</v>
      </c>
      <c r="V641" s="16" t="n">
        <v>7</v>
      </c>
      <c r="W641" s="8" t="str">
        <v>2026-10-11 至 2026-10-17</v>
      </c>
      <c r="X641" s="8" t="str">
        <v>2026-10-11、2026-10-12、2026-10-13、2026-10-14、2026-10-15、2026-10-16、2026-10-17</v>
      </c>
      <c r="Y641" s="8" t="str">
        <v>无</v>
      </c>
      <c r="Z641" s="8" t="n">
        <v>6</v>
      </c>
      <c r="AA641" s="8" t="n">
        <v>0</v>
      </c>
      <c r="AB641" s="8" t="n">
        <v>7</v>
      </c>
      <c r="AC641" s="8" t="str">
        <v>2026-10-02 至 2026-10-17</v>
      </c>
      <c r="AD641" s="8" t="str">
        <v>2026-10-02、2026-10-03、2026-10-04、2026-10-05、2026-10-08、2026-10-09、2026-10-10、2026-10-11、2026-10-12、2026-10-13、2026-10-14、2026-10-15、2026-10-16、2026-10-17</v>
      </c>
      <c r="AE641" s="8" t="str">
        <v>2026-10-06 大促；2026-10-07 大促</v>
      </c>
      <c r="AF641" s="8" t="n">
        <v>11</v>
      </c>
      <c r="AG641" s="8" t="n">
        <v>2</v>
      </c>
      <c r="AH641" s="8" t="n">
        <v>14</v>
      </c>
      <c r="AI641" s="8" t="str">
        <v>2026-09-16 至 2026-10-17</v>
      </c>
      <c r="AJ6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1" s="8" t="str">
        <v>2026-10-06 大促；2026-10-07 大促</v>
      </c>
      <c r="AL641" s="8" t="n">
        <v>15</v>
      </c>
      <c r="AM641" s="8" t="n">
        <v>2</v>
      </c>
      <c r="AN641" s="8" t="n">
        <v>30</v>
      </c>
      <c r="AO641" s="8" t="str">
        <v>230918 / 驼色 / 13120</v>
      </c>
      <c r="AP641" s="11" t="n">
        <v>1.6747911769553039</v>
      </c>
      <c r="AQ641" s="11" t="n">
        <v>1.6747911769553039</v>
      </c>
      <c r="AR641" s="11" t="n">
        <v>1.7386907395039133</v>
      </c>
      <c r="AS641" s="11" t="n">
        <f>IF(AND(COUNT(I641:K641,AP641:AR641)=6,MIN(AP641:AR641)&gt;0),I641/7/AP641*0.5+J641/14/AQ641*0.3+K641/30/AR641*0.2,"")</f>
        <v>0.42089432659640946</v>
      </c>
      <c r="AT641" s="8" t="n">
        <v>38</v>
      </c>
      <c r="AU641" s="8" t="n">
        <v>2</v>
      </c>
      <c r="AV641" s="8" t="n">
        <v>88</v>
      </c>
      <c r="AW641" s="11" t="n">
        <f>IF(AND(COUNT(AT641:AV641)=3,AT641&gt;=AU641,AU641&gt;=0,AV641&gt;0),(AT641-AU641)/AV641,"")</f>
        <v>0.4090909090909091</v>
      </c>
      <c r="AX641" s="8" t="n">
        <v>65</v>
      </c>
      <c r="AY641" s="8" t="n">
        <v>2</v>
      </c>
      <c r="AZ641" s="8" t="n">
        <v>178</v>
      </c>
      <c r="BA641" s="11" t="n">
        <f>IF(AND(COUNT(AX641:AZ641)=3,AX641&gt;=AY641,AY641&gt;=0,AZ641&gt;0),(AX641-AY641)/AZ641,"")</f>
        <v>0.3539325842696629</v>
      </c>
      <c r="BB641" s="8" t="n">
        <f>IF(COUNT(AS641,AW641,BA641)=3,1,0)</f>
        <v>1</v>
      </c>
      <c r="BC641" s="11" t="n">
        <f>IF(SUMIF($AO$11:$AO$1309,AO641,$BB$11:$BB$1309)=COUNTIF($AO$11:$AO$1309,AO641),SUMIF($AO$11:$AO$1309,AO641,$AS$11:$AS$1309),"")</f>
        <v>2.0831057239042963</v>
      </c>
      <c r="BD641" s="11" t="n">
        <f>IF(SUMIF($AO$11:$AO$1309,AO641,$BB$11:$BB$1309)=COUNTIF($AO$11:$AO$1309,AO641),SUMIF($AO$11:$AO$1309,AO641,$AW$11:$AW$1309),"")</f>
        <v>1.9659090909090908</v>
      </c>
      <c r="BE641" s="11" t="n">
        <f>IF(SUMIF($AO$11:$AO$1309,AO641,$BB$11:$BB$1309)=COUNTIF($AO$11:$AO$1309,AO641),SUMIF($AO$11:$AO$1309,AO641,$BA$11:$BA$1309),"")</f>
        <v>1.6629213483146068</v>
      </c>
      <c r="BF641" s="12" t="n">
        <f>IF(COUNT(BD641:BE641)&lt;&gt;2,"",IF(AND(BD641&gt;0,BE641&gt;0),0.7*AW641/BD641+0.3*BA641/BE641,IF(BD641&gt;0,AW641/BD641,IF(BE641&gt;0,BA641/BE641,IF(AND(ISNUMBER(BH641),BH641=0),0,"")))))</f>
        <v>0.2095160912357444</v>
      </c>
      <c r="BG641" s="11" t="n">
        <f>IF(AND(COUNT(BN641:BU641)=8,MIN(BN641:BU641)&gt;=0),SUMPRODUCT(BN641:BQ641,BR641:BU641),"")</f>
        <v>111.84534083910866</v>
      </c>
      <c r="BH641" s="11" t="n">
        <f>IF(COUNT(BC641,BG641)=2,BC641*BG641,"")</f>
        <v>232.9856696939742</v>
      </c>
      <c r="BI641" s="11" t="n">
        <f>IF(ISNUMBER(CI641),CI641,"")</f>
        <v>48.814246828223716</v>
      </c>
      <c r="BJ641" s="8" t="str"/>
      <c r="BK641" s="8" t="str">
        <v>90天：2026-07-20 至 2026-10-17；180天：2026-04-21 至 2026-10-17</v>
      </c>
      <c r="BL641" s="8" t="str">
        <v>90天：2026-10-06、2026-10-07；180天：2026-10-06、2026-10-07</v>
      </c>
      <c r="BM641" s="8" t="str">
        <v>2026-10：12天 × 1.6747911769553037；2026-11：30天 × 1.5065205700457112；2026-12：31天 × 1.1492423388181006；2027-01：17天 × 0.6426892418183868</v>
      </c>
      <c r="BN641" s="11" t="n">
        <v>1.6747911769553037</v>
      </c>
      <c r="BO641" s="11" t="n">
        <v>1.5065205700457112</v>
      </c>
      <c r="BP641" s="11" t="n">
        <v>1.1492423388181006</v>
      </c>
      <c r="BQ641" s="11" t="n">
        <v>0.6426892418183868</v>
      </c>
      <c r="BR641" s="8" t="n">
        <v>12</v>
      </c>
      <c r="BS641" s="8" t="n">
        <v>30</v>
      </c>
      <c r="BT641" s="8" t="n">
        <v>31</v>
      </c>
      <c r="BU641" s="8" t="n">
        <v>17</v>
      </c>
      <c r="BV641" s="11" t="n">
        <f>IF(COUNT(BC641,BF641)=2,BC641*BF641,"")</f>
        <v>0.43644416890323395</v>
      </c>
      <c r="BW641" s="11" t="n">
        <f>IF(ISNUMBER(BN641),BN641,"")</f>
        <v>1.6747911769553037</v>
      </c>
      <c r="BX641" s="14" t="n">
        <f>IF(ISNUMBER(BR641),BR641,"")</f>
        <v>12</v>
      </c>
      <c r="BY641" s="13" t="n">
        <f>IF(AND(COUNT(BV641,BW641,BX641)=3,MIN(BV641,BW641,BX641)&gt;=0),BV641*BW641*BX641,"")</f>
        <v>8.771434119752719</v>
      </c>
      <c r="BZ641" s="11" t="n">
        <f>IF(ISNUMBER(BO641),BO641,"")</f>
        <v>1.5065205700457112</v>
      </c>
      <c r="CA641" s="14" t="n">
        <f>IF(ISNUMBER(BS641),BS641,"")</f>
        <v>30</v>
      </c>
      <c r="CB641" s="13" t="n">
        <f>IF(AND(COUNT(BV641,BZ641,CA641)=3,MIN(BV641,BZ641,CA641)&gt;=0),BV641*BZ641*CA641,"")</f>
        <v>19.7253635438768</v>
      </c>
      <c r="CC641" s="11" t="n">
        <f>IF(ISNUMBER(BP641),BP641,"")</f>
        <v>1.1492423388181006</v>
      </c>
      <c r="CD641" s="14" t="n">
        <f>IF(ISNUMBER(BT641),BT641,"")</f>
        <v>31</v>
      </c>
      <c r="CE641" s="13" t="n">
        <f>IF(AND(COUNT(BV641,CC641,CD641)=3,MIN(BV641,CC641,CD641)&gt;=0),BV641*CC641*CD641,"")</f>
        <v>15.548983640450114</v>
      </c>
      <c r="CF641" s="11" t="n">
        <f>IF(ISNUMBER(BQ641),BQ641,"")</f>
        <v>0.6426892418183868</v>
      </c>
      <c r="CG641" s="14" t="n">
        <f>IF(ISNUMBER(BU641),BU641,"")</f>
        <v>17</v>
      </c>
      <c r="CH641" s="13" t="n">
        <f>IF(AND(COUNT(BV641,CF641,CG641)=3,MIN(BV641,CF641,CG641)&gt;=0),BV641*CF641*CG641,"")</f>
        <v>4.768465524144081</v>
      </c>
      <c r="CI641" s="13" t="n">
        <f>IF(COUNT(BY641,CB641,CE641,CH641)=4,SUM(BY641,CB641,CE641,CH641),"")</f>
        <v>48.814246828223716</v>
      </c>
    </row>
    <row r="642" ht="72" customHeight="1">
      <c r="A642" s="16" t="str">
        <v>230918-TN-S-Z-8</v>
      </c>
      <c r="B642" s="16" t="str">
        <v>1店-MUSSHOE-US</v>
      </c>
      <c r="C642" s="16" t="str">
        <v>艾年</v>
      </c>
      <c r="D642" s="26" t="n">
        <f>IF(NOT(ISNUMBER(E642)),"",IF(OR(E642&lt;=0,L642=0),0,IF(OR(NOT(ISNUMBER(F642)),F642&lt;0),"",MIN(E642,INT(F642)))))</f>
        <v>0</v>
      </c>
      <c r="E642" s="27" t="n">
        <f>IF(OR(NOT(ISNUMBER(L642)),COUNT(M642:O642)&lt;&gt;3,MIN(M642:O642)&lt;0),"",ROUNDUP(ROUND(BI642-SUM(M642:O642),10),0))</f>
        <v>-25</v>
      </c>
      <c r="F642" s="28" t="n">
        <v>0</v>
      </c>
      <c r="G642" s="28" t="n">
        <f>IF(AND(ISNUMBER(D642),ISNUMBER(E642)),IF(OR(E642&lt;=0,L642=0),0,E642-D642),"")</f>
        <v>0</v>
      </c>
      <c r="H642" s="16" t="str">
        <f>IF(NOT(ISNUMBER(E642)),"销量或海外库存待补",IF(OR(E642&lt;=0,L642=0),IF(L642=0,"零日销，本批不发","本批无需补货"),IF(NOT(ISNUMBER(D642)),"国内库存待补",IF(D642=0,"国内无可用库存",IF(G642&gt;0,"先发国内现货","按建议量发货")))))</f>
        <v>本批无需补货</v>
      </c>
      <c r="I642" s="28" t="n">
        <f>IF(AND(COUNT(Z642,AA642,AB642)=3,Z642&gt;=AA642,AA642&gt;=0,AB642=7),Z642-AA642,"")</f>
        <v>13</v>
      </c>
      <c r="J642" s="28" t="n">
        <f>IF(AND(COUNT(AF642,AG642,AH642)=3,AF642&gt;=AG642,AG642&gt;=0,AH642=14),AF642-AG642,"")</f>
        <v>17</v>
      </c>
      <c r="K642" s="28" t="n">
        <f>IF(AND(COUNT(AL642,AM642,AN642)=3,AL642&gt;=AM642,AM642&gt;=0,AN642=30),AL642-AM642,"")</f>
        <v>28</v>
      </c>
      <c r="L642" s="29" t="n">
        <f>IF(ISNUMBER(BI642),BI642/90,"")</f>
        <v>0.8253572654139695</v>
      </c>
      <c r="M642" s="28" t="n">
        <v>28</v>
      </c>
      <c r="N642" s="28" t="n">
        <v>0</v>
      </c>
      <c r="O642" s="28" t="n">
        <v>71</v>
      </c>
      <c r="P642" s="30" t="n">
        <f>IF(AND(ISNUMBER(L642),L642&gt;0,COUNT(M642:O642)=3,MIN(M642:O642)&gt;=0),SUM(M642:O642)/L642,"")</f>
        <v>119.9480566156344</v>
      </c>
      <c r="Q642" s="16" t="str">
        <v>沿用原计划SKU店铺</v>
      </c>
      <c r="R642" s="16" t="str">
        <v>已匹配</v>
      </c>
      <c r="S642" s="16" t="str">
        <v>在售</v>
      </c>
      <c r="T642" s="16" t="str">
        <v>230918</v>
      </c>
      <c r="U642" s="16" t="str">
        <v>驼色</v>
      </c>
      <c r="V642" s="16" t="n">
        <v>8</v>
      </c>
      <c r="W642" s="8" t="str">
        <v>2026-10-11 至 2026-10-17</v>
      </c>
      <c r="X642" s="8" t="str">
        <v>2026-10-11、2026-10-12、2026-10-13、2026-10-14、2026-10-15、2026-10-16、2026-10-17</v>
      </c>
      <c r="Y642" s="8" t="str">
        <v>无</v>
      </c>
      <c r="Z642" s="8" t="n">
        <v>13</v>
      </c>
      <c r="AA642" s="8" t="n">
        <v>0</v>
      </c>
      <c r="AB642" s="8" t="n">
        <v>7</v>
      </c>
      <c r="AC642" s="8" t="str">
        <v>2026-10-02 至 2026-10-17</v>
      </c>
      <c r="AD642" s="8" t="str">
        <v>2026-10-02、2026-10-03、2026-10-04、2026-10-05、2026-10-08、2026-10-09、2026-10-10、2026-10-11、2026-10-12、2026-10-13、2026-10-14、2026-10-15、2026-10-16、2026-10-17</v>
      </c>
      <c r="AE642" s="8" t="str">
        <v>2026-10-06 大促；2026-10-07 大促</v>
      </c>
      <c r="AF642" s="8" t="n">
        <v>19</v>
      </c>
      <c r="AG642" s="8" t="n">
        <v>2</v>
      </c>
      <c r="AH642" s="8" t="n">
        <v>14</v>
      </c>
      <c r="AI642" s="8" t="str">
        <v>2026-09-16 至 2026-10-17</v>
      </c>
      <c r="AJ6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2" s="8" t="str">
        <v>2026-10-06 大促；2026-10-07 大促</v>
      </c>
      <c r="AL642" s="8" t="n">
        <v>30</v>
      </c>
      <c r="AM642" s="8" t="n">
        <v>2</v>
      </c>
      <c r="AN642" s="8" t="n">
        <v>30</v>
      </c>
      <c r="AO642" s="8" t="str">
        <v>230918 / 驼色 / 13120</v>
      </c>
      <c r="AP642" s="11" t="n">
        <v>1.6747911769553039</v>
      </c>
      <c r="AQ642" s="11" t="n">
        <v>1.6747911769553039</v>
      </c>
      <c r="AR642" s="11" t="n">
        <v>1.7386907395039133</v>
      </c>
      <c r="AS642" s="11" t="n">
        <f>IF(AND(COUNT(I642:K642,AP642:AR642)=6,MIN(AP642:AR642)&gt;0),I642/7/AP642*0.5+J642/14/AQ642*0.3+K642/30/AR642*0.2,"")</f>
        <v>0.8793117269123959</v>
      </c>
      <c r="AT642" s="8" t="n">
        <v>57</v>
      </c>
      <c r="AU642" s="8" t="n">
        <v>2</v>
      </c>
      <c r="AV642" s="8" t="n">
        <v>88</v>
      </c>
      <c r="AW642" s="11" t="n">
        <f>IF(AND(COUNT(AT642:AV642)=3,AT642&gt;=AU642,AU642&gt;=0,AV642&gt;0),(AT642-AU642)/AV642,"")</f>
        <v>0.625</v>
      </c>
      <c r="AX642" s="8" t="n">
        <v>97</v>
      </c>
      <c r="AY642" s="8" t="n">
        <v>2</v>
      </c>
      <c r="AZ642" s="8" t="n">
        <v>178</v>
      </c>
      <c r="BA642" s="11" t="n">
        <f>IF(AND(COUNT(AX642:AZ642)=3,AX642&gt;=AY642,AY642&gt;=0,AZ642&gt;0),(AX642-AY642)/AZ642,"")</f>
        <v>0.5337078651685393</v>
      </c>
      <c r="BB642" s="8" t="n">
        <f>IF(COUNT(AS642,AW642,BA642)=3,1,0)</f>
        <v>1</v>
      </c>
      <c r="BC642" s="11" t="n">
        <f>IF(SUMIF($AO$11:$AO$1309,AO642,$BB$11:$BB$1309)=COUNTIF($AO$11:$AO$1309,AO642),SUMIF($AO$11:$AO$1309,AO642,$AS$11:$AS$1309),"")</f>
        <v>2.0831057239042963</v>
      </c>
      <c r="BD642" s="11" t="n">
        <f>IF(SUMIF($AO$11:$AO$1309,AO642,$BB$11:$BB$1309)=COUNTIF($AO$11:$AO$1309,AO642),SUMIF($AO$11:$AO$1309,AO642,$AW$11:$AW$1309),"")</f>
        <v>1.9659090909090908</v>
      </c>
      <c r="BE642" s="11" t="n">
        <f>IF(SUMIF($AO$11:$AO$1309,AO642,$BB$11:$BB$1309)=COUNTIF($AO$11:$AO$1309,AO642),SUMIF($AO$11:$AO$1309,AO642,$BA$11:$BA$1309),"")</f>
        <v>1.6629213483146068</v>
      </c>
      <c r="BF642" s="12" t="n">
        <f>IF(COUNT(BD642:BE642)&lt;&gt;2,"",IF(AND(BD642&gt;0,BE642&gt;0),0.7*AW642/BD642+0.3*BA642/BE642,IF(BD642&gt;0,AW642/BD642,IF(BE642&gt;0,BA642/BE642,IF(AND(ISNUMBER(BH642),BH642=0),0,"")))))</f>
        <v>0.3188271363849398</v>
      </c>
      <c r="BG642" s="11" t="n">
        <f>IF(AND(COUNT(BN642:BU642)=8,MIN(BN642:BU642)&gt;=0),SUMPRODUCT(BN642:BQ642,BR642:BU642),"")</f>
        <v>111.84534083910866</v>
      </c>
      <c r="BH642" s="11" t="n">
        <f>IF(COUNT(BC642,BG642)=2,BC642*BG642,"")</f>
        <v>232.9856696939742</v>
      </c>
      <c r="BI642" s="11" t="n">
        <f>IF(ISNUMBER(CI642),CI642,"")</f>
        <v>74.28215388725725</v>
      </c>
      <c r="BJ642" s="8" t="str"/>
      <c r="BK642" s="8" t="str">
        <v>90天：2026-07-20 至 2026-10-17；180天：2026-04-21 至 2026-10-17</v>
      </c>
      <c r="BL642" s="8" t="str">
        <v>90天：2026-10-06、2026-10-07；180天：2026-10-06、2026-10-07</v>
      </c>
      <c r="BM642" s="8" t="str">
        <v>2026-10：12天 × 1.6747911769553037；2026-11：30天 × 1.5065205700457112；2026-12：31天 × 1.1492423388181006；2027-01：17天 × 0.6426892418183868</v>
      </c>
      <c r="BN642" s="11" t="n">
        <v>1.6747911769553037</v>
      </c>
      <c r="BO642" s="11" t="n">
        <v>1.5065205700457112</v>
      </c>
      <c r="BP642" s="11" t="n">
        <v>1.1492423388181006</v>
      </c>
      <c r="BQ642" s="11" t="n">
        <v>0.6426892418183868</v>
      </c>
      <c r="BR642" s="8" t="n">
        <v>12</v>
      </c>
      <c r="BS642" s="8" t="n">
        <v>30</v>
      </c>
      <c r="BT642" s="8" t="n">
        <v>31</v>
      </c>
      <c r="BU642" s="8" t="n">
        <v>17</v>
      </c>
      <c r="BV642" s="11" t="n">
        <f>IF(COUNT(BC642,BF642)=2,BC642*BF642,"")</f>
        <v>0.6641506327394838</v>
      </c>
      <c r="BW642" s="11" t="n">
        <f>IF(ISNUMBER(BN642),BN642,"")</f>
        <v>1.6747911769553037</v>
      </c>
      <c r="BX642" s="14" t="n">
        <f>IF(ISNUMBER(BR642),BR642,"")</f>
        <v>12</v>
      </c>
      <c r="BY642" s="13" t="n">
        <f>IF(AND(COUNT(BV642,BW642,BX642)=3,MIN(BV642,BW642,BX642)&gt;=0),BV642*BW642*BX642,"")</f>
        <v>13.347763438576436</v>
      </c>
      <c r="BZ642" s="11" t="n">
        <f>IF(ISNUMBER(BO642),BO642,"")</f>
        <v>1.5065205700457112</v>
      </c>
      <c r="CA642" s="14" t="n">
        <f>IF(ISNUMBER(BS642),BS642,"")</f>
        <v>30</v>
      </c>
      <c r="CB642" s="13" t="n">
        <f>IF(AND(COUNT(BV642,BZ642,CA642)=3,MIN(BV642,BZ642,CA642)&gt;=0),BV642*BZ642*CA642,"")</f>
        <v>30.01669769492721</v>
      </c>
      <c r="CC642" s="11" t="n">
        <f>IF(ISNUMBER(BP642),BP642,"")</f>
        <v>1.1492423388181006</v>
      </c>
      <c r="CD642" s="14" t="n">
        <f>IF(ISNUMBER(BT642),BT642,"")</f>
        <v>31</v>
      </c>
      <c r="CE642" s="13" t="n">
        <f>IF(AND(COUNT(BV642,CC642,CD642)=3,MIN(BV642,CC642,CD642)&gt;=0),BV642*CC642*CD642,"")</f>
        <v>23.66137082140842</v>
      </c>
      <c r="CF642" s="11" t="n">
        <f>IF(ISNUMBER(BQ642),BQ642,"")</f>
        <v>0.6426892418183868</v>
      </c>
      <c r="CG642" s="14" t="n">
        <f>IF(ISNUMBER(BU642),BU642,"")</f>
        <v>17</v>
      </c>
      <c r="CH642" s="13" t="n">
        <f>IF(AND(COUNT(BV642,CF642,CG642)=3,MIN(BV642,CF642,CG642)&gt;=0),BV642*CF642*CG642,"")</f>
        <v>7.256321932345193</v>
      </c>
      <c r="CI642" s="13" t="n">
        <f>IF(COUNT(BY642,CB642,CE642,CH642)=4,SUM(BY642,CB642,CE642,CH642),"")</f>
        <v>74.28215388725725</v>
      </c>
    </row>
    <row r="643" ht="72" customHeight="1">
      <c r="A643" s="16" t="str">
        <v>230918-TN-S-Z-9</v>
      </c>
      <c r="B643" s="16" t="str">
        <v>1店-MUSSHOE-US</v>
      </c>
      <c r="C643" s="16" t="str">
        <v>艾年</v>
      </c>
      <c r="D643" s="26" t="n">
        <f>IF(NOT(ISNUMBER(E643)),"",IF(OR(E643&lt;=0,L643=0),0,IF(OR(NOT(ISNUMBER(F643)),F643&lt;0),"",MIN(E643,INT(F643)))))</f>
        <v>0</v>
      </c>
      <c r="E643" s="27" t="n">
        <f>IF(OR(NOT(ISNUMBER(L643)),COUNT(M643:O643)&lt;&gt;3,MIN(M643:O643)&lt;0),"",ROUNDUP(ROUND(BI643-SUM(M643:O643),10),0))</f>
        <v>-11</v>
      </c>
      <c r="F643" s="28" t="n">
        <v>59</v>
      </c>
      <c r="G643" s="28" t="n">
        <f>IF(AND(ISNUMBER(D643),ISNUMBER(E643)),IF(OR(E643&lt;=0,L643=0),0,E643-D643),"")</f>
        <v>0</v>
      </c>
      <c r="H643" s="16" t="str">
        <f>IF(NOT(ISNUMBER(E643)),"销量或海外库存待补",IF(OR(E643&lt;=0,L643=0),IF(L643=0,"零日销，本批不发","本批无需补货"),IF(NOT(ISNUMBER(D643)),"国内库存待补",IF(D643=0,"国内无可用库存",IF(G643&gt;0,"先发国内现货","按建议量发货")))))</f>
        <v>本批无需补货</v>
      </c>
      <c r="I643" s="28" t="n">
        <f>IF(AND(COUNT(Z643,AA643,AB643)=3,Z643&gt;=AA643,AA643&gt;=0,AB643=7),Z643-AA643,"")</f>
        <v>4</v>
      </c>
      <c r="J643" s="28" t="n">
        <f>IF(AND(COUNT(AF643,AG643,AH643)=3,AF643&gt;=AG643,AG643&gt;=0,AH643=14),AF643-AG643,"")</f>
        <v>7</v>
      </c>
      <c r="K643" s="28" t="n">
        <f>IF(AND(COUNT(AL643,AM643,AN643)=3,AL643&gt;=AM643,AM643&gt;=0,AN643=30),AL643-AM643,"")</f>
        <v>15</v>
      </c>
      <c r="L643" s="29" t="n">
        <f>IF(ISNUMBER(BI643),BI643/90,"")</f>
        <v>0.751953979383217</v>
      </c>
      <c r="M643" s="28" t="n">
        <v>54</v>
      </c>
      <c r="N643" s="28" t="n">
        <v>0</v>
      </c>
      <c r="O643" s="28" t="n">
        <v>24</v>
      </c>
      <c r="P643" s="30" t="n">
        <f>IF(AND(ISNUMBER(L643),L643&gt;0,COUNT(M643:O643)=3,MIN(M643:O643)&gt;=0),SUM(M643:O643)/L643,"")</f>
        <v>103.72975227018381</v>
      </c>
      <c r="Q643" s="16" t="str">
        <v>沿用原计划SKU店铺</v>
      </c>
      <c r="R643" s="16" t="str">
        <v>已匹配</v>
      </c>
      <c r="S643" s="16" t="str">
        <v>在售</v>
      </c>
      <c r="T643" s="16" t="str">
        <v>230918</v>
      </c>
      <c r="U643" s="16" t="str">
        <v>驼色</v>
      </c>
      <c r="V643" s="16" t="n">
        <v>9</v>
      </c>
      <c r="W643" s="8" t="str">
        <v>2026-10-11 至 2026-10-17</v>
      </c>
      <c r="X643" s="8" t="str">
        <v>2026-10-11、2026-10-12、2026-10-13、2026-10-14、2026-10-15、2026-10-16、2026-10-17</v>
      </c>
      <c r="Y643" s="8" t="str">
        <v>无</v>
      </c>
      <c r="Z643" s="8" t="n">
        <v>4</v>
      </c>
      <c r="AA643" s="8" t="n">
        <v>0</v>
      </c>
      <c r="AB643" s="8" t="n">
        <v>7</v>
      </c>
      <c r="AC643" s="8" t="str">
        <v>2026-10-02 至 2026-10-17</v>
      </c>
      <c r="AD643" s="8" t="str">
        <v>2026-10-02、2026-10-03、2026-10-04、2026-10-05、2026-10-08、2026-10-09、2026-10-10、2026-10-11、2026-10-12、2026-10-13、2026-10-14、2026-10-15、2026-10-16、2026-10-17</v>
      </c>
      <c r="AE643" s="8" t="str">
        <v>2026-10-06 大促；2026-10-07 大促</v>
      </c>
      <c r="AF643" s="8" t="n">
        <v>10</v>
      </c>
      <c r="AG643" s="8" t="n">
        <v>3</v>
      </c>
      <c r="AH643" s="8" t="n">
        <v>14</v>
      </c>
      <c r="AI643" s="8" t="str">
        <v>2026-09-16 至 2026-10-17</v>
      </c>
      <c r="AJ6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3" s="8" t="str">
        <v>2026-10-06 大促；2026-10-07 大促</v>
      </c>
      <c r="AL643" s="8" t="n">
        <v>18</v>
      </c>
      <c r="AM643" s="8" t="n">
        <v>3</v>
      </c>
      <c r="AN643" s="8" t="n">
        <v>30</v>
      </c>
      <c r="AO643" s="8" t="str">
        <v>230918 / 驼色 / 13120</v>
      </c>
      <c r="AP643" s="11" t="n">
        <v>1.6747911769553039</v>
      </c>
      <c r="AQ643" s="11" t="n">
        <v>1.6747911769553039</v>
      </c>
      <c r="AR643" s="11" t="n">
        <v>1.7386907395039133</v>
      </c>
      <c r="AS643" s="11" t="n">
        <f>IF(AND(COUNT(I643:K643,AP643:AR643)=6,MIN(AP643:AR643)&gt;0),I643/7/AP643*0.5+J643/14/AQ643*0.3+K643/30/AR643*0.2,"")</f>
        <v>0.31767490718749736</v>
      </c>
      <c r="AT643" s="8" t="n">
        <v>55</v>
      </c>
      <c r="AU643" s="8" t="n">
        <v>3</v>
      </c>
      <c r="AV643" s="8" t="n">
        <v>88</v>
      </c>
      <c r="AW643" s="11" t="n">
        <f>IF(AND(COUNT(AT643:AV643)=3,AT643&gt;=AU643,AU643&gt;=0,AV643&gt;0),(AT643-AU643)/AV643,"")</f>
        <v>0.5909090909090909</v>
      </c>
      <c r="AX643" s="8" t="n">
        <v>82</v>
      </c>
      <c r="AY643" s="8" t="n">
        <v>3</v>
      </c>
      <c r="AZ643" s="8" t="n">
        <v>178</v>
      </c>
      <c r="BA643" s="11" t="n">
        <f>IF(AND(COUNT(AX643:AZ643)=3,AX643&gt;=AY643,AY643&gt;=0,AZ643&gt;0),(AX643-AY643)/AZ643,"")</f>
        <v>0.4438202247191011</v>
      </c>
      <c r="BB643" s="8" t="n">
        <f>IF(COUNT(AS643,AW643,BA643)=3,1,0)</f>
        <v>1</v>
      </c>
      <c r="BC643" s="11" t="n">
        <f>IF(SUMIF($AO$11:$AO$1309,AO643,$BB$11:$BB$1309)=COUNTIF($AO$11:$AO$1309,AO643),SUMIF($AO$11:$AO$1309,AO643,$AS$11:$AS$1309),"")</f>
        <v>2.0831057239042963</v>
      </c>
      <c r="BD643" s="11" t="n">
        <f>IF(SUMIF($AO$11:$AO$1309,AO643,$BB$11:$BB$1309)=COUNTIF($AO$11:$AO$1309,AO643),SUMIF($AO$11:$AO$1309,AO643,$AW$11:$AW$1309),"")</f>
        <v>1.9659090909090908</v>
      </c>
      <c r="BE643" s="11" t="n">
        <f>IF(SUMIF($AO$11:$AO$1309,AO643,$BB$11:$BB$1309)=COUNTIF($AO$11:$AO$1309,AO643),SUMIF($AO$11:$AO$1309,AO643,$BA$11:$BA$1309),"")</f>
        <v>1.6629213483146068</v>
      </c>
      <c r="BF643" s="12" t="n">
        <f>IF(COUNT(BD643:BE643)&lt;&gt;2,"",IF(AND(BD643&gt;0,BE643&gt;0),0.7*AW643/BD643+0.3*BA643/BE643,IF(BD643&gt;0,AW643/BD643,IF(BE643&gt;0,BA643/BE643,IF(AND(ISNUMBER(BH643),BH643=0),0,"")))))</f>
        <v>0.2904721918450242</v>
      </c>
      <c r="BG643" s="11" t="n">
        <f>IF(AND(COUNT(BN643:BU643)=8,MIN(BN643:BU643)&gt;=0),SUMPRODUCT(BN643:BQ643,BR643:BU643),"")</f>
        <v>111.84534083910866</v>
      </c>
      <c r="BH643" s="11" t="n">
        <f>IF(COUNT(BC643,BG643)=2,BC643*BG643,"")</f>
        <v>232.9856696939742</v>
      </c>
      <c r="BI643" s="11" t="n">
        <f>IF(ISNUMBER(CI643),CI643,"")</f>
        <v>67.67585814448952</v>
      </c>
      <c r="BJ643" s="8" t="str"/>
      <c r="BK643" s="8" t="str">
        <v>90天：2026-07-20 至 2026-10-17；180天：2026-04-21 至 2026-10-17</v>
      </c>
      <c r="BL643" s="8" t="str">
        <v>90天：2026-10-06、2026-10-07；180天：2026-10-06、2026-10-07</v>
      </c>
      <c r="BM643" s="8" t="str">
        <v>2026-10：12天 × 1.6747911769553037；2026-11：30天 × 1.5065205700457112；2026-12：31天 × 1.1492423388181006；2027-01：17天 × 0.6426892418183868</v>
      </c>
      <c r="BN643" s="11" t="n">
        <v>1.6747911769553037</v>
      </c>
      <c r="BO643" s="11" t="n">
        <v>1.5065205700457112</v>
      </c>
      <c r="BP643" s="11" t="n">
        <v>1.1492423388181006</v>
      </c>
      <c r="BQ643" s="11" t="n">
        <v>0.6426892418183868</v>
      </c>
      <c r="BR643" s="8" t="n">
        <v>12</v>
      </c>
      <c r="BS643" s="8" t="n">
        <v>30</v>
      </c>
      <c r="BT643" s="8" t="n">
        <v>31</v>
      </c>
      <c r="BU643" s="8" t="n">
        <v>17</v>
      </c>
      <c r="BV643" s="11" t="n">
        <f>IF(COUNT(BC643,BF643)=2,BC643*BF643,"")</f>
        <v>0.6050842854673968</v>
      </c>
      <c r="BW643" s="11" t="n">
        <f>IF(ISNUMBER(BN643),BN643,"")</f>
        <v>1.6747911769553037</v>
      </c>
      <c r="BX643" s="14" t="n">
        <f>IF(ISNUMBER(BR643),BR643,"")</f>
        <v>12</v>
      </c>
      <c r="BY643" s="13" t="n">
        <f>IF(AND(COUNT(BV643,BW643,BX643)=3,MIN(BV643,BW643,BX643)&gt;=0),BV643*BW643*BX643,"")</f>
        <v>12.160677871381203</v>
      </c>
      <c r="BZ643" s="11" t="n">
        <f>IF(ISNUMBER(BO643),BO643,"")</f>
        <v>1.5065205700457112</v>
      </c>
      <c r="CA643" s="14" t="n">
        <f>IF(ISNUMBER(BS643),BS643,"")</f>
        <v>30</v>
      </c>
      <c r="CB643" s="13" t="n">
        <f>IF(AND(COUNT(BV643,BZ643,CA643)=3,MIN(BV643,BZ643,CA643)&gt;=0),BV643*BZ643*CA643,"")</f>
        <v>27.347157680041335</v>
      </c>
      <c r="CC643" s="11" t="n">
        <f>IF(ISNUMBER(BP643),BP643,"")</f>
        <v>1.1492423388181006</v>
      </c>
      <c r="CD643" s="14" t="n">
        <f>IF(ISNUMBER(BT643),BT643,"")</f>
        <v>31</v>
      </c>
      <c r="CE643" s="13" t="n">
        <f>IF(AND(COUNT(BV643,CC643,CD643)=3,MIN(BV643,CC643,CD643)&gt;=0),BV643*CC643*CD643,"")</f>
        <v>21.557042861791537</v>
      </c>
      <c r="CF643" s="11" t="n">
        <f>IF(ISNUMBER(BQ643),BQ643,"")</f>
        <v>0.6426892418183868</v>
      </c>
      <c r="CG643" s="14" t="n">
        <f>IF(ISNUMBER(BU643),BU643,"")</f>
        <v>17</v>
      </c>
      <c r="CH643" s="13" t="n">
        <f>IF(AND(COUNT(BV643,CF643,CG643)=3,MIN(BV643,CF643,CG643)&gt;=0),BV643*CF643*CG643,"")</f>
        <v>6.610979731275447</v>
      </c>
      <c r="CI643" s="13" t="n">
        <f>IF(COUNT(BY643,CB643,CE643,CH643)=4,SUM(BY643,CB643,CE643,CH643),"")</f>
        <v>67.67585814448952</v>
      </c>
    </row>
    <row r="644" ht="72" customHeight="1">
      <c r="A644" s="16" t="str">
        <v>2311062-BK-P-O-10</v>
      </c>
      <c r="B644" s="16" t="str">
        <v>4店-彬郁-US</v>
      </c>
      <c r="C644" s="16" t="str">
        <v>陈晨</v>
      </c>
      <c r="D644" s="26" t="n">
        <f>IF(NOT(ISNUMBER(E644)),"",IF(OR(E644&lt;=0,L644=0),0,IF(OR(NOT(ISNUMBER(F644)),F644&lt;0),"",MIN(E644,INT(F644)))))</f>
        <v>0</v>
      </c>
      <c r="E644" s="27" t="n">
        <f>IF(OR(NOT(ISNUMBER(L644)),COUNT(M644:O644)&lt;&gt;3,MIN(M644:O644)&lt;0),"",ROUNDUP(ROUND(BI644-SUM(M644:O644),10),0))</f>
        <v>-91</v>
      </c>
      <c r="F644" s="28" t="n">
        <v>32</v>
      </c>
      <c r="G644" s="28" t="n">
        <f>IF(AND(ISNUMBER(D644),ISNUMBER(E644)),IF(OR(E644&lt;=0,L644=0),0,E644-D644),"")</f>
        <v>0</v>
      </c>
      <c r="H644" s="16" t="str">
        <f>IF(NOT(ISNUMBER(E644)),"销量或海外库存待补",IF(OR(E644&lt;=0,L644=0),IF(L644=0,"零日销，本批不发","本批无需补货"),IF(NOT(ISNUMBER(D644)),"国内库存待补",IF(D644=0,"国内无可用库存",IF(G644&gt;0,"先发国内现货","按建议量发货")))))</f>
        <v>本批无需补货</v>
      </c>
      <c r="I644" s="28" t="n">
        <f>IF(AND(COUNT(Z644,AA644,AB644)=3,Z644&gt;=AA644,AA644&gt;=0,AB644=7),Z644-AA644,"")</f>
        <v>3</v>
      </c>
      <c r="J644" s="28" t="n">
        <f>IF(AND(COUNT(AF644,AG644,AH644)=3,AF644&gt;=AG644,AG644&gt;=0,AH644=14),AF644-AG644,"")</f>
        <v>4</v>
      </c>
      <c r="K644" s="28" t="n">
        <f>IF(AND(COUNT(AL644,AM644,AN644)=3,AL644&gt;=AM644,AM644&gt;=0,AN644=30),AL644-AM644,"")</f>
        <v>13</v>
      </c>
      <c r="L644" s="29" t="n">
        <f>IF(ISNUMBER(BI644),BI644/90,"")</f>
        <v>0.39056262586619317</v>
      </c>
      <c r="M644" s="28" t="n">
        <v>106</v>
      </c>
      <c r="N644" s="28" t="n">
        <v>0</v>
      </c>
      <c r="O644" s="28" t="n">
        <v>20</v>
      </c>
      <c r="P644" s="30" t="n">
        <f>IF(AND(ISNUMBER(L644),L644&gt;0,COUNT(M644:O644)=3,MIN(M644:O644)&gt;=0),SUM(M644:O644)/L644,"")</f>
        <v>322.6115138911618</v>
      </c>
      <c r="Q644" s="16" t="str">
        <v>沿用原计划SKU店铺</v>
      </c>
      <c r="R644" s="16" t="str">
        <v>已匹配</v>
      </c>
      <c r="S644" s="16" t="str">
        <v>在售</v>
      </c>
      <c r="T644" s="16" t="str">
        <v>2311062</v>
      </c>
      <c r="U644" s="16" t="str">
        <v>黑色 PU</v>
      </c>
      <c r="V644" s="16" t="n">
        <v>10</v>
      </c>
      <c r="W644" s="8" t="str">
        <v>2026-10-11 至 2026-10-17</v>
      </c>
      <c r="X644" s="8" t="str">
        <v>2026-10-11、2026-10-12、2026-10-13、2026-10-14、2026-10-15、2026-10-16、2026-10-17</v>
      </c>
      <c r="Y644" s="8" t="str">
        <v>无</v>
      </c>
      <c r="Z644" s="8" t="n">
        <v>3</v>
      </c>
      <c r="AA644" s="8" t="n">
        <v>0</v>
      </c>
      <c r="AB644" s="8" t="n">
        <v>7</v>
      </c>
      <c r="AC644" s="8" t="str">
        <v>2026-10-02 至 2026-10-17</v>
      </c>
      <c r="AD644" s="8" t="str">
        <v>2026-10-02、2026-10-03、2026-10-04、2026-10-05、2026-10-08、2026-10-09、2026-10-10、2026-10-11、2026-10-12、2026-10-13、2026-10-14、2026-10-15、2026-10-16、2026-10-17</v>
      </c>
      <c r="AE644" s="8" t="str">
        <v>2026-10-06 大促；2026-10-07 大促</v>
      </c>
      <c r="AF644" s="8" t="n">
        <v>7</v>
      </c>
      <c r="AG644" s="8" t="n">
        <v>3</v>
      </c>
      <c r="AH644" s="8" t="n">
        <v>14</v>
      </c>
      <c r="AI644" s="8" t="str">
        <v>2026-09-16 至 2026-10-17</v>
      </c>
      <c r="AJ6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4" s="8" t="str">
        <v>2026-10-06 大促；2026-10-07 大促</v>
      </c>
      <c r="AL644" s="8" t="n">
        <v>16</v>
      </c>
      <c r="AM644" s="8" t="n">
        <v>3</v>
      </c>
      <c r="AN644" s="8" t="n">
        <v>30</v>
      </c>
      <c r="AO644" s="8" t="str">
        <v>2311062 / 黑色PU / 13306</v>
      </c>
      <c r="AP644" s="11" t="n">
        <v>1.4758912429949873</v>
      </c>
      <c r="AQ644" s="11" t="n">
        <v>1.4758912429949873</v>
      </c>
      <c r="AR644" s="11" t="n">
        <v>1.4124697525543728</v>
      </c>
      <c r="AS644" s="11" t="n">
        <f>IF(AND(COUNT(I644:K644,AP644:AR644)=6,MIN(AP644:AR644)&gt;0),I644/7/AP644*0.5+J644/14/AQ644*0.3+K644/30/AR644*0.2,"")</f>
        <v>0.2646252560532385</v>
      </c>
      <c r="AT644" s="8" t="n">
        <v>77</v>
      </c>
      <c r="AU644" s="8" t="n">
        <v>3</v>
      </c>
      <c r="AV644" s="8" t="n">
        <v>88</v>
      </c>
      <c r="AW644" s="11" t="n">
        <f>IF(AND(COUNT(AT644:AV644)=3,AT644&gt;=AU644,AU644&gt;=0,AV644&gt;0),(AT644-AU644)/AV644,"")</f>
        <v>0.8409090909090909</v>
      </c>
      <c r="AX644" s="8" t="n">
        <v>153</v>
      </c>
      <c r="AY644" s="8" t="n">
        <v>3</v>
      </c>
      <c r="AZ644" s="8" t="n">
        <v>178</v>
      </c>
      <c r="BA644" s="11" t="n">
        <f>IF(AND(COUNT(AX644:AZ644)=3,AX644&gt;=AY644,AY644&gt;=0,AZ644&gt;0),(AX644-AY644)/AZ644,"")</f>
        <v>0.8426966292134831</v>
      </c>
      <c r="BB644" s="8" t="n">
        <f>IF(COUNT(AS644,AW644,BA644)=3,1,0)</f>
        <v>1</v>
      </c>
      <c r="BC644" s="11" t="n">
        <f>IF(SUMIF($AO$11:$AO$1309,AO644,$BB$11:$BB$1309)=COUNTIF($AO$11:$AO$1309,AO644),SUMIF($AO$11:$AO$1309,AO644,$AS$11:$AS$1309),"")</f>
        <v>4.756690693909693</v>
      </c>
      <c r="BD644" s="11" t="n">
        <f>IF(SUMIF($AO$11:$AO$1309,AO644,$BB$11:$BB$1309)=COUNTIF($AO$11:$AO$1309,AO644),SUMIF($AO$11:$AO$1309,AO644,$AW$11:$AW$1309),"")</f>
        <v>9.727272727272727</v>
      </c>
      <c r="BE644" s="11" t="n">
        <f>IF(SUMIF($AO$11:$AO$1309,AO644,$BB$11:$BB$1309)=COUNTIF($AO$11:$AO$1309,AO644),SUMIF($AO$11:$AO$1309,AO644,$BA$11:$BA$1309),"")</f>
        <v>9.140449438202248</v>
      </c>
      <c r="BF644" s="12" t="n">
        <f>IF(COUNT(BD644:BE644)&lt;&gt;2,"",IF(AND(BD644&gt;0,BE644&gt;0),0.7*AW644/BD644+0.3*BA644/BE644,IF(BD644&gt;0,AW644/BD644,IF(BE644&gt;0,BA644/BE644,IF(AND(ISNUMBER(BH644),BH644=0),0,"")))))</f>
        <v>0.08817228544020586</v>
      </c>
      <c r="BG644" s="11" t="n">
        <f>IF(AND(COUNT(BN644:BU644)=8,MIN(BN644:BU644)&gt;=0),SUMPRODUCT(BN644:BQ644,BR644:BU644),"")</f>
        <v>83.81006574832674</v>
      </c>
      <c r="BH644" s="11" t="n">
        <f>IF(COUNT(BC644,BG644)=2,BC644*BG644,"")</f>
        <v>398.6585598010253</v>
      </c>
      <c r="BI644" s="11" t="n">
        <f>IF(ISNUMBER(CI644),CI644,"")</f>
        <v>35.150636327957386</v>
      </c>
      <c r="BJ644" s="8" t="str"/>
      <c r="BK644" s="8" t="str">
        <v>90天：2026-07-20 至 2026-10-17；180天：2026-04-21 至 2026-10-17</v>
      </c>
      <c r="BL644" s="8" t="str">
        <v>90天：2026-10-06、2026-10-07；180天：2026-10-06、2026-10-07</v>
      </c>
      <c r="BM644" s="8" t="str">
        <v>2026-10：12天 × 1.4758912429949873；2026-11：30天 × 0.906602681585801；2026-12：31天 × 0.6189770892129804；2027-01：17天 × 1.1595882717182624</v>
      </c>
      <c r="BN644" s="11" t="n">
        <v>1.4758912429949873</v>
      </c>
      <c r="BO644" s="11" t="n">
        <v>0.906602681585801</v>
      </c>
      <c r="BP644" s="11" t="n">
        <v>0.6189770892129804</v>
      </c>
      <c r="BQ644" s="11" t="n">
        <v>1.1595882717182624</v>
      </c>
      <c r="BR644" s="8" t="n">
        <v>12</v>
      </c>
      <c r="BS644" s="8" t="n">
        <v>30</v>
      </c>
      <c r="BT644" s="8" t="n">
        <v>31</v>
      </c>
      <c r="BU644" s="8" t="n">
        <v>17</v>
      </c>
      <c r="BV644" s="11" t="n">
        <f>IF(COUNT(BC644,BF644)=2,BC644*BF644,"")</f>
        <v>0.41940828961417637</v>
      </c>
      <c r="BW644" s="11" t="n">
        <f>IF(ISNUMBER(BN644),BN644,"")</f>
        <v>1.4758912429949873</v>
      </c>
      <c r="BX644" s="14" t="n">
        <f>IF(ISNUMBER(BR644),BR644,"")</f>
        <v>12</v>
      </c>
      <c r="BY644" s="13" t="n">
        <f>IF(AND(COUNT(BV644,BW644,BX644)=3,MIN(BV644,BW644,BX644)&gt;=0),BV644*BW644*BX644,"")</f>
        <v>7.428012262572821</v>
      </c>
      <c r="BZ644" s="11" t="n">
        <f>IF(ISNUMBER(BO644),BO644,"")</f>
        <v>0.906602681585801</v>
      </c>
      <c r="CA644" s="14" t="n">
        <f>IF(ISNUMBER(BS644),BS644,"")</f>
        <v>30</v>
      </c>
      <c r="CB644" s="13" t="n">
        <f>IF(AND(COUNT(BV644,BZ644,CA644)=3,MIN(BV644,BZ644,CA644)&gt;=0),BV644*BZ644*CA644,"")</f>
        <v>11.407100401305797</v>
      </c>
      <c r="CC644" s="11" t="n">
        <f>IF(ISNUMBER(BP644),BP644,"")</f>
        <v>0.6189770892129804</v>
      </c>
      <c r="CD644" s="14" t="n">
        <f>IF(ISNUMBER(BT644),BT644,"")</f>
        <v>31</v>
      </c>
      <c r="CE644" s="13" t="n">
        <f>IF(AND(COUNT(BV644,CC644,CD644)=3,MIN(BV644,CC644,CD644)&gt;=0),BV644*CC644*CD644,"")</f>
        <v>8.047727791212505</v>
      </c>
      <c r="CF644" s="11" t="n">
        <f>IF(ISNUMBER(BQ644),BQ644,"")</f>
        <v>1.1595882717182624</v>
      </c>
      <c r="CG644" s="14" t="n">
        <f>IF(ISNUMBER(BU644),BU644,"")</f>
        <v>17</v>
      </c>
      <c r="CH644" s="13" t="n">
        <f>IF(AND(COUNT(BV644,CF644,CG644)=3,MIN(BV644,CF644,CG644)&gt;=0),BV644*CF644*CG644,"")</f>
        <v>8.267795872866259</v>
      </c>
      <c r="CI644" s="13" t="n">
        <f>IF(COUNT(BY644,CB644,CE644,CH644)=4,SUM(BY644,CB644,CE644,CH644),"")</f>
        <v>35.150636327957386</v>
      </c>
    </row>
    <row r="645" ht="72" customHeight="1">
      <c r="A645" s="16" t="str">
        <v>2311062-BK-P-O-11</v>
      </c>
      <c r="B645" s="16" t="str">
        <v>4店-彬郁-US</v>
      </c>
      <c r="C645" s="16" t="str">
        <v>陈晨</v>
      </c>
      <c r="D645" s="26" t="n">
        <f>IF(NOT(ISNUMBER(E645)),"",IF(OR(E645&lt;=0,L645=0),0,IF(OR(NOT(ISNUMBER(F645)),F645&lt;0),"",MIN(E645,INT(F645)))))</f>
        <v>0</v>
      </c>
      <c r="E645" s="27" t="n">
        <f>IF(OR(NOT(ISNUMBER(L645)),COUNT(M645:O645)&lt;&gt;3,MIN(M645:O645)&lt;0),"",ROUNDUP(ROUND(BI645-SUM(M645:O645),10),0))</f>
        <v>-96</v>
      </c>
      <c r="F645" s="28" t="n">
        <v>45</v>
      </c>
      <c r="G645" s="28" t="n">
        <f>IF(AND(ISNUMBER(D645),ISNUMBER(E645)),IF(OR(E645&lt;=0,L645=0),0,E645-D645),"")</f>
        <v>0</v>
      </c>
      <c r="H645" s="16" t="str">
        <f>IF(NOT(ISNUMBER(E645)),"销量或海外库存待补",IF(OR(E645&lt;=0,L645=0),IF(L645=0,"零日销，本批不发","本批无需补货"),IF(NOT(ISNUMBER(D645)),"国内库存待补",IF(D645=0,"国内无可用库存",IF(G645&gt;0,"先发国内现货","按建议量发货")))))</f>
        <v>本批无需补货</v>
      </c>
      <c r="I645" s="28" t="n">
        <f>IF(AND(COUNT(Z645,AA645,AB645)=3,Z645&gt;=AA645,AA645&gt;=0,AB645=7),Z645-AA645,"")</f>
        <v>1</v>
      </c>
      <c r="J645" s="28" t="n">
        <f>IF(AND(COUNT(AF645,AG645,AH645)=3,AF645&gt;=AG645,AG645&gt;=0,AH645=14),AF645-AG645,"")</f>
        <v>3</v>
      </c>
      <c r="K645" s="28" t="n">
        <f>IF(AND(COUNT(AL645,AM645,AN645)=3,AL645&gt;=AM645,AM645&gt;=0,AN645=30),AL645-AM645,"")</f>
        <v>8</v>
      </c>
      <c r="L645" s="29" t="n">
        <f>IF(ISNUMBER(BI645),BI645/90,"")</f>
        <v>0.22692233512037913</v>
      </c>
      <c r="M645" s="28" t="n">
        <v>104</v>
      </c>
      <c r="N645" s="28" t="n">
        <v>1</v>
      </c>
      <c r="O645" s="28" t="n">
        <v>11</v>
      </c>
      <c r="P645" s="30" t="n">
        <f>IF(AND(ISNUMBER(L645),L645&gt;0,COUNT(M645:O645)=3,MIN(M645:O645)&gt;=0),SUM(M645:O645)/L645,"")</f>
        <v>511.18811173198804</v>
      </c>
      <c r="Q645" s="16" t="str">
        <v>沿用原计划SKU店铺</v>
      </c>
      <c r="R645" s="16" t="str">
        <v>已匹配</v>
      </c>
      <c r="S645" s="16" t="str">
        <v>在售</v>
      </c>
      <c r="T645" s="16" t="str">
        <v>2311062</v>
      </c>
      <c r="U645" s="16" t="str">
        <v>黑色 PU</v>
      </c>
      <c r="V645" s="16" t="n">
        <v>11</v>
      </c>
      <c r="W645" s="8" t="str">
        <v>2026-10-11 至 2026-10-17</v>
      </c>
      <c r="X645" s="8" t="str">
        <v>2026-10-11、2026-10-12、2026-10-13、2026-10-14、2026-10-15、2026-10-16、2026-10-17</v>
      </c>
      <c r="Y645" s="8" t="str">
        <v>无</v>
      </c>
      <c r="Z645" s="8" t="n">
        <v>1</v>
      </c>
      <c r="AA645" s="8" t="n">
        <v>0</v>
      </c>
      <c r="AB645" s="8" t="n">
        <v>7</v>
      </c>
      <c r="AC645" s="8" t="str">
        <v>2026-10-02 至 2026-10-17</v>
      </c>
      <c r="AD645" s="8" t="str">
        <v>2026-10-02、2026-10-03、2026-10-04、2026-10-05、2026-10-08、2026-10-09、2026-10-10、2026-10-11、2026-10-12、2026-10-13、2026-10-14、2026-10-15、2026-10-16、2026-10-17</v>
      </c>
      <c r="AE645" s="8" t="str">
        <v>2026-10-06 大促；2026-10-07 大促</v>
      </c>
      <c r="AF645" s="8" t="n">
        <v>3</v>
      </c>
      <c r="AG645" s="8" t="n">
        <v>0</v>
      </c>
      <c r="AH645" s="8" t="n">
        <v>14</v>
      </c>
      <c r="AI645" s="8" t="str">
        <v>2026-09-16 至 2026-10-17</v>
      </c>
      <c r="AJ6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5" s="8" t="str">
        <v>2026-10-06 大促；2026-10-07 大促</v>
      </c>
      <c r="AL645" s="8" t="n">
        <v>8</v>
      </c>
      <c r="AM645" s="8" t="n">
        <v>0</v>
      </c>
      <c r="AN645" s="8" t="n">
        <v>30</v>
      </c>
      <c r="AO645" s="8" t="str">
        <v>2311062 / 黑色PU / 13306</v>
      </c>
      <c r="AP645" s="11" t="n">
        <v>1.4758912429949873</v>
      </c>
      <c r="AQ645" s="11" t="n">
        <v>1.4758912429949873</v>
      </c>
      <c r="AR645" s="11" t="n">
        <v>1.4124697525543728</v>
      </c>
      <c r="AS645" s="11" t="n">
        <f>IF(AND(COUNT(I645:K645,AP645:AR645)=6,MIN(AP645:AR645)&gt;0),I645/7/AP645*0.5+J645/14/AQ645*0.3+K645/30/AR645*0.2,"")</f>
        <v>0.1297130442249622</v>
      </c>
      <c r="AT645" s="8" t="n">
        <v>41</v>
      </c>
      <c r="AU645" s="8" t="n">
        <v>0</v>
      </c>
      <c r="AV645" s="8" t="n">
        <v>88</v>
      </c>
      <c r="AW645" s="11" t="n">
        <f>IF(AND(COUNT(AT645:AV645)=3,AT645&gt;=AU645,AU645&gt;=0,AV645&gt;0),(AT645-AU645)/AV645,"")</f>
        <v>0.4659090909090909</v>
      </c>
      <c r="AX645" s="8" t="n">
        <v>96</v>
      </c>
      <c r="AY645" s="8" t="n">
        <v>0</v>
      </c>
      <c r="AZ645" s="8" t="n">
        <v>178</v>
      </c>
      <c r="BA645" s="11" t="n">
        <f>IF(AND(COUNT(AX645:AZ645)=3,AX645&gt;=AY645,AY645&gt;=0,AZ645&gt;0),(AX645-AY645)/AZ645,"")</f>
        <v>0.5393258426966292</v>
      </c>
      <c r="BB645" s="8" t="n">
        <f>IF(COUNT(AS645,AW645,BA645)=3,1,0)</f>
        <v>1</v>
      </c>
      <c r="BC645" s="11" t="n">
        <f>IF(SUMIF($AO$11:$AO$1309,AO645,$BB$11:$BB$1309)=COUNTIF($AO$11:$AO$1309,AO645),SUMIF($AO$11:$AO$1309,AO645,$AS$11:$AS$1309),"")</f>
        <v>4.756690693909693</v>
      </c>
      <c r="BD645" s="11" t="n">
        <f>IF(SUMIF($AO$11:$AO$1309,AO645,$BB$11:$BB$1309)=COUNTIF($AO$11:$AO$1309,AO645),SUMIF($AO$11:$AO$1309,AO645,$AW$11:$AW$1309),"")</f>
        <v>9.727272727272727</v>
      </c>
      <c r="BE645" s="11" t="n">
        <f>IF(SUMIF($AO$11:$AO$1309,AO645,$BB$11:$BB$1309)=COUNTIF($AO$11:$AO$1309,AO645),SUMIF($AO$11:$AO$1309,AO645,$BA$11:$BA$1309),"")</f>
        <v>9.140449438202248</v>
      </c>
      <c r="BF645" s="12" t="n">
        <f>IF(COUNT(BD645:BE645)&lt;&gt;2,"",IF(AND(BD645&gt;0,BE645&gt;0),0.7*AW645/BD645+0.3*BA645/BE645,IF(BD645&gt;0,AW645/BD645,IF(BE645&gt;0,BA645/BE645,IF(AND(ISNUMBER(BH645),BH645=0),0,"")))))</f>
        <v>0.0512293281022925</v>
      </c>
      <c r="BG645" s="11" t="n">
        <f>IF(AND(COUNT(BN645:BU645)=8,MIN(BN645:BU645)&gt;=0),SUMPRODUCT(BN645:BQ645,BR645:BU645),"")</f>
        <v>83.81006574832674</v>
      </c>
      <c r="BH645" s="11" t="n">
        <f>IF(COUNT(BC645,BG645)=2,BC645*BG645,"")</f>
        <v>398.6585598010253</v>
      </c>
      <c r="BI645" s="11" t="n">
        <f>IF(ISNUMBER(CI645),CI645,"")</f>
        <v>20.42301016083412</v>
      </c>
      <c r="BJ645" s="8" t="str"/>
      <c r="BK645" s="8" t="str">
        <v>90天：2026-07-20 至 2026-10-17；180天：2026-04-21 至 2026-10-17</v>
      </c>
      <c r="BL645" s="8" t="str">
        <v>90天：2026-10-06、2026-10-07；180天：2026-10-06、2026-10-07</v>
      </c>
      <c r="BM645" s="8" t="str">
        <v>2026-10：12天 × 1.4758912429949873；2026-11：30天 × 0.906602681585801；2026-12：31天 × 0.6189770892129804；2027-01：17天 × 1.1595882717182624</v>
      </c>
      <c r="BN645" s="11" t="n">
        <v>1.4758912429949873</v>
      </c>
      <c r="BO645" s="11" t="n">
        <v>0.906602681585801</v>
      </c>
      <c r="BP645" s="11" t="n">
        <v>0.6189770892129804</v>
      </c>
      <c r="BQ645" s="11" t="n">
        <v>1.1595882717182624</v>
      </c>
      <c r="BR645" s="8" t="n">
        <v>12</v>
      </c>
      <c r="BS645" s="8" t="n">
        <v>30</v>
      </c>
      <c r="BT645" s="8" t="n">
        <v>31</v>
      </c>
      <c r="BU645" s="8" t="n">
        <v>17</v>
      </c>
      <c r="BV645" s="11" t="n">
        <f>IF(COUNT(BC645,BF645)=2,BC645*BF645,"")</f>
        <v>0.24368206823942104</v>
      </c>
      <c r="BW645" s="11" t="n">
        <f>IF(ISNUMBER(BN645),BN645,"")</f>
        <v>1.4758912429949873</v>
      </c>
      <c r="BX645" s="14" t="n">
        <f>IF(ISNUMBER(BR645),BR645,"")</f>
        <v>12</v>
      </c>
      <c r="BY645" s="13" t="n">
        <f>IF(AND(COUNT(BV645,BW645,BX645)=3,MIN(BV645,BW645,BX645)&gt;=0),BV645*BW645*BX645,"")</f>
        <v>4.315778767073621</v>
      </c>
      <c r="BZ645" s="11" t="n">
        <f>IF(ISNUMBER(BO645),BO645,"")</f>
        <v>0.906602681585801</v>
      </c>
      <c r="CA645" s="14" t="n">
        <f>IF(ISNUMBER(BS645),BS645,"")</f>
        <v>30</v>
      </c>
      <c r="CB645" s="13" t="n">
        <f>IF(AND(COUNT(BV645,BZ645,CA645)=3,MIN(BV645,BZ645,CA645)&gt;=0),BV645*BZ645*CA645,"")</f>
        <v>6.627684495606998</v>
      </c>
      <c r="CC645" s="11" t="n">
        <f>IF(ISNUMBER(BP645),BP645,"")</f>
        <v>0.6189770892129804</v>
      </c>
      <c r="CD645" s="14" t="n">
        <f>IF(ISNUMBER(BT645),BT645,"")</f>
        <v>31</v>
      </c>
      <c r="CE645" s="13" t="n">
        <f>IF(AND(COUNT(BV645,CC645,CD645)=3,MIN(BV645,CC645,CD645)&gt;=0),BV645*CC645*CD645,"")</f>
        <v>4.675842136059307</v>
      </c>
      <c r="CF645" s="11" t="n">
        <f>IF(ISNUMBER(BQ645),BQ645,"")</f>
        <v>1.1595882717182624</v>
      </c>
      <c r="CG645" s="14" t="n">
        <f>IF(ISNUMBER(BU645),BU645,"")</f>
        <v>17</v>
      </c>
      <c r="CH645" s="13" t="n">
        <f>IF(AND(COUNT(BV645,CF645,CG645)=3,MIN(BV645,CF645,CG645)&gt;=0),BV645*CF645*CG645,"")</f>
        <v>4.803704762094193</v>
      </c>
      <c r="CI645" s="13" t="n">
        <f>IF(COUNT(BY645,CB645,CE645,CH645)=4,SUM(BY645,CB645,CE645,CH645),"")</f>
        <v>20.42301016083412</v>
      </c>
    </row>
    <row r="646" ht="72" customHeight="1">
      <c r="A646" s="16" t="str">
        <v>2311062-BK-P-O-6</v>
      </c>
      <c r="B646" s="16" t="str">
        <v>4店-彬郁-US</v>
      </c>
      <c r="C646" s="16" t="str">
        <v>陈晨</v>
      </c>
      <c r="D646" s="26" t="n">
        <f>IF(NOT(ISNUMBER(E646)),"",IF(OR(E646&lt;=0,L646=0),0,IF(OR(NOT(ISNUMBER(F646)),F646&lt;0),"",MIN(E646,INT(F646)))))</f>
        <v>0</v>
      </c>
      <c r="E646" s="27" t="n">
        <f>IF(OR(NOT(ISNUMBER(L646)),COUNT(M646:O646)&lt;&gt;3,MIN(M646:O646)&lt;0),"",ROUNDUP(ROUND(BI646-SUM(M646:O646),10),0))</f>
        <v>-56</v>
      </c>
      <c r="F646" s="28" t="n">
        <v>44</v>
      </c>
      <c r="G646" s="28" t="n">
        <f>IF(AND(ISNUMBER(D646),ISNUMBER(E646)),IF(OR(E646&lt;=0,L646=0),0,E646-D646),"")</f>
        <v>0</v>
      </c>
      <c r="H646" s="16" t="str">
        <f>IF(NOT(ISNUMBER(E646)),"销量或海外库存待补",IF(OR(E646&lt;=0,L646=0),IF(L646=0,"零日销，本批不发","本批无需补货"),IF(NOT(ISNUMBER(D646)),"国内库存待补",IF(D646=0,"国内无可用库存",IF(G646&gt;0,"先发国内现货","按建议量发货")))))</f>
        <v>本批无需补货</v>
      </c>
      <c r="I646" s="28" t="n">
        <f>IF(AND(COUNT(Z646,AA646,AB646)=3,Z646&gt;=AA646,AA646&gt;=0,AB646=7),Z646-AA646,"")</f>
        <v>5</v>
      </c>
      <c r="J646" s="28" t="n">
        <f>IF(AND(COUNT(AF646,AG646,AH646)=3,AF646&gt;=AG646,AG646&gt;=0,AH646=14),AF646-AG646,"")</f>
        <v>7</v>
      </c>
      <c r="K646" s="28" t="n">
        <f>IF(AND(COUNT(AL646,AM646,AN646)=3,AL646&gt;=AM646,AM646&gt;=0,AN646=30),AL646-AM646,"")</f>
        <v>23</v>
      </c>
      <c r="L646" s="29" t="n">
        <f>IF(ISNUMBER(BI646),BI646/90,"")</f>
        <v>0.628707085417195</v>
      </c>
      <c r="M646" s="28" t="n">
        <v>92</v>
      </c>
      <c r="N646" s="28" t="n">
        <v>0</v>
      </c>
      <c r="O646" s="28" t="n">
        <v>20</v>
      </c>
      <c r="P646" s="30" t="n">
        <f>IF(AND(ISNUMBER(L646),L646&gt;0,COUNT(M646:O646)=3,MIN(M646:O646)&gt;=0),SUM(M646:O646)/L646,"")</f>
        <v>178.1433716874361</v>
      </c>
      <c r="Q646" s="16" t="str">
        <v>沿用原计划SKU店铺</v>
      </c>
      <c r="R646" s="16" t="str">
        <v>已匹配</v>
      </c>
      <c r="S646" s="16" t="str">
        <v>在售</v>
      </c>
      <c r="T646" s="16" t="str">
        <v>2311062</v>
      </c>
      <c r="U646" s="16" t="str">
        <v>黑色 PU</v>
      </c>
      <c r="V646" s="16" t="n">
        <v>6</v>
      </c>
      <c r="W646" s="8" t="str">
        <v>2026-10-11 至 2026-10-17</v>
      </c>
      <c r="X646" s="8" t="str">
        <v>2026-10-11、2026-10-12、2026-10-13、2026-10-14、2026-10-15、2026-10-16、2026-10-17</v>
      </c>
      <c r="Y646" s="8" t="str">
        <v>无</v>
      </c>
      <c r="Z646" s="8" t="n">
        <v>5</v>
      </c>
      <c r="AA646" s="8" t="n">
        <v>0</v>
      </c>
      <c r="AB646" s="8" t="n">
        <v>7</v>
      </c>
      <c r="AC646" s="8" t="str">
        <v>2026-10-02 至 2026-10-17</v>
      </c>
      <c r="AD646" s="8" t="str">
        <v>2026-10-02、2026-10-03、2026-10-04、2026-10-05、2026-10-08、2026-10-09、2026-10-10、2026-10-11、2026-10-12、2026-10-13、2026-10-14、2026-10-15、2026-10-16、2026-10-17</v>
      </c>
      <c r="AE646" s="8" t="str">
        <v>2026-10-06 大促；2026-10-07 大促</v>
      </c>
      <c r="AF646" s="8" t="n">
        <v>9</v>
      </c>
      <c r="AG646" s="8" t="n">
        <v>2</v>
      </c>
      <c r="AH646" s="8" t="n">
        <v>14</v>
      </c>
      <c r="AI646" s="8" t="str">
        <v>2026-09-16 至 2026-10-17</v>
      </c>
      <c r="AJ6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6" s="8" t="str">
        <v>2026-10-06 大促；2026-10-07 大促</v>
      </c>
      <c r="AL646" s="8" t="n">
        <v>25</v>
      </c>
      <c r="AM646" s="8" t="n">
        <v>2</v>
      </c>
      <c r="AN646" s="8" t="n">
        <v>30</v>
      </c>
      <c r="AO646" s="8" t="str">
        <v>2311062 / 黑色PU / 13306</v>
      </c>
      <c r="AP646" s="11" t="n">
        <v>1.4758912429949873</v>
      </c>
      <c r="AQ646" s="11" t="n">
        <v>1.4758912429949873</v>
      </c>
      <c r="AR646" s="11" t="n">
        <v>1.4124697525543728</v>
      </c>
      <c r="AS646" s="11" t="n">
        <f>IF(AND(COUNT(I646:K646,AP646:AR646)=6,MIN(AP646:AR646)&gt;0),I646/7/AP646*0.5+J646/14/AQ646*0.3+K646/30/AR646*0.2,"")</f>
        <v>0.4521749375803103</v>
      </c>
      <c r="AT646" s="8" t="n">
        <v>121</v>
      </c>
      <c r="AU646" s="8" t="n">
        <v>2</v>
      </c>
      <c r="AV646" s="8" t="n">
        <v>88</v>
      </c>
      <c r="AW646" s="11" t="n">
        <f>IF(AND(COUNT(AT646:AV646)=3,AT646&gt;=AU646,AU646&gt;=0,AV646&gt;0),(AT646-AU646)/AV646,"")</f>
        <v>1.3522727272727273</v>
      </c>
      <c r="AX646" s="8" t="n">
        <v>244</v>
      </c>
      <c r="AY646" s="8" t="n">
        <v>2</v>
      </c>
      <c r="AZ646" s="8" t="n">
        <v>178</v>
      </c>
      <c r="BA646" s="11" t="n">
        <f>IF(AND(COUNT(AX646:AZ646)=3,AX646&gt;=AY646,AY646&gt;=0,AZ646&gt;0),(AX646-AY646)/AZ646,"")</f>
        <v>1.3595505617977528</v>
      </c>
      <c r="BB646" s="8" t="n">
        <f>IF(COUNT(AS646,AW646,BA646)=3,1,0)</f>
        <v>1</v>
      </c>
      <c r="BC646" s="11" t="n">
        <f>IF(SUMIF($AO$11:$AO$1309,AO646,$BB$11:$BB$1309)=COUNTIF($AO$11:$AO$1309,AO646),SUMIF($AO$11:$AO$1309,AO646,$AS$11:$AS$1309),"")</f>
        <v>4.756690693909693</v>
      </c>
      <c r="BD646" s="11" t="n">
        <f>IF(SUMIF($AO$11:$AO$1309,AO646,$BB$11:$BB$1309)=COUNTIF($AO$11:$AO$1309,AO646),SUMIF($AO$11:$AO$1309,AO646,$AW$11:$AW$1309),"")</f>
        <v>9.727272727272727</v>
      </c>
      <c r="BE646" s="11" t="n">
        <f>IF(SUMIF($AO$11:$AO$1309,AO646,$BB$11:$BB$1309)=COUNTIF($AO$11:$AO$1309,AO646),SUMIF($AO$11:$AO$1309,AO646,$BA$11:$BA$1309),"")</f>
        <v>9.140449438202248</v>
      </c>
      <c r="BF646" s="12" t="n">
        <f>IF(COUNT(BD646:BE646)&lt;&gt;2,"",IF(AND(BD646&gt;0,BE646&gt;0),0.7*AW646/BD646+0.3*BA646/BE646,IF(BD646&gt;0,AW646/BD646,IF(BE646&gt;0,BA646/BE646,IF(AND(ISNUMBER(BH646),BH646=0),0,"")))))</f>
        <v>0.14193508779991842</v>
      </c>
      <c r="BG646" s="11" t="n">
        <f>IF(AND(COUNT(BN646:BU646)=8,MIN(BN646:BU646)&gt;=0),SUMPRODUCT(BN646:BQ646,BR646:BU646),"")</f>
        <v>83.81006574832674</v>
      </c>
      <c r="BH646" s="11" t="n">
        <f>IF(COUNT(BC646,BG646)=2,BC646*BG646,"")</f>
        <v>398.6585598010253</v>
      </c>
      <c r="BI646" s="11" t="n">
        <f>IF(ISNUMBER(CI646),CI646,"")</f>
        <v>56.58363768754755</v>
      </c>
      <c r="BJ646" s="8" t="str"/>
      <c r="BK646" s="8" t="str">
        <v>90天：2026-07-20 至 2026-10-17；180天：2026-04-21 至 2026-10-17</v>
      </c>
      <c r="BL646" s="8" t="str">
        <v>90天：2026-10-06、2026-10-07；180天：2026-10-06、2026-10-07</v>
      </c>
      <c r="BM646" s="8" t="str">
        <v>2026-10：12天 × 1.4758912429949873；2026-11：30天 × 0.906602681585801；2026-12：31天 × 0.6189770892129804；2027-01：17天 × 1.1595882717182624</v>
      </c>
      <c r="BN646" s="11" t="n">
        <v>1.4758912429949873</v>
      </c>
      <c r="BO646" s="11" t="n">
        <v>0.906602681585801</v>
      </c>
      <c r="BP646" s="11" t="n">
        <v>0.6189770892129804</v>
      </c>
      <c r="BQ646" s="11" t="n">
        <v>1.1595882717182624</v>
      </c>
      <c r="BR646" s="8" t="n">
        <v>12</v>
      </c>
      <c r="BS646" s="8" t="n">
        <v>30</v>
      </c>
      <c r="BT646" s="8" t="n">
        <v>31</v>
      </c>
      <c r="BU646" s="8" t="n">
        <v>17</v>
      </c>
      <c r="BV646" s="11" t="n">
        <f>IF(COUNT(BC646,BF646)=2,BC646*BF646,"")</f>
        <v>0.6751413112771272</v>
      </c>
      <c r="BW646" s="11" t="n">
        <f>IF(ISNUMBER(BN646),BN646,"")</f>
        <v>1.4758912429949873</v>
      </c>
      <c r="BX646" s="14" t="n">
        <f>IF(ISNUMBER(BR646),BR646,"")</f>
        <v>12</v>
      </c>
      <c r="BY646" s="13" t="n">
        <f>IF(AND(COUNT(BV646,BW646,BX646)=3,MIN(BV646,BW646,BX646)&gt;=0),BV646*BW646*BX646,"")</f>
        <v>11.957221789176778</v>
      </c>
      <c r="BZ646" s="11" t="n">
        <f>IF(ISNUMBER(BO646),BO646,"")</f>
        <v>0.906602681585801</v>
      </c>
      <c r="CA646" s="14" t="n">
        <f>IF(ISNUMBER(BS646),BS646,"")</f>
        <v>30</v>
      </c>
      <c r="CB646" s="13" t="n">
        <f>IF(AND(COUNT(BV646,BZ646,CA646)=3,MIN(BV646,BZ646,CA646)&gt;=0),BV646*BZ646*CA646,"")</f>
        <v>18.362547697595925</v>
      </c>
      <c r="CC646" s="11" t="n">
        <f>IF(ISNUMBER(BP646),BP646,"")</f>
        <v>0.6189770892129804</v>
      </c>
      <c r="CD646" s="14" t="n">
        <f>IF(ISNUMBER(BT646),BT646,"")</f>
        <v>31</v>
      </c>
      <c r="CE646" s="13" t="n">
        <f>IF(AND(COUNT(BV646,CC646,CD646)=3,MIN(BV646,CC646,CD646)&gt;=0),BV646*CC646*CD646,"")</f>
        <v>12.95480711351428</v>
      </c>
      <c r="CF646" s="11" t="n">
        <f>IF(ISNUMBER(BQ646),BQ646,"")</f>
        <v>1.1595882717182624</v>
      </c>
      <c r="CG646" s="14" t="n">
        <f>IF(ISNUMBER(BU646),BU646,"")</f>
        <v>17</v>
      </c>
      <c r="CH646" s="13" t="n">
        <f>IF(AND(COUNT(BV646,CF646,CG646)=3,MIN(BV646,CF646,CG646)&gt;=0),BV646*CF646*CG646,"")</f>
        <v>13.30906108726057</v>
      </c>
      <c r="CI646" s="13" t="n">
        <f>IF(COUNT(BY646,CB646,CE646,CH646)=4,SUM(BY646,CB646,CE646,CH646),"")</f>
        <v>56.58363768754755</v>
      </c>
    </row>
    <row r="647" ht="72" customHeight="1">
      <c r="A647" s="16" t="str">
        <v>2311062-BK-P-O-7</v>
      </c>
      <c r="B647" s="16" t="str">
        <v>4店-彬郁-US</v>
      </c>
      <c r="C647" s="16" t="str">
        <v>陈晨</v>
      </c>
      <c r="D647" s="26" t="n">
        <f>IF(NOT(ISNUMBER(E647)),"",IF(OR(E647&lt;=0,L647=0),0,IF(OR(NOT(ISNUMBER(F647)),F647&lt;0),"",MIN(E647,INT(F647)))))</f>
        <v>0</v>
      </c>
      <c r="E647" s="27" t="n">
        <f>IF(OR(NOT(ISNUMBER(L647)),COUNT(M647:O647)&lt;&gt;3,MIN(M647:O647)&lt;0),"",ROUNDUP(ROUND(BI647-SUM(M647:O647),10),0))</f>
        <v>-214</v>
      </c>
      <c r="F647" s="28" t="n">
        <v>0</v>
      </c>
      <c r="G647" s="28" t="n">
        <f>IF(AND(ISNUMBER(D647),ISNUMBER(E647)),IF(OR(E647&lt;=0,L647=0),0,E647-D647),"")</f>
        <v>0</v>
      </c>
      <c r="H647" s="16" t="str">
        <f>IF(NOT(ISNUMBER(E647)),"销量或海外库存待补",IF(OR(E647&lt;=0,L647=0),IF(L647=0,"零日销，本批不发","本批无需补货"),IF(NOT(ISNUMBER(D647)),"国内库存待补",IF(D647=0,"国内无可用库存",IF(G647&gt;0,"先发国内现货","按建议量发货")))))</f>
        <v>本批无需补货</v>
      </c>
      <c r="I647" s="28" t="n">
        <f>IF(AND(COUNT(Z647,AA647,AB647)=3,Z647&gt;=AA647,AA647&gt;=0,AB647=7),Z647-AA647,"")</f>
        <v>11</v>
      </c>
      <c r="J647" s="28" t="n">
        <f>IF(AND(COUNT(AF647,AG647,AH647)=3,AF647&gt;=AG647,AG647&gt;=0,AH647=14),AF647-AG647,"")</f>
        <v>23</v>
      </c>
      <c r="K647" s="28" t="n">
        <f>IF(AND(COUNT(AL647,AM647,AN647)=3,AL647&gt;=AM647,AM647&gt;=0,AN647=30),AL647-AM647,"")</f>
        <v>49</v>
      </c>
      <c r="L647" s="29" t="n">
        <f>IF(ISNUMBER(BI647),BI647/90,"")</f>
        <v>1.1127386469956495</v>
      </c>
      <c r="M647" s="28" t="n">
        <v>274</v>
      </c>
      <c r="N647" s="28" t="n">
        <v>0</v>
      </c>
      <c r="O647" s="28" t="n">
        <v>40</v>
      </c>
      <c r="P647" s="30" t="n">
        <f>IF(AND(ISNUMBER(L647),L647&gt;0,COUNT(M647:O647)=3,MIN(M647:O647)&gt;=0),SUM(M647:O647)/L647,"")</f>
        <v>282.1866579792008</v>
      </c>
      <c r="Q647" s="16" t="str">
        <v>沿用原计划SKU店铺</v>
      </c>
      <c r="R647" s="16" t="str">
        <v>已匹配</v>
      </c>
      <c r="S647" s="16" t="str">
        <v>在售</v>
      </c>
      <c r="T647" s="16" t="str">
        <v>2311062</v>
      </c>
      <c r="U647" s="16" t="str">
        <v>黑色 PU</v>
      </c>
      <c r="V647" s="16" t="n">
        <v>7</v>
      </c>
      <c r="W647" s="8" t="str">
        <v>2026-10-11 至 2026-10-17</v>
      </c>
      <c r="X647" s="8" t="str">
        <v>2026-10-11、2026-10-12、2026-10-13、2026-10-14、2026-10-15、2026-10-16、2026-10-17</v>
      </c>
      <c r="Y647" s="8" t="str">
        <v>无</v>
      </c>
      <c r="Z647" s="8" t="n">
        <v>11</v>
      </c>
      <c r="AA647" s="8" t="n">
        <v>0</v>
      </c>
      <c r="AB647" s="8" t="n">
        <v>7</v>
      </c>
      <c r="AC647" s="8" t="str">
        <v>2026-10-02 至 2026-10-17</v>
      </c>
      <c r="AD647" s="8" t="str">
        <v>2026-10-02、2026-10-03、2026-10-04、2026-10-05、2026-10-08、2026-10-09、2026-10-10、2026-10-11、2026-10-12、2026-10-13、2026-10-14、2026-10-15、2026-10-16、2026-10-17</v>
      </c>
      <c r="AE647" s="8" t="str">
        <v>2026-10-06 大促；2026-10-07 大促</v>
      </c>
      <c r="AF647" s="8" t="n">
        <v>25</v>
      </c>
      <c r="AG647" s="8" t="n">
        <v>2</v>
      </c>
      <c r="AH647" s="8" t="n">
        <v>14</v>
      </c>
      <c r="AI647" s="8" t="str">
        <v>2026-09-16 至 2026-10-17</v>
      </c>
      <c r="AJ6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7" s="8" t="str">
        <v>2026-10-06 大促；2026-10-07 大促</v>
      </c>
      <c r="AL647" s="8" t="n">
        <v>51</v>
      </c>
      <c r="AM647" s="8" t="n">
        <v>2</v>
      </c>
      <c r="AN647" s="8" t="n">
        <v>30</v>
      </c>
      <c r="AO647" s="8" t="str">
        <v>2311062 / 黑色PU / 13306</v>
      </c>
      <c r="AP647" s="11" t="n">
        <v>1.4758912429949873</v>
      </c>
      <c r="AQ647" s="11" t="n">
        <v>1.4758912429949873</v>
      </c>
      <c r="AR647" s="11" t="n">
        <v>1.4124697525543728</v>
      </c>
      <c r="AS647" s="11" t="n">
        <f>IF(AND(COUNT(I647:K647,AP647:AR647)=6,MIN(AP647:AR647)&gt;0),I647/7/AP647*0.5+J647/14/AQ647*0.3+K647/30/AR647*0.2,"")</f>
        <v>1.09757802681076</v>
      </c>
      <c r="AT647" s="8" t="n">
        <v>219</v>
      </c>
      <c r="AU647" s="8" t="n">
        <v>2</v>
      </c>
      <c r="AV647" s="8" t="n">
        <v>88</v>
      </c>
      <c r="AW647" s="11" t="n">
        <f>IF(AND(COUNT(AT647:AV647)=3,AT647&gt;=AU647,AU647&gt;=0,AV647&gt;0),(AT647-AU647)/AV647,"")</f>
        <v>2.465909090909091</v>
      </c>
      <c r="AX647" s="8" t="n">
        <v>402</v>
      </c>
      <c r="AY647" s="8" t="n">
        <v>2</v>
      </c>
      <c r="AZ647" s="8" t="n">
        <v>178</v>
      </c>
      <c r="BA647" s="11" t="n">
        <f>IF(AND(COUNT(AX647:AZ647)=3,AX647&gt;=AY647,AY647&gt;=0,AZ647&gt;0),(AX647-AY647)/AZ647,"")</f>
        <v>2.247191011235955</v>
      </c>
      <c r="BB647" s="8" t="n">
        <f>IF(COUNT(AS647,AW647,BA647)=3,1,0)</f>
        <v>1</v>
      </c>
      <c r="BC647" s="11" t="n">
        <f>IF(SUMIF($AO$11:$AO$1309,AO647,$BB$11:$BB$1309)=COUNTIF($AO$11:$AO$1309,AO647),SUMIF($AO$11:$AO$1309,AO647,$AS$11:$AS$1309),"")</f>
        <v>4.756690693909693</v>
      </c>
      <c r="BD647" s="11" t="n">
        <f>IF(SUMIF($AO$11:$AO$1309,AO647,$BB$11:$BB$1309)=COUNTIF($AO$11:$AO$1309,AO647),SUMIF($AO$11:$AO$1309,AO647,$AW$11:$AW$1309),"")</f>
        <v>9.727272727272727</v>
      </c>
      <c r="BE647" s="11" t="n">
        <f>IF(SUMIF($AO$11:$AO$1309,AO647,$BB$11:$BB$1309)=COUNTIF($AO$11:$AO$1309,AO647),SUMIF($AO$11:$AO$1309,AO647,$BA$11:$BA$1309),"")</f>
        <v>9.140449438202248</v>
      </c>
      <c r="BF647" s="12" t="n">
        <f>IF(COUNT(BD647:BE647)&lt;&gt;2,"",IF(AND(BD647&gt;0,BE647&gt;0),0.7*AW647/BD647+0.3*BA647/BE647,IF(BD647&gt;0,AW647/BD647,IF(BE647&gt;0,BA647/BE647,IF(AND(ISNUMBER(BH647),BH647=0),0,"")))))</f>
        <v>0.25120864902434964</v>
      </c>
      <c r="BG647" s="11" t="n">
        <f>IF(AND(COUNT(BN647:BU647)=8,MIN(BN647:BU647)&gt;=0),SUMPRODUCT(BN647:BQ647,BR647:BU647),"")</f>
        <v>83.81006574832674</v>
      </c>
      <c r="BH647" s="11" t="n">
        <f>IF(COUNT(BC647,BG647)=2,BC647*BG647,"")</f>
        <v>398.6585598010253</v>
      </c>
      <c r="BI647" s="11" t="n">
        <f>IF(ISNUMBER(CI647),CI647,"")</f>
        <v>100.14647822960846</v>
      </c>
      <c r="BJ647" s="8" t="str"/>
      <c r="BK647" s="8" t="str">
        <v>90天：2026-07-20 至 2026-10-17；180天：2026-04-21 至 2026-10-17</v>
      </c>
      <c r="BL647" s="8" t="str">
        <v>90天：2026-10-06、2026-10-07；180天：2026-10-06、2026-10-07</v>
      </c>
      <c r="BM647" s="8" t="str">
        <v>2026-10：12天 × 1.4758912429949873；2026-11：30天 × 0.906602681585801；2026-12：31天 × 0.6189770892129804；2027-01：17天 × 1.1595882717182624</v>
      </c>
      <c r="BN647" s="11" t="n">
        <v>1.4758912429949873</v>
      </c>
      <c r="BO647" s="11" t="n">
        <v>0.906602681585801</v>
      </c>
      <c r="BP647" s="11" t="n">
        <v>0.6189770892129804</v>
      </c>
      <c r="BQ647" s="11" t="n">
        <v>1.1595882717182624</v>
      </c>
      <c r="BR647" s="8" t="n">
        <v>12</v>
      </c>
      <c r="BS647" s="8" t="n">
        <v>30</v>
      </c>
      <c r="BT647" s="8" t="n">
        <v>31</v>
      </c>
      <c r="BU647" s="8" t="n">
        <v>17</v>
      </c>
      <c r="BV647" s="11" t="n">
        <f>IF(COUNT(BC647,BF647)=2,BC647*BF647,"")</f>
        <v>1.1949218430437503</v>
      </c>
      <c r="BW647" s="11" t="n">
        <f>IF(ISNUMBER(BN647),BN647,"")</f>
        <v>1.4758912429949873</v>
      </c>
      <c r="BX647" s="14" t="n">
        <f>IF(ISNUMBER(BR647),BR647,"")</f>
        <v>12</v>
      </c>
      <c r="BY647" s="13" t="n">
        <f>IF(AND(COUNT(BV647,BW647,BX647)=3,MIN(BV647,BW647,BX647)&gt;=0),BV647*BW647*BX647,"")</f>
        <v>21.16289621054042</v>
      </c>
      <c r="BZ647" s="11" t="n">
        <f>IF(ISNUMBER(BO647),BO647,"")</f>
        <v>0.906602681585801</v>
      </c>
      <c r="CA647" s="14" t="n">
        <f>IF(ISNUMBER(BS647),BS647,"")</f>
        <v>30</v>
      </c>
      <c r="CB647" s="13" t="n">
        <f>IF(AND(COUNT(BV647,BZ647,CA647)=3,MIN(BV647,BZ647,CA647)&gt;=0),BV647*BZ647*CA647,"")</f>
        <v>32.499580415667346</v>
      </c>
      <c r="CC647" s="11" t="n">
        <f>IF(ISNUMBER(BP647),BP647,"")</f>
        <v>0.6189770892129804</v>
      </c>
      <c r="CD647" s="14" t="n">
        <f>IF(ISNUMBER(BT647),BT647,"")</f>
        <v>31</v>
      </c>
      <c r="CE647" s="13" t="n">
        <f>IF(AND(COUNT(BV647,CC647,CD647)=3,MIN(BV647,CC647,CD647)&gt;=0),BV647*CC647*CD647,"")</f>
        <v>22.92850657157114</v>
      </c>
      <c r="CF647" s="11" t="n">
        <f>IF(ISNUMBER(BQ647),BQ647,"")</f>
        <v>1.1595882717182624</v>
      </c>
      <c r="CG647" s="14" t="n">
        <f>IF(ISNUMBER(BU647),BU647,"")</f>
        <v>17</v>
      </c>
      <c r="CH647" s="13" t="n">
        <f>IF(AND(COUNT(BV647,CF647,CG647)=3,MIN(BV647,CF647,CG647)&gt;=0),BV647*CF647*CG647,"")</f>
        <v>23.555495031829555</v>
      </c>
      <c r="CI647" s="13" t="n">
        <f>IF(COUNT(BY647,CB647,CE647,CH647)=4,SUM(BY647,CB647,CE647,CH647),"")</f>
        <v>100.14647822960846</v>
      </c>
    </row>
    <row r="648" ht="72" customHeight="1">
      <c r="A648" s="16" t="str">
        <v>2311062-BK-P-O-8</v>
      </c>
      <c r="B648" s="16" t="str">
        <v>4店-彬郁-US</v>
      </c>
      <c r="C648" s="16" t="str">
        <v>陈晨</v>
      </c>
      <c r="D648" s="26" t="n">
        <f>IF(NOT(ISNUMBER(E648)),"",IF(OR(E648&lt;=0,L648=0),0,IF(OR(NOT(ISNUMBER(F648)),F648&lt;0),"",MIN(E648,INT(F648)))))</f>
        <v>0</v>
      </c>
      <c r="E648" s="27" t="n">
        <f>IF(OR(NOT(ISNUMBER(L648)),COUNT(M648:O648)&lt;&gt;3,MIN(M648:O648)&lt;0),"",ROUNDUP(ROUND(BI648-SUM(M648:O648),10),0))</f>
        <v>-241</v>
      </c>
      <c r="F648" s="28" t="n">
        <v>0</v>
      </c>
      <c r="G648" s="28" t="n">
        <f>IF(AND(ISNUMBER(D648),ISNUMBER(E648)),IF(OR(E648&lt;=0,L648=0),0,E648-D648),"")</f>
        <v>0</v>
      </c>
      <c r="H648" s="16" t="str">
        <f>IF(NOT(ISNUMBER(E648)),"销量或海外库存待补",IF(OR(E648&lt;=0,L648=0),IF(L648=0,"零日销，本批不发","本批无需补货"),IF(NOT(ISNUMBER(D648)),"国内库存待补",IF(D648=0,"国内无可用库存",IF(G648&gt;0,"先发国内现货","按建议量发货")))))</f>
        <v>本批无需补货</v>
      </c>
      <c r="I648" s="28" t="n">
        <f>IF(AND(COUNT(Z648,AA648,AB648)=3,Z648&gt;=AA648,AA648&gt;=0,AB648=7),Z648-AA648,"")</f>
        <v>20</v>
      </c>
      <c r="J648" s="28" t="n">
        <f>IF(AND(COUNT(AF648,AG648,AH648)=3,AF648&gt;=AG648,AG648&gt;=0,AH648=14),AF648-AG648,"")</f>
        <v>33</v>
      </c>
      <c r="K648" s="28" t="n">
        <f>IF(AND(COUNT(AL648,AM648,AN648)=3,AL648&gt;=AM648,AM648&gt;=0,AN648=30),AL648-AM648,"")</f>
        <v>64</v>
      </c>
      <c r="L648" s="29" t="n">
        <f>IF(ISNUMBER(BI648),BI648/90,"")</f>
        <v>1.292003529193078</v>
      </c>
      <c r="M648" s="28" t="n">
        <v>253</v>
      </c>
      <c r="N648" s="28" t="n">
        <v>0</v>
      </c>
      <c r="O648" s="28" t="n">
        <v>104</v>
      </c>
      <c r="P648" s="30" t="n">
        <f>IF(AND(ISNUMBER(L648),L648&gt;0,COUNT(M648:O648)=3,MIN(M648:O648)&gt;=0),SUM(M648:O648)/L648,"")</f>
        <v>276.31503469883296</v>
      </c>
      <c r="Q648" s="16" t="str">
        <v>沿用原计划SKU店铺</v>
      </c>
      <c r="R648" s="16" t="str">
        <v>已匹配</v>
      </c>
      <c r="S648" s="16" t="str">
        <v>在售</v>
      </c>
      <c r="T648" s="16" t="str">
        <v>2311062</v>
      </c>
      <c r="U648" s="16" t="str">
        <v>黑色 PU</v>
      </c>
      <c r="V648" s="16" t="n">
        <v>8</v>
      </c>
      <c r="W648" s="8" t="str">
        <v>2026-10-11 至 2026-10-17</v>
      </c>
      <c r="X648" s="8" t="str">
        <v>2026-10-11、2026-10-12、2026-10-13、2026-10-14、2026-10-15、2026-10-16、2026-10-17</v>
      </c>
      <c r="Y648" s="8" t="str">
        <v>无</v>
      </c>
      <c r="Z648" s="8" t="n">
        <v>20</v>
      </c>
      <c r="AA648" s="8" t="n">
        <v>0</v>
      </c>
      <c r="AB648" s="8" t="n">
        <v>7</v>
      </c>
      <c r="AC648" s="8" t="str">
        <v>2026-10-02 至 2026-10-17</v>
      </c>
      <c r="AD648" s="8" t="str">
        <v>2026-10-02、2026-10-03、2026-10-04、2026-10-05、2026-10-08、2026-10-09、2026-10-10、2026-10-11、2026-10-12、2026-10-13、2026-10-14、2026-10-15、2026-10-16、2026-10-17</v>
      </c>
      <c r="AE648" s="8" t="str">
        <v>2026-10-06 大促；2026-10-07 大促</v>
      </c>
      <c r="AF648" s="8" t="n">
        <v>41</v>
      </c>
      <c r="AG648" s="8" t="n">
        <v>8</v>
      </c>
      <c r="AH648" s="8" t="n">
        <v>14</v>
      </c>
      <c r="AI648" s="8" t="str">
        <v>2026-09-16 至 2026-10-17</v>
      </c>
      <c r="AJ6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8" s="8" t="str">
        <v>2026-10-06 大促；2026-10-07 大促</v>
      </c>
      <c r="AL648" s="8" t="n">
        <v>72</v>
      </c>
      <c r="AM648" s="8" t="n">
        <v>8</v>
      </c>
      <c r="AN648" s="8" t="n">
        <v>30</v>
      </c>
      <c r="AO648" s="8" t="str">
        <v>2311062 / 黑色PU / 13306</v>
      </c>
      <c r="AP648" s="11" t="n">
        <v>1.4758912429949873</v>
      </c>
      <c r="AQ648" s="11" t="n">
        <v>1.4758912429949873</v>
      </c>
      <c r="AR648" s="11" t="n">
        <v>1.4124697525543728</v>
      </c>
      <c r="AS648" s="11" t="n">
        <f>IF(AND(COUNT(I648:K648,AP648:AR648)=6,MIN(AP648:AR648)&gt;0),I648/7/AP648*0.5+J648/14/AQ648*0.3+K648/30/AR648*0.2,"")</f>
        <v>1.7491388886840313</v>
      </c>
      <c r="AT648" s="8" t="n">
        <v>256</v>
      </c>
      <c r="AU648" s="8" t="n">
        <v>8</v>
      </c>
      <c r="AV648" s="8" t="n">
        <v>88</v>
      </c>
      <c r="AW648" s="11" t="n">
        <f>IF(AND(COUNT(AT648:AV648)=3,AT648&gt;=AU648,AU648&gt;=0,AV648&gt;0),(AT648-AU648)/AV648,"")</f>
        <v>2.8181818181818183</v>
      </c>
      <c r="AX648" s="8" t="n">
        <v>490</v>
      </c>
      <c r="AY648" s="8" t="n">
        <v>8</v>
      </c>
      <c r="AZ648" s="8" t="n">
        <v>178</v>
      </c>
      <c r="BA648" s="11" t="n">
        <f>IF(AND(COUNT(AX648:AZ648)=3,AX648&gt;=AY648,AY648&gt;=0,AZ648&gt;0),(AX648-AY648)/AZ648,"")</f>
        <v>2.707865168539326</v>
      </c>
      <c r="BB648" s="8" t="n">
        <f>IF(COUNT(AS648,AW648,BA648)=3,1,0)</f>
        <v>1</v>
      </c>
      <c r="BC648" s="11" t="n">
        <f>IF(SUMIF($AO$11:$AO$1309,AO648,$BB$11:$BB$1309)=COUNTIF($AO$11:$AO$1309,AO648),SUMIF($AO$11:$AO$1309,AO648,$AS$11:$AS$1309),"")</f>
        <v>4.756690693909693</v>
      </c>
      <c r="BD648" s="11" t="n">
        <f>IF(SUMIF($AO$11:$AO$1309,AO648,$BB$11:$BB$1309)=COUNTIF($AO$11:$AO$1309,AO648),SUMIF($AO$11:$AO$1309,AO648,$AW$11:$AW$1309),"")</f>
        <v>9.727272727272727</v>
      </c>
      <c r="BE648" s="11" t="n">
        <f>IF(SUMIF($AO$11:$AO$1309,AO648,$BB$11:$BB$1309)=COUNTIF($AO$11:$AO$1309,AO648),SUMIF($AO$11:$AO$1309,AO648,$BA$11:$BA$1309),"")</f>
        <v>9.140449438202248</v>
      </c>
      <c r="BF648" s="12" t="n">
        <f>IF(COUNT(BD648:BE648)&lt;&gt;2,"",IF(AND(BD648&gt;0,BE648&gt;0),0.7*AW648/BD648+0.3*BA648/BE648,IF(BD648&gt;0,AW648/BD648,IF(BE648&gt;0,BA648/BE648,IF(AND(ISNUMBER(BH648),BH648=0),0,"")))))</f>
        <v>0.29167896880331323</v>
      </c>
      <c r="BG648" s="11" t="n">
        <f>IF(AND(COUNT(BN648:BU648)=8,MIN(BN648:BU648)&gt;=0),SUMPRODUCT(BN648:BQ648,BR648:BU648),"")</f>
        <v>83.81006574832674</v>
      </c>
      <c r="BH648" s="11" t="n">
        <f>IF(COUNT(BC648,BG648)=2,BC648*BG648,"")</f>
        <v>398.6585598010253</v>
      </c>
      <c r="BI648" s="11" t="n">
        <f>IF(ISNUMBER(CI648),CI648,"")</f>
        <v>116.28031762737703</v>
      </c>
      <c r="BJ648" s="8" t="str"/>
      <c r="BK648" s="8" t="str">
        <v>90天：2026-07-20 至 2026-10-17；180天：2026-04-21 至 2026-10-17</v>
      </c>
      <c r="BL648" s="8" t="str">
        <v>90天：2026-10-06、2026-10-07；180天：2026-10-06、2026-10-07</v>
      </c>
      <c r="BM648" s="8" t="str">
        <v>2026-10：12天 × 1.4758912429949873；2026-11：30天 × 0.906602681585801；2026-12：31天 × 0.6189770892129804；2027-01：17天 × 1.1595882717182624</v>
      </c>
      <c r="BN648" s="11" t="n">
        <v>1.4758912429949873</v>
      </c>
      <c r="BO648" s="11" t="n">
        <v>0.906602681585801</v>
      </c>
      <c r="BP648" s="11" t="n">
        <v>0.6189770892129804</v>
      </c>
      <c r="BQ648" s="11" t="n">
        <v>1.1595882717182624</v>
      </c>
      <c r="BR648" s="8" t="n">
        <v>12</v>
      </c>
      <c r="BS648" s="8" t="n">
        <v>30</v>
      </c>
      <c r="BT648" s="8" t="n">
        <v>31</v>
      </c>
      <c r="BU648" s="8" t="n">
        <v>17</v>
      </c>
      <c r="BV648" s="11" t="n">
        <f>IF(COUNT(BC648,BF648)=2,BC648*BF648,"")</f>
        <v>1.3874266365158958</v>
      </c>
      <c r="BW648" s="11" t="n">
        <f>IF(ISNUMBER(BN648),BN648,"")</f>
        <v>1.4758912429949873</v>
      </c>
      <c r="BX648" s="14" t="n">
        <f>IF(ISNUMBER(BR648),BR648,"")</f>
        <v>12</v>
      </c>
      <c r="BY648" s="13" t="n">
        <f>IF(AND(COUNT(BV648,BW648,BX648)=3,MIN(BV648,BW648,BX648)&gt;=0),BV648*BW648*BX648,"")</f>
        <v>24.572289877581596</v>
      </c>
      <c r="BZ648" s="11" t="n">
        <f>IF(ISNUMBER(BO648),BO648,"")</f>
        <v>0.906602681585801</v>
      </c>
      <c r="CA648" s="14" t="n">
        <f>IF(ISNUMBER(BS648),BS648,"")</f>
        <v>30</v>
      </c>
      <c r="CB648" s="13" t="n">
        <f>IF(AND(COUNT(BV648,BZ648,CA648)=3,MIN(BV648,BZ648,CA648)&gt;=0),BV648*BZ648*CA648,"")</f>
        <v>37.73534127506639</v>
      </c>
      <c r="CC648" s="11" t="n">
        <f>IF(ISNUMBER(BP648),BP648,"")</f>
        <v>0.6189770892129804</v>
      </c>
      <c r="CD648" s="14" t="n">
        <f>IF(ISNUMBER(BT648),BT648,"")</f>
        <v>31</v>
      </c>
      <c r="CE648" s="13" t="n">
        <f>IF(AND(COUNT(BV648,CC648,CD648)=3,MIN(BV648,CC648,CD648)&gt;=0),BV648*CC648*CD648,"")</f>
        <v>26.622344329982116</v>
      </c>
      <c r="CF648" s="11" t="n">
        <f>IF(ISNUMBER(BQ648),BQ648,"")</f>
        <v>1.1595882717182624</v>
      </c>
      <c r="CG648" s="14" t="n">
        <f>IF(ISNUMBER(BU648),BU648,"")</f>
        <v>17</v>
      </c>
      <c r="CH648" s="13" t="n">
        <f>IF(AND(COUNT(BV648,CF648,CG648)=3,MIN(BV648,CF648,CG648)&gt;=0),BV648*CF648*CG648,"")</f>
        <v>27.35034214474694</v>
      </c>
      <c r="CI648" s="13" t="n">
        <f>IF(COUNT(BY648,CB648,CE648,CH648)=4,SUM(BY648,CB648,CE648,CH648),"")</f>
        <v>116.28031762737703</v>
      </c>
    </row>
    <row r="649" ht="72" customHeight="1">
      <c r="A649" s="16" t="str">
        <v>2311062-BK-P-O-9</v>
      </c>
      <c r="B649" s="16" t="str">
        <v>4店-彬郁-US</v>
      </c>
      <c r="C649" s="16" t="str">
        <v>陈晨</v>
      </c>
      <c r="D649" s="26" t="n">
        <f>IF(NOT(ISNUMBER(E649)),"",IF(OR(E649&lt;=0,L649=0),0,IF(OR(NOT(ISNUMBER(F649)),F649&lt;0),"",MIN(E649,INT(F649)))))</f>
        <v>0</v>
      </c>
      <c r="E649" s="27" t="n">
        <f>IF(OR(NOT(ISNUMBER(L649)),COUNT(M649:O649)&lt;&gt;3,MIN(M649:O649)&lt;0),"",ROUNDUP(ROUND(BI649-SUM(M649:O649),10),0))</f>
        <v>-155</v>
      </c>
      <c r="F649" s="28" t="n">
        <v>0</v>
      </c>
      <c r="G649" s="28" t="n">
        <f>IF(AND(ISNUMBER(D649),ISNUMBER(E649)),IF(OR(E649&lt;=0,L649=0),0,E649-D649),"")</f>
        <v>0</v>
      </c>
      <c r="H649" s="16" t="str">
        <f>IF(NOT(ISNUMBER(E649)),"销量或海外库存待补",IF(OR(E649&lt;=0,L649=0),IF(L649=0,"零日销，本批不发","本批无需补货"),IF(NOT(ISNUMBER(D649)),"国内库存待补",IF(D649=0,"国内无可用库存",IF(G649&gt;0,"先发国内现货","按建议量发货")))))</f>
        <v>本批无需补货</v>
      </c>
      <c r="I649" s="28" t="n">
        <f>IF(AND(COUNT(Z649,AA649,AB649)=3,Z649&gt;=AA649,AA649&gt;=0,AB649=7),Z649-AA649,"")</f>
        <v>11</v>
      </c>
      <c r="J649" s="28" t="n">
        <f>IF(AND(COUNT(AF649,AG649,AH649)=3,AF649&gt;=AG649,AG649&gt;=0,AH649=14),AF649-AG649,"")</f>
        <v>20</v>
      </c>
      <c r="K649" s="28" t="n">
        <f>IF(AND(COUNT(AL649,AM649,AN649)=3,AL649&gt;=AM649,AM649&gt;=0,AN649=30),AL649-AM649,"")</f>
        <v>51</v>
      </c>
      <c r="L649" s="29" t="n">
        <f>IF(ISNUMBER(BI649),BI649/90,"")</f>
        <v>0.7786053307522304</v>
      </c>
      <c r="M649" s="28" t="n">
        <v>145</v>
      </c>
      <c r="N649" s="28" t="n">
        <v>0</v>
      </c>
      <c r="O649" s="28" t="n">
        <v>80</v>
      </c>
      <c r="P649" s="30" t="n">
        <f>IF(AND(ISNUMBER(L649),L649&gt;0,COUNT(M649:O649)=3,MIN(M649:O649)&gt;=0),SUM(M649:O649)/L649,"")</f>
        <v>288.97824239479814</v>
      </c>
      <c r="Q649" s="16" t="str">
        <v>沿用原计划SKU店铺</v>
      </c>
      <c r="R649" s="16" t="str">
        <v>已匹配</v>
      </c>
      <c r="S649" s="16" t="str">
        <v>在售</v>
      </c>
      <c r="T649" s="16" t="str">
        <v>2311062</v>
      </c>
      <c r="U649" s="16" t="str">
        <v>黑色 PU</v>
      </c>
      <c r="V649" s="16" t="n">
        <v>9</v>
      </c>
      <c r="W649" s="8" t="str">
        <v>2026-10-11 至 2026-10-17</v>
      </c>
      <c r="X649" s="8" t="str">
        <v>2026-10-11、2026-10-12、2026-10-13、2026-10-14、2026-10-15、2026-10-16、2026-10-17</v>
      </c>
      <c r="Y649" s="8" t="str">
        <v>无</v>
      </c>
      <c r="Z649" s="8" t="n">
        <v>11</v>
      </c>
      <c r="AA649" s="8" t="n">
        <v>0</v>
      </c>
      <c r="AB649" s="8" t="n">
        <v>7</v>
      </c>
      <c r="AC649" s="8" t="str">
        <v>2026-10-02 至 2026-10-17</v>
      </c>
      <c r="AD649" s="8" t="str">
        <v>2026-10-02、2026-10-03、2026-10-04、2026-10-05、2026-10-08、2026-10-09、2026-10-10、2026-10-11、2026-10-12、2026-10-13、2026-10-14、2026-10-15、2026-10-16、2026-10-17</v>
      </c>
      <c r="AE649" s="8" t="str">
        <v>2026-10-06 大促；2026-10-07 大促</v>
      </c>
      <c r="AF649" s="8" t="n">
        <v>23</v>
      </c>
      <c r="AG649" s="8" t="n">
        <v>3</v>
      </c>
      <c r="AH649" s="8" t="n">
        <v>14</v>
      </c>
      <c r="AI649" s="8" t="str">
        <v>2026-09-16 至 2026-10-17</v>
      </c>
      <c r="AJ6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49" s="8" t="str">
        <v>2026-10-06 大促；2026-10-07 大促</v>
      </c>
      <c r="AL649" s="8" t="n">
        <v>54</v>
      </c>
      <c r="AM649" s="8" t="n">
        <v>3</v>
      </c>
      <c r="AN649" s="8" t="n">
        <v>30</v>
      </c>
      <c r="AO649" s="8" t="str">
        <v>2311062 / 黑色PU / 13306</v>
      </c>
      <c r="AP649" s="11" t="n">
        <v>1.4758912429949873</v>
      </c>
      <c r="AQ649" s="11" t="n">
        <v>1.4758912429949873</v>
      </c>
      <c r="AR649" s="11" t="n">
        <v>1.4124697525543728</v>
      </c>
      <c r="AS649" s="11" t="n">
        <f>IF(AND(COUNT(I649:K649,AP649:AR649)=6,MIN(AP649:AR649)&gt;0),I649/7/AP649*0.5+J649/14/AQ649*0.3+K649/30/AR649*0.2,"")</f>
        <v>1.0634605405563913</v>
      </c>
      <c r="AT649" s="8" t="n">
        <v>160</v>
      </c>
      <c r="AU649" s="8" t="n">
        <v>3</v>
      </c>
      <c r="AV649" s="8" t="n">
        <v>88</v>
      </c>
      <c r="AW649" s="11" t="n">
        <f>IF(AND(COUNT(AT649:AV649)=3,AT649&gt;=AU649,AU649&gt;=0,AV649&gt;0),(AT649-AU649)/AV649,"")</f>
        <v>1.7840909090909092</v>
      </c>
      <c r="AX649" s="8" t="n">
        <v>260</v>
      </c>
      <c r="AY649" s="8" t="n">
        <v>3</v>
      </c>
      <c r="AZ649" s="8" t="n">
        <v>178</v>
      </c>
      <c r="BA649" s="11" t="n">
        <f>IF(AND(COUNT(AX649:AZ649)=3,AX649&gt;=AY649,AY649&gt;=0,AZ649&gt;0),(AX649-AY649)/AZ649,"")</f>
        <v>1.4438202247191012</v>
      </c>
      <c r="BB649" s="8" t="n">
        <f>IF(COUNT(AS649,AW649,BA649)=3,1,0)</f>
        <v>1</v>
      </c>
      <c r="BC649" s="11" t="n">
        <f>IF(SUMIF($AO$11:$AO$1309,AO649,$BB$11:$BB$1309)=COUNTIF($AO$11:$AO$1309,AO649),SUMIF($AO$11:$AO$1309,AO649,$AS$11:$AS$1309),"")</f>
        <v>4.756690693909693</v>
      </c>
      <c r="BD649" s="11" t="n">
        <f>IF(SUMIF($AO$11:$AO$1309,AO649,$BB$11:$BB$1309)=COUNTIF($AO$11:$AO$1309,AO649),SUMIF($AO$11:$AO$1309,AO649,$AW$11:$AW$1309),"")</f>
        <v>9.727272727272727</v>
      </c>
      <c r="BE649" s="11" t="n">
        <f>IF(SUMIF($AO$11:$AO$1309,AO649,$BB$11:$BB$1309)=COUNTIF($AO$11:$AO$1309,AO649),SUMIF($AO$11:$AO$1309,AO649,$BA$11:$BA$1309),"")</f>
        <v>9.140449438202248</v>
      </c>
      <c r="BF649" s="12" t="n">
        <f>IF(COUNT(BD649:BE649)&lt;&gt;2,"",IF(AND(BD649&gt;0,BE649&gt;0),0.7*AW649/BD649+0.3*BA649/BE649,IF(BD649&gt;0,AW649/BD649,IF(BE649&gt;0,BA649/BE649,IF(AND(ISNUMBER(BH649),BH649=0),0,"")))))</f>
        <v>0.17577568082992034</v>
      </c>
      <c r="BG649" s="11" t="n">
        <f>IF(AND(COUNT(BN649:BU649)=8,MIN(BN649:BU649)&gt;=0),SUMPRODUCT(BN649:BQ649,BR649:BU649),"")</f>
        <v>83.81006574832674</v>
      </c>
      <c r="BH649" s="11" t="n">
        <f>IF(COUNT(BC649,BG649)=2,BC649*BG649,"")</f>
        <v>398.6585598010253</v>
      </c>
      <c r="BI649" s="11" t="n">
        <f>IF(ISNUMBER(CI649),CI649,"")</f>
        <v>70.07447976770074</v>
      </c>
      <c r="BJ649" s="8" t="str"/>
      <c r="BK649" s="8" t="str">
        <v>90天：2026-07-20 至 2026-10-17；180天：2026-04-21 至 2026-10-17</v>
      </c>
      <c r="BL649" s="8" t="str">
        <v>90天：2026-10-06、2026-10-07；180天：2026-10-06、2026-10-07</v>
      </c>
      <c r="BM649" s="8" t="str">
        <v>2026-10：12天 × 1.4758912429949873；2026-11：30天 × 0.906602681585801；2026-12：31天 × 0.6189770892129804；2027-01：17天 × 1.1595882717182624</v>
      </c>
      <c r="BN649" s="11" t="n">
        <v>1.4758912429949873</v>
      </c>
      <c r="BO649" s="11" t="n">
        <v>0.906602681585801</v>
      </c>
      <c r="BP649" s="11" t="n">
        <v>0.6189770892129804</v>
      </c>
      <c r="BQ649" s="11" t="n">
        <v>1.1595882717182624</v>
      </c>
      <c r="BR649" s="8" t="n">
        <v>12</v>
      </c>
      <c r="BS649" s="8" t="n">
        <v>30</v>
      </c>
      <c r="BT649" s="8" t="n">
        <v>31</v>
      </c>
      <c r="BU649" s="8" t="n">
        <v>17</v>
      </c>
      <c r="BV649" s="11" t="n">
        <f>IF(COUNT(BC649,BF649)=2,BC649*BF649,"")</f>
        <v>0.8361105452193226</v>
      </c>
      <c r="BW649" s="11" t="n">
        <f>IF(ISNUMBER(BN649),BN649,"")</f>
        <v>1.4758912429949873</v>
      </c>
      <c r="BX649" s="14" t="n">
        <f>IF(ISNUMBER(BR649),BR649,"")</f>
        <v>12</v>
      </c>
      <c r="BY649" s="13" t="n">
        <f>IF(AND(COUNT(BV649,BW649,BX649)=3,MIN(BV649,BW649,BX649)&gt;=0),BV649*BW649*BX649,"")</f>
        <v>14.80809878237955</v>
      </c>
      <c r="BZ649" s="11" t="n">
        <f>IF(ISNUMBER(BO649),BO649,"")</f>
        <v>0.906602681585801</v>
      </c>
      <c r="CA649" s="14" t="n">
        <f>IF(ISNUMBER(BS649),BS649,"")</f>
        <v>30</v>
      </c>
      <c r="CB649" s="13" t="n">
        <f>IF(AND(COUNT(BV649,BZ649,CA649)=3,MIN(BV649,BZ649,CA649)&gt;=0),BV649*BZ649*CA649,"")</f>
        <v>22.74060187194012</v>
      </c>
      <c r="CC649" s="11" t="n">
        <f>IF(ISNUMBER(BP649),BP649,"")</f>
        <v>0.6189770892129804</v>
      </c>
      <c r="CD649" s="14" t="n">
        <f>IF(ISNUMBER(BT649),BT649,"")</f>
        <v>31</v>
      </c>
      <c r="CE649" s="13" t="n">
        <f>IF(AND(COUNT(BV649,CC649,CD649)=3,MIN(BV649,CC649,CD649)&gt;=0),BV649*CC649*CD649,"")</f>
        <v>16.043531417744166</v>
      </c>
      <c r="CF649" s="11" t="n">
        <f>IF(ISNUMBER(BQ649),BQ649,"")</f>
        <v>1.1595882717182624</v>
      </c>
      <c r="CG649" s="14" t="n">
        <f>IF(ISNUMBER(BU649),BU649,"")</f>
        <v>17</v>
      </c>
      <c r="CH649" s="13" t="n">
        <f>IF(AND(COUNT(BV649,CF649,CG649)=3,MIN(BV649,CF649,CG649)&gt;=0),BV649*CF649*CG649,"")</f>
        <v>16.4822476956369</v>
      </c>
      <c r="CI649" s="13" t="n">
        <f>IF(COUNT(BY649,CB649,CE649,CH649)=4,SUM(BY649,CB649,CE649,CH649),"")</f>
        <v>70.07447976770074</v>
      </c>
    </row>
    <row r="650" ht="72" customHeight="1">
      <c r="A650" s="16" t="str">
        <v>2311062-BR-V-O-10</v>
      </c>
      <c r="B650" s="16" t="str">
        <v>4店-彬郁-US</v>
      </c>
      <c r="C650" s="16" t="str">
        <v>陈晨</v>
      </c>
      <c r="D650" s="26" t="n">
        <f>IF(NOT(ISNUMBER(E650)),"",IF(OR(E650&lt;=0,L650=0),0,IF(OR(NOT(ISNUMBER(F650)),F650&lt;0),"",MIN(E650,INT(F650)))))</f>
        <v>0</v>
      </c>
      <c r="E650" s="27" t="n">
        <f>IF(OR(NOT(ISNUMBER(L650)),COUNT(M650:O650)&lt;&gt;3,MIN(M650:O650)&lt;0),"",ROUNDUP(ROUND(BI650-SUM(M650:O650),10),0))</f>
        <v>-41</v>
      </c>
      <c r="F650" s="28" t="n">
        <v>0</v>
      </c>
      <c r="G650" s="28" t="n">
        <f>IF(AND(ISNUMBER(D650),ISNUMBER(E650)),IF(OR(E650&lt;=0,L650=0),0,E650-D650),"")</f>
        <v>0</v>
      </c>
      <c r="H650" s="16" t="str">
        <f>IF(NOT(ISNUMBER(E650)),"销量或海外库存待补",IF(OR(E650&lt;=0,L650=0),IF(L650=0,"零日销，本批不发","本批无需补货"),IF(NOT(ISNUMBER(D650)),"国内库存待补",IF(D650=0,"国内无可用库存",IF(G650&gt;0,"先发国内现货","按建议量发货")))))</f>
        <v>本批无需补货</v>
      </c>
      <c r="I650" s="28" t="n">
        <f>IF(AND(COUNT(Z650,AA650,AB650)=3,Z650&gt;=AA650,AA650&gt;=0,AB650=7),Z650-AA650,"")</f>
        <v>0</v>
      </c>
      <c r="J650" s="28" t="n">
        <f>IF(AND(COUNT(AF650,AG650,AH650)=3,AF650&gt;=AG650,AG650&gt;=0,AH650=14),AF650-AG650,"")</f>
        <v>2</v>
      </c>
      <c r="K650" s="28" t="n">
        <f>IF(AND(COUNT(AL650,AM650,AN650)=3,AL650&gt;=AM650,AM650&gt;=0,AN650=30),AL650-AM650,"")</f>
        <v>6</v>
      </c>
      <c r="L650" s="29" t="n">
        <f>IF(ISNUMBER(BI650),BI650/90,"")</f>
        <v>0.0372372438954086</v>
      </c>
      <c r="M650" s="28" t="n">
        <v>25</v>
      </c>
      <c r="N650" s="28" t="n">
        <v>0</v>
      </c>
      <c r="O650" s="28" t="n">
        <v>19</v>
      </c>
      <c r="P650" s="30" t="n">
        <f>IF(AND(ISNUMBER(L650),L650&gt;0,COUNT(M650:O650)=3,MIN(M650:O650)&gt;=0),SUM(M650:O650)/L650,"")</f>
        <v>1181.6126919485912</v>
      </c>
      <c r="Q650" s="16" t="str">
        <v>沿用原计划SKU店铺</v>
      </c>
      <c r="R650" s="16" t="str">
        <v>已匹配</v>
      </c>
      <c r="S650" s="16" t="str">
        <v>在售</v>
      </c>
      <c r="T650" s="16" t="str">
        <v>2311062</v>
      </c>
      <c r="U650" s="16" t="str">
        <v>棕色锦纶</v>
      </c>
      <c r="V650" s="16" t="n">
        <v>10</v>
      </c>
      <c r="W650" s="8" t="str">
        <v>2026-10-11 至 2026-10-17</v>
      </c>
      <c r="X650" s="8" t="str">
        <v>2026-10-11、2026-10-12、2026-10-13、2026-10-14、2026-10-15、2026-10-16、2026-10-17</v>
      </c>
      <c r="Y650" s="8" t="str">
        <v>无</v>
      </c>
      <c r="Z650" s="8" t="n">
        <v>0</v>
      </c>
      <c r="AA650" s="8" t="n">
        <v>0</v>
      </c>
      <c r="AB650" s="8" t="n">
        <v>7</v>
      </c>
      <c r="AC650" s="8" t="str">
        <v>2026-10-02 至 2026-10-17</v>
      </c>
      <c r="AD650" s="8" t="str">
        <v>2026-10-02、2026-10-03、2026-10-04、2026-10-05、2026-10-08、2026-10-09、2026-10-10、2026-10-11、2026-10-12、2026-10-13、2026-10-14、2026-10-15、2026-10-16、2026-10-17</v>
      </c>
      <c r="AE650" s="8" t="str">
        <v>2026-10-06 大促；2026-10-07 大促</v>
      </c>
      <c r="AF650" s="8" t="n">
        <v>3</v>
      </c>
      <c r="AG650" s="8" t="n">
        <v>1</v>
      </c>
      <c r="AH650" s="8" t="n">
        <v>14</v>
      </c>
      <c r="AI650" s="8" t="str">
        <v>2026-09-16 至 2026-10-17</v>
      </c>
      <c r="AJ6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0" s="8" t="str">
        <v>2026-10-06 大促；2026-10-07 大促</v>
      </c>
      <c r="AL650" s="8" t="n">
        <v>7</v>
      </c>
      <c r="AM650" s="8" t="n">
        <v>1</v>
      </c>
      <c r="AN650" s="8" t="n">
        <v>30</v>
      </c>
      <c r="AO650" s="8" t="str">
        <v>2311062 / 棕色锦纶 / 13306</v>
      </c>
      <c r="AP650" s="11" t="n">
        <v>1.4758912429949873</v>
      </c>
      <c r="AQ650" s="11" t="n">
        <v>1.4758912429949873</v>
      </c>
      <c r="AR650" s="11" t="n">
        <v>1.4124697525543728</v>
      </c>
      <c r="AS650" s="11" t="n">
        <f>IF(AND(COUNT(I650:K650,AP650:AR650)=6,MIN(AP650:AR650)&gt;0),I650/7/AP650*0.5+J650/14/AQ650*0.3+K650/30/AR650*0.2,"")</f>
        <v>0.05735733478235598</v>
      </c>
      <c r="AT650" s="8" t="n">
        <v>9</v>
      </c>
      <c r="AU650" s="8" t="n">
        <v>1</v>
      </c>
      <c r="AV650" s="8" t="n">
        <v>88</v>
      </c>
      <c r="AW650" s="11" t="n">
        <f>IF(AND(COUNT(AT650:AV650)=3,AT650&gt;=AU650,AU650&gt;=0,AV650&gt;0),(AT650-AU650)/AV650,"")</f>
        <v>0.09090909090909091</v>
      </c>
      <c r="AX650" s="8" t="n">
        <v>12</v>
      </c>
      <c r="AY650" s="8" t="n">
        <v>1</v>
      </c>
      <c r="AZ650" s="8" t="n">
        <v>178</v>
      </c>
      <c r="BA650" s="11" t="n">
        <f>IF(AND(COUNT(AX650:AZ650)=3,AX650&gt;=AY650,AY650&gt;=0,AZ650&gt;0),(AX650-AY650)/AZ650,"")</f>
        <v>0.06179775280898876</v>
      </c>
      <c r="BB650" s="8" t="n">
        <f>IF(COUNT(AS650,AW650,BA650)=3,1,0)</f>
        <v>1</v>
      </c>
      <c r="BC650" s="11" t="n">
        <f>IF(SUMIF($AO$11:$AO$1309,AO650,$BB$11:$BB$1309)=COUNTIF($AO$11:$AO$1309,AO650),SUMIF($AO$11:$AO$1309,AO650,$AS$11:$AS$1309),"")</f>
        <v>0.21066970442512045</v>
      </c>
      <c r="BD650" s="11" t="n">
        <f>IF(SUMIF($AO$11:$AO$1309,AO650,$BB$11:$BB$1309)=COUNTIF($AO$11:$AO$1309,AO650),SUMIF($AO$11:$AO$1309,AO650,$AW$11:$AW$1309),"")</f>
        <v>0.4659090909090909</v>
      </c>
      <c r="BE650" s="11" t="n">
        <f>IF(SUMIF($AO$11:$AO$1309,AO650,$BB$11:$BB$1309)=COUNTIF($AO$11:$AO$1309,AO650),SUMIF($AO$11:$AO$1309,AO650,$BA$11:$BA$1309),"")</f>
        <v>0.348314606741573</v>
      </c>
      <c r="BF650" s="12" t="n">
        <f>IF(COUNT(BD650:BE650)&lt;&gt;2,"",IF(AND(BD650&gt;0,BE650&gt;0),0.7*AW650/BD650+0.3*BA650/BE650,IF(BD650&gt;0,AW650/BD650,IF(BE650&gt;0,BA650/BE650,IF(AND(ISNUMBER(BH650),BH650=0),0,"")))))</f>
        <v>0.18981117230527142</v>
      </c>
      <c r="BG650" s="11" t="n">
        <f>IF(AND(COUNT(BN650:BU650)=8,MIN(BN650:BU650)&gt;=0),SUMPRODUCT(BN650:BQ650,BR650:BU650),"")</f>
        <v>83.81006574832674</v>
      </c>
      <c r="BH650" s="11" t="n">
        <f>IF(COUNT(BC650,BG650)=2,BC650*BG650,"")</f>
        <v>17.656241779049903</v>
      </c>
      <c r="BI650" s="11" t="n">
        <f>IF(ISNUMBER(CI650),CI650,"")</f>
        <v>3.3513519505867735</v>
      </c>
      <c r="BJ650" s="8" t="str">
        <v>近180天本色销量66双（＜90），无有效新采购，请运营判断</v>
      </c>
      <c r="BK650" s="8" t="str">
        <v>90天：2026-07-20 至 2026-10-17；180天：2026-04-21 至 2026-10-17</v>
      </c>
      <c r="BL650" s="8" t="str">
        <v>90天：2026-10-06、2026-10-07；180天：2026-10-06、2026-10-07</v>
      </c>
      <c r="BM650" s="8" t="str">
        <v>2026-10：12天 × 1.4758912429949873；2026-11：30天 × 0.906602681585801；2026-12：31天 × 0.6189770892129804；2027-01：17天 × 1.1595882717182624</v>
      </c>
      <c r="BN650" s="11" t="n">
        <v>1.4758912429949873</v>
      </c>
      <c r="BO650" s="11" t="n">
        <v>0.906602681585801</v>
      </c>
      <c r="BP650" s="11" t="n">
        <v>0.6189770892129804</v>
      </c>
      <c r="BQ650" s="11" t="n">
        <v>1.1595882717182624</v>
      </c>
      <c r="BR650" s="8" t="n">
        <v>12</v>
      </c>
      <c r="BS650" s="8" t="n">
        <v>30</v>
      </c>
      <c r="BT650" s="8" t="n">
        <v>31</v>
      </c>
      <c r="BU650" s="8" t="n">
        <v>17</v>
      </c>
      <c r="BV650" s="11" t="n">
        <f>IF(COUNT(BC650,BF650)=2,BC650*BF650,"")</f>
        <v>0.03998746356613714</v>
      </c>
      <c r="BW650" s="11" t="n">
        <f>IF(ISNUMBER(BN650),BN650,"")</f>
        <v>1.4758912429949873</v>
      </c>
      <c r="BX650" s="14" t="n">
        <f>IF(ISNUMBER(BR650),BR650,"")</f>
        <v>12</v>
      </c>
      <c r="BY650" s="13" t="n">
        <f>IF(AND(COUNT(BV650,BW650,BX650)=3,MIN(BV650,BW650,BX650)&gt;=0),BV650*BW650*BX650,"")</f>
        <v>0.708205767682115</v>
      </c>
      <c r="BZ650" s="11" t="n">
        <f>IF(ISNUMBER(BO650),BO650,"")</f>
        <v>0.906602681585801</v>
      </c>
      <c r="CA650" s="14" t="n">
        <f>IF(ISNUMBER(BS650),BS650,"")</f>
        <v>30</v>
      </c>
      <c r="CB650" s="13" t="n">
        <f>IF(AND(COUNT(BV650,BZ650,CA650)=3,MIN(BV650,BZ650,CA650)&gt;=0),BV650*BZ650*CA650,"")</f>
        <v>1.0875822509662334</v>
      </c>
      <c r="CC650" s="11" t="n">
        <f>IF(ISNUMBER(BP650),BP650,"")</f>
        <v>0.6189770892129804</v>
      </c>
      <c r="CD650" s="14" t="n">
        <f>IF(ISNUMBER(BT650),BT650,"")</f>
        <v>31</v>
      </c>
      <c r="CE650" s="13" t="n">
        <f>IF(AND(COUNT(BV650,CC650,CD650)=3,MIN(BV650,CC650,CD650)&gt;=0),BV650*CC650*CD650,"")</f>
        <v>0.7672910378985078</v>
      </c>
      <c r="CF650" s="11" t="n">
        <f>IF(ISNUMBER(BQ650),BQ650,"")</f>
        <v>1.1595882717182624</v>
      </c>
      <c r="CG650" s="14" t="n">
        <f>IF(ISNUMBER(BU650),BU650,"")</f>
        <v>17</v>
      </c>
      <c r="CH650" s="13" t="n">
        <f>IF(AND(COUNT(BV650,CF650,CG650)=3,MIN(BV650,CF650,CG650)&gt;=0),BV650*CF650*CG650,"")</f>
        <v>0.7882728940399172</v>
      </c>
      <c r="CI650" s="13" t="n">
        <f>IF(COUNT(BY650,CB650,CE650,CH650)=4,SUM(BY650,CB650,CE650,CH650),"")</f>
        <v>3.3513519505867735</v>
      </c>
    </row>
    <row r="651" ht="72" customHeight="1">
      <c r="A651" s="16" t="str">
        <v>2311062-BR-V-O-11</v>
      </c>
      <c r="B651" s="16" t="str">
        <v>4店-彬郁-US</v>
      </c>
      <c r="C651" s="16" t="str">
        <v>陈晨</v>
      </c>
      <c r="D651" s="26" t="n">
        <f>IF(NOT(ISNUMBER(E651)),"",IF(OR(E651&lt;=0,L651=0),0,IF(OR(NOT(ISNUMBER(F651)),F651&lt;0),"",MIN(E651,INT(F651)))))</f>
        <v>0</v>
      </c>
      <c r="E651" s="27" t="n">
        <f>IF(OR(NOT(ISNUMBER(L651)),COUNT(M651:O651)&lt;&gt;3,MIN(M651:O651)&lt;0),"",ROUNDUP(ROUND(BI651-SUM(M651:O651),10),0))</f>
        <v>-40</v>
      </c>
      <c r="F651" s="28" t="n">
        <v>8</v>
      </c>
      <c r="G651" s="28" t="n">
        <f>IF(AND(ISNUMBER(D651),ISNUMBER(E651)),IF(OR(E651&lt;=0,L651=0),0,E651-D651),"")</f>
        <v>0</v>
      </c>
      <c r="H651" s="16" t="str">
        <f>IF(NOT(ISNUMBER(E651)),"销量或海外库存待补",IF(OR(E651&lt;=0,L651=0),IF(L651=0,"零日销，本批不发","本批无需补货"),IF(NOT(ISNUMBER(D651)),"国内库存待补",IF(D651=0,"国内无可用库存",IF(G651&gt;0,"先发国内现货","按建议量发货")))))</f>
        <v>本批无需补货</v>
      </c>
      <c r="I651" s="28" t="n">
        <f>IF(AND(COUNT(Z651,AA651,AB651)=3,Z651&gt;=AA651,AA651&gt;=0,AB651=7),Z651-AA651,"")</f>
        <v>0</v>
      </c>
      <c r="J651" s="28" t="n">
        <f>IF(AND(COUNT(AF651,AG651,AH651)=3,AF651&gt;=AG651,AG651&gt;=0,AH651=14),AF651-AG651,"")</f>
        <v>1</v>
      </c>
      <c r="K651" s="28" t="n">
        <f>IF(AND(COUNT(AL651,AM651,AN651)=3,AL651&gt;=AM651,AM651&gt;=0,AN651=30),AL651-AM651,"")</f>
        <v>1</v>
      </c>
      <c r="L651" s="29" t="n">
        <f>IF(ISNUMBER(BI651),BI651/90,"")</f>
        <v>0.006197203491816186</v>
      </c>
      <c r="M651" s="28" t="n">
        <v>26</v>
      </c>
      <c r="N651" s="28" t="n">
        <v>0</v>
      </c>
      <c r="O651" s="28" t="n">
        <v>14</v>
      </c>
      <c r="P651" s="30" t="n">
        <f>IF(AND(ISNUMBER(L651),L651&gt;0,COUNT(M651:O651)=3,MIN(M651:O651)&gt;=0),SUM(M651:O651)/L651,"")</f>
        <v>6454.524214482004</v>
      </c>
      <c r="Q651" s="16" t="str">
        <v>沿用原计划SKU店铺</v>
      </c>
      <c r="R651" s="16" t="str">
        <v>已匹配</v>
      </c>
      <c r="S651" s="16" t="str">
        <v>在售</v>
      </c>
      <c r="T651" s="16" t="str">
        <v>2311062</v>
      </c>
      <c r="U651" s="16" t="str">
        <v>棕色锦纶</v>
      </c>
      <c r="V651" s="16" t="n">
        <v>11</v>
      </c>
      <c r="W651" s="8" t="str">
        <v>2026-10-11 至 2026-10-17</v>
      </c>
      <c r="X651" s="8" t="str">
        <v>2026-10-11、2026-10-12、2026-10-13、2026-10-14、2026-10-15、2026-10-16、2026-10-17</v>
      </c>
      <c r="Y651" s="8" t="str">
        <v>无</v>
      </c>
      <c r="Z651" s="8" t="n">
        <v>0</v>
      </c>
      <c r="AA651" s="8" t="n">
        <v>0</v>
      </c>
      <c r="AB651" s="8" t="n">
        <v>7</v>
      </c>
      <c r="AC651" s="8" t="str">
        <v>2026-10-02 至 2026-10-17</v>
      </c>
      <c r="AD651" s="8" t="str">
        <v>2026-10-02、2026-10-03、2026-10-04、2026-10-05、2026-10-08、2026-10-09、2026-10-10、2026-10-11、2026-10-12、2026-10-13、2026-10-14、2026-10-15、2026-10-16、2026-10-17</v>
      </c>
      <c r="AE651" s="8" t="str">
        <v>2026-10-06 大促；2026-10-07 大促</v>
      </c>
      <c r="AF651" s="8" t="n">
        <v>1</v>
      </c>
      <c r="AG651" s="8" t="n">
        <v>0</v>
      </c>
      <c r="AH651" s="8" t="n">
        <v>14</v>
      </c>
      <c r="AI651" s="8" t="str">
        <v>2026-09-16 至 2026-10-17</v>
      </c>
      <c r="AJ6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1" s="8" t="str">
        <v>2026-10-06 大促；2026-10-07 大促</v>
      </c>
      <c r="AL651" s="8" t="n">
        <v>1</v>
      </c>
      <c r="AM651" s="8" t="n">
        <v>0</v>
      </c>
      <c r="AN651" s="8" t="n">
        <v>30</v>
      </c>
      <c r="AO651" s="8" t="str">
        <v>2311062 / 棕色锦纶 / 13306</v>
      </c>
      <c r="AP651" s="11" t="n">
        <v>1.4758912429949873</v>
      </c>
      <c r="AQ651" s="11" t="n">
        <v>1.4758912429949873</v>
      </c>
      <c r="AR651" s="11" t="n">
        <v>1.4124697525543728</v>
      </c>
      <c r="AS651" s="11" t="n">
        <f>IF(AND(COUNT(I651:K651,AP651:AR651)=6,MIN(AP651:AR651)&gt;0),I651/7/AP651*0.5+J651/14/AQ651*0.3+K651/30/AR651*0.2,"")</f>
        <v>0.019238937224057066</v>
      </c>
      <c r="AT651" s="8" t="n">
        <v>1</v>
      </c>
      <c r="AU651" s="8" t="n">
        <v>0</v>
      </c>
      <c r="AV651" s="8" t="n">
        <v>88</v>
      </c>
      <c r="AW651" s="11" t="n">
        <f>IF(AND(COUNT(AT651:AV651)=3,AT651&gt;=AU651,AU651&gt;=0,AV651&gt;0),(AT651-AU651)/AV651,"")</f>
        <v>0.011363636363636364</v>
      </c>
      <c r="AX651" s="8" t="n">
        <v>3</v>
      </c>
      <c r="AY651" s="8" t="n">
        <v>0</v>
      </c>
      <c r="AZ651" s="8" t="n">
        <v>178</v>
      </c>
      <c r="BA651" s="11" t="n">
        <f>IF(AND(COUNT(AX651:AZ651)=3,AX651&gt;=AY651,AY651&gt;=0,AZ651&gt;0),(AX651-AY651)/AZ651,"")</f>
        <v>0.016853932584269662</v>
      </c>
      <c r="BB651" s="8" t="n">
        <f>IF(COUNT(AS651,AW651,BA651)=3,1,0)</f>
        <v>1</v>
      </c>
      <c r="BC651" s="11" t="n">
        <f>IF(SUMIF($AO$11:$AO$1309,AO651,$BB$11:$BB$1309)=COUNTIF($AO$11:$AO$1309,AO651),SUMIF($AO$11:$AO$1309,AO651,$AS$11:$AS$1309),"")</f>
        <v>0.21066970442512045</v>
      </c>
      <c r="BD651" s="11" t="n">
        <f>IF(SUMIF($AO$11:$AO$1309,AO651,$BB$11:$BB$1309)=COUNTIF($AO$11:$AO$1309,AO651),SUMIF($AO$11:$AO$1309,AO651,$AW$11:$AW$1309),"")</f>
        <v>0.4659090909090909</v>
      </c>
      <c r="BE651" s="11" t="n">
        <f>IF(SUMIF($AO$11:$AO$1309,AO651,$BB$11:$BB$1309)=COUNTIF($AO$11:$AO$1309,AO651),SUMIF($AO$11:$AO$1309,AO651,$BA$11:$BA$1309),"")</f>
        <v>0.348314606741573</v>
      </c>
      <c r="BF651" s="12" t="n">
        <f>IF(COUNT(BD651:BE651)&lt;&gt;2,"",IF(AND(BD651&gt;0,BE651&gt;0),0.7*AW651/BD651+0.3*BA651/BE651,IF(BD651&gt;0,AW651/BD651,IF(BE651&gt;0,BA651/BE651,IF(AND(ISNUMBER(BH651),BH651=0),0,"")))))</f>
        <v>0.03158929976396538</v>
      </c>
      <c r="BG651" s="11" t="n">
        <f>IF(AND(COUNT(BN651:BU651)=8,MIN(BN651:BU651)&gt;=0),SUMPRODUCT(BN651:BQ651,BR651:BU651),"")</f>
        <v>83.81006574832674</v>
      </c>
      <c r="BH651" s="11" t="n">
        <f>IF(COUNT(BC651,BG651)=2,BC651*BG651,"")</f>
        <v>17.656241779049903</v>
      </c>
      <c r="BI651" s="11" t="n">
        <f>IF(ISNUMBER(CI651),CI651,"")</f>
        <v>0.5577483142634567</v>
      </c>
      <c r="BJ651" s="8" t="str">
        <v>近180天本色销量66双（＜90），无有效新采购，请运营判断</v>
      </c>
      <c r="BK651" s="8" t="str">
        <v>90天：2026-07-20 至 2026-10-17；180天：2026-04-21 至 2026-10-17</v>
      </c>
      <c r="BL651" s="8" t="str">
        <v>90天：2026-10-06、2026-10-07；180天：2026-10-06、2026-10-07</v>
      </c>
      <c r="BM651" s="8" t="str">
        <v>2026-10：12天 × 1.4758912429949873；2026-11：30天 × 0.906602681585801；2026-12：31天 × 0.6189770892129804；2027-01：17天 × 1.1595882717182624</v>
      </c>
      <c r="BN651" s="11" t="n">
        <v>1.4758912429949873</v>
      </c>
      <c r="BO651" s="11" t="n">
        <v>0.906602681585801</v>
      </c>
      <c r="BP651" s="11" t="n">
        <v>0.6189770892129804</v>
      </c>
      <c r="BQ651" s="11" t="n">
        <v>1.1595882717182624</v>
      </c>
      <c r="BR651" s="8" t="n">
        <v>12</v>
      </c>
      <c r="BS651" s="8" t="n">
        <v>30</v>
      </c>
      <c r="BT651" s="8" t="n">
        <v>31</v>
      </c>
      <c r="BU651" s="8" t="n">
        <v>17</v>
      </c>
      <c r="BV651" s="11" t="n">
        <f>IF(COUNT(BC651,BF651)=2,BC651*BF651,"")</f>
        <v>0.006654908444271113</v>
      </c>
      <c r="BW651" s="11" t="n">
        <f>IF(ISNUMBER(BN651),BN651,"")</f>
        <v>1.4758912429949873</v>
      </c>
      <c r="BX651" s="14" t="n">
        <f>IF(ISNUMBER(BR651),BR651,"")</f>
        <v>12</v>
      </c>
      <c r="BY651" s="13" t="n">
        <f>IF(AND(COUNT(BV651,BW651,BX651)=3,MIN(BV651,BW651,BX651)&gt;=0),BV651*BW651*BX651,"")</f>
        <v>0.11786305314999757</v>
      </c>
      <c r="BZ651" s="11" t="n">
        <f>IF(ISNUMBER(BO651),BO651,"")</f>
        <v>0.906602681585801</v>
      </c>
      <c r="CA651" s="14" t="n">
        <f>IF(ISNUMBER(BS651),BS651,"")</f>
        <v>30</v>
      </c>
      <c r="CB651" s="13" t="n">
        <f>IF(AND(COUNT(BV651,BZ651,CA651)=3,MIN(BV651,BZ651,CA651)&gt;=0),BV651*BZ651*CA651,"")</f>
        <v>0.18100073523852547</v>
      </c>
      <c r="CC651" s="11" t="n">
        <f>IF(ISNUMBER(BP651),BP651,"")</f>
        <v>0.6189770892129804</v>
      </c>
      <c r="CD651" s="14" t="n">
        <f>IF(ISNUMBER(BT651),BT651,"")</f>
        <v>31</v>
      </c>
      <c r="CE651" s="13" t="n">
        <f>IF(AND(COUNT(BV651,CC651,CD651)=3,MIN(BV651,CC651,CD651)&gt;=0),BV651*CC651*CD651,"")</f>
        <v>0.12769631159222836</v>
      </c>
      <c r="CF651" s="11" t="n">
        <f>IF(ISNUMBER(BQ651),BQ651,"")</f>
        <v>1.1595882717182624</v>
      </c>
      <c r="CG651" s="14" t="n">
        <f>IF(ISNUMBER(BU651),BU651,"")</f>
        <v>17</v>
      </c>
      <c r="CH651" s="13" t="n">
        <f>IF(AND(COUNT(BV651,CF651,CG651)=3,MIN(BV651,CF651,CG651)&gt;=0),BV651*CF651*CG651,"")</f>
        <v>0.13118821428270538</v>
      </c>
      <c r="CI651" s="13" t="n">
        <f>IF(COUNT(BY651,CB651,CE651,CH651)=4,SUM(BY651,CB651,CE651,CH651),"")</f>
        <v>0.5577483142634567</v>
      </c>
    </row>
    <row r="652" ht="72" customHeight="1">
      <c r="A652" s="16" t="str">
        <v>2311062-BR-V-O-6</v>
      </c>
      <c r="B652" s="16" t="str">
        <v>4店-彬郁-US</v>
      </c>
      <c r="C652" s="16" t="str">
        <v>陈晨</v>
      </c>
      <c r="D652" s="26" t="n">
        <f>IF(NOT(ISNUMBER(E652)),"",IF(OR(E652&lt;=0,L652=0),0,IF(OR(NOT(ISNUMBER(F652)),F652&lt;0),"",MIN(E652,INT(F652)))))</f>
        <v>0</v>
      </c>
      <c r="E652" s="27" t="n">
        <f>IF(OR(NOT(ISNUMBER(L652)),COUNT(M652:O652)&lt;&gt;3,MIN(M652:O652)&lt;0),"",ROUNDUP(ROUND(BI652-SUM(M652:O652),10),0))</f>
        <v>-35</v>
      </c>
      <c r="F652" s="28" t="n">
        <v>0</v>
      </c>
      <c r="G652" s="28" t="n">
        <f>IF(AND(ISNUMBER(D652),ISNUMBER(E652)),IF(OR(E652&lt;=0,L652=0),0,E652-D652),"")</f>
        <v>0</v>
      </c>
      <c r="H652" s="16" t="str">
        <f>IF(NOT(ISNUMBER(E652)),"销量或海外库存待补",IF(OR(E652&lt;=0,L652=0),IF(L652=0,"零日销，本批不发","本批无需补货"),IF(NOT(ISNUMBER(D652)),"国内库存待补",IF(D652=0,"国内无可用库存",IF(G652&gt;0,"先发国内现货","按建议量发货")))))</f>
        <v>本批无需补货</v>
      </c>
      <c r="I652" s="28" t="n">
        <f>IF(AND(COUNT(Z652,AA652,AB652)=3,Z652&gt;=AA652,AA652&gt;=0,AB652=7),Z652-AA652,"")</f>
        <v>0</v>
      </c>
      <c r="J652" s="28" t="n">
        <f>IF(AND(COUNT(AF652,AG652,AH652)=3,AF652&gt;=AG652,AG652&gt;=0,AH652=14),AF652-AG652,"")</f>
        <v>1</v>
      </c>
      <c r="K652" s="28" t="n">
        <f>IF(AND(COUNT(AL652,AM652,AN652)=3,AL652&gt;=AM652,AM652&gt;=0,AN652=30),AL652-AM652,"")</f>
        <v>1</v>
      </c>
      <c r="L652" s="29" t="n">
        <f>IF(ISNUMBER(BI652),BI652/90,"")</f>
        <v>0.021941033035159926</v>
      </c>
      <c r="M652" s="28" t="n">
        <v>30</v>
      </c>
      <c r="N652" s="28" t="n">
        <v>0</v>
      </c>
      <c r="O652" s="28" t="n">
        <v>6</v>
      </c>
      <c r="P652" s="30" t="n">
        <f>IF(AND(ISNUMBER(L652),L652&gt;0,COUNT(M652:O652)=3,MIN(M652:O652)&gt;=0),SUM(M652:O652)/L652,"")</f>
        <v>1640.7613963440533</v>
      </c>
      <c r="Q652" s="16" t="str">
        <v>沿用原计划SKU店铺</v>
      </c>
      <c r="R652" s="16" t="str">
        <v>已匹配</v>
      </c>
      <c r="S652" s="16" t="str">
        <v>在售</v>
      </c>
      <c r="T652" s="16" t="str">
        <v>2311062</v>
      </c>
      <c r="U652" s="16" t="str">
        <v>棕色锦纶</v>
      </c>
      <c r="V652" s="16" t="n">
        <v>6</v>
      </c>
      <c r="W652" s="8" t="str">
        <v>2026-10-11 至 2026-10-17</v>
      </c>
      <c r="X652" s="8" t="str">
        <v>2026-10-11、2026-10-12、2026-10-13、2026-10-14、2026-10-15、2026-10-16、2026-10-17</v>
      </c>
      <c r="Y652" s="8" t="str">
        <v>无</v>
      </c>
      <c r="Z652" s="8" t="n">
        <v>0</v>
      </c>
      <c r="AA652" s="8" t="n">
        <v>0</v>
      </c>
      <c r="AB652" s="8" t="n">
        <v>7</v>
      </c>
      <c r="AC652" s="8" t="str">
        <v>2026-10-02 至 2026-10-17</v>
      </c>
      <c r="AD652" s="8" t="str">
        <v>2026-10-02、2026-10-03、2026-10-04、2026-10-05、2026-10-08、2026-10-09、2026-10-10、2026-10-11、2026-10-12、2026-10-13、2026-10-14、2026-10-15、2026-10-16、2026-10-17</v>
      </c>
      <c r="AE652" s="8" t="str">
        <v>2026-10-06 大促；2026-10-07 大促</v>
      </c>
      <c r="AF652" s="8" t="n">
        <v>2</v>
      </c>
      <c r="AG652" s="8" t="n">
        <v>1</v>
      </c>
      <c r="AH652" s="8" t="n">
        <v>14</v>
      </c>
      <c r="AI652" s="8" t="str">
        <v>2026-09-16 至 2026-10-17</v>
      </c>
      <c r="AJ6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2" s="8" t="str">
        <v>2026-10-06 大促；2026-10-07 大促</v>
      </c>
      <c r="AL652" s="8" t="n">
        <v>2</v>
      </c>
      <c r="AM652" s="8" t="n">
        <v>1</v>
      </c>
      <c r="AN652" s="8" t="n">
        <v>30</v>
      </c>
      <c r="AO652" s="8" t="str">
        <v>2311062 / 棕色锦纶 / 13306</v>
      </c>
      <c r="AP652" s="11" t="n">
        <v>1.4758912429949873</v>
      </c>
      <c r="AQ652" s="11" t="n">
        <v>1.4758912429949873</v>
      </c>
      <c r="AR652" s="11" t="n">
        <v>1.4124697525543728</v>
      </c>
      <c r="AS652" s="11" t="n">
        <f>IF(AND(COUNT(I652:K652,AP652:AR652)=6,MIN(AP652:AR652)&gt;0),I652/7/AP652*0.5+J652/14/AQ652*0.3+K652/30/AR652*0.2,"")</f>
        <v>0.019238937224057066</v>
      </c>
      <c r="AT652" s="8" t="n">
        <v>5</v>
      </c>
      <c r="AU652" s="8" t="n">
        <v>1</v>
      </c>
      <c r="AV652" s="8" t="n">
        <v>88</v>
      </c>
      <c r="AW652" s="11" t="n">
        <f>IF(AND(COUNT(AT652:AV652)=3,AT652&gt;=AU652,AU652&gt;=0,AV652&gt;0),(AT652-AU652)/AV652,"")</f>
        <v>0.045454545454545456</v>
      </c>
      <c r="AX652" s="8" t="n">
        <v>10</v>
      </c>
      <c r="AY652" s="8" t="n">
        <v>1</v>
      </c>
      <c r="AZ652" s="8" t="n">
        <v>178</v>
      </c>
      <c r="BA652" s="11" t="n">
        <f>IF(AND(COUNT(AX652:AZ652)=3,AX652&gt;=AY652,AY652&gt;=0,AZ652&gt;0),(AX652-AY652)/AZ652,"")</f>
        <v>0.05056179775280899</v>
      </c>
      <c r="BB652" s="8" t="n">
        <f>IF(COUNT(AS652,AW652,BA652)=3,1,0)</f>
        <v>1</v>
      </c>
      <c r="BC652" s="11" t="n">
        <f>IF(SUMIF($AO$11:$AO$1309,AO652,$BB$11:$BB$1309)=COUNTIF($AO$11:$AO$1309,AO652),SUMIF($AO$11:$AO$1309,AO652,$AS$11:$AS$1309),"")</f>
        <v>0.21066970442512045</v>
      </c>
      <c r="BD652" s="11" t="n">
        <f>IF(SUMIF($AO$11:$AO$1309,AO652,$BB$11:$BB$1309)=COUNTIF($AO$11:$AO$1309,AO652),SUMIF($AO$11:$AO$1309,AO652,$AW$11:$AW$1309),"")</f>
        <v>0.4659090909090909</v>
      </c>
      <c r="BE652" s="11" t="n">
        <f>IF(SUMIF($AO$11:$AO$1309,AO652,$BB$11:$BB$1309)=COUNTIF($AO$11:$AO$1309,AO652),SUMIF($AO$11:$AO$1309,AO652,$BA$11:$BA$1309),"")</f>
        <v>0.348314606741573</v>
      </c>
      <c r="BF652" s="12" t="n">
        <f>IF(COUNT(BD652:BE652)&lt;&gt;2,"",IF(AND(BD652&gt;0,BE652&gt;0),0.7*AW652/BD652+0.3*BA652/BE652,IF(BD652&gt;0,AW652/BD652,IF(BE652&gt;0,BA652/BE652,IF(AND(ISNUMBER(BH652),BH652=0),0,"")))))</f>
        <v>0.11184107002360345</v>
      </c>
      <c r="BG652" s="11" t="n">
        <f>IF(AND(COUNT(BN652:BU652)=8,MIN(BN652:BU652)&gt;=0),SUMPRODUCT(BN652:BQ652,BR652:BU652),"")</f>
        <v>83.81006574832674</v>
      </c>
      <c r="BH652" s="11" t="n">
        <f>IF(COUNT(BC652,BG652)=2,BC652*BG652,"")</f>
        <v>17.656241779049903</v>
      </c>
      <c r="BI652" s="11" t="n">
        <f>IF(ISNUMBER(CI652),CI652,"")</f>
        <v>1.9746929731643932</v>
      </c>
      <c r="BJ652" s="8" t="str">
        <v>近180天本色销量66双（＜90），无有效新采购，请运营判断</v>
      </c>
      <c r="BK652" s="8" t="str">
        <v>90天：2026-07-20 至 2026-10-17；180天：2026-04-21 至 2026-10-17</v>
      </c>
      <c r="BL652" s="8" t="str">
        <v>90天：2026-10-06、2026-10-07；180天：2026-10-06、2026-10-07</v>
      </c>
      <c r="BM652" s="8" t="str">
        <v>2026-10：12天 × 1.4758912429949873；2026-11：30天 × 0.906602681585801；2026-12：31天 × 0.6189770892129804；2027-01：17天 × 1.1595882717182624</v>
      </c>
      <c r="BN652" s="11" t="n">
        <v>1.4758912429949873</v>
      </c>
      <c r="BO652" s="11" t="n">
        <v>0.906602681585801</v>
      </c>
      <c r="BP652" s="11" t="n">
        <v>0.6189770892129804</v>
      </c>
      <c r="BQ652" s="11" t="n">
        <v>1.1595882717182624</v>
      </c>
      <c r="BR652" s="8" t="n">
        <v>12</v>
      </c>
      <c r="BS652" s="8" t="n">
        <v>30</v>
      </c>
      <c r="BT652" s="8" t="n">
        <v>31</v>
      </c>
      <c r="BU652" s="8" t="n">
        <v>17</v>
      </c>
      <c r="BV652" s="11" t="n">
        <f>IF(COUNT(BC652,BF652)=2,BC652*BF652,"")</f>
        <v>0.02356152516446174</v>
      </c>
      <c r="BW652" s="11" t="n">
        <f>IF(ISNUMBER(BN652),BN652,"")</f>
        <v>1.4758912429949873</v>
      </c>
      <c r="BX652" s="14" t="n">
        <f>IF(ISNUMBER(BR652),BR652,"")</f>
        <v>12</v>
      </c>
      <c r="BY652" s="13" t="n">
        <f>IF(AND(COUNT(BV652,BW652,BX652)=3,MIN(BV652,BW652,BX652)&gt;=0),BV652*BW652*BX652,"")</f>
        <v>0.4172909839420213</v>
      </c>
      <c r="BZ652" s="11" t="n">
        <f>IF(ISNUMBER(BO652),BO652,"")</f>
        <v>0.906602681585801</v>
      </c>
      <c r="CA652" s="14" t="n">
        <f>IF(ISNUMBER(BS652),BS652,"")</f>
        <v>30</v>
      </c>
      <c r="CB652" s="13" t="n">
        <f>IF(AND(COUNT(BV652,BZ652,CA652)=3,MIN(BV652,BZ652,CA652)&gt;=0),BV652*BZ652*CA652,"")</f>
        <v>0.6408282568905703</v>
      </c>
      <c r="CC652" s="11" t="n">
        <f>IF(ISNUMBER(BP652),BP652,"")</f>
        <v>0.6189770892129804</v>
      </c>
      <c r="CD652" s="14" t="n">
        <f>IF(ISNUMBER(BT652),BT652,"")</f>
        <v>31</v>
      </c>
      <c r="CE652" s="13" t="n">
        <f>IF(AND(COUNT(BV652,CC652,CD652)=3,MIN(BV652,CC652,CD652)&gt;=0),BV652*CC652*CD652,"")</f>
        <v>0.45210537217522445</v>
      </c>
      <c r="CF652" s="11" t="n">
        <f>IF(ISNUMBER(BQ652),BQ652,"")</f>
        <v>1.1595882717182624</v>
      </c>
      <c r="CG652" s="14" t="n">
        <f>IF(ISNUMBER(BU652),BU652,"")</f>
        <v>17</v>
      </c>
      <c r="CH652" s="13" t="n">
        <f>IF(AND(COUNT(BV652,CF652,CG652)=3,MIN(BV652,CF652,CG652)&gt;=0),BV652*CF652*CG652,"")</f>
        <v>0.4644683601565771</v>
      </c>
      <c r="CI652" s="13" t="n">
        <f>IF(COUNT(BY652,CB652,CE652,CH652)=4,SUM(BY652,CB652,CE652,CH652),"")</f>
        <v>1.9746929731643932</v>
      </c>
    </row>
    <row r="653" ht="72" customHeight="1">
      <c r="A653" s="16" t="str">
        <v>2311062-BR-V-O-7</v>
      </c>
      <c r="B653" s="16" t="str">
        <v>4店-彬郁-US</v>
      </c>
      <c r="C653" s="16" t="str">
        <v>陈晨</v>
      </c>
      <c r="D653" s="26" t="n">
        <f>IF(NOT(ISNUMBER(E653)),"",IF(OR(E653&lt;=0,L653=0),0,IF(OR(NOT(ISNUMBER(F653)),F653&lt;0),"",MIN(E653,INT(F653)))))</f>
        <v>0</v>
      </c>
      <c r="E653" s="27" t="n">
        <f>IF(OR(NOT(ISNUMBER(L653)),COUNT(M653:O653)&lt;&gt;3,MIN(M653:O653)&lt;0),"",ROUNDUP(ROUND(BI653-SUM(M653:O653),10),0))</f>
        <v>-38</v>
      </c>
      <c r="F653" s="28" t="n">
        <v>0</v>
      </c>
      <c r="G653" s="28" t="n">
        <f>IF(AND(ISNUMBER(D653),ISNUMBER(E653)),IF(OR(E653&lt;=0,L653=0),0,E653-D653),"")</f>
        <v>0</v>
      </c>
      <c r="H653" s="16" t="str">
        <f>IF(NOT(ISNUMBER(E653)),"销量或海外库存待补",IF(OR(E653&lt;=0,L653=0),IF(L653=0,"零日销，本批不发","本批无需补货"),IF(NOT(ISNUMBER(D653)),"国内库存待补",IF(D653=0,"国内无可用库存",IF(G653&gt;0,"先发国内现货","按建议量发货")))))</f>
        <v>本批无需补货</v>
      </c>
      <c r="I653" s="28" t="n">
        <f>IF(AND(COUNT(Z653,AA653,AB653)=3,Z653&gt;=AA653,AA653&gt;=0,AB653=7),Z653-AA653,"")</f>
        <v>0</v>
      </c>
      <c r="J653" s="28" t="n">
        <f>IF(AND(COUNT(AF653,AG653,AH653)=3,AF653&gt;=AG653,AG653&gt;=0,AH653=14),AF653-AG653,"")</f>
        <v>0</v>
      </c>
      <c r="K653" s="28" t="n">
        <f>IF(AND(COUNT(AL653,AM653,AN653)=3,AL653&gt;=AM653,AM653&gt;=0,AN653=30),AL653-AM653,"")</f>
        <v>4</v>
      </c>
      <c r="L653" s="29" t="n">
        <f>IF(ISNUMBER(BI653),BI653/90,"")</f>
        <v>0.03293856102499563</v>
      </c>
      <c r="M653" s="28" t="n">
        <v>13</v>
      </c>
      <c r="N653" s="28" t="n">
        <v>0</v>
      </c>
      <c r="O653" s="28" t="n">
        <v>27</v>
      </c>
      <c r="P653" s="30" t="n">
        <f>IF(AND(ISNUMBER(L653),L653&gt;0,COUNT(M653:O653)=3,MIN(M653:O653)&gt;=0),SUM(M653:O653)/L653,"")</f>
        <v>1214.3821331370777</v>
      </c>
      <c r="Q653" s="16" t="str">
        <v>沿用原计划SKU店铺</v>
      </c>
      <c r="R653" s="16" t="str">
        <v>已匹配</v>
      </c>
      <c r="S653" s="16" t="str">
        <v>在售</v>
      </c>
      <c r="T653" s="16" t="str">
        <v>2311062</v>
      </c>
      <c r="U653" s="16" t="str">
        <v>棕色锦纶</v>
      </c>
      <c r="V653" s="16" t="n">
        <v>7</v>
      </c>
      <c r="W653" s="8" t="str">
        <v>2026-10-11 至 2026-10-17</v>
      </c>
      <c r="X653" s="8" t="str">
        <v>2026-10-11、2026-10-12、2026-10-13、2026-10-14、2026-10-15、2026-10-16、2026-10-17</v>
      </c>
      <c r="Y653" s="8" t="str">
        <v>无</v>
      </c>
      <c r="Z653" s="8" t="n">
        <v>0</v>
      </c>
      <c r="AA653" s="8" t="n">
        <v>0</v>
      </c>
      <c r="AB653" s="8" t="n">
        <v>7</v>
      </c>
      <c r="AC653" s="8" t="str">
        <v>2026-10-02 至 2026-10-17</v>
      </c>
      <c r="AD653" s="8" t="str">
        <v>2026-10-02、2026-10-03、2026-10-04、2026-10-05、2026-10-08、2026-10-09、2026-10-10、2026-10-11、2026-10-12、2026-10-13、2026-10-14、2026-10-15、2026-10-16、2026-10-17</v>
      </c>
      <c r="AE653" s="8" t="str">
        <v>2026-10-06 大促；2026-10-07 大促</v>
      </c>
      <c r="AF653" s="8" t="n">
        <v>0</v>
      </c>
      <c r="AG653" s="8" t="n">
        <v>0</v>
      </c>
      <c r="AH653" s="8" t="n">
        <v>14</v>
      </c>
      <c r="AI653" s="8" t="str">
        <v>2026-09-16 至 2026-10-17</v>
      </c>
      <c r="AJ6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3" s="8" t="str">
        <v>2026-10-06 大促；2026-10-07 大促</v>
      </c>
      <c r="AL653" s="8" t="n">
        <v>4</v>
      </c>
      <c r="AM653" s="8" t="n">
        <v>0</v>
      </c>
      <c r="AN653" s="8" t="n">
        <v>30</v>
      </c>
      <c r="AO653" s="8" t="str">
        <v>2311062 / 棕色锦纶 / 13306</v>
      </c>
      <c r="AP653" s="11" t="n">
        <v>1.4758912429949873</v>
      </c>
      <c r="AQ653" s="11" t="n">
        <v>1.4758912429949873</v>
      </c>
      <c r="AR653" s="11" t="n">
        <v>1.4124697525543728</v>
      </c>
      <c r="AS653" s="11" t="n">
        <f>IF(AND(COUNT(I653:K653,AP653:AR653)=6,MIN(AP653:AR653)&gt;0),I653/7/AP653*0.5+J653/14/AQ653*0.3+K653/30/AR653*0.2,"")</f>
        <v>0.01887946033424184</v>
      </c>
      <c r="AT653" s="8" t="n">
        <v>7</v>
      </c>
      <c r="AU653" s="8" t="n">
        <v>0</v>
      </c>
      <c r="AV653" s="8" t="n">
        <v>88</v>
      </c>
      <c r="AW653" s="11" t="n">
        <f>IF(AND(COUNT(AT653:AV653)=3,AT653&gt;=AU653,AU653&gt;=0,AV653&gt;0),(AT653-AU653)/AV653,"")</f>
        <v>0.07954545454545454</v>
      </c>
      <c r="AX653" s="8" t="n">
        <v>10</v>
      </c>
      <c r="AY653" s="8" t="n">
        <v>0</v>
      </c>
      <c r="AZ653" s="8" t="n">
        <v>178</v>
      </c>
      <c r="BA653" s="11" t="n">
        <f>IF(AND(COUNT(AX653:AZ653)=3,AX653&gt;=AY653,AY653&gt;=0,AZ653&gt;0),(AX653-AY653)/AZ653,"")</f>
        <v>0.056179775280898875</v>
      </c>
      <c r="BB653" s="8" t="n">
        <f>IF(COUNT(AS653,AW653,BA653)=3,1,0)</f>
        <v>1</v>
      </c>
      <c r="BC653" s="11" t="n">
        <f>IF(SUMIF($AO$11:$AO$1309,AO653,$BB$11:$BB$1309)=COUNTIF($AO$11:$AO$1309,AO653),SUMIF($AO$11:$AO$1309,AO653,$AS$11:$AS$1309),"")</f>
        <v>0.21066970442512045</v>
      </c>
      <c r="BD653" s="11" t="n">
        <f>IF(SUMIF($AO$11:$AO$1309,AO653,$BB$11:$BB$1309)=COUNTIF($AO$11:$AO$1309,AO653),SUMIF($AO$11:$AO$1309,AO653,$AW$11:$AW$1309),"")</f>
        <v>0.4659090909090909</v>
      </c>
      <c r="BE653" s="11" t="n">
        <f>IF(SUMIF($AO$11:$AO$1309,AO653,$BB$11:$BB$1309)=COUNTIF($AO$11:$AO$1309,AO653),SUMIF($AO$11:$AO$1309,AO653,$BA$11:$BA$1309),"")</f>
        <v>0.348314606741573</v>
      </c>
      <c r="BF653" s="12" t="n">
        <f>IF(COUNT(BD653:BE653)&lt;&gt;2,"",IF(AND(BD653&gt;0,BE653&gt;0),0.7*AW653/BD653+0.3*BA653/BE653,IF(BD653&gt;0,AW653/BD653,IF(BE653&gt;0,BA653/BE653,IF(AND(ISNUMBER(BH653),BH653=0),0,"")))))</f>
        <v>0.16789929189614478</v>
      </c>
      <c r="BG653" s="11" t="n">
        <f>IF(AND(COUNT(BN653:BU653)=8,MIN(BN653:BU653)&gt;=0),SUMPRODUCT(BN653:BQ653,BR653:BU653),"")</f>
        <v>83.81006574832674</v>
      </c>
      <c r="BH653" s="11" t="n">
        <f>IF(COUNT(BC653,BG653)=2,BC653*BG653,"")</f>
        <v>17.656241779049903</v>
      </c>
      <c r="BI653" s="11" t="n">
        <f>IF(ISNUMBER(CI653),CI653,"")</f>
        <v>2.9644704922496063</v>
      </c>
      <c r="BJ653" s="8" t="str">
        <v>近180天本色销量66双（＜90），无有效新采购，请运营判断</v>
      </c>
      <c r="BK653" s="8" t="str">
        <v>90天：2026-07-20 至 2026-10-17；180天：2026-04-21 至 2026-10-17</v>
      </c>
      <c r="BL653" s="8" t="str">
        <v>90天：2026-10-06、2026-10-07；180天：2026-10-06、2026-10-07</v>
      </c>
      <c r="BM653" s="8" t="str">
        <v>2026-10：12天 × 1.4758912429949873；2026-11：30天 × 0.906602681585801；2026-12：31天 × 0.6189770892129804；2027-01：17天 × 1.1595882717182624</v>
      </c>
      <c r="BN653" s="11" t="n">
        <v>1.4758912429949873</v>
      </c>
      <c r="BO653" s="11" t="n">
        <v>0.906602681585801</v>
      </c>
      <c r="BP653" s="11" t="n">
        <v>0.6189770892129804</v>
      </c>
      <c r="BQ653" s="11" t="n">
        <v>1.1595882717182624</v>
      </c>
      <c r="BR653" s="8" t="n">
        <v>12</v>
      </c>
      <c r="BS653" s="8" t="n">
        <v>30</v>
      </c>
      <c r="BT653" s="8" t="n">
        <v>31</v>
      </c>
      <c r="BU653" s="8" t="n">
        <v>17</v>
      </c>
      <c r="BV653" s="11" t="n">
        <f>IF(COUNT(BC653,BF653)=2,BC653*BF653,"")</f>
        <v>0.035371294196947844</v>
      </c>
      <c r="BW653" s="11" t="n">
        <f>IF(ISNUMBER(BN653),BN653,"")</f>
        <v>1.4758912429949873</v>
      </c>
      <c r="BX653" s="14" t="n">
        <f>IF(ISNUMBER(BR653),BR653,"")</f>
        <v>12</v>
      </c>
      <c r="BY653" s="13" t="n">
        <f>IF(AND(COUNT(BV653,BW653,BX653)=3,MIN(BV653,BW653,BX653)&gt;=0),BV653*BW653*BX653,"")</f>
        <v>0.6264502003040968</v>
      </c>
      <c r="BZ653" s="11" t="n">
        <f>IF(ISNUMBER(BO653),BO653,"")</f>
        <v>0.906602681585801</v>
      </c>
      <c r="CA653" s="14" t="n">
        <f>IF(ISNUMBER(BS653),BS653,"")</f>
        <v>30</v>
      </c>
      <c r="CB653" s="13" t="n">
        <f>IF(AND(COUNT(BV653,BZ653,CA653)=3,MIN(BV653,BZ653,CA653)&gt;=0),BV653*BZ653*CA653,"")</f>
        <v>0.962031305103396</v>
      </c>
      <c r="CC653" s="11" t="n">
        <f>IF(ISNUMBER(BP653),BP653,"")</f>
        <v>0.6189770892129804</v>
      </c>
      <c r="CD653" s="14" t="n">
        <f>IF(ISNUMBER(BT653),BT653,"")</f>
        <v>31</v>
      </c>
      <c r="CE653" s="13" t="n">
        <f>IF(AND(COUNT(BV653,CC653,CD653)=3,MIN(BV653,CC653,CD653)&gt;=0),BV653*CC653*CD653,"")</f>
        <v>0.6787146424354056</v>
      </c>
      <c r="CF653" s="11" t="n">
        <f>IF(ISNUMBER(BQ653),BQ653,"")</f>
        <v>1.1595882717182624</v>
      </c>
      <c r="CG653" s="14" t="n">
        <f>IF(ISNUMBER(BU653),BU653,"")</f>
        <v>17</v>
      </c>
      <c r="CH653" s="13" t="n">
        <f>IF(AND(COUNT(BV653,CF653,CG653)=3,MIN(BV653,CF653,CG653)&gt;=0),BV653*CF653*CG653,"")</f>
        <v>0.6972743444067083</v>
      </c>
      <c r="CI653" s="13" t="n">
        <f>IF(COUNT(BY653,CB653,CE653,CH653)=4,SUM(BY653,CB653,CE653,CH653),"")</f>
        <v>2.9644704922496063</v>
      </c>
    </row>
    <row r="654" ht="72" customHeight="1">
      <c r="A654" s="16" t="str">
        <v>2311062-BR-V-O-8</v>
      </c>
      <c r="B654" s="16" t="str">
        <v>4店-彬郁-US</v>
      </c>
      <c r="C654" s="16" t="str">
        <v>陈晨</v>
      </c>
      <c r="D654" s="26" t="n">
        <f>IF(NOT(ISNUMBER(E654)),"",IF(OR(E654&lt;=0,L654=0),0,IF(OR(NOT(ISNUMBER(F654)),F654&lt;0),"",MIN(E654,INT(F654)))))</f>
        <v>0</v>
      </c>
      <c r="E654" s="27" t="n">
        <f>IF(OR(NOT(ISNUMBER(L654)),COUNT(M654:O654)&lt;&gt;3,MIN(M654:O654)&lt;0),"",ROUNDUP(ROUND(BI654-SUM(M654:O654),10),0))</f>
        <v>-57</v>
      </c>
      <c r="F654" s="28" t="n">
        <v>0</v>
      </c>
      <c r="G654" s="28" t="n">
        <f>IF(AND(ISNUMBER(D654),ISNUMBER(E654)),IF(OR(E654&lt;=0,L654=0),0,E654-D654),"")</f>
        <v>0</v>
      </c>
      <c r="H654" s="16" t="str">
        <f>IF(NOT(ISNUMBER(E654)),"销量或海外库存待补",IF(OR(E654&lt;=0,L654=0),IF(L654=0,"零日销，本批不发","本批无需补货"),IF(NOT(ISNUMBER(D654)),"国内库存待补",IF(D654=0,"国内无可用库存",IF(G654&gt;0,"先发国内现货","按建议量发货")))))</f>
        <v>本批无需补货</v>
      </c>
      <c r="I654" s="28" t="n">
        <f>IF(AND(COUNT(Z654,AA654,AB654)=3,Z654&gt;=AA654,AA654&gt;=0,AB654=7),Z654-AA654,"")</f>
        <v>1</v>
      </c>
      <c r="J654" s="28" t="n">
        <f>IF(AND(COUNT(AF654,AG654,AH654)=3,AF654&gt;=AG654,AG654&gt;=0,AH654=14),AF654-AG654,"")</f>
        <v>1</v>
      </c>
      <c r="K654" s="28" t="n">
        <f>IF(AND(COUNT(AL654,AM654,AN654)=3,AL654&gt;=AM654,AM654&gt;=0,AN654=30),AL654-AM654,"")</f>
        <v>5</v>
      </c>
      <c r="L654" s="29" t="n">
        <f>IF(ISNUMBER(BI654),BI654/90,"")</f>
        <v>0.06492786173928965</v>
      </c>
      <c r="M654" s="28" t="n">
        <v>39</v>
      </c>
      <c r="N654" s="28" t="n">
        <v>0</v>
      </c>
      <c r="O654" s="28" t="n">
        <v>23</v>
      </c>
      <c r="P654" s="30" t="n">
        <f>IF(AND(ISNUMBER(L654),L654&gt;0,COUNT(M654:O654)=3,MIN(M654:O654)&gt;=0),SUM(M654:O654)/L654,"")</f>
        <v>954.9059269648192</v>
      </c>
      <c r="Q654" s="16" t="str">
        <v>沿用原计划SKU店铺</v>
      </c>
      <c r="R654" s="16" t="str">
        <v>已匹配</v>
      </c>
      <c r="S654" s="16" t="str">
        <v>在售</v>
      </c>
      <c r="T654" s="16" t="str">
        <v>2311062</v>
      </c>
      <c r="U654" s="16" t="str">
        <v>棕色锦纶</v>
      </c>
      <c r="V654" s="16" t="n">
        <v>8</v>
      </c>
      <c r="W654" s="8" t="str">
        <v>2026-10-11 至 2026-10-17</v>
      </c>
      <c r="X654" s="8" t="str">
        <v>2026-10-11、2026-10-12、2026-10-13、2026-10-14、2026-10-15、2026-10-16、2026-10-17</v>
      </c>
      <c r="Y654" s="8" t="str">
        <v>无</v>
      </c>
      <c r="Z654" s="8" t="n">
        <v>1</v>
      </c>
      <c r="AA654" s="8" t="n">
        <v>0</v>
      </c>
      <c r="AB654" s="8" t="n">
        <v>7</v>
      </c>
      <c r="AC654" s="8" t="str">
        <v>2026-10-02 至 2026-10-17</v>
      </c>
      <c r="AD654" s="8" t="str">
        <v>2026-10-02、2026-10-03、2026-10-04、2026-10-05、2026-10-08、2026-10-09、2026-10-10、2026-10-11、2026-10-12、2026-10-13、2026-10-14、2026-10-15、2026-10-16、2026-10-17</v>
      </c>
      <c r="AE654" s="8" t="str">
        <v>2026-10-06 大促；2026-10-07 大促</v>
      </c>
      <c r="AF654" s="8" t="n">
        <v>2</v>
      </c>
      <c r="AG654" s="8" t="n">
        <v>1</v>
      </c>
      <c r="AH654" s="8" t="n">
        <v>14</v>
      </c>
      <c r="AI654" s="8" t="str">
        <v>2026-09-16 至 2026-10-17</v>
      </c>
      <c r="AJ6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4" s="8" t="str">
        <v>2026-10-06 大促；2026-10-07 大促</v>
      </c>
      <c r="AL654" s="8" t="n">
        <v>6</v>
      </c>
      <c r="AM654" s="8" t="n">
        <v>1</v>
      </c>
      <c r="AN654" s="8" t="n">
        <v>30</v>
      </c>
      <c r="AO654" s="8" t="str">
        <v>2311062 / 棕色锦纶 / 13306</v>
      </c>
      <c r="AP654" s="11" t="n">
        <v>1.4758912429949873</v>
      </c>
      <c r="AQ654" s="11" t="n">
        <v>1.4758912429949873</v>
      </c>
      <c r="AR654" s="11" t="n">
        <v>1.4124697525543728</v>
      </c>
      <c r="AS654" s="11" t="n">
        <f>IF(AND(COUNT(I654:K654,AP654:AR654)=6,MIN(AP654:AR654)&gt;0),I654/7/AP654*0.5+J654/14/AQ654*0.3+K654/30/AR654*0.2,"")</f>
        <v>0.0865153046932876</v>
      </c>
      <c r="AT654" s="8" t="n">
        <v>15</v>
      </c>
      <c r="AU654" s="8" t="n">
        <v>1</v>
      </c>
      <c r="AV654" s="8" t="n">
        <v>88</v>
      </c>
      <c r="AW654" s="11" t="n">
        <f>IF(AND(COUNT(AT654:AV654)=3,AT654&gt;=AU654,AU654&gt;=0,AV654&gt;0),(AT654-AU654)/AV654,"")</f>
        <v>0.1590909090909091</v>
      </c>
      <c r="AX654" s="8" t="n">
        <v>20</v>
      </c>
      <c r="AY654" s="8" t="n">
        <v>1</v>
      </c>
      <c r="AZ654" s="8" t="n">
        <v>178</v>
      </c>
      <c r="BA654" s="11" t="n">
        <f>IF(AND(COUNT(AX654:AZ654)=3,AX654&gt;=AY654,AY654&gt;=0,AZ654&gt;0),(AX654-AY654)/AZ654,"")</f>
        <v>0.10674157303370786</v>
      </c>
      <c r="BB654" s="8" t="n">
        <f>IF(COUNT(AS654,AW654,BA654)=3,1,0)</f>
        <v>1</v>
      </c>
      <c r="BC654" s="11" t="n">
        <f>IF(SUMIF($AO$11:$AO$1309,AO654,$BB$11:$BB$1309)=COUNTIF($AO$11:$AO$1309,AO654),SUMIF($AO$11:$AO$1309,AO654,$AS$11:$AS$1309),"")</f>
        <v>0.21066970442512045</v>
      </c>
      <c r="BD654" s="11" t="n">
        <f>IF(SUMIF($AO$11:$AO$1309,AO654,$BB$11:$BB$1309)=COUNTIF($AO$11:$AO$1309,AO654),SUMIF($AO$11:$AO$1309,AO654,$AW$11:$AW$1309),"")</f>
        <v>0.4659090909090909</v>
      </c>
      <c r="BE654" s="11" t="n">
        <f>IF(SUMIF($AO$11:$AO$1309,AO654,$BB$11:$BB$1309)=COUNTIF($AO$11:$AO$1309,AO654),SUMIF($AO$11:$AO$1309,AO654,$BA$11:$BA$1309),"")</f>
        <v>0.348314606741573</v>
      </c>
      <c r="BF654" s="12" t="n">
        <f>IF(COUNT(BD654:BE654)&lt;&gt;2,"",IF(AND(BD654&gt;0,BE654&gt;0),0.7*AW654/BD654+0.3*BA654/BE654,IF(BD654&gt;0,AW654/BD654,IF(BE654&gt;0,BA654/BE654,IF(AND(ISNUMBER(BH654),BH654=0),0,"")))))</f>
        <v>0.33095987411487016</v>
      </c>
      <c r="BG654" s="11" t="n">
        <f>IF(AND(COUNT(BN654:BU654)=8,MIN(BN654:BU654)&gt;=0),SUMPRODUCT(BN654:BQ654,BR654:BU654),"")</f>
        <v>83.81006574832674</v>
      </c>
      <c r="BH654" s="11" t="n">
        <f>IF(COUNT(BC654,BG654)=2,BC654*BG654,"")</f>
        <v>17.656241779049903</v>
      </c>
      <c r="BI654" s="11" t="n">
        <f>IF(ISNUMBER(CI654),CI654,"")</f>
        <v>5.843507556536068</v>
      </c>
      <c r="BJ654" s="8" t="str">
        <v>近180天本色销量66双（＜90），无有效新采购，请运营判断</v>
      </c>
      <c r="BK654" s="8" t="str">
        <v>90天：2026-07-20 至 2026-10-17；180天：2026-04-21 至 2026-10-17</v>
      </c>
      <c r="BL654" s="8" t="str">
        <v>90天：2026-10-06、2026-10-07；180天：2026-10-06、2026-10-07</v>
      </c>
      <c r="BM654" s="8" t="str">
        <v>2026-10：12天 × 1.4758912429949873；2026-11：30天 × 0.906602681585801；2026-12：31天 × 0.6189770892129804；2027-01：17天 × 1.1595882717182624</v>
      </c>
      <c r="BN654" s="11" t="n">
        <v>1.4758912429949873</v>
      </c>
      <c r="BO654" s="11" t="n">
        <v>0.906602681585801</v>
      </c>
      <c r="BP654" s="11" t="n">
        <v>0.6189770892129804</v>
      </c>
      <c r="BQ654" s="11" t="n">
        <v>1.1595882717182624</v>
      </c>
      <c r="BR654" s="8" t="n">
        <v>12</v>
      </c>
      <c r="BS654" s="8" t="n">
        <v>30</v>
      </c>
      <c r="BT654" s="8" t="n">
        <v>31</v>
      </c>
      <c r="BU654" s="8" t="n">
        <v>17</v>
      </c>
      <c r="BV654" s="11" t="n">
        <f>IF(COUNT(BC654,BF654)=2,BC654*BF654,"")</f>
        <v>0.06972321885635477</v>
      </c>
      <c r="BW654" s="11" t="n">
        <f>IF(ISNUMBER(BN654),BN654,"")</f>
        <v>1.4758912429949873</v>
      </c>
      <c r="BX654" s="14" t="n">
        <f>IF(ISNUMBER(BR654),BR654,"")</f>
        <v>12</v>
      </c>
      <c r="BY654" s="13" t="n">
        <f>IF(AND(COUNT(BV654,BW654,BX654)=3,MIN(BV654,BW654,BX654)&gt;=0),BV654*BW654*BX654,"")</f>
        <v>1.2348466577222037</v>
      </c>
      <c r="BZ654" s="11" t="n">
        <f>IF(ISNUMBER(BO654),BO654,"")</f>
        <v>0.906602681585801</v>
      </c>
      <c r="CA654" s="14" t="n">
        <f>IF(ISNUMBER(BS654),BS654,"")</f>
        <v>30</v>
      </c>
      <c r="CB654" s="13" t="n">
        <f>IF(AND(COUNT(BV654,BZ654,CA654)=3,MIN(BV654,BZ654,CA654)&gt;=0),BV654*BZ654*CA654,"")</f>
        <v>1.8963377155189476</v>
      </c>
      <c r="CC654" s="11" t="n">
        <f>IF(ISNUMBER(BP654),BP654,"")</f>
        <v>0.6189770892129804</v>
      </c>
      <c r="CD654" s="14" t="n">
        <f>IF(ISNUMBER(BT654),BT654,"")</f>
        <v>31</v>
      </c>
      <c r="CE654" s="13" t="n">
        <f>IF(AND(COUNT(BV654,CC654,CD654)=3,MIN(BV654,CC654,CD654)&gt;=0),BV654*CC654*CD654,"")</f>
        <v>1.337869326806248</v>
      </c>
      <c r="CF654" s="11" t="n">
        <f>IF(ISNUMBER(BQ654),BQ654,"")</f>
        <v>1.1595882717182624</v>
      </c>
      <c r="CG654" s="14" t="n">
        <f>IF(ISNUMBER(BU654),BU654,"")</f>
        <v>17</v>
      </c>
      <c r="CH654" s="13" t="n">
        <f>IF(AND(COUNT(BV654,CF654,CG654)=3,MIN(BV654,CF654,CG654)&gt;=0),BV654*CF654*CG654,"")</f>
        <v>1.3744538564886681</v>
      </c>
      <c r="CI654" s="13" t="n">
        <f>IF(COUNT(BY654,CB654,CE654,CH654)=4,SUM(BY654,CB654,CE654,CH654),"")</f>
        <v>5.843507556536068</v>
      </c>
    </row>
    <row r="655" ht="72" customHeight="1">
      <c r="A655" s="16" t="str">
        <v>2311062-BR-V-O-9</v>
      </c>
      <c r="B655" s="16" t="str">
        <v>4店-彬郁-US</v>
      </c>
      <c r="C655" s="16" t="str">
        <v>陈晨</v>
      </c>
      <c r="D655" s="26" t="n">
        <f>IF(NOT(ISNUMBER(E655)),"",IF(OR(E655&lt;=0,L655=0),0,IF(OR(NOT(ISNUMBER(F655)),F655&lt;0),"",MIN(E655,INT(F655)))))</f>
        <v>0</v>
      </c>
      <c r="E655" s="27" t="n">
        <f>IF(OR(NOT(ISNUMBER(L655)),COUNT(M655:O655)&lt;&gt;3,MIN(M655:O655)&lt;0),"",ROUNDUP(ROUND(BI655-SUM(M655:O655),10),0))</f>
        <v>-44</v>
      </c>
      <c r="F655" s="28" t="n">
        <v>0</v>
      </c>
      <c r="G655" s="28" t="n">
        <f>IF(AND(ISNUMBER(D655),ISNUMBER(E655)),IF(OR(E655&lt;=0,L655=0),0,E655-D655),"")</f>
        <v>0</v>
      </c>
      <c r="H655" s="16" t="str">
        <f>IF(NOT(ISNUMBER(E655)),"销量或海外库存待补",IF(OR(E655&lt;=0,L655=0),IF(L655=0,"零日销，本批不发","本批无需补货"),IF(NOT(ISNUMBER(D655)),"国内库存待补",IF(D655=0,"国内无可用库存",IF(G655&gt;0,"先发国内现货","按建议量发货")))))</f>
        <v>本批无需补货</v>
      </c>
      <c r="I655" s="28" t="n">
        <f>IF(AND(COUNT(Z655,AA655,AB655)=3,Z655&gt;=AA655,AA655&gt;=0,AB655=7),Z655-AA655,"")</f>
        <v>0</v>
      </c>
      <c r="J655" s="28" t="n">
        <f>IF(AND(COUNT(AF655,AG655,AH655)=3,AF655&gt;=AG655,AG655&gt;=0,AH655=14),AF655-AG655,"")</f>
        <v>0</v>
      </c>
      <c r="K655" s="28" t="n">
        <f>IF(AND(COUNT(AL655,AM655,AN655)=3,AL655&gt;=AM655,AM655&gt;=0,AN655=30),AL655-AM655,"")</f>
        <v>2</v>
      </c>
      <c r="L655" s="29" t="n">
        <f>IF(ISNUMBER(BI655),BI655/90,"")</f>
        <v>0.03293856102499563</v>
      </c>
      <c r="M655" s="28" t="n">
        <v>43</v>
      </c>
      <c r="N655" s="28" t="n">
        <v>0</v>
      </c>
      <c r="O655" s="28" t="n">
        <v>3</v>
      </c>
      <c r="P655" s="30" t="n">
        <f>IF(AND(ISNUMBER(L655),L655&gt;0,COUNT(M655:O655)=3,MIN(M655:O655)&gt;=0),SUM(M655:O655)/L655,"")</f>
        <v>1396.5394531076392</v>
      </c>
      <c r="Q655" s="16" t="str">
        <v>沿用原计划SKU店铺</v>
      </c>
      <c r="R655" s="16" t="str">
        <v>已匹配</v>
      </c>
      <c r="S655" s="16" t="str">
        <v>在售</v>
      </c>
      <c r="T655" s="16" t="str">
        <v>2311062</v>
      </c>
      <c r="U655" s="16" t="str">
        <v>棕色锦纶</v>
      </c>
      <c r="V655" s="16" t="n">
        <v>9</v>
      </c>
      <c r="W655" s="8" t="str">
        <v>2026-10-11 至 2026-10-17</v>
      </c>
      <c r="X655" s="8" t="str">
        <v>2026-10-11、2026-10-12、2026-10-13、2026-10-14、2026-10-15、2026-10-16、2026-10-17</v>
      </c>
      <c r="Y655" s="8" t="str">
        <v>无</v>
      </c>
      <c r="Z655" s="8" t="n">
        <v>0</v>
      </c>
      <c r="AA655" s="8" t="n">
        <v>0</v>
      </c>
      <c r="AB655" s="8" t="n">
        <v>7</v>
      </c>
      <c r="AC655" s="8" t="str">
        <v>2026-10-02 至 2026-10-17</v>
      </c>
      <c r="AD655" s="8" t="str">
        <v>2026-10-02、2026-10-03、2026-10-04、2026-10-05、2026-10-08、2026-10-09、2026-10-10、2026-10-11、2026-10-12、2026-10-13、2026-10-14、2026-10-15、2026-10-16、2026-10-17</v>
      </c>
      <c r="AE655" s="8" t="str">
        <v>2026-10-06 大促；2026-10-07 大促</v>
      </c>
      <c r="AF655" s="8" t="n">
        <v>1</v>
      </c>
      <c r="AG655" s="8" t="n">
        <v>1</v>
      </c>
      <c r="AH655" s="8" t="n">
        <v>14</v>
      </c>
      <c r="AI655" s="8" t="str">
        <v>2026-09-16 至 2026-10-17</v>
      </c>
      <c r="AJ6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5" s="8" t="str">
        <v>2026-10-06 大促；2026-10-07 大促</v>
      </c>
      <c r="AL655" s="8" t="n">
        <v>3</v>
      </c>
      <c r="AM655" s="8" t="n">
        <v>1</v>
      </c>
      <c r="AN655" s="8" t="n">
        <v>30</v>
      </c>
      <c r="AO655" s="8" t="str">
        <v>2311062 / 棕色锦纶 / 13306</v>
      </c>
      <c r="AP655" s="11" t="n">
        <v>1.4758912429949873</v>
      </c>
      <c r="AQ655" s="11" t="n">
        <v>1.4758912429949873</v>
      </c>
      <c r="AR655" s="11" t="n">
        <v>1.4124697525543728</v>
      </c>
      <c r="AS655" s="11" t="n">
        <f>IF(AND(COUNT(I655:K655,AP655:AR655)=6,MIN(AP655:AR655)&gt;0),I655/7/AP655*0.5+J655/14/AQ655*0.3+K655/30/AR655*0.2,"")</f>
        <v>0.00943973016712092</v>
      </c>
      <c r="AT655" s="8" t="n">
        <v>8</v>
      </c>
      <c r="AU655" s="8" t="n">
        <v>1</v>
      </c>
      <c r="AV655" s="8" t="n">
        <v>88</v>
      </c>
      <c r="AW655" s="11" t="n">
        <f>IF(AND(COUNT(AT655:AV655)=3,AT655&gt;=AU655,AU655&gt;=0,AV655&gt;0),(AT655-AU655)/AV655,"")</f>
        <v>0.07954545454545454</v>
      </c>
      <c r="AX655" s="8" t="n">
        <v>11</v>
      </c>
      <c r="AY655" s="8" t="n">
        <v>1</v>
      </c>
      <c r="AZ655" s="8" t="n">
        <v>178</v>
      </c>
      <c r="BA655" s="11" t="n">
        <f>IF(AND(COUNT(AX655:AZ655)=3,AX655&gt;=AY655,AY655&gt;=0,AZ655&gt;0),(AX655-AY655)/AZ655,"")</f>
        <v>0.056179775280898875</v>
      </c>
      <c r="BB655" s="8" t="n">
        <f>IF(COUNT(AS655,AW655,BA655)=3,1,0)</f>
        <v>1</v>
      </c>
      <c r="BC655" s="11" t="n">
        <f>IF(SUMIF($AO$11:$AO$1309,AO655,$BB$11:$BB$1309)=COUNTIF($AO$11:$AO$1309,AO655),SUMIF($AO$11:$AO$1309,AO655,$AS$11:$AS$1309),"")</f>
        <v>0.21066970442512045</v>
      </c>
      <c r="BD655" s="11" t="n">
        <f>IF(SUMIF($AO$11:$AO$1309,AO655,$BB$11:$BB$1309)=COUNTIF($AO$11:$AO$1309,AO655),SUMIF($AO$11:$AO$1309,AO655,$AW$11:$AW$1309),"")</f>
        <v>0.4659090909090909</v>
      </c>
      <c r="BE655" s="11" t="n">
        <f>IF(SUMIF($AO$11:$AO$1309,AO655,$BB$11:$BB$1309)=COUNTIF($AO$11:$AO$1309,AO655),SUMIF($AO$11:$AO$1309,AO655,$BA$11:$BA$1309),"")</f>
        <v>0.348314606741573</v>
      </c>
      <c r="BF655" s="12" t="n">
        <f>IF(COUNT(BD655:BE655)&lt;&gt;2,"",IF(AND(BD655&gt;0,BE655&gt;0),0.7*AW655/BD655+0.3*BA655/BE655,IF(BD655&gt;0,AW655/BD655,IF(BE655&gt;0,BA655/BE655,IF(AND(ISNUMBER(BH655),BH655=0),0,"")))))</f>
        <v>0.16789929189614478</v>
      </c>
      <c r="BG655" s="11" t="n">
        <f>IF(AND(COUNT(BN655:BU655)=8,MIN(BN655:BU655)&gt;=0),SUMPRODUCT(BN655:BQ655,BR655:BU655),"")</f>
        <v>83.81006574832674</v>
      </c>
      <c r="BH655" s="11" t="n">
        <f>IF(COUNT(BC655,BG655)=2,BC655*BG655,"")</f>
        <v>17.656241779049903</v>
      </c>
      <c r="BI655" s="11" t="n">
        <f>IF(ISNUMBER(CI655),CI655,"")</f>
        <v>2.9644704922496063</v>
      </c>
      <c r="BJ655" s="8" t="str">
        <v>近180天本色销量66双（＜90），无有效新采购，请运营判断</v>
      </c>
      <c r="BK655" s="8" t="str">
        <v>90天：2026-07-20 至 2026-10-17；180天：2026-04-21 至 2026-10-17</v>
      </c>
      <c r="BL655" s="8" t="str">
        <v>90天：2026-10-06、2026-10-07；180天：2026-10-06、2026-10-07</v>
      </c>
      <c r="BM655" s="8" t="str">
        <v>2026-10：12天 × 1.4758912429949873；2026-11：30天 × 0.906602681585801；2026-12：31天 × 0.6189770892129804；2027-01：17天 × 1.1595882717182624</v>
      </c>
      <c r="BN655" s="11" t="n">
        <v>1.4758912429949873</v>
      </c>
      <c r="BO655" s="11" t="n">
        <v>0.906602681585801</v>
      </c>
      <c r="BP655" s="11" t="n">
        <v>0.6189770892129804</v>
      </c>
      <c r="BQ655" s="11" t="n">
        <v>1.1595882717182624</v>
      </c>
      <c r="BR655" s="8" t="n">
        <v>12</v>
      </c>
      <c r="BS655" s="8" t="n">
        <v>30</v>
      </c>
      <c r="BT655" s="8" t="n">
        <v>31</v>
      </c>
      <c r="BU655" s="8" t="n">
        <v>17</v>
      </c>
      <c r="BV655" s="11" t="n">
        <f>IF(COUNT(BC655,BF655)=2,BC655*BF655,"")</f>
        <v>0.035371294196947844</v>
      </c>
      <c r="BW655" s="11" t="n">
        <f>IF(ISNUMBER(BN655),BN655,"")</f>
        <v>1.4758912429949873</v>
      </c>
      <c r="BX655" s="14" t="n">
        <f>IF(ISNUMBER(BR655),BR655,"")</f>
        <v>12</v>
      </c>
      <c r="BY655" s="13" t="n">
        <f>IF(AND(COUNT(BV655,BW655,BX655)=3,MIN(BV655,BW655,BX655)&gt;=0),BV655*BW655*BX655,"")</f>
        <v>0.6264502003040968</v>
      </c>
      <c r="BZ655" s="11" t="n">
        <f>IF(ISNUMBER(BO655),BO655,"")</f>
        <v>0.906602681585801</v>
      </c>
      <c r="CA655" s="14" t="n">
        <f>IF(ISNUMBER(BS655),BS655,"")</f>
        <v>30</v>
      </c>
      <c r="CB655" s="13" t="n">
        <f>IF(AND(COUNT(BV655,BZ655,CA655)=3,MIN(BV655,BZ655,CA655)&gt;=0),BV655*BZ655*CA655,"")</f>
        <v>0.962031305103396</v>
      </c>
      <c r="CC655" s="11" t="n">
        <f>IF(ISNUMBER(BP655),BP655,"")</f>
        <v>0.6189770892129804</v>
      </c>
      <c r="CD655" s="14" t="n">
        <f>IF(ISNUMBER(BT655),BT655,"")</f>
        <v>31</v>
      </c>
      <c r="CE655" s="13" t="n">
        <f>IF(AND(COUNT(BV655,CC655,CD655)=3,MIN(BV655,CC655,CD655)&gt;=0),BV655*CC655*CD655,"")</f>
        <v>0.6787146424354056</v>
      </c>
      <c r="CF655" s="11" t="n">
        <f>IF(ISNUMBER(BQ655),BQ655,"")</f>
        <v>1.1595882717182624</v>
      </c>
      <c r="CG655" s="14" t="n">
        <f>IF(ISNUMBER(BU655),BU655,"")</f>
        <v>17</v>
      </c>
      <c r="CH655" s="13" t="n">
        <f>IF(AND(COUNT(BV655,CF655,CG655)=3,MIN(BV655,CF655,CG655)&gt;=0),BV655*CF655*CG655,"")</f>
        <v>0.6972743444067083</v>
      </c>
      <c r="CI655" s="13" t="n">
        <f>IF(COUNT(BY655,CB655,CE655,CH655)=4,SUM(BY655,CB655,CE655,CH655),"")</f>
        <v>2.9644704922496063</v>
      </c>
    </row>
    <row r="656" ht="72" customHeight="1">
      <c r="A656" s="16" t="str">
        <v>2311062-GD-P-O-10</v>
      </c>
      <c r="B656" s="16" t="str">
        <v>4店-彬郁-US</v>
      </c>
      <c r="C656" s="16" t="str">
        <v>陈晨</v>
      </c>
      <c r="D656" s="26" t="n">
        <f>IF(NOT(ISNUMBER(E656)),"",IF(OR(E656&lt;=0,L656=0),0,IF(OR(NOT(ISNUMBER(F656)),F656&lt;0),"",MIN(E656,INT(F656)))))</f>
        <v>0</v>
      </c>
      <c r="E656" s="27" t="n">
        <f>IF(OR(NOT(ISNUMBER(L656)),COUNT(M656:O656)&lt;&gt;3,MIN(M656:O656)&lt;0),"",ROUNDUP(ROUND(BI656-SUM(M656:O656),10),0))</f>
        <v>-60</v>
      </c>
      <c r="F656" s="28" t="n">
        <v>0</v>
      </c>
      <c r="G656" s="28" t="n">
        <f>IF(AND(ISNUMBER(D656),ISNUMBER(E656)),IF(OR(E656&lt;=0,L656=0),0,E656-D656),"")</f>
        <v>0</v>
      </c>
      <c r="H656" s="16" t="str">
        <f>IF(NOT(ISNUMBER(E656)),"销量或海外库存待补",IF(OR(E656&lt;=0,L656=0),IF(L656=0,"零日销，本批不发","本批无需补货"),IF(NOT(ISNUMBER(D656)),"国内库存待补",IF(D656=0,"国内无可用库存",IF(G656&gt;0,"先发国内现货","按建议量发货")))))</f>
        <v>本批无需补货</v>
      </c>
      <c r="I656" s="28" t="n">
        <f>IF(AND(COUNT(Z656,AA656,AB656)=3,Z656&gt;=AA656,AA656&gt;=0,AB656=7),Z656-AA656,"")</f>
        <v>6</v>
      </c>
      <c r="J656" s="28" t="n">
        <f>IF(AND(COUNT(AF656,AG656,AH656)=3,AF656&gt;=AG656,AG656&gt;=0,AH656=14),AF656-AG656,"")</f>
        <v>10</v>
      </c>
      <c r="K656" s="28" t="n">
        <f>IF(AND(COUNT(AL656,AM656,AN656)=3,AL656&gt;=AM656,AM656&gt;=0,AN656=30),AL656-AM656,"")</f>
        <v>31</v>
      </c>
      <c r="L656" s="29" t="n">
        <f>IF(ISNUMBER(BI656),BI656/90,"")</f>
        <v>0.6885934168312212</v>
      </c>
      <c r="M656" s="28" t="n">
        <v>61</v>
      </c>
      <c r="N656" s="28" t="n">
        <v>0</v>
      </c>
      <c r="O656" s="28" t="n">
        <v>60</v>
      </c>
      <c r="P656" s="30" t="n">
        <f>IF(AND(ISNUMBER(L656),L656&gt;0,COUNT(M656:O656)=3,MIN(M656:O656)&gt;=0),SUM(M656:O656)/L656,"")</f>
        <v>175.72052976750706</v>
      </c>
      <c r="Q656" s="16" t="str">
        <v>沿用原计划SKU店铺</v>
      </c>
      <c r="R656" s="16" t="str">
        <v>已匹配</v>
      </c>
      <c r="S656" s="16" t="str">
        <v>在售</v>
      </c>
      <c r="T656" s="16" t="str">
        <v>2311062</v>
      </c>
      <c r="U656" s="16" t="str">
        <v>金色 PU</v>
      </c>
      <c r="V656" s="16" t="n">
        <v>10</v>
      </c>
      <c r="W656" s="8" t="str">
        <v>2026-10-11 至 2026-10-17</v>
      </c>
      <c r="X656" s="8" t="str">
        <v>2026-10-11、2026-10-12、2026-10-13、2026-10-14、2026-10-15、2026-10-16、2026-10-17</v>
      </c>
      <c r="Y656" s="8" t="str">
        <v>无</v>
      </c>
      <c r="Z656" s="8" t="n">
        <v>6</v>
      </c>
      <c r="AA656" s="8" t="n">
        <v>0</v>
      </c>
      <c r="AB656" s="8" t="n">
        <v>7</v>
      </c>
      <c r="AC656" s="8" t="str">
        <v>2026-10-02 至 2026-10-17</v>
      </c>
      <c r="AD656" s="8" t="str">
        <v>2026-10-02、2026-10-03、2026-10-04、2026-10-05、2026-10-08、2026-10-09、2026-10-10、2026-10-11、2026-10-12、2026-10-13、2026-10-14、2026-10-15、2026-10-16、2026-10-17</v>
      </c>
      <c r="AE656" s="8" t="str">
        <v>2026-10-06 大促；2026-10-07 大促</v>
      </c>
      <c r="AF656" s="8" t="n">
        <v>11</v>
      </c>
      <c r="AG656" s="8" t="n">
        <v>1</v>
      </c>
      <c r="AH656" s="8" t="n">
        <v>14</v>
      </c>
      <c r="AI656" s="8" t="str">
        <v>2026-09-16 至 2026-10-17</v>
      </c>
      <c r="AJ6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6" s="8" t="str">
        <v>2026-10-06 大促；2026-10-07 大促</v>
      </c>
      <c r="AL656" s="8" t="n">
        <v>32</v>
      </c>
      <c r="AM656" s="8" t="n">
        <v>1</v>
      </c>
      <c r="AN656" s="8" t="n">
        <v>30</v>
      </c>
      <c r="AO656" s="8" t="str">
        <v>2311062 / 金色PU / 13306</v>
      </c>
      <c r="AP656" s="11" t="n">
        <v>1.4758912429949873</v>
      </c>
      <c r="AQ656" s="11" t="n">
        <v>1.4758912429949873</v>
      </c>
      <c r="AR656" s="11" t="n">
        <v>1.4124697525543728</v>
      </c>
      <c r="AS656" s="11" t="n">
        <f>IF(AND(COUNT(I656:K656,AP656:AR656)=6,MIN(AP656:AR656)&gt;0),I656/7/AP656*0.5+J656/14/AQ656*0.3+K656/30/AR656*0.2,"")</f>
        <v>0.5818879818052725</v>
      </c>
      <c r="AT656" s="8" t="n">
        <v>85</v>
      </c>
      <c r="AU656" s="8" t="n">
        <v>1</v>
      </c>
      <c r="AV656" s="8" t="n">
        <v>88</v>
      </c>
      <c r="AW656" s="11" t="n">
        <f>IF(AND(COUNT(AT656:AV656)=3,AT656&gt;=AU656,AU656&gt;=0,AV656&gt;0),(AT656-AU656)/AV656,"")</f>
        <v>0.9545454545454546</v>
      </c>
      <c r="AX656" s="8" t="n">
        <v>162</v>
      </c>
      <c r="AY656" s="8" t="n">
        <v>1</v>
      </c>
      <c r="AZ656" s="8" t="n">
        <v>178</v>
      </c>
      <c r="BA656" s="11" t="n">
        <f>IF(AND(COUNT(AX656:AZ656)=3,AX656&gt;=AY656,AY656&gt;=0,AZ656&gt;0),(AX656-AY656)/AZ656,"")</f>
        <v>0.9044943820224719</v>
      </c>
      <c r="BB656" s="8" t="n">
        <f>IF(COUNT(AS656,AW656,BA656)=3,1,0)</f>
        <v>1</v>
      </c>
      <c r="BC656" s="11" t="n">
        <f>IF(SUMIF($AO$11:$AO$1309,AO656,$BB$11:$BB$1309)=COUNTIF($AO$11:$AO$1309,AO656),SUMIF($AO$11:$AO$1309,AO656,$AS$11:$AS$1309),"")</f>
        <v>7.109878982257539</v>
      </c>
      <c r="BD656" s="11" t="n">
        <f>IF(SUMIF($AO$11:$AO$1309,AO656,$BB$11:$BB$1309)=COUNTIF($AO$11:$AO$1309,AO656),SUMIF($AO$11:$AO$1309,AO656,$AW$11:$AW$1309),"")</f>
        <v>9.272727272727272</v>
      </c>
      <c r="BE656" s="11" t="n">
        <f>IF(SUMIF($AO$11:$AO$1309,AO656,$BB$11:$BB$1309)=COUNTIF($AO$11:$AO$1309,AO656),SUMIF($AO$11:$AO$1309,AO656,$BA$11:$BA$1309),"")</f>
        <v>8.49438202247191</v>
      </c>
      <c r="BF656" s="12" t="n">
        <f>IF(COUNT(BD656:BE656)&lt;&gt;2,"",IF(AND(BD656&gt;0,BE656&gt;0),0.7*AW656/BD656+0.3*BA656/BE656,IF(BD656&gt;0,AW656/BD656,IF(BE656&gt;0,BA656/BE656,IF(AND(ISNUMBER(BH656),BH656=0),0,"")))))</f>
        <v>0.10400326797385621</v>
      </c>
      <c r="BG656" s="11" t="n">
        <f>IF(AND(COUNT(BN656:BU656)=8,MIN(BN656:BU656)&gt;=0),SUMPRODUCT(BN656:BQ656,BR656:BU656),"")</f>
        <v>83.81006574832674</v>
      </c>
      <c r="BH656" s="11" t="n">
        <f>IF(COUNT(BC656,BG656)=2,BC656*BG656,"")</f>
        <v>595.8794249656506</v>
      </c>
      <c r="BI656" s="11" t="n">
        <f>IF(ISNUMBER(CI656),CI656,"")</f>
        <v>61.973407514809914</v>
      </c>
      <c r="BJ656" s="8" t="str"/>
      <c r="BK656" s="8" t="str">
        <v>90天：2026-07-20 至 2026-10-17；180天：2026-04-21 至 2026-10-17</v>
      </c>
      <c r="BL656" s="8" t="str">
        <v>90天：2026-10-06、2026-10-07；180天：2026-10-06、2026-10-07</v>
      </c>
      <c r="BM656" s="8" t="str">
        <v>2026-10：12天 × 1.4758912429949873；2026-11：30天 × 0.906602681585801；2026-12：31天 × 0.6189770892129804；2027-01：17天 × 1.1595882717182624</v>
      </c>
      <c r="BN656" s="11" t="n">
        <v>1.4758912429949873</v>
      </c>
      <c r="BO656" s="11" t="n">
        <v>0.906602681585801</v>
      </c>
      <c r="BP656" s="11" t="n">
        <v>0.6189770892129804</v>
      </c>
      <c r="BQ656" s="11" t="n">
        <v>1.1595882717182624</v>
      </c>
      <c r="BR656" s="8" t="n">
        <v>12</v>
      </c>
      <c r="BS656" s="8" t="n">
        <v>30</v>
      </c>
      <c r="BT656" s="8" t="n">
        <v>31</v>
      </c>
      <c r="BU656" s="8" t="n">
        <v>17</v>
      </c>
      <c r="BV656" s="11" t="n">
        <f>IF(COUNT(BC656,BF656)=2,BC656*BF656,"")</f>
        <v>0.7394506490534188</v>
      </c>
      <c r="BW656" s="11" t="n">
        <f>IF(ISNUMBER(BN656),BN656,"")</f>
        <v>1.4758912429949873</v>
      </c>
      <c r="BX656" s="14" t="n">
        <f>IF(ISNUMBER(BR656),BR656,"")</f>
        <v>12</v>
      </c>
      <c r="BY656" s="13" t="n">
        <f>IF(AND(COUNT(BV656,BW656,BX656)=3,MIN(BV656,BW656,BX656)&gt;=0),BV656*BW656*BX656,"")</f>
        <v>13.096184850778805</v>
      </c>
      <c r="BZ656" s="11" t="n">
        <f>IF(ISNUMBER(BO656),BO656,"")</f>
        <v>0.906602681585801</v>
      </c>
      <c r="CA656" s="14" t="n">
        <f>IF(ISNUMBER(BS656),BS656,"")</f>
        <v>30</v>
      </c>
      <c r="CB656" s="13" t="n">
        <f>IF(AND(COUNT(BV656,BZ656,CA656)=3,MIN(BV656,BZ656,CA656)&gt;=0),BV656*BZ656*CA656,"")</f>
        <v>20.111638239965718</v>
      </c>
      <c r="CC656" s="11" t="n">
        <f>IF(ISNUMBER(BP656),BP656,"")</f>
        <v>0.6189770892129804</v>
      </c>
      <c r="CD656" s="14" t="n">
        <f>IF(ISNUMBER(BT656),BT656,"")</f>
        <v>31</v>
      </c>
      <c r="CE656" s="13" t="n">
        <f>IF(AND(COUNT(BV656,CC656,CD656)=3,MIN(BV656,CC656,CD656)&gt;=0),BV656*CC656*CD656,"")</f>
        <v>14.188793321399764</v>
      </c>
      <c r="CF656" s="11" t="n">
        <f>IF(ISNUMBER(BQ656),BQ656,"")</f>
        <v>1.1595882717182624</v>
      </c>
      <c r="CG656" s="14" t="n">
        <f>IF(ISNUMBER(BU656),BU656,"")</f>
        <v>17</v>
      </c>
      <c r="CH656" s="13" t="n">
        <f>IF(AND(COUNT(BV656,CF656,CG656)=3,MIN(BV656,CF656,CG656)&gt;=0),BV656*CF656*CG656,"")</f>
        <v>14.576791102665624</v>
      </c>
      <c r="CI656" s="13" t="n">
        <f>IF(COUNT(BY656,CB656,CE656,CH656)=4,SUM(BY656,CB656,CE656,CH656),"")</f>
        <v>61.973407514809914</v>
      </c>
    </row>
    <row r="657" ht="72" customHeight="1">
      <c r="A657" s="16" t="str">
        <v>2311062-GD-P-O-11</v>
      </c>
      <c r="B657" s="16" t="str">
        <v>4店-彬郁-US</v>
      </c>
      <c r="C657" s="16" t="str">
        <v>陈晨</v>
      </c>
      <c r="D657" s="26" t="n">
        <f>IF(NOT(ISNUMBER(E657)),"",IF(OR(E657&lt;=0,L657=0),0,IF(OR(NOT(ISNUMBER(F657)),F657&lt;0),"",MIN(E657,INT(F657)))))</f>
        <v>0</v>
      </c>
      <c r="E657" s="27" t="n">
        <f>IF(OR(NOT(ISNUMBER(L657)),COUNT(M657:O657)&lt;&gt;3,MIN(M657:O657)&lt;0),"",ROUNDUP(ROUND(BI657-SUM(M657:O657),10),0))</f>
        <v>-51</v>
      </c>
      <c r="F657" s="28" t="n">
        <v>0</v>
      </c>
      <c r="G657" s="28" t="n">
        <f>IF(AND(ISNUMBER(D657),ISNUMBER(E657)),IF(OR(E657&lt;=0,L657=0),0,E657-D657),"")</f>
        <v>0</v>
      </c>
      <c r="H657" s="16" t="str">
        <f>IF(NOT(ISNUMBER(E657)),"销量或海外库存待补",IF(OR(E657&lt;=0,L657=0),IF(L657=0,"零日销，本批不发","本批无需补货"),IF(NOT(ISNUMBER(D657)),"国内库存待补",IF(D657=0,"国内无可用库存",IF(G657&gt;0,"先发国内现货","按建议量发货")))))</f>
        <v>本批无需补货</v>
      </c>
      <c r="I657" s="28" t="n">
        <f>IF(AND(COUNT(Z657,AA657,AB657)=3,Z657&gt;=AA657,AA657&gt;=0,AB657=7),Z657-AA657,"")</f>
        <v>1</v>
      </c>
      <c r="J657" s="28" t="n">
        <f>IF(AND(COUNT(AF657,AG657,AH657)=3,AF657&gt;=AG657,AG657&gt;=0,AH657=14),AF657-AG657,"")</f>
        <v>1</v>
      </c>
      <c r="K657" s="28" t="n">
        <f>IF(AND(COUNT(AL657,AM657,AN657)=3,AL657&gt;=AM657,AM657&gt;=0,AN657=30),AL657-AM657,"")</f>
        <v>14</v>
      </c>
      <c r="L657" s="29" t="n">
        <f>IF(ISNUMBER(BI657),BI657/90,"")</f>
        <v>0.30820949871297565</v>
      </c>
      <c r="M657" s="28" t="n">
        <v>62</v>
      </c>
      <c r="N657" s="28" t="n">
        <v>0</v>
      </c>
      <c r="O657" s="28" t="n">
        <v>16</v>
      </c>
      <c r="P657" s="30" t="n">
        <f>IF(AND(ISNUMBER(L657),L657&gt;0,COUNT(M657:O657)=3,MIN(M657:O657)&gt;=0),SUM(M657:O657)/L657,"")</f>
        <v>253.07461426631298</v>
      </c>
      <c r="Q657" s="16" t="str">
        <v>沿用原计划SKU店铺</v>
      </c>
      <c r="R657" s="16" t="str">
        <v>已匹配</v>
      </c>
      <c r="S657" s="16" t="str">
        <v>在售</v>
      </c>
      <c r="T657" s="16" t="str">
        <v>2311062</v>
      </c>
      <c r="U657" s="16" t="str">
        <v>金色 PU</v>
      </c>
      <c r="V657" s="16" t="n">
        <v>11</v>
      </c>
      <c r="W657" s="8" t="str">
        <v>2026-10-11 至 2026-10-17</v>
      </c>
      <c r="X657" s="8" t="str">
        <v>2026-10-11、2026-10-12、2026-10-13、2026-10-14、2026-10-15、2026-10-16、2026-10-17</v>
      </c>
      <c r="Y657" s="8" t="str">
        <v>无</v>
      </c>
      <c r="Z657" s="8" t="n">
        <v>1</v>
      </c>
      <c r="AA657" s="8" t="n">
        <v>0</v>
      </c>
      <c r="AB657" s="8" t="n">
        <v>7</v>
      </c>
      <c r="AC657" s="8" t="str">
        <v>2026-10-02 至 2026-10-17</v>
      </c>
      <c r="AD657" s="8" t="str">
        <v>2026-10-02、2026-10-03、2026-10-04、2026-10-05、2026-10-08、2026-10-09、2026-10-10、2026-10-11、2026-10-12、2026-10-13、2026-10-14、2026-10-15、2026-10-16、2026-10-17</v>
      </c>
      <c r="AE657" s="8" t="str">
        <v>2026-10-06 大促；2026-10-07 大促</v>
      </c>
      <c r="AF657" s="8" t="n">
        <v>1</v>
      </c>
      <c r="AG657" s="8" t="n">
        <v>0</v>
      </c>
      <c r="AH657" s="8" t="n">
        <v>14</v>
      </c>
      <c r="AI657" s="8" t="str">
        <v>2026-09-16 至 2026-10-17</v>
      </c>
      <c r="AJ6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7" s="8" t="str">
        <v>2026-10-06 大促；2026-10-07 大促</v>
      </c>
      <c r="AL657" s="8" t="n">
        <v>14</v>
      </c>
      <c r="AM657" s="8" t="n">
        <v>0</v>
      </c>
      <c r="AN657" s="8" t="n">
        <v>30</v>
      </c>
      <c r="AO657" s="8" t="str">
        <v>2311062 / 金色PU / 13306</v>
      </c>
      <c r="AP657" s="11" t="n">
        <v>1.4758912429949873</v>
      </c>
      <c r="AQ657" s="11" t="n">
        <v>1.4758912429949873</v>
      </c>
      <c r="AR657" s="11" t="n">
        <v>1.4124697525543728</v>
      </c>
      <c r="AS657" s="11" t="n">
        <f>IF(AND(COUNT(I657:K657,AP657:AR657)=6,MIN(AP657:AR657)&gt;0),I657/7/AP657*0.5+J657/14/AQ657*0.3+K657/30/AR657*0.2,"")</f>
        <v>0.12899409044533175</v>
      </c>
      <c r="AT657" s="8" t="n">
        <v>39</v>
      </c>
      <c r="AU657" s="8" t="n">
        <v>0</v>
      </c>
      <c r="AV657" s="8" t="n">
        <v>88</v>
      </c>
      <c r="AW657" s="11" t="n">
        <f>IF(AND(COUNT(AT657:AV657)=3,AT657&gt;=AU657,AU657&gt;=0,AV657&gt;0),(AT657-AU657)/AV657,"")</f>
        <v>0.4431818181818182</v>
      </c>
      <c r="AX657" s="8" t="n">
        <v>66</v>
      </c>
      <c r="AY657" s="8" t="n">
        <v>0</v>
      </c>
      <c r="AZ657" s="8" t="n">
        <v>178</v>
      </c>
      <c r="BA657" s="11" t="n">
        <f>IF(AND(COUNT(AX657:AZ657)=3,AX657&gt;=AY657,AY657&gt;=0,AZ657&gt;0),(AX657-AY657)/AZ657,"")</f>
        <v>0.3707865168539326</v>
      </c>
      <c r="BB657" s="8" t="n">
        <f>IF(COUNT(AS657,AW657,BA657)=3,1,0)</f>
        <v>1</v>
      </c>
      <c r="BC657" s="11" t="n">
        <f>IF(SUMIF($AO$11:$AO$1309,AO657,$BB$11:$BB$1309)=COUNTIF($AO$11:$AO$1309,AO657),SUMIF($AO$11:$AO$1309,AO657,$AS$11:$AS$1309),"")</f>
        <v>7.109878982257539</v>
      </c>
      <c r="BD657" s="11" t="n">
        <f>IF(SUMIF($AO$11:$AO$1309,AO657,$BB$11:$BB$1309)=COUNTIF($AO$11:$AO$1309,AO657),SUMIF($AO$11:$AO$1309,AO657,$AW$11:$AW$1309),"")</f>
        <v>9.272727272727272</v>
      </c>
      <c r="BE657" s="11" t="n">
        <f>IF(SUMIF($AO$11:$AO$1309,AO657,$BB$11:$BB$1309)=COUNTIF($AO$11:$AO$1309,AO657),SUMIF($AO$11:$AO$1309,AO657,$BA$11:$BA$1309),"")</f>
        <v>8.49438202247191</v>
      </c>
      <c r="BF657" s="12" t="n">
        <f>IF(COUNT(BD657:BE657)&lt;&gt;2,"",IF(AND(BD657&gt;0,BE657&gt;0),0.7*AW657/BD657+0.3*BA657/BE657,IF(BD657&gt;0,AW657/BD657,IF(BE657&gt;0,BA657/BE657,IF(AND(ISNUMBER(BH657),BH657=0),0,"")))))</f>
        <v>0.04655112044817927</v>
      </c>
      <c r="BG657" s="11" t="n">
        <f>IF(AND(COUNT(BN657:BU657)=8,MIN(BN657:BU657)&gt;=0),SUMPRODUCT(BN657:BQ657,BR657:BU657),"")</f>
        <v>83.81006574832674</v>
      </c>
      <c r="BH657" s="11" t="n">
        <f>IF(COUNT(BC657,BG657)=2,BC657*BG657,"")</f>
        <v>595.8794249656506</v>
      </c>
      <c r="BI657" s="11" t="n">
        <f>IF(ISNUMBER(CI657),CI657,"")</f>
        <v>27.738854884167807</v>
      </c>
      <c r="BJ657" s="8" t="str"/>
      <c r="BK657" s="8" t="str">
        <v>90天：2026-07-20 至 2026-10-17；180天：2026-04-21 至 2026-10-17</v>
      </c>
      <c r="BL657" s="8" t="str">
        <v>90天：2026-10-06、2026-10-07；180天：2026-10-06、2026-10-07</v>
      </c>
      <c r="BM657" s="8" t="str">
        <v>2026-10：12天 × 1.4758912429949873；2026-11：30天 × 0.906602681585801；2026-12：31天 × 0.6189770892129804；2027-01：17天 × 1.1595882717182624</v>
      </c>
      <c r="BN657" s="11" t="n">
        <v>1.4758912429949873</v>
      </c>
      <c r="BO657" s="11" t="n">
        <v>0.906602681585801</v>
      </c>
      <c r="BP657" s="11" t="n">
        <v>0.6189770892129804</v>
      </c>
      <c r="BQ657" s="11" t="n">
        <v>1.1595882717182624</v>
      </c>
      <c r="BR657" s="8" t="n">
        <v>12</v>
      </c>
      <c r="BS657" s="8" t="n">
        <v>30</v>
      </c>
      <c r="BT657" s="8" t="n">
        <v>31</v>
      </c>
      <c r="BU657" s="8" t="n">
        <v>17</v>
      </c>
      <c r="BV657" s="11" t="n">
        <f>IF(COUNT(BC657,BF657)=2,BC657*BF657,"")</f>
        <v>0.3309728328750489</v>
      </c>
      <c r="BW657" s="11" t="n">
        <f>IF(ISNUMBER(BN657),BN657,"")</f>
        <v>1.4758912429949873</v>
      </c>
      <c r="BX657" s="14" t="n">
        <f>IF(ISNUMBER(BR657),BR657,"")</f>
        <v>12</v>
      </c>
      <c r="BY657" s="13" t="n">
        <f>IF(AND(COUNT(BV657,BW657,BX657)=3,MIN(BV657,BW657,BX657)&gt;=0),BV657*BW657*BX657,"")</f>
        <v>5.861758868514338</v>
      </c>
      <c r="BZ657" s="11" t="n">
        <f>IF(ISNUMBER(BO657),BO657,"")</f>
        <v>0.906602681585801</v>
      </c>
      <c r="CA657" s="14" t="n">
        <f>IF(ISNUMBER(BS657),BS657,"")</f>
        <v>30</v>
      </c>
      <c r="CB657" s="13" t="n">
        <f>IF(AND(COUNT(BV657,BZ657,CA657)=3,MIN(BV657,BZ657,CA657)&gt;=0),BV657*BZ657*CA657,"")</f>
        <v>9.001825734497055</v>
      </c>
      <c r="CC657" s="11" t="n">
        <f>IF(ISNUMBER(BP657),BP657,"")</f>
        <v>0.6189770892129804</v>
      </c>
      <c r="CD657" s="14" t="n">
        <f>IF(ISNUMBER(BT657),BT657,"")</f>
        <v>31</v>
      </c>
      <c r="CE657" s="13" t="n">
        <f>IF(AND(COUNT(BV657,CC657,CD657)=3,MIN(BV657,CC657,CD657)&gt;=0),BV657*CC657*CD657,"")</f>
        <v>6.350802621748733</v>
      </c>
      <c r="CF657" s="11" t="n">
        <f>IF(ISNUMBER(BQ657),BQ657,"")</f>
        <v>1.1595882717182624</v>
      </c>
      <c r="CG657" s="14" t="n">
        <f>IF(ISNUMBER(BU657),BU657,"")</f>
        <v>17</v>
      </c>
      <c r="CH657" s="13" t="n">
        <f>IF(AND(COUNT(BV657,CF657,CG657)=3,MIN(BV657,CF657,CG657)&gt;=0),BV657*CF657*CG657,"")</f>
        <v>6.524467659407679</v>
      </c>
      <c r="CI657" s="13" t="n">
        <f>IF(COUNT(BY657,CB657,CE657,CH657)=4,SUM(BY657,CB657,CE657,CH657),"")</f>
        <v>27.738854884167807</v>
      </c>
    </row>
    <row r="658" ht="72" customHeight="1">
      <c r="A658" s="16" t="str">
        <v>2311062-GD-P-O-6</v>
      </c>
      <c r="B658" s="16" t="str">
        <v>4店-彬郁-US</v>
      </c>
      <c r="C658" s="16" t="str">
        <v>陈晨</v>
      </c>
      <c r="D658" s="26" t="n">
        <f>IF(NOT(ISNUMBER(E658)),"",IF(OR(E658&lt;=0,L658=0),0,IF(OR(NOT(ISNUMBER(F658)),F658&lt;0),"",MIN(E658,INT(F658)))))</f>
        <v>0</v>
      </c>
      <c r="E658" s="27" t="n">
        <f>IF(OR(NOT(ISNUMBER(L658)),COUNT(M658:O658)&lt;&gt;3,MIN(M658:O658)&lt;0),"",ROUNDUP(ROUND(BI658-SUM(M658:O658),10),0))</f>
        <v>-43</v>
      </c>
      <c r="F658" s="28" t="n">
        <v>38</v>
      </c>
      <c r="G658" s="28" t="n">
        <f>IF(AND(ISNUMBER(D658),ISNUMBER(E658)),IF(OR(E658&lt;=0,L658=0),0,E658-D658),"")</f>
        <v>0</v>
      </c>
      <c r="H658" s="16" t="str">
        <f>IF(NOT(ISNUMBER(E658)),"销量或海外库存待补",IF(OR(E658&lt;=0,L658=0),IF(L658=0,"零日销，本批不发","本批无需补货"),IF(NOT(ISNUMBER(D658)),"国内库存待补",IF(D658=0,"国内无可用库存",IF(G658&gt;0,"先发国内现货","按建议量发货")))))</f>
        <v>本批无需补货</v>
      </c>
      <c r="I658" s="28" t="n">
        <f>IF(AND(COUNT(Z658,AA658,AB658)=3,Z658&gt;=AA658,AA658&gt;=0,AB658=7),Z658-AA658,"")</f>
        <v>8</v>
      </c>
      <c r="J658" s="28" t="n">
        <f>IF(AND(COUNT(AF658,AG658,AH658)=3,AF658&gt;=AG658,AG658&gt;=0,AH658=14),AF658-AG658,"")</f>
        <v>10</v>
      </c>
      <c r="K658" s="28" t="n">
        <f>IF(AND(COUNT(AL658,AM658,AN658)=3,AL658&gt;=AM658,AM658&gt;=0,AN658=30),AL658-AM658,"")</f>
        <v>16</v>
      </c>
      <c r="L658" s="29" t="n">
        <f>IF(ISNUMBER(BI658),BI658/90,"")</f>
        <v>0.6103529461161936</v>
      </c>
      <c r="M658" s="28" t="n">
        <v>28</v>
      </c>
      <c r="N658" s="28" t="n">
        <v>0</v>
      </c>
      <c r="O658" s="28" t="n">
        <v>69</v>
      </c>
      <c r="P658" s="30" t="n">
        <f>IF(AND(ISNUMBER(L658),L658&gt;0,COUNT(M658:O658)=3,MIN(M658:O658)&gt;=0),SUM(M658:O658)/L658,"")</f>
        <v>158.92443973152214</v>
      </c>
      <c r="Q658" s="16" t="str">
        <v>沿用原计划SKU店铺</v>
      </c>
      <c r="R658" s="16" t="str">
        <v>已匹配</v>
      </c>
      <c r="S658" s="16" t="str">
        <v>在售</v>
      </c>
      <c r="T658" s="16" t="str">
        <v>2311062</v>
      </c>
      <c r="U658" s="16" t="str">
        <v>金色 PU</v>
      </c>
      <c r="V658" s="16" t="n">
        <v>6</v>
      </c>
      <c r="W658" s="8" t="str">
        <v>2026-10-11 至 2026-10-17</v>
      </c>
      <c r="X658" s="8" t="str">
        <v>2026-10-11、2026-10-12、2026-10-13、2026-10-14、2026-10-15、2026-10-16、2026-10-17</v>
      </c>
      <c r="Y658" s="8" t="str">
        <v>无</v>
      </c>
      <c r="Z658" s="8" t="n">
        <v>8</v>
      </c>
      <c r="AA658" s="8" t="n">
        <v>0</v>
      </c>
      <c r="AB658" s="8" t="n">
        <v>7</v>
      </c>
      <c r="AC658" s="8" t="str">
        <v>2026-10-02 至 2026-10-17</v>
      </c>
      <c r="AD658" s="8" t="str">
        <v>2026-10-02、2026-10-03、2026-10-04、2026-10-05、2026-10-08、2026-10-09、2026-10-10、2026-10-11、2026-10-12、2026-10-13、2026-10-14、2026-10-15、2026-10-16、2026-10-17</v>
      </c>
      <c r="AE658" s="8" t="str">
        <v>2026-10-06 大促；2026-10-07 大促</v>
      </c>
      <c r="AF658" s="8" t="n">
        <v>11</v>
      </c>
      <c r="AG658" s="8" t="n">
        <v>1</v>
      </c>
      <c r="AH658" s="8" t="n">
        <v>14</v>
      </c>
      <c r="AI658" s="8" t="str">
        <v>2026-09-16 至 2026-10-17</v>
      </c>
      <c r="AJ6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8" s="8" t="str">
        <v>2026-10-06 大促；2026-10-07 大促</v>
      </c>
      <c r="AL658" s="8" t="n">
        <v>17</v>
      </c>
      <c r="AM658" s="8" t="n">
        <v>1</v>
      </c>
      <c r="AN658" s="8" t="n">
        <v>30</v>
      </c>
      <c r="AO658" s="8" t="str">
        <v>2311062 / 金色PU / 13306</v>
      </c>
      <c r="AP658" s="11" t="n">
        <v>1.4758912429949873</v>
      </c>
      <c r="AQ658" s="11" t="n">
        <v>1.4758912429949873</v>
      </c>
      <c r="AR658" s="11" t="n">
        <v>1.4124697525543728</v>
      </c>
      <c r="AS658" s="11" t="n">
        <f>IF(AND(COUNT(I658:K658,AP658:AR658)=6,MIN(AP658:AR658)&gt;0),I658/7/AP658*0.5+J658/14/AQ658*0.3+K658/30/AR658*0.2,"")</f>
        <v>0.6078838198218429</v>
      </c>
      <c r="AT658" s="8" t="n">
        <v>74</v>
      </c>
      <c r="AU658" s="8" t="n">
        <v>1</v>
      </c>
      <c r="AV658" s="8" t="n">
        <v>88</v>
      </c>
      <c r="AW658" s="11" t="n">
        <f>IF(AND(COUNT(AT658:AV658)=3,AT658&gt;=AU658,AU658&gt;=0,AV658&gt;0),(AT658-AU658)/AV658,"")</f>
        <v>0.8295454545454546</v>
      </c>
      <c r="AX658" s="8" t="n">
        <v>150</v>
      </c>
      <c r="AY658" s="8" t="n">
        <v>1</v>
      </c>
      <c r="AZ658" s="8" t="n">
        <v>178</v>
      </c>
      <c r="BA658" s="11" t="n">
        <f>IF(AND(COUNT(AX658:AZ658)=3,AX658&gt;=AY658,AY658&gt;=0,AZ658&gt;0),(AX658-AY658)/AZ658,"")</f>
        <v>0.8370786516853933</v>
      </c>
      <c r="BB658" s="8" t="n">
        <f>IF(COUNT(AS658,AW658,BA658)=3,1,0)</f>
        <v>1</v>
      </c>
      <c r="BC658" s="11" t="n">
        <f>IF(SUMIF($AO$11:$AO$1309,AO658,$BB$11:$BB$1309)=COUNTIF($AO$11:$AO$1309,AO658),SUMIF($AO$11:$AO$1309,AO658,$AS$11:$AS$1309),"")</f>
        <v>7.109878982257539</v>
      </c>
      <c r="BD658" s="11" t="n">
        <f>IF(SUMIF($AO$11:$AO$1309,AO658,$BB$11:$BB$1309)=COUNTIF($AO$11:$AO$1309,AO658),SUMIF($AO$11:$AO$1309,AO658,$AW$11:$AW$1309),"")</f>
        <v>9.272727272727272</v>
      </c>
      <c r="BE658" s="11" t="n">
        <f>IF(SUMIF($AO$11:$AO$1309,AO658,$BB$11:$BB$1309)=COUNTIF($AO$11:$AO$1309,AO658),SUMIF($AO$11:$AO$1309,AO658,$BA$11:$BA$1309),"")</f>
        <v>8.49438202247191</v>
      </c>
      <c r="BF658" s="12" t="n">
        <f>IF(COUNT(BD658:BE658)&lt;&gt;2,"",IF(AND(BD658&gt;0,BE658&gt;0),0.7*AW658/BD658+0.3*BA658/BE658,IF(BD658&gt;0,AW658/BD658,IF(BE658&gt;0,BA658/BE658,IF(AND(ISNUMBER(BH658),BH658=0),0,"")))))</f>
        <v>0.09218604108309991</v>
      </c>
      <c r="BG658" s="11" t="n">
        <f>IF(AND(COUNT(BN658:BU658)=8,MIN(BN658:BU658)&gt;=0),SUMPRODUCT(BN658:BQ658,BR658:BU658),"")</f>
        <v>83.81006574832674</v>
      </c>
      <c r="BH658" s="11" t="n">
        <f>IF(COUNT(BC658,BG658)=2,BC658*BG658,"")</f>
        <v>595.8794249656506</v>
      </c>
      <c r="BI658" s="11" t="n">
        <f>IF(ISNUMBER(CI658),CI658,"")</f>
        <v>54.93176515045743</v>
      </c>
      <c r="BJ658" s="8" t="str"/>
      <c r="BK658" s="8" t="str">
        <v>90天：2026-07-20 至 2026-10-17；180天：2026-04-21 至 2026-10-17</v>
      </c>
      <c r="BL658" s="8" t="str">
        <v>90天：2026-10-06、2026-10-07；180天：2026-10-06、2026-10-07</v>
      </c>
      <c r="BM658" s="8" t="str">
        <v>2026-10：12天 × 1.4758912429949873；2026-11：30天 × 0.906602681585801；2026-12：31天 × 0.6189770892129804；2027-01：17天 × 1.1595882717182624</v>
      </c>
      <c r="BN658" s="11" t="n">
        <v>1.4758912429949873</v>
      </c>
      <c r="BO658" s="11" t="n">
        <v>0.906602681585801</v>
      </c>
      <c r="BP658" s="11" t="n">
        <v>0.6189770892129804</v>
      </c>
      <c r="BQ658" s="11" t="n">
        <v>1.1595882717182624</v>
      </c>
      <c r="BR658" s="8" t="n">
        <v>12</v>
      </c>
      <c r="BS658" s="8" t="n">
        <v>30</v>
      </c>
      <c r="BT658" s="8" t="n">
        <v>31</v>
      </c>
      <c r="BU658" s="8" t="n">
        <v>17</v>
      </c>
      <c r="BV658" s="11" t="n">
        <f>IF(COUNT(BC658,BF658)=2,BC658*BF658,"")</f>
        <v>0.655431595954262</v>
      </c>
      <c r="BW658" s="11" t="n">
        <f>IF(ISNUMBER(BN658),BN658,"")</f>
        <v>1.4758912429949873</v>
      </c>
      <c r="BX658" s="14" t="n">
        <f>IF(ISNUMBER(BR658),BR658,"")</f>
        <v>12</v>
      </c>
      <c r="BY658" s="13" t="n">
        <f>IF(AND(COUNT(BV658,BW658,BX658)=3,MIN(BV658,BW658,BX658)&gt;=0),BV658*BW658*BX658,"")</f>
        <v>11.60814903421349</v>
      </c>
      <c r="BZ658" s="11" t="n">
        <f>IF(ISNUMBER(BO658),BO658,"")</f>
        <v>0.906602681585801</v>
      </c>
      <c r="CA658" s="14" t="n">
        <f>IF(ISNUMBER(BS658),BS658,"")</f>
        <v>30</v>
      </c>
      <c r="CB658" s="13" t="n">
        <f>IF(AND(COUNT(BV658,BZ658,CA658)=3,MIN(BV658,BZ658,CA658)&gt;=0),BV658*BZ658*CA658,"")</f>
        <v>17.826481274645857</v>
      </c>
      <c r="CC658" s="11" t="n">
        <f>IF(ISNUMBER(BP658),BP658,"")</f>
        <v>0.6189770892129804</v>
      </c>
      <c r="CD658" s="14" t="n">
        <f>IF(ISNUMBER(BT658),BT658,"")</f>
        <v>31</v>
      </c>
      <c r="CE658" s="13" t="n">
        <f>IF(AND(COUNT(BV658,CC658,CD658)=3,MIN(BV658,CC658,CD658)&gt;=0),BV658*CC658*CD658,"")</f>
        <v>12.57661138470161</v>
      </c>
      <c r="CF658" s="11" t="n">
        <f>IF(ISNUMBER(BQ658),BQ658,"")</f>
        <v>1.1595882717182624</v>
      </c>
      <c r="CG658" s="14" t="n">
        <f>IF(ISNUMBER(BU658),BU658,"")</f>
        <v>17</v>
      </c>
      <c r="CH658" s="13" t="n">
        <f>IF(AND(COUNT(BV658,CF658,CG658)=3,MIN(BV658,CF658,CG658)&gt;=0),BV658*CF658*CG658,"")</f>
        <v>12.920523456896468</v>
      </c>
      <c r="CI658" s="13" t="n">
        <f>IF(COUNT(BY658,CB658,CE658,CH658)=4,SUM(BY658,CB658,CE658,CH658),"")</f>
        <v>54.93176515045743</v>
      </c>
    </row>
    <row r="659" ht="72" customHeight="1">
      <c r="A659" s="16" t="str">
        <v>2311062-GD-P-O-7</v>
      </c>
      <c r="B659" s="16" t="str">
        <v>4店-彬郁-US</v>
      </c>
      <c r="C659" s="16" t="str">
        <v>陈晨</v>
      </c>
      <c r="D659" s="26" t="n">
        <f>IF(NOT(ISNUMBER(E659)),"",IF(OR(E659&lt;=0,L659=0),0,IF(OR(NOT(ISNUMBER(F659)),F659&lt;0),"",MIN(E659,INT(F659)))))</f>
        <v>0</v>
      </c>
      <c r="E659" s="27" t="n">
        <f>IF(OR(NOT(ISNUMBER(L659)),COUNT(M659:O659)&lt;&gt;3,MIN(M659:O659)&lt;0),"",ROUNDUP(ROUND(BI659-SUM(M659:O659),10),0))</f>
        <v>-78</v>
      </c>
      <c r="F659" s="28" t="n">
        <v>125</v>
      </c>
      <c r="G659" s="28" t="n">
        <f>IF(AND(ISNUMBER(D659),ISNUMBER(E659)),IF(OR(E659&lt;=0,L659=0),0,E659-D659),"")</f>
        <v>0</v>
      </c>
      <c r="H659" s="16" t="str">
        <f>IF(NOT(ISNUMBER(E659)),"销量或海外库存待补",IF(OR(E659&lt;=0,L659=0),IF(L659=0,"零日销，本批不发","本批无需补货"),IF(NOT(ISNUMBER(D659)),"国内库存待补",IF(D659=0,"国内无可用库存",IF(G659&gt;0,"先发国内现货","按建议量发货")))))</f>
        <v>本批无需补货</v>
      </c>
      <c r="I659" s="28" t="n">
        <f>IF(AND(COUNT(Z659,AA659,AB659)=3,Z659&gt;=AA659,AA659&gt;=0,AB659=7),Z659-AA659,"")</f>
        <v>30</v>
      </c>
      <c r="J659" s="28" t="n">
        <f>IF(AND(COUNT(AF659,AG659,AH659)=3,AF659&gt;=AG659,AG659&gt;=0,AH659=14),AF659-AG659,"")</f>
        <v>40</v>
      </c>
      <c r="K659" s="28" t="n">
        <f>IF(AND(COUNT(AL659,AM659,AN659)=3,AL659&gt;=AM659,AM659&gt;=0,AN659=30),AL659-AM659,"")</f>
        <v>92</v>
      </c>
      <c r="L659" s="29" t="n">
        <f>IF(ISNUMBER(BI659),BI659/90,"")</f>
        <v>1.58215754830107</v>
      </c>
      <c r="M659" s="28" t="n">
        <v>125</v>
      </c>
      <c r="N659" s="28" t="n">
        <v>0</v>
      </c>
      <c r="O659" s="28" t="n">
        <v>95</v>
      </c>
      <c r="P659" s="30" t="n">
        <f>IF(AND(ISNUMBER(L659),L659&gt;0,COUNT(M659:O659)=3,MIN(M659:O659)&gt;=0),SUM(M659:O659)/L659,"")</f>
        <v>139.05062756628587</v>
      </c>
      <c r="Q659" s="16" t="str">
        <v>沿用原计划SKU店铺</v>
      </c>
      <c r="R659" s="16" t="str">
        <v>已匹配</v>
      </c>
      <c r="S659" s="16" t="str">
        <v>在售</v>
      </c>
      <c r="T659" s="16" t="str">
        <v>2311062</v>
      </c>
      <c r="U659" s="16" t="str">
        <v>金色 PU</v>
      </c>
      <c r="V659" s="16" t="n">
        <v>7</v>
      </c>
      <c r="W659" s="8" t="str">
        <v>2026-10-11 至 2026-10-17</v>
      </c>
      <c r="X659" s="8" t="str">
        <v>2026-10-11、2026-10-12、2026-10-13、2026-10-14、2026-10-15、2026-10-16、2026-10-17</v>
      </c>
      <c r="Y659" s="8" t="str">
        <v>无</v>
      </c>
      <c r="Z659" s="8" t="n">
        <v>30</v>
      </c>
      <c r="AA659" s="8" t="n">
        <v>0</v>
      </c>
      <c r="AB659" s="8" t="n">
        <v>7</v>
      </c>
      <c r="AC659" s="8" t="str">
        <v>2026-10-02 至 2026-10-17</v>
      </c>
      <c r="AD659" s="8" t="str">
        <v>2026-10-02、2026-10-03、2026-10-04、2026-10-05、2026-10-08、2026-10-09、2026-10-10、2026-10-11、2026-10-12、2026-10-13、2026-10-14、2026-10-15、2026-10-16、2026-10-17</v>
      </c>
      <c r="AE659" s="8" t="str">
        <v>2026-10-06 大促；2026-10-07 大促</v>
      </c>
      <c r="AF659" s="8" t="n">
        <v>48</v>
      </c>
      <c r="AG659" s="8" t="n">
        <v>8</v>
      </c>
      <c r="AH659" s="8" t="n">
        <v>14</v>
      </c>
      <c r="AI659" s="8" t="str">
        <v>2026-09-16 至 2026-10-17</v>
      </c>
      <c r="AJ6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59" s="8" t="str">
        <v>2026-10-06 大促；2026-10-07 大促</v>
      </c>
      <c r="AL659" s="8" t="n">
        <v>100</v>
      </c>
      <c r="AM659" s="8" t="n">
        <v>8</v>
      </c>
      <c r="AN659" s="8" t="n">
        <v>30</v>
      </c>
      <c r="AO659" s="8" t="str">
        <v>2311062 / 金色PU / 13306</v>
      </c>
      <c r="AP659" s="11" t="n">
        <v>1.4758912429949873</v>
      </c>
      <c r="AQ659" s="11" t="n">
        <v>1.4758912429949873</v>
      </c>
      <c r="AR659" s="11" t="n">
        <v>1.4124697525543728</v>
      </c>
      <c r="AS659" s="11" t="n">
        <f>IF(AND(COUNT(I659:K659,AP659:AR659)=6,MIN(AP659:AR659)&gt;0),I659/7/AP659*0.5+J659/14/AQ659*0.3+K659/30/AR659*0.2,"")</f>
        <v>2.4668976873570876</v>
      </c>
      <c r="AT659" s="8" t="n">
        <v>207</v>
      </c>
      <c r="AU659" s="8" t="n">
        <v>8</v>
      </c>
      <c r="AV659" s="8" t="n">
        <v>88</v>
      </c>
      <c r="AW659" s="11" t="n">
        <f>IF(AND(COUNT(AT659:AV659)=3,AT659&gt;=AU659,AU659&gt;=0,AV659&gt;0),(AT659-AU659)/AV659,"")</f>
        <v>2.2613636363636362</v>
      </c>
      <c r="AX659" s="8" t="n">
        <v>352</v>
      </c>
      <c r="AY659" s="8" t="n">
        <v>8</v>
      </c>
      <c r="AZ659" s="8" t="n">
        <v>178</v>
      </c>
      <c r="BA659" s="11" t="n">
        <f>IF(AND(COUNT(AX659:AZ659)=3,AX659&gt;=AY659,AY659&gt;=0,AZ659&gt;0),(AX659-AY659)/AZ659,"")</f>
        <v>1.9325842696629214</v>
      </c>
      <c r="BB659" s="8" t="n">
        <f>IF(COUNT(AS659,AW659,BA659)=3,1,0)</f>
        <v>1</v>
      </c>
      <c r="BC659" s="11" t="n">
        <f>IF(SUMIF($AO$11:$AO$1309,AO659,$BB$11:$BB$1309)=COUNTIF($AO$11:$AO$1309,AO659),SUMIF($AO$11:$AO$1309,AO659,$AS$11:$AS$1309),"")</f>
        <v>7.109878982257539</v>
      </c>
      <c r="BD659" s="11" t="n">
        <f>IF(SUMIF($AO$11:$AO$1309,AO659,$BB$11:$BB$1309)=COUNTIF($AO$11:$AO$1309,AO659),SUMIF($AO$11:$AO$1309,AO659,$AW$11:$AW$1309),"")</f>
        <v>9.272727272727272</v>
      </c>
      <c r="BE659" s="11" t="n">
        <f>IF(SUMIF($AO$11:$AO$1309,AO659,$BB$11:$BB$1309)=COUNTIF($AO$11:$AO$1309,AO659),SUMIF($AO$11:$AO$1309,AO659,$BA$11:$BA$1309),"")</f>
        <v>8.49438202247191</v>
      </c>
      <c r="BF659" s="12" t="n">
        <f>IF(COUNT(BD659:BE659)&lt;&gt;2,"",IF(AND(BD659&gt;0,BE659&gt;0),0.7*AW659/BD659+0.3*BA659/BE659,IF(BD659&gt;0,AW659/BD659,IF(BE659&gt;0,BA659/BE659,IF(AND(ISNUMBER(BH659),BH659=0),0,"")))))</f>
        <v>0.23896475256769373</v>
      </c>
      <c r="BG659" s="11" t="n">
        <f>IF(AND(COUNT(BN659:BU659)=8,MIN(BN659:BU659)&gt;=0),SUMPRODUCT(BN659:BQ659,BR659:BU659),"")</f>
        <v>83.81006574832674</v>
      </c>
      <c r="BH659" s="11" t="n">
        <f>IF(COUNT(BC659,BG659)=2,BC659*BG659,"")</f>
        <v>595.8794249656506</v>
      </c>
      <c r="BI659" s="11" t="n">
        <f>IF(ISNUMBER(CI659),CI659,"")</f>
        <v>142.3941793470963</v>
      </c>
      <c r="BJ659" s="8" t="str"/>
      <c r="BK659" s="8" t="str">
        <v>90天：2026-07-20 至 2026-10-17；180天：2026-04-21 至 2026-10-17</v>
      </c>
      <c r="BL659" s="8" t="str">
        <v>90天：2026-10-06、2026-10-07；180天：2026-10-06、2026-10-07</v>
      </c>
      <c r="BM659" s="8" t="str">
        <v>2026-10：12天 × 1.4758912429949873；2026-11：30天 × 0.906602681585801；2026-12：31天 × 0.6189770892129804；2027-01：17天 × 1.1595882717182624</v>
      </c>
      <c r="BN659" s="11" t="n">
        <v>1.4758912429949873</v>
      </c>
      <c r="BO659" s="11" t="n">
        <v>0.906602681585801</v>
      </c>
      <c r="BP659" s="11" t="n">
        <v>0.6189770892129804</v>
      </c>
      <c r="BQ659" s="11" t="n">
        <v>1.1595882717182624</v>
      </c>
      <c r="BR659" s="8" t="n">
        <v>12</v>
      </c>
      <c r="BS659" s="8" t="n">
        <v>30</v>
      </c>
      <c r="BT659" s="8" t="n">
        <v>31</v>
      </c>
      <c r="BU659" s="8" t="n">
        <v>17</v>
      </c>
      <c r="BV659" s="11" t="n">
        <f>IF(COUNT(BC659,BF659)=2,BC659*BF659,"")</f>
        <v>1.6990104717814187</v>
      </c>
      <c r="BW659" s="11" t="n">
        <f>IF(ISNUMBER(BN659),BN659,"")</f>
        <v>1.4758912429949873</v>
      </c>
      <c r="BX659" s="14" t="n">
        <f>IF(ISNUMBER(BR659),BR659,"")</f>
        <v>12</v>
      </c>
      <c r="BY659" s="13" t="n">
        <f>IF(AND(COUNT(BV659,BW659,BX659)=3,MIN(BV659,BW659,BX659)&gt;=0),BV659*BW659*BX659,"")</f>
        <v>30.090656124707735</v>
      </c>
      <c r="BZ659" s="11" t="n">
        <f>IF(ISNUMBER(BO659),BO659,"")</f>
        <v>0.906602681585801</v>
      </c>
      <c r="CA659" s="14" t="n">
        <f>IF(ISNUMBER(BS659),BS659,"")</f>
        <v>30</v>
      </c>
      <c r="CB659" s="13" t="n">
        <f>IF(AND(COUNT(BV659,BZ659,CA659)=3,MIN(BV659,BZ659,CA659)&gt;=0),BV659*BZ659*CA659,"")</f>
        <v>46.20982349278173</v>
      </c>
      <c r="CC659" s="11" t="n">
        <f>IF(ISNUMBER(BP659),BP659,"")</f>
        <v>0.6189770892129804</v>
      </c>
      <c r="CD659" s="14" t="n">
        <f>IF(ISNUMBER(BT659),BT659,"")</f>
        <v>31</v>
      </c>
      <c r="CE659" s="13" t="n">
        <f>IF(AND(COUNT(BV659,CC659,CD659)=3,MIN(BV659,CC659,CD659)&gt;=0),BV659*CC659*CD659,"")</f>
        <v>32.601105247334694</v>
      </c>
      <c r="CF659" s="11" t="n">
        <f>IF(ISNUMBER(BQ659),BQ659,"")</f>
        <v>1.1595882717182624</v>
      </c>
      <c r="CG659" s="14" t="n">
        <f>IF(ISNUMBER(BU659),BU659,"")</f>
        <v>17</v>
      </c>
      <c r="CH659" s="13" t="n">
        <f>IF(AND(COUNT(BV659,CF659,CG659)=3,MIN(BV659,CF659,CG659)&gt;=0),BV659*CF659*CG659,"")</f>
        <v>33.49259448227216</v>
      </c>
      <c r="CI659" s="13" t="n">
        <f>IF(COUNT(BY659,CB659,CE659,CH659)=4,SUM(BY659,CB659,CE659,CH659),"")</f>
        <v>142.3941793470963</v>
      </c>
    </row>
    <row r="660" ht="72" customHeight="1">
      <c r="A660" s="16" t="str">
        <v>2311062-GD-P-O-8</v>
      </c>
      <c r="B660" s="16" t="str">
        <v>4店-彬郁-US</v>
      </c>
      <c r="C660" s="16" t="str">
        <v>陈晨</v>
      </c>
      <c r="D660" s="26" t="n">
        <f>IF(NOT(ISNUMBER(E660)),"",IF(OR(E660&lt;=0,L660=0),0,IF(OR(NOT(ISNUMBER(F660)),F660&lt;0),"",MIN(E660,INT(F660)))))</f>
        <v>0</v>
      </c>
      <c r="E660" s="27" t="n">
        <f>IF(OR(NOT(ISNUMBER(L660)),COUNT(M660:O660)&lt;&gt;3,MIN(M660:O660)&lt;0),"",ROUNDUP(ROUND(BI660-SUM(M660:O660),10),0))</f>
        <v>-106</v>
      </c>
      <c r="F660" s="28" t="n">
        <v>198</v>
      </c>
      <c r="G660" s="28" t="n">
        <f>IF(AND(ISNUMBER(D660),ISNUMBER(E660)),IF(OR(E660&lt;=0,L660=0),0,E660-D660),"")</f>
        <v>0</v>
      </c>
      <c r="H660" s="16" t="str">
        <f>IF(NOT(ISNUMBER(E660)),"销量或海外库存待补",IF(OR(E660&lt;=0,L660=0),IF(L660=0,"零日销，本批不发","本批无需补货"),IF(NOT(ISNUMBER(D660)),"国内库存待补",IF(D660=0,"国内无可用库存",IF(G660&gt;0,"先发国内现货","按建议量发货")))))</f>
        <v>本批无需补货</v>
      </c>
      <c r="I660" s="28" t="n">
        <f>IF(AND(COUNT(Z660,AA660,AB660)=3,Z660&gt;=AA660,AA660&gt;=0,AB660=7),Z660-AA660,"")</f>
        <v>13</v>
      </c>
      <c r="J660" s="28" t="n">
        <f>IF(AND(COUNT(AF660,AG660,AH660)=3,AF660&gt;=AG660,AG660&gt;=0,AH660=14),AF660-AG660,"")</f>
        <v>41</v>
      </c>
      <c r="K660" s="28" t="n">
        <f>IF(AND(COUNT(AL660,AM660,AN660)=3,AL660&gt;=AM660,AM660&gt;=0,AN660=30),AL660-AM660,"")</f>
        <v>96</v>
      </c>
      <c r="L660" s="29" t="n">
        <f>IF(ISNUMBER(BI660),BI660/90,"")</f>
        <v>1.808301486619617</v>
      </c>
      <c r="M660" s="28" t="n">
        <v>107</v>
      </c>
      <c r="N660" s="28" t="n">
        <v>0</v>
      </c>
      <c r="O660" s="28" t="n">
        <v>161</v>
      </c>
      <c r="P660" s="30" t="n">
        <f>IF(AND(ISNUMBER(L660),L660&gt;0,COUNT(M660:O660)=3,MIN(M660:O660)&gt;=0),SUM(M660:O660)/L660,"")</f>
        <v>148.20537503455296</v>
      </c>
      <c r="Q660" s="16" t="str">
        <v>沿用原计划SKU店铺</v>
      </c>
      <c r="R660" s="16" t="str">
        <v>已匹配</v>
      </c>
      <c r="S660" s="16" t="str">
        <v>在售</v>
      </c>
      <c r="T660" s="16" t="str">
        <v>2311062</v>
      </c>
      <c r="U660" s="16" t="str">
        <v>金色 PU</v>
      </c>
      <c r="V660" s="16" t="n">
        <v>8</v>
      </c>
      <c r="W660" s="8" t="str">
        <v>2026-10-11 至 2026-10-17</v>
      </c>
      <c r="X660" s="8" t="str">
        <v>2026-10-11、2026-10-12、2026-10-13、2026-10-14、2026-10-15、2026-10-16、2026-10-17</v>
      </c>
      <c r="Y660" s="8" t="str">
        <v>无</v>
      </c>
      <c r="Z660" s="8" t="n">
        <v>13</v>
      </c>
      <c r="AA660" s="8" t="n">
        <v>0</v>
      </c>
      <c r="AB660" s="8" t="n">
        <v>7</v>
      </c>
      <c r="AC660" s="8" t="str">
        <v>2026-10-02 至 2026-10-17</v>
      </c>
      <c r="AD660" s="8" t="str">
        <v>2026-10-02、2026-10-03、2026-10-04、2026-10-05、2026-10-08、2026-10-09、2026-10-10、2026-10-11、2026-10-12、2026-10-13、2026-10-14、2026-10-15、2026-10-16、2026-10-17</v>
      </c>
      <c r="AE660" s="8" t="str">
        <v>2026-10-06 大促；2026-10-07 大促</v>
      </c>
      <c r="AF660" s="8" t="n">
        <v>62</v>
      </c>
      <c r="AG660" s="8" t="n">
        <v>21</v>
      </c>
      <c r="AH660" s="8" t="n">
        <v>14</v>
      </c>
      <c r="AI660" s="8" t="str">
        <v>2026-09-16 至 2026-10-17</v>
      </c>
      <c r="AJ6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0" s="8" t="str">
        <v>2026-10-06 大促；2026-10-07 大促</v>
      </c>
      <c r="AL660" s="8" t="n">
        <v>117</v>
      </c>
      <c r="AM660" s="8" t="n">
        <v>21</v>
      </c>
      <c r="AN660" s="8" t="n">
        <v>30</v>
      </c>
      <c r="AO660" s="8" t="str">
        <v>2311062 / 金色PU / 13306</v>
      </c>
      <c r="AP660" s="11" t="n">
        <v>1.4758912429949873</v>
      </c>
      <c r="AQ660" s="11" t="n">
        <v>1.4758912429949873</v>
      </c>
      <c r="AR660" s="11" t="n">
        <v>1.4124697525543728</v>
      </c>
      <c r="AS660" s="11" t="n">
        <f>IF(AND(COUNT(I660:K660,AP660:AR660)=6,MIN(AP660:AR660)&gt;0),I660/7/AP660*0.5+J660/14/AQ660*0.3+K660/30/AR660*0.2,"")</f>
        <v>1.677548798537018</v>
      </c>
      <c r="AT660" s="8" t="n">
        <v>239</v>
      </c>
      <c r="AU660" s="8" t="n">
        <v>21</v>
      </c>
      <c r="AV660" s="8" t="n">
        <v>88</v>
      </c>
      <c r="AW660" s="11" t="n">
        <f>IF(AND(COUNT(AT660:AV660)=3,AT660&gt;=AU660,AU660&gt;=0,AV660&gt;0),(AT660-AU660)/AV660,"")</f>
        <v>2.477272727272727</v>
      </c>
      <c r="AX660" s="8" t="n">
        <v>455</v>
      </c>
      <c r="AY660" s="8" t="n">
        <v>21</v>
      </c>
      <c r="AZ660" s="8" t="n">
        <v>178</v>
      </c>
      <c r="BA660" s="11" t="n">
        <f>IF(AND(COUNT(AX660:AZ660)=3,AX660&gt;=AY660,AY660&gt;=0,AZ660&gt;0),(AX660-AY660)/AZ660,"")</f>
        <v>2.438202247191011</v>
      </c>
      <c r="BB660" s="8" t="n">
        <f>IF(COUNT(AS660,AW660,BA660)=3,1,0)</f>
        <v>1</v>
      </c>
      <c r="BC660" s="11" t="n">
        <f>IF(SUMIF($AO$11:$AO$1309,AO660,$BB$11:$BB$1309)=COUNTIF($AO$11:$AO$1309,AO660),SUMIF($AO$11:$AO$1309,AO660,$AS$11:$AS$1309),"")</f>
        <v>7.109878982257539</v>
      </c>
      <c r="BD660" s="11" t="n">
        <f>IF(SUMIF($AO$11:$AO$1309,AO660,$BB$11:$BB$1309)=COUNTIF($AO$11:$AO$1309,AO660),SUMIF($AO$11:$AO$1309,AO660,$AW$11:$AW$1309),"")</f>
        <v>9.272727272727272</v>
      </c>
      <c r="BE660" s="11" t="n">
        <f>IF(SUMIF($AO$11:$AO$1309,AO660,$BB$11:$BB$1309)=COUNTIF($AO$11:$AO$1309,AO660),SUMIF($AO$11:$AO$1309,AO660,$BA$11:$BA$1309),"")</f>
        <v>8.49438202247191</v>
      </c>
      <c r="BF660" s="12" t="n">
        <f>IF(COUNT(BD660:BE660)&lt;&gt;2,"",IF(AND(BD660&gt;0,BE660&gt;0),0.7*AW660/BD660+0.3*BA660/BE660,IF(BD660&gt;0,AW660/BD660,IF(BE660&gt;0,BA660/BE660,IF(AND(ISNUMBER(BH660),BH660=0),0,"")))))</f>
        <v>0.2731209150326797</v>
      </c>
      <c r="BG660" s="11" t="n">
        <f>IF(AND(COUNT(BN660:BU660)=8,MIN(BN660:BU660)&gt;=0),SUMPRODUCT(BN660:BQ660,BR660:BU660),"")</f>
        <v>83.81006574832674</v>
      </c>
      <c r="BH660" s="11" t="n">
        <f>IF(COUNT(BC660,BG660)=2,BC660*BG660,"")</f>
        <v>595.8794249656506</v>
      </c>
      <c r="BI660" s="11" t="n">
        <f>IF(ISNUMBER(CI660),CI660,"")</f>
        <v>162.74713379576554</v>
      </c>
      <c r="BJ660" s="8" t="str"/>
      <c r="BK660" s="8" t="str">
        <v>90天：2026-07-20 至 2026-10-17；180天：2026-04-21 至 2026-10-17</v>
      </c>
      <c r="BL660" s="8" t="str">
        <v>90天：2026-10-06、2026-10-07；180天：2026-10-06、2026-10-07</v>
      </c>
      <c r="BM660" s="8" t="str">
        <v>2026-10：12天 × 1.4758912429949873；2026-11：30天 × 0.906602681585801；2026-12：31天 × 0.6189770892129804；2027-01：17天 × 1.1595882717182624</v>
      </c>
      <c r="BN660" s="11" t="n">
        <v>1.4758912429949873</v>
      </c>
      <c r="BO660" s="11" t="n">
        <v>0.906602681585801</v>
      </c>
      <c r="BP660" s="11" t="n">
        <v>0.6189770892129804</v>
      </c>
      <c r="BQ660" s="11" t="n">
        <v>1.1595882717182624</v>
      </c>
      <c r="BR660" s="8" t="n">
        <v>12</v>
      </c>
      <c r="BS660" s="8" t="n">
        <v>30</v>
      </c>
      <c r="BT660" s="8" t="n">
        <v>31</v>
      </c>
      <c r="BU660" s="8" t="n">
        <v>17</v>
      </c>
      <c r="BV660" s="11" t="n">
        <f>IF(COUNT(BC660,BF660)=2,BC660*BF660,"")</f>
        <v>1.9418566534057964</v>
      </c>
      <c r="BW660" s="11" t="n">
        <f>IF(ISNUMBER(BN660),BN660,"")</f>
        <v>1.4758912429949873</v>
      </c>
      <c r="BX660" s="14" t="n">
        <f>IF(ISNUMBER(BR660),BR660,"")</f>
        <v>12</v>
      </c>
      <c r="BY660" s="13" t="n">
        <f>IF(AND(COUNT(BV660,BW660,BX660)=3,MIN(BV660,BW660,BX660)&gt;=0),BV660*BW660*BX660,"")</f>
        <v>34.391630758958</v>
      </c>
      <c r="BZ660" s="11" t="n">
        <f>IF(ISNUMBER(BO660),BO660,"")</f>
        <v>0.906602681585801</v>
      </c>
      <c r="CA660" s="14" t="n">
        <f>IF(ISNUMBER(BS660),BS660,"")</f>
        <v>30</v>
      </c>
      <c r="CB660" s="13" t="n">
        <f>IF(AND(COUNT(BV660,BZ660,CA660)=3,MIN(BV660,BZ660,CA660)&gt;=0),BV660*BZ660*CA660,"")</f>
        <v>52.81477347698773</v>
      </c>
      <c r="CC660" s="11" t="n">
        <f>IF(ISNUMBER(BP660),BP660,"")</f>
        <v>0.6189770892129804</v>
      </c>
      <c r="CD660" s="14" t="n">
        <f>IF(ISNUMBER(BT660),BT660,"")</f>
        <v>31</v>
      </c>
      <c r="CE660" s="13" t="n">
        <f>IF(AND(COUNT(BV660,CC660,CD660)=3,MIN(BV660,CC660,CD660)&gt;=0),BV660*CC660*CD660,"")</f>
        <v>37.26090814881336</v>
      </c>
      <c r="CF660" s="11" t="n">
        <f>IF(ISNUMBER(BQ660),BQ660,"")</f>
        <v>1.1595882717182624</v>
      </c>
      <c r="CG660" s="14" t="n">
        <f>IF(ISNUMBER(BU660),BU660,"")</f>
        <v>17</v>
      </c>
      <c r="CH660" s="13" t="n">
        <f>IF(AND(COUNT(BV660,CF660,CG660)=3,MIN(BV660,CF660,CG660)&gt;=0),BV660*CF660*CG660,"")</f>
        <v>38.279821411006424</v>
      </c>
      <c r="CI660" s="13" t="n">
        <f>IF(COUNT(BY660,CB660,CE660,CH660)=4,SUM(BY660,CB660,CE660,CH660),"")</f>
        <v>162.74713379576554</v>
      </c>
    </row>
    <row r="661" ht="72" customHeight="1">
      <c r="A661" s="16" t="str">
        <v>2311062-GD-P-O-9</v>
      </c>
      <c r="B661" s="16" t="str">
        <v>4店-彬郁-US</v>
      </c>
      <c r="C661" s="16" t="str">
        <v>陈晨</v>
      </c>
      <c r="D661" s="26" t="n">
        <f>IF(NOT(ISNUMBER(E661)),"",IF(OR(E661&lt;=0,L661=0),0,IF(OR(NOT(ISNUMBER(F661)),F661&lt;0),"",MIN(E661,INT(F661)))))</f>
        <v>0</v>
      </c>
      <c r="E661" s="27" t="n">
        <f>IF(OR(NOT(ISNUMBER(L661)),COUNT(M661:O661)&lt;&gt;3,MIN(M661:O661)&lt;0),"",ROUNDUP(ROUND(BI661-SUM(M661:O661),10),0))</f>
        <v>-144</v>
      </c>
      <c r="F661" s="28" t="n">
        <v>104</v>
      </c>
      <c r="G661" s="28" t="n">
        <f>IF(AND(ISNUMBER(D661),ISNUMBER(E661)),IF(OR(E661&lt;=0,L661=0),0,E661-D661),"")</f>
        <v>0</v>
      </c>
      <c r="H661" s="16" t="str">
        <f>IF(NOT(ISNUMBER(E661)),"销量或海外库存待补",IF(OR(E661&lt;=0,L661=0),IF(L661=0,"零日销，本批不发","本批无需补货"),IF(NOT(ISNUMBER(D661)),"国内库存待补",IF(D661=0,"国内无可用库存",IF(G661&gt;0,"先发国内现货","按建议量发货")))))</f>
        <v>本批无需补货</v>
      </c>
      <c r="I661" s="28" t="n">
        <f>IF(AND(COUNT(Z661,AA661,AB661)=3,Z661&gt;=AA661,AA661&gt;=0,AB661=7),Z661-AA661,"")</f>
        <v>16</v>
      </c>
      <c r="J661" s="28" t="n">
        <f>IF(AND(COUNT(AF661,AG661,AH661)=3,AF661&gt;=AG661,AG661&gt;=0,AH661=14),AF661-AG661,"")</f>
        <v>37</v>
      </c>
      <c r="K661" s="28" t="n">
        <f>IF(AND(COUNT(AL661,AM661,AN661)=3,AL661&gt;=AM661,AM661&gt;=0,AN661=30),AL661-AM661,"")</f>
        <v>71</v>
      </c>
      <c r="L661" s="29" t="n">
        <f>IF(ISNUMBER(BI661),BI661/90,"")</f>
        <v>1.6232676030372624</v>
      </c>
      <c r="M661" s="28" t="n">
        <v>110</v>
      </c>
      <c r="N661" s="28" t="n">
        <v>0</v>
      </c>
      <c r="O661" s="28" t="n">
        <v>180</v>
      </c>
      <c r="P661" s="30" t="n">
        <f>IF(AND(ISNUMBER(L661),L661&gt;0,COUNT(M661:O661)=3,MIN(M661:O661)&gt;=0),SUM(M661:O661)/L661,"")</f>
        <v>178.65199764806925</v>
      </c>
      <c r="Q661" s="16" t="str">
        <v>沿用原计划SKU店铺</v>
      </c>
      <c r="R661" s="16" t="str">
        <v>已匹配</v>
      </c>
      <c r="S661" s="16" t="str">
        <v>在售</v>
      </c>
      <c r="T661" s="16" t="str">
        <v>2311062</v>
      </c>
      <c r="U661" s="16" t="str">
        <v>金色 PU</v>
      </c>
      <c r="V661" s="16" t="n">
        <v>9</v>
      </c>
      <c r="W661" s="8" t="str">
        <v>2026-10-11 至 2026-10-17</v>
      </c>
      <c r="X661" s="8" t="str">
        <v>2026-10-11、2026-10-12、2026-10-13、2026-10-14、2026-10-15、2026-10-16、2026-10-17</v>
      </c>
      <c r="Y661" s="8" t="str">
        <v>无</v>
      </c>
      <c r="Z661" s="8" t="n">
        <v>16</v>
      </c>
      <c r="AA661" s="8" t="n">
        <v>0</v>
      </c>
      <c r="AB661" s="8" t="n">
        <v>7</v>
      </c>
      <c r="AC661" s="8" t="str">
        <v>2026-10-02 至 2026-10-17</v>
      </c>
      <c r="AD661" s="8" t="str">
        <v>2026-10-02、2026-10-03、2026-10-04、2026-10-05、2026-10-08、2026-10-09、2026-10-10、2026-10-11、2026-10-12、2026-10-13、2026-10-14、2026-10-15、2026-10-16、2026-10-17</v>
      </c>
      <c r="AE661" s="8" t="str">
        <v>2026-10-06 大促；2026-10-07 大促</v>
      </c>
      <c r="AF661" s="8" t="n">
        <v>50</v>
      </c>
      <c r="AG661" s="8" t="n">
        <v>13</v>
      </c>
      <c r="AH661" s="8" t="n">
        <v>14</v>
      </c>
      <c r="AI661" s="8" t="str">
        <v>2026-09-16 至 2026-10-17</v>
      </c>
      <c r="AJ6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1" s="8" t="str">
        <v>2026-10-06 大促；2026-10-07 大促</v>
      </c>
      <c r="AL661" s="8" t="n">
        <v>84</v>
      </c>
      <c r="AM661" s="8" t="n">
        <v>13</v>
      </c>
      <c r="AN661" s="8" t="n">
        <v>30</v>
      </c>
      <c r="AO661" s="8" t="str">
        <v>2311062 / 金色PU / 13306</v>
      </c>
      <c r="AP661" s="11" t="n">
        <v>1.4758912429949873</v>
      </c>
      <c r="AQ661" s="11" t="n">
        <v>1.4758912429949873</v>
      </c>
      <c r="AR661" s="11" t="n">
        <v>1.4124697525543728</v>
      </c>
      <c r="AS661" s="11" t="n">
        <f>IF(AND(COUNT(I661:K661,AP661:AR661)=6,MIN(AP661:AR661)&gt;0),I661/7/AP661*0.5+J661/14/AQ661*0.3+K661/30/AR661*0.2,"")</f>
        <v>1.646666604290986</v>
      </c>
      <c r="AT661" s="8" t="n">
        <v>216</v>
      </c>
      <c r="AU661" s="8" t="n">
        <v>13</v>
      </c>
      <c r="AV661" s="8" t="n">
        <v>88</v>
      </c>
      <c r="AW661" s="11" t="n">
        <f>IF(AND(COUNT(AT661:AV661)=3,AT661&gt;=AU661,AU661&gt;=0,AV661&gt;0),(AT661-AU661)/AV661,"")</f>
        <v>2.3068181818181817</v>
      </c>
      <c r="AX661" s="8" t="n">
        <v>371</v>
      </c>
      <c r="AY661" s="8" t="n">
        <v>13</v>
      </c>
      <c r="AZ661" s="8" t="n">
        <v>178</v>
      </c>
      <c r="BA661" s="11" t="n">
        <f>IF(AND(COUNT(AX661:AZ661)=3,AX661&gt;=AY661,AY661&gt;=0,AZ661&gt;0),(AX661-AY661)/AZ661,"")</f>
        <v>2.0112359550561796</v>
      </c>
      <c r="BB661" s="8" t="n">
        <f>IF(COUNT(AS661,AW661,BA661)=3,1,0)</f>
        <v>1</v>
      </c>
      <c r="BC661" s="11" t="n">
        <f>IF(SUMIF($AO$11:$AO$1309,AO661,$BB$11:$BB$1309)=COUNTIF($AO$11:$AO$1309,AO661),SUMIF($AO$11:$AO$1309,AO661,$AS$11:$AS$1309),"")</f>
        <v>7.109878982257539</v>
      </c>
      <c r="BD661" s="11" t="n">
        <f>IF(SUMIF($AO$11:$AO$1309,AO661,$BB$11:$BB$1309)=COUNTIF($AO$11:$AO$1309,AO661),SUMIF($AO$11:$AO$1309,AO661,$AW$11:$AW$1309),"")</f>
        <v>9.272727272727272</v>
      </c>
      <c r="BE661" s="11" t="n">
        <f>IF(SUMIF($AO$11:$AO$1309,AO661,$BB$11:$BB$1309)=COUNTIF($AO$11:$AO$1309,AO661),SUMIF($AO$11:$AO$1309,AO661,$BA$11:$BA$1309),"")</f>
        <v>8.49438202247191</v>
      </c>
      <c r="BF661" s="12" t="n">
        <f>IF(COUNT(BD661:BE661)&lt;&gt;2,"",IF(AND(BD661&gt;0,BE661&gt;0),0.7*AW661/BD661+0.3*BA661/BE661,IF(BD661&gt;0,AW661/BD661,IF(BE661&gt;0,BA661/BE661,IF(AND(ISNUMBER(BH661),BH661=0),0,"")))))</f>
        <v>0.2451739028944911</v>
      </c>
      <c r="BG661" s="11" t="n">
        <f>IF(AND(COUNT(BN661:BU661)=8,MIN(BN661:BU661)&gt;=0),SUMPRODUCT(BN661:BQ661,BR661:BU661),"")</f>
        <v>83.81006574832674</v>
      </c>
      <c r="BH661" s="11" t="n">
        <f>IF(COUNT(BC661,BG661)=2,BC661*BG661,"")</f>
        <v>595.8794249656506</v>
      </c>
      <c r="BI661" s="11" t="n">
        <f>IF(ISNUMBER(CI661),CI661,"")</f>
        <v>146.09408427335362</v>
      </c>
      <c r="BJ661" s="8" t="str"/>
      <c r="BK661" s="8" t="str">
        <v>90天：2026-07-20 至 2026-10-17；180天：2026-04-21 至 2026-10-17</v>
      </c>
      <c r="BL661" s="8" t="str">
        <v>90天：2026-10-06、2026-10-07；180天：2026-10-06、2026-10-07</v>
      </c>
      <c r="BM661" s="8" t="str">
        <v>2026-10：12天 × 1.4758912429949873；2026-11：30天 × 0.906602681585801；2026-12：31天 × 0.6189770892129804；2027-01：17天 × 1.1595882717182624</v>
      </c>
      <c r="BN661" s="11" t="n">
        <v>1.4758912429949873</v>
      </c>
      <c r="BO661" s="11" t="n">
        <v>0.906602681585801</v>
      </c>
      <c r="BP661" s="11" t="n">
        <v>0.6189770892129804</v>
      </c>
      <c r="BQ661" s="11" t="n">
        <v>1.1595882717182624</v>
      </c>
      <c r="BR661" s="8" t="n">
        <v>12</v>
      </c>
      <c r="BS661" s="8" t="n">
        <v>30</v>
      </c>
      <c r="BT661" s="8" t="n">
        <v>31</v>
      </c>
      <c r="BU661" s="8" t="n">
        <v>17</v>
      </c>
      <c r="BV661" s="11" t="n">
        <f>IF(COUNT(BC661,BF661)=2,BC661*BF661,"")</f>
        <v>1.7431567791875928</v>
      </c>
      <c r="BW661" s="11" t="n">
        <f>IF(ISNUMBER(BN661),BN661,"")</f>
        <v>1.4758912429949873</v>
      </c>
      <c r="BX661" s="14" t="n">
        <f>IF(ISNUMBER(BR661),BR661,"")</f>
        <v>12</v>
      </c>
      <c r="BY661" s="13" t="n">
        <f>IF(AND(COUNT(BV661,BW661,BX661)=3,MIN(BV661,BW661,BX661)&gt;=0),BV661*BW661*BX661,"")</f>
        <v>30.87251790684378</v>
      </c>
      <c r="BZ661" s="11" t="n">
        <f>IF(ISNUMBER(BO661),BO661,"")</f>
        <v>0.906602681585801</v>
      </c>
      <c r="CA661" s="14" t="n">
        <f>IF(ISNUMBER(BS661),BS661,"")</f>
        <v>30</v>
      </c>
      <c r="CB661" s="13" t="n">
        <f>IF(AND(COUNT(BV661,BZ661,CA661)=3,MIN(BV661,BZ661,CA661)&gt;=0),BV661*BZ661*CA661,"")</f>
        <v>47.41051831307819</v>
      </c>
      <c r="CC661" s="11" t="n">
        <f>IF(ISNUMBER(BP661),BP661,"")</f>
        <v>0.6189770892129804</v>
      </c>
      <c r="CD661" s="14" t="n">
        <f>IF(ISNUMBER(BT661),BT661,"")</f>
        <v>31</v>
      </c>
      <c r="CE661" s="13" t="n">
        <f>IF(AND(COUNT(BV661,CC661,CD661)=3,MIN(BV661,CC661,CD661)&gt;=0),BV661*CC661*CD661,"")</f>
        <v>33.44819738592572</v>
      </c>
      <c r="CF661" s="11" t="n">
        <f>IF(ISNUMBER(BQ661),BQ661,"")</f>
        <v>1.1595882717182624</v>
      </c>
      <c r="CG661" s="14" t="n">
        <f>IF(ISNUMBER(BU661),BU661,"")</f>
        <v>17</v>
      </c>
      <c r="CH661" s="13" t="n">
        <f>IF(AND(COUNT(BV661,CF661,CG661)=3,MIN(BV661,CF661,CG661)&gt;=0),BV661*CF661*CG661,"")</f>
        <v>34.36285066750593</v>
      </c>
      <c r="CI661" s="13" t="n">
        <f>IF(COUNT(BY661,CB661,CE661,CH661)=4,SUM(BY661,CB661,CE661,CH661),"")</f>
        <v>146.09408427335362</v>
      </c>
    </row>
    <row r="662" ht="72" customHeight="1">
      <c r="A662" s="16" t="str">
        <v>2311062-ND-P-O-10</v>
      </c>
      <c r="B662" s="16" t="str">
        <v>4店-彬郁-US</v>
      </c>
      <c r="C662" s="16" t="str">
        <v>陈晨</v>
      </c>
      <c r="D662" s="26" t="n">
        <f>IF(NOT(ISNUMBER(E662)),"",IF(OR(E662&lt;=0,L662=0),0,IF(OR(NOT(ISNUMBER(F662)),F662&lt;0),"",MIN(E662,INT(F662)))))</f>
        <v>0</v>
      </c>
      <c r="E662" s="27" t="n">
        <f>IF(OR(NOT(ISNUMBER(L662)),COUNT(M662:O662)&lt;&gt;3,MIN(M662:O662)&lt;0),"",ROUNDUP(ROUND(BI662-SUM(M662:O662),10),0))</f>
        <v>-78</v>
      </c>
      <c r="F662" s="28" t="n">
        <v>47</v>
      </c>
      <c r="G662" s="28" t="n">
        <f>IF(AND(ISNUMBER(D662),ISNUMBER(E662)),IF(OR(E662&lt;=0,L662=0),0,E662-D662),"")</f>
        <v>0</v>
      </c>
      <c r="H662" s="16" t="str">
        <f>IF(NOT(ISNUMBER(E662)),"销量或海外库存待补",IF(OR(E662&lt;=0,L662=0),IF(L662=0,"零日销，本批不发","本批无需补货"),IF(NOT(ISNUMBER(D662)),"国内库存待补",IF(D662=0,"国内无可用库存",IF(G662&gt;0,"先发国内现货","按建议量发货")))))</f>
        <v>本批无需补货</v>
      </c>
      <c r="I662" s="28" t="n">
        <f>IF(AND(COUNT(Z662,AA662,AB662)=3,Z662&gt;=AA662,AA662&gt;=0,AB662=7),Z662-AA662,"")</f>
        <v>4</v>
      </c>
      <c r="J662" s="28" t="n">
        <f>IF(AND(COUNT(AF662,AG662,AH662)=3,AF662&gt;=AG662,AG662&gt;=0,AH662=14),AF662-AG662,"")</f>
        <v>6</v>
      </c>
      <c r="K662" s="28" t="n">
        <f>IF(AND(COUNT(AL662,AM662,AN662)=3,AL662&gt;=AM662,AM662&gt;=0,AN662=30),AL662-AM662,"")</f>
        <v>16</v>
      </c>
      <c r="L662" s="29" t="n">
        <f>IF(ISNUMBER(BI662),BI662/90,"")</f>
        <v>0.30585306967774123</v>
      </c>
      <c r="M662" s="28" t="n">
        <v>100</v>
      </c>
      <c r="N662" s="28" t="n">
        <v>0</v>
      </c>
      <c r="O662" s="28" t="n">
        <v>5</v>
      </c>
      <c r="P662" s="30" t="n">
        <f>IF(AND(ISNUMBER(L662),L662&gt;0,COUNT(M662:O662)=3,MIN(M662:O662)&gt;=0),SUM(M662:O662)/L662,"")</f>
        <v>343.30209636487257</v>
      </c>
      <c r="Q662" s="16" t="str">
        <v>沿用原计划SKU店铺</v>
      </c>
      <c r="R662" s="16" t="str">
        <v>已匹配</v>
      </c>
      <c r="S662" s="16" t="str">
        <v>在售</v>
      </c>
      <c r="T662" s="16" t="str">
        <v>2311062</v>
      </c>
      <c r="U662" s="16" t="str">
        <v>裸色 PU</v>
      </c>
      <c r="V662" s="16" t="n">
        <v>10</v>
      </c>
      <c r="W662" s="8" t="str">
        <v>2026-10-11 至 2026-10-17</v>
      </c>
      <c r="X662" s="8" t="str">
        <v>2026-10-11、2026-10-12、2026-10-13、2026-10-14、2026-10-15、2026-10-16、2026-10-17</v>
      </c>
      <c r="Y662" s="8" t="str">
        <v>无</v>
      </c>
      <c r="Z662" s="8" t="n">
        <v>4</v>
      </c>
      <c r="AA662" s="8" t="n">
        <v>0</v>
      </c>
      <c r="AB662" s="8" t="n">
        <v>7</v>
      </c>
      <c r="AC662" s="8" t="str">
        <v>2026-10-02 至 2026-10-17</v>
      </c>
      <c r="AD662" s="8" t="str">
        <v>2026-10-02、2026-10-03、2026-10-04、2026-10-05、2026-10-08、2026-10-09、2026-10-10、2026-10-11、2026-10-12、2026-10-13、2026-10-14、2026-10-15、2026-10-16、2026-10-17</v>
      </c>
      <c r="AE662" s="8" t="str">
        <v>2026-10-06 大促；2026-10-07 大促</v>
      </c>
      <c r="AF662" s="8" t="n">
        <v>10</v>
      </c>
      <c r="AG662" s="8" t="n">
        <v>4</v>
      </c>
      <c r="AH662" s="8" t="n">
        <v>14</v>
      </c>
      <c r="AI662" s="8" t="str">
        <v>2026-09-16 至 2026-10-17</v>
      </c>
      <c r="AJ6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2" s="8" t="str">
        <v>2026-10-06 大促；2026-10-07 大促</v>
      </c>
      <c r="AL662" s="8" t="n">
        <v>20</v>
      </c>
      <c r="AM662" s="8" t="n">
        <v>4</v>
      </c>
      <c r="AN662" s="8" t="n">
        <v>30</v>
      </c>
      <c r="AO662" s="8" t="str">
        <v>2311062 / 裸色PU / 13306</v>
      </c>
      <c r="AP662" s="11" t="n">
        <v>1.4758912429949873</v>
      </c>
      <c r="AQ662" s="11" t="n">
        <v>1.4758912429949873</v>
      </c>
      <c r="AR662" s="11" t="n">
        <v>1.4124697525543728</v>
      </c>
      <c r="AS662" s="11" t="n">
        <f>IF(AND(COUNT(I662:K662,AP662:AR662)=6,MIN(AP662:AR662)&gt;0),I662/7/AP662*0.5+J662/14/AQ662*0.3+K662/30/AR662*0.2,"")</f>
        <v>0.3562199027199018</v>
      </c>
      <c r="AT662" s="8" t="n">
        <v>37</v>
      </c>
      <c r="AU662" s="8" t="n">
        <v>4</v>
      </c>
      <c r="AV662" s="8" t="n">
        <v>88</v>
      </c>
      <c r="AW662" s="11" t="n">
        <f>IF(AND(COUNT(AT662:AV662)=3,AT662&gt;=AU662,AU662&gt;=0,AV662&gt;0),(AT662-AU662)/AV662,"")</f>
        <v>0.375</v>
      </c>
      <c r="AX662" s="8" t="n">
        <v>66</v>
      </c>
      <c r="AY662" s="8" t="n">
        <v>4</v>
      </c>
      <c r="AZ662" s="8" t="n">
        <v>178</v>
      </c>
      <c r="BA662" s="11" t="n">
        <f>IF(AND(COUNT(AX662:AZ662)=3,AX662&gt;=AY662,AY662&gt;=0,AZ662&gt;0),(AX662-AY662)/AZ662,"")</f>
        <v>0.34831460674157305</v>
      </c>
      <c r="BB662" s="8" t="n">
        <f>IF(COUNT(AS662,AW662,BA662)=3,1,0)</f>
        <v>1</v>
      </c>
      <c r="BC662" s="11" t="n">
        <f>IF(SUMIF($AO$11:$AO$1309,AO662,$BB$11:$BB$1309)=COUNTIF($AO$11:$AO$1309,AO662),SUMIF($AO$11:$AO$1309,AO662,$AS$11:$AS$1309),"")</f>
        <v>3.2078963345581304</v>
      </c>
      <c r="BD662" s="11" t="n">
        <f>IF(SUMIF($AO$11:$AO$1309,AO662,$BB$11:$BB$1309)=COUNTIF($AO$11:$AO$1309,AO662),SUMIF($AO$11:$AO$1309,AO662,$AW$11:$AW$1309),"")</f>
        <v>3.7272727272727275</v>
      </c>
      <c r="BE662" s="11" t="n">
        <f>IF(SUMIF($AO$11:$AO$1309,AO662,$BB$11:$BB$1309)=COUNTIF($AO$11:$AO$1309,AO662),SUMIF($AO$11:$AO$1309,AO662,$BA$11:$BA$1309),"")</f>
        <v>3.269662921348315</v>
      </c>
      <c r="BF662" s="12" t="n">
        <f>IF(COUNT(BD662:BE662)&lt;&gt;2,"",IF(AND(BD662&gt;0,BE662&gt;0),0.7*AW662/BD662+0.3*BA662/BE662,IF(BD662&gt;0,AW662/BD662,IF(BE662&gt;0,BA662/BE662,IF(AND(ISNUMBER(BH662),BH662=0),0,"")))))</f>
        <v>0.1023855921548906</v>
      </c>
      <c r="BG662" s="11" t="n">
        <f>IF(AND(COUNT(BN662:BU662)=8,MIN(BN662:BU662)&gt;=0),SUMPRODUCT(BN662:BQ662,BR662:BU662),"")</f>
        <v>83.81006574832674</v>
      </c>
      <c r="BH662" s="11" t="n">
        <f>IF(COUNT(BC662,BG662)=2,BC662*BG662,"")</f>
        <v>268.85400271313324</v>
      </c>
      <c r="BI662" s="11" t="n">
        <f>IF(ISNUMBER(CI662),CI662,"")</f>
        <v>27.52677627099671</v>
      </c>
      <c r="BJ662" s="8" t="str"/>
      <c r="BK662" s="8" t="str">
        <v>90天：2026-07-20 至 2026-10-17；180天：2026-04-21 至 2026-10-17</v>
      </c>
      <c r="BL662" s="8" t="str">
        <v>90天：2026-10-06、2026-10-07；180天：2026-10-06、2026-10-07</v>
      </c>
      <c r="BM662" s="8" t="str">
        <v>2026-10：12天 × 1.4758912429949873；2026-11：30天 × 0.906602681585801；2026-12：31天 × 0.6189770892129804；2027-01：17天 × 1.1595882717182624</v>
      </c>
      <c r="BN662" s="11" t="n">
        <v>1.4758912429949873</v>
      </c>
      <c r="BO662" s="11" t="n">
        <v>0.906602681585801</v>
      </c>
      <c r="BP662" s="11" t="n">
        <v>0.6189770892129804</v>
      </c>
      <c r="BQ662" s="11" t="n">
        <v>1.1595882717182624</v>
      </c>
      <c r="BR662" s="8" t="n">
        <v>12</v>
      </c>
      <c r="BS662" s="8" t="n">
        <v>30</v>
      </c>
      <c r="BT662" s="8" t="n">
        <v>31</v>
      </c>
      <c r="BU662" s="8" t="n">
        <v>17</v>
      </c>
      <c r="BV662" s="11" t="n">
        <f>IF(COUNT(BC662,BF662)=2,BC662*BF662,"")</f>
        <v>0.3284423657852372</v>
      </c>
      <c r="BW662" s="11" t="n">
        <f>IF(ISNUMBER(BN662),BN662,"")</f>
        <v>1.4758912429949873</v>
      </c>
      <c r="BX662" s="14" t="n">
        <f>IF(ISNUMBER(BR662),BR662,"")</f>
        <v>12</v>
      </c>
      <c r="BY662" s="13" t="n">
        <f>IF(AND(COUNT(BV662,BW662,BX662)=3,MIN(BV662,BW662,BX662)&gt;=0),BV662*BW662*BX662,"")</f>
        <v>5.8169425378918564</v>
      </c>
      <c r="BZ662" s="11" t="n">
        <f>IF(ISNUMBER(BO662),BO662,"")</f>
        <v>0.906602681585801</v>
      </c>
      <c r="CA662" s="14" t="n">
        <f>IF(ISNUMBER(BS662),BS662,"")</f>
        <v>30</v>
      </c>
      <c r="CB662" s="13" t="n">
        <f>IF(AND(COUNT(BV662,BZ662,CA662)=3,MIN(BV662,BZ662,CA662)&gt;=0),BV662*BZ662*CA662,"")</f>
        <v>8.933001887018419</v>
      </c>
      <c r="CC662" s="11" t="n">
        <f>IF(ISNUMBER(BP662),BP662,"")</f>
        <v>0.6189770892129804</v>
      </c>
      <c r="CD662" s="14" t="n">
        <f>IF(ISNUMBER(BT662),BT662,"")</f>
        <v>31</v>
      </c>
      <c r="CE662" s="13" t="n">
        <f>IF(AND(COUNT(BV662,CC662,CD662)=3,MIN(BV662,CC662,CD662)&gt;=0),BV662*CC662*CD662,"")</f>
        <v>6.302247285987105</v>
      </c>
      <c r="CF662" s="11" t="n">
        <f>IF(ISNUMBER(BQ662),BQ662,"")</f>
        <v>1.1595882717182624</v>
      </c>
      <c r="CG662" s="14" t="n">
        <f>IF(ISNUMBER(BU662),BU662,"")</f>
        <v>17</v>
      </c>
      <c r="CH662" s="13" t="n">
        <f>IF(AND(COUNT(BV662,CF662,CG662)=3,MIN(BV662,CF662,CG662)&gt;=0),BV662*CF662*CG662,"")</f>
        <v>6.474584560099331</v>
      </c>
      <c r="CI662" s="13" t="n">
        <f>IF(COUNT(BY662,CB662,CE662,CH662)=4,SUM(BY662,CB662,CE662,CH662),"")</f>
        <v>27.52677627099671</v>
      </c>
    </row>
    <row r="663" ht="72" customHeight="1">
      <c r="A663" s="16" t="str">
        <v>2311062-ND-P-O-11</v>
      </c>
      <c r="B663" s="16" t="str">
        <v>4店-彬郁-US</v>
      </c>
      <c r="C663" s="16" t="str">
        <v>陈晨</v>
      </c>
      <c r="D663" s="26" t="n">
        <f>IF(NOT(ISNUMBER(E663)),"",IF(OR(E663&lt;=0,L663=0),0,IF(OR(NOT(ISNUMBER(F663)),F663&lt;0),"",MIN(E663,INT(F663)))))</f>
        <v>0</v>
      </c>
      <c r="E663" s="27" t="n">
        <f>IF(OR(NOT(ISNUMBER(L663)),COUNT(M663:O663)&lt;&gt;3,MIN(M663:O663)&lt;0),"",ROUNDUP(ROUND(BI663-SUM(M663:O663),10),0))</f>
        <v>-8</v>
      </c>
      <c r="F663" s="28" t="n">
        <v>16</v>
      </c>
      <c r="G663" s="28" t="n">
        <f>IF(AND(ISNUMBER(D663),ISNUMBER(E663)),IF(OR(E663&lt;=0,L663=0),0,E663-D663),"")</f>
        <v>0</v>
      </c>
      <c r="H663" s="16" t="str">
        <f>IF(NOT(ISNUMBER(E663)),"销量或海外库存待补",IF(OR(E663&lt;=0,L663=0),IF(L663=0,"零日销，本批不发","本批无需补货"),IF(NOT(ISNUMBER(D663)),"国内库存待补",IF(D663=0,"国内无可用库存",IF(G663&gt;0,"先发国内现货","按建议量发货")))))</f>
        <v>本批无需补货</v>
      </c>
      <c r="I663" s="28" t="n">
        <f>IF(AND(COUNT(Z663,AA663,AB663)=3,Z663&gt;=AA663,AA663&gt;=0,AB663=7),Z663-AA663,"")</f>
        <v>1</v>
      </c>
      <c r="J663" s="28" t="n">
        <f>IF(AND(COUNT(AF663,AG663,AH663)=3,AF663&gt;=AG663,AG663&gt;=0,AH663=14),AF663-AG663,"")</f>
        <v>3</v>
      </c>
      <c r="K663" s="28" t="n">
        <f>IF(AND(COUNT(AL663,AM663,AN663)=3,AL663&gt;=AM663,AM663&gt;=0,AN663=30),AL663-AM663,"")</f>
        <v>5</v>
      </c>
      <c r="L663" s="29" t="n">
        <f>IF(ISNUMBER(BI663),BI663/90,"")</f>
        <v>0.1563301184999046</v>
      </c>
      <c r="M663" s="28" t="n">
        <v>19</v>
      </c>
      <c r="N663" s="28" t="n">
        <v>0</v>
      </c>
      <c r="O663" s="28" t="n">
        <v>3</v>
      </c>
      <c r="P663" s="30" t="n">
        <f>IF(AND(ISNUMBER(L663),L663&gt;0,COUNT(M663:O663)=3,MIN(M663:O663)&gt;=0),SUM(M663:O663)/L663,"")</f>
        <v>140.72784061769534</v>
      </c>
      <c r="Q663" s="16" t="str">
        <v>沿用原计划SKU店铺</v>
      </c>
      <c r="R663" s="16" t="str">
        <v>已匹配</v>
      </c>
      <c r="S663" s="16" t="str">
        <v>在售</v>
      </c>
      <c r="T663" s="16" t="str">
        <v>2311062</v>
      </c>
      <c r="U663" s="16" t="str">
        <v>裸色 PU</v>
      </c>
      <c r="V663" s="16" t="n">
        <v>11</v>
      </c>
      <c r="W663" s="8" t="str">
        <v>2026-10-11 至 2026-10-17</v>
      </c>
      <c r="X663" s="8" t="str">
        <v>2026-10-11、2026-10-12、2026-10-13、2026-10-14、2026-10-15、2026-10-16、2026-10-17</v>
      </c>
      <c r="Y663" s="8" t="str">
        <v>无</v>
      </c>
      <c r="Z663" s="8" t="n">
        <v>1</v>
      </c>
      <c r="AA663" s="8" t="n">
        <v>0</v>
      </c>
      <c r="AB663" s="8" t="n">
        <v>7</v>
      </c>
      <c r="AC663" s="8" t="str">
        <v>2026-10-02 至 2026-10-17</v>
      </c>
      <c r="AD663" s="8" t="str">
        <v>2026-10-02、2026-10-03、2026-10-04、2026-10-05、2026-10-08、2026-10-09、2026-10-10、2026-10-11、2026-10-12、2026-10-13、2026-10-14、2026-10-15、2026-10-16、2026-10-17</v>
      </c>
      <c r="AE663" s="8" t="str">
        <v>2026-10-06 大促；2026-10-07 大促</v>
      </c>
      <c r="AF663" s="8" t="n">
        <v>4</v>
      </c>
      <c r="AG663" s="8" t="n">
        <v>1</v>
      </c>
      <c r="AH663" s="8" t="n">
        <v>14</v>
      </c>
      <c r="AI663" s="8" t="str">
        <v>2026-09-16 至 2026-10-17</v>
      </c>
      <c r="AJ6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3" s="8" t="str">
        <v>2026-10-06 大促；2026-10-07 大促</v>
      </c>
      <c r="AL663" s="8" t="n">
        <v>6</v>
      </c>
      <c r="AM663" s="8" t="n">
        <v>1</v>
      </c>
      <c r="AN663" s="8" t="n">
        <v>30</v>
      </c>
      <c r="AO663" s="8" t="str">
        <v>2311062 / 裸色PU / 13306</v>
      </c>
      <c r="AP663" s="11" t="n">
        <v>1.4758912429949873</v>
      </c>
      <c r="AQ663" s="11" t="n">
        <v>1.4758912429949873</v>
      </c>
      <c r="AR663" s="11" t="n">
        <v>1.4124697525543728</v>
      </c>
      <c r="AS663" s="11" t="n">
        <f>IF(AND(COUNT(I663:K663,AP663:AR663)=6,MIN(AP663:AR663)&gt;0),I663/7/AP663*0.5+J663/14/AQ663*0.3+K663/30/AR663*0.2,"")</f>
        <v>0.1155534489742808</v>
      </c>
      <c r="AT663" s="8" t="n">
        <v>19</v>
      </c>
      <c r="AU663" s="8" t="n">
        <v>1</v>
      </c>
      <c r="AV663" s="8" t="n">
        <v>88</v>
      </c>
      <c r="AW663" s="11" t="n">
        <f>IF(AND(COUNT(AT663:AV663)=3,AT663&gt;=AU663,AU663&gt;=0,AV663&gt;0),(AT663-AU663)/AV663,"")</f>
        <v>0.20454545454545456</v>
      </c>
      <c r="AX663" s="8" t="n">
        <v>28</v>
      </c>
      <c r="AY663" s="8" t="n">
        <v>1</v>
      </c>
      <c r="AZ663" s="8" t="n">
        <v>178</v>
      </c>
      <c r="BA663" s="11" t="n">
        <f>IF(AND(COUNT(AX663:AZ663)=3,AX663&gt;=AY663,AY663&gt;=0,AZ663&gt;0),(AX663-AY663)/AZ663,"")</f>
        <v>0.15168539325842698</v>
      </c>
      <c r="BB663" s="8" t="n">
        <f>IF(COUNT(AS663,AW663,BA663)=3,1,0)</f>
        <v>1</v>
      </c>
      <c r="BC663" s="11" t="n">
        <f>IF(SUMIF($AO$11:$AO$1309,AO663,$BB$11:$BB$1309)=COUNTIF($AO$11:$AO$1309,AO663),SUMIF($AO$11:$AO$1309,AO663,$AS$11:$AS$1309),"")</f>
        <v>3.2078963345581304</v>
      </c>
      <c r="BD663" s="11" t="n">
        <f>IF(SUMIF($AO$11:$AO$1309,AO663,$BB$11:$BB$1309)=COUNTIF($AO$11:$AO$1309,AO663),SUMIF($AO$11:$AO$1309,AO663,$AW$11:$AW$1309),"")</f>
        <v>3.7272727272727275</v>
      </c>
      <c r="BE663" s="11" t="n">
        <f>IF(SUMIF($AO$11:$AO$1309,AO663,$BB$11:$BB$1309)=COUNTIF($AO$11:$AO$1309,AO663),SUMIF($AO$11:$AO$1309,AO663,$BA$11:$BA$1309),"")</f>
        <v>3.269662921348315</v>
      </c>
      <c r="BF663" s="12" t="n">
        <f>IF(COUNT(BD663:BE663)&lt;&gt;2,"",IF(AND(BD663&gt;0,BE663&gt;0),0.7*AW663/BD663+0.3*BA663/BE663,IF(BD663&gt;0,AW663/BD663,IF(BE663&gt;0,BA663/BE663,IF(AND(ISNUMBER(BH663),BH663=0),0,"")))))</f>
        <v>0.05233215991953734</v>
      </c>
      <c r="BG663" s="11" t="n">
        <f>IF(AND(COUNT(BN663:BU663)=8,MIN(BN663:BU663)&gt;=0),SUMPRODUCT(BN663:BQ663,BR663:BU663),"")</f>
        <v>83.81006574832674</v>
      </c>
      <c r="BH663" s="11" t="n">
        <f>IF(COUNT(BC663,BG663)=2,BC663*BG663,"")</f>
        <v>268.85400271313324</v>
      </c>
      <c r="BI663" s="11" t="n">
        <f>IF(ISNUMBER(CI663),CI663,"")</f>
        <v>14.069710664991415</v>
      </c>
      <c r="BJ663" s="8" t="str"/>
      <c r="BK663" s="8" t="str">
        <v>90天：2026-07-20 至 2026-10-17；180天：2026-04-21 至 2026-10-17</v>
      </c>
      <c r="BL663" s="8" t="str">
        <v>90天：2026-10-06、2026-10-07；180天：2026-10-06、2026-10-07</v>
      </c>
      <c r="BM663" s="8" t="str">
        <v>2026-10：12天 × 1.4758912429949873；2026-11：30天 × 0.906602681585801；2026-12：31天 × 0.6189770892129804；2027-01：17天 × 1.1595882717182624</v>
      </c>
      <c r="BN663" s="11" t="n">
        <v>1.4758912429949873</v>
      </c>
      <c r="BO663" s="11" t="n">
        <v>0.906602681585801</v>
      </c>
      <c r="BP663" s="11" t="n">
        <v>0.6189770892129804</v>
      </c>
      <c r="BQ663" s="11" t="n">
        <v>1.1595882717182624</v>
      </c>
      <c r="BR663" s="8" t="n">
        <v>12</v>
      </c>
      <c r="BS663" s="8" t="n">
        <v>30</v>
      </c>
      <c r="BT663" s="8" t="n">
        <v>31</v>
      </c>
      <c r="BU663" s="8" t="n">
        <v>17</v>
      </c>
      <c r="BV663" s="11" t="n">
        <f>IF(COUNT(BC663,BF663)=2,BC663*BF663,"")</f>
        <v>0.16787614398539374</v>
      </c>
      <c r="BW663" s="11" t="n">
        <f>IF(ISNUMBER(BN663),BN663,"")</f>
        <v>1.4758912429949873</v>
      </c>
      <c r="BX663" s="14" t="n">
        <f>IF(ISNUMBER(BR663),BR663,"")</f>
        <v>12</v>
      </c>
      <c r="BY663" s="13" t="n">
        <f>IF(AND(COUNT(BV663,BW663,BX663)=3,MIN(BV663,BW663,BX663)&gt;=0),BV663*BW663*BX663,"")</f>
        <v>2.9732031697896986</v>
      </c>
      <c r="BZ663" s="11" t="n">
        <f>IF(ISNUMBER(BO663),BO663,"")</f>
        <v>0.906602681585801</v>
      </c>
      <c r="CA663" s="14" t="n">
        <f>IF(ISNUMBER(BS663),BS663,"")</f>
        <v>30</v>
      </c>
      <c r="CB663" s="13" t="n">
        <f>IF(AND(COUNT(BV663,BZ663,CA663)=3,MIN(BV663,BZ663,CA663)&gt;=0),BV663*BZ663*CA663,"")</f>
        <v>4.56590886934326</v>
      </c>
      <c r="CC663" s="11" t="n">
        <f>IF(ISNUMBER(BP663),BP663,"")</f>
        <v>0.6189770892129804</v>
      </c>
      <c r="CD663" s="14" t="n">
        <f>IF(ISNUMBER(BT663),BT663,"")</f>
        <v>31</v>
      </c>
      <c r="CE663" s="13" t="n">
        <f>IF(AND(COUNT(BV663,CC663,CD663)=3,MIN(BV663,CC663,CD663)&gt;=0),BV663*CC663*CD663,"")</f>
        <v>3.221256095523725</v>
      </c>
      <c r="CF663" s="11" t="n">
        <f>IF(ISNUMBER(BQ663),BQ663,"")</f>
        <v>1.1595882717182624</v>
      </c>
      <c r="CG663" s="14" t="n">
        <f>IF(ISNUMBER(BU663),BU663,"")</f>
        <v>17</v>
      </c>
      <c r="CH663" s="13" t="n">
        <f>IF(AND(COUNT(BV663,CF663,CG663)=3,MIN(BV663,CF663,CG663)&gt;=0),BV663*CF663*CG663,"")</f>
        <v>3.3093425303347317</v>
      </c>
      <c r="CI663" s="13" t="n">
        <f>IF(COUNT(BY663,CB663,CE663,CH663)=4,SUM(BY663,CB663,CE663,CH663),"")</f>
        <v>14.069710664991415</v>
      </c>
    </row>
    <row r="664" ht="72" customHeight="1">
      <c r="A664" s="16" t="str">
        <v>2311062-ND-P-O-6</v>
      </c>
      <c r="B664" s="16" t="str">
        <v>4店-彬郁-US</v>
      </c>
      <c r="C664" s="16" t="str">
        <v>陈晨</v>
      </c>
      <c r="D664" s="26" t="n">
        <f>IF(NOT(ISNUMBER(E664)),"",IF(OR(E664&lt;=0,L664=0),0,IF(OR(NOT(ISNUMBER(F664)),F664&lt;0),"",MIN(E664,INT(F664)))))</f>
        <v>0</v>
      </c>
      <c r="E664" s="27" t="n">
        <f>IF(OR(NOT(ISNUMBER(L664)),COUNT(M664:O664)&lt;&gt;3,MIN(M664:O664)&lt;0),"",ROUNDUP(ROUND(BI664-SUM(M664:O664),10),0))</f>
        <v>-27</v>
      </c>
      <c r="F664" s="28" t="n">
        <v>58</v>
      </c>
      <c r="G664" s="28" t="n">
        <f>IF(AND(ISNUMBER(D664),ISNUMBER(E664)),IF(OR(E664&lt;=0,L664=0),0,E664-D664),"")</f>
        <v>0</v>
      </c>
      <c r="H664" s="16" t="str">
        <f>IF(NOT(ISNUMBER(E664)),"销量或海外库存待补",IF(OR(E664&lt;=0,L664=0),IF(L664=0,"零日销，本批不发","本批无需补货"),IF(NOT(ISNUMBER(D664)),"国内库存待补",IF(D664=0,"国内无可用库存",IF(G664&gt;0,"先发国内现货","按建议量发货")))))</f>
        <v>本批无需补货</v>
      </c>
      <c r="I664" s="28" t="n">
        <f>IF(AND(COUNT(Z664,AA664,AB664)=3,Z664&gt;=AA664,AA664&gt;=0,AB664=7),Z664-AA664,"")</f>
        <v>3</v>
      </c>
      <c r="J664" s="28" t="n">
        <f>IF(AND(COUNT(AF664,AG664,AH664)=3,AF664&gt;=AG664,AG664&gt;=0,AH664=14),AF664-AG664,"")</f>
        <v>6</v>
      </c>
      <c r="K664" s="28" t="n">
        <f>IF(AND(COUNT(AL664,AM664,AN664)=3,AL664&gt;=AM664,AM664&gt;=0,AN664=30),AL664-AM664,"")</f>
        <v>11</v>
      </c>
      <c r="L664" s="29" t="n">
        <f>IF(ISNUMBER(BI664),BI664/90,"")</f>
        <v>0.18096736960763735</v>
      </c>
      <c r="M664" s="28" t="n">
        <v>11</v>
      </c>
      <c r="N664" s="28" t="n">
        <v>0</v>
      </c>
      <c r="O664" s="28" t="n">
        <v>32</v>
      </c>
      <c r="P664" s="30" t="n">
        <f>IF(AND(ISNUMBER(L664),L664&gt;0,COUNT(M664:O664)=3,MIN(M664:O664)&gt;=0),SUM(M664:O664)/L664,"")</f>
        <v>237.61189706868169</v>
      </c>
      <c r="Q664" s="16" t="str">
        <v>沿用原计划SKU店铺</v>
      </c>
      <c r="R664" s="16" t="str">
        <v>已匹配</v>
      </c>
      <c r="S664" s="16" t="str">
        <v>在售</v>
      </c>
      <c r="T664" s="16" t="str">
        <v>2311062</v>
      </c>
      <c r="U664" s="16" t="str">
        <v>裸色 PU</v>
      </c>
      <c r="V664" s="16" t="n">
        <v>6</v>
      </c>
      <c r="W664" s="8" t="str">
        <v>2026-10-11 至 2026-10-17</v>
      </c>
      <c r="X664" s="8" t="str">
        <v>2026-10-11、2026-10-12、2026-10-13、2026-10-14、2026-10-15、2026-10-16、2026-10-17</v>
      </c>
      <c r="Y664" s="8" t="str">
        <v>无</v>
      </c>
      <c r="Z664" s="8" t="n">
        <v>3</v>
      </c>
      <c r="AA664" s="8" t="n">
        <v>0</v>
      </c>
      <c r="AB664" s="8" t="n">
        <v>7</v>
      </c>
      <c r="AC664" s="8" t="str">
        <v>2026-10-02 至 2026-10-17</v>
      </c>
      <c r="AD664" s="8" t="str">
        <v>2026-10-02、2026-10-03、2026-10-04、2026-10-05、2026-10-08、2026-10-09、2026-10-10、2026-10-11、2026-10-12、2026-10-13、2026-10-14、2026-10-15、2026-10-16、2026-10-17</v>
      </c>
      <c r="AE664" s="8" t="str">
        <v>2026-10-06 大促；2026-10-07 大促</v>
      </c>
      <c r="AF664" s="8" t="n">
        <v>6</v>
      </c>
      <c r="AG664" s="8" t="n">
        <v>0</v>
      </c>
      <c r="AH664" s="8" t="n">
        <v>14</v>
      </c>
      <c r="AI664" s="8" t="str">
        <v>2026-09-16 至 2026-10-17</v>
      </c>
      <c r="AJ6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4" s="8" t="str">
        <v>2026-10-06 大促；2026-10-07 大促</v>
      </c>
      <c r="AL664" s="8" t="n">
        <v>11</v>
      </c>
      <c r="AM664" s="8" t="n">
        <v>0</v>
      </c>
      <c r="AN664" s="8" t="n">
        <v>30</v>
      </c>
      <c r="AO664" s="8" t="str">
        <v>2311062 / 裸色PU / 13306</v>
      </c>
      <c r="AP664" s="11" t="n">
        <v>1.4758912429949873</v>
      </c>
      <c r="AQ664" s="11" t="n">
        <v>1.4758912429949873</v>
      </c>
      <c r="AR664" s="11" t="n">
        <v>1.4124697525543728</v>
      </c>
      <c r="AS664" s="11" t="n">
        <f>IF(AND(COUNT(I664:K664,AP664:AR664)=6,MIN(AP664:AR664)&gt;0),I664/7/AP664*0.5+J664/14/AQ664*0.3+K664/30/AR664*0.2,"")</f>
        <v>0.28422367016711075</v>
      </c>
      <c r="AT664" s="8" t="n">
        <v>18</v>
      </c>
      <c r="AU664" s="8" t="n">
        <v>0</v>
      </c>
      <c r="AV664" s="8" t="n">
        <v>88</v>
      </c>
      <c r="AW664" s="11" t="n">
        <f>IF(AND(COUNT(AT664:AV664)=3,AT664&gt;=AU664,AU664&gt;=0,AV664&gt;0),(AT664-AU664)/AV664,"")</f>
        <v>0.20454545454545456</v>
      </c>
      <c r="AX664" s="8" t="n">
        <v>43</v>
      </c>
      <c r="AY664" s="8" t="n">
        <v>0</v>
      </c>
      <c r="AZ664" s="8" t="n">
        <v>178</v>
      </c>
      <c r="BA664" s="11" t="n">
        <f>IF(AND(COUNT(AX664:AZ664)=3,AX664&gt;=AY664,AY664&gt;=0,AZ664&gt;0),(AX664-AY664)/AZ664,"")</f>
        <v>0.24157303370786518</v>
      </c>
      <c r="BB664" s="8" t="n">
        <f>IF(COUNT(AS664,AW664,BA664)=3,1,0)</f>
        <v>1</v>
      </c>
      <c r="BC664" s="11" t="n">
        <f>IF(SUMIF($AO$11:$AO$1309,AO664,$BB$11:$BB$1309)=COUNTIF($AO$11:$AO$1309,AO664),SUMIF($AO$11:$AO$1309,AO664,$AS$11:$AS$1309),"")</f>
        <v>3.2078963345581304</v>
      </c>
      <c r="BD664" s="11" t="n">
        <f>IF(SUMIF($AO$11:$AO$1309,AO664,$BB$11:$BB$1309)=COUNTIF($AO$11:$AO$1309,AO664),SUMIF($AO$11:$AO$1309,AO664,$AW$11:$AW$1309),"")</f>
        <v>3.7272727272727275</v>
      </c>
      <c r="BE664" s="11" t="n">
        <f>IF(SUMIF($AO$11:$AO$1309,AO664,$BB$11:$BB$1309)=COUNTIF($AO$11:$AO$1309,AO664),SUMIF($AO$11:$AO$1309,AO664,$BA$11:$BA$1309),"")</f>
        <v>3.269662921348315</v>
      </c>
      <c r="BF664" s="12" t="n">
        <f>IF(COUNT(BD664:BE664)&lt;&gt;2,"",IF(AND(BD664&gt;0,BE664&gt;0),0.7*AW664/BD664+0.3*BA664/BE664,IF(BD664&gt;0,AW664/BD664,IF(BE664&gt;0,BA664/BE664,IF(AND(ISNUMBER(BH664),BH664=0),0,"")))))</f>
        <v>0.06057958259994971</v>
      </c>
      <c r="BG664" s="11" t="n">
        <f>IF(AND(COUNT(BN664:BU664)=8,MIN(BN664:BU664)&gt;=0),SUMPRODUCT(BN664:BQ664,BR664:BU664),"")</f>
        <v>83.81006574832674</v>
      </c>
      <c r="BH664" s="11" t="n">
        <f>IF(COUNT(BC664,BG664)=2,BC664*BG664,"")</f>
        <v>268.85400271313324</v>
      </c>
      <c r="BI664" s="11" t="n">
        <f>IF(ISNUMBER(CI664),CI664,"")</f>
        <v>16.28706326468736</v>
      </c>
      <c r="BJ664" s="8" t="str"/>
      <c r="BK664" s="8" t="str">
        <v>90天：2026-07-20 至 2026-10-17；180天：2026-04-21 至 2026-10-17</v>
      </c>
      <c r="BL664" s="8" t="str">
        <v>90天：2026-10-06、2026-10-07；180天：2026-10-06、2026-10-07</v>
      </c>
      <c r="BM664" s="8" t="str">
        <v>2026-10：12天 × 1.4758912429949873；2026-11：30天 × 0.906602681585801；2026-12：31天 × 0.6189770892129804；2027-01：17天 × 1.1595882717182624</v>
      </c>
      <c r="BN664" s="11" t="n">
        <v>1.4758912429949873</v>
      </c>
      <c r="BO664" s="11" t="n">
        <v>0.906602681585801</v>
      </c>
      <c r="BP664" s="11" t="n">
        <v>0.6189770892129804</v>
      </c>
      <c r="BQ664" s="11" t="n">
        <v>1.1595882717182624</v>
      </c>
      <c r="BR664" s="8" t="n">
        <v>12</v>
      </c>
      <c r="BS664" s="8" t="n">
        <v>30</v>
      </c>
      <c r="BT664" s="8" t="n">
        <v>31</v>
      </c>
      <c r="BU664" s="8" t="n">
        <v>17</v>
      </c>
      <c r="BV664" s="11" t="n">
        <f>IF(COUNT(BC664,BF664)=2,BC664*BF664,"")</f>
        <v>0.19433302097144017</v>
      </c>
      <c r="BW664" s="11" t="n">
        <f>IF(ISNUMBER(BN664),BN664,"")</f>
        <v>1.4758912429949873</v>
      </c>
      <c r="BX664" s="14" t="n">
        <f>IF(ISNUMBER(BR664),BR664,"")</f>
        <v>12</v>
      </c>
      <c r="BY664" s="13" t="n">
        <f>IF(AND(COUNT(BV664,BW664,BX664)=3,MIN(BV664,BW664,BX664)&gt;=0),BV664*BW664*BX664,"")</f>
        <v>3.441772846518117</v>
      </c>
      <c r="BZ664" s="11" t="n">
        <f>IF(ISNUMBER(BO664),BO664,"")</f>
        <v>0.906602681585801</v>
      </c>
      <c r="CA664" s="14" t="n">
        <f>IF(ISNUMBER(BS664),BS664,"")</f>
        <v>30</v>
      </c>
      <c r="CB664" s="13" t="n">
        <f>IF(AND(COUNT(BV664,BZ664,CA664)=3,MIN(BV664,BZ664,CA664)&gt;=0),BV664*BZ664*CA664,"")</f>
        <v>5.285485138001322</v>
      </c>
      <c r="CC664" s="11" t="n">
        <f>IF(ISNUMBER(BP664),BP664,"")</f>
        <v>0.6189770892129804</v>
      </c>
      <c r="CD664" s="14" t="n">
        <f>IF(ISNUMBER(BT664),BT664,"")</f>
        <v>31</v>
      </c>
      <c r="CE664" s="13" t="n">
        <f>IF(AND(COUNT(BV664,CC664,CD664)=3,MIN(BV664,CC664,CD664)&gt;=0),BV664*CC664*CD664,"")</f>
        <v>3.728918317424881</v>
      </c>
      <c r="CF664" s="11" t="n">
        <f>IF(ISNUMBER(BQ664),BQ664,"")</f>
        <v>1.1595882717182624</v>
      </c>
      <c r="CG664" s="14" t="n">
        <f>IF(ISNUMBER(BU664),BU664,"")</f>
        <v>17</v>
      </c>
      <c r="CH664" s="13" t="n">
        <f>IF(AND(COUNT(BV664,CF664,CG664)=3,MIN(BV664,CF664,CG664)&gt;=0),BV664*CF664*CG664,"")</f>
        <v>3.8308869627430395</v>
      </c>
      <c r="CI664" s="13" t="n">
        <f>IF(COUNT(BY664,CB664,CE664,CH664)=4,SUM(BY664,CB664,CE664,CH664),"")</f>
        <v>16.28706326468736</v>
      </c>
    </row>
    <row r="665" ht="72" customHeight="1">
      <c r="A665" s="16" t="str">
        <v>2311062-ND-P-O-7</v>
      </c>
      <c r="B665" s="16" t="str">
        <v>4店-彬郁-US</v>
      </c>
      <c r="C665" s="16" t="str">
        <v>陈晨</v>
      </c>
      <c r="D665" s="26" t="n">
        <f>IF(NOT(ISNUMBER(E665)),"",IF(OR(E665&lt;=0,L665=0),0,IF(OR(NOT(ISNUMBER(F665)),F665&lt;0),"",MIN(E665,INT(F665)))))</f>
        <v>0</v>
      </c>
      <c r="E665" s="27" t="n">
        <f>IF(OR(NOT(ISNUMBER(L665)),COUNT(M665:O665)&lt;&gt;3,MIN(M665:O665)&lt;0),"",ROUNDUP(ROUND(BI665-SUM(M665:O665),10),0))</f>
        <v>-2</v>
      </c>
      <c r="F665" s="28" t="n">
        <v>121</v>
      </c>
      <c r="G665" s="28" t="n">
        <f>IF(AND(ISNUMBER(D665),ISNUMBER(E665)),IF(OR(E665&lt;=0,L665=0),0,E665-D665),"")</f>
        <v>0</v>
      </c>
      <c r="H665" s="16" t="str">
        <f>IF(NOT(ISNUMBER(E665)),"销量或海外库存待补",IF(OR(E665&lt;=0,L665=0),IF(L665=0,"零日销，本批不发","本批无需补货"),IF(NOT(ISNUMBER(D665)),"国内库存待补",IF(D665=0,"国内无可用库存",IF(G665&gt;0,"先发国内现货","按建议量发货")))))</f>
        <v>本批无需补货</v>
      </c>
      <c r="I665" s="28" t="n">
        <f>IF(AND(COUNT(Z665,AA665,AB665)=3,Z665&gt;=AA665,AA665&gt;=0,AB665=7),Z665-AA665,"")</f>
        <v>8</v>
      </c>
      <c r="J665" s="28" t="n">
        <f>IF(AND(COUNT(AF665,AG665,AH665)=3,AF665&gt;=AG665,AG665&gt;=0,AH665=14),AF665-AG665,"")</f>
        <v>15</v>
      </c>
      <c r="K665" s="28" t="n">
        <f>IF(AND(COUNT(AL665,AM665,AN665)=3,AL665&gt;=AM665,AM665&gt;=0,AN665=30),AL665-AM665,"")</f>
        <v>22</v>
      </c>
      <c r="L665" s="29" t="n">
        <f>IF(ISNUMBER(BI665),BI665/90,"")</f>
        <v>0.7255970905509086</v>
      </c>
      <c r="M665" s="28" t="n">
        <v>58</v>
      </c>
      <c r="N665" s="28" t="n">
        <v>1</v>
      </c>
      <c r="O665" s="28" t="n">
        <v>8</v>
      </c>
      <c r="P665" s="30" t="n">
        <f>IF(AND(ISNUMBER(L665),L665&gt;0,COUNT(M665:O665)=3,MIN(M665:O665)&gt;=0),SUM(M665:O665)/L665,"")</f>
        <v>92.33774621275057</v>
      </c>
      <c r="Q665" s="16" t="str">
        <v>沿用原计划SKU店铺</v>
      </c>
      <c r="R665" s="16" t="str">
        <v>已匹配</v>
      </c>
      <c r="S665" s="16" t="str">
        <v>在售</v>
      </c>
      <c r="T665" s="16" t="str">
        <v>2311062</v>
      </c>
      <c r="U665" s="16" t="str">
        <v>裸色 PU</v>
      </c>
      <c r="V665" s="16" t="n">
        <v>7</v>
      </c>
      <c r="W665" s="8" t="str">
        <v>2026-10-11 至 2026-10-17</v>
      </c>
      <c r="X665" s="8" t="str">
        <v>2026-10-11、2026-10-12、2026-10-13、2026-10-14、2026-10-15、2026-10-16、2026-10-17</v>
      </c>
      <c r="Y665" s="8" t="str">
        <v>无</v>
      </c>
      <c r="Z665" s="8" t="n">
        <v>8</v>
      </c>
      <c r="AA665" s="8" t="n">
        <v>0</v>
      </c>
      <c r="AB665" s="8" t="n">
        <v>7</v>
      </c>
      <c r="AC665" s="8" t="str">
        <v>2026-10-02 至 2026-10-17</v>
      </c>
      <c r="AD665" s="8" t="str">
        <v>2026-10-02、2026-10-03、2026-10-04、2026-10-05、2026-10-08、2026-10-09、2026-10-10、2026-10-11、2026-10-12、2026-10-13、2026-10-14、2026-10-15、2026-10-16、2026-10-17</v>
      </c>
      <c r="AE665" s="8" t="str">
        <v>2026-10-06 大促；2026-10-07 大促</v>
      </c>
      <c r="AF665" s="8" t="n">
        <v>22</v>
      </c>
      <c r="AG665" s="8" t="n">
        <v>7</v>
      </c>
      <c r="AH665" s="8" t="n">
        <v>14</v>
      </c>
      <c r="AI665" s="8" t="str">
        <v>2026-09-16 至 2026-10-17</v>
      </c>
      <c r="AJ6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5" s="8" t="str">
        <v>2026-10-06 大促；2026-10-07 大促</v>
      </c>
      <c r="AL665" s="8" t="n">
        <v>29</v>
      </c>
      <c r="AM665" s="8" t="n">
        <v>7</v>
      </c>
      <c r="AN665" s="8" t="n">
        <v>30</v>
      </c>
      <c r="AO665" s="8" t="str">
        <v>2311062 / 裸色PU / 13306</v>
      </c>
      <c r="AP665" s="11" t="n">
        <v>1.4758912429949873</v>
      </c>
      <c r="AQ665" s="11" t="n">
        <v>1.4758912429949873</v>
      </c>
      <c r="AR665" s="11" t="n">
        <v>1.4124697525543728</v>
      </c>
      <c r="AS665" s="11" t="n">
        <f>IF(AND(COUNT(I665:K665,AP665:AR665)=6,MIN(AP665:AR665)&gt;0),I665/7/AP665*0.5+J665/14/AQ665*0.3+K665/30/AR665*0.2,"")</f>
        <v>0.7087983710256888</v>
      </c>
      <c r="AT665" s="8" t="n">
        <v>87</v>
      </c>
      <c r="AU665" s="8" t="n">
        <v>7</v>
      </c>
      <c r="AV665" s="8" t="n">
        <v>88</v>
      </c>
      <c r="AW665" s="11" t="n">
        <f>IF(AND(COUNT(AT665:AV665)=3,AT665&gt;=AU665,AU665&gt;=0,AV665&gt;0),(AT665-AU665)/AV665,"")</f>
        <v>0.9090909090909091</v>
      </c>
      <c r="AX665" s="8" t="n">
        <v>147</v>
      </c>
      <c r="AY665" s="8" t="n">
        <v>7</v>
      </c>
      <c r="AZ665" s="8" t="n">
        <v>178</v>
      </c>
      <c r="BA665" s="11" t="n">
        <f>IF(AND(COUNT(AX665:AZ665)=3,AX665&gt;=AY665,AY665&gt;=0,AZ665&gt;0),(AX665-AY665)/AZ665,"")</f>
        <v>0.7865168539325843</v>
      </c>
      <c r="BB665" s="8" t="n">
        <f>IF(COUNT(AS665,AW665,BA665)=3,1,0)</f>
        <v>1</v>
      </c>
      <c r="BC665" s="11" t="n">
        <f>IF(SUMIF($AO$11:$AO$1309,AO665,$BB$11:$BB$1309)=COUNTIF($AO$11:$AO$1309,AO665),SUMIF($AO$11:$AO$1309,AO665,$AS$11:$AS$1309),"")</f>
        <v>3.2078963345581304</v>
      </c>
      <c r="BD665" s="11" t="n">
        <f>IF(SUMIF($AO$11:$AO$1309,AO665,$BB$11:$BB$1309)=COUNTIF($AO$11:$AO$1309,AO665),SUMIF($AO$11:$AO$1309,AO665,$AW$11:$AW$1309),"")</f>
        <v>3.7272727272727275</v>
      </c>
      <c r="BE665" s="11" t="n">
        <f>IF(SUMIF($AO$11:$AO$1309,AO665,$BB$11:$BB$1309)=COUNTIF($AO$11:$AO$1309,AO665),SUMIF($AO$11:$AO$1309,AO665,$BA$11:$BA$1309),"")</f>
        <v>3.269662921348315</v>
      </c>
      <c r="BF665" s="12" t="n">
        <f>IF(COUNT(BD665:BE665)&lt;&gt;2,"",IF(AND(BD665&gt;0,BE665&gt;0),0.7*AW665/BD665+0.3*BA665/BE665,IF(BD665&gt;0,AW665/BD665,IF(BE665&gt;0,BA665/BE665,IF(AND(ISNUMBER(BH665),BH665=0),0,"")))))</f>
        <v>0.2428966557706814</v>
      </c>
      <c r="BG665" s="11" t="n">
        <f>IF(AND(COUNT(BN665:BU665)=8,MIN(BN665:BU665)&gt;=0),SUMPRODUCT(BN665:BQ665,BR665:BU665),"")</f>
        <v>83.81006574832674</v>
      </c>
      <c r="BH665" s="11" t="n">
        <f>IF(COUNT(BC665,BG665)=2,BC665*BG665,"")</f>
        <v>268.85400271313324</v>
      </c>
      <c r="BI665" s="11" t="n">
        <f>IF(ISNUMBER(CI665),CI665,"")</f>
        <v>65.30373814958178</v>
      </c>
      <c r="BJ665" s="8" t="str"/>
      <c r="BK665" s="8" t="str">
        <v>90天：2026-07-20 至 2026-10-17；180天：2026-04-21 至 2026-10-17</v>
      </c>
      <c r="BL665" s="8" t="str">
        <v>90天：2026-10-06、2026-10-07；180天：2026-10-06、2026-10-07</v>
      </c>
      <c r="BM665" s="8" t="str">
        <v>2026-10：12天 × 1.4758912429949873；2026-11：30天 × 0.906602681585801；2026-12：31天 × 0.6189770892129804；2027-01：17天 × 1.1595882717182624</v>
      </c>
      <c r="BN665" s="11" t="n">
        <v>1.4758912429949873</v>
      </c>
      <c r="BO665" s="11" t="n">
        <v>0.906602681585801</v>
      </c>
      <c r="BP665" s="11" t="n">
        <v>0.6189770892129804</v>
      </c>
      <c r="BQ665" s="11" t="n">
        <v>1.1595882717182624</v>
      </c>
      <c r="BR665" s="8" t="n">
        <v>12</v>
      </c>
      <c r="BS665" s="8" t="n">
        <v>30</v>
      </c>
      <c r="BT665" s="8" t="n">
        <v>31</v>
      </c>
      <c r="BU665" s="8" t="n">
        <v>17</v>
      </c>
      <c r="BV665" s="11" t="n">
        <f>IF(COUNT(BC665,BF665)=2,BC665*BF665,"")</f>
        <v>0.7791872917231968</v>
      </c>
      <c r="BW665" s="11" t="n">
        <f>IF(ISNUMBER(BN665),BN665,"")</f>
        <v>1.4758912429949873</v>
      </c>
      <c r="BX665" s="14" t="n">
        <f>IF(ISNUMBER(BR665),BR665,"")</f>
        <v>12</v>
      </c>
      <c r="BY665" s="13" t="n">
        <f>IF(AND(COUNT(BV665,BW665,BX665)=3,MIN(BV665,BW665,BX665)&gt;=0),BV665*BW665*BX665,"")</f>
        <v>13.799948406086962</v>
      </c>
      <c r="BZ665" s="11" t="n">
        <f>IF(ISNUMBER(BO665),BO665,"")</f>
        <v>0.906602681585801</v>
      </c>
      <c r="CA665" s="14" t="n">
        <f>IF(ISNUMBER(BS665),BS665,"")</f>
        <v>30</v>
      </c>
      <c r="CB665" s="13" t="n">
        <f>IF(AND(COUNT(BV665,BZ665,CA665)=3,MIN(BV665,BZ665,CA665)&gt;=0),BV665*BZ665*CA665,"")</f>
        <v>21.192398644014844</v>
      </c>
      <c r="CC665" s="11" t="n">
        <f>IF(ISNUMBER(BP665),BP665,"")</f>
        <v>0.6189770892129804</v>
      </c>
      <c r="CD665" s="14" t="n">
        <f>IF(ISNUMBER(BT665),BT665,"")</f>
        <v>31</v>
      </c>
      <c r="CE665" s="13" t="n">
        <f>IF(AND(COUNT(BV665,CC665,CD665)=3,MIN(BV665,CC665,CD665)&gt;=0),BV665*CC665*CD665,"")</f>
        <v>14.951271535259664</v>
      </c>
      <c r="CF665" s="11" t="n">
        <f>IF(ISNUMBER(BQ665),BQ665,"")</f>
        <v>1.1595882717182624</v>
      </c>
      <c r="CG665" s="14" t="n">
        <f>IF(ISNUMBER(BU665),BU665,"")</f>
        <v>17</v>
      </c>
      <c r="CH665" s="13" t="n">
        <f>IF(AND(COUNT(BV665,CF665,CG665)=3,MIN(BV665,CF665,CG665)&gt;=0),BV665*CF665*CG665,"")</f>
        <v>15.3601195642203</v>
      </c>
      <c r="CI665" s="13" t="n">
        <f>IF(COUNT(BY665,CB665,CE665,CH665)=4,SUM(BY665,CB665,CE665,CH665),"")</f>
        <v>65.30373814958178</v>
      </c>
    </row>
    <row r="666" ht="72" customHeight="1">
      <c r="A666" s="16" t="str">
        <v>2311062-ND-P-O-8</v>
      </c>
      <c r="B666" s="16" t="str">
        <v>4店-彬郁-US</v>
      </c>
      <c r="C666" s="16" t="str">
        <v>陈晨</v>
      </c>
      <c r="D666" s="26" t="n">
        <f>IF(NOT(ISNUMBER(E666)),"",IF(OR(E666&lt;=0,L666=0),0,IF(OR(NOT(ISNUMBER(F666)),F666&lt;0),"",MIN(E666,INT(F666)))))</f>
        <v>0</v>
      </c>
      <c r="E666" s="27" t="n">
        <f>IF(OR(NOT(ISNUMBER(L666)),COUNT(M666:O666)&lt;&gt;3,MIN(M666:O666)&lt;0),"",ROUNDUP(ROUND(BI666-SUM(M666:O666),10),0))</f>
        <v>-154</v>
      </c>
      <c r="F666" s="28" t="n">
        <v>58</v>
      </c>
      <c r="G666" s="28" t="n">
        <f>IF(AND(ISNUMBER(D666),ISNUMBER(E666)),IF(OR(E666&lt;=0,L666=0),0,E666-D666),"")</f>
        <v>0</v>
      </c>
      <c r="H666" s="16" t="str">
        <f>IF(NOT(ISNUMBER(E666)),"销量或海外库存待补",IF(OR(E666&lt;=0,L666=0),IF(L666=0,"零日销，本批不发","本批无需补货"),IF(NOT(ISNUMBER(D666)),"国内库存待补",IF(D666=0,"国内无可用库存",IF(G666&gt;0,"先发国内现货","按建议量发货")))))</f>
        <v>本批无需补货</v>
      </c>
      <c r="I666" s="28" t="n">
        <f>IF(AND(COUNT(Z666,AA666,AB666)=3,Z666&gt;=AA666,AA666&gt;=0,AB666=7),Z666-AA666,"")</f>
        <v>8</v>
      </c>
      <c r="J666" s="28" t="n">
        <f>IF(AND(COUNT(AF666,AG666,AH666)=3,AF666&gt;=AG666,AG666&gt;=0,AH666=14),AF666-AG666,"")</f>
        <v>17</v>
      </c>
      <c r="K666" s="28" t="n">
        <f>IF(AND(COUNT(AL666,AM666,AN666)=3,AL666&gt;=AM666,AM666&gt;=0,AN666=30),AL666-AM666,"")</f>
        <v>39</v>
      </c>
      <c r="L666" s="29" t="n">
        <f>IF(ISNUMBER(BI666),BI666/90,"")</f>
        <v>0.9206388654216906</v>
      </c>
      <c r="M666" s="28" t="n">
        <v>141</v>
      </c>
      <c r="N666" s="28" t="n">
        <v>0</v>
      </c>
      <c r="O666" s="28" t="n">
        <v>95</v>
      </c>
      <c r="P666" s="30" t="n">
        <f>IF(AND(ISNUMBER(L666),L666&gt;0,COUNT(M666:O666)=3,MIN(M666:O666)&gt;=0),SUM(M666:O666)/L666,"")</f>
        <v>256.343729190601</v>
      </c>
      <c r="Q666" s="16" t="str">
        <v>沿用原计划SKU店铺</v>
      </c>
      <c r="R666" s="16" t="str">
        <v>已匹配</v>
      </c>
      <c r="S666" s="16" t="str">
        <v>在售</v>
      </c>
      <c r="T666" s="16" t="str">
        <v>2311062</v>
      </c>
      <c r="U666" s="16" t="str">
        <v>裸色 PU</v>
      </c>
      <c r="V666" s="16" t="n">
        <v>8</v>
      </c>
      <c r="W666" s="8" t="str">
        <v>2026-10-11 至 2026-10-17</v>
      </c>
      <c r="X666" s="8" t="str">
        <v>2026-10-11、2026-10-12、2026-10-13、2026-10-14、2026-10-15、2026-10-16、2026-10-17</v>
      </c>
      <c r="Y666" s="8" t="str">
        <v>无</v>
      </c>
      <c r="Z666" s="8" t="n">
        <v>8</v>
      </c>
      <c r="AA666" s="8" t="n">
        <v>0</v>
      </c>
      <c r="AB666" s="8" t="n">
        <v>7</v>
      </c>
      <c r="AC666" s="8" t="str">
        <v>2026-10-02 至 2026-10-17</v>
      </c>
      <c r="AD666" s="8" t="str">
        <v>2026-10-02、2026-10-03、2026-10-04、2026-10-05、2026-10-08、2026-10-09、2026-10-10、2026-10-11、2026-10-12、2026-10-13、2026-10-14、2026-10-15、2026-10-16、2026-10-17</v>
      </c>
      <c r="AE666" s="8" t="str">
        <v>2026-10-06 大促；2026-10-07 大促</v>
      </c>
      <c r="AF666" s="8" t="n">
        <v>26</v>
      </c>
      <c r="AG666" s="8" t="n">
        <v>9</v>
      </c>
      <c r="AH666" s="8" t="n">
        <v>14</v>
      </c>
      <c r="AI666" s="8" t="str">
        <v>2026-09-16 至 2026-10-17</v>
      </c>
      <c r="AJ6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6" s="8" t="str">
        <v>2026-10-06 大促；2026-10-07 大促</v>
      </c>
      <c r="AL666" s="8" t="n">
        <v>48</v>
      </c>
      <c r="AM666" s="8" t="n">
        <v>9</v>
      </c>
      <c r="AN666" s="8" t="n">
        <v>30</v>
      </c>
      <c r="AO666" s="8" t="str">
        <v>2311062 / 裸色PU / 13306</v>
      </c>
      <c r="AP666" s="11" t="n">
        <v>1.4758912429949873</v>
      </c>
      <c r="AQ666" s="11" t="n">
        <v>1.4758912429949873</v>
      </c>
      <c r="AR666" s="11" t="n">
        <v>1.4124697525543728</v>
      </c>
      <c r="AS666" s="11" t="n">
        <f>IF(AND(COUNT(I666:K666,AP666:AR666)=6,MIN(AP666:AR666)&gt;0),I666/7/AP666*0.5+J666/14/AQ666*0.3+K666/30/AR666*0.2,"")</f>
        <v>0.8180742217272097</v>
      </c>
      <c r="AT666" s="8" t="n">
        <v>108</v>
      </c>
      <c r="AU666" s="8" t="n">
        <v>9</v>
      </c>
      <c r="AV666" s="8" t="n">
        <v>88</v>
      </c>
      <c r="AW666" s="11" t="n">
        <f>IF(AND(COUNT(AT666:AV666)=3,AT666&gt;=AU666,AU666&gt;=0,AV666&gt;0),(AT666-AU666)/AV666,"")</f>
        <v>1.125</v>
      </c>
      <c r="AX666" s="8" t="n">
        <v>197</v>
      </c>
      <c r="AY666" s="8" t="n">
        <v>9</v>
      </c>
      <c r="AZ666" s="8" t="n">
        <v>178</v>
      </c>
      <c r="BA666" s="11" t="n">
        <f>IF(AND(COUNT(AX666:AZ666)=3,AX666&gt;=AY666,AY666&gt;=0,AZ666&gt;0),(AX666-AY666)/AZ666,"")</f>
        <v>1.0561797752808988</v>
      </c>
      <c r="BB666" s="8" t="n">
        <f>IF(COUNT(AS666,AW666,BA666)=3,1,0)</f>
        <v>1</v>
      </c>
      <c r="BC666" s="11" t="n">
        <f>IF(SUMIF($AO$11:$AO$1309,AO666,$BB$11:$BB$1309)=COUNTIF($AO$11:$AO$1309,AO666),SUMIF($AO$11:$AO$1309,AO666,$AS$11:$AS$1309),"")</f>
        <v>3.2078963345581304</v>
      </c>
      <c r="BD666" s="11" t="n">
        <f>IF(SUMIF($AO$11:$AO$1309,AO666,$BB$11:$BB$1309)=COUNTIF($AO$11:$AO$1309,AO666),SUMIF($AO$11:$AO$1309,AO666,$AW$11:$AW$1309),"")</f>
        <v>3.7272727272727275</v>
      </c>
      <c r="BE666" s="11" t="n">
        <f>IF(SUMIF($AO$11:$AO$1309,AO666,$BB$11:$BB$1309)=COUNTIF($AO$11:$AO$1309,AO666),SUMIF($AO$11:$AO$1309,AO666,$BA$11:$BA$1309),"")</f>
        <v>3.269662921348315</v>
      </c>
      <c r="BF666" s="12" t="n">
        <f>IF(COUNT(BD666:BE666)&lt;&gt;2,"",IF(AND(BD666&gt;0,BE666&gt;0),0.7*AW666/BD666+0.3*BA666/BE666,IF(BD666&gt;0,AW666/BD666,IF(BE666&gt;0,BA666/BE666,IF(AND(ISNUMBER(BH666),BH666=0),0,"")))))</f>
        <v>0.3081877042997234</v>
      </c>
      <c r="BG666" s="11" t="n">
        <f>IF(AND(COUNT(BN666:BU666)=8,MIN(BN666:BU666)&gt;=0),SUMPRODUCT(BN666:BQ666,BR666:BU666),"")</f>
        <v>83.81006574832674</v>
      </c>
      <c r="BH666" s="11" t="n">
        <f>IF(COUNT(BC666,BG666)=2,BC666*BG666,"")</f>
        <v>268.85400271313324</v>
      </c>
      <c r="BI666" s="11" t="n">
        <f>IF(ISNUMBER(CI666),CI666,"")</f>
        <v>82.85749788795215</v>
      </c>
      <c r="BJ666" s="8" t="str"/>
      <c r="BK666" s="8" t="str">
        <v>90天：2026-07-20 至 2026-10-17；180天：2026-04-21 至 2026-10-17</v>
      </c>
      <c r="BL666" s="8" t="str">
        <v>90天：2026-10-06、2026-10-07；180天：2026-10-06、2026-10-07</v>
      </c>
      <c r="BM666" s="8" t="str">
        <v>2026-10：12天 × 1.4758912429949873；2026-11：30天 × 0.906602681585801；2026-12：31天 × 0.6189770892129804；2027-01：17天 × 1.1595882717182624</v>
      </c>
      <c r="BN666" s="11" t="n">
        <v>1.4758912429949873</v>
      </c>
      <c r="BO666" s="11" t="n">
        <v>0.906602681585801</v>
      </c>
      <c r="BP666" s="11" t="n">
        <v>0.6189770892129804</v>
      </c>
      <c r="BQ666" s="11" t="n">
        <v>1.1595882717182624</v>
      </c>
      <c r="BR666" s="8" t="n">
        <v>12</v>
      </c>
      <c r="BS666" s="8" t="n">
        <v>30</v>
      </c>
      <c r="BT666" s="8" t="n">
        <v>31</v>
      </c>
      <c r="BU666" s="8" t="n">
        <v>17</v>
      </c>
      <c r="BV666" s="11" t="n">
        <f>IF(COUNT(BC666,BF666)=2,BC666*BF666,"")</f>
        <v>0.9886342069789678</v>
      </c>
      <c r="BW666" s="11" t="n">
        <f>IF(ISNUMBER(BN666),BN666,"")</f>
        <v>1.4758912429949873</v>
      </c>
      <c r="BX666" s="14" t="n">
        <f>IF(ISNUMBER(BR666),BR666,"")</f>
        <v>12</v>
      </c>
      <c r="BY666" s="13" t="n">
        <f>IF(AND(COUNT(BV666,BW666,BX666)=3,MIN(BV666,BW666,BX666)&gt;=0),BV666*BW666*BX666,"")</f>
        <v>17.50939882326663</v>
      </c>
      <c r="BZ666" s="11" t="n">
        <f>IF(ISNUMBER(BO666),BO666,"")</f>
        <v>0.906602681585801</v>
      </c>
      <c r="CA666" s="14" t="n">
        <f>IF(ISNUMBER(BS666),BS666,"")</f>
        <v>30</v>
      </c>
      <c r="CB666" s="13" t="n">
        <f>IF(AND(COUNT(BV666,BZ666,CA666)=3,MIN(BV666,BZ666,CA666)&gt;=0),BV666*BZ666*CA666,"")</f>
        <v>26.888952694637524</v>
      </c>
      <c r="CC666" s="11" t="n">
        <f>IF(ISNUMBER(BP666),BP666,"")</f>
        <v>0.6189770892129804</v>
      </c>
      <c r="CD666" s="14" t="n">
        <f>IF(ISNUMBER(BT666),BT666,"")</f>
        <v>31</v>
      </c>
      <c r="CE666" s="13" t="n">
        <f>IF(AND(COUNT(BV666,CC666,CD666)=3,MIN(BV666,CC666,CD666)&gt;=0),BV666*CC666*CD666,"")</f>
        <v>18.970199635698965</v>
      </c>
      <c r="CF666" s="11" t="n">
        <f>IF(ISNUMBER(BQ666),BQ666,"")</f>
        <v>1.1595882717182624</v>
      </c>
      <c r="CG666" s="14" t="n">
        <f>IF(ISNUMBER(BU666),BU666,"")</f>
        <v>17</v>
      </c>
      <c r="CH666" s="13" t="n">
        <f>IF(AND(COUNT(BV666,CF666,CG666)=3,MIN(BV666,CF666,CG666)&gt;=0),BV666*CF666*CG666,"")</f>
        <v>19.488946734349035</v>
      </c>
      <c r="CI666" s="13" t="n">
        <f>IF(COUNT(BY666,CB666,CE666,CH666)=4,SUM(BY666,CB666,CE666,CH666),"")</f>
        <v>82.85749788795215</v>
      </c>
    </row>
    <row r="667" ht="72" customHeight="1">
      <c r="A667" s="16" t="str">
        <v>2311062-ND-P-O-9</v>
      </c>
      <c r="B667" s="16" t="str">
        <v>4店-彬郁-US</v>
      </c>
      <c r="C667" s="16" t="str">
        <v>陈晨</v>
      </c>
      <c r="D667" s="26" t="n">
        <f>IF(NOT(ISNUMBER(E667)),"",IF(OR(E667&lt;=0,L667=0),0,IF(OR(NOT(ISNUMBER(F667)),F667&lt;0),"",MIN(E667,INT(F667)))))</f>
        <v>0</v>
      </c>
      <c r="E667" s="27" t="n">
        <f>IF(OR(NOT(ISNUMBER(L667)),COUNT(M667:O667)&lt;&gt;3,MIN(M667:O667)&lt;0),"",ROUNDUP(ROUND(BI667-SUM(M667:O667),10),0))</f>
        <v>-64</v>
      </c>
      <c r="F667" s="28" t="n">
        <v>11</v>
      </c>
      <c r="G667" s="28" t="n">
        <f>IF(AND(ISNUMBER(D667),ISNUMBER(E667)),IF(OR(E667&lt;=0,L667=0),0,E667-D667),"")</f>
        <v>0</v>
      </c>
      <c r="H667" s="16" t="str">
        <f>IF(NOT(ISNUMBER(E667)),"销量或海外库存待补",IF(OR(E667&lt;=0,L667=0),IF(L667=0,"零日销，本批不发","本批无需补货"),IF(NOT(ISNUMBER(D667)),"国内库存待补",IF(D667=0,"国内无可用库存",IF(G667&gt;0,"先发国内现货","按建议量发货")))))</f>
        <v>本批无需补货</v>
      </c>
      <c r="I667" s="28" t="n">
        <f>IF(AND(COUNT(Z667,AA667,AB667)=3,Z667&gt;=AA667,AA667&gt;=0,AB667=7),Z667-AA667,"")</f>
        <v>10</v>
      </c>
      <c r="J667" s="28" t="n">
        <f>IF(AND(COUNT(AF667,AG667,AH667)=3,AF667&gt;=AG667,AG667&gt;=0,AH667=14),AF667-AG667,"")</f>
        <v>19</v>
      </c>
      <c r="K667" s="28" t="n">
        <f>IF(AND(COUNT(AL667,AM667,AN667)=3,AL667&gt;=AM667,AM667&gt;=0,AN667=30),AL667-AM667,"")</f>
        <v>35</v>
      </c>
      <c r="L667" s="29" t="n">
        <f>IF(ISNUMBER(BI667),BI667/90,"")</f>
        <v>0.6978801830547092</v>
      </c>
      <c r="M667" s="28" t="n">
        <v>108</v>
      </c>
      <c r="N667" s="28" t="n">
        <v>0</v>
      </c>
      <c r="O667" s="28" t="n">
        <v>18</v>
      </c>
      <c r="P667" s="30" t="n">
        <f>IF(AND(ISNUMBER(L667),L667&gt;0,COUNT(M667:O667)=3,MIN(M667:O667)&gt;=0),SUM(M667:O667)/L667,"")</f>
        <v>180.54675151898164</v>
      </c>
      <c r="Q667" s="16" t="str">
        <v>沿用原计划SKU店铺</v>
      </c>
      <c r="R667" s="16" t="str">
        <v>已匹配</v>
      </c>
      <c r="S667" s="16" t="str">
        <v>在售</v>
      </c>
      <c r="T667" s="16" t="str">
        <v>2311062</v>
      </c>
      <c r="U667" s="16" t="str">
        <v>裸色 PU</v>
      </c>
      <c r="V667" s="16" t="n">
        <v>9</v>
      </c>
      <c r="W667" s="8" t="str">
        <v>2026-10-11 至 2026-10-17</v>
      </c>
      <c r="X667" s="8" t="str">
        <v>2026-10-11、2026-10-12、2026-10-13、2026-10-14、2026-10-15、2026-10-16、2026-10-17</v>
      </c>
      <c r="Y667" s="8" t="str">
        <v>无</v>
      </c>
      <c r="Z667" s="8" t="n">
        <v>10</v>
      </c>
      <c r="AA667" s="8" t="n">
        <v>0</v>
      </c>
      <c r="AB667" s="8" t="n">
        <v>7</v>
      </c>
      <c r="AC667" s="8" t="str">
        <v>2026-10-02 至 2026-10-17</v>
      </c>
      <c r="AD667" s="8" t="str">
        <v>2026-10-02、2026-10-03、2026-10-04、2026-10-05、2026-10-08、2026-10-09、2026-10-10、2026-10-11、2026-10-12、2026-10-13、2026-10-14、2026-10-15、2026-10-16、2026-10-17</v>
      </c>
      <c r="AE667" s="8" t="str">
        <v>2026-10-06 大促；2026-10-07 大促</v>
      </c>
      <c r="AF667" s="8" t="n">
        <v>21</v>
      </c>
      <c r="AG667" s="8" t="n">
        <v>2</v>
      </c>
      <c r="AH667" s="8" t="n">
        <v>14</v>
      </c>
      <c r="AI667" s="8" t="str">
        <v>2026-09-16 至 2026-10-17</v>
      </c>
      <c r="AJ6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7" s="8" t="str">
        <v>2026-10-06 大促；2026-10-07 大促</v>
      </c>
      <c r="AL667" s="8" t="n">
        <v>37</v>
      </c>
      <c r="AM667" s="8" t="n">
        <v>2</v>
      </c>
      <c r="AN667" s="8" t="n">
        <v>30</v>
      </c>
      <c r="AO667" s="8" t="str">
        <v>2311062 / 裸色PU / 13306</v>
      </c>
      <c r="AP667" s="11" t="n">
        <v>1.4758912429949873</v>
      </c>
      <c r="AQ667" s="11" t="n">
        <v>1.4758912429949873</v>
      </c>
      <c r="AR667" s="11" t="n">
        <v>1.4124697525543728</v>
      </c>
      <c r="AS667" s="11" t="n">
        <f>IF(AND(COUNT(I667:K667,AP667:AR667)=6,MIN(AP667:AR667)&gt;0),I667/7/AP667*0.5+J667/14/AQ667*0.3+K667/30/AR667*0.2,"")</f>
        <v>0.9250267199439385</v>
      </c>
      <c r="AT667" s="8" t="n">
        <v>82</v>
      </c>
      <c r="AU667" s="8" t="n">
        <v>2</v>
      </c>
      <c r="AV667" s="8" t="n">
        <v>88</v>
      </c>
      <c r="AW667" s="11" t="n">
        <f>IF(AND(COUNT(AT667:AV667)=3,AT667&gt;=AU667,AU667&gt;=0,AV667&gt;0),(AT667-AU667)/AV667,"")</f>
        <v>0.9090909090909091</v>
      </c>
      <c r="AX667" s="8" t="n">
        <v>124</v>
      </c>
      <c r="AY667" s="8" t="n">
        <v>2</v>
      </c>
      <c r="AZ667" s="8" t="n">
        <v>178</v>
      </c>
      <c r="BA667" s="11" t="n">
        <f>IF(AND(COUNT(AX667:AZ667)=3,AX667&gt;=AY667,AY667&gt;=0,AZ667&gt;0),(AX667-AY667)/AZ667,"")</f>
        <v>0.6853932584269663</v>
      </c>
      <c r="BB667" s="8" t="n">
        <f>IF(COUNT(AS667,AW667,BA667)=3,1,0)</f>
        <v>1</v>
      </c>
      <c r="BC667" s="11" t="n">
        <f>IF(SUMIF($AO$11:$AO$1309,AO667,$BB$11:$BB$1309)=COUNTIF($AO$11:$AO$1309,AO667),SUMIF($AO$11:$AO$1309,AO667,$AS$11:$AS$1309),"")</f>
        <v>3.2078963345581304</v>
      </c>
      <c r="BD667" s="11" t="n">
        <f>IF(SUMIF($AO$11:$AO$1309,AO667,$BB$11:$BB$1309)=COUNTIF($AO$11:$AO$1309,AO667),SUMIF($AO$11:$AO$1309,AO667,$AW$11:$AW$1309),"")</f>
        <v>3.7272727272727275</v>
      </c>
      <c r="BE667" s="11" t="n">
        <f>IF(SUMIF($AO$11:$AO$1309,AO667,$BB$11:$BB$1309)=COUNTIF($AO$11:$AO$1309,AO667),SUMIF($AO$11:$AO$1309,AO667,$BA$11:$BA$1309),"")</f>
        <v>3.269662921348315</v>
      </c>
      <c r="BF667" s="12" t="n">
        <f>IF(COUNT(BD667:BE667)&lt;&gt;2,"",IF(AND(BD667&gt;0,BE667&gt;0),0.7*AW667/BD667+0.3*BA667/BE667,IF(BD667&gt;0,AW667/BD667,IF(BE667&gt;0,BA667/BE667,IF(AND(ISNUMBER(BH667),BH667=0),0,"")))))</f>
        <v>0.23361830525521748</v>
      </c>
      <c r="BG667" s="11" t="n">
        <f>IF(AND(COUNT(BN667:BU667)=8,MIN(BN667:BU667)&gt;=0),SUMPRODUCT(BN667:BQ667,BR667:BU667),"")</f>
        <v>83.81006574832674</v>
      </c>
      <c r="BH667" s="11" t="n">
        <f>IF(COUNT(BC667,BG667)=2,BC667*BG667,"")</f>
        <v>268.85400271313324</v>
      </c>
      <c r="BI667" s="11" t="n">
        <f>IF(ISNUMBER(CI667),CI667,"")</f>
        <v>62.80921647492383</v>
      </c>
      <c r="BJ667" s="8" t="str"/>
      <c r="BK667" s="8" t="str">
        <v>90天：2026-07-20 至 2026-10-17；180天：2026-04-21 至 2026-10-17</v>
      </c>
      <c r="BL667" s="8" t="str">
        <v>90天：2026-10-06、2026-10-07；180天：2026-10-06、2026-10-07</v>
      </c>
      <c r="BM667" s="8" t="str">
        <v>2026-10：12天 × 1.4758912429949873；2026-11：30天 × 0.906602681585801；2026-12：31天 × 0.6189770892129804；2027-01：17天 × 1.1595882717182624</v>
      </c>
      <c r="BN667" s="11" t="n">
        <v>1.4758912429949873</v>
      </c>
      <c r="BO667" s="11" t="n">
        <v>0.906602681585801</v>
      </c>
      <c r="BP667" s="11" t="n">
        <v>0.6189770892129804</v>
      </c>
      <c r="BQ667" s="11" t="n">
        <v>1.1595882717182624</v>
      </c>
      <c r="BR667" s="8" t="n">
        <v>12</v>
      </c>
      <c r="BS667" s="8" t="n">
        <v>30</v>
      </c>
      <c r="BT667" s="8" t="n">
        <v>31</v>
      </c>
      <c r="BU667" s="8" t="n">
        <v>17</v>
      </c>
      <c r="BV667" s="11" t="n">
        <f>IF(COUNT(BC667,BF667)=2,BC667*BF667,"")</f>
        <v>0.7494233051138945</v>
      </c>
      <c r="BW667" s="11" t="n">
        <f>IF(ISNUMBER(BN667),BN667,"")</f>
        <v>1.4758912429949873</v>
      </c>
      <c r="BX667" s="14" t="n">
        <f>IF(ISNUMBER(BR667),BR667,"")</f>
        <v>12</v>
      </c>
      <c r="BY667" s="13" t="n">
        <f>IF(AND(COUNT(BV667,BW667,BX667)=3,MIN(BV667,BW667,BX667)&gt;=0),BV667*BW667*BX667,"")</f>
        <v>13.27280751976749</v>
      </c>
      <c r="BZ667" s="11" t="n">
        <f>IF(ISNUMBER(BO667),BO667,"")</f>
        <v>0.906602681585801</v>
      </c>
      <c r="CA667" s="14" t="n">
        <f>IF(ISNUMBER(BS667),BS667,"")</f>
        <v>30</v>
      </c>
      <c r="CB667" s="13" t="n">
        <f>IF(AND(COUNT(BV667,BZ667,CA667)=3,MIN(BV667,BZ667,CA667)&gt;=0),BV667*BZ667*CA667,"")</f>
        <v>20.382875341774522</v>
      </c>
      <c r="CC667" s="11" t="n">
        <f>IF(ISNUMBER(BP667),BP667,"")</f>
        <v>0.6189770892129804</v>
      </c>
      <c r="CD667" s="14" t="n">
        <f>IF(ISNUMBER(BT667),BT667,"")</f>
        <v>31</v>
      </c>
      <c r="CE667" s="13" t="n">
        <f>IF(AND(COUNT(BV667,CC667,CD667)=3,MIN(BV667,CC667,CD667)&gt;=0),BV667*CC667*CD667,"")</f>
        <v>14.380151535620863</v>
      </c>
      <c r="CF667" s="11" t="n">
        <f>IF(ISNUMBER(BQ667),BQ667,"")</f>
        <v>1.1595882717182624</v>
      </c>
      <c r="CG667" s="14" t="n">
        <f>IF(ISNUMBER(BU667),BU667,"")</f>
        <v>17</v>
      </c>
      <c r="CH667" s="13" t="n">
        <f>IF(AND(COUNT(BV667,CF667,CG667)=3,MIN(BV667,CF667,CG667)&gt;=0),BV667*CF667*CG667,"")</f>
        <v>14.773382077760953</v>
      </c>
      <c r="CI667" s="13" t="n">
        <f>IF(COUNT(BY667,CB667,CE667,CH667)=4,SUM(BY667,CB667,CE667,CH667),"")</f>
        <v>62.80921647492383</v>
      </c>
    </row>
    <row r="668" ht="72" customHeight="1">
      <c r="A668" s="16" t="str">
        <v>2311062-RD-V-O-10</v>
      </c>
      <c r="B668" s="16" t="str">
        <v>4店-彬郁-US</v>
      </c>
      <c r="C668" s="16" t="str">
        <v>陈晨</v>
      </c>
      <c r="D668" s="26" t="n">
        <f>IF(NOT(ISNUMBER(E668)),"",IF(OR(E668&lt;=0,L668=0),0,IF(OR(NOT(ISNUMBER(F668)),F668&lt;0),"",MIN(E668,INT(F668)))))</f>
        <v>0</v>
      </c>
      <c r="E668" s="27" t="n">
        <f>IF(OR(NOT(ISNUMBER(L668)),COUNT(M668:O668)&lt;&gt;3,MIN(M668:O668)&lt;0),"",ROUNDUP(ROUND(BI668-SUM(M668:O668),10),0))</f>
        <v>-42</v>
      </c>
      <c r="F668" s="28" t="n">
        <v>0</v>
      </c>
      <c r="G668" s="28" t="n">
        <f>IF(AND(ISNUMBER(D668),ISNUMBER(E668)),IF(OR(E668&lt;=0,L668=0),0,E668-D668),"")</f>
        <v>0</v>
      </c>
      <c r="H668" s="16" t="str">
        <f>IF(NOT(ISNUMBER(E668)),"销量或海外库存待补",IF(OR(E668&lt;=0,L668=0),IF(L668=0,"零日销，本批不发","本批无需补货"),IF(NOT(ISNUMBER(D668)),"国内库存待补",IF(D668=0,"国内无可用库存",IF(G668&gt;0,"先发国内现货","按建议量发货")))))</f>
        <v>本批无需补货</v>
      </c>
      <c r="I668" s="28" t="n">
        <f>IF(AND(COUNT(Z668,AA668,AB668)=3,Z668&gt;=AA668,AA668&gt;=0,AB668=7),Z668-AA668,"")</f>
        <v>1</v>
      </c>
      <c r="J668" s="28" t="n">
        <f>IF(AND(COUNT(AF668,AG668,AH668)=3,AF668&gt;=AG668,AG668&gt;=0,AH668=14),AF668-AG668,"")</f>
        <v>1</v>
      </c>
      <c r="K668" s="28" t="n">
        <f>IF(AND(COUNT(AL668,AM668,AN668)=3,AL668&gt;=AM668,AM668&gt;=0,AN668=30),AL668-AM668,"")</f>
        <v>3</v>
      </c>
      <c r="L668" s="29" t="n">
        <f>IF(ISNUMBER(BI668),BI668/90,"")</f>
        <v>0.0656598551683338</v>
      </c>
      <c r="M668" s="28" t="n">
        <v>43</v>
      </c>
      <c r="N668" s="28" t="n">
        <v>0</v>
      </c>
      <c r="O668" s="28" t="n">
        <v>4</v>
      </c>
      <c r="P668" s="30" t="n">
        <f>IF(AND(ISNUMBER(L668),L668&gt;0,COUNT(M668:O668)=3,MIN(M668:O668)&gt;=0),SUM(M668:O668)/L668,"")</f>
        <v>715.8102904659924</v>
      </c>
      <c r="Q668" s="16" t="str">
        <v>沿用原计划SKU店铺</v>
      </c>
      <c r="R668" s="16" t="str">
        <v>已匹配</v>
      </c>
      <c r="S668" s="16" t="str">
        <v>在售</v>
      </c>
      <c r="T668" s="16" t="str">
        <v>2311062</v>
      </c>
      <c r="U668" s="16" t="str">
        <v>酒红锦纶</v>
      </c>
      <c r="V668" s="16" t="n">
        <v>10</v>
      </c>
      <c r="W668" s="8" t="str">
        <v>2026-10-11 至 2026-10-17</v>
      </c>
      <c r="X668" s="8" t="str">
        <v>2026-10-11、2026-10-12、2026-10-13、2026-10-14、2026-10-15、2026-10-16、2026-10-17</v>
      </c>
      <c r="Y668" s="8" t="str">
        <v>无</v>
      </c>
      <c r="Z668" s="8" t="n">
        <v>1</v>
      </c>
      <c r="AA668" s="8" t="n">
        <v>0</v>
      </c>
      <c r="AB668" s="8" t="n">
        <v>7</v>
      </c>
      <c r="AC668" s="8" t="str">
        <v>2026-10-02 至 2026-10-17</v>
      </c>
      <c r="AD668" s="8" t="str">
        <v>2026-10-02、2026-10-03、2026-10-04、2026-10-05、2026-10-08、2026-10-09、2026-10-10、2026-10-11、2026-10-12、2026-10-13、2026-10-14、2026-10-15、2026-10-16、2026-10-17</v>
      </c>
      <c r="AE668" s="8" t="str">
        <v>2026-10-06 大促；2026-10-07 大促</v>
      </c>
      <c r="AF668" s="8" t="n">
        <v>1</v>
      </c>
      <c r="AG668" s="8" t="n">
        <v>0</v>
      </c>
      <c r="AH668" s="8" t="n">
        <v>14</v>
      </c>
      <c r="AI668" s="8" t="str">
        <v>2026-09-16 至 2026-10-17</v>
      </c>
      <c r="AJ6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8" s="8" t="str">
        <v>2026-10-06 大促；2026-10-07 大促</v>
      </c>
      <c r="AL668" s="8" t="n">
        <v>3</v>
      </c>
      <c r="AM668" s="8" t="n">
        <v>0</v>
      </c>
      <c r="AN668" s="8" t="n">
        <v>30</v>
      </c>
      <c r="AO668" s="8" t="str">
        <v>2311062 / 酒红锦纶 / 13306</v>
      </c>
      <c r="AP668" s="11" t="n">
        <v>1.4758912429949873</v>
      </c>
      <c r="AQ668" s="11" t="n">
        <v>1.4758912429949873</v>
      </c>
      <c r="AR668" s="11" t="n">
        <v>1.4124697525543728</v>
      </c>
      <c r="AS668" s="11" t="n">
        <f>IF(AND(COUNT(I668:K668,AP668:AR668)=6,MIN(AP668:AR668)&gt;0),I668/7/AP668*0.5+J668/14/AQ668*0.3+K668/30/AR668*0.2,"")</f>
        <v>0.07707557452616667</v>
      </c>
      <c r="AT668" s="8" t="n">
        <v>6</v>
      </c>
      <c r="AU668" s="8" t="n">
        <v>0</v>
      </c>
      <c r="AV668" s="8" t="n">
        <v>88</v>
      </c>
      <c r="AW668" s="11" t="n">
        <f>IF(AND(COUNT(AT668:AV668)=3,AT668&gt;=AU668,AU668&gt;=0,AV668&gt;0),(AT668-AU668)/AV668,"")</f>
        <v>0.06818181818181818</v>
      </c>
      <c r="AX668" s="8" t="n">
        <v>7</v>
      </c>
      <c r="AY668" s="8" t="n">
        <v>0</v>
      </c>
      <c r="AZ668" s="8" t="n">
        <v>178</v>
      </c>
      <c r="BA668" s="11" t="n">
        <f>IF(AND(COUNT(AX668:AZ668)=3,AX668&gt;=AY668,AY668&gt;=0,AZ668&gt;0),(AX668-AY668)/AZ668,"")</f>
        <v>0.03932584269662921</v>
      </c>
      <c r="BB668" s="8" t="n">
        <f>IF(COUNT(AS668,AW668,BA668)=3,1,0)</f>
        <v>1</v>
      </c>
      <c r="BC668" s="11" t="n">
        <f>IF(SUMIF($AO$11:$AO$1309,AO668,$BB$11:$BB$1309)=COUNTIF($AO$11:$AO$1309,AO668),SUMIF($AO$11:$AO$1309,AO668,$AS$11:$AS$1309),"")</f>
        <v>0.5680878634444062</v>
      </c>
      <c r="BD668" s="11" t="n">
        <f>IF(SUMIF($AO$11:$AO$1309,AO668,$BB$11:$BB$1309)=COUNTIF($AO$11:$AO$1309,AO668),SUMIF($AO$11:$AO$1309,AO668,$AW$11:$AW$1309),"")</f>
        <v>0.5227272727272727</v>
      </c>
      <c r="BE668" s="11" t="n">
        <f>IF(SUMIF($AO$11:$AO$1309,AO668,$BB$11:$BB$1309)=COUNTIF($AO$11:$AO$1309,AO668),SUMIF($AO$11:$AO$1309,AO668,$BA$11:$BA$1309),"")</f>
        <v>0.3595505617977528</v>
      </c>
      <c r="BF668" s="12" t="n">
        <f>IF(COUNT(BD668:BE668)&lt;&gt;2,"",IF(AND(BD668&gt;0,BE668&gt;0),0.7*AW668/BD668+0.3*BA668/BE668,IF(BD668&gt;0,AW668/BD668,IF(BE668&gt;0,BA668/BE668,IF(AND(ISNUMBER(BH668),BH668=0),0,"")))))</f>
        <v>0.12411684782608695</v>
      </c>
      <c r="BG668" s="11" t="n">
        <f>IF(AND(COUNT(BN668:BU668)=8,MIN(BN668:BU668)&gt;=0),SUMPRODUCT(BN668:BQ668,BR668:BU668),"")</f>
        <v>83.81006574832674</v>
      </c>
      <c r="BH668" s="11" t="n">
        <f>IF(COUNT(BC668,BG668)=2,BC668*BG668,"")</f>
        <v>47.61148118610215</v>
      </c>
      <c r="BI668" s="11" t="n">
        <f>IF(ISNUMBER(CI668),CI668,"")</f>
        <v>5.909386965150041</v>
      </c>
      <c r="BJ668" s="8" t="str">
        <v>低销提醒依据不完整</v>
      </c>
      <c r="BK668" s="8" t="str">
        <v>90天：2026-07-20 至 2026-10-17；180天：2026-04-21 至 2026-10-17</v>
      </c>
      <c r="BL668" s="8" t="str">
        <v>90天：2026-10-06、2026-10-07；180天：2026-10-06、2026-10-07</v>
      </c>
      <c r="BM668" s="8" t="str">
        <v>2026-10：12天 × 1.4758912429949873；2026-11：30天 × 0.906602681585801；2026-12：31天 × 0.6189770892129804；2027-01：17天 × 1.1595882717182624</v>
      </c>
      <c r="BN668" s="11" t="n">
        <v>1.4758912429949873</v>
      </c>
      <c r="BO668" s="11" t="n">
        <v>0.906602681585801</v>
      </c>
      <c r="BP668" s="11" t="n">
        <v>0.6189770892129804</v>
      </c>
      <c r="BQ668" s="11" t="n">
        <v>1.1595882717182624</v>
      </c>
      <c r="BR668" s="8" t="n">
        <v>12</v>
      </c>
      <c r="BS668" s="8" t="n">
        <v>30</v>
      </c>
      <c r="BT668" s="8" t="n">
        <v>31</v>
      </c>
      <c r="BU668" s="8" t="n">
        <v>17</v>
      </c>
      <c r="BV668" s="11" t="n">
        <f>IF(COUNT(BC668,BF668)=2,BC668*BF668,"")</f>
        <v>0.07050927489897622</v>
      </c>
      <c r="BW668" s="11" t="n">
        <f>IF(ISNUMBER(BN668),BN668,"")</f>
        <v>1.4758912429949873</v>
      </c>
      <c r="BX668" s="14" t="n">
        <f>IF(ISNUMBER(BR668),BR668,"")</f>
        <v>12</v>
      </c>
      <c r="BY668" s="13" t="n">
        <f>IF(AND(COUNT(BV668,BW668,BX668)=3,MIN(BV668,BW668,BX668)&gt;=0),BV668*BW668*BX668,"")</f>
        <v>1.2487682564799034</v>
      </c>
      <c r="BZ668" s="11" t="n">
        <f>IF(ISNUMBER(BO668),BO668,"")</f>
        <v>0.906602681585801</v>
      </c>
      <c r="CA668" s="14" t="n">
        <f>IF(ISNUMBER(BS668),BS668,"")</f>
        <v>30</v>
      </c>
      <c r="CB668" s="13" t="n">
        <f>IF(AND(COUNT(BV668,BZ668,CA668)=3,MIN(BV668,BZ668,CA668)&gt;=0),BV668*BZ668*CA668,"")</f>
        <v>1.9177169310024675</v>
      </c>
      <c r="CC668" s="11" t="n">
        <f>IF(ISNUMBER(BP668),BP668,"")</f>
        <v>0.6189770892129804</v>
      </c>
      <c r="CD668" s="14" t="n">
        <f>IF(ISNUMBER(BT668),BT668,"")</f>
        <v>31</v>
      </c>
      <c r="CE668" s="13" t="n">
        <f>IF(AND(COUNT(BV668,CC668,CD668)=3,MIN(BV668,CC668,CD668)&gt;=0),BV668*CC668*CD668,"")</f>
        <v>1.3529523979240714</v>
      </c>
      <c r="CF668" s="11" t="n">
        <f>IF(ISNUMBER(BQ668),BQ668,"")</f>
        <v>1.1595882717182624</v>
      </c>
      <c r="CG668" s="14" t="n">
        <f>IF(ISNUMBER(BU668),BU668,"")</f>
        <v>17</v>
      </c>
      <c r="CH668" s="13" t="n">
        <f>IF(AND(COUNT(BV668,CF668,CG668)=3,MIN(BV668,CF668,CG668)&gt;=0),BV668*CF668*CG668,"")</f>
        <v>1.389949379743599</v>
      </c>
      <c r="CI668" s="13" t="n">
        <f>IF(COUNT(BY668,CB668,CE668,CH668)=4,SUM(BY668,CB668,CE668,CH668),"")</f>
        <v>5.909386965150041</v>
      </c>
    </row>
    <row r="669" ht="72" customHeight="1">
      <c r="A669" s="16" t="str">
        <v>2311062-RD-V-O-11</v>
      </c>
      <c r="B669" s="16" t="str">
        <v>4店-彬郁-US</v>
      </c>
      <c r="C669" s="16" t="str">
        <v>陈晨</v>
      </c>
      <c r="D669" s="26" t="n">
        <f>IF(NOT(ISNUMBER(E669)),"",IF(OR(E669&lt;=0,L669=0),0,IF(OR(NOT(ISNUMBER(F669)),F669&lt;0),"",MIN(E669,INT(F669)))))</f>
        <v>0</v>
      </c>
      <c r="E669" s="27" t="n">
        <f>IF(OR(NOT(ISNUMBER(L669)),COUNT(M669:O669)&lt;&gt;3,MIN(M669:O669)&lt;0),"",ROUNDUP(ROUND(BI669-SUM(M669:O669),10),0))</f>
        <v>-4</v>
      </c>
      <c r="F669" s="28" t="n">
        <v>1</v>
      </c>
      <c r="G669" s="28" t="n">
        <f>IF(AND(ISNUMBER(D669),ISNUMBER(E669)),IF(OR(E669&lt;=0,L669=0),0,E669-D669),"")</f>
        <v>0</v>
      </c>
      <c r="H669" s="16" t="str">
        <f>IF(NOT(ISNUMBER(E669)),"销量或海外库存待补",IF(OR(E669&lt;=0,L669=0),IF(L669=0,"零日销，本批不发","本批无需补货"),IF(NOT(ISNUMBER(D669)),"国内库存待补",IF(D669=0,"国内无可用库存",IF(G669&gt;0,"先发国内现货","按建议量发货")))))</f>
        <v>本批无需补货</v>
      </c>
      <c r="I669" s="28" t="n">
        <f>IF(AND(COUNT(Z669,AA669,AB669)=3,Z669&gt;=AA669,AA669&gt;=0,AB669=7),Z669-AA669,"")</f>
        <v>1</v>
      </c>
      <c r="J669" s="28" t="n">
        <f>IF(AND(COUNT(AF669,AG669,AH669)=3,AF669&gt;=AG669,AG669&gt;=0,AH669=14),AF669-AG669,"")</f>
        <v>3</v>
      </c>
      <c r="K669" s="28" t="n">
        <f>IF(AND(COUNT(AL669,AM669,AN669)=3,AL669&gt;=AM669,AM669&gt;=0,AN669=30),AL669-AM669,"")</f>
        <v>4</v>
      </c>
      <c r="L669" s="29" t="n">
        <f>IF(ISNUMBER(BI669),BI669/90,"")</f>
        <v>0.0656598551683338</v>
      </c>
      <c r="M669" s="28" t="n">
        <v>9</v>
      </c>
      <c r="N669" s="28" t="n">
        <v>0</v>
      </c>
      <c r="O669" s="28" t="n">
        <v>0</v>
      </c>
      <c r="P669" s="30" t="n">
        <f>IF(AND(ISNUMBER(L669),L669&gt;0,COUNT(M669:O669)=3,MIN(M669:O669)&gt;=0),SUM(M669:O669)/L669,"")</f>
        <v>137.07005562114747</v>
      </c>
      <c r="Q669" s="16" t="str">
        <v>沿用原计划SKU店铺</v>
      </c>
      <c r="R669" s="16" t="str">
        <v>已匹配</v>
      </c>
      <c r="S669" s="16" t="str">
        <v>在售</v>
      </c>
      <c r="T669" s="16" t="str">
        <v>2311062</v>
      </c>
      <c r="U669" s="16" t="str">
        <v>酒红锦纶</v>
      </c>
      <c r="V669" s="16" t="n">
        <v>11</v>
      </c>
      <c r="W669" s="8" t="str">
        <v>2026-10-11 至 2026-10-17</v>
      </c>
      <c r="X669" s="8" t="str">
        <v>2026-10-11、2026-10-12、2026-10-13、2026-10-14、2026-10-15、2026-10-16、2026-10-17</v>
      </c>
      <c r="Y669" s="8" t="str">
        <v>无</v>
      </c>
      <c r="Z669" s="8" t="n">
        <v>1</v>
      </c>
      <c r="AA669" s="8" t="n">
        <v>0</v>
      </c>
      <c r="AB669" s="8" t="n">
        <v>7</v>
      </c>
      <c r="AC669" s="8" t="str">
        <v>2026-10-02 至 2026-10-17</v>
      </c>
      <c r="AD669" s="8" t="str">
        <v>2026-10-02、2026-10-03、2026-10-04、2026-10-05、2026-10-08、2026-10-09、2026-10-10、2026-10-11、2026-10-12、2026-10-13、2026-10-14、2026-10-15、2026-10-16、2026-10-17</v>
      </c>
      <c r="AE669" s="8" t="str">
        <v>2026-10-06 大促；2026-10-07 大促</v>
      </c>
      <c r="AF669" s="8" t="n">
        <v>3</v>
      </c>
      <c r="AG669" s="8" t="n">
        <v>0</v>
      </c>
      <c r="AH669" s="8" t="n">
        <v>14</v>
      </c>
      <c r="AI669" s="8" t="str">
        <v>2026-09-16 至 2026-10-17</v>
      </c>
      <c r="AJ6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69" s="8" t="str">
        <v>2026-10-06 大促；2026-10-07 大促</v>
      </c>
      <c r="AL669" s="8" t="n">
        <v>4</v>
      </c>
      <c r="AM669" s="8" t="n">
        <v>0</v>
      </c>
      <c r="AN669" s="8" t="n">
        <v>30</v>
      </c>
      <c r="AO669" s="8" t="str">
        <v>2311062 / 酒红锦纶 / 13306</v>
      </c>
      <c r="AP669" s="11" t="n">
        <v>1.4758912429949873</v>
      </c>
      <c r="AQ669" s="11" t="n">
        <v>1.4758912429949873</v>
      </c>
      <c r="AR669" s="11" t="n">
        <v>1.4124697525543728</v>
      </c>
      <c r="AS669" s="11" t="n">
        <f>IF(AND(COUNT(I669:K669,AP669:AR669)=6,MIN(AP669:AR669)&gt;0),I669/7/AP669*0.5+J669/14/AQ669*0.3+K669/30/AR669*0.2,"")</f>
        <v>0.11083358389072034</v>
      </c>
      <c r="AT669" s="8" t="n">
        <v>6</v>
      </c>
      <c r="AU669" s="8" t="n">
        <v>0</v>
      </c>
      <c r="AV669" s="8" t="n">
        <v>88</v>
      </c>
      <c r="AW669" s="11" t="n">
        <f>IF(AND(COUNT(AT669:AV669)=3,AT669&gt;=AU669,AU669&gt;=0,AV669&gt;0),(AT669-AU669)/AV669,"")</f>
        <v>0.06818181818181818</v>
      </c>
      <c r="AX669" s="8" t="n">
        <v>7</v>
      </c>
      <c r="AY669" s="8" t="n">
        <v>0</v>
      </c>
      <c r="AZ669" s="8" t="n">
        <v>178</v>
      </c>
      <c r="BA669" s="11" t="n">
        <f>IF(AND(COUNT(AX669:AZ669)=3,AX669&gt;=AY669,AY669&gt;=0,AZ669&gt;0),(AX669-AY669)/AZ669,"")</f>
        <v>0.03932584269662921</v>
      </c>
      <c r="BB669" s="8" t="n">
        <f>IF(COUNT(AS669,AW669,BA669)=3,1,0)</f>
        <v>1</v>
      </c>
      <c r="BC669" s="11" t="n">
        <f>IF(SUMIF($AO$11:$AO$1309,AO669,$BB$11:$BB$1309)=COUNTIF($AO$11:$AO$1309,AO669),SUMIF($AO$11:$AO$1309,AO669,$AS$11:$AS$1309),"")</f>
        <v>0.5680878634444062</v>
      </c>
      <c r="BD669" s="11" t="n">
        <f>IF(SUMIF($AO$11:$AO$1309,AO669,$BB$11:$BB$1309)=COUNTIF($AO$11:$AO$1309,AO669),SUMIF($AO$11:$AO$1309,AO669,$AW$11:$AW$1309),"")</f>
        <v>0.5227272727272727</v>
      </c>
      <c r="BE669" s="11" t="n">
        <f>IF(SUMIF($AO$11:$AO$1309,AO669,$BB$11:$BB$1309)=COUNTIF($AO$11:$AO$1309,AO669),SUMIF($AO$11:$AO$1309,AO669,$BA$11:$BA$1309),"")</f>
        <v>0.3595505617977528</v>
      </c>
      <c r="BF669" s="12" t="n">
        <f>IF(COUNT(BD669:BE669)&lt;&gt;2,"",IF(AND(BD669&gt;0,BE669&gt;0),0.7*AW669/BD669+0.3*BA669/BE669,IF(BD669&gt;0,AW669/BD669,IF(BE669&gt;0,BA669/BE669,IF(AND(ISNUMBER(BH669),BH669=0),0,"")))))</f>
        <v>0.12411684782608695</v>
      </c>
      <c r="BG669" s="11" t="n">
        <f>IF(AND(COUNT(BN669:BU669)=8,MIN(BN669:BU669)&gt;=0),SUMPRODUCT(BN669:BQ669,BR669:BU669),"")</f>
        <v>83.81006574832674</v>
      </c>
      <c r="BH669" s="11" t="n">
        <f>IF(COUNT(BC669,BG669)=2,BC669*BG669,"")</f>
        <v>47.61148118610215</v>
      </c>
      <c r="BI669" s="11" t="n">
        <f>IF(ISNUMBER(CI669),CI669,"")</f>
        <v>5.909386965150041</v>
      </c>
      <c r="BJ669" s="8" t="str">
        <v>低销提醒依据不完整</v>
      </c>
      <c r="BK669" s="8" t="str">
        <v>90天：2026-07-20 至 2026-10-17；180天：2026-04-21 至 2026-10-17</v>
      </c>
      <c r="BL669" s="8" t="str">
        <v>90天：2026-10-06、2026-10-07；180天：2026-10-06、2026-10-07</v>
      </c>
      <c r="BM669" s="8" t="str">
        <v>2026-10：12天 × 1.4758912429949873；2026-11：30天 × 0.906602681585801；2026-12：31天 × 0.6189770892129804；2027-01：17天 × 1.1595882717182624</v>
      </c>
      <c r="BN669" s="11" t="n">
        <v>1.4758912429949873</v>
      </c>
      <c r="BO669" s="11" t="n">
        <v>0.906602681585801</v>
      </c>
      <c r="BP669" s="11" t="n">
        <v>0.6189770892129804</v>
      </c>
      <c r="BQ669" s="11" t="n">
        <v>1.1595882717182624</v>
      </c>
      <c r="BR669" s="8" t="n">
        <v>12</v>
      </c>
      <c r="BS669" s="8" t="n">
        <v>30</v>
      </c>
      <c r="BT669" s="8" t="n">
        <v>31</v>
      </c>
      <c r="BU669" s="8" t="n">
        <v>17</v>
      </c>
      <c r="BV669" s="11" t="n">
        <f>IF(COUNT(BC669,BF669)=2,BC669*BF669,"")</f>
        <v>0.07050927489897622</v>
      </c>
      <c r="BW669" s="11" t="n">
        <f>IF(ISNUMBER(BN669),BN669,"")</f>
        <v>1.4758912429949873</v>
      </c>
      <c r="BX669" s="14" t="n">
        <f>IF(ISNUMBER(BR669),BR669,"")</f>
        <v>12</v>
      </c>
      <c r="BY669" s="13" t="n">
        <f>IF(AND(COUNT(BV669,BW669,BX669)=3,MIN(BV669,BW669,BX669)&gt;=0),BV669*BW669*BX669,"")</f>
        <v>1.2487682564799034</v>
      </c>
      <c r="BZ669" s="11" t="n">
        <f>IF(ISNUMBER(BO669),BO669,"")</f>
        <v>0.906602681585801</v>
      </c>
      <c r="CA669" s="14" t="n">
        <f>IF(ISNUMBER(BS669),BS669,"")</f>
        <v>30</v>
      </c>
      <c r="CB669" s="13" t="n">
        <f>IF(AND(COUNT(BV669,BZ669,CA669)=3,MIN(BV669,BZ669,CA669)&gt;=0),BV669*BZ669*CA669,"")</f>
        <v>1.9177169310024675</v>
      </c>
      <c r="CC669" s="11" t="n">
        <f>IF(ISNUMBER(BP669),BP669,"")</f>
        <v>0.6189770892129804</v>
      </c>
      <c r="CD669" s="14" t="n">
        <f>IF(ISNUMBER(BT669),BT669,"")</f>
        <v>31</v>
      </c>
      <c r="CE669" s="13" t="n">
        <f>IF(AND(COUNT(BV669,CC669,CD669)=3,MIN(BV669,CC669,CD669)&gt;=0),BV669*CC669*CD669,"")</f>
        <v>1.3529523979240714</v>
      </c>
      <c r="CF669" s="11" t="n">
        <f>IF(ISNUMBER(BQ669),BQ669,"")</f>
        <v>1.1595882717182624</v>
      </c>
      <c r="CG669" s="14" t="n">
        <f>IF(ISNUMBER(BU669),BU669,"")</f>
        <v>17</v>
      </c>
      <c r="CH669" s="13" t="n">
        <f>IF(AND(COUNT(BV669,CF669,CG669)=3,MIN(BV669,CF669,CG669)&gt;=0),BV669*CF669*CG669,"")</f>
        <v>1.389949379743599</v>
      </c>
      <c r="CI669" s="13" t="n">
        <f>IF(COUNT(BY669,CB669,CE669,CH669)=4,SUM(BY669,CB669,CE669,CH669),"")</f>
        <v>5.909386965150041</v>
      </c>
    </row>
    <row r="670" ht="72" customHeight="1">
      <c r="A670" s="16" t="str">
        <v>2311062-RD-V-O-7</v>
      </c>
      <c r="B670" s="16" t="str">
        <v>4店-彬郁-US</v>
      </c>
      <c r="C670" s="16" t="str">
        <v>陈晨</v>
      </c>
      <c r="D670" s="26" t="n">
        <f>IF(NOT(ISNUMBER(E670)),"",IF(OR(E670&lt;=0,L670=0),0,IF(OR(NOT(ISNUMBER(F670)),F670&lt;0),"",MIN(E670,INT(F670)))))</f>
        <v>0</v>
      </c>
      <c r="E670" s="27" t="n">
        <f>IF(OR(NOT(ISNUMBER(L670)),COUNT(M670:O670)&lt;&gt;3,MIN(M670:O670)&lt;0),"",ROUNDUP(ROUND(BI670-SUM(M670:O670),10),0))</f>
        <v>-34</v>
      </c>
      <c r="F670" s="28" t="n">
        <v>0</v>
      </c>
      <c r="G670" s="28" t="n">
        <f>IF(AND(ISNUMBER(D670),ISNUMBER(E670)),IF(OR(E670&lt;=0,L670=0),0,E670-D670),"")</f>
        <v>0</v>
      </c>
      <c r="H670" s="16" t="str">
        <f>IF(NOT(ISNUMBER(E670)),"销量或海外库存待补",IF(OR(E670&lt;=0,L670=0),IF(L670=0,"零日销，本批不发","本批无需补货"),IF(NOT(ISNUMBER(D670)),"国内库存待补",IF(D670=0,"国内无可用库存",IF(G670&gt;0,"先发国内现货","按建议量发货")))))</f>
        <v>本批无需补货</v>
      </c>
      <c r="I670" s="28" t="n">
        <f>IF(AND(COUNT(Z670,AA670,AB670)=3,Z670&gt;=AA670,AA670&gt;=0,AB670=7),Z670-AA670,"")</f>
        <v>1</v>
      </c>
      <c r="J670" s="28" t="n">
        <f>IF(AND(COUNT(AF670,AG670,AH670)=3,AF670&gt;=AG670,AG670&gt;=0,AH670=14),AF670-AG670,"")</f>
        <v>2</v>
      </c>
      <c r="K670" s="28" t="n">
        <f>IF(AND(COUNT(AL670,AM670,AN670)=3,AL670&gt;=AM670,AM670&gt;=0,AN670=30),AL670-AM670,"")</f>
        <v>4</v>
      </c>
      <c r="L670" s="29" t="n">
        <f>IF(ISNUMBER(BI670),BI670/90,"")</f>
        <v>0.07309914910366228</v>
      </c>
      <c r="M670" s="28" t="n">
        <v>37</v>
      </c>
      <c r="N670" s="28" t="n">
        <v>0</v>
      </c>
      <c r="O670" s="28" t="n">
        <v>3</v>
      </c>
      <c r="P670" s="30" t="n">
        <f>IF(AND(ISNUMBER(L670),L670&gt;0,COUNT(M670:O670)=3,MIN(M670:O670)&gt;=0),SUM(M670:O670)/L670,"")</f>
        <v>547.201991958563</v>
      </c>
      <c r="Q670" s="16" t="str">
        <v>沿用原计划SKU店铺</v>
      </c>
      <c r="R670" s="16" t="str">
        <v>已匹配</v>
      </c>
      <c r="S670" s="16" t="str">
        <v>在售</v>
      </c>
      <c r="T670" s="16" t="str">
        <v>2311062</v>
      </c>
      <c r="U670" s="16" t="str">
        <v>酒红锦纶</v>
      </c>
      <c r="V670" s="16" t="n">
        <v>7</v>
      </c>
      <c r="W670" s="8" t="str">
        <v>2026-10-11 至 2026-10-17</v>
      </c>
      <c r="X670" s="8" t="str">
        <v>2026-10-11、2026-10-12、2026-10-13、2026-10-14、2026-10-15、2026-10-16、2026-10-17</v>
      </c>
      <c r="Y670" s="8" t="str">
        <v>无</v>
      </c>
      <c r="Z670" s="8" t="n">
        <v>1</v>
      </c>
      <c r="AA670" s="8" t="n">
        <v>0</v>
      </c>
      <c r="AB670" s="8" t="n">
        <v>7</v>
      </c>
      <c r="AC670" s="8" t="str">
        <v>2026-10-02 至 2026-10-17</v>
      </c>
      <c r="AD670" s="8" t="str">
        <v>2026-10-02、2026-10-03、2026-10-04、2026-10-05、2026-10-08、2026-10-09、2026-10-10、2026-10-11、2026-10-12、2026-10-13、2026-10-14、2026-10-15、2026-10-16、2026-10-17</v>
      </c>
      <c r="AE670" s="8" t="str">
        <v>2026-10-06 大促；2026-10-07 大促</v>
      </c>
      <c r="AF670" s="8" t="n">
        <v>3</v>
      </c>
      <c r="AG670" s="8" t="n">
        <v>1</v>
      </c>
      <c r="AH670" s="8" t="n">
        <v>14</v>
      </c>
      <c r="AI670" s="8" t="str">
        <v>2026-09-16 至 2026-10-17</v>
      </c>
      <c r="AJ6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0" s="8" t="str">
        <v>2026-10-06 大促；2026-10-07 大促</v>
      </c>
      <c r="AL670" s="8" t="n">
        <v>5</v>
      </c>
      <c r="AM670" s="8" t="n">
        <v>1</v>
      </c>
      <c r="AN670" s="8" t="n">
        <v>30</v>
      </c>
      <c r="AO670" s="8" t="str">
        <v>2311062 / 酒红锦纶 / 13306</v>
      </c>
      <c r="AP670" s="11" t="n">
        <v>1.4758912429949873</v>
      </c>
      <c r="AQ670" s="11" t="n">
        <v>1.4758912429949873</v>
      </c>
      <c r="AR670" s="11" t="n">
        <v>1.4124697525543728</v>
      </c>
      <c r="AS670" s="11" t="n">
        <f>IF(AND(COUNT(I670:K670,AP670:AR670)=6,MIN(AP670:AR670)&gt;0),I670/7/AP670*0.5+J670/14/AQ670*0.3+K670/30/AR670*0.2,"")</f>
        <v>0.09631451175022375</v>
      </c>
      <c r="AT670" s="8" t="n">
        <v>7</v>
      </c>
      <c r="AU670" s="8" t="n">
        <v>1</v>
      </c>
      <c r="AV670" s="8" t="n">
        <v>88</v>
      </c>
      <c r="AW670" s="11" t="n">
        <f>IF(AND(COUNT(AT670:AV670)=3,AT670&gt;=AU670,AU670&gt;=0,AV670&gt;0),(AT670-AU670)/AV670,"")</f>
        <v>0.06818181818181818</v>
      </c>
      <c r="AX670" s="8" t="n">
        <v>11</v>
      </c>
      <c r="AY670" s="8" t="n">
        <v>1</v>
      </c>
      <c r="AZ670" s="8" t="n">
        <v>178</v>
      </c>
      <c r="BA670" s="11" t="n">
        <f>IF(AND(COUNT(AX670:AZ670)=3,AX670&gt;=AY670,AY670&gt;=0,AZ670&gt;0),(AX670-AY670)/AZ670,"")</f>
        <v>0.056179775280898875</v>
      </c>
      <c r="BB670" s="8" t="n">
        <f>IF(COUNT(AS670,AW670,BA670)=3,1,0)</f>
        <v>1</v>
      </c>
      <c r="BC670" s="11" t="n">
        <f>IF(SUMIF($AO$11:$AO$1309,AO670,$BB$11:$BB$1309)=COUNTIF($AO$11:$AO$1309,AO670),SUMIF($AO$11:$AO$1309,AO670,$AS$11:$AS$1309),"")</f>
        <v>0.5680878634444062</v>
      </c>
      <c r="BD670" s="11" t="n">
        <f>IF(SUMIF($AO$11:$AO$1309,AO670,$BB$11:$BB$1309)=COUNTIF($AO$11:$AO$1309,AO670),SUMIF($AO$11:$AO$1309,AO670,$AW$11:$AW$1309),"")</f>
        <v>0.5227272727272727</v>
      </c>
      <c r="BE670" s="11" t="n">
        <f>IF(SUMIF($AO$11:$AO$1309,AO670,$BB$11:$BB$1309)=COUNTIF($AO$11:$AO$1309,AO670),SUMIF($AO$11:$AO$1309,AO670,$BA$11:$BA$1309),"")</f>
        <v>0.3595505617977528</v>
      </c>
      <c r="BF670" s="12" t="n">
        <f>IF(COUNT(BD670:BE670)&lt;&gt;2,"",IF(AND(BD670&gt;0,BE670&gt;0),0.7*AW670/BD670+0.3*BA670/BE670,IF(BD670&gt;0,AW670/BD670,IF(BE670&gt;0,BA670/BE670,IF(AND(ISNUMBER(BH670),BH670=0),0,"")))))</f>
        <v>0.13817934782608696</v>
      </c>
      <c r="BG670" s="11" t="n">
        <f>IF(AND(COUNT(BN670:BU670)=8,MIN(BN670:BU670)&gt;=0),SUMPRODUCT(BN670:BQ670,BR670:BU670),"")</f>
        <v>83.81006574832674</v>
      </c>
      <c r="BH670" s="11" t="n">
        <f>IF(COUNT(BC670,BG670)=2,BC670*BG670,"")</f>
        <v>47.61148118610215</v>
      </c>
      <c r="BI670" s="11" t="n">
        <f>IF(ISNUMBER(CI670),CI670,"")</f>
        <v>6.5789234193296044</v>
      </c>
      <c r="BJ670" s="8" t="str">
        <v>低销提醒依据不完整</v>
      </c>
      <c r="BK670" s="8" t="str">
        <v>90天：2026-07-20 至 2026-10-17；180天：2026-04-21 至 2026-10-17</v>
      </c>
      <c r="BL670" s="8" t="str">
        <v>90天：2026-10-06、2026-10-07；180天：2026-10-06、2026-10-07</v>
      </c>
      <c r="BM670" s="8" t="str">
        <v>2026-10：12天 × 1.4758912429949873；2026-11：30天 × 0.906602681585801；2026-12：31天 × 0.6189770892129804；2027-01：17天 × 1.1595882717182624</v>
      </c>
      <c r="BN670" s="11" t="n">
        <v>1.4758912429949873</v>
      </c>
      <c r="BO670" s="11" t="n">
        <v>0.906602681585801</v>
      </c>
      <c r="BP670" s="11" t="n">
        <v>0.6189770892129804</v>
      </c>
      <c r="BQ670" s="11" t="n">
        <v>1.1595882717182624</v>
      </c>
      <c r="BR670" s="8" t="n">
        <v>12</v>
      </c>
      <c r="BS670" s="8" t="n">
        <v>30</v>
      </c>
      <c r="BT670" s="8" t="n">
        <v>31</v>
      </c>
      <c r="BU670" s="8" t="n">
        <v>17</v>
      </c>
      <c r="BV670" s="11" t="n">
        <f>IF(COUNT(BC670,BF670)=2,BC670*BF670,"")</f>
        <v>0.0784980104786632</v>
      </c>
      <c r="BW670" s="11" t="n">
        <f>IF(ISNUMBER(BN670),BN670,"")</f>
        <v>1.4758912429949873</v>
      </c>
      <c r="BX670" s="14" t="n">
        <f>IF(ISNUMBER(BR670),BR670,"")</f>
        <v>12</v>
      </c>
      <c r="BY670" s="13" t="n">
        <f>IF(AND(COUNT(BV670,BW670,BX670)=3,MIN(BV670,BW670,BX670)&gt;=0),BV670*BW670*BX670,"")</f>
        <v>1.3902543150958533</v>
      </c>
      <c r="BZ670" s="11" t="n">
        <f>IF(ISNUMBER(BO670),BO670,"")</f>
        <v>0.906602681585801</v>
      </c>
      <c r="CA670" s="14" t="n">
        <f>IF(ISNUMBER(BS670),BS670,"")</f>
        <v>30</v>
      </c>
      <c r="CB670" s="13" t="n">
        <f>IF(AND(COUNT(BV670,BZ670,CA670)=3,MIN(BV670,BZ670,CA670)&gt;=0),BV670*BZ670*CA670,"")</f>
        <v>2.134995203973191</v>
      </c>
      <c r="CC670" s="11" t="n">
        <f>IF(ISNUMBER(BP670),BP670,"")</f>
        <v>0.6189770892129804</v>
      </c>
      <c r="CD670" s="14" t="n">
        <f>IF(ISNUMBER(BT670),BT670,"")</f>
        <v>31</v>
      </c>
      <c r="CE670" s="13" t="n">
        <f>IF(AND(COUNT(BV670,CC670,CD670)=3,MIN(BV670,CC670,CD670)&gt;=0),BV670*CC670*CD670,"")</f>
        <v>1.5062425710878826</v>
      </c>
      <c r="CF670" s="11" t="n">
        <f>IF(ISNUMBER(BQ670),BQ670,"")</f>
        <v>1.1595882717182624</v>
      </c>
      <c r="CG670" s="14" t="n">
        <f>IF(ISNUMBER(BU670),BU670,"")</f>
        <v>17</v>
      </c>
      <c r="CH670" s="13" t="n">
        <f>IF(AND(COUNT(BV670,CF670,CG670)=3,MIN(BV670,CF670,CG670)&gt;=0),BV670*CF670*CG670,"")</f>
        <v>1.547431329172677</v>
      </c>
      <c r="CI670" s="13" t="n">
        <f>IF(COUNT(BY670,CB670,CE670,CH670)=4,SUM(BY670,CB670,CE670,CH670),"")</f>
        <v>6.5789234193296044</v>
      </c>
    </row>
    <row r="671" ht="72" customHeight="1">
      <c r="A671" s="16" t="str">
        <v>2311062-RD-V-O-8</v>
      </c>
      <c r="B671" s="16" t="str">
        <v>4店-彬郁-US</v>
      </c>
      <c r="C671" s="16" t="str">
        <v>陈晨</v>
      </c>
      <c r="D671" s="26" t="n">
        <f>IF(NOT(ISNUMBER(E671)),"",IF(OR(E671&lt;=0,L671=0),0,IF(OR(NOT(ISNUMBER(F671)),F671&lt;0),"",MIN(E671,INT(F671)))))</f>
        <v>0</v>
      </c>
      <c r="E671" s="27" t="n">
        <f>IF(OR(NOT(ISNUMBER(L671)),COUNT(M671:O671)&lt;&gt;3,MIN(M671:O671)&lt;0),"",ROUNDUP(ROUND(BI671-SUM(M671:O671),10),0))</f>
        <v>-24</v>
      </c>
      <c r="F671" s="28" t="n">
        <v>0</v>
      </c>
      <c r="G671" s="28" t="n">
        <f>IF(AND(ISNUMBER(D671),ISNUMBER(E671)),IF(OR(E671&lt;=0,L671=0),0,E671-D671),"")</f>
        <v>0</v>
      </c>
      <c r="H671" s="16" t="str">
        <f>IF(NOT(ISNUMBER(E671)),"销量或海外库存待补",IF(OR(E671&lt;=0,L671=0),IF(L671=0,"零日销，本批不发","本批无需补货"),IF(NOT(ISNUMBER(D671)),"国内库存待补",IF(D671=0,"国内无可用库存",IF(G671&gt;0,"先发国内现货","按建议量发货")))))</f>
        <v>本批无需补货</v>
      </c>
      <c r="I671" s="28" t="n">
        <f>IF(AND(COUNT(Z671,AA671,AB671)=3,Z671&gt;=AA671,AA671&gt;=0,AB671=7),Z671-AA671,"")</f>
        <v>0</v>
      </c>
      <c r="J671" s="28" t="n">
        <f>IF(AND(COUNT(AF671,AG671,AH671)=3,AF671&gt;=AG671,AG671&gt;=0,AH671=14),AF671-AG671,"")</f>
        <v>1</v>
      </c>
      <c r="K671" s="28" t="n">
        <f>IF(AND(COUNT(AL671,AM671,AN671)=3,AL671&gt;=AM671,AM671&gt;=0,AN671=30),AL671-AM671,"")</f>
        <v>5</v>
      </c>
      <c r="L671" s="29" t="n">
        <f>IF(ISNUMBER(BI671),BI671/90,"")</f>
        <v>0.08858869348108529</v>
      </c>
      <c r="M671" s="28" t="n">
        <v>27</v>
      </c>
      <c r="N671" s="28" t="n">
        <v>0</v>
      </c>
      <c r="O671" s="28" t="n">
        <v>4</v>
      </c>
      <c r="P671" s="30" t="n">
        <f>IF(AND(ISNUMBER(L671),L671&gt;0,COUNT(M671:O671)=3,MIN(M671:O671)&gt;=0),SUM(M671:O671)/L671,"")</f>
        <v>349.93178905634113</v>
      </c>
      <c r="Q671" s="16" t="str">
        <v>沿用原计划SKU店铺</v>
      </c>
      <c r="R671" s="16" t="str">
        <v>已匹配</v>
      </c>
      <c r="S671" s="16" t="str">
        <v>在售</v>
      </c>
      <c r="T671" s="16" t="str">
        <v>2311062</v>
      </c>
      <c r="U671" s="16" t="str">
        <v>酒红锦纶</v>
      </c>
      <c r="V671" s="16" t="n">
        <v>8</v>
      </c>
      <c r="W671" s="8" t="str">
        <v>2026-10-11 至 2026-10-17</v>
      </c>
      <c r="X671" s="8" t="str">
        <v>2026-10-11、2026-10-12、2026-10-13、2026-10-14、2026-10-15、2026-10-16、2026-10-17</v>
      </c>
      <c r="Y671" s="8" t="str">
        <v>无</v>
      </c>
      <c r="Z671" s="8" t="n">
        <v>0</v>
      </c>
      <c r="AA671" s="8" t="n">
        <v>0</v>
      </c>
      <c r="AB671" s="8" t="n">
        <v>7</v>
      </c>
      <c r="AC671" s="8" t="str">
        <v>2026-10-02 至 2026-10-17</v>
      </c>
      <c r="AD671" s="8" t="str">
        <v>2026-10-02、2026-10-03、2026-10-04、2026-10-05、2026-10-08、2026-10-09、2026-10-10、2026-10-11、2026-10-12、2026-10-13、2026-10-14、2026-10-15、2026-10-16、2026-10-17</v>
      </c>
      <c r="AE671" s="8" t="str">
        <v>2026-10-06 大促；2026-10-07 大促</v>
      </c>
      <c r="AF671" s="8" t="n">
        <v>2</v>
      </c>
      <c r="AG671" s="8" t="n">
        <v>1</v>
      </c>
      <c r="AH671" s="8" t="n">
        <v>14</v>
      </c>
      <c r="AI671" s="8" t="str">
        <v>2026-09-16 至 2026-10-17</v>
      </c>
      <c r="AJ6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1" s="8" t="str">
        <v>2026-10-06 大促；2026-10-07 大促</v>
      </c>
      <c r="AL671" s="8" t="n">
        <v>6</v>
      </c>
      <c r="AM671" s="8" t="n">
        <v>1</v>
      </c>
      <c r="AN671" s="8" t="n">
        <v>30</v>
      </c>
      <c r="AO671" s="8" t="str">
        <v>2311062 / 酒红锦纶 / 13306</v>
      </c>
      <c r="AP671" s="11" t="n">
        <v>1.4758912429949873</v>
      </c>
      <c r="AQ671" s="11" t="n">
        <v>1.4758912429949873</v>
      </c>
      <c r="AR671" s="11" t="n">
        <v>1.4124697525543728</v>
      </c>
      <c r="AS671" s="11" t="n">
        <f>IF(AND(COUNT(I671:K671,AP671:AR671)=6,MIN(AP671:AR671)&gt;0),I671/7/AP671*0.5+J671/14/AQ671*0.3+K671/30/AR671*0.2,"")</f>
        <v>0.038118397558298905</v>
      </c>
      <c r="AT671" s="8" t="n">
        <v>8</v>
      </c>
      <c r="AU671" s="8" t="n">
        <v>1</v>
      </c>
      <c r="AV671" s="8" t="n">
        <v>88</v>
      </c>
      <c r="AW671" s="11" t="n">
        <f>IF(AND(COUNT(AT671:AV671)=3,AT671&gt;=AU671,AU671&gt;=0,AV671&gt;0),(AT671-AU671)/AV671,"")</f>
        <v>0.07954545454545454</v>
      </c>
      <c r="AX671" s="8" t="n">
        <v>14</v>
      </c>
      <c r="AY671" s="8" t="n">
        <v>1</v>
      </c>
      <c r="AZ671" s="8" t="n">
        <v>178</v>
      </c>
      <c r="BA671" s="11" t="n">
        <f>IF(AND(COUNT(AX671:AZ671)=3,AX671&gt;=AY671,AY671&gt;=0,AZ671&gt;0),(AX671-AY671)/AZ671,"")</f>
        <v>0.07303370786516854</v>
      </c>
      <c r="BB671" s="8" t="n">
        <f>IF(COUNT(AS671,AW671,BA671)=3,1,0)</f>
        <v>1</v>
      </c>
      <c r="BC671" s="11" t="n">
        <f>IF(SUMIF($AO$11:$AO$1309,AO671,$BB$11:$BB$1309)=COUNTIF($AO$11:$AO$1309,AO671),SUMIF($AO$11:$AO$1309,AO671,$AS$11:$AS$1309),"")</f>
        <v>0.5680878634444062</v>
      </c>
      <c r="BD671" s="11" t="n">
        <f>IF(SUMIF($AO$11:$AO$1309,AO671,$BB$11:$BB$1309)=COUNTIF($AO$11:$AO$1309,AO671),SUMIF($AO$11:$AO$1309,AO671,$AW$11:$AW$1309),"")</f>
        <v>0.5227272727272727</v>
      </c>
      <c r="BE671" s="11" t="n">
        <f>IF(SUMIF($AO$11:$AO$1309,AO671,$BB$11:$BB$1309)=COUNTIF($AO$11:$AO$1309,AO671),SUMIF($AO$11:$AO$1309,AO671,$BA$11:$BA$1309),"")</f>
        <v>0.3595505617977528</v>
      </c>
      <c r="BF671" s="12" t="n">
        <f>IF(COUNT(BD671:BE671)&lt;&gt;2,"",IF(AND(BD671&gt;0,BE671&gt;0),0.7*AW671/BD671+0.3*BA671/BE671,IF(BD671&gt;0,AW671/BD671,IF(BE671&gt;0,BA671/BE671,IF(AND(ISNUMBER(BH671),BH671=0),0,"")))))</f>
        <v>0.16745923913043478</v>
      </c>
      <c r="BG671" s="11" t="n">
        <f>IF(AND(COUNT(BN671:BU671)=8,MIN(BN671:BU671)&gt;=0),SUMPRODUCT(BN671:BQ671,BR671:BU671),"")</f>
        <v>83.81006574832674</v>
      </c>
      <c r="BH671" s="11" t="n">
        <f>IF(COUNT(BC671,BG671)=2,BC671*BG671,"")</f>
        <v>47.61148118610215</v>
      </c>
      <c r="BI671" s="11" t="n">
        <f>IF(ISNUMBER(CI671),CI671,"")</f>
        <v>7.972982413297676</v>
      </c>
      <c r="BJ671" s="8" t="str">
        <v>低销提醒依据不完整</v>
      </c>
      <c r="BK671" s="8" t="str">
        <v>90天：2026-07-20 至 2026-10-17；180天：2026-04-21 至 2026-10-17</v>
      </c>
      <c r="BL671" s="8" t="str">
        <v>90天：2026-10-06、2026-10-07；180天：2026-10-06、2026-10-07</v>
      </c>
      <c r="BM671" s="8" t="str">
        <v>2026-10：12天 × 1.4758912429949873；2026-11：30天 × 0.906602681585801；2026-12：31天 × 0.6189770892129804；2027-01：17天 × 1.1595882717182624</v>
      </c>
      <c r="BN671" s="11" t="n">
        <v>1.4758912429949873</v>
      </c>
      <c r="BO671" s="11" t="n">
        <v>0.906602681585801</v>
      </c>
      <c r="BP671" s="11" t="n">
        <v>0.6189770892129804</v>
      </c>
      <c r="BQ671" s="11" t="n">
        <v>1.1595882717182624</v>
      </c>
      <c r="BR671" s="8" t="n">
        <v>12</v>
      </c>
      <c r="BS671" s="8" t="n">
        <v>30</v>
      </c>
      <c r="BT671" s="8" t="n">
        <v>31</v>
      </c>
      <c r="BU671" s="8" t="n">
        <v>17</v>
      </c>
      <c r="BV671" s="11" t="n">
        <f>IF(COUNT(BC671,BF671)=2,BC671*BF671,"")</f>
        <v>0.0951315613716346</v>
      </c>
      <c r="BW671" s="11" t="n">
        <f>IF(ISNUMBER(BN671),BN671,"")</f>
        <v>1.4758912429949873</v>
      </c>
      <c r="BX671" s="14" t="n">
        <f>IF(ISNUMBER(BR671),BR671,"")</f>
        <v>12</v>
      </c>
      <c r="BY671" s="13" t="n">
        <f>IF(AND(COUNT(BV671,BW671,BX671)=3,MIN(BV671,BW671,BX671)&gt;=0),BV671*BW671*BX671,"")</f>
        <v>1.6848460603300288</v>
      </c>
      <c r="BZ671" s="11" t="n">
        <f>IF(ISNUMBER(BO671),BO671,"")</f>
        <v>0.906602681585801</v>
      </c>
      <c r="CA671" s="14" t="n">
        <f>IF(ISNUMBER(BS671),BS671,"")</f>
        <v>30</v>
      </c>
      <c r="CB671" s="13" t="n">
        <f>IF(AND(COUNT(BV671,BZ671,CA671)=3,MIN(BV671,BZ671,CA671)&gt;=0),BV671*BZ671*CA671,"")</f>
        <v>2.5873958592890443</v>
      </c>
      <c r="CC671" s="11" t="n">
        <f>IF(ISNUMBER(BP671),BP671,"")</f>
        <v>0.6189770892129804</v>
      </c>
      <c r="CD671" s="14" t="n">
        <f>IF(ISNUMBER(BT671),BT671,"")</f>
        <v>31</v>
      </c>
      <c r="CE671" s="13" t="n">
        <f>IF(AND(COUNT(BV671,CC671,CD671)=3,MIN(BV671,CC671,CD671)&gt;=0),BV671*CC671*CD671,"")</f>
        <v>1.8254119654531122</v>
      </c>
      <c r="CF671" s="11" t="n">
        <f>IF(ISNUMBER(BQ671),BQ671,"")</f>
        <v>1.1595882717182624</v>
      </c>
      <c r="CG671" s="14" t="n">
        <f>IF(ISNUMBER(BU671),BU671,"")</f>
        <v>17</v>
      </c>
      <c r="CH671" s="13" t="n">
        <f>IF(AND(COUNT(BV671,CF671,CG671)=3,MIN(BV671,CF671,CG671)&gt;=0),BV671*CF671*CG671,"")</f>
        <v>1.8753285282254908</v>
      </c>
      <c r="CI671" s="13" t="n">
        <f>IF(COUNT(BY671,CB671,CE671,CH671)=4,SUM(BY671,CB671,CE671,CH671),"")</f>
        <v>7.972982413297676</v>
      </c>
    </row>
    <row r="672" ht="72" customHeight="1">
      <c r="A672" s="16" t="str">
        <v>2311062-RD-V-O-9</v>
      </c>
      <c r="B672" s="16" t="str">
        <v>4店-彬郁-US</v>
      </c>
      <c r="C672" s="16" t="str">
        <v>陈晨</v>
      </c>
      <c r="D672" s="26" t="n">
        <f>IF(NOT(ISNUMBER(E672)),"",IF(OR(E672&lt;=0,L672=0),0,IF(OR(NOT(ISNUMBER(F672)),F672&lt;0),"",MIN(E672,INT(F672)))))</f>
        <v>0</v>
      </c>
      <c r="E672" s="27" t="n">
        <f>IF(OR(NOT(ISNUMBER(L672)),COUNT(M672:O672)&lt;&gt;3,MIN(M672:O672)&lt;0),"",ROUNDUP(ROUND(BI672-SUM(M672:O672),10),0))</f>
        <v>-34</v>
      </c>
      <c r="F672" s="28" t="n">
        <v>0</v>
      </c>
      <c r="G672" s="28" t="n">
        <f>IF(AND(ISNUMBER(D672),ISNUMBER(E672)),IF(OR(E672&lt;=0,L672=0),0,E672-D672),"")</f>
        <v>0</v>
      </c>
      <c r="H672" s="16" t="str">
        <f>IF(NOT(ISNUMBER(E672)),"销量或海外库存待补",IF(OR(E672&lt;=0,L672=0),IF(L672=0,"零日销，本批不发","本批无需补货"),IF(NOT(ISNUMBER(D672)),"国内库存待补",IF(D672=0,"国内无可用库存",IF(G672&gt;0,"先发国内现货","按建议量发货")))))</f>
        <v>本批无需补货</v>
      </c>
      <c r="I672" s="28" t="n">
        <f>IF(AND(COUNT(Z672,AA672,AB672)=3,Z672&gt;=AA672,AA672&gt;=0,AB672=7),Z672-AA672,"")</f>
        <v>3</v>
      </c>
      <c r="J672" s="28" t="n">
        <f>IF(AND(COUNT(AF672,AG672,AH672)=3,AF672&gt;=AG672,AG672&gt;=0,AH672=14),AF672-AG672,"")</f>
        <v>3</v>
      </c>
      <c r="K672" s="28" t="n">
        <f>IF(AND(COUNT(AL672,AM672,AN672)=3,AL672&gt;=AM672,AM672&gt;=0,AN672=30),AL672-AM672,"")</f>
        <v>5</v>
      </c>
      <c r="L672" s="29" t="n">
        <f>IF(ISNUMBER(BI672),BI672/90,"")</f>
        <v>0.128228989184792</v>
      </c>
      <c r="M672" s="28" t="n">
        <v>45</v>
      </c>
      <c r="N672" s="28" t="n">
        <v>0</v>
      </c>
      <c r="O672" s="28" t="n">
        <v>0</v>
      </c>
      <c r="P672" s="30" t="n">
        <f>IF(AND(ISNUMBER(L672),L672&gt;0,COUNT(M672:O672)=3,MIN(M672:O672)&gt;=0),SUM(M672:O672)/L672,"")</f>
        <v>350.93468556591426</v>
      </c>
      <c r="Q672" s="16" t="str">
        <v>沿用原计划SKU店铺</v>
      </c>
      <c r="R672" s="16" t="str">
        <v>已匹配</v>
      </c>
      <c r="S672" s="16" t="str">
        <v>在售</v>
      </c>
      <c r="T672" s="16" t="str">
        <v>2311062</v>
      </c>
      <c r="U672" s="16" t="str">
        <v>酒红锦纶</v>
      </c>
      <c r="V672" s="16" t="n">
        <v>9</v>
      </c>
      <c r="W672" s="8" t="str">
        <v>2026-10-11 至 2026-10-17</v>
      </c>
      <c r="X672" s="8" t="str">
        <v>2026-10-11、2026-10-12、2026-10-13、2026-10-14、2026-10-15、2026-10-16、2026-10-17</v>
      </c>
      <c r="Y672" s="8" t="str">
        <v>无</v>
      </c>
      <c r="Z672" s="8" t="n">
        <v>3</v>
      </c>
      <c r="AA672" s="8" t="n">
        <v>0</v>
      </c>
      <c r="AB672" s="8" t="n">
        <v>7</v>
      </c>
      <c r="AC672" s="8" t="str">
        <v>2026-10-02 至 2026-10-17</v>
      </c>
      <c r="AD672" s="8" t="str">
        <v>2026-10-02、2026-10-03、2026-10-04、2026-10-05、2026-10-08、2026-10-09、2026-10-10、2026-10-11、2026-10-12、2026-10-13、2026-10-14、2026-10-15、2026-10-16、2026-10-17</v>
      </c>
      <c r="AE672" s="8" t="str">
        <v>2026-10-06 大促；2026-10-07 大促</v>
      </c>
      <c r="AF672" s="8" t="n">
        <v>3</v>
      </c>
      <c r="AG672" s="8" t="n">
        <v>0</v>
      </c>
      <c r="AH672" s="8" t="n">
        <v>14</v>
      </c>
      <c r="AI672" s="8" t="str">
        <v>2026-09-16 至 2026-10-17</v>
      </c>
      <c r="AJ6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2" s="8" t="str">
        <v>2026-10-06 大促；2026-10-07 大促</v>
      </c>
      <c r="AL672" s="8" t="n">
        <v>5</v>
      </c>
      <c r="AM672" s="8" t="n">
        <v>0</v>
      </c>
      <c r="AN672" s="8" t="n">
        <v>30</v>
      </c>
      <c r="AO672" s="8" t="str">
        <v>2311062 / 酒红锦纶 / 13306</v>
      </c>
      <c r="AP672" s="11" t="n">
        <v>1.4758912429949873</v>
      </c>
      <c r="AQ672" s="11" t="n">
        <v>1.4758912429949873</v>
      </c>
      <c r="AR672" s="11" t="n">
        <v>1.4124697525543728</v>
      </c>
      <c r="AS672" s="11" t="n">
        <f>IF(AND(COUNT(I672:K672,AP672:AR672)=6,MIN(AP672:AR672)&gt;0),I672/7/AP672*0.5+J672/14/AQ672*0.3+K672/30/AR672*0.2,"")</f>
        <v>0.21234726324425818</v>
      </c>
      <c r="AT672" s="8" t="n">
        <v>11</v>
      </c>
      <c r="AU672" s="8" t="n">
        <v>0</v>
      </c>
      <c r="AV672" s="8" t="n">
        <v>88</v>
      </c>
      <c r="AW672" s="11" t="n">
        <f>IF(AND(COUNT(AT672:AV672)=3,AT672&gt;=AU672,AU672&gt;=0,AV672&gt;0),(AT672-AU672)/AV672,"")</f>
        <v>0.125</v>
      </c>
      <c r="AX672" s="8" t="n">
        <v>16</v>
      </c>
      <c r="AY672" s="8" t="n">
        <v>0</v>
      </c>
      <c r="AZ672" s="8" t="n">
        <v>178</v>
      </c>
      <c r="BA672" s="11" t="n">
        <f>IF(AND(COUNT(AX672:AZ672)=3,AX672&gt;=AY672,AY672&gt;=0,AZ672&gt;0),(AX672-AY672)/AZ672,"")</f>
        <v>0.0898876404494382</v>
      </c>
      <c r="BB672" s="8" t="n">
        <f>IF(COUNT(AS672,AW672,BA672)=3,1,0)</f>
        <v>1</v>
      </c>
      <c r="BC672" s="11" t="n">
        <f>IF(SUMIF($AO$11:$AO$1309,AO672,$BB$11:$BB$1309)=COUNTIF($AO$11:$AO$1309,AO672),SUMIF($AO$11:$AO$1309,AO672,$AS$11:$AS$1309),"")</f>
        <v>0.5680878634444062</v>
      </c>
      <c r="BD672" s="11" t="n">
        <f>IF(SUMIF($AO$11:$AO$1309,AO672,$BB$11:$BB$1309)=COUNTIF($AO$11:$AO$1309,AO672),SUMIF($AO$11:$AO$1309,AO672,$AW$11:$AW$1309),"")</f>
        <v>0.5227272727272727</v>
      </c>
      <c r="BE672" s="11" t="n">
        <f>IF(SUMIF($AO$11:$AO$1309,AO672,$BB$11:$BB$1309)=COUNTIF($AO$11:$AO$1309,AO672),SUMIF($AO$11:$AO$1309,AO672,$BA$11:$BA$1309),"")</f>
        <v>0.3595505617977528</v>
      </c>
      <c r="BF672" s="12" t="n">
        <f>IF(COUNT(BD672:BE672)&lt;&gt;2,"",IF(AND(BD672&gt;0,BE672&gt;0),0.7*AW672/BD672+0.3*BA672/BE672,IF(BD672&gt;0,AW672/BD672,IF(BE672&gt;0,BA672/BE672,IF(AND(ISNUMBER(BH672),BH672=0),0,"")))))</f>
        <v>0.24239130434782608</v>
      </c>
      <c r="BG672" s="11" t="n">
        <f>IF(AND(COUNT(BN672:BU672)=8,MIN(BN672:BU672)&gt;=0),SUMPRODUCT(BN672:BQ672,BR672:BU672),"")</f>
        <v>83.81006574832674</v>
      </c>
      <c r="BH672" s="11" t="n">
        <f>IF(COUNT(BC672,BG672)=2,BC672*BG672,"")</f>
        <v>47.61148118610215</v>
      </c>
      <c r="BI672" s="11" t="n">
        <f>IF(ISNUMBER(CI672),CI672,"")</f>
        <v>11.54060902663128</v>
      </c>
      <c r="BJ672" s="8" t="str">
        <v>低销提醒依据不完整</v>
      </c>
      <c r="BK672" s="8" t="str">
        <v>90天：2026-07-20 至 2026-10-17；180天：2026-04-21 至 2026-10-17</v>
      </c>
      <c r="BL672" s="8" t="str">
        <v>90天：2026-10-06、2026-10-07；180天：2026-10-06、2026-10-07</v>
      </c>
      <c r="BM672" s="8" t="str">
        <v>2026-10：12天 × 1.4758912429949873；2026-11：30天 × 0.906602681585801；2026-12：31天 × 0.6189770892129804；2027-01：17天 × 1.1595882717182624</v>
      </c>
      <c r="BN672" s="11" t="n">
        <v>1.4758912429949873</v>
      </c>
      <c r="BO672" s="11" t="n">
        <v>0.906602681585801</v>
      </c>
      <c r="BP672" s="11" t="n">
        <v>0.6189770892129804</v>
      </c>
      <c r="BQ672" s="11" t="n">
        <v>1.1595882717182624</v>
      </c>
      <c r="BR672" s="8" t="n">
        <v>12</v>
      </c>
      <c r="BS672" s="8" t="n">
        <v>30</v>
      </c>
      <c r="BT672" s="8" t="n">
        <v>31</v>
      </c>
      <c r="BU672" s="8" t="n">
        <v>17</v>
      </c>
      <c r="BV672" s="11" t="n">
        <f>IF(COUNT(BC672,BF672)=2,BC672*BF672,"")</f>
        <v>0.1376995582044593</v>
      </c>
      <c r="BW672" s="11" t="n">
        <f>IF(ISNUMBER(BN672),BN672,"")</f>
        <v>1.4758912429949873</v>
      </c>
      <c r="BX672" s="14" t="n">
        <f>IF(ISNUMBER(BR672),BR672,"")</f>
        <v>12</v>
      </c>
      <c r="BY672" s="13" t="n">
        <f>IF(AND(COUNT(BV672,BW672,BX672)=3,MIN(BV672,BW672,BX672)&gt;=0),BV672*BW672*BX672,"")</f>
        <v>2.438754865418881</v>
      </c>
      <c r="BZ672" s="11" t="n">
        <f>IF(ISNUMBER(BO672),BO672,"")</f>
        <v>0.906602681585801</v>
      </c>
      <c r="CA672" s="14" t="n">
        <f>IF(ISNUMBER(BS672),BS672,"")</f>
        <v>30</v>
      </c>
      <c r="CB672" s="13" t="n">
        <f>IF(AND(COUNT(BV672,BZ672,CA672)=3,MIN(BV672,BZ672,CA672)&gt;=0),BV672*BZ672*CA672,"")</f>
        <v>3.7451636616402872</v>
      </c>
      <c r="CC672" s="11" t="n">
        <f>IF(ISNUMBER(BP672),BP672,"")</f>
        <v>0.6189770892129804</v>
      </c>
      <c r="CD672" s="14" t="n">
        <f>IF(ISNUMBER(BT672),BT672,"")</f>
        <v>31</v>
      </c>
      <c r="CE672" s="13" t="n">
        <f>IF(AND(COUNT(BV672,CC672,CD672)=3,MIN(BV672,CC672,CD672)&gt;=0),BV672*CC672*CD672,"")</f>
        <v>2.642219023422598</v>
      </c>
      <c r="CF672" s="11" t="n">
        <f>IF(ISNUMBER(BQ672),BQ672,"")</f>
        <v>1.1595882717182624</v>
      </c>
      <c r="CG672" s="14" t="n">
        <f>IF(ISNUMBER(BU672),BU672,"")</f>
        <v>17</v>
      </c>
      <c r="CH672" s="13" t="n">
        <f>IF(AND(COUNT(BV672,CF672,CG672)=3,MIN(BV672,CF672,CG672)&gt;=0),BV672*CF672*CG672,"")</f>
        <v>2.7144714761495132</v>
      </c>
      <c r="CI672" s="13" t="n">
        <f>IF(COUNT(BY672,CB672,CE672,CH672)=4,SUM(BY672,CB672,CE672,CH672),"")</f>
        <v>11.54060902663128</v>
      </c>
    </row>
    <row r="673" ht="72" customHeight="1">
      <c r="A673" s="16" t="str">
        <v>2311062-SL-P-O-10</v>
      </c>
      <c r="B673" s="16" t="str">
        <v>4店-彬郁-US</v>
      </c>
      <c r="C673" s="16" t="str">
        <v>陈晨</v>
      </c>
      <c r="D673" s="26" t="n">
        <f>IF(NOT(ISNUMBER(E673)),"",IF(OR(E673&lt;=0,L673=0),0,IF(OR(NOT(ISNUMBER(F673)),F673&lt;0),"",MIN(E673,INT(F673)))))</f>
        <v>0</v>
      </c>
      <c r="E673" s="27" t="n">
        <f>IF(OR(NOT(ISNUMBER(L673)),COUNT(M673:O673)&lt;&gt;3,MIN(M673:O673)&lt;0),"",ROUNDUP(ROUND(BI673-SUM(M673:O673),10),0))</f>
        <v>-12</v>
      </c>
      <c r="F673" s="28" t="n">
        <v>0</v>
      </c>
      <c r="G673" s="28" t="n">
        <f>IF(AND(ISNUMBER(D673),ISNUMBER(E673)),IF(OR(E673&lt;=0,L673=0),0,E673-D673),"")</f>
        <v>0</v>
      </c>
      <c r="H673" s="16" t="str">
        <f>IF(NOT(ISNUMBER(E673)),"销量或海外库存待补",IF(OR(E673&lt;=0,L673=0),IF(L673=0,"零日销，本批不发","本批无需补货"),IF(NOT(ISNUMBER(D673)),"国内库存待补",IF(D673=0,"国内无可用库存",IF(G673&gt;0,"先发国内现货","按建议量发货")))))</f>
        <v>本批无需补货</v>
      </c>
      <c r="I673" s="28" t="n">
        <f>IF(AND(COUNT(Z673,AA673,AB673)=3,Z673&gt;=AA673,AA673&gt;=0,AB673=7),Z673-AA673,"")</f>
        <v>0</v>
      </c>
      <c r="J673" s="28" t="n">
        <f>IF(AND(COUNT(AF673,AG673,AH673)=3,AF673&gt;=AG673,AG673&gt;=0,AH673=14),AF673-AG673,"")</f>
        <v>1</v>
      </c>
      <c r="K673" s="28" t="n">
        <f>IF(AND(COUNT(AL673,AM673,AN673)=3,AL673&gt;=AM673,AM673&gt;=0,AN673=30),AL673-AM673,"")</f>
        <v>5</v>
      </c>
      <c r="L673" s="29" t="n">
        <f>IF(ISNUMBER(BI673),BI673/90,"")</f>
        <v>0.07112067821100061</v>
      </c>
      <c r="M673" s="28" t="n">
        <v>18</v>
      </c>
      <c r="N673" s="28" t="n">
        <v>0</v>
      </c>
      <c r="O673" s="28" t="n">
        <v>0</v>
      </c>
      <c r="P673" s="30" t="n">
        <f>IF(AND(ISNUMBER(L673),L673&gt;0,COUNT(M673:O673)=3,MIN(M673:O673)&gt;=0),SUM(M673:O673)/L673,"")</f>
        <v>253.09094981627783</v>
      </c>
      <c r="Q673" s="16" t="str">
        <v>沿用原计划SKU店铺</v>
      </c>
      <c r="R673" s="16" t="str">
        <v>已匹配</v>
      </c>
      <c r="S673" s="16" t="str">
        <v>在售</v>
      </c>
      <c r="T673" s="16" t="str">
        <v>2311062</v>
      </c>
      <c r="U673" s="16" t="str">
        <v>银色 PU</v>
      </c>
      <c r="V673" s="16" t="n">
        <v>10</v>
      </c>
      <c r="W673" s="8" t="str">
        <v>2026-10-11 至 2026-10-17</v>
      </c>
      <c r="X673" s="8" t="str">
        <v>2026-10-11、2026-10-12、2026-10-13、2026-10-14、2026-10-15、2026-10-16、2026-10-17</v>
      </c>
      <c r="Y673" s="8" t="str">
        <v>无</v>
      </c>
      <c r="Z673" s="8" t="n">
        <v>0</v>
      </c>
      <c r="AA673" s="8" t="n">
        <v>0</v>
      </c>
      <c r="AB673" s="8" t="n">
        <v>7</v>
      </c>
      <c r="AC673" s="8" t="str">
        <v>2026-10-02 至 2026-10-17</v>
      </c>
      <c r="AD673" s="8" t="str">
        <v>2026-10-02、2026-10-03、2026-10-04、2026-10-05、2026-10-08、2026-10-09、2026-10-10、2026-10-11、2026-10-12、2026-10-13、2026-10-14、2026-10-15、2026-10-16、2026-10-17</v>
      </c>
      <c r="AE673" s="8" t="str">
        <v>2026-10-06 大促；2026-10-07 大促</v>
      </c>
      <c r="AF673" s="8" t="n">
        <v>1</v>
      </c>
      <c r="AG673" s="8" t="n">
        <v>0</v>
      </c>
      <c r="AH673" s="8" t="n">
        <v>14</v>
      </c>
      <c r="AI673" s="8" t="str">
        <v>2026-09-16 至 2026-10-17</v>
      </c>
      <c r="AJ6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3" s="8" t="str">
        <v>2026-10-06 大促；2026-10-07 大促</v>
      </c>
      <c r="AL673" s="8" t="n">
        <v>5</v>
      </c>
      <c r="AM673" s="8" t="n">
        <v>0</v>
      </c>
      <c r="AN673" s="8" t="n">
        <v>30</v>
      </c>
      <c r="AO673" s="8" t="str">
        <v>2311062 / 银色PU / 13306</v>
      </c>
      <c r="AP673" s="11" t="n">
        <v>1.4758912429949873</v>
      </c>
      <c r="AQ673" s="11" t="n">
        <v>1.4758912429949873</v>
      </c>
      <c r="AR673" s="11" t="n">
        <v>1.4124697525543728</v>
      </c>
      <c r="AS673" s="11" t="n">
        <f>IF(AND(COUNT(I673:K673,AP673:AR673)=6,MIN(AP673:AR673)&gt;0),I673/7/AP673*0.5+J673/14/AQ673*0.3+K673/30/AR673*0.2,"")</f>
        <v>0.038118397558298905</v>
      </c>
      <c r="AT673" s="8" t="n">
        <v>15</v>
      </c>
      <c r="AU673" s="8" t="n">
        <v>0</v>
      </c>
      <c r="AV673" s="8" t="n">
        <v>88</v>
      </c>
      <c r="AW673" s="11" t="n">
        <f>IF(AND(COUNT(AT673:AV673)=3,AT673&gt;=AU673,AU673&gt;=0,AV673&gt;0),(AT673-AU673)/AV673,"")</f>
        <v>0.17045454545454544</v>
      </c>
      <c r="AX673" s="8" t="n">
        <v>20</v>
      </c>
      <c r="AY673" s="8" t="n">
        <v>0</v>
      </c>
      <c r="AZ673" s="8" t="n">
        <v>178</v>
      </c>
      <c r="BA673" s="11" t="n">
        <f>IF(AND(COUNT(AX673:AZ673)=3,AX673&gt;=AY673,AY673&gt;=0,AZ673&gt;0),(AX673-AY673)/AZ673,"")</f>
        <v>0.11235955056179775</v>
      </c>
      <c r="BB673" s="8" t="n">
        <f>IF(COUNT(AS673,AW673,BA673)=3,1,0)</f>
        <v>1</v>
      </c>
      <c r="BC673" s="11" t="n">
        <f>IF(SUMIF($AO$11:$AO$1309,AO673,$BB$11:$BB$1309)=COUNTIF($AO$11:$AO$1309,AO673),SUMIF($AO$11:$AO$1309,AO673,$AS$11:$AS$1309),"")</f>
        <v>0.7889162518162782</v>
      </c>
      <c r="BD673" s="11" t="n">
        <f>IF(SUMIF($AO$11:$AO$1309,AO673,$BB$11:$BB$1309)=COUNTIF($AO$11:$AO$1309,AO673),SUMIF($AO$11:$AO$1309,AO673,$AW$11:$AW$1309),"")</f>
        <v>1.6818181818181817</v>
      </c>
      <c r="BE673" s="11" t="n">
        <f>IF(SUMIF($AO$11:$AO$1309,AO673,$BB$11:$BB$1309)=COUNTIF($AO$11:$AO$1309,AO673),SUMIF($AO$11:$AO$1309,AO673,$BA$11:$BA$1309),"")</f>
        <v>1.303370786516854</v>
      </c>
      <c r="BF673" s="12" t="n">
        <f>IF(COUNT(BD673:BE673)&lt;&gt;2,"",IF(AND(BD673&gt;0,BE673&gt;0),0.7*AW673/BD673+0.3*BA673/BE673,IF(BD673&gt;0,AW673/BD673,IF(BE673&gt;0,BA673/BE673,IF(AND(ISNUMBER(BH673),BH673=0),0,"")))))</f>
        <v>0.09680801491146318</v>
      </c>
      <c r="BG673" s="11" t="n">
        <f>IF(AND(COUNT(BN673:BU673)=8,MIN(BN673:BU673)&gt;=0),SUMPRODUCT(BN673:BQ673,BR673:BU673),"")</f>
        <v>83.81006574832674</v>
      </c>
      <c r="BH673" s="11" t="n">
        <f>IF(COUNT(BC673,BG673)=2,BC673*BG673,"")</f>
        <v>66.11912293464577</v>
      </c>
      <c r="BI673" s="11" t="n">
        <f>IF(ISNUMBER(CI673),CI673,"")</f>
        <v>6.400861038990055</v>
      </c>
      <c r="BJ673" s="8" t="str"/>
      <c r="BK673" s="8" t="str">
        <v>90天：2026-07-20 至 2026-10-17；180天：2026-04-21 至 2026-10-17</v>
      </c>
      <c r="BL673" s="8" t="str">
        <v>90天：2026-10-06、2026-10-07；180天：2026-10-06、2026-10-07</v>
      </c>
      <c r="BM673" s="8" t="str">
        <v>2026-10：12天 × 1.4758912429949873；2026-11：30天 × 0.906602681585801；2026-12：31天 × 0.6189770892129804；2027-01：17天 × 1.1595882717182624</v>
      </c>
      <c r="BN673" s="11" t="n">
        <v>1.4758912429949873</v>
      </c>
      <c r="BO673" s="11" t="n">
        <v>0.906602681585801</v>
      </c>
      <c r="BP673" s="11" t="n">
        <v>0.6189770892129804</v>
      </c>
      <c r="BQ673" s="11" t="n">
        <v>1.1595882717182624</v>
      </c>
      <c r="BR673" s="8" t="n">
        <v>12</v>
      </c>
      <c r="BS673" s="8" t="n">
        <v>30</v>
      </c>
      <c r="BT673" s="8" t="n">
        <v>31</v>
      </c>
      <c r="BU673" s="8" t="n">
        <v>17</v>
      </c>
      <c r="BV673" s="11" t="n">
        <f>IF(COUNT(BC673,BF673)=2,BC673*BF673,"")</f>
        <v>0.07637341626972591</v>
      </c>
      <c r="BW673" s="11" t="n">
        <f>IF(ISNUMBER(BN673),BN673,"")</f>
        <v>1.4758912429949873</v>
      </c>
      <c r="BX673" s="14" t="n">
        <f>IF(ISNUMBER(BR673),BR673,"")</f>
        <v>12</v>
      </c>
      <c r="BY673" s="13" t="n">
        <f>IF(AND(COUNT(BV673,BW673,BX673)=3,MIN(BV673,BW673,BX673)&gt;=0),BV673*BW673*BX673,"")</f>
        <v>1.3526262752411922</v>
      </c>
      <c r="BZ673" s="11" t="n">
        <f>IF(ISNUMBER(BO673),BO673,"")</f>
        <v>0.906602681585801</v>
      </c>
      <c r="CA673" s="14" t="n">
        <f>IF(ISNUMBER(BS673),BS673,"")</f>
        <v>30</v>
      </c>
      <c r="CB673" s="13" t="n">
        <f>IF(AND(COUNT(BV673,BZ673,CA673)=3,MIN(BV673,BZ673,CA673)&gt;=0),BV673*BZ673*CA673,"")</f>
        <v>2.0772103197600646</v>
      </c>
      <c r="CC673" s="11" t="n">
        <f>IF(ISNUMBER(BP673),BP673,"")</f>
        <v>0.6189770892129804</v>
      </c>
      <c r="CD673" s="14" t="n">
        <f>IF(ISNUMBER(BT673),BT673,"")</f>
        <v>31</v>
      </c>
      <c r="CE673" s="13" t="n">
        <f>IF(AND(COUNT(BV673,CC673,CD673)=3,MIN(BV673,CC673,CD673)&gt;=0),BV673*CC673*CD673,"")</f>
        <v>1.4654752417724728</v>
      </c>
      <c r="CF673" s="11" t="n">
        <f>IF(ISNUMBER(BQ673),BQ673,"")</f>
        <v>1.1595882717182624</v>
      </c>
      <c r="CG673" s="14" t="n">
        <f>IF(ISNUMBER(BU673),BU673,"")</f>
        <v>17</v>
      </c>
      <c r="CH673" s="13" t="n">
        <f>IF(AND(COUNT(BV673,CF673,CG673)=3,MIN(BV673,CF673,CG673)&gt;=0),BV673*CF673*CG673,"")</f>
        <v>1.505549202216325</v>
      </c>
      <c r="CI673" s="13" t="n">
        <f>IF(COUNT(BY673,CB673,CE673,CH673)=4,SUM(BY673,CB673,CE673,CH673),"")</f>
        <v>6.400861038990055</v>
      </c>
    </row>
    <row r="674" ht="72" customHeight="1">
      <c r="A674" s="16" t="str">
        <v>2311062-SL-P-O-11</v>
      </c>
      <c r="B674" s="16" t="str">
        <v>4店-彬郁-US</v>
      </c>
      <c r="C674" s="16" t="str">
        <v>陈晨</v>
      </c>
      <c r="D674" s="26" t="n">
        <f>IF(NOT(ISNUMBER(E674)),"",IF(OR(E674&lt;=0,L674=0),0,IF(OR(NOT(ISNUMBER(F674)),F674&lt;0),"",MIN(E674,INT(F674)))))</f>
        <v>0</v>
      </c>
      <c r="E674" s="27" t="n">
        <f>IF(OR(NOT(ISNUMBER(L674)),COUNT(M674:O674)&lt;&gt;3,MIN(M674:O674)&lt;0),"",ROUNDUP(ROUND(BI674-SUM(M674:O674),10),0))</f>
        <v>-12</v>
      </c>
      <c r="F674" s="28" t="n">
        <v>0</v>
      </c>
      <c r="G674" s="28" t="n">
        <f>IF(AND(ISNUMBER(D674),ISNUMBER(E674)),IF(OR(E674&lt;=0,L674=0),0,E674-D674),"")</f>
        <v>0</v>
      </c>
      <c r="H674" s="16" t="str">
        <f>IF(NOT(ISNUMBER(E674)),"销量或海外库存待补",IF(OR(E674&lt;=0,L674=0),IF(L674=0,"零日销，本批不发","本批无需补货"),IF(NOT(ISNUMBER(D674)),"国内库存待补",IF(D674=0,"国内无可用库存",IF(G674&gt;0,"先发国内现货","按建议量发货")))))</f>
        <v>本批无需补货</v>
      </c>
      <c r="I674" s="28" t="n">
        <f>IF(AND(COUNT(Z674,AA674,AB674)=3,Z674&gt;=AA674,AA674&gt;=0,AB674=7),Z674-AA674,"")</f>
        <v>0</v>
      </c>
      <c r="J674" s="28" t="n">
        <f>IF(AND(COUNT(AF674,AG674,AH674)=3,AF674&gt;=AG674,AG674&gt;=0,AH674=14),AF674-AG674,"")</f>
        <v>1</v>
      </c>
      <c r="K674" s="28" t="n">
        <f>IF(AND(COUNT(AL674,AM674,AN674)=3,AL674&gt;=AM674,AM674&gt;=0,AN674=30),AL674-AM674,"")</f>
        <v>5</v>
      </c>
      <c r="L674" s="29" t="n">
        <f>IF(ISNUMBER(BI674),BI674/90,"")</f>
        <v>0.022123580406189725</v>
      </c>
      <c r="M674" s="28" t="n">
        <v>13</v>
      </c>
      <c r="N674" s="28" t="n">
        <v>0</v>
      </c>
      <c r="O674" s="28" t="n">
        <v>0</v>
      </c>
      <c r="P674" s="30" t="n">
        <f>IF(AND(ISNUMBER(L674),L674&gt;0,COUNT(M674:O674)=3,MIN(M674:O674)&gt;=0),SUM(M674:O674)/L674,"")</f>
        <v>587.6083238481085</v>
      </c>
      <c r="Q674" s="16" t="str">
        <v>沿用原计划SKU店铺</v>
      </c>
      <c r="R674" s="16" t="str">
        <v>已匹配</v>
      </c>
      <c r="S674" s="16" t="str">
        <v>在售</v>
      </c>
      <c r="T674" s="16" t="str">
        <v>2311062</v>
      </c>
      <c r="U674" s="16" t="str">
        <v>银色 PU</v>
      </c>
      <c r="V674" s="16" t="n">
        <v>11</v>
      </c>
      <c r="W674" s="8" t="str">
        <v>2026-10-11 至 2026-10-17</v>
      </c>
      <c r="X674" s="8" t="str">
        <v>2026-10-11、2026-10-12、2026-10-13、2026-10-14、2026-10-15、2026-10-16、2026-10-17</v>
      </c>
      <c r="Y674" s="8" t="str">
        <v>无</v>
      </c>
      <c r="Z674" s="8" t="n">
        <v>0</v>
      </c>
      <c r="AA674" s="8" t="n">
        <v>0</v>
      </c>
      <c r="AB674" s="8" t="n">
        <v>7</v>
      </c>
      <c r="AC674" s="8" t="str">
        <v>2026-10-02 至 2026-10-17</v>
      </c>
      <c r="AD674" s="8" t="str">
        <v>2026-10-02、2026-10-03、2026-10-04、2026-10-05、2026-10-08、2026-10-09、2026-10-10、2026-10-11、2026-10-12、2026-10-13、2026-10-14、2026-10-15、2026-10-16、2026-10-17</v>
      </c>
      <c r="AE674" s="8" t="str">
        <v>2026-10-06 大促；2026-10-07 大促</v>
      </c>
      <c r="AF674" s="8" t="n">
        <v>1</v>
      </c>
      <c r="AG674" s="8" t="n">
        <v>0</v>
      </c>
      <c r="AH674" s="8" t="n">
        <v>14</v>
      </c>
      <c r="AI674" s="8" t="str">
        <v>2026-09-16 至 2026-10-17</v>
      </c>
      <c r="AJ6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4" s="8" t="str">
        <v>2026-10-06 大促；2026-10-07 大促</v>
      </c>
      <c r="AL674" s="8" t="n">
        <v>5</v>
      </c>
      <c r="AM674" s="8" t="n">
        <v>0</v>
      </c>
      <c r="AN674" s="8" t="n">
        <v>30</v>
      </c>
      <c r="AO674" s="8" t="str">
        <v>2311062 / 银色PU / 13306</v>
      </c>
      <c r="AP674" s="11" t="n">
        <v>1.4758912429949873</v>
      </c>
      <c r="AQ674" s="11" t="n">
        <v>1.4758912429949873</v>
      </c>
      <c r="AR674" s="11" t="n">
        <v>1.4124697525543728</v>
      </c>
      <c r="AS674" s="11" t="n">
        <f>IF(AND(COUNT(I674:K674,AP674:AR674)=6,MIN(AP674:AR674)&gt;0),I674/7/AP674*0.5+J674/14/AQ674*0.3+K674/30/AR674*0.2,"")</f>
        <v>0.038118397558298905</v>
      </c>
      <c r="AT674" s="8" t="n">
        <v>5</v>
      </c>
      <c r="AU674" s="8" t="n">
        <v>0</v>
      </c>
      <c r="AV674" s="8" t="n">
        <v>88</v>
      </c>
      <c r="AW674" s="11" t="n">
        <f>IF(AND(COUNT(AT674:AV674)=3,AT674&gt;=AU674,AU674&gt;=0,AV674&gt;0),(AT674-AU674)/AV674,"")</f>
        <v>0.056818181818181816</v>
      </c>
      <c r="AX674" s="8" t="n">
        <v>5</v>
      </c>
      <c r="AY674" s="8" t="n">
        <v>0</v>
      </c>
      <c r="AZ674" s="8" t="n">
        <v>178</v>
      </c>
      <c r="BA674" s="11" t="n">
        <f>IF(AND(COUNT(AX674:AZ674)=3,AX674&gt;=AY674,AY674&gt;=0,AZ674&gt;0),(AX674-AY674)/AZ674,"")</f>
        <v>0.028089887640449437</v>
      </c>
      <c r="BB674" s="8" t="n">
        <f>IF(COUNT(AS674,AW674,BA674)=3,1,0)</f>
        <v>1</v>
      </c>
      <c r="BC674" s="11" t="n">
        <f>IF(SUMIF($AO$11:$AO$1309,AO674,$BB$11:$BB$1309)=COUNTIF($AO$11:$AO$1309,AO674),SUMIF($AO$11:$AO$1309,AO674,$AS$11:$AS$1309),"")</f>
        <v>0.7889162518162782</v>
      </c>
      <c r="BD674" s="11" t="n">
        <f>IF(SUMIF($AO$11:$AO$1309,AO674,$BB$11:$BB$1309)=COUNTIF($AO$11:$AO$1309,AO674),SUMIF($AO$11:$AO$1309,AO674,$AW$11:$AW$1309),"")</f>
        <v>1.6818181818181817</v>
      </c>
      <c r="BE674" s="11" t="n">
        <f>IF(SUMIF($AO$11:$AO$1309,AO674,$BB$11:$BB$1309)=COUNTIF($AO$11:$AO$1309,AO674),SUMIF($AO$11:$AO$1309,AO674,$BA$11:$BA$1309),"")</f>
        <v>1.303370786516854</v>
      </c>
      <c r="BF674" s="12" t="n">
        <f>IF(COUNT(BD674:BE674)&lt;&gt;2,"",IF(AND(BD674&gt;0,BE674&gt;0),0.7*AW674/BD674+0.3*BA674/BE674,IF(BD674&gt;0,AW674/BD674,IF(BE674&gt;0,BA674/BE674,IF(AND(ISNUMBER(BH674),BH674=0),0,"")))))</f>
        <v>0.03011416589002796</v>
      </c>
      <c r="BG674" s="11" t="n">
        <f>IF(AND(COUNT(BN674:BU674)=8,MIN(BN674:BU674)&gt;=0),SUMPRODUCT(BN674:BQ674,BR674:BU674),"")</f>
        <v>83.81006574832674</v>
      </c>
      <c r="BH674" s="11" t="n">
        <f>IF(COUNT(BC674,BG674)=2,BC674*BG674,"")</f>
        <v>66.11912293464577</v>
      </c>
      <c r="BI674" s="11" t="n">
        <f>IF(ISNUMBER(CI674),CI674,"")</f>
        <v>1.991122236557075</v>
      </c>
      <c r="BJ674" s="8" t="str"/>
      <c r="BK674" s="8" t="str">
        <v>90天：2026-07-20 至 2026-10-17；180天：2026-04-21 至 2026-10-17</v>
      </c>
      <c r="BL674" s="8" t="str">
        <v>90天：2026-10-06、2026-10-07；180天：2026-10-06、2026-10-07</v>
      </c>
      <c r="BM674" s="8" t="str">
        <v>2026-10：12天 × 1.4758912429949873；2026-11：30天 × 0.906602681585801；2026-12：31天 × 0.6189770892129804；2027-01：17天 × 1.1595882717182624</v>
      </c>
      <c r="BN674" s="11" t="n">
        <v>1.4758912429949873</v>
      </c>
      <c r="BO674" s="11" t="n">
        <v>0.906602681585801</v>
      </c>
      <c r="BP674" s="11" t="n">
        <v>0.6189770892129804</v>
      </c>
      <c r="BQ674" s="11" t="n">
        <v>1.1595882717182624</v>
      </c>
      <c r="BR674" s="8" t="n">
        <v>12</v>
      </c>
      <c r="BS674" s="8" t="n">
        <v>30</v>
      </c>
      <c r="BT674" s="8" t="n">
        <v>31</v>
      </c>
      <c r="BU674" s="8" t="n">
        <v>17</v>
      </c>
      <c r="BV674" s="11" t="n">
        <f>IF(COUNT(BC674,BF674)=2,BC674*BF674,"")</f>
        <v>0.023757554880534475</v>
      </c>
      <c r="BW674" s="11" t="n">
        <f>IF(ISNUMBER(BN674),BN674,"")</f>
        <v>1.4758912429949873</v>
      </c>
      <c r="BX674" s="14" t="n">
        <f>IF(ISNUMBER(BR674),BR674,"")</f>
        <v>12</v>
      </c>
      <c r="BY674" s="13" t="n">
        <f>IF(AND(COUNT(BV674,BW674,BX674)=3,MIN(BV674,BW674,BX674)&gt;=0),BV674*BW674*BX674,"")</f>
        <v>0.4207628064378439</v>
      </c>
      <c r="BZ674" s="11" t="n">
        <f>IF(ISNUMBER(BO674),BO674,"")</f>
        <v>0.906602681585801</v>
      </c>
      <c r="CA674" s="14" t="n">
        <f>IF(ISNUMBER(BS674),BS674,"")</f>
        <v>30</v>
      </c>
      <c r="CB674" s="13" t="n">
        <f>IF(AND(COUNT(BV674,BZ674,CA674)=3,MIN(BV674,BZ674,CA674)&gt;=0),BV674*BZ674*CA674,"")</f>
        <v>0.6461598888784317</v>
      </c>
      <c r="CC674" s="11" t="n">
        <f>IF(ISNUMBER(BP674),BP674,"")</f>
        <v>0.6189770892129804</v>
      </c>
      <c r="CD674" s="14" t="n">
        <f>IF(ISNUMBER(BT674),BT674,"")</f>
        <v>31</v>
      </c>
      <c r="CE674" s="13" t="n">
        <f>IF(AND(COUNT(BV674,CC674,CD674)=3,MIN(BV674,CC674,CD674)&gt;=0),BV674*CC674*CD674,"")</f>
        <v>0.4558668471698969</v>
      </c>
      <c r="CF674" s="11" t="n">
        <f>IF(ISNUMBER(BQ674),BQ674,"")</f>
        <v>1.1595882717182624</v>
      </c>
      <c r="CG674" s="14" t="n">
        <f>IF(ISNUMBER(BU674),BU674,"")</f>
        <v>17</v>
      </c>
      <c r="CH674" s="13" t="n">
        <f>IF(AND(COUNT(BV674,CF674,CG674)=3,MIN(BV674,CF674,CG674)&gt;=0),BV674*CF674*CG674,"")</f>
        <v>0.4683326940709026</v>
      </c>
      <c r="CI674" s="13" t="n">
        <f>IF(COUNT(BY674,CB674,CE674,CH674)=4,SUM(BY674,CB674,CE674,CH674),"")</f>
        <v>1.991122236557075</v>
      </c>
    </row>
    <row r="675" ht="72" customHeight="1">
      <c r="A675" s="16" t="str">
        <v>2311062-SL-P-O-6</v>
      </c>
      <c r="B675" s="16" t="str">
        <v>4店-彬郁-US</v>
      </c>
      <c r="C675" s="16" t="str">
        <v>陈晨</v>
      </c>
      <c r="D675" s="26" t="n">
        <f>IF(NOT(ISNUMBER(E675)),"",IF(OR(E675&lt;=0,L675=0),0,IF(OR(NOT(ISNUMBER(F675)),F675&lt;0),"",MIN(E675,INT(F675)))))</f>
        <v>0</v>
      </c>
      <c r="E675" s="27" t="n">
        <f>IF(OR(NOT(ISNUMBER(L675)),COUNT(M675:O675)&lt;&gt;3,MIN(M675:O675)&lt;0),"",ROUNDUP(ROUND(BI675-SUM(M675:O675),10),0))</f>
        <v>-7</v>
      </c>
      <c r="F675" s="28" t="n">
        <v>0</v>
      </c>
      <c r="G675" s="28" t="n">
        <f>IF(AND(ISNUMBER(D675),ISNUMBER(E675)),IF(OR(E675&lt;=0,L675=0),0,E675-D675),"")</f>
        <v>0</v>
      </c>
      <c r="H675" s="16" t="str">
        <f>IF(NOT(ISNUMBER(E675)),"销量或海外库存待补",IF(OR(E675&lt;=0,L675=0),IF(L675=0,"零日销，本批不发","本批无需补货"),IF(NOT(ISNUMBER(D675)),"国内库存待补",IF(D675=0,"国内无可用库存",IF(G675&gt;0,"先发国内现货","按建议量发货")))))</f>
        <v>本批无需补货</v>
      </c>
      <c r="I675" s="28" t="n">
        <f>IF(AND(COUNT(Z675,AA675,AB675)=3,Z675&gt;=AA675,AA675&gt;=0,AB675=7),Z675-AA675,"")</f>
        <v>1</v>
      </c>
      <c r="J675" s="28" t="n">
        <f>IF(AND(COUNT(AF675,AG675,AH675)=3,AF675&gt;=AG675,AG675&gt;=0,AH675=14),AF675-AG675,"")</f>
        <v>1</v>
      </c>
      <c r="K675" s="28" t="n">
        <f>IF(AND(COUNT(AL675,AM675,AN675)=3,AL675&gt;=AM675,AM675&gt;=0,AN675=30),AL675-AM675,"")</f>
        <v>6</v>
      </c>
      <c r="L675" s="29" t="n">
        <f>IF(ISNUMBER(BI675),BI675/90,"")</f>
        <v>0.08629480125168704</v>
      </c>
      <c r="M675" s="28" t="n">
        <v>14</v>
      </c>
      <c r="N675" s="28" t="n">
        <v>0</v>
      </c>
      <c r="O675" s="28" t="n">
        <v>0</v>
      </c>
      <c r="P675" s="30" t="n">
        <f>IF(AND(ISNUMBER(L675),L675&gt;0,COUNT(M675:O675)=3,MIN(M675:O675)&gt;=0),SUM(M675:O675)/L675,"")</f>
        <v>162.23457029778262</v>
      </c>
      <c r="Q675" s="16" t="str">
        <v>沿用原计划SKU店铺</v>
      </c>
      <c r="R675" s="16" t="str">
        <v>已匹配</v>
      </c>
      <c r="S675" s="16" t="str">
        <v>在售</v>
      </c>
      <c r="T675" s="16" t="str">
        <v>2311062</v>
      </c>
      <c r="U675" s="16" t="str">
        <v>银色 PU</v>
      </c>
      <c r="V675" s="16" t="n">
        <v>6</v>
      </c>
      <c r="W675" s="8" t="str">
        <v>2026-10-11 至 2026-10-17</v>
      </c>
      <c r="X675" s="8" t="str">
        <v>2026-10-11、2026-10-12、2026-10-13、2026-10-14、2026-10-15、2026-10-16、2026-10-17</v>
      </c>
      <c r="Y675" s="8" t="str">
        <v>无</v>
      </c>
      <c r="Z675" s="8" t="n">
        <v>1</v>
      </c>
      <c r="AA675" s="8" t="n">
        <v>0</v>
      </c>
      <c r="AB675" s="8" t="n">
        <v>7</v>
      </c>
      <c r="AC675" s="8" t="str">
        <v>2026-10-02 至 2026-10-17</v>
      </c>
      <c r="AD675" s="8" t="str">
        <v>2026-10-02、2026-10-03、2026-10-04、2026-10-05、2026-10-08、2026-10-09、2026-10-10、2026-10-11、2026-10-12、2026-10-13、2026-10-14、2026-10-15、2026-10-16、2026-10-17</v>
      </c>
      <c r="AE675" s="8" t="str">
        <v>2026-10-06 大促；2026-10-07 大促</v>
      </c>
      <c r="AF675" s="8" t="n">
        <v>1</v>
      </c>
      <c r="AG675" s="8" t="n">
        <v>0</v>
      </c>
      <c r="AH675" s="8" t="n">
        <v>14</v>
      </c>
      <c r="AI675" s="8" t="str">
        <v>2026-09-16 至 2026-10-17</v>
      </c>
      <c r="AJ6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5" s="8" t="str">
        <v>2026-10-06 大促；2026-10-07 大促</v>
      </c>
      <c r="AL675" s="8" t="n">
        <v>6</v>
      </c>
      <c r="AM675" s="8" t="n">
        <v>0</v>
      </c>
      <c r="AN675" s="8" t="n">
        <v>30</v>
      </c>
      <c r="AO675" s="8" t="str">
        <v>2311062 / 银色PU / 13306</v>
      </c>
      <c r="AP675" s="11" t="n">
        <v>1.4758912429949873</v>
      </c>
      <c r="AQ675" s="11" t="n">
        <v>1.4758912429949873</v>
      </c>
      <c r="AR675" s="11" t="n">
        <v>1.4124697525543728</v>
      </c>
      <c r="AS675" s="11" t="n">
        <f>IF(AND(COUNT(I675:K675,AP675:AR675)=6,MIN(AP675:AR675)&gt;0),I675/7/AP675*0.5+J675/14/AQ675*0.3+K675/30/AR675*0.2,"")</f>
        <v>0.09123516977684806</v>
      </c>
      <c r="AT675" s="8" t="n">
        <v>18</v>
      </c>
      <c r="AU675" s="8" t="n">
        <v>0</v>
      </c>
      <c r="AV675" s="8" t="n">
        <v>88</v>
      </c>
      <c r="AW675" s="11" t="n">
        <f>IF(AND(COUNT(AT675:AV675)=3,AT675&gt;=AU675,AU675&gt;=0,AV675&gt;0),(AT675-AU675)/AV675,"")</f>
        <v>0.20454545454545456</v>
      </c>
      <c r="AX675" s="8" t="n">
        <v>25</v>
      </c>
      <c r="AY675" s="8" t="n">
        <v>0</v>
      </c>
      <c r="AZ675" s="8" t="n">
        <v>178</v>
      </c>
      <c r="BA675" s="11" t="n">
        <f>IF(AND(COUNT(AX675:AZ675)=3,AX675&gt;=AY675,AY675&gt;=0,AZ675&gt;0),(AX675-AY675)/AZ675,"")</f>
        <v>0.1404494382022472</v>
      </c>
      <c r="BB675" s="8" t="n">
        <f>IF(COUNT(AS675,AW675,BA675)=3,1,0)</f>
        <v>1</v>
      </c>
      <c r="BC675" s="11" t="n">
        <f>IF(SUMIF($AO$11:$AO$1309,AO675,$BB$11:$BB$1309)=COUNTIF($AO$11:$AO$1309,AO675),SUMIF($AO$11:$AO$1309,AO675,$AS$11:$AS$1309),"")</f>
        <v>0.7889162518162782</v>
      </c>
      <c r="BD675" s="11" t="n">
        <f>IF(SUMIF($AO$11:$AO$1309,AO675,$BB$11:$BB$1309)=COUNTIF($AO$11:$AO$1309,AO675),SUMIF($AO$11:$AO$1309,AO675,$AW$11:$AW$1309),"")</f>
        <v>1.6818181818181817</v>
      </c>
      <c r="BE675" s="11" t="n">
        <f>IF(SUMIF($AO$11:$AO$1309,AO675,$BB$11:$BB$1309)=COUNTIF($AO$11:$AO$1309,AO675),SUMIF($AO$11:$AO$1309,AO675,$BA$11:$BA$1309),"")</f>
        <v>1.303370786516854</v>
      </c>
      <c r="BF675" s="12" t="n">
        <f>IF(COUNT(BD675:BE675)&lt;&gt;2,"",IF(AND(BD675&gt;0,BE675&gt;0),0.7*AW675/BD675+0.3*BA675/BE675,IF(BD675&gt;0,AW675/BD675,IF(BE675&gt;0,BA675/BE675,IF(AND(ISNUMBER(BH675),BH675=0),0,"")))))</f>
        <v>0.1174627213420317</v>
      </c>
      <c r="BG675" s="11" t="n">
        <f>IF(AND(COUNT(BN675:BU675)=8,MIN(BN675:BU675)&gt;=0),SUMPRODUCT(BN675:BQ675,BR675:BU675),"")</f>
        <v>83.81006574832674</v>
      </c>
      <c r="BH675" s="11" t="n">
        <f>IF(COUNT(BC675,BG675)=2,BC675*BG675,"")</f>
        <v>66.11912293464577</v>
      </c>
      <c r="BI675" s="11" t="n">
        <f>IF(ISNUMBER(CI675),CI675,"")</f>
        <v>7.766532112651833</v>
      </c>
      <c r="BJ675" s="8" t="str"/>
      <c r="BK675" s="8" t="str">
        <v>90天：2026-07-20 至 2026-10-17；180天：2026-04-21 至 2026-10-17</v>
      </c>
      <c r="BL675" s="8" t="str">
        <v>90天：2026-10-06、2026-10-07；180天：2026-10-06、2026-10-07</v>
      </c>
      <c r="BM675" s="8" t="str">
        <v>2026-10：12天 × 1.4758912429949873；2026-11：30天 × 0.906602681585801；2026-12：31天 × 0.6189770892129804；2027-01：17天 × 1.1595882717182624</v>
      </c>
      <c r="BN675" s="11" t="n">
        <v>1.4758912429949873</v>
      </c>
      <c r="BO675" s="11" t="n">
        <v>0.906602681585801</v>
      </c>
      <c r="BP675" s="11" t="n">
        <v>0.6189770892129804</v>
      </c>
      <c r="BQ675" s="11" t="n">
        <v>1.1595882717182624</v>
      </c>
      <c r="BR675" s="8" t="n">
        <v>12</v>
      </c>
      <c r="BS675" s="8" t="n">
        <v>30</v>
      </c>
      <c r="BT675" s="8" t="n">
        <v>31</v>
      </c>
      <c r="BU675" s="8" t="n">
        <v>17</v>
      </c>
      <c r="BV675" s="11" t="n">
        <f>IF(COUNT(BC675,BF675)=2,BC675*BF675,"")</f>
        <v>0.0926682498492956</v>
      </c>
      <c r="BW675" s="11" t="n">
        <f>IF(ISNUMBER(BN675),BN675,"")</f>
        <v>1.4758912429949873</v>
      </c>
      <c r="BX675" s="14" t="n">
        <f>IF(ISNUMBER(BR675),BR675,"")</f>
        <v>12</v>
      </c>
      <c r="BY675" s="13" t="n">
        <f>IF(AND(COUNT(BV675,BW675,BX675)=3,MIN(BV675,BW675,BX675)&gt;=0),BV675*BW675*BX675,"")</f>
        <v>1.641219101474963</v>
      </c>
      <c r="BZ675" s="11" t="n">
        <f>IF(ISNUMBER(BO675),BO675,"")</f>
        <v>0.906602681585801</v>
      </c>
      <c r="CA675" s="14" t="n">
        <f>IF(ISNUMBER(BS675),BS675,"")</f>
        <v>30</v>
      </c>
      <c r="CB675" s="13" t="n">
        <f>IF(AND(COUNT(BV675,BZ675,CA675)=3,MIN(BV675,BZ675,CA675)&gt;=0),BV675*BZ675*CA675,"")</f>
        <v>2.5203985143370318</v>
      </c>
      <c r="CC675" s="11" t="n">
        <f>IF(ISNUMBER(BP675),BP675,"")</f>
        <v>0.6189770892129804</v>
      </c>
      <c r="CD675" s="14" t="n">
        <f>IF(ISNUMBER(BT675),BT675,"")</f>
        <v>31</v>
      </c>
      <c r="CE675" s="13" t="n">
        <f>IF(AND(COUNT(BV675,CC675,CD675)=3,MIN(BV675,CC675,CD675)&gt;=0),BV675*CC675*CD675,"")</f>
        <v>1.7781452301795244</v>
      </c>
      <c r="CF675" s="11" t="n">
        <f>IF(ISNUMBER(BQ675),BQ675,"")</f>
        <v>1.1595882717182624</v>
      </c>
      <c r="CG675" s="14" t="n">
        <f>IF(ISNUMBER(BU675),BU675,"")</f>
        <v>17</v>
      </c>
      <c r="CH675" s="13" t="n">
        <f>IF(AND(COUNT(BV675,CF675,CG675)=3,MIN(BV675,CF675,CG675)&gt;=0),BV675*CF675*CG675,"")</f>
        <v>1.8267692666603137</v>
      </c>
      <c r="CI675" s="13" t="n">
        <f>IF(COUNT(BY675,CB675,CE675,CH675)=4,SUM(BY675,CB675,CE675,CH675),"")</f>
        <v>7.766532112651833</v>
      </c>
    </row>
    <row r="676" ht="72" customHeight="1">
      <c r="A676" s="16" t="str">
        <v>2311062-SL-P-O-7</v>
      </c>
      <c r="B676" s="16" t="str">
        <v>4店-彬郁-US</v>
      </c>
      <c r="C676" s="16" t="str">
        <v>陈晨</v>
      </c>
      <c r="D676" s="26" t="n">
        <f>IF(NOT(ISNUMBER(E676)),"",IF(OR(E676&lt;=0,L676=0),0,IF(OR(NOT(ISNUMBER(F676)),F676&lt;0),"",MIN(E676,INT(F676)))))</f>
        <v>0</v>
      </c>
      <c r="E676" s="27" t="n">
        <f>IF(OR(NOT(ISNUMBER(L676)),COUNT(M676:O676)&lt;&gt;3,MIN(M676:O676)&lt;0),"",ROUNDUP(ROUND(BI676-SUM(M676:O676),10),0))</f>
        <v>-27</v>
      </c>
      <c r="F676" s="28" t="n">
        <v>0</v>
      </c>
      <c r="G676" s="28" t="n">
        <f>IF(AND(ISNUMBER(D676),ISNUMBER(E676)),IF(OR(E676&lt;=0,L676=0),0,E676-D676),"")</f>
        <v>0</v>
      </c>
      <c r="H676" s="16" t="str">
        <f>IF(NOT(ISNUMBER(E676)),"销量或海外库存待补",IF(OR(E676&lt;=0,L676=0),IF(L676=0,"零日销，本批不发","本批无需补货"),IF(NOT(ISNUMBER(D676)),"国内库存待补",IF(D676=0,"国内无可用库存",IF(G676&gt;0,"先发国内现货","按建议量发货")))))</f>
        <v>本批无需补货</v>
      </c>
      <c r="I676" s="28" t="n">
        <f>IF(AND(COUNT(Z676,AA676,AB676)=3,Z676&gt;=AA676,AA676&gt;=0,AB676=7),Z676-AA676,"")</f>
        <v>2</v>
      </c>
      <c r="J676" s="28" t="n">
        <f>IF(AND(COUNT(AF676,AG676,AH676)=3,AF676&gt;=AG676,AG676&gt;=0,AH676=14),AF676-AG676,"")</f>
        <v>5</v>
      </c>
      <c r="K676" s="28" t="n">
        <f>IF(AND(COUNT(AL676,AM676,AN676)=3,AL676&gt;=AM676,AM676&gt;=0,AN676=30),AL676-AM676,"")</f>
        <v>6</v>
      </c>
      <c r="L676" s="29" t="n">
        <f>IF(ISNUMBER(BI676),BI676/90,"")</f>
        <v>0.1675401199348433</v>
      </c>
      <c r="M676" s="28" t="n">
        <v>42</v>
      </c>
      <c r="N676" s="28" t="n">
        <v>0</v>
      </c>
      <c r="O676" s="28" t="n">
        <v>0</v>
      </c>
      <c r="P676" s="30" t="n">
        <f>IF(AND(ISNUMBER(L676),L676&gt;0,COUNT(M676:O676)=3,MIN(M676:O676)&gt;=0),SUM(M676:O676)/L676,"")</f>
        <v>250.686223791256</v>
      </c>
      <c r="Q676" s="16" t="str">
        <v>沿用原计划SKU店铺</v>
      </c>
      <c r="R676" s="16" t="str">
        <v>已匹配</v>
      </c>
      <c r="S676" s="16" t="str">
        <v>在售</v>
      </c>
      <c r="T676" s="16" t="str">
        <v>2311062</v>
      </c>
      <c r="U676" s="16" t="str">
        <v>银色 PU</v>
      </c>
      <c r="V676" s="16" t="n">
        <v>7</v>
      </c>
      <c r="W676" s="8" t="str">
        <v>2026-10-11 至 2026-10-17</v>
      </c>
      <c r="X676" s="8" t="str">
        <v>2026-10-11、2026-10-12、2026-10-13、2026-10-14、2026-10-15、2026-10-16、2026-10-17</v>
      </c>
      <c r="Y676" s="8" t="str">
        <v>无</v>
      </c>
      <c r="Z676" s="8" t="n">
        <v>2</v>
      </c>
      <c r="AA676" s="8" t="n">
        <v>0</v>
      </c>
      <c r="AB676" s="8" t="n">
        <v>7</v>
      </c>
      <c r="AC676" s="8" t="str">
        <v>2026-10-02 至 2026-10-17</v>
      </c>
      <c r="AD676" s="8" t="str">
        <v>2026-10-02、2026-10-03、2026-10-04、2026-10-05、2026-10-08、2026-10-09、2026-10-10、2026-10-11、2026-10-12、2026-10-13、2026-10-14、2026-10-15、2026-10-16、2026-10-17</v>
      </c>
      <c r="AE676" s="8" t="str">
        <v>2026-10-06 大促；2026-10-07 大促</v>
      </c>
      <c r="AF676" s="8" t="n">
        <v>6</v>
      </c>
      <c r="AG676" s="8" t="n">
        <v>1</v>
      </c>
      <c r="AH676" s="8" t="n">
        <v>14</v>
      </c>
      <c r="AI676" s="8" t="str">
        <v>2026-09-16 至 2026-10-17</v>
      </c>
      <c r="AJ6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6" s="8" t="str">
        <v>2026-10-06 大促；2026-10-07 大促</v>
      </c>
      <c r="AL676" s="8" t="n">
        <v>7</v>
      </c>
      <c r="AM676" s="8" t="n">
        <v>1</v>
      </c>
      <c r="AN676" s="8" t="n">
        <v>30</v>
      </c>
      <c r="AO676" s="8" t="str">
        <v>2311062 / 银色PU / 13306</v>
      </c>
      <c r="AP676" s="11" t="n">
        <v>1.4758912429949873</v>
      </c>
      <c r="AQ676" s="11" t="n">
        <v>1.4758912429949873</v>
      </c>
      <c r="AR676" s="11" t="n">
        <v>1.4124697525543728</v>
      </c>
      <c r="AS676" s="11" t="n">
        <f>IF(AND(COUNT(I676:K676,AP676:AR676)=6,MIN(AP676:AR676)&gt;0),I676/7/AP676*0.5+J676/14/AQ676*0.3+K676/30/AR676*0.2,"")</f>
        <v>0.1977083654738232</v>
      </c>
      <c r="AT676" s="8" t="n">
        <v>35</v>
      </c>
      <c r="AU676" s="8" t="n">
        <v>1</v>
      </c>
      <c r="AV676" s="8" t="n">
        <v>88</v>
      </c>
      <c r="AW676" s="11" t="n">
        <f>IF(AND(COUNT(AT676:AV676)=3,AT676&gt;=AU676,AU676&gt;=0,AV676&gt;0),(AT676-AU676)/AV676,"")</f>
        <v>0.38636363636363635</v>
      </c>
      <c r="AX676" s="8" t="n">
        <v>53</v>
      </c>
      <c r="AY676" s="8" t="n">
        <v>1</v>
      </c>
      <c r="AZ676" s="8" t="n">
        <v>178</v>
      </c>
      <c r="BA676" s="11" t="n">
        <f>IF(AND(COUNT(AX676:AZ676)=3,AX676&gt;=AY676,AY676&gt;=0,AZ676&gt;0),(AX676-AY676)/AZ676,"")</f>
        <v>0.29213483146067415</v>
      </c>
      <c r="BB676" s="8" t="n">
        <f>IF(COUNT(AS676,AW676,BA676)=3,1,0)</f>
        <v>1</v>
      </c>
      <c r="BC676" s="11" t="n">
        <f>IF(SUMIF($AO$11:$AO$1309,AO676,$BB$11:$BB$1309)=COUNTIF($AO$11:$AO$1309,AO676),SUMIF($AO$11:$AO$1309,AO676,$AS$11:$AS$1309),"")</f>
        <v>0.7889162518162782</v>
      </c>
      <c r="BD676" s="11" t="n">
        <f>IF(SUMIF($AO$11:$AO$1309,AO676,$BB$11:$BB$1309)=COUNTIF($AO$11:$AO$1309,AO676),SUMIF($AO$11:$AO$1309,AO676,$AW$11:$AW$1309),"")</f>
        <v>1.6818181818181817</v>
      </c>
      <c r="BE676" s="11" t="n">
        <f>IF(SUMIF($AO$11:$AO$1309,AO676,$BB$11:$BB$1309)=COUNTIF($AO$11:$AO$1309,AO676),SUMIF($AO$11:$AO$1309,AO676,$BA$11:$BA$1309),"")</f>
        <v>1.303370786516854</v>
      </c>
      <c r="BF676" s="12" t="n">
        <f>IF(COUNT(BD676:BE676)&lt;&gt;2,"",IF(AND(BD676&gt;0,BE676&gt;0),0.7*AW676/BD676+0.3*BA676/BE676,IF(BD676&gt;0,AW676/BD676,IF(BE676&gt;0,BA676/BE676,IF(AND(ISNUMBER(BH676),BH676=0),0,"")))))</f>
        <v>0.22805219012115566</v>
      </c>
      <c r="BG676" s="11" t="n">
        <f>IF(AND(COUNT(BN676:BU676)=8,MIN(BN676:BU676)&gt;=0),SUMPRODUCT(BN676:BQ676,BR676:BU676),"")</f>
        <v>83.81006574832674</v>
      </c>
      <c r="BH676" s="11" t="n">
        <f>IF(COUNT(BC676,BG676)=2,BC676*BG676,"")</f>
        <v>66.11912293464577</v>
      </c>
      <c r="BI676" s="11" t="n">
        <f>IF(ISNUMBER(CI676),CI676,"")</f>
        <v>15.078610794135898</v>
      </c>
      <c r="BJ676" s="8" t="str"/>
      <c r="BK676" s="8" t="str">
        <v>90天：2026-07-20 至 2026-10-17；180天：2026-04-21 至 2026-10-17</v>
      </c>
      <c r="BL676" s="8" t="str">
        <v>90天：2026-10-06、2026-10-07；180天：2026-10-06、2026-10-07</v>
      </c>
      <c r="BM676" s="8" t="str">
        <v>2026-10：12天 × 1.4758912429949873；2026-11：30天 × 0.906602681585801；2026-12：31天 × 0.6189770892129804；2027-01：17天 × 1.1595882717182624</v>
      </c>
      <c r="BN676" s="11" t="n">
        <v>1.4758912429949873</v>
      </c>
      <c r="BO676" s="11" t="n">
        <v>0.906602681585801</v>
      </c>
      <c r="BP676" s="11" t="n">
        <v>0.6189770892129804</v>
      </c>
      <c r="BQ676" s="11" t="n">
        <v>1.1595882717182624</v>
      </c>
      <c r="BR676" s="8" t="n">
        <v>12</v>
      </c>
      <c r="BS676" s="8" t="n">
        <v>30</v>
      </c>
      <c r="BT676" s="8" t="n">
        <v>31</v>
      </c>
      <c r="BU676" s="8" t="n">
        <v>17</v>
      </c>
      <c r="BV676" s="11" t="n">
        <f>IF(COUNT(BC676,BF676)=2,BC676*BF676,"")</f>
        <v>0.17991407904887538</v>
      </c>
      <c r="BW676" s="11" t="n">
        <f>IF(ISNUMBER(BN676),BN676,"")</f>
        <v>1.4758912429949873</v>
      </c>
      <c r="BX676" s="14" t="n">
        <f>IF(ISNUMBER(BR676),BR676,"")</f>
        <v>12</v>
      </c>
      <c r="BY676" s="13" t="n">
        <f>IF(AND(COUNT(BV676,BW676,BX676)=3,MIN(BV676,BW676,BX676)&gt;=0),BV676*BW676*BX676,"")</f>
        <v>3.1864033651169175</v>
      </c>
      <c r="BZ676" s="11" t="n">
        <f>IF(ISNUMBER(BO676),BO676,"")</f>
        <v>0.906602681585801</v>
      </c>
      <c r="CA676" s="14" t="n">
        <f>IF(ISNUMBER(BS676),BS676,"")</f>
        <v>30</v>
      </c>
      <c r="CB676" s="13" t="n">
        <f>IF(AND(COUNT(BV676,BZ676,CA676)=3,MIN(BV676,BZ676,CA676)&gt;=0),BV676*BZ676*CA676,"")</f>
        <v>4.893317595622506</v>
      </c>
      <c r="CC676" s="11" t="n">
        <f>IF(ISNUMBER(BP676),BP676,"")</f>
        <v>0.6189770892129804</v>
      </c>
      <c r="CD676" s="14" t="n">
        <f>IF(ISNUMBER(BT676),BT676,"")</f>
        <v>31</v>
      </c>
      <c r="CE676" s="13" t="n">
        <f>IF(AND(COUNT(BV676,CC676,CD676)=3,MIN(BV676,CC676,CD676)&gt;=0),BV676*CC676*CD676,"")</f>
        <v>3.4522434817013155</v>
      </c>
      <c r="CF676" s="11" t="n">
        <f>IF(ISNUMBER(BQ676),BQ676,"")</f>
        <v>1.1595882717182624</v>
      </c>
      <c r="CG676" s="14" t="n">
        <f>IF(ISNUMBER(BU676),BU676,"")</f>
        <v>17</v>
      </c>
      <c r="CH676" s="13" t="n">
        <f>IF(AND(COUNT(BV676,CF676,CG676)=3,MIN(BV676,CF676,CG676)&gt;=0),BV676*CF676*CG676,"")</f>
        <v>3.54664635169516</v>
      </c>
      <c r="CI676" s="13" t="n">
        <f>IF(COUNT(BY676,CB676,CE676,CH676)=4,SUM(BY676,CB676,CE676,CH676),"")</f>
        <v>15.078610794135898</v>
      </c>
    </row>
    <row r="677" ht="72" customHeight="1">
      <c r="A677" s="16" t="str">
        <v>2311062-SL-P-O-8</v>
      </c>
      <c r="B677" s="16" t="str">
        <v>4店-彬郁-US</v>
      </c>
      <c r="C677" s="16" t="str">
        <v>陈晨</v>
      </c>
      <c r="D677" s="26" t="n">
        <f>IF(NOT(ISNUMBER(E677)),"",IF(OR(E677&lt;=0,L677=0),0,IF(OR(NOT(ISNUMBER(F677)),F677&lt;0),"",MIN(E677,INT(F677)))))</f>
        <v>0</v>
      </c>
      <c r="E677" s="27" t="n">
        <f>IF(OR(NOT(ISNUMBER(L677)),COUNT(M677:O677)&lt;&gt;3,MIN(M677:O677)&lt;0),"",ROUNDUP(ROUND(BI677-SUM(M677:O677),10),0))</f>
        <v>-94</v>
      </c>
      <c r="F677" s="28" t="n">
        <v>0</v>
      </c>
      <c r="G677" s="28" t="n">
        <f>IF(AND(ISNUMBER(D677),ISNUMBER(E677)),IF(OR(E677&lt;=0,L677=0),0,E677-D677),"")</f>
        <v>0</v>
      </c>
      <c r="H677" s="16" t="str">
        <f>IF(NOT(ISNUMBER(E677)),"销量或海外库存待补",IF(OR(E677&lt;=0,L677=0),IF(L677=0,"零日销，本批不发","本批无需补货"),IF(NOT(ISNUMBER(D677)),"国内库存待补",IF(D677=0,"国内无可用库存",IF(G677&gt;0,"先发国内现货","按建议量发货")))))</f>
        <v>本批无需补货</v>
      </c>
      <c r="I677" s="28" t="n">
        <f>IF(AND(COUNT(Z677,AA677,AB677)=3,Z677&gt;=AA677,AA677&gt;=0,AB677=7),Z677-AA677,"")</f>
        <v>2</v>
      </c>
      <c r="J677" s="28" t="n">
        <f>IF(AND(COUNT(AF677,AG677,AH677)=3,AF677&gt;=AG677,AG677&gt;=0,AH677=14),AF677-AG677,"")</f>
        <v>6</v>
      </c>
      <c r="K677" s="28" t="n">
        <f>IF(AND(COUNT(AL677,AM677,AN677)=3,AL677&gt;=AM677,AM677&gt;=0,AN677=30),AL677-AM677,"")</f>
        <v>9</v>
      </c>
      <c r="L677" s="29" t="n">
        <f>IF(ISNUMBER(BI677),BI677/90,"")</f>
        <v>0.19726359952892336</v>
      </c>
      <c r="M677" s="28" t="n">
        <v>80</v>
      </c>
      <c r="N677" s="28" t="n">
        <v>0</v>
      </c>
      <c r="O677" s="28" t="n">
        <v>31</v>
      </c>
      <c r="P677" s="30" t="n">
        <f>IF(AND(ISNUMBER(L677),L677&gt;0,COUNT(M677:O677)=3,MIN(M677:O677)&gt;=0),SUM(M677:O677)/L677,"")</f>
        <v>562.6988469493322</v>
      </c>
      <c r="Q677" s="16" t="str">
        <v>沿用原计划SKU店铺</v>
      </c>
      <c r="R677" s="16" t="str">
        <v>已匹配</v>
      </c>
      <c r="S677" s="16" t="str">
        <v>在售</v>
      </c>
      <c r="T677" s="16" t="str">
        <v>2311062</v>
      </c>
      <c r="U677" s="16" t="str">
        <v>银色 PU</v>
      </c>
      <c r="V677" s="16" t="n">
        <v>8</v>
      </c>
      <c r="W677" s="8" t="str">
        <v>2026-10-11 至 2026-10-17</v>
      </c>
      <c r="X677" s="8" t="str">
        <v>2026-10-11、2026-10-12、2026-10-13、2026-10-14、2026-10-15、2026-10-16、2026-10-17</v>
      </c>
      <c r="Y677" s="8" t="str">
        <v>无</v>
      </c>
      <c r="Z677" s="8" t="n">
        <v>2</v>
      </c>
      <c r="AA677" s="8" t="n">
        <v>0</v>
      </c>
      <c r="AB677" s="8" t="n">
        <v>7</v>
      </c>
      <c r="AC677" s="8" t="str">
        <v>2026-10-02 至 2026-10-17</v>
      </c>
      <c r="AD677" s="8" t="str">
        <v>2026-10-02、2026-10-03、2026-10-04、2026-10-05、2026-10-08、2026-10-09、2026-10-10、2026-10-11、2026-10-12、2026-10-13、2026-10-14、2026-10-15、2026-10-16、2026-10-17</v>
      </c>
      <c r="AE677" s="8" t="str">
        <v>2026-10-06 大促；2026-10-07 大促</v>
      </c>
      <c r="AF677" s="8" t="n">
        <v>10</v>
      </c>
      <c r="AG677" s="8" t="n">
        <v>4</v>
      </c>
      <c r="AH677" s="8" t="n">
        <v>14</v>
      </c>
      <c r="AI677" s="8" t="str">
        <v>2026-09-16 至 2026-10-17</v>
      </c>
      <c r="AJ6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7" s="8" t="str">
        <v>2026-10-06 大促；2026-10-07 大促</v>
      </c>
      <c r="AL677" s="8" t="n">
        <v>13</v>
      </c>
      <c r="AM677" s="8" t="n">
        <v>4</v>
      </c>
      <c r="AN677" s="8" t="n">
        <v>30</v>
      </c>
      <c r="AO677" s="8" t="str">
        <v>2311062 / 银色PU / 13306</v>
      </c>
      <c r="AP677" s="11" t="n">
        <v>1.4758912429949873</v>
      </c>
      <c r="AQ677" s="11" t="n">
        <v>1.4758912429949873</v>
      </c>
      <c r="AR677" s="11" t="n">
        <v>1.4124697525543728</v>
      </c>
      <c r="AS677" s="11" t="n">
        <f>IF(AND(COUNT(I677:K677,AP677:AR677)=6,MIN(AP677:AR677)&gt;0),I677/7/AP677*0.5+J677/14/AQ677*0.3+K677/30/AR677*0.2,"")</f>
        <v>0.22638703286500114</v>
      </c>
      <c r="AT677" s="8" t="n">
        <v>43</v>
      </c>
      <c r="AU677" s="8" t="n">
        <v>4</v>
      </c>
      <c r="AV677" s="8" t="n">
        <v>88</v>
      </c>
      <c r="AW677" s="11" t="n">
        <f>IF(AND(COUNT(AT677:AV677)=3,AT677&gt;=AU677,AU677&gt;=0,AV677&gt;0),(AT677-AU677)/AV677,"")</f>
        <v>0.4431818181818182</v>
      </c>
      <c r="AX677" s="8" t="n">
        <v>69</v>
      </c>
      <c r="AY677" s="8" t="n">
        <v>4</v>
      </c>
      <c r="AZ677" s="8" t="n">
        <v>178</v>
      </c>
      <c r="BA677" s="11" t="n">
        <f>IF(AND(COUNT(AX677:AZ677)=3,AX677&gt;=AY677,AY677&gt;=0,AZ677&gt;0),(AX677-AY677)/AZ677,"")</f>
        <v>0.3651685393258427</v>
      </c>
      <c r="BB677" s="8" t="n">
        <f>IF(COUNT(AS677,AW677,BA677)=3,1,0)</f>
        <v>1</v>
      </c>
      <c r="BC677" s="11" t="n">
        <f>IF(SUMIF($AO$11:$AO$1309,AO677,$BB$11:$BB$1309)=COUNTIF($AO$11:$AO$1309,AO677),SUMIF($AO$11:$AO$1309,AO677,$AS$11:$AS$1309),"")</f>
        <v>0.7889162518162782</v>
      </c>
      <c r="BD677" s="11" t="n">
        <f>IF(SUMIF($AO$11:$AO$1309,AO677,$BB$11:$BB$1309)=COUNTIF($AO$11:$AO$1309,AO677),SUMIF($AO$11:$AO$1309,AO677,$AW$11:$AW$1309),"")</f>
        <v>1.6818181818181817</v>
      </c>
      <c r="BE677" s="11" t="n">
        <f>IF(SUMIF($AO$11:$AO$1309,AO677,$BB$11:$BB$1309)=COUNTIF($AO$11:$AO$1309,AO677),SUMIF($AO$11:$AO$1309,AO677,$BA$11:$BA$1309),"")</f>
        <v>1.303370786516854</v>
      </c>
      <c r="BF677" s="12" t="n">
        <f>IF(COUNT(BD677:BE677)&lt;&gt;2,"",IF(AND(BD677&gt;0,BE677&gt;0),0.7*AW677/BD677+0.3*BA677/BE677,IF(BD677&gt;0,AW677/BD677,IF(BE677&gt;0,BA677/BE677,IF(AND(ISNUMBER(BH677),BH677=0),0,"")))))</f>
        <v>0.2685111835973905</v>
      </c>
      <c r="BG677" s="11" t="n">
        <f>IF(AND(COUNT(BN677:BU677)=8,MIN(BN677:BU677)&gt;=0),SUMPRODUCT(BN677:BQ677,BR677:BU677),"")</f>
        <v>83.81006574832674</v>
      </c>
      <c r="BH677" s="11" t="n">
        <f>IF(COUNT(BC677,BG677)=2,BC677*BG677,"")</f>
        <v>66.11912293464577</v>
      </c>
      <c r="BI677" s="11" t="n">
        <f>IF(ISNUMBER(CI677),CI677,"")</f>
        <v>17.753723957603103</v>
      </c>
      <c r="BJ677" s="8" t="str"/>
      <c r="BK677" s="8" t="str">
        <v>90天：2026-07-20 至 2026-10-17；180天：2026-04-21 至 2026-10-17</v>
      </c>
      <c r="BL677" s="8" t="str">
        <v>90天：2026-10-06、2026-10-07；180天：2026-10-06、2026-10-07</v>
      </c>
      <c r="BM677" s="8" t="str">
        <v>2026-10：12天 × 1.4758912429949873；2026-11：30天 × 0.906602681585801；2026-12：31天 × 0.6189770892129804；2027-01：17天 × 1.1595882717182624</v>
      </c>
      <c r="BN677" s="11" t="n">
        <v>1.4758912429949873</v>
      </c>
      <c r="BO677" s="11" t="n">
        <v>0.906602681585801</v>
      </c>
      <c r="BP677" s="11" t="n">
        <v>0.6189770892129804</v>
      </c>
      <c r="BQ677" s="11" t="n">
        <v>1.1595882717182624</v>
      </c>
      <c r="BR677" s="8" t="n">
        <v>12</v>
      </c>
      <c r="BS677" s="8" t="n">
        <v>30</v>
      </c>
      <c r="BT677" s="8" t="n">
        <v>31</v>
      </c>
      <c r="BU677" s="8" t="n">
        <v>17</v>
      </c>
      <c r="BV677" s="11" t="n">
        <f>IF(COUNT(BC677,BF677)=2,BC677*BF677,"")</f>
        <v>0.21183283653440585</v>
      </c>
      <c r="BW677" s="11" t="n">
        <f>IF(ISNUMBER(BN677),BN677,"")</f>
        <v>1.4758912429949873</v>
      </c>
      <c r="BX677" s="14" t="n">
        <f>IF(ISNUMBER(BR677),BR677,"")</f>
        <v>12</v>
      </c>
      <c r="BY677" s="13" t="n">
        <f>IF(AND(COUNT(BV677,BW677,BX677)=3,MIN(BV677,BW677,BX677)&gt;=0),BV677*BW677*BX677,"")</f>
        <v>3.751706741039019</v>
      </c>
      <c r="BZ677" s="11" t="n">
        <f>IF(ISNUMBER(BO677),BO677,"")</f>
        <v>0.906602681585801</v>
      </c>
      <c r="CA677" s="14" t="n">
        <f>IF(ISNUMBER(BS677),BS677,"")</f>
        <v>30</v>
      </c>
      <c r="CB677" s="13" t="n">
        <f>IF(AND(COUNT(BV677,BZ677,CA677)=3,MIN(BV677,BZ677,CA677)&gt;=0),BV677*BZ677*CA677,"")</f>
        <v>5.761446529500569</v>
      </c>
      <c r="CC677" s="11" t="n">
        <f>IF(ISNUMBER(BP677),BP677,"")</f>
        <v>0.6189770892129804</v>
      </c>
      <c r="CD677" s="14" t="n">
        <f>IF(ISNUMBER(BT677),BT677,"")</f>
        <v>31</v>
      </c>
      <c r="CE677" s="13" t="n">
        <f>IF(AND(COUNT(BV677,CC677,CD677)=3,MIN(BV677,CC677,CD677)&gt;=0),BV677*CC677*CD677,"")</f>
        <v>4.064709849291665</v>
      </c>
      <c r="CF677" s="11" t="n">
        <f>IF(ISNUMBER(BQ677),BQ677,"")</f>
        <v>1.1595882717182624</v>
      </c>
      <c r="CG677" s="14" t="n">
        <f>IF(ISNUMBER(BU677),BU677,"")</f>
        <v>17</v>
      </c>
      <c r="CH677" s="13" t="n">
        <f>IF(AND(COUNT(BV677,CF677,CG677)=3,MIN(BV677,CF677,CG677)&gt;=0),BV677*CF677*CG677,"")</f>
        <v>4.175860837771851</v>
      </c>
      <c r="CI677" s="13" t="n">
        <f>IF(COUNT(BY677,CB677,CE677,CH677)=4,SUM(BY677,CB677,CE677,CH677),"")</f>
        <v>17.753723957603103</v>
      </c>
    </row>
    <row r="678" ht="72" customHeight="1">
      <c r="A678" s="16" t="str">
        <v>2311062-SL-P-O-9</v>
      </c>
      <c r="B678" s="16" t="str">
        <v>4店-彬郁-US</v>
      </c>
      <c r="C678" s="16" t="str">
        <v>陈晨</v>
      </c>
      <c r="D678" s="26" t="n">
        <f>IF(NOT(ISNUMBER(E678)),"",IF(OR(E678&lt;=0,L678=0),0,IF(OR(NOT(ISNUMBER(F678)),F678&lt;0),"",MIN(E678,INT(F678)))))</f>
        <v>0</v>
      </c>
      <c r="E678" s="27" t="n">
        <f>IF(OR(NOT(ISNUMBER(L678)),COUNT(M678:O678)&lt;&gt;3,MIN(M678:O678)&lt;0),"",ROUNDUP(ROUND(BI678-SUM(M678:O678),10),0))</f>
        <v>-109</v>
      </c>
      <c r="F678" s="28" t="n">
        <v>0</v>
      </c>
      <c r="G678" s="28" t="n">
        <f>IF(AND(ISNUMBER(D678),ISNUMBER(E678)),IF(OR(E678&lt;=0,L678=0),0,E678-D678),"")</f>
        <v>0</v>
      </c>
      <c r="H678" s="16" t="str">
        <f>IF(NOT(ISNUMBER(E678)),"销量或海外库存待补",IF(OR(E678&lt;=0,L678=0),IF(L678=0,"零日销，本批不发","本批无需补货"),IF(NOT(ISNUMBER(D678)),"国内库存待补",IF(D678=0,"国内无可用库存",IF(G678&gt;0,"先发国内现货","按建议量发货")))))</f>
        <v>本批无需补货</v>
      </c>
      <c r="I678" s="28" t="n">
        <f>IF(AND(COUNT(Z678,AA678,AB678)=3,Z678&gt;=AA678,AA678&gt;=0,AB678=7),Z678-AA678,"")</f>
        <v>2</v>
      </c>
      <c r="J678" s="28" t="n">
        <f>IF(AND(COUNT(AF678,AG678,AH678)=3,AF678&gt;=AG678,AG678&gt;=0,AH678=14),AF678-AG678,"")</f>
        <v>4</v>
      </c>
      <c r="K678" s="28" t="n">
        <f>IF(AND(COUNT(AL678,AM678,AN678)=3,AL678&gt;=AM678,AM678&gt;=0,AN678=30),AL678-AM678,"")</f>
        <v>9</v>
      </c>
      <c r="L678" s="29" t="n">
        <f>IF(ISNUMBER(BI678),BI678/90,"")</f>
        <v>0.19031414216342005</v>
      </c>
      <c r="M678" s="28" t="n">
        <v>94</v>
      </c>
      <c r="N678" s="28" t="n">
        <v>0</v>
      </c>
      <c r="O678" s="28" t="n">
        <v>32</v>
      </c>
      <c r="P678" s="30" t="n">
        <f>IF(AND(ISNUMBER(L678),L678&gt;0,COUNT(M678:O678)=3,MIN(M678:O678)&gt;=0),SUM(M678:O678)/L678,"")</f>
        <v>662.0632527235185</v>
      </c>
      <c r="Q678" s="16" t="str">
        <v>沿用原计划SKU店铺</v>
      </c>
      <c r="R678" s="16" t="str">
        <v>已匹配</v>
      </c>
      <c r="S678" s="16" t="str">
        <v>在售</v>
      </c>
      <c r="T678" s="16" t="str">
        <v>2311062</v>
      </c>
      <c r="U678" s="16" t="str">
        <v>银色 PU</v>
      </c>
      <c r="V678" s="16" t="n">
        <v>9</v>
      </c>
      <c r="W678" s="8" t="str">
        <v>2026-10-11 至 2026-10-17</v>
      </c>
      <c r="X678" s="8" t="str">
        <v>2026-10-11、2026-10-12、2026-10-13、2026-10-14、2026-10-15、2026-10-16、2026-10-17</v>
      </c>
      <c r="Y678" s="8" t="str">
        <v>无</v>
      </c>
      <c r="Z678" s="8" t="n">
        <v>2</v>
      </c>
      <c r="AA678" s="8" t="n">
        <v>0</v>
      </c>
      <c r="AB678" s="8" t="n">
        <v>7</v>
      </c>
      <c r="AC678" s="8" t="str">
        <v>2026-10-02 至 2026-10-17</v>
      </c>
      <c r="AD678" s="8" t="str">
        <v>2026-10-02、2026-10-03、2026-10-04、2026-10-05、2026-10-08、2026-10-09、2026-10-10、2026-10-11、2026-10-12、2026-10-13、2026-10-14、2026-10-15、2026-10-16、2026-10-17</v>
      </c>
      <c r="AE678" s="8" t="str">
        <v>2026-10-06 大促；2026-10-07 大促</v>
      </c>
      <c r="AF678" s="8" t="n">
        <v>6</v>
      </c>
      <c r="AG678" s="8" t="n">
        <v>2</v>
      </c>
      <c r="AH678" s="8" t="n">
        <v>14</v>
      </c>
      <c r="AI678" s="8" t="str">
        <v>2026-09-16 至 2026-10-17</v>
      </c>
      <c r="AJ6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8" s="8" t="str">
        <v>2026-10-06 大促；2026-10-07 大促</v>
      </c>
      <c r="AL678" s="8" t="n">
        <v>11</v>
      </c>
      <c r="AM678" s="8" t="n">
        <v>2</v>
      </c>
      <c r="AN678" s="8" t="n">
        <v>30</v>
      </c>
      <c r="AO678" s="8" t="str">
        <v>2311062 / 银色PU / 13306</v>
      </c>
      <c r="AP678" s="11" t="n">
        <v>1.4758912429949873</v>
      </c>
      <c r="AQ678" s="11" t="n">
        <v>1.4758912429949873</v>
      </c>
      <c r="AR678" s="11" t="n">
        <v>1.4124697525543728</v>
      </c>
      <c r="AS678" s="11" t="n">
        <f>IF(AND(COUNT(I678:K678,AP678:AR678)=6,MIN(AP678:AR678)&gt;0),I678/7/AP678*0.5+J678/14/AQ678*0.3+K678/30/AR678*0.2,"")</f>
        <v>0.19734888858400795</v>
      </c>
      <c r="AT678" s="8" t="n">
        <v>39</v>
      </c>
      <c r="AU678" s="8" t="n">
        <v>2</v>
      </c>
      <c r="AV678" s="8" t="n">
        <v>88</v>
      </c>
      <c r="AW678" s="11" t="n">
        <f>IF(AND(COUNT(AT678:AV678)=3,AT678&gt;=AU678,AU678&gt;=0,AV678&gt;0),(AT678-AU678)/AV678,"")</f>
        <v>0.42045454545454547</v>
      </c>
      <c r="AX678" s="8" t="n">
        <v>67</v>
      </c>
      <c r="AY678" s="8" t="n">
        <v>2</v>
      </c>
      <c r="AZ678" s="8" t="n">
        <v>178</v>
      </c>
      <c r="BA678" s="11" t="n">
        <f>IF(AND(COUNT(AX678:AZ678)=3,AX678&gt;=AY678,AY678&gt;=0,AZ678&gt;0),(AX678-AY678)/AZ678,"")</f>
        <v>0.3651685393258427</v>
      </c>
      <c r="BB678" s="8" t="n">
        <f>IF(COUNT(AS678,AW678,BA678)=3,1,0)</f>
        <v>1</v>
      </c>
      <c r="BC678" s="11" t="n">
        <f>IF(SUMIF($AO$11:$AO$1309,AO678,$BB$11:$BB$1309)=COUNTIF($AO$11:$AO$1309,AO678),SUMIF($AO$11:$AO$1309,AO678,$AS$11:$AS$1309),"")</f>
        <v>0.7889162518162782</v>
      </c>
      <c r="BD678" s="11" t="n">
        <f>IF(SUMIF($AO$11:$AO$1309,AO678,$BB$11:$BB$1309)=COUNTIF($AO$11:$AO$1309,AO678),SUMIF($AO$11:$AO$1309,AO678,$AW$11:$AW$1309),"")</f>
        <v>1.6818181818181817</v>
      </c>
      <c r="BE678" s="11" t="n">
        <f>IF(SUMIF($AO$11:$AO$1309,AO678,$BB$11:$BB$1309)=COUNTIF($AO$11:$AO$1309,AO678),SUMIF($AO$11:$AO$1309,AO678,$BA$11:$BA$1309),"")</f>
        <v>1.303370786516854</v>
      </c>
      <c r="BF678" s="12" t="n">
        <f>IF(COUNT(BD678:BE678)&lt;&gt;2,"",IF(AND(BD678&gt;0,BE678&gt;0),0.7*AW678/BD678+0.3*BA678/BE678,IF(BD678&gt;0,AW678/BD678,IF(BE678&gt;0,BA678/BE678,IF(AND(ISNUMBER(BH678),BH678=0),0,"")))))</f>
        <v>0.25905172413793104</v>
      </c>
      <c r="BG678" s="11" t="n">
        <f>IF(AND(COUNT(BN678:BU678)=8,MIN(BN678:BU678)&gt;=0),SUMPRODUCT(BN678:BQ678,BR678:BU678),"")</f>
        <v>83.81006574832674</v>
      </c>
      <c r="BH678" s="11" t="n">
        <f>IF(COUNT(BC678,BG678)=2,BC678*BG678,"")</f>
        <v>66.11912293464577</v>
      </c>
      <c r="BI678" s="11" t="n">
        <f>IF(ISNUMBER(CI678),CI678,"")</f>
        <v>17.128272794707804</v>
      </c>
      <c r="BJ678" s="8" t="str"/>
      <c r="BK678" s="8" t="str">
        <v>90天：2026-07-20 至 2026-10-17；180天：2026-04-21 至 2026-10-17</v>
      </c>
      <c r="BL678" s="8" t="str">
        <v>90天：2026-10-06、2026-10-07；180天：2026-10-06、2026-10-07</v>
      </c>
      <c r="BM678" s="8" t="str">
        <v>2026-10：12天 × 1.4758912429949873；2026-11：30天 × 0.906602681585801；2026-12：31天 × 0.6189770892129804；2027-01：17天 × 1.1595882717182624</v>
      </c>
      <c r="BN678" s="11" t="n">
        <v>1.4758912429949873</v>
      </c>
      <c r="BO678" s="11" t="n">
        <v>0.906602681585801</v>
      </c>
      <c r="BP678" s="11" t="n">
        <v>0.6189770892129804</v>
      </c>
      <c r="BQ678" s="11" t="n">
        <v>1.1595882717182624</v>
      </c>
      <c r="BR678" s="8" t="n">
        <v>12</v>
      </c>
      <c r="BS678" s="8" t="n">
        <v>30</v>
      </c>
      <c r="BT678" s="8" t="n">
        <v>31</v>
      </c>
      <c r="BU678" s="8" t="n">
        <v>17</v>
      </c>
      <c r="BV678" s="11" t="n">
        <f>IF(COUNT(BC678,BF678)=2,BC678*BF678,"")</f>
        <v>0.20437011523344104</v>
      </c>
      <c r="BW678" s="11" t="n">
        <f>IF(ISNUMBER(BN678),BN678,"")</f>
        <v>1.4758912429949873</v>
      </c>
      <c r="BX678" s="14" t="n">
        <f>IF(ISNUMBER(BR678),BR678,"")</f>
        <v>12</v>
      </c>
      <c r="BY678" s="13" t="n">
        <f>IF(AND(COUNT(BV678,BW678,BX678)=3,MIN(BV678,BW678,BX678)&gt;=0),BV678*BW678*BX678,"")</f>
        <v>3.6195367608349454</v>
      </c>
      <c r="BZ678" s="11" t="n">
        <f>IF(ISNUMBER(BO678),BO678,"")</f>
        <v>0.906602681585801</v>
      </c>
      <c r="CA678" s="14" t="n">
        <f>IF(ISNUMBER(BS678),BS678,"")</f>
        <v>30</v>
      </c>
      <c r="CB678" s="13" t="n">
        <f>IF(AND(COUNT(BV678,BZ678,CA678)=3,MIN(BV678,BZ678,CA678)&gt;=0),BV678*BZ678*CA678,"")</f>
        <v>5.558474835199104</v>
      </c>
      <c r="CC678" s="11" t="n">
        <f>IF(ISNUMBER(BP678),BP678,"")</f>
        <v>0.6189770892129804</v>
      </c>
      <c r="CD678" s="14" t="n">
        <f>IF(ISNUMBER(BT678),BT678,"")</f>
        <v>31</v>
      </c>
      <c r="CE678" s="13" t="n">
        <f>IF(AND(COUNT(BV678,CC678,CD678)=3,MIN(BV678,CC678,CD678)&gt;=0),BV678*CC678*CD678,"")</f>
        <v>3.9215129905288184</v>
      </c>
      <c r="CF678" s="11" t="n">
        <f>IF(ISNUMBER(BQ678),BQ678,"")</f>
        <v>1.1595882717182624</v>
      </c>
      <c r="CG678" s="14" t="n">
        <f>IF(ISNUMBER(BU678),BU678,"")</f>
        <v>17</v>
      </c>
      <c r="CH678" s="13" t="n">
        <f>IF(AND(COUNT(BV678,CF678,CG678)=3,MIN(BV678,CF678,CG678)&gt;=0),BV678*CF678*CG678,"")</f>
        <v>4.028748208144936</v>
      </c>
      <c r="CI678" s="13" t="n">
        <f>IF(COUNT(BY678,CB678,CE678,CH678)=4,SUM(BY678,CB678,CE678,CH678),"")</f>
        <v>17.128272794707804</v>
      </c>
    </row>
    <row r="679" ht="72" customHeight="1">
      <c r="A679" s="16" t="str">
        <v>2311062-WT-P-O-10</v>
      </c>
      <c r="B679" s="16" t="str">
        <v>4店-彬郁-US</v>
      </c>
      <c r="C679" s="16" t="str">
        <v>陈晨</v>
      </c>
      <c r="D679" s="26" t="n">
        <f>IF(NOT(ISNUMBER(E679)),"",IF(OR(E679&lt;=0,L679=0),0,IF(OR(NOT(ISNUMBER(F679)),F679&lt;0),"",MIN(E679,INT(F679)))))</f>
        <v>0</v>
      </c>
      <c r="E679" s="27" t="n">
        <f>IF(OR(NOT(ISNUMBER(L679)),COUNT(M679:O679)&lt;&gt;3,MIN(M679:O679)&lt;0),"",ROUNDUP(ROUND(BI679-SUM(M679:O679),10),0))</f>
        <v>-80</v>
      </c>
      <c r="F679" s="28" t="n">
        <v>70</v>
      </c>
      <c r="G679" s="28" t="n">
        <f>IF(AND(ISNUMBER(D679),ISNUMBER(E679)),IF(OR(E679&lt;=0,L679=0),0,E679-D679),"")</f>
        <v>0</v>
      </c>
      <c r="H679" s="16" t="str">
        <f>IF(NOT(ISNUMBER(E679)),"销量或海外库存待补",IF(OR(E679&lt;=0,L679=0),IF(L679=0,"零日销，本批不发","本批无需补货"),IF(NOT(ISNUMBER(D679)),"国内库存待补",IF(D679=0,"国内无可用库存",IF(G679&gt;0,"先发国内现货","按建议量发货")))))</f>
        <v>本批无需补货</v>
      </c>
      <c r="I679" s="28" t="n">
        <f>IF(AND(COUNT(Z679,AA679,AB679)=3,Z679&gt;=AA679,AA679&gt;=0,AB679=7),Z679-AA679,"")</f>
        <v>1</v>
      </c>
      <c r="J679" s="28" t="n">
        <f>IF(AND(COUNT(AF679,AG679,AH679)=3,AF679&gt;=AG679,AG679&gt;=0,AH679=14),AF679-AG679,"")</f>
        <v>6</v>
      </c>
      <c r="K679" s="28" t="n">
        <f>IF(AND(COUNT(AL679,AM679,AN679)=3,AL679&gt;=AM679,AM679&gt;=0,AN679=30),AL679-AM679,"")</f>
        <v>10</v>
      </c>
      <c r="L679" s="29" t="n">
        <f>IF(ISNUMBER(BI679),BI679/90,"")</f>
        <v>0.1802948821996125</v>
      </c>
      <c r="M679" s="28" t="n">
        <v>66</v>
      </c>
      <c r="N679" s="28" t="n">
        <v>1</v>
      </c>
      <c r="O679" s="28" t="n">
        <v>29</v>
      </c>
      <c r="P679" s="30" t="n">
        <f>IF(AND(ISNUMBER(L679),L679&gt;0,COUNT(M679:O679)=3,MIN(M679:O679)&gt;=0),SUM(M679:O679)/L679,"")</f>
        <v>532.4610373228127</v>
      </c>
      <c r="Q679" s="16" t="str">
        <v>沿用原计划SKU店铺</v>
      </c>
      <c r="R679" s="16" t="str">
        <v>已匹配</v>
      </c>
      <c r="S679" s="16" t="str">
        <v>在售</v>
      </c>
      <c r="T679" s="16" t="str">
        <v>2311062</v>
      </c>
      <c r="U679" s="16" t="str">
        <v>白色 PU</v>
      </c>
      <c r="V679" s="16" t="n">
        <v>10</v>
      </c>
      <c r="W679" s="8" t="str">
        <v>2026-10-11 至 2026-10-17</v>
      </c>
      <c r="X679" s="8" t="str">
        <v>2026-10-11、2026-10-12、2026-10-13、2026-10-14、2026-10-15、2026-10-16、2026-10-17</v>
      </c>
      <c r="Y679" s="8" t="str">
        <v>无</v>
      </c>
      <c r="Z679" s="8" t="n">
        <v>1</v>
      </c>
      <c r="AA679" s="8" t="n">
        <v>0</v>
      </c>
      <c r="AB679" s="8" t="n">
        <v>7</v>
      </c>
      <c r="AC679" s="8" t="str">
        <v>2026-10-02 至 2026-10-17</v>
      </c>
      <c r="AD679" s="8" t="str">
        <v>2026-10-02、2026-10-03、2026-10-04、2026-10-05、2026-10-08、2026-10-09、2026-10-10、2026-10-11、2026-10-12、2026-10-13、2026-10-14、2026-10-15、2026-10-16、2026-10-17</v>
      </c>
      <c r="AE679" s="8" t="str">
        <v>2026-10-06 大促；2026-10-07 大促</v>
      </c>
      <c r="AF679" s="8" t="n">
        <v>7</v>
      </c>
      <c r="AG679" s="8" t="n">
        <v>1</v>
      </c>
      <c r="AH679" s="8" t="n">
        <v>14</v>
      </c>
      <c r="AI679" s="8" t="str">
        <v>2026-09-16 至 2026-10-17</v>
      </c>
      <c r="AJ6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79" s="8" t="str">
        <v>2026-10-06 大促；2026-10-07 大促</v>
      </c>
      <c r="AL679" s="8" t="n">
        <v>11</v>
      </c>
      <c r="AM679" s="8" t="n">
        <v>1</v>
      </c>
      <c r="AN679" s="8" t="n">
        <v>30</v>
      </c>
      <c r="AO679" s="8" t="str">
        <v>2311062 / 白色PU / 13306</v>
      </c>
      <c r="AP679" s="11" t="n">
        <v>1.4758912429949873</v>
      </c>
      <c r="AQ679" s="11" t="n">
        <v>1.4758912429949873</v>
      </c>
      <c r="AR679" s="11" t="n">
        <v>1.4124697525543728</v>
      </c>
      <c r="AS679" s="11" t="n">
        <f>IF(AND(COUNT(I679:K679,AP679:AR679)=6,MIN(AP679:AR679)&gt;0),I679/7/AP679*0.5+J679/14/AQ679*0.3+K679/30/AR679*0.2,"")</f>
        <v>0.18270999081357292</v>
      </c>
      <c r="AT679" s="8" t="n">
        <v>36</v>
      </c>
      <c r="AU679" s="8" t="n">
        <v>1</v>
      </c>
      <c r="AV679" s="8" t="n">
        <v>88</v>
      </c>
      <c r="AW679" s="11" t="n">
        <f>IF(AND(COUNT(AT679:AV679)=3,AT679&gt;=AU679,AU679&gt;=0,AV679&gt;0),(AT679-AU679)/AV679,"")</f>
        <v>0.3977272727272727</v>
      </c>
      <c r="AX679" s="8" t="n">
        <v>118</v>
      </c>
      <c r="AY679" s="8" t="n">
        <v>1</v>
      </c>
      <c r="AZ679" s="8" t="n">
        <v>178</v>
      </c>
      <c r="BA679" s="11" t="n">
        <f>IF(AND(COUNT(AX679:AZ679)=3,AX679&gt;=AY679,AY679&gt;=0,AZ679&gt;0),(AX679-AY679)/AZ679,"")</f>
        <v>0.6573033707865169</v>
      </c>
      <c r="BB679" s="8" t="n">
        <f>IF(COUNT(AS679,AW679,BA679)=3,1,0)</f>
        <v>1</v>
      </c>
      <c r="BC679" s="11" t="n">
        <f>IF(SUMIF($AO$11:$AO$1309,AO679,$BB$11:$BB$1309)=COUNTIF($AO$11:$AO$1309,AO679),SUMIF($AO$11:$AO$1309,AO679,$AS$11:$AS$1309),"")</f>
        <v>2.3441080350705397</v>
      </c>
      <c r="BD679" s="11" t="n">
        <f>IF(SUMIF($AO$11:$AO$1309,AO679,$BB$11:$BB$1309)=COUNTIF($AO$11:$AO$1309,AO679),SUMIF($AO$11:$AO$1309,AO679,$AW$11:$AW$1309),"")</f>
        <v>4.965909090909092</v>
      </c>
      <c r="BE679" s="11" t="n">
        <f>IF(SUMIF($AO$11:$AO$1309,AO679,$BB$11:$BB$1309)=COUNTIF($AO$11:$AO$1309,AO679),SUMIF($AO$11:$AO$1309,AO679,$BA$11:$BA$1309),"")</f>
        <v>7.432584269662921</v>
      </c>
      <c r="BF679" s="12" t="n">
        <f>IF(COUNT(BD679:BE679)&lt;&gt;2,"",IF(AND(BD679&gt;0,BE679&gt;0),0.7*AW679/BD679+0.3*BA679/BE679,IF(BD679&gt;0,AW679/BD679,IF(BE679&gt;0,BA679/BE679,IF(AND(ISNUMBER(BH679),BH679=0),0,"")))))</f>
        <v>0.08259468547144257</v>
      </c>
      <c r="BG679" s="11" t="n">
        <f>IF(AND(COUNT(BN679:BU679)=8,MIN(BN679:BU679)&gt;=0),SUMPRODUCT(BN679:BQ679,BR679:BU679),"")</f>
        <v>83.81006574832674</v>
      </c>
      <c r="BH679" s="11" t="n">
        <f>IF(COUNT(BC679,BG679)=2,BC679*BG679,"")</f>
        <v>196.45984854044292</v>
      </c>
      <c r="BI679" s="11" t="n">
        <f>IF(ISNUMBER(CI679),CI679,"")</f>
        <v>16.226539397965126</v>
      </c>
      <c r="BJ679" s="8" t="str"/>
      <c r="BK679" s="8" t="str">
        <v>90天：2026-07-20 至 2026-10-17；180天：2026-04-21 至 2026-10-17</v>
      </c>
      <c r="BL679" s="8" t="str">
        <v>90天：2026-10-06、2026-10-07；180天：2026-10-06、2026-10-07</v>
      </c>
      <c r="BM679" s="8" t="str">
        <v>2026-10：12天 × 1.4758912429949873；2026-11：30天 × 0.906602681585801；2026-12：31天 × 0.6189770892129804；2027-01：17天 × 1.1595882717182624</v>
      </c>
      <c r="BN679" s="11" t="n">
        <v>1.4758912429949873</v>
      </c>
      <c r="BO679" s="11" t="n">
        <v>0.906602681585801</v>
      </c>
      <c r="BP679" s="11" t="n">
        <v>0.6189770892129804</v>
      </c>
      <c r="BQ679" s="11" t="n">
        <v>1.1595882717182624</v>
      </c>
      <c r="BR679" s="8" t="n">
        <v>12</v>
      </c>
      <c r="BS679" s="8" t="n">
        <v>30</v>
      </c>
      <c r="BT679" s="8" t="n">
        <v>31</v>
      </c>
      <c r="BU679" s="8" t="n">
        <v>17</v>
      </c>
      <c r="BV679" s="11" t="n">
        <f>IF(COUNT(BC679,BF679)=2,BC679*BF679,"")</f>
        <v>0.1936108658677325</v>
      </c>
      <c r="BW679" s="11" t="n">
        <f>IF(ISNUMBER(BN679),BN679,"")</f>
        <v>1.4758912429949873</v>
      </c>
      <c r="BX679" s="14" t="n">
        <f>IF(ISNUMBER(BR679),BR679,"")</f>
        <v>12</v>
      </c>
      <c r="BY679" s="13" t="n">
        <f>IF(AND(COUNT(BV679,BW679,BX679)=3,MIN(BV679,BW679,BX679)&gt;=0),BV679*BW679*BX679,"")</f>
        <v>3.4289829777943615</v>
      </c>
      <c r="BZ679" s="11" t="n">
        <f>IF(ISNUMBER(BO679),BO679,"")</f>
        <v>0.906602681585801</v>
      </c>
      <c r="CA679" s="14" t="n">
        <f>IF(ISNUMBER(BS679),BS679,"")</f>
        <v>30</v>
      </c>
      <c r="CB679" s="13" t="n">
        <f>IF(AND(COUNT(BV679,BZ679,CA679)=3,MIN(BV679,BZ679,CA679)&gt;=0),BV679*BZ679*CA679,"")</f>
        <v>5.265843905395053</v>
      </c>
      <c r="CC679" s="11" t="n">
        <f>IF(ISNUMBER(BP679),BP679,"")</f>
        <v>0.6189770892129804</v>
      </c>
      <c r="CD679" s="14" t="n">
        <f>IF(ISNUMBER(BT679),BT679,"")</f>
        <v>31</v>
      </c>
      <c r="CE679" s="13" t="n">
        <f>IF(AND(COUNT(BV679,CC679,CD679)=3,MIN(BV679,CC679,CD679)&gt;=0),BV679*CC679*CD679,"")</f>
        <v>3.7150613960392294</v>
      </c>
      <c r="CF679" s="11" t="n">
        <f>IF(ISNUMBER(BQ679),BQ679,"")</f>
        <v>1.1595882717182624</v>
      </c>
      <c r="CG679" s="14" t="n">
        <f>IF(ISNUMBER(BU679),BU679,"")</f>
        <v>17</v>
      </c>
      <c r="CH679" s="13" t="n">
        <f>IF(AND(COUNT(BV679,CF679,CG679)=3,MIN(BV679,CF679,CG679)&gt;=0),BV679*CF679*CG679,"")</f>
        <v>3.816651118736484</v>
      </c>
      <c r="CI679" s="13" t="n">
        <f>IF(COUNT(BY679,CB679,CE679,CH679)=4,SUM(BY679,CB679,CE679,CH679),"")</f>
        <v>16.226539397965126</v>
      </c>
    </row>
    <row r="680" ht="72" customHeight="1">
      <c r="A680" s="16" t="str">
        <v>2311062-WT-P-O-11</v>
      </c>
      <c r="B680" s="16" t="str">
        <v>4店-彬郁-US</v>
      </c>
      <c r="C680" s="16" t="str">
        <v>陈晨</v>
      </c>
      <c r="D680" s="26" t="n">
        <f>IF(NOT(ISNUMBER(E680)),"",IF(OR(E680&lt;=0,L680=0),0,IF(OR(NOT(ISNUMBER(F680)),F680&lt;0),"",MIN(E680,INT(F680)))))</f>
        <v>0</v>
      </c>
      <c r="E680" s="27" t="n">
        <f>IF(OR(NOT(ISNUMBER(L680)),COUNT(M680:O680)&lt;&gt;3,MIN(M680:O680)&lt;0),"",ROUNDUP(ROUND(BI680-SUM(M680:O680),10),0))</f>
        <v>-35</v>
      </c>
      <c r="F680" s="28" t="n">
        <v>50</v>
      </c>
      <c r="G680" s="28" t="n">
        <f>IF(AND(ISNUMBER(D680),ISNUMBER(E680)),IF(OR(E680&lt;=0,L680=0),0,E680-D680),"")</f>
        <v>0</v>
      </c>
      <c r="H680" s="16" t="str">
        <f>IF(NOT(ISNUMBER(E680)),"销量或海外库存待补",IF(OR(E680&lt;=0,L680=0),IF(L680=0,"零日销，本批不发","本批无需补货"),IF(NOT(ISNUMBER(D680)),"国内库存待补",IF(D680=0,"国内无可用库存",IF(G680&gt;0,"先发国内现货","按建议量发货")))))</f>
        <v>本批无需补货</v>
      </c>
      <c r="I680" s="28" t="n">
        <f>IF(AND(COUNT(Z680,AA680,AB680)=3,Z680&gt;=AA680,AA680&gt;=0,AB680=7),Z680-AA680,"")</f>
        <v>0</v>
      </c>
      <c r="J680" s="28" t="n">
        <f>IF(AND(COUNT(AF680,AG680,AH680)=3,AF680&gt;=AG680,AG680&gt;=0,AH680=14),AF680-AG680,"")</f>
        <v>0</v>
      </c>
      <c r="K680" s="28" t="n">
        <f>IF(AND(COUNT(AL680,AM680,AN680)=3,AL680&gt;=AM680,AM680&gt;=0,AN680=30),AL680-AM680,"")</f>
        <v>0</v>
      </c>
      <c r="L680" s="29" t="n">
        <f>IF(ISNUMBER(BI680),BI680/90,"")</f>
        <v>0.08567671158341622</v>
      </c>
      <c r="M680" s="28" t="n">
        <v>2</v>
      </c>
      <c r="N680" s="28" t="n">
        <v>0</v>
      </c>
      <c r="O680" s="28" t="n">
        <v>40</v>
      </c>
      <c r="P680" s="30" t="n">
        <f>IF(AND(ISNUMBER(L680),L680&gt;0,COUNT(M680:O680)=3,MIN(M680:O680)&gt;=0),SUM(M680:O680)/L680,"")</f>
        <v>490.21489298300304</v>
      </c>
      <c r="Q680" s="16" t="str">
        <v>沿用原计划SKU店铺</v>
      </c>
      <c r="R680" s="16" t="str">
        <v>已匹配</v>
      </c>
      <c r="S680" s="16" t="str">
        <v>在售</v>
      </c>
      <c r="T680" s="16" t="str">
        <v>2311062</v>
      </c>
      <c r="U680" s="16" t="str">
        <v>白色 PU</v>
      </c>
      <c r="V680" s="16" t="n">
        <v>11</v>
      </c>
      <c r="W680" s="8" t="str">
        <v>2026-10-11 至 2026-10-17</v>
      </c>
      <c r="X680" s="8" t="str">
        <v>2026-10-11、2026-10-12、2026-10-13、2026-10-14、2026-10-15、2026-10-16、2026-10-17</v>
      </c>
      <c r="Y680" s="8" t="str">
        <v>无</v>
      </c>
      <c r="Z680" s="8" t="n">
        <v>0</v>
      </c>
      <c r="AA680" s="8" t="n">
        <v>0</v>
      </c>
      <c r="AB680" s="8" t="n">
        <v>7</v>
      </c>
      <c r="AC680" s="8" t="str">
        <v>2026-10-02 至 2026-10-17</v>
      </c>
      <c r="AD680" s="8" t="str">
        <v>2026-10-02、2026-10-03、2026-10-04、2026-10-05、2026-10-08、2026-10-09、2026-10-10、2026-10-11、2026-10-12、2026-10-13、2026-10-14、2026-10-15、2026-10-16、2026-10-17</v>
      </c>
      <c r="AE680" s="8" t="str">
        <v>2026-10-06 大促；2026-10-07 大促</v>
      </c>
      <c r="AF680" s="8" t="n">
        <v>3</v>
      </c>
      <c r="AG680" s="8" t="n">
        <v>3</v>
      </c>
      <c r="AH680" s="8" t="n">
        <v>14</v>
      </c>
      <c r="AI680" s="8" t="str">
        <v>2026-09-16 至 2026-10-17</v>
      </c>
      <c r="AJ6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0" s="8" t="str">
        <v>2026-10-06 大促；2026-10-07 大促</v>
      </c>
      <c r="AL680" s="8" t="n">
        <v>3</v>
      </c>
      <c r="AM680" s="8" t="n">
        <v>3</v>
      </c>
      <c r="AN680" s="8" t="n">
        <v>30</v>
      </c>
      <c r="AO680" s="8" t="str">
        <v>2311062 / 白色PU / 13306</v>
      </c>
      <c r="AP680" s="11" t="n">
        <v>1.4758912429949873</v>
      </c>
      <c r="AQ680" s="11" t="n">
        <v>1.4758912429949873</v>
      </c>
      <c r="AR680" s="11" t="n">
        <v>1.4124697525543728</v>
      </c>
      <c r="AS680" s="11" t="n">
        <f>IF(AND(COUNT(I680:K680,AP680:AR680)=6,MIN(AP680:AR680)&gt;0),I680/7/AP680*0.5+J680/14/AQ680*0.3+K680/30/AR680*0.2,"")</f>
        <v>0</v>
      </c>
      <c r="AT680" s="8" t="n">
        <v>20</v>
      </c>
      <c r="AU680" s="8" t="n">
        <v>3</v>
      </c>
      <c r="AV680" s="8" t="n">
        <v>88</v>
      </c>
      <c r="AW680" s="11" t="n">
        <f>IF(AND(COUNT(AT680:AV680)=3,AT680&gt;=AU680,AU680&gt;=0,AV680&gt;0),(AT680-AU680)/AV680,"")</f>
        <v>0.19318181818181818</v>
      </c>
      <c r="AX680" s="8" t="n">
        <v>56</v>
      </c>
      <c r="AY680" s="8" t="n">
        <v>3</v>
      </c>
      <c r="AZ680" s="8" t="n">
        <v>178</v>
      </c>
      <c r="BA680" s="11" t="n">
        <f>IF(AND(COUNT(AX680:AZ680)=3,AX680&gt;=AY680,AY680&gt;=0,AZ680&gt;0),(AX680-AY680)/AZ680,"")</f>
        <v>0.29775280898876405</v>
      </c>
      <c r="BB680" s="8" t="n">
        <f>IF(COUNT(AS680,AW680,BA680)=3,1,0)</f>
        <v>1</v>
      </c>
      <c r="BC680" s="11" t="n">
        <f>IF(SUMIF($AO$11:$AO$1309,AO680,$BB$11:$BB$1309)=COUNTIF($AO$11:$AO$1309,AO680),SUMIF($AO$11:$AO$1309,AO680,$AS$11:$AS$1309),"")</f>
        <v>2.3441080350705397</v>
      </c>
      <c r="BD680" s="11" t="n">
        <f>IF(SUMIF($AO$11:$AO$1309,AO680,$BB$11:$BB$1309)=COUNTIF($AO$11:$AO$1309,AO680),SUMIF($AO$11:$AO$1309,AO680,$AW$11:$AW$1309),"")</f>
        <v>4.965909090909092</v>
      </c>
      <c r="BE680" s="11" t="n">
        <f>IF(SUMIF($AO$11:$AO$1309,AO680,$BB$11:$BB$1309)=COUNTIF($AO$11:$AO$1309,AO680),SUMIF($AO$11:$AO$1309,AO680,$BA$11:$BA$1309),"")</f>
        <v>7.432584269662921</v>
      </c>
      <c r="BF680" s="12" t="n">
        <f>IF(COUNT(BD680:BE680)&lt;&gt;2,"",IF(AND(BD680&gt;0,BE680&gt;0),0.7*AW680/BD680+0.3*BA680/BE680,IF(BD680&gt;0,AW680/BD680,IF(BE680&gt;0,BA680/BE680,IF(AND(ISNUMBER(BH680),BH680=0),0,"")))))</f>
        <v>0.03924926187103369</v>
      </c>
      <c r="BG680" s="11" t="n">
        <f>IF(AND(COUNT(BN680:BU680)=8,MIN(BN680:BU680)&gt;=0),SUMPRODUCT(BN680:BQ680,BR680:BU680),"")</f>
        <v>83.81006574832674</v>
      </c>
      <c r="BH680" s="11" t="n">
        <f>IF(COUNT(BC680,BG680)=2,BC680*BG680,"")</f>
        <v>196.45984854044292</v>
      </c>
      <c r="BI680" s="11" t="n">
        <f>IF(ISNUMBER(CI680),CI680,"")</f>
        <v>7.71090404250746</v>
      </c>
      <c r="BJ680" s="8" t="str"/>
      <c r="BK680" s="8" t="str">
        <v>90天：2026-07-20 至 2026-10-17；180天：2026-04-21 至 2026-10-17</v>
      </c>
      <c r="BL680" s="8" t="str">
        <v>90天：2026-10-06、2026-10-07；180天：2026-10-06、2026-10-07</v>
      </c>
      <c r="BM680" s="8" t="str">
        <v>2026-10：12天 × 1.4758912429949873；2026-11：30天 × 0.906602681585801；2026-12：31天 × 0.6189770892129804；2027-01：17天 × 1.1595882717182624</v>
      </c>
      <c r="BN680" s="11" t="n">
        <v>1.4758912429949873</v>
      </c>
      <c r="BO680" s="11" t="n">
        <v>0.906602681585801</v>
      </c>
      <c r="BP680" s="11" t="n">
        <v>0.6189770892129804</v>
      </c>
      <c r="BQ680" s="11" t="n">
        <v>1.1595882717182624</v>
      </c>
      <c r="BR680" s="8" t="n">
        <v>12</v>
      </c>
      <c r="BS680" s="8" t="n">
        <v>30</v>
      </c>
      <c r="BT680" s="8" t="n">
        <v>31</v>
      </c>
      <c r="BU680" s="8" t="n">
        <v>17</v>
      </c>
      <c r="BV680" s="11" t="n">
        <f>IF(COUNT(BC680,BF680)=2,BC680*BF680,"")</f>
        <v>0.09200451012247783</v>
      </c>
      <c r="BW680" s="11" t="n">
        <f>IF(ISNUMBER(BN680),BN680,"")</f>
        <v>1.4758912429949873</v>
      </c>
      <c r="BX680" s="14" t="n">
        <f>IF(ISNUMBER(BR680),BR680,"")</f>
        <v>12</v>
      </c>
      <c r="BY680" s="13" t="n">
        <f>IF(AND(COUNT(BV680,BW680,BX680)=3,MIN(BV680,BW680,BX680)&gt;=0),BV680*BW680*BX680,"")</f>
        <v>1.6294638096697045</v>
      </c>
      <c r="BZ680" s="11" t="n">
        <f>IF(ISNUMBER(BO680),BO680,"")</f>
        <v>0.906602681585801</v>
      </c>
      <c r="CA680" s="14" t="n">
        <f>IF(ISNUMBER(BS680),BS680,"")</f>
        <v>30</v>
      </c>
      <c r="CB680" s="13" t="n">
        <f>IF(AND(COUNT(BV680,BZ680,CA680)=3,MIN(BV680,BZ680,CA680)&gt;=0),BV680*BZ680*CA680,"")</f>
        <v>2.5023460678507914</v>
      </c>
      <c r="CC680" s="11" t="n">
        <f>IF(ISNUMBER(BP680),BP680,"")</f>
        <v>0.6189770892129804</v>
      </c>
      <c r="CD680" s="14" t="n">
        <f>IF(ISNUMBER(BT680),BT680,"")</f>
        <v>31</v>
      </c>
      <c r="CE680" s="13" t="n">
        <f>IF(AND(COUNT(BV680,CC680,CD680)=3,MIN(BV680,CC680,CD680)&gt;=0),BV680*CC680*CD680,"")</f>
        <v>1.7654091999724033</v>
      </c>
      <c r="CF680" s="11" t="n">
        <f>IF(ISNUMBER(BQ680),BQ680,"")</f>
        <v>1.1595882717182624</v>
      </c>
      <c r="CG680" s="14" t="n">
        <f>IF(ISNUMBER(BU680),BU680,"")</f>
        <v>17</v>
      </c>
      <c r="CH680" s="13" t="n">
        <f>IF(AND(COUNT(BV680,CF680,CG680)=3,MIN(BV680,CF680,CG680)&gt;=0),BV680*CF680*CG680,"")</f>
        <v>1.8136849650145606</v>
      </c>
      <c r="CI680" s="13" t="n">
        <f>IF(COUNT(BY680,CB680,CE680,CH680)=4,SUM(BY680,CB680,CE680,CH680),"")</f>
        <v>7.71090404250746</v>
      </c>
    </row>
    <row r="681" ht="72" customHeight="1">
      <c r="A681" s="16" t="str">
        <v>2311062-WT-P-O-6</v>
      </c>
      <c r="B681" s="16" t="str">
        <v>4店-彬郁-US</v>
      </c>
      <c r="C681" s="16" t="str">
        <v>陈晨</v>
      </c>
      <c r="D681" s="26" t="n">
        <f>IF(NOT(ISNUMBER(E681)),"",IF(OR(E681&lt;=0,L681=0),0,IF(OR(NOT(ISNUMBER(F681)),F681&lt;0),"",MIN(E681,INT(F681)))))</f>
        <v>0</v>
      </c>
      <c r="E681" s="27" t="n">
        <f>IF(OR(NOT(ISNUMBER(L681)),COUNT(M681:O681)&lt;&gt;3,MIN(M681:O681)&lt;0),"",ROUNDUP(ROUND(BI681-SUM(M681:O681),10),0))</f>
        <v>-113</v>
      </c>
      <c r="F681" s="28" t="n">
        <v>5</v>
      </c>
      <c r="G681" s="28" t="n">
        <f>IF(AND(ISNUMBER(D681),ISNUMBER(E681)),IF(OR(E681&lt;=0,L681=0),0,E681-D681),"")</f>
        <v>0</v>
      </c>
      <c r="H681" s="16" t="str">
        <f>IF(NOT(ISNUMBER(E681)),"销量或海外库存待补",IF(OR(E681&lt;=0,L681=0),IF(L681=0,"零日销，本批不发","本批无需补货"),IF(NOT(ISNUMBER(D681)),"国内库存待补",IF(D681=0,"国内无可用库存",IF(G681&gt;0,"先发国内现货","按建议量发货")))))</f>
        <v>本批无需补货</v>
      </c>
      <c r="I681" s="28" t="n">
        <f>IF(AND(COUNT(Z681,AA681,AB681)=3,Z681&gt;=AA681,AA681&gt;=0,AB681=7),Z681-AA681,"")</f>
        <v>1</v>
      </c>
      <c r="J681" s="28" t="n">
        <f>IF(AND(COUNT(AF681,AG681,AH681)=3,AF681&gt;=AG681,AG681&gt;=0,AH681=14),AF681-AG681,"")</f>
        <v>8</v>
      </c>
      <c r="K681" s="28" t="n">
        <f>IF(AND(COUNT(AL681,AM681,AN681)=3,AL681&gt;=AM681,AM681&gt;=0,AN681=30),AL681-AM681,"")</f>
        <v>12</v>
      </c>
      <c r="L681" s="29" t="n">
        <f>IF(ISNUMBER(BI681),BI681/90,"")</f>
        <v>0.16782509217023878</v>
      </c>
      <c r="M681" s="28" t="n">
        <v>8</v>
      </c>
      <c r="N681" s="28" t="n">
        <v>0</v>
      </c>
      <c r="O681" s="28" t="n">
        <v>120</v>
      </c>
      <c r="P681" s="30" t="n">
        <f>IF(AND(ISNUMBER(L681),L681&gt;0,COUNT(M681:O681)=3,MIN(M681:O681)&gt;=0),SUM(M681:O681)/L681,"")</f>
        <v>762.6988214024581</v>
      </c>
      <c r="Q681" s="16" t="str">
        <v>沿用原计划SKU店铺</v>
      </c>
      <c r="R681" s="16" t="str">
        <v>已匹配</v>
      </c>
      <c r="S681" s="16" t="str">
        <v>在售</v>
      </c>
      <c r="T681" s="16" t="str">
        <v>2311062</v>
      </c>
      <c r="U681" s="16" t="str">
        <v>白色 PU</v>
      </c>
      <c r="V681" s="16" t="n">
        <v>6</v>
      </c>
      <c r="W681" s="8" t="str">
        <v>2026-10-11 至 2026-10-17</v>
      </c>
      <c r="X681" s="8" t="str">
        <v>2026-10-11、2026-10-12、2026-10-13、2026-10-14、2026-10-15、2026-10-16、2026-10-17</v>
      </c>
      <c r="Y681" s="8" t="str">
        <v>无</v>
      </c>
      <c r="Z681" s="8" t="n">
        <v>1</v>
      </c>
      <c r="AA681" s="8" t="n">
        <v>0</v>
      </c>
      <c r="AB681" s="8" t="n">
        <v>7</v>
      </c>
      <c r="AC681" s="8" t="str">
        <v>2026-10-02 至 2026-10-17</v>
      </c>
      <c r="AD681" s="8" t="str">
        <v>2026-10-02、2026-10-03、2026-10-04、2026-10-05、2026-10-08、2026-10-09、2026-10-10、2026-10-11、2026-10-12、2026-10-13、2026-10-14、2026-10-15、2026-10-16、2026-10-17</v>
      </c>
      <c r="AE681" s="8" t="str">
        <v>2026-10-06 大促；2026-10-07 大促</v>
      </c>
      <c r="AF681" s="8" t="n">
        <v>9</v>
      </c>
      <c r="AG681" s="8" t="n">
        <v>1</v>
      </c>
      <c r="AH681" s="8" t="n">
        <v>14</v>
      </c>
      <c r="AI681" s="8" t="str">
        <v>2026-09-16 至 2026-10-17</v>
      </c>
      <c r="AJ6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1" s="8" t="str">
        <v>2026-10-06 大促；2026-10-07 大促</v>
      </c>
      <c r="AL681" s="8" t="n">
        <v>13</v>
      </c>
      <c r="AM681" s="8" t="n">
        <v>1</v>
      </c>
      <c r="AN681" s="8" t="n">
        <v>30</v>
      </c>
      <c r="AO681" s="8" t="str">
        <v>2311062 / 白色PU / 13306</v>
      </c>
      <c r="AP681" s="11" t="n">
        <v>1.4758912429949873</v>
      </c>
      <c r="AQ681" s="11" t="n">
        <v>1.4758912429949873</v>
      </c>
      <c r="AR681" s="11" t="n">
        <v>1.4124697525543728</v>
      </c>
      <c r="AS681" s="11" t="n">
        <f>IF(AND(COUNT(I681:K681,AP681:AR681)=6,MIN(AP681:AR681)&gt;0),I681/7/AP681*0.5+J681/14/AQ681*0.3+K681/30/AR681*0.2,"")</f>
        <v>0.22118786526168707</v>
      </c>
      <c r="AT681" s="8" t="n">
        <v>33</v>
      </c>
      <c r="AU681" s="8" t="n">
        <v>1</v>
      </c>
      <c r="AV681" s="8" t="n">
        <v>88</v>
      </c>
      <c r="AW681" s="11" t="n">
        <f>IF(AND(COUNT(AT681:AV681)=3,AT681&gt;=AU681,AU681&gt;=0,AV681&gt;0),(AT681-AU681)/AV681,"")</f>
        <v>0.36363636363636365</v>
      </c>
      <c r="AX681" s="8" t="n">
        <v>114</v>
      </c>
      <c r="AY681" s="8" t="n">
        <v>1</v>
      </c>
      <c r="AZ681" s="8" t="n">
        <v>178</v>
      </c>
      <c r="BA681" s="11" t="n">
        <f>IF(AND(COUNT(AX681:AZ681)=3,AX681&gt;=AY681,AY681&gt;=0,AZ681&gt;0),(AX681-AY681)/AZ681,"")</f>
        <v>0.6348314606741573</v>
      </c>
      <c r="BB681" s="8" t="n">
        <f>IF(COUNT(AS681,AW681,BA681)=3,1,0)</f>
        <v>1</v>
      </c>
      <c r="BC681" s="11" t="n">
        <f>IF(SUMIF($AO$11:$AO$1309,AO681,$BB$11:$BB$1309)=COUNTIF($AO$11:$AO$1309,AO681),SUMIF($AO$11:$AO$1309,AO681,$AS$11:$AS$1309),"")</f>
        <v>2.3441080350705397</v>
      </c>
      <c r="BD681" s="11" t="n">
        <f>IF(SUMIF($AO$11:$AO$1309,AO681,$BB$11:$BB$1309)=COUNTIF($AO$11:$AO$1309,AO681),SUMIF($AO$11:$AO$1309,AO681,$AW$11:$AW$1309),"")</f>
        <v>4.965909090909092</v>
      </c>
      <c r="BE681" s="11" t="n">
        <f>IF(SUMIF($AO$11:$AO$1309,AO681,$BB$11:$BB$1309)=COUNTIF($AO$11:$AO$1309,AO681),SUMIF($AO$11:$AO$1309,AO681,$BA$11:$BA$1309),"")</f>
        <v>7.432584269662921</v>
      </c>
      <c r="BF681" s="12" t="n">
        <f>IF(COUNT(BD681:BE681)&lt;&gt;2,"",IF(AND(BD681&gt;0,BE681&gt;0),0.7*AW681/BD681+0.3*BA681/BE681,IF(BD681&gt;0,AW681/BD681,IF(BE681&gt;0,BA681/BE681,IF(AND(ISNUMBER(BH681),BH681=0),0,"")))))</f>
        <v>0.07688216400213783</v>
      </c>
      <c r="BG681" s="11" t="n">
        <f>IF(AND(COUNT(BN681:BU681)=8,MIN(BN681:BU681)&gt;=0),SUMPRODUCT(BN681:BQ681,BR681:BU681),"")</f>
        <v>83.81006574832674</v>
      </c>
      <c r="BH681" s="11" t="n">
        <f>IF(COUNT(BC681,BG681)=2,BC681*BG681,"")</f>
        <v>196.45984854044292</v>
      </c>
      <c r="BI681" s="11" t="n">
        <f>IF(ISNUMBER(CI681),CI681,"")</f>
        <v>15.10425829532149</v>
      </c>
      <c r="BJ681" s="8" t="str"/>
      <c r="BK681" s="8" t="str">
        <v>90天：2026-07-20 至 2026-10-17；180天：2026-04-21 至 2026-10-17</v>
      </c>
      <c r="BL681" s="8" t="str">
        <v>90天：2026-10-06、2026-10-07；180天：2026-10-06、2026-10-07</v>
      </c>
      <c r="BM681" s="8" t="str">
        <v>2026-10：12天 × 1.4758912429949873；2026-11：30天 × 0.906602681585801；2026-12：31天 × 0.6189770892129804；2027-01：17天 × 1.1595882717182624</v>
      </c>
      <c r="BN681" s="11" t="n">
        <v>1.4758912429949873</v>
      </c>
      <c r="BO681" s="11" t="n">
        <v>0.906602681585801</v>
      </c>
      <c r="BP681" s="11" t="n">
        <v>0.6189770892129804</v>
      </c>
      <c r="BQ681" s="11" t="n">
        <v>1.1595882717182624</v>
      </c>
      <c r="BR681" s="8" t="n">
        <v>12</v>
      </c>
      <c r="BS681" s="8" t="n">
        <v>30</v>
      </c>
      <c r="BT681" s="8" t="n">
        <v>31</v>
      </c>
      <c r="BU681" s="8" t="n">
        <v>17</v>
      </c>
      <c r="BV681" s="11" t="n">
        <f>IF(COUNT(BC681,BF681)=2,BC681*BF681,"")</f>
        <v>0.1802200983910223</v>
      </c>
      <c r="BW681" s="11" t="n">
        <f>IF(ISNUMBER(BN681),BN681,"")</f>
        <v>1.4758912429949873</v>
      </c>
      <c r="BX681" s="14" t="n">
        <f>IF(ISNUMBER(BR681),BR681,"")</f>
        <v>12</v>
      </c>
      <c r="BY681" s="13" t="n">
        <f>IF(AND(COUNT(BV681,BW681,BX681)=3,MIN(BV681,BW681,BX681)&gt;=0),BV681*BW681*BX681,"")</f>
        <v>3.1918231803240578</v>
      </c>
      <c r="BZ681" s="11" t="n">
        <f>IF(ISNUMBER(BO681),BO681,"")</f>
        <v>0.906602681585801</v>
      </c>
      <c r="CA681" s="14" t="n">
        <f>IF(ISNUMBER(BS681),BS681,"")</f>
        <v>30</v>
      </c>
      <c r="CB681" s="13" t="n">
        <f>IF(AND(COUNT(BV681,BZ681,CA681)=3,MIN(BV681,BZ681,CA681)&gt;=0),BV681*BZ681*CA681,"")</f>
        <v>4.901640734308732</v>
      </c>
      <c r="CC681" s="11" t="n">
        <f>IF(ISNUMBER(BP681),BP681,"")</f>
        <v>0.6189770892129804</v>
      </c>
      <c r="CD681" s="14" t="n">
        <f>IF(ISNUMBER(BT681),BT681,"")</f>
        <v>31</v>
      </c>
      <c r="CE681" s="13" t="n">
        <f>IF(AND(COUNT(BV681,CC681,CD681)=3,MIN(BV681,CC681,CD681)&gt;=0),BV681*CC681*CD681,"")</f>
        <v>3.4581154695123097</v>
      </c>
      <c r="CF681" s="11" t="n">
        <f>IF(ISNUMBER(BQ681),BQ681,"")</f>
        <v>1.1595882717182624</v>
      </c>
      <c r="CG681" s="14" t="n">
        <f>IF(ISNUMBER(BU681),BU681,"")</f>
        <v>17</v>
      </c>
      <c r="CH681" s="13" t="n">
        <f>IF(AND(COUNT(BV681,CF681,CG681)=3,MIN(BV681,CF681,CG681)&gt;=0),BV681*CF681*CG681,"")</f>
        <v>3.5526789111763923</v>
      </c>
      <c r="CI681" s="13" t="n">
        <f>IF(COUNT(BY681,CB681,CE681,CH681)=4,SUM(BY681,CB681,CE681,CH681),"")</f>
        <v>15.10425829532149</v>
      </c>
    </row>
    <row r="682" ht="72" customHeight="1">
      <c r="A682" s="16" t="str">
        <v>2311062-WT-P-O-7</v>
      </c>
      <c r="B682" s="16" t="str">
        <v>4店-彬郁-US</v>
      </c>
      <c r="C682" s="16" t="str">
        <v>陈晨</v>
      </c>
      <c r="D682" s="26" t="n">
        <f>IF(NOT(ISNUMBER(E682)),"",IF(OR(E682&lt;=0,L682=0),0,IF(OR(NOT(ISNUMBER(F682)),F682&lt;0),"",MIN(E682,INT(F682)))))</f>
        <v>0</v>
      </c>
      <c r="E682" s="27" t="n">
        <f>IF(OR(NOT(ISNUMBER(L682)),COUNT(M682:O682)&lt;&gt;3,MIN(M682:O682)&lt;0),"",ROUNDUP(ROUND(BI682-SUM(M682:O682),10),0))</f>
        <v>-188</v>
      </c>
      <c r="F682" s="28" t="n">
        <v>202</v>
      </c>
      <c r="G682" s="28" t="n">
        <f>IF(AND(ISNUMBER(D682),ISNUMBER(E682)),IF(OR(E682&lt;=0,L682=0),0,E682-D682),"")</f>
        <v>0</v>
      </c>
      <c r="H682" s="16" t="str">
        <f>IF(NOT(ISNUMBER(E682)),"销量或海外库存待补",IF(OR(E682&lt;=0,L682=0),IF(L682=0,"零日销，本批不发","本批无需补货"),IF(NOT(ISNUMBER(D682)),"国内库存待补",IF(D682=0,"国内无可用库存",IF(G682&gt;0,"先发国内现货","按建议量发货")))))</f>
        <v>本批无需补货</v>
      </c>
      <c r="I682" s="28" t="n">
        <f>IF(AND(COUNT(Z682,AA682,AB682)=3,Z682&gt;=AA682,AA682&gt;=0,AB682=7),Z682-AA682,"")</f>
        <v>8</v>
      </c>
      <c r="J682" s="28" t="n">
        <f>IF(AND(COUNT(AF682,AG682,AH682)=3,AF682&gt;=AG682,AG682&gt;=0,AH682=14),AF682-AG682,"")</f>
        <v>12</v>
      </c>
      <c r="K682" s="28" t="n">
        <f>IF(AND(COUNT(AL682,AM682,AN682)=3,AL682&gt;=AM682,AM682&gt;=0,AN682=30),AL682-AM682,"")</f>
        <v>28</v>
      </c>
      <c r="L682" s="29" t="n">
        <f>IF(ISNUMBER(BI682),BI682/90,"")</f>
        <v>0.6218335079158711</v>
      </c>
      <c r="M682" s="28" t="n">
        <v>83</v>
      </c>
      <c r="N682" s="28" t="n">
        <v>0</v>
      </c>
      <c r="O682" s="28" t="n">
        <v>160</v>
      </c>
      <c r="P682" s="30" t="n">
        <f>IF(AND(ISNUMBER(L682),L682&gt;0,COUNT(M682:O682)=3,MIN(M682:O682)&gt;=0),SUM(M682:O682)/L682,"")</f>
        <v>390.77984204234275</v>
      </c>
      <c r="Q682" s="16" t="str">
        <v>沿用原计划SKU店铺</v>
      </c>
      <c r="R682" s="16" t="str">
        <v>已匹配</v>
      </c>
      <c r="S682" s="16" t="str">
        <v>在售</v>
      </c>
      <c r="T682" s="16" t="str">
        <v>2311062</v>
      </c>
      <c r="U682" s="16" t="str">
        <v>白色 PU</v>
      </c>
      <c r="V682" s="16" t="n">
        <v>7</v>
      </c>
      <c r="W682" s="8" t="str">
        <v>2026-10-11 至 2026-10-17</v>
      </c>
      <c r="X682" s="8" t="str">
        <v>2026-10-11、2026-10-12、2026-10-13、2026-10-14、2026-10-15、2026-10-16、2026-10-17</v>
      </c>
      <c r="Y682" s="8" t="str">
        <v>无</v>
      </c>
      <c r="Z682" s="8" t="n">
        <v>8</v>
      </c>
      <c r="AA682" s="8" t="n">
        <v>0</v>
      </c>
      <c r="AB682" s="8" t="n">
        <v>7</v>
      </c>
      <c r="AC682" s="8" t="str">
        <v>2026-10-02 至 2026-10-17</v>
      </c>
      <c r="AD682" s="8" t="str">
        <v>2026-10-02、2026-10-03、2026-10-04、2026-10-05、2026-10-08、2026-10-09、2026-10-10、2026-10-11、2026-10-12、2026-10-13、2026-10-14、2026-10-15、2026-10-16、2026-10-17</v>
      </c>
      <c r="AE682" s="8" t="str">
        <v>2026-10-06 大促；2026-10-07 大促</v>
      </c>
      <c r="AF682" s="8" t="n">
        <v>19</v>
      </c>
      <c r="AG682" s="8" t="n">
        <v>7</v>
      </c>
      <c r="AH682" s="8" t="n">
        <v>14</v>
      </c>
      <c r="AI682" s="8" t="str">
        <v>2026-09-16 至 2026-10-17</v>
      </c>
      <c r="AJ6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2" s="8" t="str">
        <v>2026-10-06 大促；2026-10-07 大促</v>
      </c>
      <c r="AL682" s="8" t="n">
        <v>35</v>
      </c>
      <c r="AM682" s="8" t="n">
        <v>7</v>
      </c>
      <c r="AN682" s="8" t="n">
        <v>30</v>
      </c>
      <c r="AO682" s="8" t="str">
        <v>2311062 / 白色PU / 13306</v>
      </c>
      <c r="AP682" s="11" t="n">
        <v>1.4758912429949873</v>
      </c>
      <c r="AQ682" s="11" t="n">
        <v>1.4758912429949873</v>
      </c>
      <c r="AR682" s="11" t="n">
        <v>1.4124697525543728</v>
      </c>
      <c r="AS682" s="11" t="n">
        <f>IF(AND(COUNT(I682:K682,AP682:AR682)=6,MIN(AP682:AR682)&gt;0),I682/7/AP682*0.5+J682/14/AQ682*0.3+K682/30/AR682*0.2,"")</f>
        <v>0.6935603451055617</v>
      </c>
      <c r="AT682" s="8" t="n">
        <v>136</v>
      </c>
      <c r="AU682" s="8" t="n">
        <v>7</v>
      </c>
      <c r="AV682" s="8" t="n">
        <v>88</v>
      </c>
      <c r="AW682" s="11" t="n">
        <f>IF(AND(COUNT(AT682:AV682)=3,AT682&gt;=AU682,AU682&gt;=0,AV682&gt;0),(AT682-AU682)/AV682,"")</f>
        <v>1.4659090909090908</v>
      </c>
      <c r="AX682" s="8" t="n">
        <v>352</v>
      </c>
      <c r="AY682" s="8" t="n">
        <v>7</v>
      </c>
      <c r="AZ682" s="8" t="n">
        <v>178</v>
      </c>
      <c r="BA682" s="11" t="n">
        <f>IF(AND(COUNT(AX682:AZ682)=3,AX682&gt;=AY682,AY682&gt;=0,AZ682&gt;0),(AX682-AY682)/AZ682,"")</f>
        <v>1.9382022471910112</v>
      </c>
      <c r="BB682" s="8" t="n">
        <f>IF(COUNT(AS682,AW682,BA682)=3,1,0)</f>
        <v>1</v>
      </c>
      <c r="BC682" s="11" t="n">
        <f>IF(SUMIF($AO$11:$AO$1309,AO682,$BB$11:$BB$1309)=COUNTIF($AO$11:$AO$1309,AO682),SUMIF($AO$11:$AO$1309,AO682,$AS$11:$AS$1309),"")</f>
        <v>2.3441080350705397</v>
      </c>
      <c r="BD682" s="11" t="n">
        <f>IF(SUMIF($AO$11:$AO$1309,AO682,$BB$11:$BB$1309)=COUNTIF($AO$11:$AO$1309,AO682),SUMIF($AO$11:$AO$1309,AO682,$AW$11:$AW$1309),"")</f>
        <v>4.965909090909092</v>
      </c>
      <c r="BE682" s="11" t="n">
        <f>IF(SUMIF($AO$11:$AO$1309,AO682,$BB$11:$BB$1309)=COUNTIF($AO$11:$AO$1309,AO682),SUMIF($AO$11:$AO$1309,AO682,$BA$11:$BA$1309),"")</f>
        <v>7.432584269662921</v>
      </c>
      <c r="BF682" s="12" t="n">
        <f>IF(COUNT(BD682:BE682)&lt;&gt;2,"",IF(AND(BD682&gt;0,BE682&gt;0),0.7*AW682/BD682+0.3*BA682/BE682,IF(BD682&gt;0,AW682/BD682,IF(BE682&gt;0,BA682/BE682,IF(AND(ISNUMBER(BH682),BH682=0),0,"")))))</f>
        <v>0.2848674481234141</v>
      </c>
      <c r="BG682" s="11" t="n">
        <f>IF(AND(COUNT(BN682:BU682)=8,MIN(BN682:BU682)&gt;=0),SUMPRODUCT(BN682:BQ682,BR682:BU682),"")</f>
        <v>83.81006574832674</v>
      </c>
      <c r="BH682" s="11" t="n">
        <f>IF(COUNT(BC682,BG682)=2,BC682*BG682,"")</f>
        <v>196.45984854044292</v>
      </c>
      <c r="BI682" s="11" t="n">
        <f>IF(ISNUMBER(CI682),CI682,"")</f>
        <v>55.965015712428404</v>
      </c>
      <c r="BJ682" s="8" t="str"/>
      <c r="BK682" s="8" t="str">
        <v>90天：2026-07-20 至 2026-10-17；180天：2026-04-21 至 2026-10-17</v>
      </c>
      <c r="BL682" s="8" t="str">
        <v>90天：2026-10-06、2026-10-07；180天：2026-10-06、2026-10-07</v>
      </c>
      <c r="BM682" s="8" t="str">
        <v>2026-10：12天 × 1.4758912429949873；2026-11：30天 × 0.906602681585801；2026-12：31天 × 0.6189770892129804；2027-01：17天 × 1.1595882717182624</v>
      </c>
      <c r="BN682" s="11" t="n">
        <v>1.4758912429949873</v>
      </c>
      <c r="BO682" s="11" t="n">
        <v>0.906602681585801</v>
      </c>
      <c r="BP682" s="11" t="n">
        <v>0.6189770892129804</v>
      </c>
      <c r="BQ682" s="11" t="n">
        <v>1.1595882717182624</v>
      </c>
      <c r="BR682" s="8" t="n">
        <v>12</v>
      </c>
      <c r="BS682" s="8" t="n">
        <v>30</v>
      </c>
      <c r="BT682" s="8" t="n">
        <v>31</v>
      </c>
      <c r="BU682" s="8" t="n">
        <v>17</v>
      </c>
      <c r="BV682" s="11" t="n">
        <f>IF(COUNT(BC682,BF682)=2,BC682*BF682,"")</f>
        <v>0.667760074076135</v>
      </c>
      <c r="BW682" s="11" t="n">
        <f>IF(ISNUMBER(BN682),BN682,"")</f>
        <v>1.4758912429949873</v>
      </c>
      <c r="BX682" s="14" t="n">
        <f>IF(ISNUMBER(BR682),BR682,"")</f>
        <v>12</v>
      </c>
      <c r="BY682" s="13" t="n">
        <f>IF(AND(COUNT(BV682,BW682,BX682)=3,MIN(BV682,BW682,BX682)&gt;=0),BV682*BW682*BX682,"")</f>
        <v>11.82649494900782</v>
      </c>
      <c r="BZ682" s="11" t="n">
        <f>IF(ISNUMBER(BO682),BO682,"")</f>
        <v>0.906602681585801</v>
      </c>
      <c r="CA682" s="14" t="n">
        <f>IF(ISNUMBER(BS682),BS682,"")</f>
        <v>30</v>
      </c>
      <c r="CB682" s="13" t="n">
        <f>IF(AND(COUNT(BV682,BZ682,CA682)=3,MIN(BV682,BZ682,CA682)&gt;=0),BV682*BZ682*CA682,"")</f>
        <v>18.161792214400716</v>
      </c>
      <c r="CC682" s="11" t="n">
        <f>IF(ISNUMBER(BP682),BP682,"")</f>
        <v>0.6189770892129804</v>
      </c>
      <c r="CD682" s="14" t="n">
        <f>IF(ISNUMBER(BT682),BT682,"")</f>
        <v>31</v>
      </c>
      <c r="CE682" s="13" t="n">
        <f>IF(AND(COUNT(BV682,CC682,CD682)=3,MIN(BV682,CC682,CD682)&gt;=0),BV682*CC682*CD682,"")</f>
        <v>12.813173795272997</v>
      </c>
      <c r="CF682" s="11" t="n">
        <f>IF(ISNUMBER(BQ682),BQ682,"")</f>
        <v>1.1595882717182624</v>
      </c>
      <c r="CG682" s="14" t="n">
        <f>IF(ISNUMBER(BU682),BU682,"")</f>
        <v>17</v>
      </c>
      <c r="CH682" s="13" t="n">
        <f>IF(AND(COUNT(BV682,CF682,CG682)=3,MIN(BV682,CF682,CG682)&gt;=0),BV682*CF682*CG682,"")</f>
        <v>13.163554753746872</v>
      </c>
      <c r="CI682" s="13" t="n">
        <f>IF(COUNT(BY682,CB682,CE682,CH682)=4,SUM(BY682,CB682,CE682,CH682),"")</f>
        <v>55.965015712428404</v>
      </c>
    </row>
    <row r="683" ht="72" customHeight="1">
      <c r="A683" s="16" t="str">
        <v>2311062-WT-P-O-8</v>
      </c>
      <c r="B683" s="16" t="str">
        <v>4店-彬郁-US</v>
      </c>
      <c r="C683" s="16" t="str">
        <v>陈晨</v>
      </c>
      <c r="D683" s="26" t="n">
        <f>IF(NOT(ISNUMBER(E683)),"",IF(OR(E683&lt;=0,L683=0),0,IF(OR(NOT(ISNUMBER(F683)),F683&lt;0),"",MIN(E683,INT(F683)))))</f>
        <v>0</v>
      </c>
      <c r="E683" s="27" t="n">
        <f>IF(OR(NOT(ISNUMBER(L683)),COUNT(M683:O683)&lt;&gt;3,MIN(M683:O683)&lt;0),"",ROUNDUP(ROUND(BI683-SUM(M683:O683),10),0))</f>
        <v>-279</v>
      </c>
      <c r="F683" s="28" t="n">
        <v>282</v>
      </c>
      <c r="G683" s="28" t="n">
        <f>IF(AND(ISNUMBER(D683),ISNUMBER(E683)),IF(OR(E683&lt;=0,L683=0),0,E683-D683),"")</f>
        <v>0</v>
      </c>
      <c r="H683" s="16" t="str">
        <f>IF(NOT(ISNUMBER(E683)),"销量或海外库存待补",IF(OR(E683&lt;=0,L683=0),IF(L683=0,"零日销，本批不发","本批无需补货"),IF(NOT(ISNUMBER(D683)),"国内库存待补",IF(D683=0,"国内无可用库存",IF(G683&gt;0,"先发国内现货","按建议量发货")))))</f>
        <v>本批无需补货</v>
      </c>
      <c r="I683" s="28" t="n">
        <f>IF(AND(COUNT(Z683,AA683,AB683)=3,Z683&gt;=AA683,AA683&gt;=0,AB683=7),Z683-AA683,"")</f>
        <v>9</v>
      </c>
      <c r="J683" s="28" t="n">
        <f>IF(AND(COUNT(AF683,AG683,AH683)=3,AF683&gt;=AG683,AG683&gt;=0,AH683=14),AF683-AG683,"")</f>
        <v>16</v>
      </c>
      <c r="K683" s="28" t="n">
        <f>IF(AND(COUNT(AL683,AM683,AN683)=3,AL683&gt;=AM683,AM683&gt;=0,AN683=30),AL683-AM683,"")</f>
        <v>39</v>
      </c>
      <c r="L683" s="29" t="n">
        <f>IF(ISNUMBER(BI683),BI683/90,"")</f>
        <v>0.6914803831385192</v>
      </c>
      <c r="M683" s="28" t="n">
        <v>183</v>
      </c>
      <c r="N683" s="28" t="n">
        <v>22</v>
      </c>
      <c r="O683" s="28" t="n">
        <v>136</v>
      </c>
      <c r="P683" s="30" t="n">
        <f>IF(AND(ISNUMBER(L683),L683&gt;0,COUNT(M683:O683)=3,MIN(M683:O683)&gt;=0),SUM(M683:O683)/L683,"")</f>
        <v>493.14486472089834</v>
      </c>
      <c r="Q683" s="16" t="str">
        <v>沿用原计划SKU店铺</v>
      </c>
      <c r="R683" s="16" t="str">
        <v>已匹配</v>
      </c>
      <c r="S683" s="16" t="str">
        <v>在售</v>
      </c>
      <c r="T683" s="16" t="str">
        <v>2311062</v>
      </c>
      <c r="U683" s="16" t="str">
        <v>白色 PU</v>
      </c>
      <c r="V683" s="16" t="n">
        <v>8</v>
      </c>
      <c r="W683" s="8" t="str">
        <v>2026-10-11 至 2026-10-17</v>
      </c>
      <c r="X683" s="8" t="str">
        <v>2026-10-11、2026-10-12、2026-10-13、2026-10-14、2026-10-15、2026-10-16、2026-10-17</v>
      </c>
      <c r="Y683" s="8" t="str">
        <v>无</v>
      </c>
      <c r="Z683" s="8" t="n">
        <v>9</v>
      </c>
      <c r="AA683" s="8" t="n">
        <v>0</v>
      </c>
      <c r="AB683" s="8" t="n">
        <v>7</v>
      </c>
      <c r="AC683" s="8" t="str">
        <v>2026-10-02 至 2026-10-17</v>
      </c>
      <c r="AD683" s="8" t="str">
        <v>2026-10-02、2026-10-03、2026-10-04、2026-10-05、2026-10-08、2026-10-09、2026-10-10、2026-10-11、2026-10-12、2026-10-13、2026-10-14、2026-10-15、2026-10-16、2026-10-17</v>
      </c>
      <c r="AE683" s="8" t="str">
        <v>2026-10-06 大促；2026-10-07 大促</v>
      </c>
      <c r="AF683" s="8" t="n">
        <v>23</v>
      </c>
      <c r="AG683" s="8" t="n">
        <v>7</v>
      </c>
      <c r="AH683" s="8" t="n">
        <v>14</v>
      </c>
      <c r="AI683" s="8" t="str">
        <v>2026-09-16 至 2026-10-17</v>
      </c>
      <c r="AJ6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3" s="8" t="str">
        <v>2026-10-06 大促；2026-10-07 大促</v>
      </c>
      <c r="AL683" s="8" t="n">
        <v>46</v>
      </c>
      <c r="AM683" s="8" t="n">
        <v>7</v>
      </c>
      <c r="AN683" s="8" t="n">
        <v>30</v>
      </c>
      <c r="AO683" s="8" t="str">
        <v>2311062 / 白色PU / 13306</v>
      </c>
      <c r="AP683" s="11" t="n">
        <v>1.4758912429949873</v>
      </c>
      <c r="AQ683" s="11" t="n">
        <v>1.4758912429949873</v>
      </c>
      <c r="AR683" s="11" t="n">
        <v>1.4124697525543728</v>
      </c>
      <c r="AS683" s="11" t="n">
        <f>IF(AND(COUNT(I683:K683,AP683:AR683)=6,MIN(AP683:AR683)&gt;0),I683/7/AP683*0.5+J683/14/AQ683*0.3+K683/30/AR683*0.2,"")</f>
        <v>0.8519520567217018</v>
      </c>
      <c r="AT683" s="8" t="n">
        <v>147</v>
      </c>
      <c r="AU683" s="8" t="n">
        <v>7</v>
      </c>
      <c r="AV683" s="8" t="n">
        <v>88</v>
      </c>
      <c r="AW683" s="11" t="n">
        <f>IF(AND(COUNT(AT683:AV683)=3,AT683&gt;=AU683,AU683&gt;=0,AV683&gt;0),(AT683-AU683)/AV683,"")</f>
        <v>1.5909090909090908</v>
      </c>
      <c r="AX683" s="8" t="n">
        <v>415</v>
      </c>
      <c r="AY683" s="8" t="n">
        <v>7</v>
      </c>
      <c r="AZ683" s="8" t="n">
        <v>178</v>
      </c>
      <c r="BA683" s="11" t="n">
        <f>IF(AND(COUNT(AX683:AZ683)=3,AX683&gt;=AY683,AY683&gt;=0,AZ683&gt;0),(AX683-AY683)/AZ683,"")</f>
        <v>2.292134831460674</v>
      </c>
      <c r="BB683" s="8" t="n">
        <f>IF(COUNT(AS683,AW683,BA683)=3,1,0)</f>
        <v>1</v>
      </c>
      <c r="BC683" s="11" t="n">
        <f>IF(SUMIF($AO$11:$AO$1309,AO683,$BB$11:$BB$1309)=COUNTIF($AO$11:$AO$1309,AO683),SUMIF($AO$11:$AO$1309,AO683,$AS$11:$AS$1309),"")</f>
        <v>2.3441080350705397</v>
      </c>
      <c r="BD683" s="11" t="n">
        <f>IF(SUMIF($AO$11:$AO$1309,AO683,$BB$11:$BB$1309)=COUNTIF($AO$11:$AO$1309,AO683),SUMIF($AO$11:$AO$1309,AO683,$AW$11:$AW$1309),"")</f>
        <v>4.965909090909092</v>
      </c>
      <c r="BE683" s="11" t="n">
        <f>IF(SUMIF($AO$11:$AO$1309,AO683,$BB$11:$BB$1309)=COUNTIF($AO$11:$AO$1309,AO683),SUMIF($AO$11:$AO$1309,AO683,$BA$11:$BA$1309),"")</f>
        <v>7.432584269662921</v>
      </c>
      <c r="BF683" s="12" t="n">
        <f>IF(COUNT(BD683:BE683)&lt;&gt;2,"",IF(AND(BD683&gt;0,BE683&gt;0),0.7*AW683/BD683+0.3*BA683/BE683,IF(BD683&gt;0,AW683/BD683,IF(BE683&gt;0,BA683/BE683,IF(AND(ISNUMBER(BH683),BH683=0),0,"")))))</f>
        <v>0.3167732997088995</v>
      </c>
      <c r="BG683" s="11" t="n">
        <f>IF(AND(COUNT(BN683:BU683)=8,MIN(BN683:BU683)&gt;=0),SUMPRODUCT(BN683:BQ683,BR683:BU683),"")</f>
        <v>83.81006574832674</v>
      </c>
      <c r="BH683" s="11" t="n">
        <f>IF(COUNT(BC683,BG683)=2,BC683*BG683,"")</f>
        <v>196.45984854044292</v>
      </c>
      <c r="BI683" s="11" t="n">
        <f>IF(ISNUMBER(CI683),CI683,"")</f>
        <v>62.23323448246673</v>
      </c>
      <c r="BJ683" s="8" t="str"/>
      <c r="BK683" s="8" t="str">
        <v>90天：2026-07-20 至 2026-10-17；180天：2026-04-21 至 2026-10-17</v>
      </c>
      <c r="BL683" s="8" t="str">
        <v>90天：2026-10-06、2026-10-07；180天：2026-10-06、2026-10-07</v>
      </c>
      <c r="BM683" s="8" t="str">
        <v>2026-10：12天 × 1.4758912429949873；2026-11：30天 × 0.906602681585801；2026-12：31天 × 0.6189770892129804；2027-01：17天 × 1.1595882717182624</v>
      </c>
      <c r="BN683" s="11" t="n">
        <v>1.4758912429949873</v>
      </c>
      <c r="BO683" s="11" t="n">
        <v>0.906602681585801</v>
      </c>
      <c r="BP683" s="11" t="n">
        <v>0.6189770892129804</v>
      </c>
      <c r="BQ683" s="11" t="n">
        <v>1.1595882717182624</v>
      </c>
      <c r="BR683" s="8" t="n">
        <v>12</v>
      </c>
      <c r="BS683" s="8" t="n">
        <v>30</v>
      </c>
      <c r="BT683" s="8" t="n">
        <v>31</v>
      </c>
      <c r="BU683" s="8" t="n">
        <v>17</v>
      </c>
      <c r="BV683" s="11" t="n">
        <f>IF(COUNT(BC683,BF683)=2,BC683*BF683,"")</f>
        <v>0.7425508371434396</v>
      </c>
      <c r="BW683" s="11" t="n">
        <f>IF(ISNUMBER(BN683),BN683,"")</f>
        <v>1.4758912429949873</v>
      </c>
      <c r="BX683" s="14" t="n">
        <f>IF(ISNUMBER(BR683),BR683,"")</f>
        <v>12</v>
      </c>
      <c r="BY683" s="13" t="n">
        <f>IF(AND(COUNT(BV683,BW683,BX683)=3,MIN(BV683,BW683,BX683)&gt;=0),BV683*BW683*BX683,"")</f>
        <v>13.151091336223192</v>
      </c>
      <c r="BZ683" s="11" t="n">
        <f>IF(ISNUMBER(BO683),BO683,"")</f>
        <v>0.906602681585801</v>
      </c>
      <c r="CA683" s="14" t="n">
        <f>IF(ISNUMBER(BS683),BS683,"")</f>
        <v>30</v>
      </c>
      <c r="CB683" s="13" t="n">
        <f>IF(AND(COUNT(BV683,BZ683,CA683)=3,MIN(BV683,BZ683,CA683)&gt;=0),BV683*BZ683*CA683,"")</f>
        <v>20.195957405040716</v>
      </c>
      <c r="CC683" s="11" t="n">
        <f>IF(ISNUMBER(BP683),BP683,"")</f>
        <v>0.6189770892129804</v>
      </c>
      <c r="CD683" s="14" t="n">
        <f>IF(ISNUMBER(BT683),BT683,"")</f>
        <v>31</v>
      </c>
      <c r="CE683" s="13" t="n">
        <f>IF(AND(COUNT(BV683,CC683,CD683)=3,MIN(BV683,CC683,CD683)&gt;=0),BV683*CC683*CD683,"")</f>
        <v>14.248280628798952</v>
      </c>
      <c r="CF683" s="11" t="n">
        <f>IF(ISNUMBER(BQ683),BQ683,"")</f>
        <v>1.1595882717182624</v>
      </c>
      <c r="CG683" s="14" t="n">
        <f>IF(ISNUMBER(BU683),BU683,"")</f>
        <v>17</v>
      </c>
      <c r="CH683" s="13" t="n">
        <f>IF(AND(COUNT(BV683,CF683,CG683)=3,MIN(BV683,CF683,CG683)&gt;=0),BV683*CF683*CG683,"")</f>
        <v>14.637905112403871</v>
      </c>
      <c r="CI683" s="13" t="n">
        <f>IF(COUNT(BY683,CB683,CE683,CH683)=4,SUM(BY683,CB683,CE683,CH683),"")</f>
        <v>62.23323448246673</v>
      </c>
    </row>
    <row r="684" ht="72" customHeight="1">
      <c r="A684" s="16" t="str">
        <v>2311062-WT-P-O-9</v>
      </c>
      <c r="B684" s="16" t="str">
        <v>4店-彬郁-US</v>
      </c>
      <c r="C684" s="16" t="str">
        <v>陈晨</v>
      </c>
      <c r="D684" s="26" t="n">
        <f>IF(NOT(ISNUMBER(E684)),"",IF(OR(E684&lt;=0,L684=0),0,IF(OR(NOT(ISNUMBER(F684)),F684&lt;0),"",MIN(E684,INT(F684)))))</f>
        <v>0</v>
      </c>
      <c r="E684" s="27" t="n">
        <f>IF(OR(NOT(ISNUMBER(L684)),COUNT(M684:O684)&lt;&gt;3,MIN(M684:O684)&lt;0),"",ROUNDUP(ROUND(BI684-SUM(M684:O684),10),0))</f>
        <v>-191</v>
      </c>
      <c r="F684" s="28" t="n">
        <v>143</v>
      </c>
      <c r="G684" s="28" t="n">
        <f>IF(AND(ISNUMBER(D684),ISNUMBER(E684)),IF(OR(E684&lt;=0,L684=0),0,E684-D684),"")</f>
        <v>0</v>
      </c>
      <c r="H684" s="16" t="str">
        <f>IF(NOT(ISNUMBER(E684)),"销量或海外库存待补",IF(OR(E684&lt;=0,L684=0),IF(L684=0,"零日销，本批不发","本批无需补货"),IF(NOT(ISNUMBER(D684)),"国内库存待补",IF(D684=0,"国内无可用库存",IF(G684&gt;0,"先发国内现货","按建议量发货")))))</f>
        <v>本批无需补货</v>
      </c>
      <c r="I684" s="28" t="n">
        <f>IF(AND(COUNT(Z684,AA684,AB684)=3,Z684&gt;=AA684,AA684&gt;=0,AB684=7),Z684-AA684,"")</f>
        <v>4</v>
      </c>
      <c r="J684" s="28" t="n">
        <f>IF(AND(COUNT(AF684,AG684,AH684)=3,AF684&gt;=AG684,AG684&gt;=0,AH684=14),AF684-AG684,"")</f>
        <v>8</v>
      </c>
      <c r="K684" s="28" t="n">
        <f>IF(AND(COUNT(AL684,AM684,AN684)=3,AL684&gt;=AM684,AM684&gt;=0,AN684=30),AL684-AM684,"")</f>
        <v>18</v>
      </c>
      <c r="L684" s="29" t="n">
        <f>IF(ISNUMBER(BI684),BI684/90,"")</f>
        <v>0.435776628997263</v>
      </c>
      <c r="M684" s="28" t="n">
        <v>130</v>
      </c>
      <c r="N684" s="28" t="n">
        <v>0</v>
      </c>
      <c r="O684" s="28" t="n">
        <v>100</v>
      </c>
      <c r="P684" s="30" t="n">
        <f>IF(AND(ISNUMBER(L684),L684&gt;0,COUNT(M684:O684)=3,MIN(M684:O684)&gt;=0),SUM(M684:O684)/L684,"")</f>
        <v>527.7933342346465</v>
      </c>
      <c r="Q684" s="16" t="str">
        <v>沿用原计划SKU店铺</v>
      </c>
      <c r="R684" s="16" t="str">
        <v>已匹配</v>
      </c>
      <c r="S684" s="16" t="str">
        <v>在售</v>
      </c>
      <c r="T684" s="16" t="str">
        <v>2311062</v>
      </c>
      <c r="U684" s="16" t="str">
        <v>白色 PU</v>
      </c>
      <c r="V684" s="16" t="n">
        <v>9</v>
      </c>
      <c r="W684" s="8" t="str">
        <v>2026-10-11 至 2026-10-17</v>
      </c>
      <c r="X684" s="8" t="str">
        <v>2026-10-11、2026-10-12、2026-10-13、2026-10-14、2026-10-15、2026-10-16、2026-10-17</v>
      </c>
      <c r="Y684" s="8" t="str">
        <v>无</v>
      </c>
      <c r="Z684" s="8" t="n">
        <v>4</v>
      </c>
      <c r="AA684" s="8" t="n">
        <v>0</v>
      </c>
      <c r="AB684" s="8" t="n">
        <v>7</v>
      </c>
      <c r="AC684" s="8" t="str">
        <v>2026-10-02 至 2026-10-17</v>
      </c>
      <c r="AD684" s="8" t="str">
        <v>2026-10-02、2026-10-03、2026-10-04、2026-10-05、2026-10-08、2026-10-09、2026-10-10、2026-10-11、2026-10-12、2026-10-13、2026-10-14、2026-10-15、2026-10-16、2026-10-17</v>
      </c>
      <c r="AE684" s="8" t="str">
        <v>2026-10-06 大促；2026-10-07 大促</v>
      </c>
      <c r="AF684" s="8" t="n">
        <v>16</v>
      </c>
      <c r="AG684" s="8" t="n">
        <v>8</v>
      </c>
      <c r="AH684" s="8" t="n">
        <v>14</v>
      </c>
      <c r="AI684" s="8" t="str">
        <v>2026-09-16 至 2026-10-17</v>
      </c>
      <c r="AJ6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4" s="8" t="str">
        <v>2026-10-06 大促；2026-10-07 大促</v>
      </c>
      <c r="AL684" s="8" t="n">
        <v>26</v>
      </c>
      <c r="AM684" s="8" t="n">
        <v>8</v>
      </c>
      <c r="AN684" s="8" t="n">
        <v>30</v>
      </c>
      <c r="AO684" s="8" t="str">
        <v>2311062 / 白色PU / 13306</v>
      </c>
      <c r="AP684" s="11" t="n">
        <v>1.4758912429949873</v>
      </c>
      <c r="AQ684" s="11" t="n">
        <v>1.4758912429949873</v>
      </c>
      <c r="AR684" s="11" t="n">
        <v>1.4124697525543728</v>
      </c>
      <c r="AS684" s="11" t="n">
        <f>IF(AND(COUNT(I684:K684,AP684:AR684)=6,MIN(AP684:AR684)&gt;0),I684/7/AP684*0.5+J684/14/AQ684*0.3+K684/30/AR684*0.2,"")</f>
        <v>0.3946977771680159</v>
      </c>
      <c r="AT684" s="8" t="n">
        <v>92</v>
      </c>
      <c r="AU684" s="8" t="n">
        <v>8</v>
      </c>
      <c r="AV684" s="8" t="n">
        <v>88</v>
      </c>
      <c r="AW684" s="11" t="n">
        <f>IF(AND(COUNT(AT684:AV684)=3,AT684&gt;=AU684,AU684&gt;=0,AV684&gt;0),(AT684-AU684)/AV684,"")</f>
        <v>0.9545454545454546</v>
      </c>
      <c r="AX684" s="8" t="n">
        <v>295</v>
      </c>
      <c r="AY684" s="8" t="n">
        <v>8</v>
      </c>
      <c r="AZ684" s="8" t="n">
        <v>178</v>
      </c>
      <c r="BA684" s="11" t="n">
        <f>IF(AND(COUNT(AX684:AZ684)=3,AX684&gt;=AY684,AY684&gt;=0,AZ684&gt;0),(AX684-AY684)/AZ684,"")</f>
        <v>1.6123595505617978</v>
      </c>
      <c r="BB684" s="8" t="n">
        <f>IF(COUNT(AS684,AW684,BA684)=3,1,0)</f>
        <v>1</v>
      </c>
      <c r="BC684" s="11" t="n">
        <f>IF(SUMIF($AO$11:$AO$1309,AO684,$BB$11:$BB$1309)=COUNTIF($AO$11:$AO$1309,AO684),SUMIF($AO$11:$AO$1309,AO684,$AS$11:$AS$1309),"")</f>
        <v>2.3441080350705397</v>
      </c>
      <c r="BD684" s="11" t="n">
        <f>IF(SUMIF($AO$11:$AO$1309,AO684,$BB$11:$BB$1309)=COUNTIF($AO$11:$AO$1309,AO684),SUMIF($AO$11:$AO$1309,AO684,$AW$11:$AW$1309),"")</f>
        <v>4.965909090909092</v>
      </c>
      <c r="BE684" s="11" t="n">
        <f>IF(SUMIF($AO$11:$AO$1309,AO684,$BB$11:$BB$1309)=COUNTIF($AO$11:$AO$1309,AO684),SUMIF($AO$11:$AO$1309,AO684,$BA$11:$BA$1309),"")</f>
        <v>7.432584269662921</v>
      </c>
      <c r="BF684" s="12" t="n">
        <f>IF(COUNT(BD684:BE684)&lt;&gt;2,"",IF(AND(BD684&gt;0,BE684&gt;0),0.7*AW684/BD684+0.3*BA684/BE684,IF(BD684&gt;0,AW684/BD684,IF(BE684&gt;0,BA684/BE684,IF(AND(ISNUMBER(BH684),BH684=0),0,"")))))</f>
        <v>0.19963314082307215</v>
      </c>
      <c r="BG684" s="11" t="n">
        <f>IF(AND(COUNT(BN684:BU684)=8,MIN(BN684:BU684)&gt;=0),SUMPRODUCT(BN684:BQ684,BR684:BU684),"")</f>
        <v>83.81006574832674</v>
      </c>
      <c r="BH684" s="11" t="n">
        <f>IF(COUNT(BC684,BG684)=2,BC684*BG684,"")</f>
        <v>196.45984854044292</v>
      </c>
      <c r="BI684" s="11" t="n">
        <f>IF(ISNUMBER(CI684),CI684,"")</f>
        <v>39.21989660975367</v>
      </c>
      <c r="BJ684" s="8" t="str"/>
      <c r="BK684" s="8" t="str">
        <v>90天：2026-07-20 至 2026-10-17；180天：2026-04-21 至 2026-10-17</v>
      </c>
      <c r="BL684" s="8" t="str">
        <v>90天：2026-10-06、2026-10-07；180天：2026-10-06、2026-10-07</v>
      </c>
      <c r="BM684" s="8" t="str">
        <v>2026-10：12天 × 1.4758912429949873；2026-11：30天 × 0.906602681585801；2026-12：31天 × 0.6189770892129804；2027-01：17天 × 1.1595882717182624</v>
      </c>
      <c r="BN684" s="11" t="n">
        <v>1.4758912429949873</v>
      </c>
      <c r="BO684" s="11" t="n">
        <v>0.906602681585801</v>
      </c>
      <c r="BP684" s="11" t="n">
        <v>0.6189770892129804</v>
      </c>
      <c r="BQ684" s="11" t="n">
        <v>1.1595882717182624</v>
      </c>
      <c r="BR684" s="8" t="n">
        <v>12</v>
      </c>
      <c r="BS684" s="8" t="n">
        <v>30</v>
      </c>
      <c r="BT684" s="8" t="n">
        <v>31</v>
      </c>
      <c r="BU684" s="8" t="n">
        <v>17</v>
      </c>
      <c r="BV684" s="11" t="n">
        <f>IF(COUNT(BC684,BF684)=2,BC684*BF684,"")</f>
        <v>0.467961649469732</v>
      </c>
      <c r="BW684" s="11" t="n">
        <f>IF(ISNUMBER(BN684),BN684,"")</f>
        <v>1.4758912429949873</v>
      </c>
      <c r="BX684" s="14" t="n">
        <f>IF(ISNUMBER(BR684),BR684,"")</f>
        <v>12</v>
      </c>
      <c r="BY684" s="13" t="n">
        <f>IF(AND(COUNT(BV684,BW684,BX684)=3,MIN(BV684,BW684,BX684)&gt;=0),BV684*BW684*BX684,"")</f>
        <v>8.287926006118408</v>
      </c>
      <c r="BZ684" s="11" t="n">
        <f>IF(ISNUMBER(BO684),BO684,"")</f>
        <v>0.906602681585801</v>
      </c>
      <c r="CA684" s="14" t="n">
        <f>IF(ISNUMBER(BS684),BS684,"")</f>
        <v>30</v>
      </c>
      <c r="CB684" s="13" t="n">
        <f>IF(AND(COUNT(BV684,BZ684,CA684)=3,MIN(BV684,BZ684,CA684)&gt;=0),BV684*BZ684*CA684,"")</f>
        <v>12.72765858865721</v>
      </c>
      <c r="CC684" s="11" t="n">
        <f>IF(ISNUMBER(BP684),BP684,"")</f>
        <v>0.6189770892129804</v>
      </c>
      <c r="CD684" s="14" t="n">
        <f>IF(ISNUMBER(BT684),BT684,"")</f>
        <v>31</v>
      </c>
      <c r="CE684" s="13" t="n">
        <f>IF(AND(COUNT(BV684,CC684,CD684)=3,MIN(BV684,CC684,CD684)&gt;=0),BV684*CC684*CD684,"")</f>
        <v>8.979383729214474</v>
      </c>
      <c r="CF684" s="11" t="n">
        <f>IF(ISNUMBER(BQ684),BQ684,"")</f>
        <v>1.1595882717182624</v>
      </c>
      <c r="CG684" s="14" t="n">
        <f>IF(ISNUMBER(BU684),BU684,"")</f>
        <v>17</v>
      </c>
      <c r="CH684" s="13" t="n">
        <f>IF(AND(COUNT(BV684,CF684,CG684)=3,MIN(BV684,CF684,CG684)&gt;=0),BV684*CF684*CG684,"")</f>
        <v>9.224928285763577</v>
      </c>
      <c r="CI684" s="13" t="n">
        <f>IF(COUNT(BY684,CB684,CE684,CH684)=4,SUM(BY684,CB684,CE684,CH684),"")</f>
        <v>39.21989660975367</v>
      </c>
    </row>
    <row r="685" ht="72" customHeight="1">
      <c r="A685" s="16" t="str">
        <v>32582-BK-40</v>
      </c>
      <c r="B685" s="16" t="str">
        <v>3店-SANDIEX-US</v>
      </c>
      <c r="C685" s="16" t="str">
        <v>徐新怡</v>
      </c>
      <c r="D685" s="26" t="n">
        <f>IF(NOT(ISNUMBER(E685)),"",IF(OR(E685&lt;=0,L685=0),0,IF(OR(NOT(ISNUMBER(F685)),F685&lt;0),"",MIN(E685,INT(F685)))))</f>
        <v>0</v>
      </c>
      <c r="E685" s="27" t="n">
        <f>IF(OR(NOT(ISNUMBER(L685)),COUNT(M685:O685)&lt;&gt;3,MIN(M685:O685)&lt;0),"",ROUNDUP(ROUND(BI685-SUM(M685:O685),10),0))</f>
        <v>-42</v>
      </c>
      <c r="F685" s="28" t="n">
        <v>0</v>
      </c>
      <c r="G685" s="28" t="n">
        <f>IF(AND(ISNUMBER(D685),ISNUMBER(E685)),IF(OR(E685&lt;=0,L685=0),0,E685-D685),"")</f>
        <v>0</v>
      </c>
      <c r="H685" s="16" t="str">
        <f>IF(NOT(ISNUMBER(E685)),"销量或海外库存待补",IF(OR(E685&lt;=0,L685=0),IF(L685=0,"零日销，本批不发","本批无需补货"),IF(NOT(ISNUMBER(D685)),"国内库存待补",IF(D685=0,"国内无可用库存",IF(G685&gt;0,"先发国内现货","按建议量发货")))))</f>
        <v>本批无需补货</v>
      </c>
      <c r="I685" s="28" t="n">
        <f>IF(AND(COUNT(Z685,AA685,AB685)=3,Z685&gt;=AA685,AA685&gt;=0,AB685=7),Z685-AA685,"")</f>
        <v>6</v>
      </c>
      <c r="J685" s="28" t="n">
        <f>IF(AND(COUNT(AF685,AG685,AH685)=3,AF685&gt;=AG685,AG685&gt;=0,AH685=14),AF685-AG685,"")</f>
        <v>22</v>
      </c>
      <c r="K685" s="28" t="n">
        <f>IF(AND(COUNT(AL685,AM685,AN685)=3,AL685&gt;=AM685,AM685&gt;=0,AN685=30),AL685-AM685,"")</f>
        <v>37</v>
      </c>
      <c r="L685" s="29" t="n">
        <f>IF(ISNUMBER(BI685),BI685/90,"")</f>
        <v>0.9387724059494512</v>
      </c>
      <c r="M685" s="28" t="n">
        <v>125</v>
      </c>
      <c r="N685" s="28" t="n">
        <v>0</v>
      </c>
      <c r="O685" s="28" t="n">
        <v>1</v>
      </c>
      <c r="P685" s="30" t="n">
        <f>IF(AND(ISNUMBER(L685),L685&gt;0,COUNT(M685:O685)=3,MIN(M685:O685)&gt;=0),SUM(M685:O685)/L685,"")</f>
        <v>134.21783512327113</v>
      </c>
      <c r="Q685" s="16" t="str">
        <v>沿用原计划SKU店铺</v>
      </c>
      <c r="R685" s="16" t="str">
        <v>已匹配</v>
      </c>
      <c r="S685" s="16" t="str">
        <v>在售</v>
      </c>
      <c r="T685" s="16" t="str">
        <v>32582</v>
      </c>
      <c r="U685" s="16" t="str">
        <v>黑色</v>
      </c>
      <c r="V685" s="16" t="n">
        <v>9</v>
      </c>
      <c r="W685" s="8" t="str">
        <v>2026-10-11 至 2026-10-17</v>
      </c>
      <c r="X685" s="8" t="str">
        <v>2026-10-11、2026-10-12、2026-10-13、2026-10-14、2026-10-15、2026-10-16、2026-10-17</v>
      </c>
      <c r="Y685" s="8" t="str">
        <v>无</v>
      </c>
      <c r="Z685" s="8" t="n">
        <v>6</v>
      </c>
      <c r="AA685" s="8" t="n">
        <v>0</v>
      </c>
      <c r="AB685" s="8" t="n">
        <v>7</v>
      </c>
      <c r="AC685" s="8" t="str">
        <v>2026-10-02 至 2026-10-17</v>
      </c>
      <c r="AD685" s="8" t="str">
        <v>2026-10-02、2026-10-03、2026-10-04、2026-10-05、2026-10-08、2026-10-09、2026-10-10、2026-10-11、2026-10-12、2026-10-13、2026-10-14、2026-10-15、2026-10-16、2026-10-17</v>
      </c>
      <c r="AE685" s="8" t="str">
        <v>2026-10-06 大促；2026-10-07 大促</v>
      </c>
      <c r="AF685" s="8" t="n">
        <v>36</v>
      </c>
      <c r="AG685" s="8" t="n">
        <v>14</v>
      </c>
      <c r="AH685" s="8" t="n">
        <v>14</v>
      </c>
      <c r="AI685" s="8" t="str">
        <v>2026-09-16 至 2026-10-17</v>
      </c>
      <c r="AJ6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5" s="8" t="str">
        <v>2026-10-06 大促；2026-10-07 大促</v>
      </c>
      <c r="AL685" s="8" t="n">
        <v>51</v>
      </c>
      <c r="AM685" s="8" t="n">
        <v>14</v>
      </c>
      <c r="AN685" s="8" t="n">
        <v>30</v>
      </c>
      <c r="AO685" s="8" t="str">
        <v>32582 / 黑色羊京绒 / 6574</v>
      </c>
      <c r="AP685" s="11" t="n">
        <v>1.0395067087630607</v>
      </c>
      <c r="AQ685" s="11" t="n">
        <v>1.0395067087630607</v>
      </c>
      <c r="AR685" s="11" t="n">
        <v>1.0707336504782758</v>
      </c>
      <c r="AS685" s="11" t="n">
        <f>IF(AND(COUNT(I685:K685,AP685:AR685)=6,MIN(AP685:AR685)&gt;0),I685/7/AP685*0.5+J685/14/AQ685*0.3+K685/30/AR685*0.2,"")</f>
        <v>1.0961669177287214</v>
      </c>
      <c r="AT685" s="8" t="n">
        <v>82</v>
      </c>
      <c r="AU685" s="8" t="n">
        <v>14</v>
      </c>
      <c r="AV685" s="8" t="n">
        <v>88</v>
      </c>
      <c r="AW685" s="11" t="n">
        <f>IF(AND(COUNT(AT685:AV685)=3,AT685&gt;=AU685,AU685&gt;=0,AV685&gt;0),(AT685-AU685)/AV685,"")</f>
        <v>0.7727272727272727</v>
      </c>
      <c r="AX685" s="8" t="n">
        <v>86</v>
      </c>
      <c r="AY685" s="8" t="n">
        <v>14</v>
      </c>
      <c r="AZ685" s="8" t="n">
        <v>178</v>
      </c>
      <c r="BA685" s="11" t="n">
        <f>IF(AND(COUNT(AX685:AZ685)=3,AX685&gt;=AY685,AY685&gt;=0,AZ685&gt;0),(AX685-AY685)/AZ685,"")</f>
        <v>0.4044943820224719</v>
      </c>
      <c r="BB685" s="8" t="n">
        <f>IF(COUNT(AS685,AW685,BA685)=3,1,0)</f>
        <v>1</v>
      </c>
      <c r="BC685" s="11" t="n">
        <f>IF(SUMIF($AO$11:$AO$1309,AO685,$BB$11:$BB$1309)=COUNTIF($AO$11:$AO$1309,AO685),SUMIF($AO$11:$AO$1309,AO685,$AS$11:$AS$1309),"")</f>
        <v>8.693659224127387</v>
      </c>
      <c r="BD685" s="11" t="n">
        <f>IF(SUMIF($AO$11:$AO$1309,AO685,$BB$11:$BB$1309)=COUNTIF($AO$11:$AO$1309,AO685),SUMIF($AO$11:$AO$1309,AO685,$AW$11:$AW$1309),"")</f>
        <v>6.372516749646567</v>
      </c>
      <c r="BE685" s="11" t="n">
        <f>IF(SUMIF($AO$11:$AO$1309,AO685,$BB$11:$BB$1309)=COUNTIF($AO$11:$AO$1309,AO685),SUMIF($AO$11:$AO$1309,AO685,$BA$11:$BA$1309),"")</f>
        <v>4.812567583498835</v>
      </c>
      <c r="BF685" s="12" t="n">
        <f>IF(COUNT(BD685:BE685)&lt;&gt;2,"",IF(AND(BD685&gt;0,BE685&gt;0),0.7*AW685/BD685+0.3*BA685/BE685,IF(BD685&gt;0,AW685/BD685,IF(BE685&gt;0,BA685/BE685,IF(AND(ISNUMBER(BH685),BH685=0),0,"")))))</f>
        <v>0.11009642881618696</v>
      </c>
      <c r="BG685" s="11" t="n">
        <f>IF(AND(COUNT(BN685:BU685)=8,MIN(BN685:BU685)&gt;=0),SUMPRODUCT(BN685:BQ685,BR685:BU685),"")</f>
        <v>88.27281580841549</v>
      </c>
      <c r="BH685" s="11" t="n">
        <f>IF(COUNT(BC685,BG685)=2,BC685*BG685,"")</f>
        <v>767.4137793925291</v>
      </c>
      <c r="BI685" s="11" t="n">
        <f>IF(ISNUMBER(CI685),CI685,"")</f>
        <v>84.4895165354506</v>
      </c>
      <c r="BJ685" s="8" t="str">
        <v>低销提醒依据不完整</v>
      </c>
      <c r="BK685" s="8" t="str">
        <v>90天：2026-07-20 至 2026-10-17；180天：2026-04-21 至 2026-10-17</v>
      </c>
      <c r="BL685" s="8" t="str">
        <v>90天：2026-10-06、2026-10-07；180天：2026-10-06、2026-10-07</v>
      </c>
      <c r="BM685" s="8" t="str">
        <v>2026-10：12天 × 1.0395067087630607；2026-11：30天 × 0.9890368360033146；2026-12：31天 × 0.7800796503018808；2027-01：17天 × 1.2908918272824135</v>
      </c>
      <c r="BN685" s="11" t="n">
        <v>1.0395067087630607</v>
      </c>
      <c r="BO685" s="11" t="n">
        <v>0.9890368360033146</v>
      </c>
      <c r="BP685" s="11" t="n">
        <v>0.7800796503018808</v>
      </c>
      <c r="BQ685" s="11" t="n">
        <v>1.2908918272824135</v>
      </c>
      <c r="BR685" s="8" t="n">
        <v>12</v>
      </c>
      <c r="BS685" s="8" t="n">
        <v>30</v>
      </c>
      <c r="BT685" s="8" t="n">
        <v>31</v>
      </c>
      <c r="BU685" s="8" t="n">
        <v>17</v>
      </c>
      <c r="BV685" s="11" t="n">
        <f>IF(COUNT(BC685,BF685)=2,BC685*BF685,"")</f>
        <v>0.9571408339213281</v>
      </c>
      <c r="BW685" s="11" t="n">
        <f>IF(ISNUMBER(BN685),BN685,"")</f>
        <v>1.0395067087630607</v>
      </c>
      <c r="BX685" s="14" t="n">
        <f>IF(ISNUMBER(BR685),BR685,"")</f>
        <v>12</v>
      </c>
      <c r="BY685" s="13" t="n">
        <f>IF(AND(COUNT(BV685,BW685,BX685)=3,MIN(BV685,BW685,BX685)&gt;=0),BV685*BW685*BX685,"")</f>
        <v>11.939451817107493</v>
      </c>
      <c r="BZ685" s="11" t="n">
        <f>IF(ISNUMBER(BO685),BO685,"")</f>
        <v>0.9890368360033146</v>
      </c>
      <c r="CA685" s="14" t="n">
        <f>IF(ISNUMBER(BS685),BS685,"")</f>
        <v>30</v>
      </c>
      <c r="CB685" s="13" t="n">
        <f>IF(AND(COUNT(BV685,BZ685,CA685)=3,MIN(BV685,BZ685,CA685)&gt;=0),BV685*BZ685*CA685,"")</f>
        <v>28.39942625973373</v>
      </c>
      <c r="CC685" s="11" t="n">
        <f>IF(ISNUMBER(BP685),BP685,"")</f>
        <v>0.7800796503018808</v>
      </c>
      <c r="CD685" s="14" t="n">
        <f>IF(ISNUMBER(BT685),BT685,"")</f>
        <v>31</v>
      </c>
      <c r="CE685" s="13" t="n">
        <f>IF(AND(COUNT(BV685,CC685,CD685)=3,MIN(BV685,CC685,CD685)&gt;=0),BV685*CC685*CD685,"")</f>
        <v>23.146028697465002</v>
      </c>
      <c r="CF685" s="11" t="n">
        <f>IF(ISNUMBER(BQ685),BQ685,"")</f>
        <v>1.2908918272824135</v>
      </c>
      <c r="CG685" s="14" t="n">
        <f>IF(ISNUMBER(BU685),BU685,"")</f>
        <v>17</v>
      </c>
      <c r="CH685" s="13" t="n">
        <f>IF(AND(COUNT(BV685,CF685,CG685)=3,MIN(BV685,CF685,CG685)&gt;=0),BV685*CF685*CG685,"")</f>
        <v>21.004609761144376</v>
      </c>
      <c r="CI685" s="13" t="n">
        <f>IF(COUNT(BY685,CB685,CE685,CH685)=4,SUM(BY685,CB685,CE685,CH685),"")</f>
        <v>84.4895165354506</v>
      </c>
    </row>
    <row r="686" ht="72" customHeight="1">
      <c r="A686" s="16" t="str">
        <v>32582-BK-40.5</v>
      </c>
      <c r="B686" s="16" t="str">
        <v>3店-SANDIEX-US</v>
      </c>
      <c r="C686" s="16" t="str">
        <v>徐新怡</v>
      </c>
      <c r="D686" s="26" t="n">
        <f>IF(NOT(ISNUMBER(E686)),"",IF(OR(E686&lt;=0,L686=0),0,IF(OR(NOT(ISNUMBER(F686)),F686&lt;0),"",MIN(E686,INT(F686)))))</f>
        <v>0</v>
      </c>
      <c r="E686" s="27" t="n">
        <f>IF(OR(NOT(ISNUMBER(L686)),COUNT(M686:O686)&lt;&gt;3,MIN(M686:O686)&lt;0),"",ROUNDUP(ROUND(BI686-SUM(M686:O686),10),0))</f>
        <v>-8</v>
      </c>
      <c r="F686" s="28" t="n">
        <v>0</v>
      </c>
      <c r="G686" s="28" t="n">
        <f>IF(AND(ISNUMBER(D686),ISNUMBER(E686)),IF(OR(E686&lt;=0,L686=0),0,E686-D686),"")</f>
        <v>0</v>
      </c>
      <c r="H686" s="16" t="str">
        <f>IF(NOT(ISNUMBER(E686)),"销量或海外库存待补",IF(OR(E686&lt;=0,L686=0),IF(L686=0,"零日销，本批不发","本批无需补货"),IF(NOT(ISNUMBER(D686)),"国内库存待补",IF(D686=0,"国内无可用库存",IF(G686&gt;0,"先发国内现货","按建议量发货")))))</f>
        <v>本批无需补货</v>
      </c>
      <c r="I686" s="28" t="n">
        <f>IF(AND(COUNT(Z686,AA686,AB686)=3,Z686&gt;=AA686,AA686&gt;=0,AB686=7),Z686-AA686,"")</f>
        <v>7</v>
      </c>
      <c r="J686" s="28" t="n">
        <f>IF(AND(COUNT(AF686,AG686,AH686)=3,AF686&gt;=AG686,AG686&gt;=0,AH686=14),AF686-AG686,"")</f>
        <v>17</v>
      </c>
      <c r="K686" s="28" t="n">
        <f>IF(AND(COUNT(AL686,AM686,AN686)=3,AL686&gt;=AM686,AM686&gt;=0,AN686=30),AL686-AM686,"")</f>
        <v>38</v>
      </c>
      <c r="L686" s="29" t="n">
        <f>IF(ISNUMBER(BI686),BI686/90,"")</f>
        <v>1.1545437424957707</v>
      </c>
      <c r="M686" s="28" t="n">
        <v>91</v>
      </c>
      <c r="N686" s="28" t="n">
        <v>0</v>
      </c>
      <c r="O686" s="28" t="n">
        <v>20</v>
      </c>
      <c r="P686" s="30" t="n">
        <f>IF(AND(ISNUMBER(L686),L686&gt;0,COUNT(M686:O686)=3,MIN(M686:O686)&gt;=0),SUM(M686:O686)/L686,"")</f>
        <v>96.14187485010478</v>
      </c>
      <c r="Q686" s="16" t="str">
        <v>沿用原计划SKU店铺</v>
      </c>
      <c r="R686" s="16" t="str">
        <v>已匹配</v>
      </c>
      <c r="S686" s="16" t="str">
        <v>在售</v>
      </c>
      <c r="T686" s="16" t="str">
        <v>32582</v>
      </c>
      <c r="U686" s="16" t="str">
        <v>黑色</v>
      </c>
      <c r="V686" s="16" t="n">
        <v>9.5</v>
      </c>
      <c r="W686" s="8" t="str">
        <v>2026-10-11 至 2026-10-17</v>
      </c>
      <c r="X686" s="8" t="str">
        <v>2026-10-11、2026-10-12、2026-10-13、2026-10-14、2026-10-15、2026-10-16、2026-10-17</v>
      </c>
      <c r="Y686" s="8" t="str">
        <v>无</v>
      </c>
      <c r="Z686" s="8" t="n">
        <v>7</v>
      </c>
      <c r="AA686" s="8" t="n">
        <v>0</v>
      </c>
      <c r="AB686" s="8" t="n">
        <v>7</v>
      </c>
      <c r="AC686" s="8" t="str">
        <v>2026-10-02 至 2026-10-17</v>
      </c>
      <c r="AD686" s="8" t="str">
        <v>2026-10-02、2026-10-03、2026-10-04、2026-10-05、2026-10-08、2026-10-09、2026-10-10、2026-10-11、2026-10-12、2026-10-13、2026-10-14、2026-10-15、2026-10-16、2026-10-17</v>
      </c>
      <c r="AE686" s="8" t="str">
        <v>2026-10-06 大促；2026-10-07 大促</v>
      </c>
      <c r="AF686" s="8" t="n">
        <v>24</v>
      </c>
      <c r="AG686" s="8" t="n">
        <v>7</v>
      </c>
      <c r="AH686" s="8" t="n">
        <v>14</v>
      </c>
      <c r="AI686" s="8" t="str">
        <v>2026-09-16 至 2026-10-17</v>
      </c>
      <c r="AJ6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6" s="8" t="str">
        <v>2026-10-06 大促；2026-10-07 大促</v>
      </c>
      <c r="AL686" s="8" t="n">
        <v>45</v>
      </c>
      <c r="AM686" s="8" t="n">
        <v>7</v>
      </c>
      <c r="AN686" s="8" t="n">
        <v>30</v>
      </c>
      <c r="AO686" s="8" t="str">
        <v>32582 / 黑色羊京绒 / 6574</v>
      </c>
      <c r="AP686" s="11" t="n">
        <v>1.0395067087630607</v>
      </c>
      <c r="AQ686" s="11" t="n">
        <v>1.0395067087630607</v>
      </c>
      <c r="AR686" s="11" t="n">
        <v>1.0707336504782758</v>
      </c>
      <c r="AS686" s="11" t="n">
        <f>IF(AND(COUNT(I686:K686,AP686:AR686)=6,MIN(AP686:AR686)&gt;0),I686/7/AP686*0.5+J686/14/AQ686*0.3+K686/30/AR686*0.2,"")</f>
        <v>1.06803622277909</v>
      </c>
      <c r="AT686" s="8" t="n">
        <v>79</v>
      </c>
      <c r="AU686" s="8" t="n">
        <v>7</v>
      </c>
      <c r="AV686" s="8" t="n">
        <v>88</v>
      </c>
      <c r="AW686" s="11" t="n">
        <f>IF(AND(COUNT(AT686:AV686)=3,AT686&gt;=AU686,AU686&gt;=0,AV686&gt;0),(AT686-AU686)/AV686,"")</f>
        <v>0.8181818181818182</v>
      </c>
      <c r="AX686" s="8" t="n">
        <v>137</v>
      </c>
      <c r="AY686" s="8" t="n">
        <v>7</v>
      </c>
      <c r="AZ686" s="8" t="n">
        <v>178</v>
      </c>
      <c r="BA686" s="11" t="n">
        <f>IF(AND(COUNT(AX686:AZ686)=3,AX686&gt;=AY686,AY686&gt;=0,AZ686&gt;0),(AX686-AY686)/AZ686,"")</f>
        <v>0.7303370786516854</v>
      </c>
      <c r="BB686" s="8" t="n">
        <f>IF(COUNT(AS686,AW686,BA686)=3,1,0)</f>
        <v>1</v>
      </c>
      <c r="BC686" s="11" t="n">
        <f>IF(SUMIF($AO$11:$AO$1309,AO686,$BB$11:$BB$1309)=COUNTIF($AO$11:$AO$1309,AO686),SUMIF($AO$11:$AO$1309,AO686,$AS$11:$AS$1309),"")</f>
        <v>8.693659224127387</v>
      </c>
      <c r="BD686" s="11" t="n">
        <f>IF(SUMIF($AO$11:$AO$1309,AO686,$BB$11:$BB$1309)=COUNTIF($AO$11:$AO$1309,AO686),SUMIF($AO$11:$AO$1309,AO686,$AW$11:$AW$1309),"")</f>
        <v>6.372516749646567</v>
      </c>
      <c r="BE686" s="11" t="n">
        <f>IF(SUMIF($AO$11:$AO$1309,AO686,$BB$11:$BB$1309)=COUNTIF($AO$11:$AO$1309,AO686),SUMIF($AO$11:$AO$1309,AO686,$BA$11:$BA$1309),"")</f>
        <v>4.812567583498835</v>
      </c>
      <c r="BF686" s="12" t="n">
        <f>IF(COUNT(BD686:BE686)&lt;&gt;2,"",IF(AND(BD686&gt;0,BE686&gt;0),0.7*AW686/BD686+0.3*BA686/BE686,IF(BD686&gt;0,AW686/BD686,IF(BE686&gt;0,BA686/BE686,IF(AND(ISNUMBER(BH686),BH686=0),0,"")))))</f>
        <v>0.13540144784326363</v>
      </c>
      <c r="BG686" s="11" t="n">
        <f>IF(AND(COUNT(BN686:BU686)=8,MIN(BN686:BU686)&gt;=0),SUMPRODUCT(BN686:BQ686,BR686:BU686),"")</f>
        <v>88.27281580841549</v>
      </c>
      <c r="BH686" s="11" t="n">
        <f>IF(COUNT(BC686,BG686)=2,BC686*BG686,"")</f>
        <v>767.4137793925291</v>
      </c>
      <c r="BI686" s="11" t="n">
        <f>IF(ISNUMBER(CI686),CI686,"")</f>
        <v>103.90893682461936</v>
      </c>
      <c r="BJ686" s="8" t="str">
        <v>低销提醒依据不完整</v>
      </c>
      <c r="BK686" s="8" t="str">
        <v>90天：2026-07-20 至 2026-10-17；180天：2026-04-21 至 2026-10-17</v>
      </c>
      <c r="BL686" s="8" t="str">
        <v>90天：2026-10-06、2026-10-07；180天：2026-10-06、2026-10-07</v>
      </c>
      <c r="BM686" s="8" t="str">
        <v>2026-10：12天 × 1.0395067087630607；2026-11：30天 × 0.9890368360033146；2026-12：31天 × 0.7800796503018808；2027-01：17天 × 1.2908918272824135</v>
      </c>
      <c r="BN686" s="11" t="n">
        <v>1.0395067087630607</v>
      </c>
      <c r="BO686" s="11" t="n">
        <v>0.9890368360033146</v>
      </c>
      <c r="BP686" s="11" t="n">
        <v>0.7800796503018808</v>
      </c>
      <c r="BQ686" s="11" t="n">
        <v>1.2908918272824135</v>
      </c>
      <c r="BR686" s="8" t="n">
        <v>12</v>
      </c>
      <c r="BS686" s="8" t="n">
        <v>30</v>
      </c>
      <c r="BT686" s="8" t="n">
        <v>31</v>
      </c>
      <c r="BU686" s="8" t="n">
        <v>17</v>
      </c>
      <c r="BV686" s="11" t="n">
        <f>IF(COUNT(BC686,BF686)=2,BC686*BF686,"")</f>
        <v>1.1771340460027921</v>
      </c>
      <c r="BW686" s="11" t="n">
        <f>IF(ISNUMBER(BN686),BN686,"")</f>
        <v>1.0395067087630607</v>
      </c>
      <c r="BX686" s="14" t="n">
        <f>IF(ISNUMBER(BR686),BR686,"")</f>
        <v>12</v>
      </c>
      <c r="BY686" s="13" t="n">
        <f>IF(AND(COUNT(BV686,BW686,BX686)=3,MIN(BV686,BW686,BX686)&gt;=0),BV686*BW686*BX686,"")</f>
        <v>14.683664855199694</v>
      </c>
      <c r="BZ686" s="11" t="n">
        <f>IF(ISNUMBER(BO686),BO686,"")</f>
        <v>0.9890368360033146</v>
      </c>
      <c r="CA686" s="14" t="n">
        <f>IF(ISNUMBER(BS686),BS686,"")</f>
        <v>30</v>
      </c>
      <c r="CB686" s="13" t="n">
        <f>IF(AND(COUNT(BV686,BZ686,CA686)=3,MIN(BV686,BZ686,CA686)&gt;=0),BV686*BZ686*CA686,"")</f>
        <v>34.92686797231145</v>
      </c>
      <c r="CC686" s="11" t="n">
        <f>IF(ISNUMBER(BP686),BP686,"")</f>
        <v>0.7800796503018808</v>
      </c>
      <c r="CD686" s="14" t="n">
        <f>IF(ISNUMBER(BT686),BT686,"")</f>
        <v>31</v>
      </c>
      <c r="CE686" s="13" t="n">
        <f>IF(AND(COUNT(BV686,CC686,CD686)=3,MIN(BV686,CC686,CD686)&gt;=0),BV686*CC686*CD686,"")</f>
        <v>28.46600776389318</v>
      </c>
      <c r="CF686" s="11" t="n">
        <f>IF(ISNUMBER(BQ686),BQ686,"")</f>
        <v>1.2908918272824135</v>
      </c>
      <c r="CG686" s="14" t="n">
        <f>IF(ISNUMBER(BU686),BU686,"")</f>
        <v>17</v>
      </c>
      <c r="CH686" s="13" t="n">
        <f>IF(AND(COUNT(BV686,CF686,CG686)=3,MIN(BV686,CF686,CG686)&gt;=0),BV686*CF686*CG686,"")</f>
        <v>25.832396233215043</v>
      </c>
      <c r="CI686" s="13" t="n">
        <f>IF(COUNT(BY686,CB686,CE686,CH686)=4,SUM(BY686,CB686,CE686,CH686),"")</f>
        <v>103.90893682461936</v>
      </c>
    </row>
    <row r="687" ht="72" customHeight="1">
      <c r="A687" s="16" t="str">
        <v>32582-BKW-37</v>
      </c>
      <c r="B687" s="16" t="str">
        <v>3店-SANDIEX-US</v>
      </c>
      <c r="C687" s="16" t="str">
        <v>徐新怡</v>
      </c>
      <c r="D687" s="26" t="n">
        <f>IF(NOT(ISNUMBER(E687)),"",IF(OR(E687&lt;=0,L687=0),0,IF(OR(NOT(ISNUMBER(F687)),F687&lt;0),"",MIN(E687,INT(F687)))))</f>
        <v>0</v>
      </c>
      <c r="E687" s="27" t="n">
        <f>IF(OR(NOT(ISNUMBER(L687)),COUNT(M687:O687)&lt;&gt;3,MIN(M687:O687)&lt;0),"",ROUNDUP(ROUND(BI687-SUM(M687:O687),10),0))</f>
        <v>0</v>
      </c>
      <c r="F687" s="28" t="n">
        <v>0</v>
      </c>
      <c r="G687" s="28" t="n">
        <f>IF(AND(ISNUMBER(D687),ISNUMBER(E687)),IF(OR(E687&lt;=0,L687=0),0,E687-D687),"")</f>
        <v>0</v>
      </c>
      <c r="H687" s="16" t="str">
        <f>IF(NOT(ISNUMBER(E687)),"销量或海外库存待补",IF(OR(E687&lt;=0,L687=0),IF(L687=0,"零日销，本批不发","本批无需补货"),IF(NOT(ISNUMBER(D687)),"国内库存待补",IF(D687=0,"国内无可用库存",IF(G687&gt;0,"先发国内现货","按建议量发货")))))</f>
        <v>零日销，本批不发</v>
      </c>
      <c r="I687" s="28" t="n">
        <f>IF(AND(COUNT(Z687,AA687,AB687)=3,Z687&gt;=AA687,AA687&gt;=0,AB687=7),Z687-AA687,"")</f>
        <v>0</v>
      </c>
      <c r="J687" s="28" t="n">
        <f>IF(AND(COUNT(AF687,AG687,AH687)=3,AF687&gt;=AG687,AG687&gt;=0,AH687=14),AF687-AG687,"")</f>
        <v>0</v>
      </c>
      <c r="K687" s="28" t="n">
        <f>IF(AND(COUNT(AL687,AM687,AN687)=3,AL687&gt;=AM687,AM687&gt;=0,AN687=30),AL687-AM687,"")</f>
        <v>0</v>
      </c>
      <c r="L687" s="29" t="n">
        <f>IF(ISNUMBER(BI687),BI687/90,"")</f>
        <v>0</v>
      </c>
      <c r="M687" s="28" t="n">
        <v>0</v>
      </c>
      <c r="N687" s="28" t="n">
        <v>0</v>
      </c>
      <c r="O687" s="28" t="n">
        <v>0</v>
      </c>
      <c r="P687" s="30" t="str">
        <f>IF(AND(ISNUMBER(L687),L687&gt;0,COUNT(M687:O687)=3,MIN(M687:O687)&gt;=0),SUM(M687:O687)/L687,"")</f>
      </c>
      <c r="Q687" s="16" t="str">
        <v>沿用原计划SKU店铺</v>
      </c>
      <c r="R687" s="16" t="str">
        <v>已匹配</v>
      </c>
      <c r="S687" s="16" t="str">
        <v>停售</v>
      </c>
      <c r="T687" s="16" t="str">
        <v>32582</v>
      </c>
      <c r="U687" s="16" t="str">
        <v>黑色白色内里</v>
      </c>
      <c r="V687" s="16" t="n">
        <v>6</v>
      </c>
      <c r="W687" s="8" t="str">
        <v>2026-10-08 至 2026-10-17</v>
      </c>
      <c r="X687" s="8" t="str">
        <v>2026-10-08、2026-10-09、2026-10-10、2026-10-11、2026-10-14、2026-10-15、2026-10-17</v>
      </c>
      <c r="Y687" s="8" t="str">
        <v>2026-10-12 有记录的停售日；2026-10-13 有记录的停售日；2026-10-16 有记录的停售日</v>
      </c>
      <c r="Z687" s="8" t="n">
        <v>0</v>
      </c>
      <c r="AA687" s="8" t="n">
        <v>0</v>
      </c>
      <c r="AB687" s="8" t="n">
        <v>7</v>
      </c>
      <c r="AC687" s="8" t="str">
        <v>2026-09-29 至 2026-10-17</v>
      </c>
      <c r="AD687" s="8" t="str">
        <v>2026-09-29、2026-09-30、2026-10-01、2026-10-02、2026-10-03、2026-10-04、2026-10-05、2026-10-08、2026-10-09、2026-10-10、2026-10-11、2026-10-14、2026-10-15、2026-10-17</v>
      </c>
      <c r="AE687" s="8" t="str">
        <v>2026-10-06 大促；2026-10-07 大促；2026-10-12 有记录的停售日；2026-10-13 有记录的停售日；2026-10-16 有记录的停售日</v>
      </c>
      <c r="AF687" s="8" t="n">
        <v>0</v>
      </c>
      <c r="AG687" s="8" t="n">
        <v>0</v>
      </c>
      <c r="AH687" s="8" t="n">
        <v>14</v>
      </c>
      <c r="AI687" s="8" t="str">
        <v>2026-09-13 至 2026-10-17</v>
      </c>
      <c r="AJ6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87" s="8" t="str">
        <v>2026-10-06 大促；2026-10-07 大促；2026-10-12 有记录的停售日；2026-10-13 有记录的停售日；2026-10-16 有记录的停售日</v>
      </c>
      <c r="AL687" s="8" t="n">
        <v>0</v>
      </c>
      <c r="AM687" s="8" t="n">
        <v>0</v>
      </c>
      <c r="AN687" s="8" t="n">
        <v>30</v>
      </c>
      <c r="AO687" s="8" t="str">
        <v>32582 / 黑色白色内里羊京绒 / 6574</v>
      </c>
      <c r="AP687" s="11" t="n">
        <v>1.0395067087630607</v>
      </c>
      <c r="AQ687" s="11" t="n">
        <v>1.048428692110265</v>
      </c>
      <c r="AR687" s="11" t="n">
        <v>1.076979038821319</v>
      </c>
      <c r="AS687" s="11" t="n">
        <f>IF(AND(COUNT(I687:K687,AP687:AR687)=6,MIN(AP687:AR687)&gt;0),I687/7/AP687*0.5+J687/14/AQ687*0.3+K687/30/AR687*0.2,"")</f>
        <v>0</v>
      </c>
      <c r="AT687" s="8" t="n">
        <v>0</v>
      </c>
      <c r="AU687" s="8" t="n">
        <v>0</v>
      </c>
      <c r="AV687" s="8" t="n">
        <v>85</v>
      </c>
      <c r="AW687" s="11" t="n">
        <f>IF(AND(COUNT(AT687:AV687)=3,AT687&gt;=AU687,AU687&gt;=0,AV687&gt;0),(AT687-AU687)/AV687,"")</f>
        <v>0</v>
      </c>
      <c r="AX687" s="8" t="n">
        <v>0</v>
      </c>
      <c r="AY687" s="8" t="n">
        <v>0</v>
      </c>
      <c r="AZ687" s="8" t="n">
        <v>175</v>
      </c>
      <c r="BA687" s="11" t="n">
        <f>IF(AND(COUNT(AX687:AZ687)=3,AX687&gt;=AY687,AY687&gt;=0,AZ687&gt;0),(AX687-AY687)/AZ687,"")</f>
        <v>0</v>
      </c>
      <c r="BB687" s="8" t="n">
        <f>IF(COUNT(AS687,AW687,BA687)=3,1,0)</f>
        <v>1</v>
      </c>
      <c r="BC687" s="11" t="n">
        <f>IF(SUMIF($AO$11:$AO$1309,AO687,$BB$11:$BB$1309)=COUNTIF($AO$11:$AO$1309,AO687),SUMIF($AO$11:$AO$1309,AO687,$AS$11:$AS$1309),"")</f>
        <v>1.7016895050610588</v>
      </c>
      <c r="BD687" s="11" t="n">
        <f>IF(SUMIF($AO$11:$AO$1309,AO687,$BB$11:$BB$1309)=COUNTIF($AO$11:$AO$1309,AO687),SUMIF($AO$11:$AO$1309,AO687,$AW$11:$AW$1309),"")</f>
        <v>1.522727272727273</v>
      </c>
      <c r="BE687" s="11" t="n">
        <f>IF(SUMIF($AO$11:$AO$1309,AO687,$BB$11:$BB$1309)=COUNTIF($AO$11:$AO$1309,AO687),SUMIF($AO$11:$AO$1309,AO687,$BA$11:$BA$1309),"")</f>
        <v>1.5505617977528092</v>
      </c>
      <c r="BF687" s="12" t="n">
        <f>IF(COUNT(BD687:BE687)&lt;&gt;2,"",IF(AND(BD687&gt;0,BE687&gt;0),0.7*AW687/BD687+0.3*BA687/BE687,IF(BD687&gt;0,AW687/BD687,IF(BE687&gt;0,BA687/BE687,IF(AND(ISNUMBER(BH687),BH687=0),0,"")))))</f>
        <v>0</v>
      </c>
      <c r="BG687" s="11" t="n">
        <f>IF(AND(COUNT(BN687:BU687)=8,MIN(BN687:BU687)&gt;=0),SUMPRODUCT(BN687:BQ687,BR687:BU687),"")</f>
        <v>88.27281580841549</v>
      </c>
      <c r="BH687" s="11" t="n">
        <f>IF(COUNT(BC687,BG687)=2,BC687*BG687,"")</f>
        <v>150.21292424336855</v>
      </c>
      <c r="BI687" s="11" t="n">
        <f>IF(ISNUMBER(CI687),CI687,"")</f>
        <v>0</v>
      </c>
      <c r="BJ687" s="8" t="str">
        <v>低销提醒依据不完整</v>
      </c>
      <c r="BK687" s="8" t="str">
        <v>90天：2026-07-20 至 2026-10-17；180天：2026-04-21 至 2026-10-17</v>
      </c>
      <c r="BL687" s="8" t="str">
        <v>90天：2026-10-06、2026-10-07、2026-10-12、2026-10-13、2026-10-16；180天：2026-10-06、2026-10-07、2026-10-12、2026-10-13、2026-10-16</v>
      </c>
      <c r="BM687" s="8" t="str">
        <v>2026-10：12天 × 1.0395067087630607；2026-11：30天 × 0.9890368360033146；2026-12：31天 × 0.7800796503018808；2027-01：17天 × 1.2908918272824135</v>
      </c>
      <c r="BN687" s="11" t="n">
        <v>1.0395067087630607</v>
      </c>
      <c r="BO687" s="11" t="n">
        <v>0.9890368360033146</v>
      </c>
      <c r="BP687" s="11" t="n">
        <v>0.7800796503018808</v>
      </c>
      <c r="BQ687" s="11" t="n">
        <v>1.2908918272824135</v>
      </c>
      <c r="BR687" s="8" t="n">
        <v>12</v>
      </c>
      <c r="BS687" s="8" t="n">
        <v>30</v>
      </c>
      <c r="BT687" s="8" t="n">
        <v>31</v>
      </c>
      <c r="BU687" s="8" t="n">
        <v>17</v>
      </c>
      <c r="BV687" s="11" t="n">
        <f>IF(COUNT(BC687,BF687)=2,BC687*BF687,"")</f>
        <v>0</v>
      </c>
      <c r="BW687" s="11" t="n">
        <f>IF(ISNUMBER(BN687),BN687,"")</f>
        <v>1.0395067087630607</v>
      </c>
      <c r="BX687" s="14" t="n">
        <f>IF(ISNUMBER(BR687),BR687,"")</f>
        <v>12</v>
      </c>
      <c r="BY687" s="13" t="n">
        <f>IF(AND(COUNT(BV687,BW687,BX687)=3,MIN(BV687,BW687,BX687)&gt;=0),BV687*BW687*BX687,"")</f>
        <v>0</v>
      </c>
      <c r="BZ687" s="11" t="n">
        <f>IF(ISNUMBER(BO687),BO687,"")</f>
        <v>0.9890368360033146</v>
      </c>
      <c r="CA687" s="14" t="n">
        <f>IF(ISNUMBER(BS687),BS687,"")</f>
        <v>30</v>
      </c>
      <c r="CB687" s="13" t="n">
        <f>IF(AND(COUNT(BV687,BZ687,CA687)=3,MIN(BV687,BZ687,CA687)&gt;=0),BV687*BZ687*CA687,"")</f>
        <v>0</v>
      </c>
      <c r="CC687" s="11" t="n">
        <f>IF(ISNUMBER(BP687),BP687,"")</f>
        <v>0.7800796503018808</v>
      </c>
      <c r="CD687" s="14" t="n">
        <f>IF(ISNUMBER(BT687),BT687,"")</f>
        <v>31</v>
      </c>
      <c r="CE687" s="13" t="n">
        <f>IF(AND(COUNT(BV687,CC687,CD687)=3,MIN(BV687,CC687,CD687)&gt;=0),BV687*CC687*CD687,"")</f>
        <v>0</v>
      </c>
      <c r="CF687" s="11" t="n">
        <f>IF(ISNUMBER(BQ687),BQ687,"")</f>
        <v>1.2908918272824135</v>
      </c>
      <c r="CG687" s="14" t="n">
        <f>IF(ISNUMBER(BU687),BU687,"")</f>
        <v>17</v>
      </c>
      <c r="CH687" s="13" t="n">
        <f>IF(AND(COUNT(BV687,CF687,CG687)=3,MIN(BV687,CF687,CG687)&gt;=0),BV687*CF687*CG687,"")</f>
        <v>0</v>
      </c>
      <c r="CI687" s="13" t="n">
        <f>IF(COUNT(BY687,CB687,CE687,CH687)=4,SUM(BY687,CB687,CE687,CH687),"")</f>
        <v>0</v>
      </c>
    </row>
    <row r="688" ht="72" customHeight="1">
      <c r="A688" s="16" t="str">
        <v>32582-BKW-38</v>
      </c>
      <c r="B688" s="16" t="str">
        <v>3店-SANDIEX-US</v>
      </c>
      <c r="C688" s="16" t="str">
        <v>徐新怡</v>
      </c>
      <c r="D688" s="26" t="n">
        <f>IF(NOT(ISNUMBER(E688)),"",IF(OR(E688&lt;=0,L688=0),0,IF(OR(NOT(ISNUMBER(F688)),F688&lt;0),"",MIN(E688,INT(F688)))))</f>
        <v>0</v>
      </c>
      <c r="E688" s="27" t="n">
        <f>IF(OR(NOT(ISNUMBER(L688)),COUNT(M688:O688)&lt;&gt;3,MIN(M688:O688)&lt;0),"",ROUNDUP(ROUND(BI688-SUM(M688:O688),10),0))</f>
        <v>-4</v>
      </c>
      <c r="F688" s="28" t="n">
        <v>0</v>
      </c>
      <c r="G688" s="28" t="n">
        <f>IF(AND(ISNUMBER(D688),ISNUMBER(E688)),IF(OR(E688&lt;=0,L688=0),0,E688-D688),"")</f>
        <v>0</v>
      </c>
      <c r="H688" s="16" t="str">
        <f>IF(NOT(ISNUMBER(E688)),"销量或海外库存待补",IF(OR(E688&lt;=0,L688=0),IF(L688=0,"零日销，本批不发","本批无需补货"),IF(NOT(ISNUMBER(D688)),"国内库存待补",IF(D688=0,"国内无可用库存",IF(G688&gt;0,"先发国内现货","按建议量发货")))))</f>
        <v>本批无需补货</v>
      </c>
      <c r="I688" s="28" t="n">
        <f>IF(AND(COUNT(Z688,AA688,AB688)=3,Z688&gt;=AA688,AA688&gt;=0,AB688=7),Z688-AA688,"")</f>
        <v>1</v>
      </c>
      <c r="J688" s="28" t="n">
        <f>IF(AND(COUNT(AF688,AG688,AH688)=3,AF688&gt;=AG688,AG688&gt;=0,AH688=14),AF688-AG688,"")</f>
        <v>2</v>
      </c>
      <c r="K688" s="28" t="n">
        <f>IF(AND(COUNT(AL688,AM688,AN688)=3,AL688&gt;=AM688,AM688&gt;=0,AN688=30),AL688-AM688,"")</f>
        <v>2</v>
      </c>
      <c r="L688" s="29" t="n">
        <f>IF(ISNUMBER(BI688),BI688/90,"")</f>
        <v>0.08133961071942444</v>
      </c>
      <c r="M688" s="28" t="n">
        <v>11</v>
      </c>
      <c r="N688" s="28" t="n">
        <v>0</v>
      </c>
      <c r="O688" s="28" t="n">
        <v>0</v>
      </c>
      <c r="P688" s="30" t="n">
        <f>IF(AND(ISNUMBER(L688),L688&gt;0,COUNT(M688:O688)=3,MIN(M688:O688)&gt;=0),SUM(M688:O688)/L688,"")</f>
        <v>135.23546403416861</v>
      </c>
      <c r="Q688" s="16" t="str">
        <v>沿用原计划SKU店铺</v>
      </c>
      <c r="R688" s="16" t="str">
        <v>已匹配</v>
      </c>
      <c r="S688" s="16" t="str">
        <v>在售</v>
      </c>
      <c r="T688" s="16" t="str">
        <v>32582</v>
      </c>
      <c r="U688" s="16" t="str">
        <v>黑色白色内里</v>
      </c>
      <c r="V688" s="16" t="n">
        <v>7</v>
      </c>
      <c r="W688" s="8" t="str">
        <v>2026-10-11 至 2026-10-17</v>
      </c>
      <c r="X688" s="8" t="str">
        <v>2026-10-11、2026-10-12、2026-10-13、2026-10-14、2026-10-15、2026-10-16、2026-10-17</v>
      </c>
      <c r="Y688" s="8" t="str">
        <v>无</v>
      </c>
      <c r="Z688" s="8" t="n">
        <v>1</v>
      </c>
      <c r="AA688" s="8" t="n">
        <v>0</v>
      </c>
      <c r="AB688" s="8" t="n">
        <v>7</v>
      </c>
      <c r="AC688" s="8" t="str">
        <v>2026-10-02 至 2026-10-17</v>
      </c>
      <c r="AD688" s="8" t="str">
        <v>2026-10-02、2026-10-03、2026-10-04、2026-10-05、2026-10-08、2026-10-09、2026-10-10、2026-10-11、2026-10-12、2026-10-13、2026-10-14、2026-10-15、2026-10-16、2026-10-17</v>
      </c>
      <c r="AE688" s="8" t="str">
        <v>2026-10-06 大促；2026-10-07 大促</v>
      </c>
      <c r="AF688" s="8" t="n">
        <v>3</v>
      </c>
      <c r="AG688" s="8" t="n">
        <v>1</v>
      </c>
      <c r="AH688" s="8" t="n">
        <v>14</v>
      </c>
      <c r="AI688" s="8" t="str">
        <v>2026-09-16 至 2026-10-17</v>
      </c>
      <c r="AJ6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8" s="8" t="str">
        <v>2026-10-06 大促；2026-10-07 大促</v>
      </c>
      <c r="AL688" s="8" t="n">
        <v>3</v>
      </c>
      <c r="AM688" s="8" t="n">
        <v>1</v>
      </c>
      <c r="AN688" s="8" t="n">
        <v>30</v>
      </c>
      <c r="AO688" s="8" t="str">
        <v>32582 / 黑色白色内里羊京绒 / 6574</v>
      </c>
      <c r="AP688" s="11" t="n">
        <v>1.0395067087630607</v>
      </c>
      <c r="AQ688" s="11" t="n">
        <v>1.0395067087630607</v>
      </c>
      <c r="AR688" s="11" t="n">
        <v>1.0707336504782758</v>
      </c>
      <c r="AS688" s="11" t="n">
        <f>IF(AND(COUNT(I688:K688,AP688:AR688)=6,MIN(AP688:AR688)&gt;0),I688/7/AP688*0.5+J688/14/AQ688*0.3+K688/30/AR688*0.2,"")</f>
        <v>0.12239477859749676</v>
      </c>
      <c r="AT688" s="8" t="n">
        <v>7</v>
      </c>
      <c r="AU688" s="8" t="n">
        <v>1</v>
      </c>
      <c r="AV688" s="8" t="n">
        <v>88</v>
      </c>
      <c r="AW688" s="11" t="n">
        <f>IF(AND(COUNT(AT688:AV688)=3,AT688&gt;=AU688,AU688&gt;=0,AV688&gt;0),(AT688-AU688)/AV688,"")</f>
        <v>0.06818181818181818</v>
      </c>
      <c r="AX688" s="8" t="n">
        <v>17</v>
      </c>
      <c r="AY688" s="8" t="n">
        <v>1</v>
      </c>
      <c r="AZ688" s="8" t="n">
        <v>178</v>
      </c>
      <c r="BA688" s="11" t="n">
        <f>IF(AND(COUNT(AX688:AZ688)=3,AX688&gt;=AY688,AY688&gt;=0,AZ688&gt;0),(AX688-AY688)/AZ688,"")</f>
        <v>0.0898876404494382</v>
      </c>
      <c r="BB688" s="8" t="n">
        <f>IF(COUNT(AS688,AW688,BA688)=3,1,0)</f>
        <v>1</v>
      </c>
      <c r="BC688" s="11" t="n">
        <f>IF(SUMIF($AO$11:$AO$1309,AO688,$BB$11:$BB$1309)=COUNTIF($AO$11:$AO$1309,AO688),SUMIF($AO$11:$AO$1309,AO688,$AS$11:$AS$1309),"")</f>
        <v>1.7016895050610588</v>
      </c>
      <c r="BD688" s="11" t="n">
        <f>IF(SUMIF($AO$11:$AO$1309,AO688,$BB$11:$BB$1309)=COUNTIF($AO$11:$AO$1309,AO688),SUMIF($AO$11:$AO$1309,AO688,$AW$11:$AW$1309),"")</f>
        <v>1.522727272727273</v>
      </c>
      <c r="BE688" s="11" t="n">
        <f>IF(SUMIF($AO$11:$AO$1309,AO688,$BB$11:$BB$1309)=COUNTIF($AO$11:$AO$1309,AO688),SUMIF($AO$11:$AO$1309,AO688,$BA$11:$BA$1309),"")</f>
        <v>1.5505617977528092</v>
      </c>
      <c r="BF688" s="12" t="n">
        <f>IF(COUNT(BD688:BE688)&lt;&gt;2,"",IF(AND(BD688&gt;0,BE688&gt;0),0.7*AW688/BD688+0.3*BA688/BE688,IF(BD688&gt;0,AW688/BD688,IF(BE688&gt;0,BA688/BE688,IF(AND(ISNUMBER(BH688),BH688=0),0,"")))))</f>
        <v>0.048734587929915626</v>
      </c>
      <c r="BG688" s="11" t="n">
        <f>IF(AND(COUNT(BN688:BU688)=8,MIN(BN688:BU688)&gt;=0),SUMPRODUCT(BN688:BQ688,BR688:BU688),"")</f>
        <v>88.27281580841549</v>
      </c>
      <c r="BH688" s="11" t="n">
        <f>IF(COUNT(BC688,BG688)=2,BC688*BG688,"")</f>
        <v>150.21292424336855</v>
      </c>
      <c r="BI688" s="11" t="n">
        <f>IF(ISNUMBER(CI688),CI688,"")</f>
        <v>7.3205649647482</v>
      </c>
      <c r="BJ688" s="8" t="str">
        <v>低销提醒依据不完整</v>
      </c>
      <c r="BK688" s="8" t="str">
        <v>90天：2026-07-20 至 2026-10-17；180天：2026-04-21 至 2026-10-17</v>
      </c>
      <c r="BL688" s="8" t="str">
        <v>90天：2026-10-06、2026-10-07；180天：2026-10-06、2026-10-07</v>
      </c>
      <c r="BM688" s="8" t="str">
        <v>2026-10：12天 × 1.0395067087630607；2026-11：30天 × 0.9890368360033146；2026-12：31天 × 0.7800796503018808；2027-01：17天 × 1.2908918272824135</v>
      </c>
      <c r="BN688" s="11" t="n">
        <v>1.0395067087630607</v>
      </c>
      <c r="BO688" s="11" t="n">
        <v>0.9890368360033146</v>
      </c>
      <c r="BP688" s="11" t="n">
        <v>0.7800796503018808</v>
      </c>
      <c r="BQ688" s="11" t="n">
        <v>1.2908918272824135</v>
      </c>
      <c r="BR688" s="8" t="n">
        <v>12</v>
      </c>
      <c r="BS688" s="8" t="n">
        <v>30</v>
      </c>
      <c r="BT688" s="8" t="n">
        <v>31</v>
      </c>
      <c r="BU688" s="8" t="n">
        <v>17</v>
      </c>
      <c r="BV688" s="11" t="n">
        <f>IF(COUNT(BC688,BF688)=2,BC688*BF688,"")</f>
        <v>0.08293113681381277</v>
      </c>
      <c r="BW688" s="11" t="n">
        <f>IF(ISNUMBER(BN688),BN688,"")</f>
        <v>1.0395067087630607</v>
      </c>
      <c r="BX688" s="14" t="n">
        <f>IF(ISNUMBER(BR688),BR688,"")</f>
        <v>12</v>
      </c>
      <c r="BY688" s="13" t="n">
        <f>IF(AND(COUNT(BV688,BW688,BX688)=3,MIN(BV688,BW688,BX688)&gt;=0),BV688*BW688*BX688,"")</f>
        <v>1.0344896769996674</v>
      </c>
      <c r="BZ688" s="11" t="n">
        <f>IF(ISNUMBER(BO688),BO688,"")</f>
        <v>0.9890368360033146</v>
      </c>
      <c r="CA688" s="14" t="n">
        <f>IF(ISNUMBER(BS688),BS688,"")</f>
        <v>30</v>
      </c>
      <c r="CB688" s="13" t="n">
        <f>IF(AND(COUNT(BV688,BZ688,CA688)=3,MIN(BV688,BZ688,CA688)&gt;=0),BV688*BZ688*CA688,"")</f>
        <v>2.4606584748147413</v>
      </c>
      <c r="CC688" s="11" t="n">
        <f>IF(ISNUMBER(BP688),BP688,"")</f>
        <v>0.7800796503018808</v>
      </c>
      <c r="CD688" s="14" t="n">
        <f>IF(ISNUMBER(BT688),BT688,"")</f>
        <v>31</v>
      </c>
      <c r="CE688" s="13" t="n">
        <f>IF(AND(COUNT(BV688,CC688,CD688)=3,MIN(BV688,CC688,CD688)&gt;=0),BV688*CC688*CD688,"")</f>
        <v>2.005479658350551</v>
      </c>
      <c r="CF688" s="11" t="n">
        <f>IF(ISNUMBER(BQ688),BQ688,"")</f>
        <v>1.2908918272824135</v>
      </c>
      <c r="CG688" s="14" t="n">
        <f>IF(ISNUMBER(BU688),BU688,"")</f>
        <v>17</v>
      </c>
      <c r="CH688" s="13" t="n">
        <f>IF(AND(COUNT(BV688,CF688,CG688)=3,MIN(BV688,CF688,CG688)&gt;=0),BV688*CF688*CG688,"")</f>
        <v>1.8199371545832401</v>
      </c>
      <c r="CI688" s="13" t="n">
        <f>IF(COUNT(BY688,CB688,CE688,CH688)=4,SUM(BY688,CB688,CE688,CH688),"")</f>
        <v>7.3205649647482</v>
      </c>
    </row>
    <row r="689" ht="72" customHeight="1">
      <c r="A689" s="16" t="str">
        <v>32582-BKW-38.5</v>
      </c>
      <c r="B689" s="16" t="str">
        <v>3店-SANDIEX-US</v>
      </c>
      <c r="C689" s="16" t="str">
        <v>徐新怡</v>
      </c>
      <c r="D689" s="26" t="n">
        <f>IF(NOT(ISNUMBER(E689)),"",IF(OR(E689&lt;=0,L689=0),0,IF(OR(NOT(ISNUMBER(F689)),F689&lt;0),"",MIN(E689,INT(F689)))))</f>
        <v>0</v>
      </c>
      <c r="E689" s="27" t="n">
        <f>IF(OR(NOT(ISNUMBER(L689)),COUNT(M689:O689)&lt;&gt;3,MIN(M689:O689)&lt;0),"",ROUNDUP(ROUND(BI689-SUM(M689:O689),10),0))</f>
        <v>-23</v>
      </c>
      <c r="F689" s="28" t="n">
        <v>84</v>
      </c>
      <c r="G689" s="28" t="n">
        <f>IF(AND(ISNUMBER(D689),ISNUMBER(E689)),IF(OR(E689&lt;=0,L689=0),0,E689-D689),"")</f>
        <v>0</v>
      </c>
      <c r="H689" s="16" t="str">
        <f>IF(NOT(ISNUMBER(E689)),"销量或海外库存待补",IF(OR(E689&lt;=0,L689=0),IF(L689=0,"零日销，本批不发","本批无需补货"),IF(NOT(ISNUMBER(D689)),"国内库存待补",IF(D689=0,"国内无可用库存",IF(G689&gt;0,"先发国内现货","按建议量发货")))))</f>
        <v>本批无需补货</v>
      </c>
      <c r="I689" s="28" t="n">
        <f>IF(AND(COUNT(Z689,AA689,AB689)=3,Z689&gt;=AA689,AA689&gt;=0,AB689=7),Z689-AA689,"")</f>
        <v>0</v>
      </c>
      <c r="J689" s="28" t="n">
        <f>IF(AND(COUNT(AF689,AG689,AH689)=3,AF689&gt;=AG689,AG689&gt;=0,AH689=14),AF689-AG689,"")</f>
        <v>2</v>
      </c>
      <c r="K689" s="28" t="n">
        <f>IF(AND(COUNT(AL689,AM689,AN689)=3,AL689&gt;=AM689,AM689&gt;=0,AN689=30),AL689-AM689,"")</f>
        <v>3</v>
      </c>
      <c r="L689" s="29" t="n">
        <f>IF(ISNUMBER(BI689),BI689/90,"")</f>
        <v>0.2905372912847618</v>
      </c>
      <c r="M689" s="28" t="n">
        <v>29</v>
      </c>
      <c r="N689" s="28" t="n">
        <v>0</v>
      </c>
      <c r="O689" s="28" t="n">
        <v>20</v>
      </c>
      <c r="P689" s="30" t="n">
        <f>IF(AND(ISNUMBER(L689),L689&gt;0,COUNT(M689:O689)=3,MIN(M689:O689)&gt;=0),SUM(M689:O689)/L689,"")</f>
        <v>168.65304891954148</v>
      </c>
      <c r="Q689" s="16" t="str">
        <v>沿用原计划SKU店铺</v>
      </c>
      <c r="R689" s="16" t="str">
        <v>已匹配</v>
      </c>
      <c r="S689" s="16" t="str">
        <v>在售</v>
      </c>
      <c r="T689" s="16" t="str">
        <v>32582</v>
      </c>
      <c r="U689" s="16" t="str">
        <v>黑色白色内里</v>
      </c>
      <c r="V689" s="16" t="n">
        <v>7.5</v>
      </c>
      <c r="W689" s="8" t="str">
        <v>2026-10-11 至 2026-10-17</v>
      </c>
      <c r="X689" s="8" t="str">
        <v>2026-10-11、2026-10-12、2026-10-13、2026-10-14、2026-10-15、2026-10-16、2026-10-17</v>
      </c>
      <c r="Y689" s="8" t="str">
        <v>无</v>
      </c>
      <c r="Z689" s="8" t="n">
        <v>0</v>
      </c>
      <c r="AA689" s="8" t="n">
        <v>0</v>
      </c>
      <c r="AB689" s="8" t="n">
        <v>7</v>
      </c>
      <c r="AC689" s="8" t="str">
        <v>2026-10-02 至 2026-10-17</v>
      </c>
      <c r="AD689" s="8" t="str">
        <v>2026-10-02、2026-10-03、2026-10-04、2026-10-05、2026-10-08、2026-10-09、2026-10-10、2026-10-11、2026-10-12、2026-10-13、2026-10-14、2026-10-15、2026-10-16、2026-10-17</v>
      </c>
      <c r="AE689" s="8" t="str">
        <v>2026-10-06 大促；2026-10-07 大促</v>
      </c>
      <c r="AF689" s="8" t="n">
        <v>5</v>
      </c>
      <c r="AG689" s="8" t="n">
        <v>3</v>
      </c>
      <c r="AH689" s="8" t="n">
        <v>14</v>
      </c>
      <c r="AI689" s="8" t="str">
        <v>2026-09-16 至 2026-10-17</v>
      </c>
      <c r="AJ6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89" s="8" t="str">
        <v>2026-10-06 大促；2026-10-07 大促</v>
      </c>
      <c r="AL689" s="8" t="n">
        <v>6</v>
      </c>
      <c r="AM689" s="8" t="n">
        <v>3</v>
      </c>
      <c r="AN689" s="8" t="n">
        <v>30</v>
      </c>
      <c r="AO689" s="8" t="str">
        <v>32582 / 黑色白色内里羊京绒 / 6574</v>
      </c>
      <c r="AP689" s="11" t="n">
        <v>1.0395067087630607</v>
      </c>
      <c r="AQ689" s="11" t="n">
        <v>1.0395067087630607</v>
      </c>
      <c r="AR689" s="11" t="n">
        <v>1.0707336504782758</v>
      </c>
      <c r="AS689" s="11" t="n">
        <f>IF(AND(COUNT(I689:K689,AP689:AR689)=6,MIN(AP689:AR689)&gt;0),I689/7/AP689*0.5+J689/14/AQ689*0.3+K689/30/AR689*0.2,"")</f>
        <v>0.05990712816771905</v>
      </c>
      <c r="AT689" s="8" t="n">
        <v>28</v>
      </c>
      <c r="AU689" s="8" t="n">
        <v>3</v>
      </c>
      <c r="AV689" s="8" t="n">
        <v>88</v>
      </c>
      <c r="AW689" s="11" t="n">
        <f>IF(AND(COUNT(AT689:AV689)=3,AT689&gt;=AU689,AU689&gt;=0,AV689&gt;0),(AT689-AU689)/AV689,"")</f>
        <v>0.2840909090909091</v>
      </c>
      <c r="AX689" s="8" t="n">
        <v>43</v>
      </c>
      <c r="AY689" s="8" t="n">
        <v>3</v>
      </c>
      <c r="AZ689" s="8" t="n">
        <v>178</v>
      </c>
      <c r="BA689" s="11" t="n">
        <f>IF(AND(COUNT(AX689:AZ689)=3,AX689&gt;=AY689,AY689&gt;=0,AZ689&gt;0),(AX689-AY689)/AZ689,"")</f>
        <v>0.2247191011235955</v>
      </c>
      <c r="BB689" s="8" t="n">
        <f>IF(COUNT(AS689,AW689,BA689)=3,1,0)</f>
        <v>1</v>
      </c>
      <c r="BC689" s="11" t="n">
        <f>IF(SUMIF($AO$11:$AO$1309,AO689,$BB$11:$BB$1309)=COUNTIF($AO$11:$AO$1309,AO689),SUMIF($AO$11:$AO$1309,AO689,$AS$11:$AS$1309),"")</f>
        <v>1.7016895050610588</v>
      </c>
      <c r="BD689" s="11" t="n">
        <f>IF(SUMIF($AO$11:$AO$1309,AO689,$BB$11:$BB$1309)=COUNTIF($AO$11:$AO$1309,AO689),SUMIF($AO$11:$AO$1309,AO689,$AW$11:$AW$1309),"")</f>
        <v>1.522727272727273</v>
      </c>
      <c r="BE689" s="11" t="n">
        <f>IF(SUMIF($AO$11:$AO$1309,AO689,$BB$11:$BB$1309)=COUNTIF($AO$11:$AO$1309,AO689),SUMIF($AO$11:$AO$1309,AO689,$BA$11:$BA$1309),"")</f>
        <v>1.5505617977528092</v>
      </c>
      <c r="BF689" s="12" t="n">
        <f>IF(COUNT(BD689:BE689)&lt;&gt;2,"",IF(AND(BD689&gt;0,BE689&gt;0),0.7*AW689/BD689+0.3*BA689/BE689,IF(BD689&gt;0,AW689/BD689,IF(BE689&gt;0,BA689/BE689,IF(AND(ISNUMBER(BH689),BH689=0),0,"")))))</f>
        <v>0.17407527579493834</v>
      </c>
      <c r="BG689" s="11" t="n">
        <f>IF(AND(COUNT(BN689:BU689)=8,MIN(BN689:BU689)&gt;=0),SUMPRODUCT(BN689:BQ689,BR689:BU689),"")</f>
        <v>88.27281580841549</v>
      </c>
      <c r="BH689" s="11" t="n">
        <f>IF(COUNT(BC689,BG689)=2,BC689*BG689,"")</f>
        <v>150.21292424336855</v>
      </c>
      <c r="BI689" s="11" t="n">
        <f>IF(ISNUMBER(CI689),CI689,"")</f>
        <v>26.14835621562856</v>
      </c>
      <c r="BJ689" s="8" t="str">
        <v>低销提醒依据不完整</v>
      </c>
      <c r="BK689" s="8" t="str">
        <v>90天：2026-07-20 至 2026-10-17；180天：2026-04-21 至 2026-10-17</v>
      </c>
      <c r="BL689" s="8" t="str">
        <v>90天：2026-10-06、2026-10-07；180天：2026-10-06、2026-10-07</v>
      </c>
      <c r="BM689" s="8" t="str">
        <v>2026-10：12天 × 1.0395067087630607；2026-11：30天 × 0.9890368360033146；2026-12：31天 × 0.7800796503018808；2027-01：17天 × 1.2908918272824135</v>
      </c>
      <c r="BN689" s="11" t="n">
        <v>1.0395067087630607</v>
      </c>
      <c r="BO689" s="11" t="n">
        <v>0.9890368360033146</v>
      </c>
      <c r="BP689" s="11" t="n">
        <v>0.7800796503018808</v>
      </c>
      <c r="BQ689" s="11" t="n">
        <v>1.2908918272824135</v>
      </c>
      <c r="BR689" s="8" t="n">
        <v>12</v>
      </c>
      <c r="BS689" s="8" t="n">
        <v>30</v>
      </c>
      <c r="BT689" s="8" t="n">
        <v>31</v>
      </c>
      <c r="BU689" s="8" t="n">
        <v>17</v>
      </c>
      <c r="BV689" s="11" t="n">
        <f>IF(COUNT(BC689,BF689)=2,BC689*BF689,"")</f>
        <v>0.2962220699108559</v>
      </c>
      <c r="BW689" s="11" t="n">
        <f>IF(ISNUMBER(BN689),BN689,"")</f>
        <v>1.0395067087630607</v>
      </c>
      <c r="BX689" s="14" t="n">
        <f>IF(ISNUMBER(BR689),BR689,"")</f>
        <v>12</v>
      </c>
      <c r="BY689" s="13" t="n">
        <f>IF(AND(COUNT(BV689,BW689,BX689)=3,MIN(BV689,BW689,BX689)&gt;=0),BV689*BW689*BX689,"")</f>
        <v>3.6950979474721817</v>
      </c>
      <c r="BZ689" s="11" t="n">
        <f>IF(ISNUMBER(BO689),BO689,"")</f>
        <v>0.9890368360033146</v>
      </c>
      <c r="CA689" s="14" t="n">
        <f>IF(ISNUMBER(BS689),BS689,"")</f>
        <v>30</v>
      </c>
      <c r="CB689" s="13" t="n">
        <f>IF(AND(COUNT(BV689,BZ689,CA689)=3,MIN(BV689,BZ689,CA689)&gt;=0),BV689*BZ689*CA689,"")</f>
        <v>8.789236163369567</v>
      </c>
      <c r="CC689" s="11" t="n">
        <f>IF(ISNUMBER(BP689),BP689,"")</f>
        <v>0.7800796503018808</v>
      </c>
      <c r="CD689" s="14" t="n">
        <f>IF(ISNUMBER(BT689),BT689,"")</f>
        <v>31</v>
      </c>
      <c r="CE689" s="13" t="n">
        <f>IF(AND(COUNT(BV689,CC689,CD689)=3,MIN(BV689,CC689,CD689)&gt;=0),BV689*CC689*CD689,"")</f>
        <v>7.163381069940552</v>
      </c>
      <c r="CF689" s="11" t="n">
        <f>IF(ISNUMBER(BQ689),BQ689,"")</f>
        <v>1.2908918272824135</v>
      </c>
      <c r="CG689" s="14" t="n">
        <f>IF(ISNUMBER(BU689),BU689,"")</f>
        <v>17</v>
      </c>
      <c r="CH689" s="13" t="n">
        <f>IF(AND(COUNT(BV689,CF689,CG689)=3,MIN(BV689,CF689,CG689)&gt;=0),BV689*CF689*CG689,"")</f>
        <v>6.500641034846262</v>
      </c>
      <c r="CI689" s="13" t="n">
        <f>IF(COUNT(BY689,CB689,CE689,CH689)=4,SUM(BY689,CB689,CE689,CH689),"")</f>
        <v>26.14835621562856</v>
      </c>
    </row>
    <row r="690" ht="72" customHeight="1">
      <c r="A690" s="16" t="str">
        <v>32582-BKW-39</v>
      </c>
      <c r="B690" s="16" t="str">
        <v>3店-SANDIEX-US</v>
      </c>
      <c r="C690" s="16" t="str">
        <v>徐新怡</v>
      </c>
      <c r="D690" s="26" t="n">
        <f>IF(NOT(ISNUMBER(E690)),"",IF(OR(E690&lt;=0,L690=0),0,IF(OR(NOT(ISNUMBER(F690)),F690&lt;0),"",MIN(E690,INT(F690)))))</f>
        <v>0</v>
      </c>
      <c r="E690" s="27" t="n">
        <f>IF(OR(NOT(ISNUMBER(L690)),COUNT(M690:O690)&lt;&gt;3,MIN(M690:O690)&lt;0),"",ROUNDUP(ROUND(BI690-SUM(M690:O690),10),0))</f>
        <v>-89</v>
      </c>
      <c r="F690" s="28" t="n">
        <v>82</v>
      </c>
      <c r="G690" s="28" t="n">
        <f>IF(AND(ISNUMBER(D690),ISNUMBER(E690)),IF(OR(E690&lt;=0,L690=0),0,E690-D690),"")</f>
        <v>0</v>
      </c>
      <c r="H690" s="16" t="str">
        <f>IF(NOT(ISNUMBER(E690)),"销量或海外库存待补",IF(OR(E690&lt;=0,L690=0),IF(L690=0,"零日销，本批不发","本批无需补货"),IF(NOT(ISNUMBER(D690)),"国内库存待补",IF(D690=0,"国内无可用库存",IF(G690&gt;0,"先发国内现货","按建议量发货")))))</f>
        <v>本批无需补货</v>
      </c>
      <c r="I690" s="28" t="n">
        <f>IF(AND(COUNT(Z690,AA690,AB690)=3,Z690&gt;=AA690,AA690&gt;=0,AB690=7),Z690-AA690,"")</f>
        <v>1</v>
      </c>
      <c r="J690" s="28" t="n">
        <f>IF(AND(COUNT(AF690,AG690,AH690)=3,AF690&gt;=AG690,AG690&gt;=0,AH690=14),AF690-AG690,"")</f>
        <v>2</v>
      </c>
      <c r="K690" s="28" t="n">
        <f>IF(AND(COUNT(AL690,AM690,AN690)=3,AL690&gt;=AM690,AM690&gt;=0,AN690=30),AL690-AM690,"")</f>
        <v>2</v>
      </c>
      <c r="L690" s="29" t="n">
        <f>IF(ISNUMBER(BI690),BI690/90,"")</f>
        <v>0.02288015015243464</v>
      </c>
      <c r="M690" s="28" t="n">
        <v>91</v>
      </c>
      <c r="N690" s="28" t="n">
        <v>0</v>
      </c>
      <c r="O690" s="28" t="n">
        <v>0</v>
      </c>
      <c r="P690" s="30" t="n">
        <f>IF(AND(ISNUMBER(L690),L690&gt;0,COUNT(M690:O690)=3,MIN(M690:O690)&gt;=0),SUM(M690:O690)/L690,"")</f>
        <v>3977.246626168528</v>
      </c>
      <c r="Q690" s="16" t="str">
        <v>沿用原计划SKU店铺</v>
      </c>
      <c r="R690" s="16" t="str">
        <v>已匹配</v>
      </c>
      <c r="S690" s="16" t="str">
        <v>在售</v>
      </c>
      <c r="T690" s="16" t="str">
        <v>32582</v>
      </c>
      <c r="U690" s="16" t="str">
        <v>黑色白色内里</v>
      </c>
      <c r="V690" s="16" t="n">
        <v>8</v>
      </c>
      <c r="W690" s="8" t="str">
        <v>2026-10-11 至 2026-10-17</v>
      </c>
      <c r="X690" s="8" t="str">
        <v>2026-10-11、2026-10-12、2026-10-13、2026-10-14、2026-10-15、2026-10-16、2026-10-17</v>
      </c>
      <c r="Y690" s="8" t="str">
        <v>无</v>
      </c>
      <c r="Z690" s="8" t="n">
        <v>1</v>
      </c>
      <c r="AA690" s="8" t="n">
        <v>0</v>
      </c>
      <c r="AB690" s="8" t="n">
        <v>7</v>
      </c>
      <c r="AC690" s="8" t="str">
        <v>2026-10-02 至 2026-10-17</v>
      </c>
      <c r="AD690" s="8" t="str">
        <v>2026-10-02、2026-10-03、2026-10-04、2026-10-05、2026-10-08、2026-10-09、2026-10-10、2026-10-11、2026-10-12、2026-10-13、2026-10-14、2026-10-15、2026-10-16、2026-10-17</v>
      </c>
      <c r="AE690" s="8" t="str">
        <v>2026-10-06 大促；2026-10-07 大促</v>
      </c>
      <c r="AF690" s="8" t="n">
        <v>2</v>
      </c>
      <c r="AG690" s="8" t="n">
        <v>0</v>
      </c>
      <c r="AH690" s="8" t="n">
        <v>14</v>
      </c>
      <c r="AI690" s="8" t="str">
        <v>2026-09-16 至 2026-10-17</v>
      </c>
      <c r="AJ6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90" s="8" t="str">
        <v>2026-10-06 大促；2026-10-07 大促</v>
      </c>
      <c r="AL690" s="8" t="n">
        <v>2</v>
      </c>
      <c r="AM690" s="8" t="n">
        <v>0</v>
      </c>
      <c r="AN690" s="8" t="n">
        <v>30</v>
      </c>
      <c r="AO690" s="8" t="str">
        <v>32582 / 黑色白色内里羊京绒 / 6574</v>
      </c>
      <c r="AP690" s="11" t="n">
        <v>1.0395067087630607</v>
      </c>
      <c r="AQ690" s="11" t="n">
        <v>1.0395067087630607</v>
      </c>
      <c r="AR690" s="11" t="n">
        <v>1.0707336504782758</v>
      </c>
      <c r="AS690" s="11" t="n">
        <f>IF(AND(COUNT(I690:K690,AP690:AR690)=6,MIN(AP690:AR690)&gt;0),I690/7/AP690*0.5+J690/14/AQ690*0.3+K690/30/AR690*0.2,"")</f>
        <v>0.12239477859749676</v>
      </c>
      <c r="AT690" s="8" t="n">
        <v>2</v>
      </c>
      <c r="AU690" s="8" t="n">
        <v>0</v>
      </c>
      <c r="AV690" s="8" t="n">
        <v>88</v>
      </c>
      <c r="AW690" s="11" t="n">
        <f>IF(AND(COUNT(AT690:AV690)=3,AT690&gt;=AU690,AU690&gt;=0,AV690&gt;0),(AT690-AU690)/AV690,"")</f>
        <v>0.022727272727272728</v>
      </c>
      <c r="AX690" s="8" t="n">
        <v>3</v>
      </c>
      <c r="AY690" s="8" t="n">
        <v>0</v>
      </c>
      <c r="AZ690" s="8" t="n">
        <v>178</v>
      </c>
      <c r="BA690" s="11" t="n">
        <f>IF(AND(COUNT(AX690:AZ690)=3,AX690&gt;=AY690,AY690&gt;=0,AZ690&gt;0),(AX690-AY690)/AZ690,"")</f>
        <v>0.016853932584269662</v>
      </c>
      <c r="BB690" s="8" t="n">
        <f>IF(COUNT(AS690,AW690,BA690)=3,1,0)</f>
        <v>1</v>
      </c>
      <c r="BC690" s="11" t="n">
        <f>IF(SUMIF($AO$11:$AO$1309,AO690,$BB$11:$BB$1309)=COUNTIF($AO$11:$AO$1309,AO690),SUMIF($AO$11:$AO$1309,AO690,$AS$11:$AS$1309),"")</f>
        <v>1.7016895050610588</v>
      </c>
      <c r="BD690" s="11" t="n">
        <f>IF(SUMIF($AO$11:$AO$1309,AO690,$BB$11:$BB$1309)=COUNTIF($AO$11:$AO$1309,AO690),SUMIF($AO$11:$AO$1309,AO690,$AW$11:$AW$1309),"")</f>
        <v>1.522727272727273</v>
      </c>
      <c r="BE690" s="11" t="n">
        <f>IF(SUMIF($AO$11:$AO$1309,AO690,$BB$11:$BB$1309)=COUNTIF($AO$11:$AO$1309,AO690),SUMIF($AO$11:$AO$1309,AO690,$BA$11:$BA$1309),"")</f>
        <v>1.5505617977528092</v>
      </c>
      <c r="BF690" s="12" t="n">
        <f>IF(COUNT(BD690:BE690)&lt;&gt;2,"",IF(AND(BD690&gt;0,BE690&gt;0),0.7*AW690/BD690+0.3*BA690/BE690,IF(BD690&gt;0,AW690/BD690,IF(BE690&gt;0,BA690/BE690,IF(AND(ISNUMBER(BH690),BH690=0),0,"")))))</f>
        <v>0.013708630759247237</v>
      </c>
      <c r="BG690" s="11" t="n">
        <f>IF(AND(COUNT(BN690:BU690)=8,MIN(BN690:BU690)&gt;=0),SUMPRODUCT(BN690:BQ690,BR690:BU690),"")</f>
        <v>88.27281580841549</v>
      </c>
      <c r="BH690" s="11" t="n">
        <f>IF(COUNT(BC690,BG690)=2,BC690*BG690,"")</f>
        <v>150.21292424336855</v>
      </c>
      <c r="BI690" s="11" t="n">
        <f>IF(ISNUMBER(CI690),CI690,"")</f>
        <v>2.0592135137191176</v>
      </c>
      <c r="BJ690" s="8" t="str">
        <v>低销提醒依据不完整</v>
      </c>
      <c r="BK690" s="8" t="str">
        <v>90天：2026-07-20 至 2026-10-17；180天：2026-04-21 至 2026-10-17</v>
      </c>
      <c r="BL690" s="8" t="str">
        <v>90天：2026-10-06、2026-10-07；180天：2026-10-06、2026-10-07</v>
      </c>
      <c r="BM690" s="8" t="str">
        <v>2026-10：12天 × 1.0395067087630607；2026-11：30天 × 0.9890368360033146；2026-12：31天 × 0.7800796503018808；2027-01：17天 × 1.2908918272824135</v>
      </c>
      <c r="BN690" s="11" t="n">
        <v>1.0395067087630607</v>
      </c>
      <c r="BO690" s="11" t="n">
        <v>0.9890368360033146</v>
      </c>
      <c r="BP690" s="11" t="n">
        <v>0.7800796503018808</v>
      </c>
      <c r="BQ690" s="11" t="n">
        <v>1.2908918272824135</v>
      </c>
      <c r="BR690" s="8" t="n">
        <v>12</v>
      </c>
      <c r="BS690" s="8" t="n">
        <v>30</v>
      </c>
      <c r="BT690" s="8" t="n">
        <v>31</v>
      </c>
      <c r="BU690" s="8" t="n">
        <v>17</v>
      </c>
      <c r="BV690" s="11" t="n">
        <f>IF(COUNT(BC690,BF690)=2,BC690*BF690,"")</f>
        <v>0.023327833091768238</v>
      </c>
      <c r="BW690" s="11" t="n">
        <f>IF(ISNUMBER(BN690),BN690,"")</f>
        <v>1.0395067087630607</v>
      </c>
      <c r="BX690" s="14" t="n">
        <f>IF(ISNUMBER(BR690),BR690,"")</f>
        <v>12</v>
      </c>
      <c r="BY690" s="13" t="n">
        <f>IF(AND(COUNT(BV690,BW690,BX690)=3,MIN(BV690,BW690,BX690)&gt;=0),BV690*BW690*BX690,"")</f>
        <v>0.2909932679975762</v>
      </c>
      <c r="BZ690" s="11" t="n">
        <f>IF(ISNUMBER(BO690),BO690,"")</f>
        <v>0.9890368360033146</v>
      </c>
      <c r="CA690" s="14" t="n">
        <f>IF(ISNUMBER(BS690),BS690,"")</f>
        <v>30</v>
      </c>
      <c r="CB690" s="13" t="n">
        <f>IF(AND(COUNT(BV690,BZ690,CA690)=3,MIN(BV690,BZ690,CA690)&gt;=0),BV690*BZ690*CA690,"")</f>
        <v>0.6921625869568764</v>
      </c>
      <c r="CC690" s="11" t="n">
        <f>IF(ISNUMBER(BP690),BP690,"")</f>
        <v>0.7800796503018808</v>
      </c>
      <c r="CD690" s="14" t="n">
        <f>IF(ISNUMBER(BT690),BT690,"")</f>
        <v>31</v>
      </c>
      <c r="CE690" s="13" t="n">
        <f>IF(AND(COUNT(BV690,CC690,CD690)=3,MIN(BV690,CC690,CD690)&gt;=0),BV690*CC690*CD690,"")</f>
        <v>0.5641246042963435</v>
      </c>
      <c r="CF690" s="11" t="n">
        <f>IF(ISNUMBER(BQ690),BQ690,"")</f>
        <v>1.2908918272824135</v>
      </c>
      <c r="CG690" s="14" t="n">
        <f>IF(ISNUMBER(BU690),BU690,"")</f>
        <v>17</v>
      </c>
      <c r="CH690" s="13" t="n">
        <f>IF(AND(COUNT(BV690,CF690,CG690)=3,MIN(BV690,CF690,CG690)&gt;=0),BV690*CF690*CG690,"")</f>
        <v>0.5119330544683215</v>
      </c>
      <c r="CI690" s="13" t="n">
        <f>IF(COUNT(BY690,CB690,CE690,CH690)=4,SUM(BY690,CB690,CE690,CH690),"")</f>
        <v>2.0592135137191176</v>
      </c>
    </row>
    <row r="691" ht="72" customHeight="1">
      <c r="A691" s="16" t="str">
        <v>32582-BKW-39.5</v>
      </c>
      <c r="B691" s="16" t="str">
        <v>3店-SANDIEX-US</v>
      </c>
      <c r="C691" s="16" t="str">
        <v>徐新怡</v>
      </c>
      <c r="D691" s="26" t="n">
        <f>IF(NOT(ISNUMBER(E691)),"",IF(OR(E691&lt;=0,L691=0),0,IF(OR(NOT(ISNUMBER(F691)),F691&lt;0),"",MIN(E691,INT(F691)))))</f>
        <v>0</v>
      </c>
      <c r="E691" s="27" t="n">
        <f>IF(OR(NOT(ISNUMBER(L691)),COUNT(M691:O691)&lt;&gt;3,MIN(M691:O691)&lt;0),"",ROUNDUP(ROUND(BI691-SUM(M691:O691),10),0))</f>
        <v>-21</v>
      </c>
      <c r="F691" s="28" t="n">
        <v>179</v>
      </c>
      <c r="G691" s="28" t="n">
        <f>IF(AND(ISNUMBER(D691),ISNUMBER(E691)),IF(OR(E691&lt;=0,L691=0),0,E691-D691),"")</f>
        <v>0</v>
      </c>
      <c r="H691" s="16" t="str">
        <f>IF(NOT(ISNUMBER(E691)),"销量或海外库存待补",IF(OR(E691&lt;=0,L691=0),IF(L691=0,"零日销，本批不发","本批无需补货"),IF(NOT(ISNUMBER(D691)),"国内库存待补",IF(D691=0,"国内无可用库存",IF(G691&gt;0,"先发国内现货","按建议量发货")))))</f>
        <v>本批无需补货</v>
      </c>
      <c r="I691" s="28" t="n">
        <f>IF(AND(COUNT(Z691,AA691,AB691)=3,Z691&gt;=AA691,AA691&gt;=0,AB691=7),Z691-AA691,"")</f>
        <v>1</v>
      </c>
      <c r="J691" s="28" t="n">
        <f>IF(AND(COUNT(AF691,AG691,AH691)=3,AF691&gt;=AG691,AG691&gt;=0,AH691=14),AF691-AG691,"")</f>
        <v>5</v>
      </c>
      <c r="K691" s="28" t="n">
        <f>IF(AND(COUNT(AL691,AM691,AN691)=3,AL691&gt;=AM691,AM691&gt;=0,AN691=30),AL691-AM691,"")</f>
        <v>6</v>
      </c>
      <c r="L691" s="29" t="n">
        <f>IF(ISNUMBER(BI691),BI691/90,"")</f>
        <v>0.2959797885399563</v>
      </c>
      <c r="M691" s="28" t="n">
        <v>47</v>
      </c>
      <c r="N691" s="28" t="n">
        <v>0</v>
      </c>
      <c r="O691" s="28" t="n">
        <v>0</v>
      </c>
      <c r="P691" s="30" t="n">
        <f>IF(AND(ISNUMBER(L691),L691&gt;0,COUNT(M691:O691)=3,MIN(M691:O691)&gt;=0),SUM(M691:O691)/L691,"")</f>
        <v>158.79462659206254</v>
      </c>
      <c r="Q691" s="16" t="str">
        <v>沿用原计划SKU店铺</v>
      </c>
      <c r="R691" s="16" t="str">
        <v>已匹配</v>
      </c>
      <c r="S691" s="16" t="str">
        <v>在售</v>
      </c>
      <c r="T691" s="16" t="str">
        <v>32582</v>
      </c>
      <c r="U691" s="16" t="str">
        <v>黑色白色内里</v>
      </c>
      <c r="V691" s="16" t="n">
        <v>8.5</v>
      </c>
      <c r="W691" s="8" t="str">
        <v>2026-10-11 至 2026-10-17</v>
      </c>
      <c r="X691" s="8" t="str">
        <v>2026-10-11、2026-10-12、2026-10-13、2026-10-14、2026-10-15、2026-10-16、2026-10-17</v>
      </c>
      <c r="Y691" s="8" t="str">
        <v>无</v>
      </c>
      <c r="Z691" s="8" t="n">
        <v>1</v>
      </c>
      <c r="AA691" s="8" t="n">
        <v>0</v>
      </c>
      <c r="AB691" s="8" t="n">
        <v>7</v>
      </c>
      <c r="AC691" s="8" t="str">
        <v>2026-10-02 至 2026-10-17</v>
      </c>
      <c r="AD691" s="8" t="str">
        <v>2026-10-02、2026-10-03、2026-10-04、2026-10-05、2026-10-08、2026-10-09、2026-10-10、2026-10-11、2026-10-12、2026-10-13、2026-10-14、2026-10-15、2026-10-16、2026-10-17</v>
      </c>
      <c r="AE691" s="8" t="str">
        <v>2026-10-06 大促；2026-10-07 大促</v>
      </c>
      <c r="AF691" s="8" t="n">
        <v>7</v>
      </c>
      <c r="AG691" s="8" t="n">
        <v>2</v>
      </c>
      <c r="AH691" s="8" t="n">
        <v>14</v>
      </c>
      <c r="AI691" s="8" t="str">
        <v>2026-09-16 至 2026-10-17</v>
      </c>
      <c r="AJ6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91" s="8" t="str">
        <v>2026-10-06 大促；2026-10-07 大促</v>
      </c>
      <c r="AL691" s="8" t="n">
        <v>8</v>
      </c>
      <c r="AM691" s="8" t="n">
        <v>2</v>
      </c>
      <c r="AN691" s="8" t="n">
        <v>30</v>
      </c>
      <c r="AO691" s="8" t="str">
        <v>32582 / 黑色白色内里羊京绒 / 6574</v>
      </c>
      <c r="AP691" s="11" t="n">
        <v>1.0395067087630607</v>
      </c>
      <c r="AQ691" s="11" t="n">
        <v>1.0395067087630607</v>
      </c>
      <c r="AR691" s="11" t="n">
        <v>1.0707336504782758</v>
      </c>
      <c r="AS691" s="11" t="n">
        <f>IF(AND(COUNT(I691:K691,AP691:AR691)=6,MIN(AP691:AR691)&gt;0),I691/7/AP691*0.5+J691/14/AQ691*0.3+K691/30/AR691*0.2,"")</f>
        <v>0.20914234058381806</v>
      </c>
      <c r="AT691" s="8" t="n">
        <v>27</v>
      </c>
      <c r="AU691" s="8" t="n">
        <v>2</v>
      </c>
      <c r="AV691" s="8" t="n">
        <v>88</v>
      </c>
      <c r="AW691" s="11" t="n">
        <f>IF(AND(COUNT(AT691:AV691)=3,AT691&gt;=AU691,AU691&gt;=0,AV691&gt;0),(AT691-AU691)/AV691,"")</f>
        <v>0.2840909090909091</v>
      </c>
      <c r="AX691" s="8" t="n">
        <v>45</v>
      </c>
      <c r="AY691" s="8" t="n">
        <v>2</v>
      </c>
      <c r="AZ691" s="8" t="n">
        <v>178</v>
      </c>
      <c r="BA691" s="11" t="n">
        <f>IF(AND(COUNT(AX691:AZ691)=3,AX691&gt;=AY691,AY691&gt;=0,AZ691&gt;0),(AX691-AY691)/AZ691,"")</f>
        <v>0.24157303370786518</v>
      </c>
      <c r="BB691" s="8" t="n">
        <f>IF(COUNT(AS691,AW691,BA691)=3,1,0)</f>
        <v>1</v>
      </c>
      <c r="BC691" s="11" t="n">
        <f>IF(SUMIF($AO$11:$AO$1309,AO691,$BB$11:$BB$1309)=COUNTIF($AO$11:$AO$1309,AO691),SUMIF($AO$11:$AO$1309,AO691,$AS$11:$AS$1309),"")</f>
        <v>1.7016895050610588</v>
      </c>
      <c r="BD691" s="11" t="n">
        <f>IF(SUMIF($AO$11:$AO$1309,AO691,$BB$11:$BB$1309)=COUNTIF($AO$11:$AO$1309,AO691),SUMIF($AO$11:$AO$1309,AO691,$AW$11:$AW$1309),"")</f>
        <v>1.522727272727273</v>
      </c>
      <c r="BE691" s="11" t="n">
        <f>IF(SUMIF($AO$11:$AO$1309,AO691,$BB$11:$BB$1309)=COUNTIF($AO$11:$AO$1309,AO691),SUMIF($AO$11:$AO$1309,AO691,$BA$11:$BA$1309),"")</f>
        <v>1.5505617977528092</v>
      </c>
      <c r="BF691" s="12" t="n">
        <f>IF(COUNT(BD691:BE691)&lt;&gt;2,"",IF(AND(BD691&gt;0,BE691&gt;0),0.7*AW691/BD691+0.3*BA691/BE691,IF(BD691&gt;0,AW691/BD691,IF(BE691&gt;0,BA691/BE691,IF(AND(ISNUMBER(BH691),BH691=0),0,"")))))</f>
        <v>0.17733614536015574</v>
      </c>
      <c r="BG691" s="11" t="n">
        <f>IF(AND(COUNT(BN691:BU691)=8,MIN(BN691:BU691)&gt;=0),SUMPRODUCT(BN691:BQ691,BR691:BU691),"")</f>
        <v>88.27281580841549</v>
      </c>
      <c r="BH691" s="11" t="n">
        <f>IF(COUNT(BC691,BG691)=2,BC691*BG691,"")</f>
        <v>150.21292424336855</v>
      </c>
      <c r="BI691" s="11" t="n">
        <f>IF(ISNUMBER(CI691),CI691,"")</f>
        <v>26.638180968596068</v>
      </c>
      <c r="BJ691" s="8" t="str">
        <v>低销提醒依据不完整</v>
      </c>
      <c r="BK691" s="8" t="str">
        <v>90天：2026-07-20 至 2026-10-17；180天：2026-04-21 至 2026-10-17</v>
      </c>
      <c r="BL691" s="8" t="str">
        <v>90天：2026-10-06、2026-10-07；180天：2026-10-06、2026-10-07</v>
      </c>
      <c r="BM691" s="8" t="str">
        <v>2026-10：12天 × 1.0395067087630607；2026-11：30天 × 0.9890368360033146；2026-12：31天 × 0.7800796503018808；2027-01：17天 × 1.2908918272824135</v>
      </c>
      <c r="BN691" s="11" t="n">
        <v>1.0395067087630607</v>
      </c>
      <c r="BO691" s="11" t="n">
        <v>0.9890368360033146</v>
      </c>
      <c r="BP691" s="11" t="n">
        <v>0.7800796503018808</v>
      </c>
      <c r="BQ691" s="11" t="n">
        <v>1.2908918272824135</v>
      </c>
      <c r="BR691" s="8" t="n">
        <v>12</v>
      </c>
      <c r="BS691" s="8" t="n">
        <v>30</v>
      </c>
      <c r="BT691" s="8" t="n">
        <v>31</v>
      </c>
      <c r="BU691" s="8" t="n">
        <v>17</v>
      </c>
      <c r="BV691" s="11" t="n">
        <f>IF(COUNT(BC691,BF691)=2,BC691*BF691,"")</f>
        <v>0.3017710574273594</v>
      </c>
      <c r="BW691" s="11" t="n">
        <f>IF(ISNUMBER(BN691),BN691,"")</f>
        <v>1.0395067087630607</v>
      </c>
      <c r="BX691" s="14" t="n">
        <f>IF(ISNUMBER(BR691),BR691,"")</f>
        <v>12</v>
      </c>
      <c r="BY691" s="13" t="n">
        <f>IF(AND(COUNT(BV691,BW691,BX691)=3,MIN(BV691,BW691,BX691)&gt;=0),BV691*BW691*BX691,"")</f>
        <v>3.764316464475155</v>
      </c>
      <c r="BZ691" s="11" t="n">
        <f>IF(ISNUMBER(BO691),BO691,"")</f>
        <v>0.9890368360033146</v>
      </c>
      <c r="CA691" s="14" t="n">
        <f>IF(ISNUMBER(BS691),BS691,"")</f>
        <v>30</v>
      </c>
      <c r="CB691" s="13" t="n">
        <f>IF(AND(COUNT(BV691,BZ691,CA691)=3,MIN(BV691,BZ691,CA691)&gt;=0),BV691*BZ691*CA691,"")</f>
        <v>8.953880755059902</v>
      </c>
      <c r="CC691" s="11" t="n">
        <f>IF(ISNUMBER(BP691),BP691,"")</f>
        <v>0.7800796503018808</v>
      </c>
      <c r="CD691" s="14" t="n">
        <f>IF(ISNUMBER(BT691),BT691,"")</f>
        <v>31</v>
      </c>
      <c r="CE691" s="13" t="n">
        <f>IF(AND(COUNT(BV691,CC691,CD691)=3,MIN(BV691,CC691,CD691)&gt;=0),BV691*CC691*CD691,"")</f>
        <v>7.297569289424062</v>
      </c>
      <c r="CF691" s="11" t="n">
        <f>IF(ISNUMBER(BQ691),BQ691,"")</f>
        <v>1.2908918272824135</v>
      </c>
      <c r="CG691" s="14" t="n">
        <f>IF(ISNUMBER(BU691),BU691,"")</f>
        <v>17</v>
      </c>
      <c r="CH691" s="13" t="n">
        <f>IF(AND(COUNT(BV691,CF691,CG691)=3,MIN(BV691,CF691,CG691)&gt;=0),BV691*CF691*CG691,"")</f>
        <v>6.622414459636952</v>
      </c>
      <c r="CI691" s="13" t="n">
        <f>IF(COUNT(BY691,CB691,CE691,CH691)=4,SUM(BY691,CB691,CE691,CH691),"")</f>
        <v>26.638180968596068</v>
      </c>
    </row>
    <row r="692" ht="72" customHeight="1">
      <c r="A692" s="16" t="str">
        <v>32582-BKW-40</v>
      </c>
      <c r="B692" s="16" t="str">
        <v>3店-SANDIEX-US</v>
      </c>
      <c r="C692" s="16" t="str">
        <v>徐新怡</v>
      </c>
      <c r="D692" s="26" t="n">
        <f>IF(NOT(ISNUMBER(E692)),"",IF(OR(E692&lt;=0,L692=0),0,IF(OR(NOT(ISNUMBER(F692)),F692&lt;0),"",MIN(E692,INT(F692)))))</f>
        <v>0</v>
      </c>
      <c r="E692" s="27" t="n">
        <f>IF(OR(NOT(ISNUMBER(L692)),COUNT(M692:O692)&lt;&gt;3,MIN(M692:O692)&lt;0),"",ROUNDUP(ROUND(BI692-SUM(M692:O692),10),0))</f>
        <v>-11</v>
      </c>
      <c r="F692" s="28" t="n">
        <v>0</v>
      </c>
      <c r="G692" s="28" t="n">
        <f>IF(AND(ISNUMBER(D692),ISNUMBER(E692)),IF(OR(E692&lt;=0,L692=0),0,E692-D692),"")</f>
        <v>0</v>
      </c>
      <c r="H692" s="16" t="str">
        <f>IF(NOT(ISNUMBER(E692)),"销量或海外库存待补",IF(OR(E692&lt;=0,L692=0),IF(L692=0,"零日销，本批不发","本批无需补货"),IF(NOT(ISNUMBER(D692)),"国内库存待补",IF(D692=0,"国内无可用库存",IF(G692&gt;0,"先发国内现货","按建议量发货")))))</f>
        <v>本批无需补货</v>
      </c>
      <c r="I692" s="28" t="n">
        <f>IF(AND(COUNT(Z692,AA692,AB692)=3,Z692&gt;=AA692,AA692&gt;=0,AB692=7),Z692-AA692,"")</f>
        <v>4</v>
      </c>
      <c r="J692" s="28" t="n">
        <f>IF(AND(COUNT(AF692,AG692,AH692)=3,AF692&gt;=AG692,AG692&gt;=0,AH692=14),AF692-AG692,"")</f>
        <v>7</v>
      </c>
      <c r="K692" s="28" t="n">
        <f>IF(AND(COUNT(AL692,AM692,AN692)=3,AL692&gt;=AM692,AM692&gt;=0,AN692=30),AL692-AM692,"")</f>
        <v>10</v>
      </c>
      <c r="L692" s="29" t="n">
        <f>IF(ISNUMBER(BI692),BI692/90,"")</f>
        <v>0.32061995024257817</v>
      </c>
      <c r="M692" s="28" t="n">
        <v>39</v>
      </c>
      <c r="N692" s="28" t="n">
        <v>0</v>
      </c>
      <c r="O692" s="28" t="n">
        <v>0</v>
      </c>
      <c r="P692" s="30" t="n">
        <f>IF(AND(ISNUMBER(L692),L692&gt;0,COUNT(M692:O692)=3,MIN(M692:O692)&gt;=0),SUM(M692:O692)/L692,"")</f>
        <v>121.63934268748078</v>
      </c>
      <c r="Q692" s="16" t="str">
        <v>沿用原计划SKU店铺</v>
      </c>
      <c r="R692" s="16" t="str">
        <v>已匹配</v>
      </c>
      <c r="S692" s="16" t="str">
        <v>在售</v>
      </c>
      <c r="T692" s="16" t="str">
        <v>32582</v>
      </c>
      <c r="U692" s="16" t="str">
        <v>黑色白色内里</v>
      </c>
      <c r="V692" s="16" t="n">
        <v>9</v>
      </c>
      <c r="W692" s="8" t="str">
        <v>2026-10-11 至 2026-10-17</v>
      </c>
      <c r="X692" s="8" t="str">
        <v>2026-10-11、2026-10-12、2026-10-13、2026-10-14、2026-10-15、2026-10-16、2026-10-17</v>
      </c>
      <c r="Y692" s="8" t="str">
        <v>无</v>
      </c>
      <c r="Z692" s="8" t="n">
        <v>4</v>
      </c>
      <c r="AA692" s="8" t="n">
        <v>0</v>
      </c>
      <c r="AB692" s="8" t="n">
        <v>7</v>
      </c>
      <c r="AC692" s="8" t="str">
        <v>2026-10-02 至 2026-10-17</v>
      </c>
      <c r="AD692" s="8" t="str">
        <v>2026-10-02、2026-10-03、2026-10-04、2026-10-05、2026-10-08、2026-10-09、2026-10-10、2026-10-11、2026-10-12、2026-10-13、2026-10-14、2026-10-15、2026-10-16、2026-10-17</v>
      </c>
      <c r="AE692" s="8" t="str">
        <v>2026-10-06 大促；2026-10-07 大促</v>
      </c>
      <c r="AF692" s="8" t="n">
        <v>12</v>
      </c>
      <c r="AG692" s="8" t="n">
        <v>5</v>
      </c>
      <c r="AH692" s="8" t="n">
        <v>14</v>
      </c>
      <c r="AI692" s="8" t="str">
        <v>2026-09-16 至 2026-10-17</v>
      </c>
      <c r="AJ6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92" s="8" t="str">
        <v>2026-10-06 大促；2026-10-07 大促</v>
      </c>
      <c r="AL692" s="8" t="n">
        <v>15</v>
      </c>
      <c r="AM692" s="8" t="n">
        <v>5</v>
      </c>
      <c r="AN692" s="8" t="n">
        <v>30</v>
      </c>
      <c r="AO692" s="8" t="str">
        <v>32582 / 黑色白色内里羊京绒 / 6574</v>
      </c>
      <c r="AP692" s="11" t="n">
        <v>1.0395067087630607</v>
      </c>
      <c r="AQ692" s="11" t="n">
        <v>1.0395067087630607</v>
      </c>
      <c r="AR692" s="11" t="n">
        <v>1.0707336504782758</v>
      </c>
      <c r="AS692" s="11" t="n">
        <f>IF(AND(COUNT(I692:K692,AP692:AR692)=6,MIN(AP692:AR692)&gt;0),I692/7/AP692*0.5+J692/14/AQ692*0.3+K692/30/AR692*0.2,"")</f>
        <v>0.4814174621629285</v>
      </c>
      <c r="AT692" s="8" t="n">
        <v>27</v>
      </c>
      <c r="AU692" s="8" t="n">
        <v>5</v>
      </c>
      <c r="AV692" s="8" t="n">
        <v>88</v>
      </c>
      <c r="AW692" s="11" t="n">
        <f>IF(AND(COUNT(AT692:AV692)=3,AT692&gt;=AU692,AU692&gt;=0,AV692&gt;0),(AT692-AU692)/AV692,"")</f>
        <v>0.25</v>
      </c>
      <c r="AX692" s="8" t="n">
        <v>76</v>
      </c>
      <c r="AY692" s="8" t="n">
        <v>5</v>
      </c>
      <c r="AZ692" s="8" t="n">
        <v>178</v>
      </c>
      <c r="BA692" s="11" t="n">
        <f>IF(AND(COUNT(AX692:AZ692)=3,AX692&gt;=AY692,AY692&gt;=0,AZ692&gt;0),(AX692-AY692)/AZ692,"")</f>
        <v>0.398876404494382</v>
      </c>
      <c r="BB692" s="8" t="n">
        <f>IF(COUNT(AS692,AW692,BA692)=3,1,0)</f>
        <v>1</v>
      </c>
      <c r="BC692" s="11" t="n">
        <f>IF(SUMIF($AO$11:$AO$1309,AO692,$BB$11:$BB$1309)=COUNTIF($AO$11:$AO$1309,AO692),SUMIF($AO$11:$AO$1309,AO692,$AS$11:$AS$1309),"")</f>
        <v>1.7016895050610588</v>
      </c>
      <c r="BD692" s="11" t="n">
        <f>IF(SUMIF($AO$11:$AO$1309,AO692,$BB$11:$BB$1309)=COUNTIF($AO$11:$AO$1309,AO692),SUMIF($AO$11:$AO$1309,AO692,$AW$11:$AW$1309),"")</f>
        <v>1.522727272727273</v>
      </c>
      <c r="BE692" s="11" t="n">
        <f>IF(SUMIF($AO$11:$AO$1309,AO692,$BB$11:$BB$1309)=COUNTIF($AO$11:$AO$1309,AO692),SUMIF($AO$11:$AO$1309,AO692,$BA$11:$BA$1309),"")</f>
        <v>1.5505617977528092</v>
      </c>
      <c r="BF692" s="12" t="n">
        <f>IF(COUNT(BD692:BE692)&lt;&gt;2,"",IF(AND(BD692&gt;0,BE692&gt;0),0.7*AW692/BD692+0.3*BA692/BE692,IF(BD692&gt;0,AW692/BD692,IF(BE692&gt;0,BA692/BE692,IF(AND(ISNUMBER(BH692),BH692=0),0,"")))))</f>
        <v>0.19209928617780658</v>
      </c>
      <c r="BG692" s="11" t="n">
        <f>IF(AND(COUNT(BN692:BU692)=8,MIN(BN692:BU692)&gt;=0),SUMPRODUCT(BN692:BQ692,BR692:BU692),"")</f>
        <v>88.27281580841549</v>
      </c>
      <c r="BH692" s="11" t="n">
        <f>IF(COUNT(BC692,BG692)=2,BC692*BG692,"")</f>
        <v>150.21292424336855</v>
      </c>
      <c r="BI692" s="11" t="n">
        <f>IF(ISNUMBER(CI692),CI692,"")</f>
        <v>28.855795521832036</v>
      </c>
      <c r="BJ692" s="8" t="str">
        <v>低销提醒依据不完整</v>
      </c>
      <c r="BK692" s="8" t="str">
        <v>90天：2026-07-20 至 2026-10-17；180天：2026-04-21 至 2026-10-17</v>
      </c>
      <c r="BL692" s="8" t="str">
        <v>90天：2026-10-06、2026-10-07；180天：2026-10-06、2026-10-07</v>
      </c>
      <c r="BM692" s="8" t="str">
        <v>2026-10：12天 × 1.0395067087630607；2026-11：30天 × 0.9890368360033146；2026-12：31天 × 0.7800796503018808；2027-01：17天 × 1.2908918272824135</v>
      </c>
      <c r="BN692" s="11" t="n">
        <v>1.0395067087630607</v>
      </c>
      <c r="BO692" s="11" t="n">
        <v>0.9890368360033146</v>
      </c>
      <c r="BP692" s="11" t="n">
        <v>0.7800796503018808</v>
      </c>
      <c r="BQ692" s="11" t="n">
        <v>1.2908918272824135</v>
      </c>
      <c r="BR692" s="8" t="n">
        <v>12</v>
      </c>
      <c r="BS692" s="8" t="n">
        <v>30</v>
      </c>
      <c r="BT692" s="8" t="n">
        <v>31</v>
      </c>
      <c r="BU692" s="8" t="n">
        <v>17</v>
      </c>
      <c r="BV692" s="11" t="n">
        <f>IF(COUNT(BC692,BF692)=2,BC692*BF692,"")</f>
        <v>0.3268933392184944</v>
      </c>
      <c r="BW692" s="11" t="n">
        <f>IF(ISNUMBER(BN692),BN692,"")</f>
        <v>1.0395067087630607</v>
      </c>
      <c r="BX692" s="14" t="n">
        <f>IF(ISNUMBER(BR692),BR692,"")</f>
        <v>12</v>
      </c>
      <c r="BY692" s="13" t="n">
        <f>IF(AND(COUNT(BV692,BW692,BX692)=3,MIN(BV692,BW692,BX692)&gt;=0),BV692*BW692*BX692,"")</f>
        <v>4.077693830011006</v>
      </c>
      <c r="BZ692" s="11" t="n">
        <f>IF(ISNUMBER(BO692),BO692,"")</f>
        <v>0.9890368360033146</v>
      </c>
      <c r="CA692" s="14" t="n">
        <f>IF(ISNUMBER(BS692),BS692,"")</f>
        <v>30</v>
      </c>
      <c r="CB692" s="13" t="n">
        <f>IF(AND(COUNT(BV692,BZ692,CA692)=3,MIN(BV692,BZ692,CA692)&gt;=0),BV692*BZ692*CA692,"")</f>
        <v>9.699286617936536</v>
      </c>
      <c r="CC692" s="11" t="n">
        <f>IF(ISNUMBER(BP692),BP692,"")</f>
        <v>0.7800796503018808</v>
      </c>
      <c r="CD692" s="14" t="n">
        <f>IF(ISNUMBER(BT692),BT692,"")</f>
        <v>31</v>
      </c>
      <c r="CE692" s="13" t="n">
        <f>IF(AND(COUNT(BV692,CC692,CD692)=3,MIN(BV692,CC692,CD692)&gt;=0),BV692*CC692*CD692,"")</f>
        <v>7.9050880940508925</v>
      </c>
      <c r="CF692" s="11" t="n">
        <f>IF(ISNUMBER(BQ692),BQ692,"")</f>
        <v>1.2908918272824135</v>
      </c>
      <c r="CG692" s="14" t="n">
        <f>IF(ISNUMBER(BU692),BU692,"")</f>
        <v>17</v>
      </c>
      <c r="CH692" s="13" t="n">
        <f>IF(AND(COUNT(BV692,CF692,CG692)=3,MIN(BV692,CF692,CG692)&gt;=0),BV692*CF692*CG692,"")</f>
        <v>7.173726979833605</v>
      </c>
      <c r="CI692" s="13" t="n">
        <f>IF(COUNT(BY692,CB692,CE692,CH692)=4,SUM(BY692,CB692,CE692,CH692),"")</f>
        <v>28.855795521832036</v>
      </c>
    </row>
    <row r="693" ht="72" customHeight="1">
      <c r="A693" s="16" t="str">
        <v>32582-BKW-40.5</v>
      </c>
      <c r="B693" s="16" t="str">
        <v>3店-SANDIEX-US</v>
      </c>
      <c r="C693" s="16" t="str">
        <v>徐新怡</v>
      </c>
      <c r="D693" s="26" t="n">
        <f>IF(NOT(ISNUMBER(E693)),"",IF(OR(E693&lt;=0,L693=0),0,IF(OR(NOT(ISNUMBER(F693)),F693&lt;0),"",MIN(E693,INT(F693)))))</f>
        <v>0</v>
      </c>
      <c r="E693" s="27" t="n">
        <f>IF(OR(NOT(ISNUMBER(L693)),COUNT(M693:O693)&lt;&gt;3,MIN(M693:O693)&lt;0),"",ROUNDUP(ROUND(BI693-SUM(M693:O693),10),0))</f>
        <v>0</v>
      </c>
      <c r="F693" s="28"/>
      <c r="G693" s="28" t="n">
        <f>IF(AND(ISNUMBER(D693),ISNUMBER(E693)),IF(OR(E693&lt;=0,L693=0),0,E693-D693),"")</f>
        <v>0</v>
      </c>
      <c r="H693" s="16" t="str">
        <f>IF(NOT(ISNUMBER(E693)),"销量或海外库存待补",IF(OR(E693&lt;=0,L693=0),IF(L693=0,"零日销，本批不发","本批无需补货"),IF(NOT(ISNUMBER(D693)),"国内库存待补",IF(D693=0,"国内无可用库存",IF(G693&gt;0,"先发国内现货","按建议量发货")))))</f>
        <v>零日销，本批不发</v>
      </c>
      <c r="I693" s="28" t="n">
        <f>IF(AND(COUNT(Z693,AA693,AB693)=3,Z693&gt;=AA693,AA693&gt;=0,AB693=7),Z693-AA693,"")</f>
        <v>0</v>
      </c>
      <c r="J693" s="28" t="n">
        <f>IF(AND(COUNT(AF693,AG693,AH693)=3,AF693&gt;=AG693,AG693&gt;=0,AH693=14),AF693-AG693,"")</f>
        <v>0</v>
      </c>
      <c r="K693" s="28" t="n">
        <f>IF(AND(COUNT(AL693,AM693,AN693)=3,AL693&gt;=AM693,AM693&gt;=0,AN693=30),AL693-AM693,"")</f>
        <v>0</v>
      </c>
      <c r="L693" s="29" t="n">
        <f>IF(ISNUMBER(BI693),BI693/90,"")</f>
        <v>0</v>
      </c>
      <c r="M693" s="28" t="n">
        <v>0</v>
      </c>
      <c r="N693" s="28" t="n">
        <v>0</v>
      </c>
      <c r="O693" s="28" t="n">
        <v>0</v>
      </c>
      <c r="P693" s="30" t="str">
        <f>IF(AND(ISNUMBER(L693),L693&gt;0,COUNT(M693:O693)=3,MIN(M693:O693)&gt;=0),SUM(M693:O693)/L693,"")</f>
      </c>
      <c r="Q693" s="16" t="str">
        <v>沿用原计划SKU店铺</v>
      </c>
      <c r="R693" s="16" t="str">
        <v>未匹配</v>
      </c>
      <c r="S693" s="16" t="str">
        <v>停售</v>
      </c>
      <c r="T693" s="16" t="str">
        <v>32582</v>
      </c>
      <c r="U693" s="16" t="str">
        <v>黑色白色内里</v>
      </c>
      <c r="V693" s="16" t="n">
        <v>9.5</v>
      </c>
      <c r="W693" s="8" t="str">
        <v>2026-10-08 至 2026-10-17</v>
      </c>
      <c r="X693" s="8" t="str">
        <v>2026-10-08、2026-10-09、2026-10-10、2026-10-11、2026-10-14、2026-10-15、2026-10-17</v>
      </c>
      <c r="Y693" s="8" t="str">
        <v>2026-10-12 有记录的停售日；2026-10-13 有记录的停售日；2026-10-16 有记录的停售日</v>
      </c>
      <c r="Z693" s="8" t="n">
        <v>0</v>
      </c>
      <c r="AA693" s="8" t="n">
        <v>0</v>
      </c>
      <c r="AB693" s="8" t="n">
        <v>7</v>
      </c>
      <c r="AC693" s="8" t="str">
        <v>2026-09-29 至 2026-10-17</v>
      </c>
      <c r="AD693" s="8" t="str">
        <v>2026-09-29、2026-09-30、2026-10-01、2026-10-02、2026-10-03、2026-10-04、2026-10-05、2026-10-08、2026-10-09、2026-10-10、2026-10-11、2026-10-14、2026-10-15、2026-10-17</v>
      </c>
      <c r="AE693" s="8" t="str">
        <v>2026-10-06 大促；2026-10-07 大促；2026-10-12 有记录的停售日；2026-10-13 有记录的停售日；2026-10-16 有记录的停售日</v>
      </c>
      <c r="AF693" s="8" t="n">
        <v>0</v>
      </c>
      <c r="AG693" s="8" t="n">
        <v>0</v>
      </c>
      <c r="AH693" s="8" t="n">
        <v>14</v>
      </c>
      <c r="AI693" s="8" t="str">
        <v>2026-09-13 至 2026-10-17</v>
      </c>
      <c r="AJ69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3" s="8" t="str">
        <v>2026-10-06 大促；2026-10-07 大促；2026-10-12 有记录的停售日；2026-10-13 有记录的停售日；2026-10-16 有记录的停售日</v>
      </c>
      <c r="AL693" s="8" t="n">
        <v>0</v>
      </c>
      <c r="AM693" s="8" t="n">
        <v>0</v>
      </c>
      <c r="AN693" s="8" t="n">
        <v>30</v>
      </c>
      <c r="AO693" s="8" t="str">
        <v>32582 / 黑色白色内里羊京绒 / 6574</v>
      </c>
      <c r="AP693" s="11" t="n">
        <v>1.0395067087630607</v>
      </c>
      <c r="AQ693" s="11" t="n">
        <v>1.048428692110265</v>
      </c>
      <c r="AR693" s="11" t="n">
        <v>1.076979038821319</v>
      </c>
      <c r="AS693" s="11" t="n">
        <f>IF(AND(COUNT(I693:K693,AP693:AR693)=6,MIN(AP693:AR693)&gt;0),I693/7/AP693*0.5+J693/14/AQ693*0.3+K693/30/AR693*0.2,"")</f>
        <v>0</v>
      </c>
      <c r="AT693" s="8" t="n">
        <v>0</v>
      </c>
      <c r="AU693" s="8" t="n">
        <v>0</v>
      </c>
      <c r="AV693" s="8" t="n">
        <v>85</v>
      </c>
      <c r="AW693" s="11" t="n">
        <f>IF(AND(COUNT(AT693:AV693)=3,AT693&gt;=AU693,AU693&gt;=0,AV693&gt;0),(AT693-AU693)/AV693,"")</f>
        <v>0</v>
      </c>
      <c r="AX693" s="8" t="n">
        <v>0</v>
      </c>
      <c r="AY693" s="8" t="n">
        <v>0</v>
      </c>
      <c r="AZ693" s="8" t="n">
        <v>175</v>
      </c>
      <c r="BA693" s="11" t="n">
        <f>IF(AND(COUNT(AX693:AZ693)=3,AX693&gt;=AY693,AY693&gt;=0,AZ693&gt;0),(AX693-AY693)/AZ693,"")</f>
        <v>0</v>
      </c>
      <c r="BB693" s="8" t="n">
        <f>IF(COUNT(AS693,AW693,BA693)=3,1,0)</f>
        <v>1</v>
      </c>
      <c r="BC693" s="11" t="n">
        <f>IF(SUMIF($AO$11:$AO$1309,AO693,$BB$11:$BB$1309)=COUNTIF($AO$11:$AO$1309,AO693),SUMIF($AO$11:$AO$1309,AO693,$AS$11:$AS$1309),"")</f>
        <v>1.7016895050610588</v>
      </c>
      <c r="BD693" s="11" t="n">
        <f>IF(SUMIF($AO$11:$AO$1309,AO693,$BB$11:$BB$1309)=COUNTIF($AO$11:$AO$1309,AO693),SUMIF($AO$11:$AO$1309,AO693,$AW$11:$AW$1309),"")</f>
        <v>1.522727272727273</v>
      </c>
      <c r="BE693" s="11" t="n">
        <f>IF(SUMIF($AO$11:$AO$1309,AO693,$BB$11:$BB$1309)=COUNTIF($AO$11:$AO$1309,AO693),SUMIF($AO$11:$AO$1309,AO693,$BA$11:$BA$1309),"")</f>
        <v>1.5505617977528092</v>
      </c>
      <c r="BF693" s="12" t="n">
        <f>IF(COUNT(BD693:BE693)&lt;&gt;2,"",IF(AND(BD693&gt;0,BE693&gt;0),0.7*AW693/BD693+0.3*BA693/BE693,IF(BD693&gt;0,AW693/BD693,IF(BE693&gt;0,BA693/BE693,IF(AND(ISNUMBER(BH693),BH693=0),0,"")))))</f>
        <v>0</v>
      </c>
      <c r="BG693" s="11" t="n">
        <f>IF(AND(COUNT(BN693:BU693)=8,MIN(BN693:BU693)&gt;=0),SUMPRODUCT(BN693:BQ693,BR693:BU693),"")</f>
        <v>88.27281580841549</v>
      </c>
      <c r="BH693" s="11" t="n">
        <f>IF(COUNT(BC693,BG693)=2,BC693*BG693,"")</f>
        <v>150.21292424336855</v>
      </c>
      <c r="BI693" s="11" t="n">
        <f>IF(ISNUMBER(CI693),CI693,"")</f>
        <v>0</v>
      </c>
      <c r="BJ693" s="8" t="str">
        <v>低销提醒依据不完整</v>
      </c>
      <c r="BK693" s="8" t="str">
        <v>90天：2026-07-20 至 2026-10-17；180天：2026-04-21 至 2026-10-17</v>
      </c>
      <c r="BL693" s="8" t="str">
        <v>90天：2026-10-06、2026-10-07、2026-10-12、2026-10-13、2026-10-16；180天：2026-10-06、2026-10-07、2026-10-12、2026-10-13、2026-10-16</v>
      </c>
      <c r="BM693" s="8" t="str">
        <v>2026-10：12天 × 1.0395067087630607；2026-11：30天 × 0.9890368360033146；2026-12：31天 × 0.7800796503018808；2027-01：17天 × 1.2908918272824135</v>
      </c>
      <c r="BN693" s="11" t="n">
        <v>1.0395067087630607</v>
      </c>
      <c r="BO693" s="11" t="n">
        <v>0.9890368360033146</v>
      </c>
      <c r="BP693" s="11" t="n">
        <v>0.7800796503018808</v>
      </c>
      <c r="BQ693" s="11" t="n">
        <v>1.2908918272824135</v>
      </c>
      <c r="BR693" s="8" t="n">
        <v>12</v>
      </c>
      <c r="BS693" s="8" t="n">
        <v>30</v>
      </c>
      <c r="BT693" s="8" t="n">
        <v>31</v>
      </c>
      <c r="BU693" s="8" t="n">
        <v>17</v>
      </c>
      <c r="BV693" s="11" t="n">
        <f>IF(COUNT(BC693,BF693)=2,BC693*BF693,"")</f>
        <v>0</v>
      </c>
      <c r="BW693" s="11" t="n">
        <f>IF(ISNUMBER(BN693),BN693,"")</f>
        <v>1.0395067087630607</v>
      </c>
      <c r="BX693" s="14" t="n">
        <f>IF(ISNUMBER(BR693),BR693,"")</f>
        <v>12</v>
      </c>
      <c r="BY693" s="13" t="n">
        <f>IF(AND(COUNT(BV693,BW693,BX693)=3,MIN(BV693,BW693,BX693)&gt;=0),BV693*BW693*BX693,"")</f>
        <v>0</v>
      </c>
      <c r="BZ693" s="11" t="n">
        <f>IF(ISNUMBER(BO693),BO693,"")</f>
        <v>0.9890368360033146</v>
      </c>
      <c r="CA693" s="14" t="n">
        <f>IF(ISNUMBER(BS693),BS693,"")</f>
        <v>30</v>
      </c>
      <c r="CB693" s="13" t="n">
        <f>IF(AND(COUNT(BV693,BZ693,CA693)=3,MIN(BV693,BZ693,CA693)&gt;=0),BV693*BZ693*CA693,"")</f>
        <v>0</v>
      </c>
      <c r="CC693" s="11" t="n">
        <f>IF(ISNUMBER(BP693),BP693,"")</f>
        <v>0.7800796503018808</v>
      </c>
      <c r="CD693" s="14" t="n">
        <f>IF(ISNUMBER(BT693),BT693,"")</f>
        <v>31</v>
      </c>
      <c r="CE693" s="13" t="n">
        <f>IF(AND(COUNT(BV693,CC693,CD693)=3,MIN(BV693,CC693,CD693)&gt;=0),BV693*CC693*CD693,"")</f>
        <v>0</v>
      </c>
      <c r="CF693" s="11" t="n">
        <f>IF(ISNUMBER(BQ693),BQ693,"")</f>
        <v>1.2908918272824135</v>
      </c>
      <c r="CG693" s="14" t="n">
        <f>IF(ISNUMBER(BU693),BU693,"")</f>
        <v>17</v>
      </c>
      <c r="CH693" s="13" t="n">
        <f>IF(AND(COUNT(BV693,CF693,CG693)=3,MIN(BV693,CF693,CG693)&gt;=0),BV693*CF693*CG693,"")</f>
        <v>0</v>
      </c>
      <c r="CI693" s="13" t="n">
        <f>IF(COUNT(BY693,CB693,CE693,CH693)=4,SUM(BY693,CB693,CE693,CH693),"")</f>
        <v>0</v>
      </c>
    </row>
    <row r="694" ht="72" customHeight="1">
      <c r="A694" s="16" t="str">
        <v>32582-BKW-41</v>
      </c>
      <c r="B694" s="16" t="str">
        <v>3店-SANDIEX-US</v>
      </c>
      <c r="C694" s="16" t="str">
        <v>徐新怡</v>
      </c>
      <c r="D694" s="26" t="n">
        <f>IF(NOT(ISNUMBER(E694)),"",IF(OR(E694&lt;=0,L694=0),0,IF(OR(NOT(ISNUMBER(F694)),F694&lt;0),"",MIN(E694,INT(F694)))))</f>
        <v>0</v>
      </c>
      <c r="E694" s="27" t="n">
        <f>IF(OR(NOT(ISNUMBER(L694)),COUNT(M694:O694)&lt;&gt;3,MIN(M694:O694)&lt;0),"",ROUNDUP(ROUND(BI694-SUM(M694:O694),10),0))</f>
        <v>-66</v>
      </c>
      <c r="F694" s="28" t="n">
        <v>100</v>
      </c>
      <c r="G694" s="28" t="n">
        <f>IF(AND(ISNUMBER(D694),ISNUMBER(E694)),IF(OR(E694&lt;=0,L694=0),0,E694-D694),"")</f>
        <v>0</v>
      </c>
      <c r="H694" s="16" t="str">
        <f>IF(NOT(ISNUMBER(E694)),"销量或海外库存待补",IF(OR(E694&lt;=0,L694=0),IF(L694=0,"零日销，本批不发","本批无需补货"),IF(NOT(ISNUMBER(D694)),"国内库存待补",IF(D694=0,"国内无可用库存",IF(G694&gt;0,"先发国内现货","按建议量发货")))))</f>
        <v>本批无需补货</v>
      </c>
      <c r="I694" s="28" t="n">
        <f>IF(AND(COUNT(Z694,AA694,AB694)=3,Z694&gt;=AA694,AA694&gt;=0,AB694=7),Z694-AA694,"")</f>
        <v>0</v>
      </c>
      <c r="J694" s="28" t="n">
        <f>IF(AND(COUNT(AF694,AG694,AH694)=3,AF694&gt;=AG694,AG694&gt;=0,AH694=14),AF694-AG694,"")</f>
        <v>3</v>
      </c>
      <c r="K694" s="28" t="n">
        <f>IF(AND(COUNT(AL694,AM694,AN694)=3,AL694&gt;=AM694,AM694&gt;=0,AN694=30),AL694-AM694,"")</f>
        <v>6</v>
      </c>
      <c r="L694" s="29" t="n">
        <f>IF(ISNUMBER(BI694),BI694/90,"")</f>
        <v>0.1274519133343312</v>
      </c>
      <c r="M694" s="28" t="n">
        <v>77</v>
      </c>
      <c r="N694" s="28" t="n">
        <v>0</v>
      </c>
      <c r="O694" s="28" t="n">
        <v>0</v>
      </c>
      <c r="P694" s="30" t="n">
        <f>IF(AND(ISNUMBER(L694),L694&gt;0,COUNT(M694:O694)=3,MIN(M694:O694)&gt;=0),SUM(M694:O694)/L694,"")</f>
        <v>604.149423775334</v>
      </c>
      <c r="Q694" s="16" t="str">
        <v>沿用原计划SKU店铺</v>
      </c>
      <c r="R694" s="16" t="str">
        <v>已匹配</v>
      </c>
      <c r="S694" s="16" t="str">
        <v>在售</v>
      </c>
      <c r="T694" s="16" t="str">
        <v>32582</v>
      </c>
      <c r="U694" s="16" t="str">
        <v>黑色白色内里</v>
      </c>
      <c r="V694" s="16" t="n">
        <v>10</v>
      </c>
      <c r="W694" s="8" t="str">
        <v>2026-10-11 至 2026-10-17</v>
      </c>
      <c r="X694" s="8" t="str">
        <v>2026-10-11、2026-10-12、2026-10-13、2026-10-14、2026-10-15、2026-10-16、2026-10-17</v>
      </c>
      <c r="Y694" s="8" t="str">
        <v>无</v>
      </c>
      <c r="Z694" s="8" t="n">
        <v>0</v>
      </c>
      <c r="AA694" s="8" t="n">
        <v>0</v>
      </c>
      <c r="AB694" s="8" t="n">
        <v>7</v>
      </c>
      <c r="AC694" s="8" t="str">
        <v>2026-10-02 至 2026-10-17</v>
      </c>
      <c r="AD694" s="8" t="str">
        <v>2026-10-02、2026-10-03、2026-10-04、2026-10-05、2026-10-08、2026-10-09、2026-10-10、2026-10-11、2026-10-12、2026-10-13、2026-10-14、2026-10-15、2026-10-16、2026-10-17</v>
      </c>
      <c r="AE694" s="8" t="str">
        <v>2026-10-06 大促；2026-10-07 大促</v>
      </c>
      <c r="AF694" s="8" t="n">
        <v>4</v>
      </c>
      <c r="AG694" s="8" t="n">
        <v>1</v>
      </c>
      <c r="AH694" s="8" t="n">
        <v>14</v>
      </c>
      <c r="AI694" s="8" t="str">
        <v>2026-09-16 至 2026-10-17</v>
      </c>
      <c r="AJ6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694" s="8" t="str">
        <v>2026-10-06 大促；2026-10-07 大促</v>
      </c>
      <c r="AL694" s="8" t="n">
        <v>7</v>
      </c>
      <c r="AM694" s="8" t="n">
        <v>1</v>
      </c>
      <c r="AN694" s="8" t="n">
        <v>30</v>
      </c>
      <c r="AO694" s="8" t="str">
        <v>32582 / 黑色白色内里羊京绒 / 6574</v>
      </c>
      <c r="AP694" s="11" t="n">
        <v>1.0395067087630607</v>
      </c>
      <c r="AQ694" s="11" t="n">
        <v>1.0395067087630607</v>
      </c>
      <c r="AR694" s="11" t="n">
        <v>1.0707336504782758</v>
      </c>
      <c r="AS694" s="11" t="n">
        <f>IF(AND(COUNT(I694:K694,AP694:AR694)=6,MIN(AP694:AR694)&gt;0),I694/7/AP694*0.5+J694/14/AQ694*0.3+K694/30/AR694*0.2,"")</f>
        <v>0.09920008304735044</v>
      </c>
      <c r="AT694" s="8" t="n">
        <v>10</v>
      </c>
      <c r="AU694" s="8" t="n">
        <v>1</v>
      </c>
      <c r="AV694" s="8" t="n">
        <v>88</v>
      </c>
      <c r="AW694" s="11" t="n">
        <f>IF(AND(COUNT(AT694:AV694)=3,AT694&gt;=AU694,AU694&gt;=0,AV694&gt;0),(AT694-AU694)/AV694,"")</f>
        <v>0.10227272727272728</v>
      </c>
      <c r="AX694" s="8" t="n">
        <v>28</v>
      </c>
      <c r="AY694" s="8" t="n">
        <v>1</v>
      </c>
      <c r="AZ694" s="8" t="n">
        <v>178</v>
      </c>
      <c r="BA694" s="11" t="n">
        <f>IF(AND(COUNT(AX694:AZ694)=3,AX694&gt;=AY694,AY694&gt;=0,AZ694&gt;0),(AX694-AY694)/AZ694,"")</f>
        <v>0.15168539325842698</v>
      </c>
      <c r="BB694" s="8" t="n">
        <f>IF(COUNT(AS694,AW694,BA694)=3,1,0)</f>
        <v>1</v>
      </c>
      <c r="BC694" s="11" t="n">
        <f>IF(SUMIF($AO$11:$AO$1309,AO694,$BB$11:$BB$1309)=COUNTIF($AO$11:$AO$1309,AO694),SUMIF($AO$11:$AO$1309,AO694,$AS$11:$AS$1309),"")</f>
        <v>1.7016895050610588</v>
      </c>
      <c r="BD694" s="11" t="n">
        <f>IF(SUMIF($AO$11:$AO$1309,AO694,$BB$11:$BB$1309)=COUNTIF($AO$11:$AO$1309,AO694),SUMIF($AO$11:$AO$1309,AO694,$AW$11:$AW$1309),"")</f>
        <v>1.522727272727273</v>
      </c>
      <c r="BE694" s="11" t="n">
        <f>IF(SUMIF($AO$11:$AO$1309,AO694,$BB$11:$BB$1309)=COUNTIF($AO$11:$AO$1309,AO694),SUMIF($AO$11:$AO$1309,AO694,$BA$11:$BA$1309),"")</f>
        <v>1.5505617977528092</v>
      </c>
      <c r="BF694" s="12" t="n">
        <f>IF(COUNT(BD694:BE694)&lt;&gt;2,"",IF(AND(BD694&gt;0,BE694&gt;0),0.7*AW694/BD694+0.3*BA694/BE694,IF(BD694&gt;0,AW694/BD694,IF(BE694&gt;0,BA694/BE694,IF(AND(ISNUMBER(BH694),BH694=0),0,"")))))</f>
        <v>0.07636275146009083</v>
      </c>
      <c r="BG694" s="11" t="n">
        <f>IF(AND(COUNT(BN694:BU694)=8,MIN(BN694:BU694)&gt;=0),SUMPRODUCT(BN694:BQ694,BR694:BU694),"")</f>
        <v>88.27281580841549</v>
      </c>
      <c r="BH694" s="11" t="n">
        <f>IF(COUNT(BC694,BG694)=2,BC694*BG694,"")</f>
        <v>150.21292424336855</v>
      </c>
      <c r="BI694" s="11" t="n">
        <f>IF(ISNUMBER(CI694),CI694,"")</f>
        <v>11.470672200089808</v>
      </c>
      <c r="BJ694" s="8" t="str">
        <v>低销提醒依据不完整</v>
      </c>
      <c r="BK694" s="8" t="str">
        <v>90天：2026-07-20 至 2026-10-17；180天：2026-04-21 至 2026-10-17</v>
      </c>
      <c r="BL694" s="8" t="str">
        <v>90天：2026-10-06、2026-10-07；180天：2026-10-06、2026-10-07</v>
      </c>
      <c r="BM694" s="8" t="str">
        <v>2026-10：12天 × 1.0395067087630607；2026-11：30天 × 0.9890368360033146；2026-12：31天 × 0.7800796503018808；2027-01：17天 × 1.2908918272824135</v>
      </c>
      <c r="BN694" s="11" t="n">
        <v>1.0395067087630607</v>
      </c>
      <c r="BO694" s="11" t="n">
        <v>0.9890368360033146</v>
      </c>
      <c r="BP694" s="11" t="n">
        <v>0.7800796503018808</v>
      </c>
      <c r="BQ694" s="11" t="n">
        <v>1.2908918272824135</v>
      </c>
      <c r="BR694" s="8" t="n">
        <v>12</v>
      </c>
      <c r="BS694" s="8" t="n">
        <v>30</v>
      </c>
      <c r="BT694" s="8" t="n">
        <v>31</v>
      </c>
      <c r="BU694" s="8" t="n">
        <v>17</v>
      </c>
      <c r="BV694" s="11" t="n">
        <f>IF(COUNT(BC694,BF694)=2,BC694*BF694,"")</f>
        <v>0.12994569273722262</v>
      </c>
      <c r="BW694" s="11" t="n">
        <f>IF(ISNUMBER(BN694),BN694,"")</f>
        <v>1.0395067087630607</v>
      </c>
      <c r="BX694" s="14" t="n">
        <f>IF(ISNUMBER(BR694),BR694,"")</f>
        <v>12</v>
      </c>
      <c r="BY694" s="13" t="n">
        <f>IF(AND(COUNT(BV694,BW694,BX694)=3,MIN(BV694,BW694,BX694)&gt;=0),BV694*BW694*BX694,"")</f>
        <v>1.620953032502475</v>
      </c>
      <c r="BZ694" s="11" t="n">
        <f>IF(ISNUMBER(BO694),BO694,"")</f>
        <v>0.9890368360033146</v>
      </c>
      <c r="CA694" s="14" t="n">
        <f>IF(ISNUMBER(BS694),BS694,"")</f>
        <v>30</v>
      </c>
      <c r="CB694" s="13" t="n">
        <f>IF(AND(COUNT(BV694,BZ694,CA694)=3,MIN(BV694,BZ694,CA694)&gt;=0),BV694*BZ694*CA694,"")</f>
        <v>3.8556323039124467</v>
      </c>
      <c r="CC694" s="11" t="n">
        <f>IF(ISNUMBER(BP694),BP694,"")</f>
        <v>0.7800796503018808</v>
      </c>
      <c r="CD694" s="14" t="n">
        <f>IF(ISNUMBER(BT694),BT694,"")</f>
        <v>31</v>
      </c>
      <c r="CE694" s="13" t="n">
        <f>IF(AND(COUNT(BV694,CC694,CD694)=3,MIN(BV694,CC694,CD694)&gt;=0),BV694*CC694*CD694,"")</f>
        <v>3.1424077070093364</v>
      </c>
      <c r="CF694" s="11" t="n">
        <f>IF(ISNUMBER(BQ694),BQ694,"")</f>
        <v>1.2908918272824135</v>
      </c>
      <c r="CG694" s="14" t="n">
        <f>IF(ISNUMBER(BU694),BU694,"")</f>
        <v>17</v>
      </c>
      <c r="CH694" s="13" t="n">
        <f>IF(AND(COUNT(BV694,CF694,CG694)=3,MIN(BV694,CF694,CG694)&gt;=0),BV694*CF694*CG694,"")</f>
        <v>2.85167915666555</v>
      </c>
      <c r="CI694" s="13" t="n">
        <f>IF(COUNT(BY694,CB694,CE694,CH694)=4,SUM(BY694,CB694,CE694,CH694),"")</f>
        <v>11.470672200089808</v>
      </c>
    </row>
    <row r="695" ht="72" customHeight="1">
      <c r="A695" s="16" t="str">
        <v>32582-GY-37</v>
      </c>
      <c r="B695" s="16" t="str">
        <v>3店-SANDIEX-US</v>
      </c>
      <c r="C695" s="16" t="str">
        <v>徐新怡</v>
      </c>
      <c r="D695" s="26" t="n">
        <f>IF(NOT(ISNUMBER(E695)),"",IF(OR(E695&lt;=0,L695=0),0,IF(OR(NOT(ISNUMBER(F695)),F695&lt;0),"",MIN(E695,INT(F695)))))</f>
        <v>0</v>
      </c>
      <c r="E695" s="27" t="n">
        <f>IF(OR(NOT(ISNUMBER(L695)),COUNT(M695:O695)&lt;&gt;3,MIN(M695:O695)&lt;0),"",ROUNDUP(ROUND(BI695-SUM(M695:O695),10),0))</f>
        <v>0</v>
      </c>
      <c r="F695" s="28"/>
      <c r="G695" s="28" t="n">
        <f>IF(AND(ISNUMBER(D695),ISNUMBER(E695)),IF(OR(E695&lt;=0,L695=0),0,E695-D695),"")</f>
        <v>0</v>
      </c>
      <c r="H695" s="16" t="str">
        <f>IF(NOT(ISNUMBER(E695)),"销量或海外库存待补",IF(OR(E695&lt;=0,L695=0),IF(L695=0,"零日销，本批不发","本批无需补货"),IF(NOT(ISNUMBER(D695)),"国内库存待补",IF(D695=0,"国内无可用库存",IF(G695&gt;0,"先发国内现货","按建议量发货")))))</f>
        <v>零日销，本批不发</v>
      </c>
      <c r="I695" s="28" t="n">
        <f>IF(AND(COUNT(Z695,AA695,AB695)=3,Z695&gt;=AA695,AA695&gt;=0,AB695=7),Z695-AA695,"")</f>
        <v>0</v>
      </c>
      <c r="J695" s="28" t="n">
        <f>IF(AND(COUNT(AF695,AG695,AH695)=3,AF695&gt;=AG695,AG695&gt;=0,AH695=14),AF695-AG695,"")</f>
        <v>0</v>
      </c>
      <c r="K695" s="28" t="n">
        <f>IF(AND(COUNT(AL695,AM695,AN695)=3,AL695&gt;=AM695,AM695&gt;=0,AN695=30),AL695-AM695,"")</f>
        <v>0</v>
      </c>
      <c r="L695" s="29" t="n">
        <f>IF(ISNUMBER(BI695),BI695/90,"")</f>
        <v>0</v>
      </c>
      <c r="M695" s="28" t="n">
        <v>0</v>
      </c>
      <c r="N695" s="28" t="n">
        <v>0</v>
      </c>
      <c r="O695" s="28" t="n">
        <v>0</v>
      </c>
      <c r="P695" s="30" t="str">
        <f>IF(AND(ISNUMBER(L695),L695&gt;0,COUNT(M695:O695)=3,MIN(M695:O695)&gt;=0),SUM(M695:O695)/L695,"")</f>
      </c>
      <c r="Q695" s="16" t="str">
        <v>沿用原计划SKU店铺</v>
      </c>
      <c r="R695" s="16" t="str">
        <v>未匹配</v>
      </c>
      <c r="S695" s="16" t="str">
        <v>停售</v>
      </c>
      <c r="T695" s="16" t="str">
        <v>32582</v>
      </c>
      <c r="U695" s="16" t="str">
        <v>灰色</v>
      </c>
      <c r="V695" s="16" t="n">
        <v>6</v>
      </c>
      <c r="W695" s="8" t="str">
        <v>2026-10-08 至 2026-10-17</v>
      </c>
      <c r="X695" s="8" t="str">
        <v>2026-10-08、2026-10-09、2026-10-10、2026-10-11、2026-10-14、2026-10-15、2026-10-17</v>
      </c>
      <c r="Y695" s="8" t="str">
        <v>2026-10-12 有记录的停售日；2026-10-13 有记录的停售日；2026-10-16 有记录的停售日</v>
      </c>
      <c r="Z695" s="8" t="n">
        <v>0</v>
      </c>
      <c r="AA695" s="8" t="n">
        <v>0</v>
      </c>
      <c r="AB695" s="8" t="n">
        <v>7</v>
      </c>
      <c r="AC695" s="8" t="str">
        <v>2026-09-29 至 2026-10-17</v>
      </c>
      <c r="AD695" s="8" t="str">
        <v>2026-09-29、2026-09-30、2026-10-01、2026-10-02、2026-10-03、2026-10-04、2026-10-05、2026-10-08、2026-10-09、2026-10-10、2026-10-11、2026-10-14、2026-10-15、2026-10-17</v>
      </c>
      <c r="AE695" s="8" t="str">
        <v>2026-10-06 大促；2026-10-07 大促；2026-10-12 有记录的停售日；2026-10-13 有记录的停售日；2026-10-16 有记录的停售日</v>
      </c>
      <c r="AF695" s="8" t="n">
        <v>0</v>
      </c>
      <c r="AG695" s="8" t="n">
        <v>0</v>
      </c>
      <c r="AH695" s="8" t="n">
        <v>14</v>
      </c>
      <c r="AI695" s="8" t="str">
        <v>2026-09-13 至 2026-10-17</v>
      </c>
      <c r="AJ69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5" s="8" t="str">
        <v>2026-10-06 大促；2026-10-07 大促；2026-10-12 有记录的停售日；2026-10-13 有记录的停售日；2026-10-16 有记录的停售日</v>
      </c>
      <c r="AL695" s="8" t="n">
        <v>0</v>
      </c>
      <c r="AM695" s="8" t="n">
        <v>0</v>
      </c>
      <c r="AN695" s="8" t="n">
        <v>30</v>
      </c>
      <c r="AO695" s="8" t="str">
        <v>32582 / 灰色羊京绒 / 6574</v>
      </c>
      <c r="AP695" s="11" t="n">
        <v>1.0395067087630607</v>
      </c>
      <c r="AQ695" s="11" t="n">
        <v>1.048428692110265</v>
      </c>
      <c r="AR695" s="11" t="n">
        <v>1.076979038821319</v>
      </c>
      <c r="AS695" s="11" t="n">
        <f>IF(AND(COUNT(I695:K695,AP695:AR695)=6,MIN(AP695:AR695)&gt;0),I695/7/AP695*0.5+J695/14/AQ695*0.3+K695/30/AR695*0.2,"")</f>
        <v>0</v>
      </c>
      <c r="AT695" s="8" t="n">
        <v>0</v>
      </c>
      <c r="AU695" s="8" t="n">
        <v>0</v>
      </c>
      <c r="AV695" s="8" t="n">
        <v>85</v>
      </c>
      <c r="AW695" s="11" t="n">
        <f>IF(AND(COUNT(AT695:AV695)=3,AT695&gt;=AU695,AU695&gt;=0,AV695&gt;0),(AT695-AU695)/AV695,"")</f>
        <v>0</v>
      </c>
      <c r="AX695" s="8" t="n">
        <v>0</v>
      </c>
      <c r="AY695" s="8" t="n">
        <v>0</v>
      </c>
      <c r="AZ695" s="8" t="n">
        <v>175</v>
      </c>
      <c r="BA695" s="11" t="n">
        <f>IF(AND(COUNT(AX695:AZ695)=3,AX695&gt;=AY695,AY695&gt;=0,AZ695&gt;0),(AX695-AY695)/AZ695,"")</f>
        <v>0</v>
      </c>
      <c r="BB695" s="8" t="n">
        <f>IF(COUNT(AS695,AW695,BA695)=3,1,0)</f>
        <v>1</v>
      </c>
      <c r="BC695" s="11" t="n">
        <f>IF(SUMIF($AO$11:$AO$1309,AO695,$BB$11:$BB$1309)=COUNTIF($AO$11:$AO$1309,AO695),SUMIF($AO$11:$AO$1309,AO695,$AS$11:$AS$1309),"")</f>
        <v>0.12239477859749676</v>
      </c>
      <c r="BD695" s="11" t="n">
        <f>IF(SUMIF($AO$11:$AO$1309,AO695,$BB$11:$BB$1309)=COUNTIF($AO$11:$AO$1309,AO695),SUMIF($AO$11:$AO$1309,AO695,$AW$11:$AW$1309),"")</f>
        <v>0.0572192513368984</v>
      </c>
      <c r="BE695" s="11" t="n">
        <f>IF(SUMIF($AO$11:$AO$1309,AO695,$BB$11:$BB$1309)=COUNTIF($AO$11:$AO$1309,AO695),SUMIF($AO$11:$AO$1309,AO695,$BA$11:$BA$1309),"")</f>
        <v>0.03390048154093098</v>
      </c>
      <c r="BF695" s="12" t="n">
        <f>IF(COUNT(BD695:BE695)&lt;&gt;2,"",IF(AND(BD695&gt;0,BE695&gt;0),0.7*AW695/BD695+0.3*BA695/BE695,IF(BD695&gt;0,AW695/BD695,IF(BE695&gt;0,BA695/BE695,IF(AND(ISNUMBER(BH695),BH695=0),0,"")))))</f>
        <v>0</v>
      </c>
      <c r="BG695" s="11" t="n">
        <f>IF(AND(COUNT(BN695:BU695)=8,MIN(BN695:BU695)&gt;=0),SUMPRODUCT(BN695:BQ695,BR695:BU695),"")</f>
        <v>88.27281580841549</v>
      </c>
      <c r="BH695" s="11" t="n">
        <f>IF(COUNT(BC695,BG695)=2,BC695*BG695,"")</f>
        <v>10.804131747048626</v>
      </c>
      <c r="BI695" s="11" t="n">
        <f>IF(ISNUMBER(CI695),CI695,"")</f>
        <v>0</v>
      </c>
      <c r="BJ695" s="8" t="str">
        <v>近180天本色销量7双（＜90），无有效新采购，请运营判断</v>
      </c>
      <c r="BK695" s="8" t="str">
        <v>90天：2026-07-20 至 2026-10-17；180天：2026-04-21 至 2026-10-17</v>
      </c>
      <c r="BL695" s="8" t="str">
        <v>90天：2026-10-06、2026-10-07、2026-10-12、2026-10-13、2026-10-16；180天：2026-10-06、2026-10-07、2026-10-12、2026-10-13、2026-10-16</v>
      </c>
      <c r="BM695" s="8" t="str">
        <v>2026-10：12天 × 1.0395067087630607；2026-11：30天 × 0.9890368360033146；2026-12：31天 × 0.7800796503018808；2027-01：17天 × 1.2908918272824135</v>
      </c>
      <c r="BN695" s="11" t="n">
        <v>1.0395067087630607</v>
      </c>
      <c r="BO695" s="11" t="n">
        <v>0.9890368360033146</v>
      </c>
      <c r="BP695" s="11" t="n">
        <v>0.7800796503018808</v>
      </c>
      <c r="BQ695" s="11" t="n">
        <v>1.2908918272824135</v>
      </c>
      <c r="BR695" s="8" t="n">
        <v>12</v>
      </c>
      <c r="BS695" s="8" t="n">
        <v>30</v>
      </c>
      <c r="BT695" s="8" t="n">
        <v>31</v>
      </c>
      <c r="BU695" s="8" t="n">
        <v>17</v>
      </c>
      <c r="BV695" s="11" t="n">
        <f>IF(COUNT(BC695,BF695)=2,BC695*BF695,"")</f>
        <v>0</v>
      </c>
      <c r="BW695" s="11" t="n">
        <f>IF(ISNUMBER(BN695),BN695,"")</f>
        <v>1.0395067087630607</v>
      </c>
      <c r="BX695" s="14" t="n">
        <f>IF(ISNUMBER(BR695),BR695,"")</f>
        <v>12</v>
      </c>
      <c r="BY695" s="13" t="n">
        <f>IF(AND(COUNT(BV695,BW695,BX695)=3,MIN(BV695,BW695,BX695)&gt;=0),BV695*BW695*BX695,"")</f>
        <v>0</v>
      </c>
      <c r="BZ695" s="11" t="n">
        <f>IF(ISNUMBER(BO695),BO695,"")</f>
        <v>0.9890368360033146</v>
      </c>
      <c r="CA695" s="14" t="n">
        <f>IF(ISNUMBER(BS695),BS695,"")</f>
        <v>30</v>
      </c>
      <c r="CB695" s="13" t="n">
        <f>IF(AND(COUNT(BV695,BZ695,CA695)=3,MIN(BV695,BZ695,CA695)&gt;=0),BV695*BZ695*CA695,"")</f>
        <v>0</v>
      </c>
      <c r="CC695" s="11" t="n">
        <f>IF(ISNUMBER(BP695),BP695,"")</f>
        <v>0.7800796503018808</v>
      </c>
      <c r="CD695" s="14" t="n">
        <f>IF(ISNUMBER(BT695),BT695,"")</f>
        <v>31</v>
      </c>
      <c r="CE695" s="13" t="n">
        <f>IF(AND(COUNT(BV695,CC695,CD695)=3,MIN(BV695,CC695,CD695)&gt;=0),BV695*CC695*CD695,"")</f>
        <v>0</v>
      </c>
      <c r="CF695" s="11" t="n">
        <f>IF(ISNUMBER(BQ695),BQ695,"")</f>
        <v>1.2908918272824135</v>
      </c>
      <c r="CG695" s="14" t="n">
        <f>IF(ISNUMBER(BU695),BU695,"")</f>
        <v>17</v>
      </c>
      <c r="CH695" s="13" t="n">
        <f>IF(AND(COUNT(BV695,CF695,CG695)=3,MIN(BV695,CF695,CG695)&gt;=0),BV695*CF695*CG695,"")</f>
        <v>0</v>
      </c>
      <c r="CI695" s="13" t="n">
        <f>IF(COUNT(BY695,CB695,CE695,CH695)=4,SUM(BY695,CB695,CE695,CH695),"")</f>
        <v>0</v>
      </c>
    </row>
    <row r="696" ht="72" customHeight="1">
      <c r="A696" s="16" t="str">
        <v>32582-GY-37.5</v>
      </c>
      <c r="B696" s="16" t="str">
        <v>3店-SANDIEX-US</v>
      </c>
      <c r="C696" s="16" t="str">
        <v>徐新怡</v>
      </c>
      <c r="D696" s="26" t="n">
        <f>IF(NOT(ISNUMBER(E696)),"",IF(OR(E696&lt;=0,L696=0),0,IF(OR(NOT(ISNUMBER(F696)),F696&lt;0),"",MIN(E696,INT(F696)))))</f>
        <v>0</v>
      </c>
      <c r="E696" s="27" t="n">
        <f>IF(OR(NOT(ISNUMBER(L696)),COUNT(M696:O696)&lt;&gt;3,MIN(M696:O696)&lt;0),"",ROUNDUP(ROUND(BI696-SUM(M696:O696),10),0))</f>
        <v>0</v>
      </c>
      <c r="F696" s="28"/>
      <c r="G696" s="28" t="n">
        <f>IF(AND(ISNUMBER(D696),ISNUMBER(E696)),IF(OR(E696&lt;=0,L696=0),0,E696-D696),"")</f>
        <v>0</v>
      </c>
      <c r="H696" s="16" t="str">
        <f>IF(NOT(ISNUMBER(E696)),"销量或海外库存待补",IF(OR(E696&lt;=0,L696=0),IF(L696=0,"零日销，本批不发","本批无需补货"),IF(NOT(ISNUMBER(D696)),"国内库存待补",IF(D696=0,"国内无可用库存",IF(G696&gt;0,"先发国内现货","按建议量发货")))))</f>
        <v>零日销，本批不发</v>
      </c>
      <c r="I696" s="28" t="n">
        <f>IF(AND(COUNT(Z696,AA696,AB696)=3,Z696&gt;=AA696,AA696&gt;=0,AB696=7),Z696-AA696,"")</f>
        <v>0</v>
      </c>
      <c r="J696" s="28" t="n">
        <f>IF(AND(COUNT(AF696,AG696,AH696)=3,AF696&gt;=AG696,AG696&gt;=0,AH696=14),AF696-AG696,"")</f>
        <v>0</v>
      </c>
      <c r="K696" s="28" t="n">
        <f>IF(AND(COUNT(AL696,AM696,AN696)=3,AL696&gt;=AM696,AM696&gt;=0,AN696=30),AL696-AM696,"")</f>
        <v>0</v>
      </c>
      <c r="L696" s="29" t="n">
        <f>IF(ISNUMBER(BI696),BI696/90,"")</f>
        <v>0</v>
      </c>
      <c r="M696" s="28" t="n">
        <v>0</v>
      </c>
      <c r="N696" s="28" t="n">
        <v>0</v>
      </c>
      <c r="O696" s="28" t="n">
        <v>0</v>
      </c>
      <c r="P696" s="30" t="str">
        <f>IF(AND(ISNUMBER(L696),L696&gt;0,COUNT(M696:O696)=3,MIN(M696:O696)&gt;=0),SUM(M696:O696)/L696,"")</f>
      </c>
      <c r="Q696" s="16" t="str">
        <v>沿用原计划SKU店铺</v>
      </c>
      <c r="R696" s="16" t="str">
        <v>未匹配</v>
      </c>
      <c r="S696" s="16" t="str">
        <v>停售</v>
      </c>
      <c r="T696" s="16" t="str">
        <v>32582</v>
      </c>
      <c r="U696" s="16" t="str">
        <v>灰色</v>
      </c>
      <c r="V696" s="16" t="n">
        <v>6.5</v>
      </c>
      <c r="W696" s="8" t="str">
        <v>2026-10-08 至 2026-10-17</v>
      </c>
      <c r="X696" s="8" t="str">
        <v>2026-10-08、2026-10-09、2026-10-10、2026-10-11、2026-10-14、2026-10-15、2026-10-17</v>
      </c>
      <c r="Y696" s="8" t="str">
        <v>2026-10-12 有记录的停售日；2026-10-13 有记录的停售日；2026-10-16 有记录的停售日</v>
      </c>
      <c r="Z696" s="8" t="n">
        <v>0</v>
      </c>
      <c r="AA696" s="8" t="n">
        <v>0</v>
      </c>
      <c r="AB696" s="8" t="n">
        <v>7</v>
      </c>
      <c r="AC696" s="8" t="str">
        <v>2026-09-29 至 2026-10-17</v>
      </c>
      <c r="AD696" s="8" t="str">
        <v>2026-09-29、2026-09-30、2026-10-01、2026-10-02、2026-10-03、2026-10-04、2026-10-05、2026-10-08、2026-10-09、2026-10-10、2026-10-11、2026-10-14、2026-10-15、2026-10-17</v>
      </c>
      <c r="AE696" s="8" t="str">
        <v>2026-10-06 大促；2026-10-07 大促；2026-10-12 有记录的停售日；2026-10-13 有记录的停售日；2026-10-16 有记录的停售日</v>
      </c>
      <c r="AF696" s="8" t="n">
        <v>0</v>
      </c>
      <c r="AG696" s="8" t="n">
        <v>0</v>
      </c>
      <c r="AH696" s="8" t="n">
        <v>14</v>
      </c>
      <c r="AI696" s="8" t="str">
        <v>2026-09-13 至 2026-10-17</v>
      </c>
      <c r="AJ69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6" s="8" t="str">
        <v>2026-10-06 大促；2026-10-07 大促；2026-10-12 有记录的停售日；2026-10-13 有记录的停售日；2026-10-16 有记录的停售日</v>
      </c>
      <c r="AL696" s="8" t="n">
        <v>0</v>
      </c>
      <c r="AM696" s="8" t="n">
        <v>0</v>
      </c>
      <c r="AN696" s="8" t="n">
        <v>30</v>
      </c>
      <c r="AO696" s="8" t="str">
        <v>32582 / 灰色羊京绒 / 6574</v>
      </c>
      <c r="AP696" s="11" t="n">
        <v>1.0395067087630607</v>
      </c>
      <c r="AQ696" s="11" t="n">
        <v>1.048428692110265</v>
      </c>
      <c r="AR696" s="11" t="n">
        <v>1.076979038821319</v>
      </c>
      <c r="AS696" s="11" t="n">
        <f>IF(AND(COUNT(I696:K696,AP696:AR696)=6,MIN(AP696:AR696)&gt;0),I696/7/AP696*0.5+J696/14/AQ696*0.3+K696/30/AR696*0.2,"")</f>
        <v>0</v>
      </c>
      <c r="AT696" s="8" t="n">
        <v>0</v>
      </c>
      <c r="AU696" s="8" t="n">
        <v>0</v>
      </c>
      <c r="AV696" s="8" t="n">
        <v>85</v>
      </c>
      <c r="AW696" s="11" t="n">
        <f>IF(AND(COUNT(AT696:AV696)=3,AT696&gt;=AU696,AU696&gt;=0,AV696&gt;0),(AT696-AU696)/AV696,"")</f>
        <v>0</v>
      </c>
      <c r="AX696" s="8" t="n">
        <v>0</v>
      </c>
      <c r="AY696" s="8" t="n">
        <v>0</v>
      </c>
      <c r="AZ696" s="8" t="n">
        <v>175</v>
      </c>
      <c r="BA696" s="11" t="n">
        <f>IF(AND(COUNT(AX696:AZ696)=3,AX696&gt;=AY696,AY696&gt;=0,AZ696&gt;0),(AX696-AY696)/AZ696,"")</f>
        <v>0</v>
      </c>
      <c r="BB696" s="8" t="n">
        <f>IF(COUNT(AS696,AW696,BA696)=3,1,0)</f>
        <v>1</v>
      </c>
      <c r="BC696" s="11" t="n">
        <f>IF(SUMIF($AO$11:$AO$1309,AO696,$BB$11:$BB$1309)=COUNTIF($AO$11:$AO$1309,AO696),SUMIF($AO$11:$AO$1309,AO696,$AS$11:$AS$1309),"")</f>
        <v>0.12239477859749676</v>
      </c>
      <c r="BD696" s="11" t="n">
        <f>IF(SUMIF($AO$11:$AO$1309,AO696,$BB$11:$BB$1309)=COUNTIF($AO$11:$AO$1309,AO696),SUMIF($AO$11:$AO$1309,AO696,$AW$11:$AW$1309),"")</f>
        <v>0.0572192513368984</v>
      </c>
      <c r="BE696" s="11" t="n">
        <f>IF(SUMIF($AO$11:$AO$1309,AO696,$BB$11:$BB$1309)=COUNTIF($AO$11:$AO$1309,AO696),SUMIF($AO$11:$AO$1309,AO696,$BA$11:$BA$1309),"")</f>
        <v>0.03390048154093098</v>
      </c>
      <c r="BF696" s="12" t="n">
        <f>IF(COUNT(BD696:BE696)&lt;&gt;2,"",IF(AND(BD696&gt;0,BE696&gt;0),0.7*AW696/BD696+0.3*BA696/BE696,IF(BD696&gt;0,AW696/BD696,IF(BE696&gt;0,BA696/BE696,IF(AND(ISNUMBER(BH696),BH696=0),0,"")))))</f>
        <v>0</v>
      </c>
      <c r="BG696" s="11" t="n">
        <f>IF(AND(COUNT(BN696:BU696)=8,MIN(BN696:BU696)&gt;=0),SUMPRODUCT(BN696:BQ696,BR696:BU696),"")</f>
        <v>88.27281580841549</v>
      </c>
      <c r="BH696" s="11" t="n">
        <f>IF(COUNT(BC696,BG696)=2,BC696*BG696,"")</f>
        <v>10.804131747048626</v>
      </c>
      <c r="BI696" s="11" t="n">
        <f>IF(ISNUMBER(CI696),CI696,"")</f>
        <v>0</v>
      </c>
      <c r="BJ696" s="8" t="str">
        <v>近180天本色销量7双（＜90），无有效新采购，请运营判断</v>
      </c>
      <c r="BK696" s="8" t="str">
        <v>90天：2026-07-20 至 2026-10-17；180天：2026-04-21 至 2026-10-17</v>
      </c>
      <c r="BL696" s="8" t="str">
        <v>90天：2026-10-06、2026-10-07、2026-10-12、2026-10-13、2026-10-16；180天：2026-10-06、2026-10-07、2026-10-12、2026-10-13、2026-10-16</v>
      </c>
      <c r="BM696" s="8" t="str">
        <v>2026-10：12天 × 1.0395067087630607；2026-11：30天 × 0.9890368360033146；2026-12：31天 × 0.7800796503018808；2027-01：17天 × 1.2908918272824135</v>
      </c>
      <c r="BN696" s="11" t="n">
        <v>1.0395067087630607</v>
      </c>
      <c r="BO696" s="11" t="n">
        <v>0.9890368360033146</v>
      </c>
      <c r="BP696" s="11" t="n">
        <v>0.7800796503018808</v>
      </c>
      <c r="BQ696" s="11" t="n">
        <v>1.2908918272824135</v>
      </c>
      <c r="BR696" s="8" t="n">
        <v>12</v>
      </c>
      <c r="BS696" s="8" t="n">
        <v>30</v>
      </c>
      <c r="BT696" s="8" t="n">
        <v>31</v>
      </c>
      <c r="BU696" s="8" t="n">
        <v>17</v>
      </c>
      <c r="BV696" s="11" t="n">
        <f>IF(COUNT(BC696,BF696)=2,BC696*BF696,"")</f>
        <v>0</v>
      </c>
      <c r="BW696" s="11" t="n">
        <f>IF(ISNUMBER(BN696),BN696,"")</f>
        <v>1.0395067087630607</v>
      </c>
      <c r="BX696" s="14" t="n">
        <f>IF(ISNUMBER(BR696),BR696,"")</f>
        <v>12</v>
      </c>
      <c r="BY696" s="13" t="n">
        <f>IF(AND(COUNT(BV696,BW696,BX696)=3,MIN(BV696,BW696,BX696)&gt;=0),BV696*BW696*BX696,"")</f>
        <v>0</v>
      </c>
      <c r="BZ696" s="11" t="n">
        <f>IF(ISNUMBER(BO696),BO696,"")</f>
        <v>0.9890368360033146</v>
      </c>
      <c r="CA696" s="14" t="n">
        <f>IF(ISNUMBER(BS696),BS696,"")</f>
        <v>30</v>
      </c>
      <c r="CB696" s="13" t="n">
        <f>IF(AND(COUNT(BV696,BZ696,CA696)=3,MIN(BV696,BZ696,CA696)&gt;=0),BV696*BZ696*CA696,"")</f>
        <v>0</v>
      </c>
      <c r="CC696" s="11" t="n">
        <f>IF(ISNUMBER(BP696),BP696,"")</f>
        <v>0.7800796503018808</v>
      </c>
      <c r="CD696" s="14" t="n">
        <f>IF(ISNUMBER(BT696),BT696,"")</f>
        <v>31</v>
      </c>
      <c r="CE696" s="13" t="n">
        <f>IF(AND(COUNT(BV696,CC696,CD696)=3,MIN(BV696,CC696,CD696)&gt;=0),BV696*CC696*CD696,"")</f>
        <v>0</v>
      </c>
      <c r="CF696" s="11" t="n">
        <f>IF(ISNUMBER(BQ696),BQ696,"")</f>
        <v>1.2908918272824135</v>
      </c>
      <c r="CG696" s="14" t="n">
        <f>IF(ISNUMBER(BU696),BU696,"")</f>
        <v>17</v>
      </c>
      <c r="CH696" s="13" t="n">
        <f>IF(AND(COUNT(BV696,CF696,CG696)=3,MIN(BV696,CF696,CG696)&gt;=0),BV696*CF696*CG696,"")</f>
        <v>0</v>
      </c>
      <c r="CI696" s="13" t="n">
        <f>IF(COUNT(BY696,CB696,CE696,CH696)=4,SUM(BY696,CB696,CE696,CH696),"")</f>
        <v>0</v>
      </c>
    </row>
    <row r="697" ht="72" customHeight="1">
      <c r="A697" s="16" t="str">
        <v>32582-GY-38.5</v>
      </c>
      <c r="B697" s="16" t="str">
        <v>3店-SANDIEX-US</v>
      </c>
      <c r="C697" s="16" t="str">
        <v>徐新怡</v>
      </c>
      <c r="D697" s="26" t="n">
        <f>IF(NOT(ISNUMBER(E697)),"",IF(OR(E697&lt;=0,L697=0),0,IF(OR(NOT(ISNUMBER(F697)),F697&lt;0),"",MIN(E697,INT(F697)))))</f>
        <v>0</v>
      </c>
      <c r="E697" s="27" t="n">
        <f>IF(OR(NOT(ISNUMBER(L697)),COUNT(M697:O697)&lt;&gt;3,MIN(M697:O697)&lt;0),"",ROUNDUP(ROUND(BI697-SUM(M697:O697),10),0))</f>
        <v>0</v>
      </c>
      <c r="F697" s="28" t="n">
        <v>0</v>
      </c>
      <c r="G697" s="28" t="n">
        <f>IF(AND(ISNUMBER(D697),ISNUMBER(E697)),IF(OR(E697&lt;=0,L697=0),0,E697-D697),"")</f>
        <v>0</v>
      </c>
      <c r="H697" s="16" t="str">
        <f>IF(NOT(ISNUMBER(E697)),"销量或海外库存待补",IF(OR(E697&lt;=0,L697=0),IF(L697=0,"零日销，本批不发","本批无需补货"),IF(NOT(ISNUMBER(D697)),"国内库存待补",IF(D697=0,"国内无可用库存",IF(G697&gt;0,"先发国内现货","按建议量发货")))))</f>
        <v>零日销，本批不发</v>
      </c>
      <c r="I697" s="28" t="n">
        <f>IF(AND(COUNT(Z697,AA697,AB697)=3,Z697&gt;=AA697,AA697&gt;=0,AB697=7),Z697-AA697,"")</f>
        <v>0</v>
      </c>
      <c r="J697" s="28" t="n">
        <f>IF(AND(COUNT(AF697,AG697,AH697)=3,AF697&gt;=AG697,AG697&gt;=0,AH697=14),AF697-AG697,"")</f>
        <v>0</v>
      </c>
      <c r="K697" s="28" t="n">
        <f>IF(AND(COUNT(AL697,AM697,AN697)=3,AL697&gt;=AM697,AM697&gt;=0,AN697=30),AL697-AM697,"")</f>
        <v>0</v>
      </c>
      <c r="L697" s="29" t="n">
        <f>IF(ISNUMBER(BI697),BI697/90,"")</f>
        <v>0</v>
      </c>
      <c r="M697" s="28" t="n">
        <v>0</v>
      </c>
      <c r="N697" s="28" t="n">
        <v>0</v>
      </c>
      <c r="O697" s="28" t="n">
        <v>0</v>
      </c>
      <c r="P697" s="30" t="str">
        <f>IF(AND(ISNUMBER(L697),L697&gt;0,COUNT(M697:O697)=3,MIN(M697:O697)&gt;=0),SUM(M697:O697)/L697,"")</f>
      </c>
      <c r="Q697" s="16" t="str">
        <v>沿用原计划SKU店铺</v>
      </c>
      <c r="R697" s="16" t="str">
        <v>已匹配</v>
      </c>
      <c r="S697" s="16" t="str">
        <v>停售</v>
      </c>
      <c r="T697" s="16" t="str">
        <v>32582</v>
      </c>
      <c r="U697" s="16" t="str">
        <v>灰色</v>
      </c>
      <c r="V697" s="16" t="n">
        <v>7.5</v>
      </c>
      <c r="W697" s="8" t="str">
        <v>2026-10-08 至 2026-10-17</v>
      </c>
      <c r="X697" s="8" t="str">
        <v>2026-10-08、2026-10-09、2026-10-10、2026-10-11、2026-10-14、2026-10-15、2026-10-17</v>
      </c>
      <c r="Y697" s="8" t="str">
        <v>2026-10-12 有记录的停售日；2026-10-13 有记录的停售日；2026-10-16 有记录的停售日</v>
      </c>
      <c r="Z697" s="8" t="n">
        <v>0</v>
      </c>
      <c r="AA697" s="8" t="n">
        <v>0</v>
      </c>
      <c r="AB697" s="8" t="n">
        <v>7</v>
      </c>
      <c r="AC697" s="8" t="str">
        <v>2026-09-29 至 2026-10-17</v>
      </c>
      <c r="AD697" s="8" t="str">
        <v>2026-09-29、2026-09-30、2026-10-01、2026-10-02、2026-10-03、2026-10-04、2026-10-05、2026-10-08、2026-10-09、2026-10-10、2026-10-11、2026-10-14、2026-10-15、2026-10-17</v>
      </c>
      <c r="AE697" s="8" t="str">
        <v>2026-10-06 大促；2026-10-07 大促；2026-10-12 有记录的停售日；2026-10-13 有记录的停售日；2026-10-16 有记录的停售日</v>
      </c>
      <c r="AF697" s="8" t="n">
        <v>0</v>
      </c>
      <c r="AG697" s="8" t="n">
        <v>0</v>
      </c>
      <c r="AH697" s="8" t="n">
        <v>14</v>
      </c>
      <c r="AI697" s="8" t="str">
        <v>2026-09-13 至 2026-10-17</v>
      </c>
      <c r="AJ69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7" s="8" t="str">
        <v>2026-10-06 大促；2026-10-07 大促；2026-10-12 有记录的停售日；2026-10-13 有记录的停售日；2026-10-16 有记录的停售日</v>
      </c>
      <c r="AL697" s="8" t="n">
        <v>0</v>
      </c>
      <c r="AM697" s="8" t="n">
        <v>0</v>
      </c>
      <c r="AN697" s="8" t="n">
        <v>30</v>
      </c>
      <c r="AO697" s="8" t="str">
        <v>32582 / 灰色羊京绒 / 6574</v>
      </c>
      <c r="AP697" s="11" t="n">
        <v>1.0395067087630607</v>
      </c>
      <c r="AQ697" s="11" t="n">
        <v>1.048428692110265</v>
      </c>
      <c r="AR697" s="11" t="n">
        <v>1.076979038821319</v>
      </c>
      <c r="AS697" s="11" t="n">
        <f>IF(AND(COUNT(I697:K697,AP697:AR697)=6,MIN(AP697:AR697)&gt;0),I697/7/AP697*0.5+J697/14/AQ697*0.3+K697/30/AR697*0.2,"")</f>
        <v>0</v>
      </c>
      <c r="AT697" s="8" t="n">
        <v>0</v>
      </c>
      <c r="AU697" s="8" t="n">
        <v>0</v>
      </c>
      <c r="AV697" s="8" t="n">
        <v>85</v>
      </c>
      <c r="AW697" s="11" t="n">
        <f>IF(AND(COUNT(AT697:AV697)=3,AT697&gt;=AU697,AU697&gt;=0,AV697&gt;0),(AT697-AU697)/AV697,"")</f>
        <v>0</v>
      </c>
      <c r="AX697" s="8" t="n">
        <v>0</v>
      </c>
      <c r="AY697" s="8" t="n">
        <v>0</v>
      </c>
      <c r="AZ697" s="8" t="n">
        <v>175</v>
      </c>
      <c r="BA697" s="11" t="n">
        <f>IF(AND(COUNT(AX697:AZ697)=3,AX697&gt;=AY697,AY697&gt;=0,AZ697&gt;0),(AX697-AY697)/AZ697,"")</f>
        <v>0</v>
      </c>
      <c r="BB697" s="8" t="n">
        <f>IF(COUNT(AS697,AW697,BA697)=3,1,0)</f>
        <v>1</v>
      </c>
      <c r="BC697" s="11" t="n">
        <f>IF(SUMIF($AO$11:$AO$1309,AO697,$BB$11:$BB$1309)=COUNTIF($AO$11:$AO$1309,AO697),SUMIF($AO$11:$AO$1309,AO697,$AS$11:$AS$1309),"")</f>
        <v>0.12239477859749676</v>
      </c>
      <c r="BD697" s="11" t="n">
        <f>IF(SUMIF($AO$11:$AO$1309,AO697,$BB$11:$BB$1309)=COUNTIF($AO$11:$AO$1309,AO697),SUMIF($AO$11:$AO$1309,AO697,$AW$11:$AW$1309),"")</f>
        <v>0.0572192513368984</v>
      </c>
      <c r="BE697" s="11" t="n">
        <f>IF(SUMIF($AO$11:$AO$1309,AO697,$BB$11:$BB$1309)=COUNTIF($AO$11:$AO$1309,AO697),SUMIF($AO$11:$AO$1309,AO697,$BA$11:$BA$1309),"")</f>
        <v>0.03390048154093098</v>
      </c>
      <c r="BF697" s="12" t="n">
        <f>IF(COUNT(BD697:BE697)&lt;&gt;2,"",IF(AND(BD697&gt;0,BE697&gt;0),0.7*AW697/BD697+0.3*BA697/BE697,IF(BD697&gt;0,AW697/BD697,IF(BE697&gt;0,BA697/BE697,IF(AND(ISNUMBER(BH697),BH697=0),0,"")))))</f>
        <v>0</v>
      </c>
      <c r="BG697" s="11" t="n">
        <f>IF(AND(COUNT(BN697:BU697)=8,MIN(BN697:BU697)&gt;=0),SUMPRODUCT(BN697:BQ697,BR697:BU697),"")</f>
        <v>88.27281580841549</v>
      </c>
      <c r="BH697" s="11" t="n">
        <f>IF(COUNT(BC697,BG697)=2,BC697*BG697,"")</f>
        <v>10.804131747048626</v>
      </c>
      <c r="BI697" s="11" t="n">
        <f>IF(ISNUMBER(CI697),CI697,"")</f>
        <v>0</v>
      </c>
      <c r="BJ697" s="8" t="str">
        <v>近180天本色销量7双（＜90），无有效新采购，请运营判断</v>
      </c>
      <c r="BK697" s="8" t="str">
        <v>90天：2026-07-20 至 2026-10-17；180天：2026-04-21 至 2026-10-17</v>
      </c>
      <c r="BL697" s="8" t="str">
        <v>90天：2026-10-06、2026-10-07、2026-10-12、2026-10-13、2026-10-16；180天：2026-10-06、2026-10-07、2026-10-12、2026-10-13、2026-10-16</v>
      </c>
      <c r="BM697" s="8" t="str">
        <v>2026-10：12天 × 1.0395067087630607；2026-11：30天 × 0.9890368360033146；2026-12：31天 × 0.7800796503018808；2027-01：17天 × 1.2908918272824135</v>
      </c>
      <c r="BN697" s="11" t="n">
        <v>1.0395067087630607</v>
      </c>
      <c r="BO697" s="11" t="n">
        <v>0.9890368360033146</v>
      </c>
      <c r="BP697" s="11" t="n">
        <v>0.7800796503018808</v>
      </c>
      <c r="BQ697" s="11" t="n">
        <v>1.2908918272824135</v>
      </c>
      <c r="BR697" s="8" t="n">
        <v>12</v>
      </c>
      <c r="BS697" s="8" t="n">
        <v>30</v>
      </c>
      <c r="BT697" s="8" t="n">
        <v>31</v>
      </c>
      <c r="BU697" s="8" t="n">
        <v>17</v>
      </c>
      <c r="BV697" s="11" t="n">
        <f>IF(COUNT(BC697,BF697)=2,BC697*BF697,"")</f>
        <v>0</v>
      </c>
      <c r="BW697" s="11" t="n">
        <f>IF(ISNUMBER(BN697),BN697,"")</f>
        <v>1.0395067087630607</v>
      </c>
      <c r="BX697" s="14" t="n">
        <f>IF(ISNUMBER(BR697),BR697,"")</f>
        <v>12</v>
      </c>
      <c r="BY697" s="13" t="n">
        <f>IF(AND(COUNT(BV697,BW697,BX697)=3,MIN(BV697,BW697,BX697)&gt;=0),BV697*BW697*BX697,"")</f>
        <v>0</v>
      </c>
      <c r="BZ697" s="11" t="n">
        <f>IF(ISNUMBER(BO697),BO697,"")</f>
        <v>0.9890368360033146</v>
      </c>
      <c r="CA697" s="14" t="n">
        <f>IF(ISNUMBER(BS697),BS697,"")</f>
        <v>30</v>
      </c>
      <c r="CB697" s="13" t="n">
        <f>IF(AND(COUNT(BV697,BZ697,CA697)=3,MIN(BV697,BZ697,CA697)&gt;=0),BV697*BZ697*CA697,"")</f>
        <v>0</v>
      </c>
      <c r="CC697" s="11" t="n">
        <f>IF(ISNUMBER(BP697),BP697,"")</f>
        <v>0.7800796503018808</v>
      </c>
      <c r="CD697" s="14" t="n">
        <f>IF(ISNUMBER(BT697),BT697,"")</f>
        <v>31</v>
      </c>
      <c r="CE697" s="13" t="n">
        <f>IF(AND(COUNT(BV697,CC697,CD697)=3,MIN(BV697,CC697,CD697)&gt;=0),BV697*CC697*CD697,"")</f>
        <v>0</v>
      </c>
      <c r="CF697" s="11" t="n">
        <f>IF(ISNUMBER(BQ697),BQ697,"")</f>
        <v>1.2908918272824135</v>
      </c>
      <c r="CG697" s="14" t="n">
        <f>IF(ISNUMBER(BU697),BU697,"")</f>
        <v>17</v>
      </c>
      <c r="CH697" s="13" t="n">
        <f>IF(AND(COUNT(BV697,CF697,CG697)=3,MIN(BV697,CF697,CG697)&gt;=0),BV697*CF697*CG697,"")</f>
        <v>0</v>
      </c>
      <c r="CI697" s="13" t="n">
        <f>IF(COUNT(BY697,CB697,CE697,CH697)=4,SUM(BY697,CB697,CE697,CH697),"")</f>
        <v>0</v>
      </c>
    </row>
    <row r="698" ht="72" customHeight="1">
      <c r="A698" s="16" t="str">
        <v>32582-GY-39</v>
      </c>
      <c r="B698" s="16" t="str">
        <v>3店-SANDIEX-US</v>
      </c>
      <c r="C698" s="16" t="str">
        <v>徐新怡</v>
      </c>
      <c r="D698" s="26" t="n">
        <f>IF(NOT(ISNUMBER(E698)),"",IF(OR(E698&lt;=0,L698=0),0,IF(OR(NOT(ISNUMBER(F698)),F698&lt;0),"",MIN(E698,INT(F698)))))</f>
        <v>0</v>
      </c>
      <c r="E698" s="27" t="n">
        <f>IF(OR(NOT(ISNUMBER(L698)),COUNT(M698:O698)&lt;&gt;3,MIN(M698:O698)&lt;0),"",ROUNDUP(ROUND(BI698-SUM(M698:O698),10),0))</f>
        <v>0</v>
      </c>
      <c r="F698" s="28" t="n">
        <v>0</v>
      </c>
      <c r="G698" s="28" t="n">
        <f>IF(AND(ISNUMBER(D698),ISNUMBER(E698)),IF(OR(E698&lt;=0,L698=0),0,E698-D698),"")</f>
        <v>0</v>
      </c>
      <c r="H698" s="16" t="str">
        <f>IF(NOT(ISNUMBER(E698)),"销量或海外库存待补",IF(OR(E698&lt;=0,L698=0),IF(L698=0,"零日销，本批不发","本批无需补货"),IF(NOT(ISNUMBER(D698)),"国内库存待补",IF(D698=0,"国内无可用库存",IF(G698&gt;0,"先发国内现货","按建议量发货")))))</f>
        <v>零日销，本批不发</v>
      </c>
      <c r="I698" s="28" t="n">
        <f>IF(AND(COUNT(Z698,AA698,AB698)=3,Z698&gt;=AA698,AA698&gt;=0,AB698=7),Z698-AA698,"")</f>
        <v>0</v>
      </c>
      <c r="J698" s="28" t="n">
        <f>IF(AND(COUNT(AF698,AG698,AH698)=3,AF698&gt;=AG698,AG698&gt;=0,AH698=14),AF698-AG698,"")</f>
        <v>0</v>
      </c>
      <c r="K698" s="28" t="n">
        <f>IF(AND(COUNT(AL698,AM698,AN698)=3,AL698&gt;=AM698,AM698&gt;=0,AN698=30),AL698-AM698,"")</f>
        <v>0</v>
      </c>
      <c r="L698" s="29" t="n">
        <f>IF(ISNUMBER(BI698),BI698/90,"")</f>
        <v>0</v>
      </c>
      <c r="M698" s="28" t="n">
        <v>0</v>
      </c>
      <c r="N698" s="28" t="n">
        <v>0</v>
      </c>
      <c r="O698" s="28" t="n">
        <v>0</v>
      </c>
      <c r="P698" s="30" t="str">
        <f>IF(AND(ISNUMBER(L698),L698&gt;0,COUNT(M698:O698)=3,MIN(M698:O698)&gt;=0),SUM(M698:O698)/L698,"")</f>
      </c>
      <c r="Q698" s="16" t="str">
        <v>沿用原计划SKU店铺</v>
      </c>
      <c r="R698" s="16" t="str">
        <v>已匹配</v>
      </c>
      <c r="S698" s="16" t="str">
        <v>停售</v>
      </c>
      <c r="T698" s="16" t="str">
        <v>32582</v>
      </c>
      <c r="U698" s="16" t="str">
        <v>灰色</v>
      </c>
      <c r="V698" s="16" t="n">
        <v>8</v>
      </c>
      <c r="W698" s="8" t="str">
        <v>2026-10-08 至 2026-10-17</v>
      </c>
      <c r="X698" s="8" t="str">
        <v>2026-10-08、2026-10-09、2026-10-10、2026-10-11、2026-10-14、2026-10-15、2026-10-17</v>
      </c>
      <c r="Y698" s="8" t="str">
        <v>2026-10-12 有记录的停售日；2026-10-13 有记录的停售日；2026-10-16 有记录的停售日</v>
      </c>
      <c r="Z698" s="8" t="n">
        <v>0</v>
      </c>
      <c r="AA698" s="8" t="n">
        <v>0</v>
      </c>
      <c r="AB698" s="8" t="n">
        <v>7</v>
      </c>
      <c r="AC698" s="8" t="str">
        <v>2026-09-29 至 2026-10-17</v>
      </c>
      <c r="AD698" s="8" t="str">
        <v>2026-09-29、2026-09-30、2026-10-01、2026-10-02、2026-10-03、2026-10-04、2026-10-05、2026-10-08、2026-10-09、2026-10-10、2026-10-11、2026-10-14、2026-10-15、2026-10-17</v>
      </c>
      <c r="AE698" s="8" t="str">
        <v>2026-10-06 大促；2026-10-07 大促；2026-10-12 有记录的停售日；2026-10-13 有记录的停售日；2026-10-16 有记录的停售日</v>
      </c>
      <c r="AF698" s="8" t="n">
        <v>0</v>
      </c>
      <c r="AG698" s="8" t="n">
        <v>0</v>
      </c>
      <c r="AH698" s="8" t="n">
        <v>14</v>
      </c>
      <c r="AI698" s="8" t="str">
        <v>2026-09-13 至 2026-10-17</v>
      </c>
      <c r="AJ69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8" s="8" t="str">
        <v>2026-10-06 大促；2026-10-07 大促；2026-10-12 有记录的停售日；2026-10-13 有记录的停售日；2026-10-16 有记录的停售日</v>
      </c>
      <c r="AL698" s="8" t="n">
        <v>0</v>
      </c>
      <c r="AM698" s="8" t="n">
        <v>0</v>
      </c>
      <c r="AN698" s="8" t="n">
        <v>30</v>
      </c>
      <c r="AO698" s="8" t="str">
        <v>32582 / 灰色羊京绒 / 6574</v>
      </c>
      <c r="AP698" s="11" t="n">
        <v>1.0395067087630607</v>
      </c>
      <c r="AQ698" s="11" t="n">
        <v>1.048428692110265</v>
      </c>
      <c r="AR698" s="11" t="n">
        <v>1.076979038821319</v>
      </c>
      <c r="AS698" s="11" t="n">
        <f>IF(AND(COUNT(I698:K698,AP698:AR698)=6,MIN(AP698:AR698)&gt;0),I698/7/AP698*0.5+J698/14/AQ698*0.3+K698/30/AR698*0.2,"")</f>
        <v>0</v>
      </c>
      <c r="AT698" s="8" t="n">
        <v>0</v>
      </c>
      <c r="AU698" s="8" t="n">
        <v>0</v>
      </c>
      <c r="AV698" s="8" t="n">
        <v>85</v>
      </c>
      <c r="AW698" s="11" t="n">
        <f>IF(AND(COUNT(AT698:AV698)=3,AT698&gt;=AU698,AU698&gt;=0,AV698&gt;0),(AT698-AU698)/AV698,"")</f>
        <v>0</v>
      </c>
      <c r="AX698" s="8" t="n">
        <v>0</v>
      </c>
      <c r="AY698" s="8" t="n">
        <v>0</v>
      </c>
      <c r="AZ698" s="8" t="n">
        <v>175</v>
      </c>
      <c r="BA698" s="11" t="n">
        <f>IF(AND(COUNT(AX698:AZ698)=3,AX698&gt;=AY698,AY698&gt;=0,AZ698&gt;0),(AX698-AY698)/AZ698,"")</f>
        <v>0</v>
      </c>
      <c r="BB698" s="8" t="n">
        <f>IF(COUNT(AS698,AW698,BA698)=3,1,0)</f>
        <v>1</v>
      </c>
      <c r="BC698" s="11" t="n">
        <f>IF(SUMIF($AO$11:$AO$1309,AO698,$BB$11:$BB$1309)=COUNTIF($AO$11:$AO$1309,AO698),SUMIF($AO$11:$AO$1309,AO698,$AS$11:$AS$1309),"")</f>
        <v>0.12239477859749676</v>
      </c>
      <c r="BD698" s="11" t="n">
        <f>IF(SUMIF($AO$11:$AO$1309,AO698,$BB$11:$BB$1309)=COUNTIF($AO$11:$AO$1309,AO698),SUMIF($AO$11:$AO$1309,AO698,$AW$11:$AW$1309),"")</f>
        <v>0.0572192513368984</v>
      </c>
      <c r="BE698" s="11" t="n">
        <f>IF(SUMIF($AO$11:$AO$1309,AO698,$BB$11:$BB$1309)=COUNTIF($AO$11:$AO$1309,AO698),SUMIF($AO$11:$AO$1309,AO698,$BA$11:$BA$1309),"")</f>
        <v>0.03390048154093098</v>
      </c>
      <c r="BF698" s="12" t="n">
        <f>IF(COUNT(BD698:BE698)&lt;&gt;2,"",IF(AND(BD698&gt;0,BE698&gt;0),0.7*AW698/BD698+0.3*BA698/BE698,IF(BD698&gt;0,AW698/BD698,IF(BE698&gt;0,BA698/BE698,IF(AND(ISNUMBER(BH698),BH698=0),0,"")))))</f>
        <v>0</v>
      </c>
      <c r="BG698" s="11" t="n">
        <f>IF(AND(COUNT(BN698:BU698)=8,MIN(BN698:BU698)&gt;=0),SUMPRODUCT(BN698:BQ698,BR698:BU698),"")</f>
        <v>88.27281580841549</v>
      </c>
      <c r="BH698" s="11" t="n">
        <f>IF(COUNT(BC698,BG698)=2,BC698*BG698,"")</f>
        <v>10.804131747048626</v>
      </c>
      <c r="BI698" s="11" t="n">
        <f>IF(ISNUMBER(CI698),CI698,"")</f>
        <v>0</v>
      </c>
      <c r="BJ698" s="8" t="str">
        <v>近180天本色销量7双（＜90），无有效新采购，请运营判断</v>
      </c>
      <c r="BK698" s="8" t="str">
        <v>90天：2026-07-20 至 2026-10-17；180天：2026-04-21 至 2026-10-17</v>
      </c>
      <c r="BL698" s="8" t="str">
        <v>90天：2026-10-06、2026-10-07、2026-10-12、2026-10-13、2026-10-16；180天：2026-10-06、2026-10-07、2026-10-12、2026-10-13、2026-10-16</v>
      </c>
      <c r="BM698" s="8" t="str">
        <v>2026-10：12天 × 1.0395067087630607；2026-11：30天 × 0.9890368360033146；2026-12：31天 × 0.7800796503018808；2027-01：17天 × 1.2908918272824135</v>
      </c>
      <c r="BN698" s="11" t="n">
        <v>1.0395067087630607</v>
      </c>
      <c r="BO698" s="11" t="n">
        <v>0.9890368360033146</v>
      </c>
      <c r="BP698" s="11" t="n">
        <v>0.7800796503018808</v>
      </c>
      <c r="BQ698" s="11" t="n">
        <v>1.2908918272824135</v>
      </c>
      <c r="BR698" s="8" t="n">
        <v>12</v>
      </c>
      <c r="BS698" s="8" t="n">
        <v>30</v>
      </c>
      <c r="BT698" s="8" t="n">
        <v>31</v>
      </c>
      <c r="BU698" s="8" t="n">
        <v>17</v>
      </c>
      <c r="BV698" s="11" t="n">
        <f>IF(COUNT(BC698,BF698)=2,BC698*BF698,"")</f>
        <v>0</v>
      </c>
      <c r="BW698" s="11" t="n">
        <f>IF(ISNUMBER(BN698),BN698,"")</f>
        <v>1.0395067087630607</v>
      </c>
      <c r="BX698" s="14" t="n">
        <f>IF(ISNUMBER(BR698),BR698,"")</f>
        <v>12</v>
      </c>
      <c r="BY698" s="13" t="n">
        <f>IF(AND(COUNT(BV698,BW698,BX698)=3,MIN(BV698,BW698,BX698)&gt;=0),BV698*BW698*BX698,"")</f>
        <v>0</v>
      </c>
      <c r="BZ698" s="11" t="n">
        <f>IF(ISNUMBER(BO698),BO698,"")</f>
        <v>0.9890368360033146</v>
      </c>
      <c r="CA698" s="14" t="n">
        <f>IF(ISNUMBER(BS698),BS698,"")</f>
        <v>30</v>
      </c>
      <c r="CB698" s="13" t="n">
        <f>IF(AND(COUNT(BV698,BZ698,CA698)=3,MIN(BV698,BZ698,CA698)&gt;=0),BV698*BZ698*CA698,"")</f>
        <v>0</v>
      </c>
      <c r="CC698" s="11" t="n">
        <f>IF(ISNUMBER(BP698),BP698,"")</f>
        <v>0.7800796503018808</v>
      </c>
      <c r="CD698" s="14" t="n">
        <f>IF(ISNUMBER(BT698),BT698,"")</f>
        <v>31</v>
      </c>
      <c r="CE698" s="13" t="n">
        <f>IF(AND(COUNT(BV698,CC698,CD698)=3,MIN(BV698,CC698,CD698)&gt;=0),BV698*CC698*CD698,"")</f>
        <v>0</v>
      </c>
      <c r="CF698" s="11" t="n">
        <f>IF(ISNUMBER(BQ698),BQ698,"")</f>
        <v>1.2908918272824135</v>
      </c>
      <c r="CG698" s="14" t="n">
        <f>IF(ISNUMBER(BU698),BU698,"")</f>
        <v>17</v>
      </c>
      <c r="CH698" s="13" t="n">
        <f>IF(AND(COUNT(BV698,CF698,CG698)=3,MIN(BV698,CF698,CG698)&gt;=0),BV698*CF698*CG698,"")</f>
        <v>0</v>
      </c>
      <c r="CI698" s="13" t="n">
        <f>IF(COUNT(BY698,CB698,CE698,CH698)=4,SUM(BY698,CB698,CE698,CH698),"")</f>
        <v>0</v>
      </c>
    </row>
    <row r="699" ht="72" customHeight="1">
      <c r="A699" s="16" t="str">
        <v>32582-GY-39.5</v>
      </c>
      <c r="B699" s="16" t="str">
        <v>3店-SANDIEX-US</v>
      </c>
      <c r="C699" s="16" t="str">
        <v>徐新怡</v>
      </c>
      <c r="D699" s="26" t="n">
        <f>IF(NOT(ISNUMBER(E699)),"",IF(OR(E699&lt;=0,L699=0),0,IF(OR(NOT(ISNUMBER(F699)),F699&lt;0),"",MIN(E699,INT(F699)))))</f>
        <v>0</v>
      </c>
      <c r="E699" s="27" t="n">
        <f>IF(OR(NOT(ISNUMBER(L699)),COUNT(M699:O699)&lt;&gt;3,MIN(M699:O699)&lt;0),"",ROUNDUP(ROUND(BI699-SUM(M699:O699),10),0))</f>
        <v>0</v>
      </c>
      <c r="F699" s="28" t="n">
        <v>0</v>
      </c>
      <c r="G699" s="28" t="n">
        <f>IF(AND(ISNUMBER(D699),ISNUMBER(E699)),IF(OR(E699&lt;=0,L699=0),0,E699-D699),"")</f>
        <v>0</v>
      </c>
      <c r="H699" s="16" t="str">
        <f>IF(NOT(ISNUMBER(E699)),"销量或海外库存待补",IF(OR(E699&lt;=0,L699=0),IF(L699=0,"零日销，本批不发","本批无需补货"),IF(NOT(ISNUMBER(D699)),"国内库存待补",IF(D699=0,"国内无可用库存",IF(G699&gt;0,"先发国内现货","按建议量发货")))))</f>
        <v>零日销，本批不发</v>
      </c>
      <c r="I699" s="28" t="n">
        <f>IF(AND(COUNT(Z699,AA699,AB699)=3,Z699&gt;=AA699,AA699&gt;=0,AB699=7),Z699-AA699,"")</f>
        <v>0</v>
      </c>
      <c r="J699" s="28" t="n">
        <f>IF(AND(COUNT(AF699,AG699,AH699)=3,AF699&gt;=AG699,AG699&gt;=0,AH699=14),AF699-AG699,"")</f>
        <v>0</v>
      </c>
      <c r="K699" s="28" t="n">
        <f>IF(AND(COUNT(AL699,AM699,AN699)=3,AL699&gt;=AM699,AM699&gt;=0,AN699=30),AL699-AM699,"")</f>
        <v>0</v>
      </c>
      <c r="L699" s="29" t="n">
        <f>IF(ISNUMBER(BI699),BI699/90,"")</f>
        <v>0</v>
      </c>
      <c r="M699" s="28" t="n">
        <v>0</v>
      </c>
      <c r="N699" s="28" t="n">
        <v>0</v>
      </c>
      <c r="O699" s="28" t="n">
        <v>0</v>
      </c>
      <c r="P699" s="30" t="str">
        <f>IF(AND(ISNUMBER(L699),L699&gt;0,COUNT(M699:O699)=3,MIN(M699:O699)&gt;=0),SUM(M699:O699)/L699,"")</f>
      </c>
      <c r="Q699" s="16" t="str">
        <v>沿用原计划SKU店铺</v>
      </c>
      <c r="R699" s="16" t="str">
        <v>已匹配</v>
      </c>
      <c r="S699" s="16" t="str">
        <v>停售</v>
      </c>
      <c r="T699" s="16" t="str">
        <v>32582</v>
      </c>
      <c r="U699" s="16" t="str">
        <v>灰色</v>
      </c>
      <c r="V699" s="16" t="n">
        <v>8.5</v>
      </c>
      <c r="W699" s="8" t="str">
        <v>2026-10-08 至 2026-10-17</v>
      </c>
      <c r="X699" s="8" t="str">
        <v>2026-10-08、2026-10-09、2026-10-10、2026-10-11、2026-10-14、2026-10-15、2026-10-17</v>
      </c>
      <c r="Y699" s="8" t="str">
        <v>2026-10-12 有记录的停售日；2026-10-13 有记录的停售日；2026-10-16 有记录的停售日</v>
      </c>
      <c r="Z699" s="8" t="n">
        <v>0</v>
      </c>
      <c r="AA699" s="8" t="n">
        <v>0</v>
      </c>
      <c r="AB699" s="8" t="n">
        <v>7</v>
      </c>
      <c r="AC699" s="8" t="str">
        <v>2026-09-29 至 2026-10-17</v>
      </c>
      <c r="AD699" s="8" t="str">
        <v>2026-09-29、2026-09-30、2026-10-01、2026-10-02、2026-10-03、2026-10-04、2026-10-05、2026-10-08、2026-10-09、2026-10-10、2026-10-11、2026-10-14、2026-10-15、2026-10-17</v>
      </c>
      <c r="AE699" s="8" t="str">
        <v>2026-10-06 大促；2026-10-07 大促；2026-10-12 有记录的停售日；2026-10-13 有记录的停售日；2026-10-16 有记录的停售日</v>
      </c>
      <c r="AF699" s="8" t="n">
        <v>0</v>
      </c>
      <c r="AG699" s="8" t="n">
        <v>0</v>
      </c>
      <c r="AH699" s="8" t="n">
        <v>14</v>
      </c>
      <c r="AI699" s="8" t="str">
        <v>2026-09-13 至 2026-10-17</v>
      </c>
      <c r="AJ69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699" s="8" t="str">
        <v>2026-10-06 大促；2026-10-07 大促；2026-10-12 有记录的停售日；2026-10-13 有记录的停售日；2026-10-16 有记录的停售日</v>
      </c>
      <c r="AL699" s="8" t="n">
        <v>0</v>
      </c>
      <c r="AM699" s="8" t="n">
        <v>0</v>
      </c>
      <c r="AN699" s="8" t="n">
        <v>30</v>
      </c>
      <c r="AO699" s="8" t="str">
        <v>32582 / 灰色羊京绒 / 6574</v>
      </c>
      <c r="AP699" s="11" t="n">
        <v>1.0395067087630607</v>
      </c>
      <c r="AQ699" s="11" t="n">
        <v>1.048428692110265</v>
      </c>
      <c r="AR699" s="11" t="n">
        <v>1.076979038821319</v>
      </c>
      <c r="AS699" s="11" t="n">
        <f>IF(AND(COUNT(I699:K699,AP699:AR699)=6,MIN(AP699:AR699)&gt;0),I699/7/AP699*0.5+J699/14/AQ699*0.3+K699/30/AR699*0.2,"")</f>
        <v>0</v>
      </c>
      <c r="AT699" s="8" t="n">
        <v>0</v>
      </c>
      <c r="AU699" s="8" t="n">
        <v>0</v>
      </c>
      <c r="AV699" s="8" t="n">
        <v>85</v>
      </c>
      <c r="AW699" s="11" t="n">
        <f>IF(AND(COUNT(AT699:AV699)=3,AT699&gt;=AU699,AU699&gt;=0,AV699&gt;0),(AT699-AU699)/AV699,"")</f>
        <v>0</v>
      </c>
      <c r="AX699" s="8" t="n">
        <v>0</v>
      </c>
      <c r="AY699" s="8" t="n">
        <v>0</v>
      </c>
      <c r="AZ699" s="8" t="n">
        <v>175</v>
      </c>
      <c r="BA699" s="11" t="n">
        <f>IF(AND(COUNT(AX699:AZ699)=3,AX699&gt;=AY699,AY699&gt;=0,AZ699&gt;0),(AX699-AY699)/AZ699,"")</f>
        <v>0</v>
      </c>
      <c r="BB699" s="8" t="n">
        <f>IF(COUNT(AS699,AW699,BA699)=3,1,0)</f>
        <v>1</v>
      </c>
      <c r="BC699" s="11" t="n">
        <f>IF(SUMIF($AO$11:$AO$1309,AO699,$BB$11:$BB$1309)=COUNTIF($AO$11:$AO$1309,AO699),SUMIF($AO$11:$AO$1309,AO699,$AS$11:$AS$1309),"")</f>
        <v>0.12239477859749676</v>
      </c>
      <c r="BD699" s="11" t="n">
        <f>IF(SUMIF($AO$11:$AO$1309,AO699,$BB$11:$BB$1309)=COUNTIF($AO$11:$AO$1309,AO699),SUMIF($AO$11:$AO$1309,AO699,$AW$11:$AW$1309),"")</f>
        <v>0.0572192513368984</v>
      </c>
      <c r="BE699" s="11" t="n">
        <f>IF(SUMIF($AO$11:$AO$1309,AO699,$BB$11:$BB$1309)=COUNTIF($AO$11:$AO$1309,AO699),SUMIF($AO$11:$AO$1309,AO699,$BA$11:$BA$1309),"")</f>
        <v>0.03390048154093098</v>
      </c>
      <c r="BF699" s="12" t="n">
        <f>IF(COUNT(BD699:BE699)&lt;&gt;2,"",IF(AND(BD699&gt;0,BE699&gt;0),0.7*AW699/BD699+0.3*BA699/BE699,IF(BD699&gt;0,AW699/BD699,IF(BE699&gt;0,BA699/BE699,IF(AND(ISNUMBER(BH699),BH699=0),0,"")))))</f>
        <v>0</v>
      </c>
      <c r="BG699" s="11" t="n">
        <f>IF(AND(COUNT(BN699:BU699)=8,MIN(BN699:BU699)&gt;=0),SUMPRODUCT(BN699:BQ699,BR699:BU699),"")</f>
        <v>88.27281580841549</v>
      </c>
      <c r="BH699" s="11" t="n">
        <f>IF(COUNT(BC699,BG699)=2,BC699*BG699,"")</f>
        <v>10.804131747048626</v>
      </c>
      <c r="BI699" s="11" t="n">
        <f>IF(ISNUMBER(CI699),CI699,"")</f>
        <v>0</v>
      </c>
      <c r="BJ699" s="8" t="str">
        <v>近180天本色销量7双（＜90），无有效新采购，请运营判断</v>
      </c>
      <c r="BK699" s="8" t="str">
        <v>90天：2026-07-20 至 2026-10-17；180天：2026-04-21 至 2026-10-17</v>
      </c>
      <c r="BL699" s="8" t="str">
        <v>90天：2026-10-06、2026-10-07、2026-10-12、2026-10-13、2026-10-16；180天：2026-10-06、2026-10-07、2026-10-12、2026-10-13、2026-10-16</v>
      </c>
      <c r="BM699" s="8" t="str">
        <v>2026-10：12天 × 1.0395067087630607；2026-11：30天 × 0.9890368360033146；2026-12：31天 × 0.7800796503018808；2027-01：17天 × 1.2908918272824135</v>
      </c>
      <c r="BN699" s="11" t="n">
        <v>1.0395067087630607</v>
      </c>
      <c r="BO699" s="11" t="n">
        <v>0.9890368360033146</v>
      </c>
      <c r="BP699" s="11" t="n">
        <v>0.7800796503018808</v>
      </c>
      <c r="BQ699" s="11" t="n">
        <v>1.2908918272824135</v>
      </c>
      <c r="BR699" s="8" t="n">
        <v>12</v>
      </c>
      <c r="BS699" s="8" t="n">
        <v>30</v>
      </c>
      <c r="BT699" s="8" t="n">
        <v>31</v>
      </c>
      <c r="BU699" s="8" t="n">
        <v>17</v>
      </c>
      <c r="BV699" s="11" t="n">
        <f>IF(COUNT(BC699,BF699)=2,BC699*BF699,"")</f>
        <v>0</v>
      </c>
      <c r="BW699" s="11" t="n">
        <f>IF(ISNUMBER(BN699),BN699,"")</f>
        <v>1.0395067087630607</v>
      </c>
      <c r="BX699" s="14" t="n">
        <f>IF(ISNUMBER(BR699),BR699,"")</f>
        <v>12</v>
      </c>
      <c r="BY699" s="13" t="n">
        <f>IF(AND(COUNT(BV699,BW699,BX699)=3,MIN(BV699,BW699,BX699)&gt;=0),BV699*BW699*BX699,"")</f>
        <v>0</v>
      </c>
      <c r="BZ699" s="11" t="n">
        <f>IF(ISNUMBER(BO699),BO699,"")</f>
        <v>0.9890368360033146</v>
      </c>
      <c r="CA699" s="14" t="n">
        <f>IF(ISNUMBER(BS699),BS699,"")</f>
        <v>30</v>
      </c>
      <c r="CB699" s="13" t="n">
        <f>IF(AND(COUNT(BV699,BZ699,CA699)=3,MIN(BV699,BZ699,CA699)&gt;=0),BV699*BZ699*CA699,"")</f>
        <v>0</v>
      </c>
      <c r="CC699" s="11" t="n">
        <f>IF(ISNUMBER(BP699),BP699,"")</f>
        <v>0.7800796503018808</v>
      </c>
      <c r="CD699" s="14" t="n">
        <f>IF(ISNUMBER(BT699),BT699,"")</f>
        <v>31</v>
      </c>
      <c r="CE699" s="13" t="n">
        <f>IF(AND(COUNT(BV699,CC699,CD699)=3,MIN(BV699,CC699,CD699)&gt;=0),BV699*CC699*CD699,"")</f>
        <v>0</v>
      </c>
      <c r="CF699" s="11" t="n">
        <f>IF(ISNUMBER(BQ699),BQ699,"")</f>
        <v>1.2908918272824135</v>
      </c>
      <c r="CG699" s="14" t="n">
        <f>IF(ISNUMBER(BU699),BU699,"")</f>
        <v>17</v>
      </c>
      <c r="CH699" s="13" t="n">
        <f>IF(AND(COUNT(BV699,CF699,CG699)=3,MIN(BV699,CF699,CG699)&gt;=0),BV699*CF699*CG699,"")</f>
        <v>0</v>
      </c>
      <c r="CI699" s="13" t="n">
        <f>IF(COUNT(BY699,CB699,CE699,CH699)=4,SUM(BY699,CB699,CE699,CH699),"")</f>
        <v>0</v>
      </c>
    </row>
    <row r="700" ht="72" customHeight="1">
      <c r="A700" s="16" t="str">
        <v>32582-GY-40</v>
      </c>
      <c r="B700" s="16" t="str">
        <v>3店-SANDIEX-US</v>
      </c>
      <c r="C700" s="16" t="str">
        <v>徐新怡</v>
      </c>
      <c r="D700" s="26" t="n">
        <f>IF(NOT(ISNUMBER(E700)),"",IF(OR(E700&lt;=0,L700=0),0,IF(OR(NOT(ISNUMBER(F700)),F700&lt;0),"",MIN(E700,INT(F700)))))</f>
        <v>0</v>
      </c>
      <c r="E700" s="27" t="n">
        <f>IF(OR(NOT(ISNUMBER(L700)),COUNT(M700:O700)&lt;&gt;3,MIN(M700:O700)&lt;0),"",ROUNDUP(ROUND(BI700-SUM(M700:O700),10),0))</f>
        <v>0</v>
      </c>
      <c r="F700" s="28" t="n">
        <v>0</v>
      </c>
      <c r="G700" s="28" t="n">
        <f>IF(AND(ISNUMBER(D700),ISNUMBER(E700)),IF(OR(E700&lt;=0,L700=0),0,E700-D700),"")</f>
        <v>0</v>
      </c>
      <c r="H700" s="16" t="str">
        <f>IF(NOT(ISNUMBER(E700)),"销量或海外库存待补",IF(OR(E700&lt;=0,L700=0),IF(L700=0,"零日销，本批不发","本批无需补货"),IF(NOT(ISNUMBER(D700)),"国内库存待补",IF(D700=0,"国内无可用库存",IF(G700&gt;0,"先发国内现货","按建议量发货")))))</f>
        <v>零日销，本批不发</v>
      </c>
      <c r="I700" s="28" t="n">
        <f>IF(AND(COUNT(Z700,AA700,AB700)=3,Z700&gt;=AA700,AA700&gt;=0,AB700=7),Z700-AA700,"")</f>
        <v>0</v>
      </c>
      <c r="J700" s="28" t="n">
        <f>IF(AND(COUNT(AF700,AG700,AH700)=3,AF700&gt;=AG700,AG700&gt;=0,AH700=14),AF700-AG700,"")</f>
        <v>0</v>
      </c>
      <c r="K700" s="28" t="n">
        <f>IF(AND(COUNT(AL700,AM700,AN700)=3,AL700&gt;=AM700,AM700&gt;=0,AN700=30),AL700-AM700,"")</f>
        <v>0</v>
      </c>
      <c r="L700" s="29" t="n">
        <f>IF(ISNUMBER(BI700),BI700/90,"")</f>
        <v>0</v>
      </c>
      <c r="M700" s="28" t="n">
        <v>0</v>
      </c>
      <c r="N700" s="28" t="n">
        <v>0</v>
      </c>
      <c r="O700" s="28" t="n">
        <v>0</v>
      </c>
      <c r="P700" s="30" t="str">
        <f>IF(AND(ISNUMBER(L700),L700&gt;0,COUNT(M700:O700)=3,MIN(M700:O700)&gt;=0),SUM(M700:O700)/L700,"")</f>
      </c>
      <c r="Q700" s="16" t="str">
        <v>沿用原计划SKU店铺</v>
      </c>
      <c r="R700" s="16" t="str">
        <v>已匹配</v>
      </c>
      <c r="S700" s="16" t="str">
        <v>停售</v>
      </c>
      <c r="T700" s="16" t="str">
        <v>32582</v>
      </c>
      <c r="U700" s="16" t="str">
        <v>灰色</v>
      </c>
      <c r="V700" s="16" t="n">
        <v>9</v>
      </c>
      <c r="W700" s="8" t="str">
        <v>2026-10-08 至 2026-10-17</v>
      </c>
      <c r="X700" s="8" t="str">
        <v>2026-10-08、2026-10-09、2026-10-10、2026-10-11、2026-10-14、2026-10-15、2026-10-17</v>
      </c>
      <c r="Y700" s="8" t="str">
        <v>2026-10-12 有记录的停售日；2026-10-13 有记录的停售日；2026-10-16 有记录的停售日</v>
      </c>
      <c r="Z700" s="8" t="n">
        <v>0</v>
      </c>
      <c r="AA700" s="8" t="n">
        <v>0</v>
      </c>
      <c r="AB700" s="8" t="n">
        <v>7</v>
      </c>
      <c r="AC700" s="8" t="str">
        <v>2026-09-29 至 2026-10-17</v>
      </c>
      <c r="AD700" s="8" t="str">
        <v>2026-09-29、2026-09-30、2026-10-01、2026-10-02、2026-10-03、2026-10-04、2026-10-05、2026-10-08、2026-10-09、2026-10-10、2026-10-11、2026-10-14、2026-10-15、2026-10-17</v>
      </c>
      <c r="AE700" s="8" t="str">
        <v>2026-10-06 大促；2026-10-07 大促；2026-10-12 有记录的停售日；2026-10-13 有记录的停售日；2026-10-16 有记录的停售日</v>
      </c>
      <c r="AF700" s="8" t="n">
        <v>0</v>
      </c>
      <c r="AG700" s="8" t="n">
        <v>0</v>
      </c>
      <c r="AH700" s="8" t="n">
        <v>14</v>
      </c>
      <c r="AI700" s="8" t="str">
        <v>2026-09-13 至 2026-10-17</v>
      </c>
      <c r="AJ70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0" s="8" t="str">
        <v>2026-10-06 大促；2026-10-07 大促；2026-10-12 有记录的停售日；2026-10-13 有记录的停售日；2026-10-16 有记录的停售日</v>
      </c>
      <c r="AL700" s="8" t="n">
        <v>0</v>
      </c>
      <c r="AM700" s="8" t="n">
        <v>0</v>
      </c>
      <c r="AN700" s="8" t="n">
        <v>30</v>
      </c>
      <c r="AO700" s="8" t="str">
        <v>32582 / 灰色羊京绒 / 6574</v>
      </c>
      <c r="AP700" s="11" t="n">
        <v>1.0395067087630607</v>
      </c>
      <c r="AQ700" s="11" t="n">
        <v>1.048428692110265</v>
      </c>
      <c r="AR700" s="11" t="n">
        <v>1.076979038821319</v>
      </c>
      <c r="AS700" s="11" t="n">
        <f>IF(AND(COUNT(I700:K700,AP700:AR700)=6,MIN(AP700:AR700)&gt;0),I700/7/AP700*0.5+J700/14/AQ700*0.3+K700/30/AR700*0.2,"")</f>
        <v>0</v>
      </c>
      <c r="AT700" s="8" t="n">
        <v>0</v>
      </c>
      <c r="AU700" s="8" t="n">
        <v>0</v>
      </c>
      <c r="AV700" s="8" t="n">
        <v>85</v>
      </c>
      <c r="AW700" s="11" t="n">
        <f>IF(AND(COUNT(AT700:AV700)=3,AT700&gt;=AU700,AU700&gt;=0,AV700&gt;0),(AT700-AU700)/AV700,"")</f>
        <v>0</v>
      </c>
      <c r="AX700" s="8" t="n">
        <v>0</v>
      </c>
      <c r="AY700" s="8" t="n">
        <v>0</v>
      </c>
      <c r="AZ700" s="8" t="n">
        <v>175</v>
      </c>
      <c r="BA700" s="11" t="n">
        <f>IF(AND(COUNT(AX700:AZ700)=3,AX700&gt;=AY700,AY700&gt;=0,AZ700&gt;0),(AX700-AY700)/AZ700,"")</f>
        <v>0</v>
      </c>
      <c r="BB700" s="8" t="n">
        <f>IF(COUNT(AS700,AW700,BA700)=3,1,0)</f>
        <v>1</v>
      </c>
      <c r="BC700" s="11" t="n">
        <f>IF(SUMIF($AO$11:$AO$1309,AO700,$BB$11:$BB$1309)=COUNTIF($AO$11:$AO$1309,AO700),SUMIF($AO$11:$AO$1309,AO700,$AS$11:$AS$1309),"")</f>
        <v>0.12239477859749676</v>
      </c>
      <c r="BD700" s="11" t="n">
        <f>IF(SUMIF($AO$11:$AO$1309,AO700,$BB$11:$BB$1309)=COUNTIF($AO$11:$AO$1309,AO700),SUMIF($AO$11:$AO$1309,AO700,$AW$11:$AW$1309),"")</f>
        <v>0.0572192513368984</v>
      </c>
      <c r="BE700" s="11" t="n">
        <f>IF(SUMIF($AO$11:$AO$1309,AO700,$BB$11:$BB$1309)=COUNTIF($AO$11:$AO$1309,AO700),SUMIF($AO$11:$AO$1309,AO700,$BA$11:$BA$1309),"")</f>
        <v>0.03390048154093098</v>
      </c>
      <c r="BF700" s="12" t="n">
        <f>IF(COUNT(BD700:BE700)&lt;&gt;2,"",IF(AND(BD700&gt;0,BE700&gt;0),0.7*AW700/BD700+0.3*BA700/BE700,IF(BD700&gt;0,AW700/BD700,IF(BE700&gt;0,BA700/BE700,IF(AND(ISNUMBER(BH700),BH700=0),0,"")))))</f>
        <v>0</v>
      </c>
      <c r="BG700" s="11" t="n">
        <f>IF(AND(COUNT(BN700:BU700)=8,MIN(BN700:BU700)&gt;=0),SUMPRODUCT(BN700:BQ700,BR700:BU700),"")</f>
        <v>88.27281580841549</v>
      </c>
      <c r="BH700" s="11" t="n">
        <f>IF(COUNT(BC700,BG700)=2,BC700*BG700,"")</f>
        <v>10.804131747048626</v>
      </c>
      <c r="BI700" s="11" t="n">
        <f>IF(ISNUMBER(CI700),CI700,"")</f>
        <v>0</v>
      </c>
      <c r="BJ700" s="8" t="str">
        <v>近180天本色销量7双（＜90），无有效新采购，请运营判断</v>
      </c>
      <c r="BK700" s="8" t="str">
        <v>90天：2026-07-20 至 2026-10-17；180天：2026-04-21 至 2026-10-17</v>
      </c>
      <c r="BL700" s="8" t="str">
        <v>90天：2026-10-06、2026-10-07、2026-10-12、2026-10-13、2026-10-16；180天：2026-10-06、2026-10-07、2026-10-12、2026-10-13、2026-10-16</v>
      </c>
      <c r="BM700" s="8" t="str">
        <v>2026-10：12天 × 1.0395067087630607；2026-11：30天 × 0.9890368360033146；2026-12：31天 × 0.7800796503018808；2027-01：17天 × 1.2908918272824135</v>
      </c>
      <c r="BN700" s="11" t="n">
        <v>1.0395067087630607</v>
      </c>
      <c r="BO700" s="11" t="n">
        <v>0.9890368360033146</v>
      </c>
      <c r="BP700" s="11" t="n">
        <v>0.7800796503018808</v>
      </c>
      <c r="BQ700" s="11" t="n">
        <v>1.2908918272824135</v>
      </c>
      <c r="BR700" s="8" t="n">
        <v>12</v>
      </c>
      <c r="BS700" s="8" t="n">
        <v>30</v>
      </c>
      <c r="BT700" s="8" t="n">
        <v>31</v>
      </c>
      <c r="BU700" s="8" t="n">
        <v>17</v>
      </c>
      <c r="BV700" s="11" t="n">
        <f>IF(COUNT(BC700,BF700)=2,BC700*BF700,"")</f>
        <v>0</v>
      </c>
      <c r="BW700" s="11" t="n">
        <f>IF(ISNUMBER(BN700),BN700,"")</f>
        <v>1.0395067087630607</v>
      </c>
      <c r="BX700" s="14" t="n">
        <f>IF(ISNUMBER(BR700),BR700,"")</f>
        <v>12</v>
      </c>
      <c r="BY700" s="13" t="n">
        <f>IF(AND(COUNT(BV700,BW700,BX700)=3,MIN(BV700,BW700,BX700)&gt;=0),BV700*BW700*BX700,"")</f>
        <v>0</v>
      </c>
      <c r="BZ700" s="11" t="n">
        <f>IF(ISNUMBER(BO700),BO700,"")</f>
        <v>0.9890368360033146</v>
      </c>
      <c r="CA700" s="14" t="n">
        <f>IF(ISNUMBER(BS700),BS700,"")</f>
        <v>30</v>
      </c>
      <c r="CB700" s="13" t="n">
        <f>IF(AND(COUNT(BV700,BZ700,CA700)=3,MIN(BV700,BZ700,CA700)&gt;=0),BV700*BZ700*CA700,"")</f>
        <v>0</v>
      </c>
      <c r="CC700" s="11" t="n">
        <f>IF(ISNUMBER(BP700),BP700,"")</f>
        <v>0.7800796503018808</v>
      </c>
      <c r="CD700" s="14" t="n">
        <f>IF(ISNUMBER(BT700),BT700,"")</f>
        <v>31</v>
      </c>
      <c r="CE700" s="13" t="n">
        <f>IF(AND(COUNT(BV700,CC700,CD700)=3,MIN(BV700,CC700,CD700)&gt;=0),BV700*CC700*CD700,"")</f>
        <v>0</v>
      </c>
      <c r="CF700" s="11" t="n">
        <f>IF(ISNUMBER(BQ700),BQ700,"")</f>
        <v>1.2908918272824135</v>
      </c>
      <c r="CG700" s="14" t="n">
        <f>IF(ISNUMBER(BU700),BU700,"")</f>
        <v>17</v>
      </c>
      <c r="CH700" s="13" t="n">
        <f>IF(AND(COUNT(BV700,CF700,CG700)=3,MIN(BV700,CF700,CG700)&gt;=0),BV700*CF700*CG700,"")</f>
        <v>0</v>
      </c>
      <c r="CI700" s="13" t="n">
        <f>IF(COUNT(BY700,CB700,CE700,CH700)=4,SUM(BY700,CB700,CE700,CH700),"")</f>
        <v>0</v>
      </c>
    </row>
    <row r="701" ht="72" customHeight="1">
      <c r="A701" s="16" t="str">
        <v>32582-GY-40.5</v>
      </c>
      <c r="B701" s="16" t="str">
        <v>3店-SANDIEX-US</v>
      </c>
      <c r="C701" s="16" t="str">
        <v>徐新怡</v>
      </c>
      <c r="D701" s="26" t="n">
        <f>IF(NOT(ISNUMBER(E701)),"",IF(OR(E701&lt;=0,L701=0),0,IF(OR(NOT(ISNUMBER(F701)),F701&lt;0),"",MIN(E701,INT(F701)))))</f>
        <v>0</v>
      </c>
      <c r="E701" s="27" t="n">
        <f>IF(OR(NOT(ISNUMBER(L701)),COUNT(M701:O701)&lt;&gt;3,MIN(M701:O701)&lt;0),"",ROUNDUP(ROUND(BI701-SUM(M701:O701),10),0))</f>
        <v>0</v>
      </c>
      <c r="F701" s="28"/>
      <c r="G701" s="28" t="n">
        <f>IF(AND(ISNUMBER(D701),ISNUMBER(E701)),IF(OR(E701&lt;=0,L701=0),0,E701-D701),"")</f>
        <v>0</v>
      </c>
      <c r="H701" s="16" t="str">
        <f>IF(NOT(ISNUMBER(E701)),"销量或海外库存待补",IF(OR(E701&lt;=0,L701=0),IF(L701=0,"零日销，本批不发","本批无需补货"),IF(NOT(ISNUMBER(D701)),"国内库存待补",IF(D701=0,"国内无可用库存",IF(G701&gt;0,"先发国内现货","按建议量发货")))))</f>
        <v>零日销，本批不发</v>
      </c>
      <c r="I701" s="28" t="n">
        <f>IF(AND(COUNT(Z701,AA701,AB701)=3,Z701&gt;=AA701,AA701&gt;=0,AB701=7),Z701-AA701,"")</f>
        <v>0</v>
      </c>
      <c r="J701" s="28" t="n">
        <f>IF(AND(COUNT(AF701,AG701,AH701)=3,AF701&gt;=AG701,AG701&gt;=0,AH701=14),AF701-AG701,"")</f>
        <v>0</v>
      </c>
      <c r="K701" s="28" t="n">
        <f>IF(AND(COUNT(AL701,AM701,AN701)=3,AL701&gt;=AM701,AM701&gt;=0,AN701=30),AL701-AM701,"")</f>
        <v>0</v>
      </c>
      <c r="L701" s="29" t="n">
        <f>IF(ISNUMBER(BI701),BI701/90,"")</f>
        <v>0</v>
      </c>
      <c r="M701" s="28" t="n">
        <v>0</v>
      </c>
      <c r="N701" s="28" t="n">
        <v>0</v>
      </c>
      <c r="O701" s="28" t="n">
        <v>0</v>
      </c>
      <c r="P701" s="30" t="str">
        <f>IF(AND(ISNUMBER(L701),L701&gt;0,COUNT(M701:O701)=3,MIN(M701:O701)&gt;=0),SUM(M701:O701)/L701,"")</f>
      </c>
      <c r="Q701" s="16" t="str">
        <v>沿用原计划SKU店铺</v>
      </c>
      <c r="R701" s="16" t="str">
        <v>未匹配</v>
      </c>
      <c r="S701" s="16" t="str">
        <v>停售</v>
      </c>
      <c r="T701" s="16" t="str">
        <v>32582</v>
      </c>
      <c r="U701" s="16" t="str">
        <v>灰色</v>
      </c>
      <c r="V701" s="16" t="n">
        <v>9.5</v>
      </c>
      <c r="W701" s="8" t="str">
        <v>2026-10-08 至 2026-10-17</v>
      </c>
      <c r="X701" s="8" t="str">
        <v>2026-10-08、2026-10-09、2026-10-10、2026-10-11、2026-10-14、2026-10-15、2026-10-17</v>
      </c>
      <c r="Y701" s="8" t="str">
        <v>2026-10-12 有记录的停售日；2026-10-13 有记录的停售日；2026-10-16 有记录的停售日</v>
      </c>
      <c r="Z701" s="8" t="n">
        <v>0</v>
      </c>
      <c r="AA701" s="8" t="n">
        <v>0</v>
      </c>
      <c r="AB701" s="8" t="n">
        <v>7</v>
      </c>
      <c r="AC701" s="8" t="str">
        <v>2026-09-29 至 2026-10-17</v>
      </c>
      <c r="AD701" s="8" t="str">
        <v>2026-09-29、2026-09-30、2026-10-01、2026-10-02、2026-10-03、2026-10-04、2026-10-05、2026-10-08、2026-10-09、2026-10-10、2026-10-11、2026-10-14、2026-10-15、2026-10-17</v>
      </c>
      <c r="AE701" s="8" t="str">
        <v>2026-10-06 大促；2026-10-07 大促；2026-10-12 有记录的停售日；2026-10-13 有记录的停售日；2026-10-16 有记录的停售日</v>
      </c>
      <c r="AF701" s="8" t="n">
        <v>0</v>
      </c>
      <c r="AG701" s="8" t="n">
        <v>0</v>
      </c>
      <c r="AH701" s="8" t="n">
        <v>14</v>
      </c>
      <c r="AI701" s="8" t="str">
        <v>2026-09-13 至 2026-10-17</v>
      </c>
      <c r="AJ7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1" s="8" t="str">
        <v>2026-10-06 大促；2026-10-07 大促；2026-10-12 有记录的停售日；2026-10-13 有记录的停售日；2026-10-16 有记录的停售日</v>
      </c>
      <c r="AL701" s="8" t="n">
        <v>0</v>
      </c>
      <c r="AM701" s="8" t="n">
        <v>0</v>
      </c>
      <c r="AN701" s="8" t="n">
        <v>30</v>
      </c>
      <c r="AO701" s="8" t="str">
        <v>32582 / 灰色羊京绒 / 6574</v>
      </c>
      <c r="AP701" s="11" t="n">
        <v>1.0395067087630607</v>
      </c>
      <c r="AQ701" s="11" t="n">
        <v>1.048428692110265</v>
      </c>
      <c r="AR701" s="11" t="n">
        <v>1.076979038821319</v>
      </c>
      <c r="AS701" s="11" t="n">
        <f>IF(AND(COUNT(I701:K701,AP701:AR701)=6,MIN(AP701:AR701)&gt;0),I701/7/AP701*0.5+J701/14/AQ701*0.3+K701/30/AR701*0.2,"")</f>
        <v>0</v>
      </c>
      <c r="AT701" s="8" t="n">
        <v>0</v>
      </c>
      <c r="AU701" s="8" t="n">
        <v>0</v>
      </c>
      <c r="AV701" s="8" t="n">
        <v>85</v>
      </c>
      <c r="AW701" s="11" t="n">
        <f>IF(AND(COUNT(AT701:AV701)=3,AT701&gt;=AU701,AU701&gt;=0,AV701&gt;0),(AT701-AU701)/AV701,"")</f>
        <v>0</v>
      </c>
      <c r="AX701" s="8" t="n">
        <v>0</v>
      </c>
      <c r="AY701" s="8" t="n">
        <v>0</v>
      </c>
      <c r="AZ701" s="8" t="n">
        <v>175</v>
      </c>
      <c r="BA701" s="11" t="n">
        <f>IF(AND(COUNT(AX701:AZ701)=3,AX701&gt;=AY701,AY701&gt;=0,AZ701&gt;0),(AX701-AY701)/AZ701,"")</f>
        <v>0</v>
      </c>
      <c r="BB701" s="8" t="n">
        <f>IF(COUNT(AS701,AW701,BA701)=3,1,0)</f>
        <v>1</v>
      </c>
      <c r="BC701" s="11" t="n">
        <f>IF(SUMIF($AO$11:$AO$1309,AO701,$BB$11:$BB$1309)=COUNTIF($AO$11:$AO$1309,AO701),SUMIF($AO$11:$AO$1309,AO701,$AS$11:$AS$1309),"")</f>
        <v>0.12239477859749676</v>
      </c>
      <c r="BD701" s="11" t="n">
        <f>IF(SUMIF($AO$11:$AO$1309,AO701,$BB$11:$BB$1309)=COUNTIF($AO$11:$AO$1309,AO701),SUMIF($AO$11:$AO$1309,AO701,$AW$11:$AW$1309),"")</f>
        <v>0.0572192513368984</v>
      </c>
      <c r="BE701" s="11" t="n">
        <f>IF(SUMIF($AO$11:$AO$1309,AO701,$BB$11:$BB$1309)=COUNTIF($AO$11:$AO$1309,AO701),SUMIF($AO$11:$AO$1309,AO701,$BA$11:$BA$1309),"")</f>
        <v>0.03390048154093098</v>
      </c>
      <c r="BF701" s="12" t="n">
        <f>IF(COUNT(BD701:BE701)&lt;&gt;2,"",IF(AND(BD701&gt;0,BE701&gt;0),0.7*AW701/BD701+0.3*BA701/BE701,IF(BD701&gt;0,AW701/BD701,IF(BE701&gt;0,BA701/BE701,IF(AND(ISNUMBER(BH701),BH701=0),0,"")))))</f>
        <v>0</v>
      </c>
      <c r="BG701" s="11" t="n">
        <f>IF(AND(COUNT(BN701:BU701)=8,MIN(BN701:BU701)&gt;=0),SUMPRODUCT(BN701:BQ701,BR701:BU701),"")</f>
        <v>88.27281580841549</v>
      </c>
      <c r="BH701" s="11" t="n">
        <f>IF(COUNT(BC701,BG701)=2,BC701*BG701,"")</f>
        <v>10.804131747048626</v>
      </c>
      <c r="BI701" s="11" t="n">
        <f>IF(ISNUMBER(CI701),CI701,"")</f>
        <v>0</v>
      </c>
      <c r="BJ701" s="8" t="str">
        <v>近180天本色销量7双（＜90），无有效新采购，请运营判断</v>
      </c>
      <c r="BK701" s="8" t="str">
        <v>90天：2026-07-20 至 2026-10-17；180天：2026-04-21 至 2026-10-17</v>
      </c>
      <c r="BL701" s="8" t="str">
        <v>90天：2026-10-06、2026-10-07、2026-10-12、2026-10-13、2026-10-16；180天：2026-10-06、2026-10-07、2026-10-12、2026-10-13、2026-10-16</v>
      </c>
      <c r="BM701" s="8" t="str">
        <v>2026-10：12天 × 1.0395067087630607；2026-11：30天 × 0.9890368360033146；2026-12：31天 × 0.7800796503018808；2027-01：17天 × 1.2908918272824135</v>
      </c>
      <c r="BN701" s="11" t="n">
        <v>1.0395067087630607</v>
      </c>
      <c r="BO701" s="11" t="n">
        <v>0.9890368360033146</v>
      </c>
      <c r="BP701" s="11" t="n">
        <v>0.7800796503018808</v>
      </c>
      <c r="BQ701" s="11" t="n">
        <v>1.2908918272824135</v>
      </c>
      <c r="BR701" s="8" t="n">
        <v>12</v>
      </c>
      <c r="BS701" s="8" t="n">
        <v>30</v>
      </c>
      <c r="BT701" s="8" t="n">
        <v>31</v>
      </c>
      <c r="BU701" s="8" t="n">
        <v>17</v>
      </c>
      <c r="BV701" s="11" t="n">
        <f>IF(COUNT(BC701,BF701)=2,BC701*BF701,"")</f>
        <v>0</v>
      </c>
      <c r="BW701" s="11" t="n">
        <f>IF(ISNUMBER(BN701),BN701,"")</f>
        <v>1.0395067087630607</v>
      </c>
      <c r="BX701" s="14" t="n">
        <f>IF(ISNUMBER(BR701),BR701,"")</f>
        <v>12</v>
      </c>
      <c r="BY701" s="13" t="n">
        <f>IF(AND(COUNT(BV701,BW701,BX701)=3,MIN(BV701,BW701,BX701)&gt;=0),BV701*BW701*BX701,"")</f>
        <v>0</v>
      </c>
      <c r="BZ701" s="11" t="n">
        <f>IF(ISNUMBER(BO701),BO701,"")</f>
        <v>0.9890368360033146</v>
      </c>
      <c r="CA701" s="14" t="n">
        <f>IF(ISNUMBER(BS701),BS701,"")</f>
        <v>30</v>
      </c>
      <c r="CB701" s="13" t="n">
        <f>IF(AND(COUNT(BV701,BZ701,CA701)=3,MIN(BV701,BZ701,CA701)&gt;=0),BV701*BZ701*CA701,"")</f>
        <v>0</v>
      </c>
      <c r="CC701" s="11" t="n">
        <f>IF(ISNUMBER(BP701),BP701,"")</f>
        <v>0.7800796503018808</v>
      </c>
      <c r="CD701" s="14" t="n">
        <f>IF(ISNUMBER(BT701),BT701,"")</f>
        <v>31</v>
      </c>
      <c r="CE701" s="13" t="n">
        <f>IF(AND(COUNT(BV701,CC701,CD701)=3,MIN(BV701,CC701,CD701)&gt;=0),BV701*CC701*CD701,"")</f>
        <v>0</v>
      </c>
      <c r="CF701" s="11" t="n">
        <f>IF(ISNUMBER(BQ701),BQ701,"")</f>
        <v>1.2908918272824135</v>
      </c>
      <c r="CG701" s="14" t="n">
        <f>IF(ISNUMBER(BU701),BU701,"")</f>
        <v>17</v>
      </c>
      <c r="CH701" s="13" t="n">
        <f>IF(AND(COUNT(BV701,CF701,CG701)=3,MIN(BV701,CF701,CG701)&gt;=0),BV701*CF701*CG701,"")</f>
        <v>0</v>
      </c>
      <c r="CI701" s="13" t="n">
        <f>IF(COUNT(BY701,CB701,CE701,CH701)=4,SUM(BY701,CB701,CE701,CH701),"")</f>
        <v>0</v>
      </c>
    </row>
    <row r="702" ht="72" customHeight="1">
      <c r="A702" s="16" t="str">
        <v>32582-GY-41</v>
      </c>
      <c r="B702" s="16" t="str">
        <v>3店-SANDIEX-US</v>
      </c>
      <c r="C702" s="16" t="str">
        <v>徐新怡</v>
      </c>
      <c r="D702" s="26" t="n">
        <f>IF(NOT(ISNUMBER(E702)),"",IF(OR(E702&lt;=0,L702=0),0,IF(OR(NOT(ISNUMBER(F702)),F702&lt;0),"",MIN(E702,INT(F702)))))</f>
        <v>0</v>
      </c>
      <c r="E702" s="27" t="n">
        <f>IF(OR(NOT(ISNUMBER(L702)),COUNT(M702:O702)&lt;&gt;3,MIN(M702:O702)&lt;0),"",ROUNDUP(ROUND(BI702-SUM(M702:O702),10),0))</f>
        <v>0</v>
      </c>
      <c r="F702" s="28" t="n">
        <v>0</v>
      </c>
      <c r="G702" s="28" t="n">
        <f>IF(AND(ISNUMBER(D702),ISNUMBER(E702)),IF(OR(E702&lt;=0,L702=0),0,E702-D702),"")</f>
        <v>0</v>
      </c>
      <c r="H702" s="16" t="str">
        <f>IF(NOT(ISNUMBER(E702)),"销量或海外库存待补",IF(OR(E702&lt;=0,L702=0),IF(L702=0,"零日销，本批不发","本批无需补货"),IF(NOT(ISNUMBER(D702)),"国内库存待补",IF(D702=0,"国内无可用库存",IF(G702&gt;0,"先发国内现货","按建议量发货")))))</f>
        <v>零日销，本批不发</v>
      </c>
      <c r="I702" s="28" t="n">
        <f>IF(AND(COUNT(Z702,AA702,AB702)=3,Z702&gt;=AA702,AA702&gt;=0,AB702=7),Z702-AA702,"")</f>
        <v>0</v>
      </c>
      <c r="J702" s="28" t="n">
        <f>IF(AND(COUNT(AF702,AG702,AH702)=3,AF702&gt;=AG702,AG702&gt;=0,AH702=14),AF702-AG702,"")</f>
        <v>0</v>
      </c>
      <c r="K702" s="28" t="n">
        <f>IF(AND(COUNT(AL702,AM702,AN702)=3,AL702&gt;=AM702,AM702&gt;=0,AN702=30),AL702-AM702,"")</f>
        <v>0</v>
      </c>
      <c r="L702" s="29" t="n">
        <f>IF(ISNUMBER(BI702),BI702/90,"")</f>
        <v>0</v>
      </c>
      <c r="M702" s="28" t="n">
        <v>0</v>
      </c>
      <c r="N702" s="28" t="n">
        <v>0</v>
      </c>
      <c r="O702" s="28" t="n">
        <v>0</v>
      </c>
      <c r="P702" s="30" t="str">
        <f>IF(AND(ISNUMBER(L702),L702&gt;0,COUNT(M702:O702)=3,MIN(M702:O702)&gt;=0),SUM(M702:O702)/L702,"")</f>
      </c>
      <c r="Q702" s="16" t="str">
        <v>沿用原计划SKU店铺</v>
      </c>
      <c r="R702" s="16" t="str">
        <v>已匹配</v>
      </c>
      <c r="S702" s="16" t="str">
        <v>停售</v>
      </c>
      <c r="T702" s="16" t="str">
        <v>32582</v>
      </c>
      <c r="U702" s="16" t="str">
        <v>灰色</v>
      </c>
      <c r="V702" s="16" t="n">
        <v>10</v>
      </c>
      <c r="W702" s="8" t="str">
        <v>2026-10-08 至 2026-10-17</v>
      </c>
      <c r="X702" s="8" t="str">
        <v>2026-10-08、2026-10-09、2026-10-10、2026-10-11、2026-10-14、2026-10-15、2026-10-17</v>
      </c>
      <c r="Y702" s="8" t="str">
        <v>2026-10-12 有记录的停售日；2026-10-13 有记录的停售日；2026-10-16 有记录的停售日</v>
      </c>
      <c r="Z702" s="8" t="n">
        <v>0</v>
      </c>
      <c r="AA702" s="8" t="n">
        <v>0</v>
      </c>
      <c r="AB702" s="8" t="n">
        <v>7</v>
      </c>
      <c r="AC702" s="8" t="str">
        <v>2026-09-29 至 2026-10-17</v>
      </c>
      <c r="AD702" s="8" t="str">
        <v>2026-09-29、2026-09-30、2026-10-01、2026-10-02、2026-10-03、2026-10-04、2026-10-05、2026-10-08、2026-10-09、2026-10-10、2026-10-11、2026-10-14、2026-10-15、2026-10-17</v>
      </c>
      <c r="AE702" s="8" t="str">
        <v>2026-10-06 大促；2026-10-07 大促；2026-10-12 有记录的停售日；2026-10-13 有记录的停售日；2026-10-16 有记录的停售日</v>
      </c>
      <c r="AF702" s="8" t="n">
        <v>0</v>
      </c>
      <c r="AG702" s="8" t="n">
        <v>0</v>
      </c>
      <c r="AH702" s="8" t="n">
        <v>14</v>
      </c>
      <c r="AI702" s="8" t="str">
        <v>2026-09-13 至 2026-10-17</v>
      </c>
      <c r="AJ7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2" s="8" t="str">
        <v>2026-10-06 大促；2026-10-07 大促；2026-10-12 有记录的停售日；2026-10-13 有记录的停售日；2026-10-16 有记录的停售日</v>
      </c>
      <c r="AL702" s="8" t="n">
        <v>0</v>
      </c>
      <c r="AM702" s="8" t="n">
        <v>0</v>
      </c>
      <c r="AN702" s="8" t="n">
        <v>30</v>
      </c>
      <c r="AO702" s="8" t="str">
        <v>32582 / 灰色羊京绒 / 6574</v>
      </c>
      <c r="AP702" s="11" t="n">
        <v>1.0395067087630607</v>
      </c>
      <c r="AQ702" s="11" t="n">
        <v>1.048428692110265</v>
      </c>
      <c r="AR702" s="11" t="n">
        <v>1.076979038821319</v>
      </c>
      <c r="AS702" s="11" t="n">
        <f>IF(AND(COUNT(I702:K702,AP702:AR702)=6,MIN(AP702:AR702)&gt;0),I702/7/AP702*0.5+J702/14/AQ702*0.3+K702/30/AR702*0.2,"")</f>
        <v>0</v>
      </c>
      <c r="AT702" s="8" t="n">
        <v>0</v>
      </c>
      <c r="AU702" s="8" t="n">
        <v>0</v>
      </c>
      <c r="AV702" s="8" t="n">
        <v>85</v>
      </c>
      <c r="AW702" s="11" t="n">
        <f>IF(AND(COUNT(AT702:AV702)=3,AT702&gt;=AU702,AU702&gt;=0,AV702&gt;0),(AT702-AU702)/AV702,"")</f>
        <v>0</v>
      </c>
      <c r="AX702" s="8" t="n">
        <v>0</v>
      </c>
      <c r="AY702" s="8" t="n">
        <v>0</v>
      </c>
      <c r="AZ702" s="8" t="n">
        <v>175</v>
      </c>
      <c r="BA702" s="11" t="n">
        <f>IF(AND(COUNT(AX702:AZ702)=3,AX702&gt;=AY702,AY702&gt;=0,AZ702&gt;0),(AX702-AY702)/AZ702,"")</f>
        <v>0</v>
      </c>
      <c r="BB702" s="8" t="n">
        <f>IF(COUNT(AS702,AW702,BA702)=3,1,0)</f>
        <v>1</v>
      </c>
      <c r="BC702" s="11" t="n">
        <f>IF(SUMIF($AO$11:$AO$1309,AO702,$BB$11:$BB$1309)=COUNTIF($AO$11:$AO$1309,AO702),SUMIF($AO$11:$AO$1309,AO702,$AS$11:$AS$1309),"")</f>
        <v>0.12239477859749676</v>
      </c>
      <c r="BD702" s="11" t="n">
        <f>IF(SUMIF($AO$11:$AO$1309,AO702,$BB$11:$BB$1309)=COUNTIF($AO$11:$AO$1309,AO702),SUMIF($AO$11:$AO$1309,AO702,$AW$11:$AW$1309),"")</f>
        <v>0.0572192513368984</v>
      </c>
      <c r="BE702" s="11" t="n">
        <f>IF(SUMIF($AO$11:$AO$1309,AO702,$BB$11:$BB$1309)=COUNTIF($AO$11:$AO$1309,AO702),SUMIF($AO$11:$AO$1309,AO702,$BA$11:$BA$1309),"")</f>
        <v>0.03390048154093098</v>
      </c>
      <c r="BF702" s="12" t="n">
        <f>IF(COUNT(BD702:BE702)&lt;&gt;2,"",IF(AND(BD702&gt;0,BE702&gt;0),0.7*AW702/BD702+0.3*BA702/BE702,IF(BD702&gt;0,AW702/BD702,IF(BE702&gt;0,BA702/BE702,IF(AND(ISNUMBER(BH702),BH702=0),0,"")))))</f>
        <v>0</v>
      </c>
      <c r="BG702" s="11" t="n">
        <f>IF(AND(COUNT(BN702:BU702)=8,MIN(BN702:BU702)&gt;=0),SUMPRODUCT(BN702:BQ702,BR702:BU702),"")</f>
        <v>88.27281580841549</v>
      </c>
      <c r="BH702" s="11" t="n">
        <f>IF(COUNT(BC702,BG702)=2,BC702*BG702,"")</f>
        <v>10.804131747048626</v>
      </c>
      <c r="BI702" s="11" t="n">
        <f>IF(ISNUMBER(CI702),CI702,"")</f>
        <v>0</v>
      </c>
      <c r="BJ702" s="8" t="str">
        <v>近180天本色销量7双（＜90），无有效新采购，请运营判断</v>
      </c>
      <c r="BK702" s="8" t="str">
        <v>90天：2026-07-20 至 2026-10-17；180天：2026-04-21 至 2026-10-17</v>
      </c>
      <c r="BL702" s="8" t="str">
        <v>90天：2026-10-06、2026-10-07、2026-10-12、2026-10-13、2026-10-16；180天：2026-10-06、2026-10-07、2026-10-12、2026-10-13、2026-10-16</v>
      </c>
      <c r="BM702" s="8" t="str">
        <v>2026-10：12天 × 1.0395067087630607；2026-11：30天 × 0.9890368360033146；2026-12：31天 × 0.7800796503018808；2027-01：17天 × 1.2908918272824135</v>
      </c>
      <c r="BN702" s="11" t="n">
        <v>1.0395067087630607</v>
      </c>
      <c r="BO702" s="11" t="n">
        <v>0.9890368360033146</v>
      </c>
      <c r="BP702" s="11" t="n">
        <v>0.7800796503018808</v>
      </c>
      <c r="BQ702" s="11" t="n">
        <v>1.2908918272824135</v>
      </c>
      <c r="BR702" s="8" t="n">
        <v>12</v>
      </c>
      <c r="BS702" s="8" t="n">
        <v>30</v>
      </c>
      <c r="BT702" s="8" t="n">
        <v>31</v>
      </c>
      <c r="BU702" s="8" t="n">
        <v>17</v>
      </c>
      <c r="BV702" s="11" t="n">
        <f>IF(COUNT(BC702,BF702)=2,BC702*BF702,"")</f>
        <v>0</v>
      </c>
      <c r="BW702" s="11" t="n">
        <f>IF(ISNUMBER(BN702),BN702,"")</f>
        <v>1.0395067087630607</v>
      </c>
      <c r="BX702" s="14" t="n">
        <f>IF(ISNUMBER(BR702),BR702,"")</f>
        <v>12</v>
      </c>
      <c r="BY702" s="13" t="n">
        <f>IF(AND(COUNT(BV702,BW702,BX702)=3,MIN(BV702,BW702,BX702)&gt;=0),BV702*BW702*BX702,"")</f>
        <v>0</v>
      </c>
      <c r="BZ702" s="11" t="n">
        <f>IF(ISNUMBER(BO702),BO702,"")</f>
        <v>0.9890368360033146</v>
      </c>
      <c r="CA702" s="14" t="n">
        <f>IF(ISNUMBER(BS702),BS702,"")</f>
        <v>30</v>
      </c>
      <c r="CB702" s="13" t="n">
        <f>IF(AND(COUNT(BV702,BZ702,CA702)=3,MIN(BV702,BZ702,CA702)&gt;=0),BV702*BZ702*CA702,"")</f>
        <v>0</v>
      </c>
      <c r="CC702" s="11" t="n">
        <f>IF(ISNUMBER(BP702),BP702,"")</f>
        <v>0.7800796503018808</v>
      </c>
      <c r="CD702" s="14" t="n">
        <f>IF(ISNUMBER(BT702),BT702,"")</f>
        <v>31</v>
      </c>
      <c r="CE702" s="13" t="n">
        <f>IF(AND(COUNT(BV702,CC702,CD702)=3,MIN(BV702,CC702,CD702)&gt;=0),BV702*CC702*CD702,"")</f>
        <v>0</v>
      </c>
      <c r="CF702" s="11" t="n">
        <f>IF(ISNUMBER(BQ702),BQ702,"")</f>
        <v>1.2908918272824135</v>
      </c>
      <c r="CG702" s="14" t="n">
        <f>IF(ISNUMBER(BU702),BU702,"")</f>
        <v>17</v>
      </c>
      <c r="CH702" s="13" t="n">
        <f>IF(AND(COUNT(BV702,CF702,CG702)=3,MIN(BV702,CF702,CG702)&gt;=0),BV702*CF702*CG702,"")</f>
        <v>0</v>
      </c>
      <c r="CI702" s="13" t="n">
        <f>IF(COUNT(BY702,CB702,CE702,CH702)=4,SUM(BY702,CB702,CE702,CH702),"")</f>
        <v>0</v>
      </c>
    </row>
    <row r="703" ht="72" customHeight="1">
      <c r="A703" s="16" t="str">
        <v>32582-GY-41.5</v>
      </c>
      <c r="B703" s="16" t="str">
        <v>3店-SANDIEX-US</v>
      </c>
      <c r="C703" s="16" t="str">
        <v>徐新怡</v>
      </c>
      <c r="D703" s="26" t="n">
        <f>IF(NOT(ISNUMBER(E703)),"",IF(OR(E703&lt;=0,L703=0),0,IF(OR(NOT(ISNUMBER(F703)),F703&lt;0),"",MIN(E703,INT(F703)))))</f>
        <v>0</v>
      </c>
      <c r="E703" s="27" t="n">
        <f>IF(OR(NOT(ISNUMBER(L703)),COUNT(M703:O703)&lt;&gt;3,MIN(M703:O703)&lt;0),"",ROUNDUP(ROUND(BI703-SUM(M703:O703),10),0))</f>
        <v>0</v>
      </c>
      <c r="F703" s="28"/>
      <c r="G703" s="28" t="n">
        <f>IF(AND(ISNUMBER(D703),ISNUMBER(E703)),IF(OR(E703&lt;=0,L703=0),0,E703-D703),"")</f>
        <v>0</v>
      </c>
      <c r="H703" s="16" t="str">
        <f>IF(NOT(ISNUMBER(E703)),"销量或海外库存待补",IF(OR(E703&lt;=0,L703=0),IF(L703=0,"零日销，本批不发","本批无需补货"),IF(NOT(ISNUMBER(D703)),"国内库存待补",IF(D703=0,"国内无可用库存",IF(G703&gt;0,"先发国内现货","按建议量发货")))))</f>
        <v>零日销，本批不发</v>
      </c>
      <c r="I703" s="28" t="n">
        <f>IF(AND(COUNT(Z703,AA703,AB703)=3,Z703&gt;=AA703,AA703&gt;=0,AB703=7),Z703-AA703,"")</f>
        <v>0</v>
      </c>
      <c r="J703" s="28" t="n">
        <f>IF(AND(COUNT(AF703,AG703,AH703)=3,AF703&gt;=AG703,AG703&gt;=0,AH703=14),AF703-AG703,"")</f>
        <v>0</v>
      </c>
      <c r="K703" s="28" t="n">
        <f>IF(AND(COUNT(AL703,AM703,AN703)=3,AL703&gt;=AM703,AM703&gt;=0,AN703=30),AL703-AM703,"")</f>
        <v>0</v>
      </c>
      <c r="L703" s="29" t="n">
        <f>IF(ISNUMBER(BI703),BI703/90,"")</f>
        <v>0</v>
      </c>
      <c r="M703" s="28" t="n">
        <v>0</v>
      </c>
      <c r="N703" s="28" t="n">
        <v>0</v>
      </c>
      <c r="O703" s="28" t="n">
        <v>0</v>
      </c>
      <c r="P703" s="30" t="str">
        <f>IF(AND(ISNUMBER(L703),L703&gt;0,COUNT(M703:O703)=3,MIN(M703:O703)&gt;=0),SUM(M703:O703)/L703,"")</f>
      </c>
      <c r="Q703" s="16" t="str">
        <v>沿用原计划SKU店铺</v>
      </c>
      <c r="R703" s="16" t="str">
        <v>未匹配</v>
      </c>
      <c r="S703" s="16" t="str">
        <v>停售</v>
      </c>
      <c r="T703" s="16" t="str">
        <v>32582</v>
      </c>
      <c r="U703" s="16" t="str">
        <v>灰色</v>
      </c>
      <c r="V703" s="16" t="n">
        <v>10.5</v>
      </c>
      <c r="W703" s="8" t="str">
        <v>2026-10-08 至 2026-10-17</v>
      </c>
      <c r="X703" s="8" t="str">
        <v>2026-10-08、2026-10-09、2026-10-10、2026-10-11、2026-10-14、2026-10-15、2026-10-17</v>
      </c>
      <c r="Y703" s="8" t="str">
        <v>2026-10-12 有记录的停售日；2026-10-13 有记录的停售日；2026-10-16 有记录的停售日</v>
      </c>
      <c r="Z703" s="8" t="n">
        <v>0</v>
      </c>
      <c r="AA703" s="8" t="n">
        <v>0</v>
      </c>
      <c r="AB703" s="8" t="n">
        <v>7</v>
      </c>
      <c r="AC703" s="8" t="str">
        <v>2026-09-29 至 2026-10-17</v>
      </c>
      <c r="AD703" s="8" t="str">
        <v>2026-09-29、2026-09-30、2026-10-01、2026-10-02、2026-10-03、2026-10-04、2026-10-05、2026-10-08、2026-10-09、2026-10-10、2026-10-11、2026-10-14、2026-10-15、2026-10-17</v>
      </c>
      <c r="AE703" s="8" t="str">
        <v>2026-10-06 大促；2026-10-07 大促；2026-10-12 有记录的停售日；2026-10-13 有记录的停售日；2026-10-16 有记录的停售日</v>
      </c>
      <c r="AF703" s="8" t="n">
        <v>0</v>
      </c>
      <c r="AG703" s="8" t="n">
        <v>0</v>
      </c>
      <c r="AH703" s="8" t="n">
        <v>14</v>
      </c>
      <c r="AI703" s="8" t="str">
        <v>2026-09-13 至 2026-10-17</v>
      </c>
      <c r="AJ70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3" s="8" t="str">
        <v>2026-10-06 大促；2026-10-07 大促；2026-10-12 有记录的停售日；2026-10-13 有记录的停售日；2026-10-16 有记录的停售日</v>
      </c>
      <c r="AL703" s="8" t="n">
        <v>0</v>
      </c>
      <c r="AM703" s="8" t="n">
        <v>0</v>
      </c>
      <c r="AN703" s="8" t="n">
        <v>30</v>
      </c>
      <c r="AO703" s="8" t="str">
        <v>32582 / 灰色羊京绒 / 6574</v>
      </c>
      <c r="AP703" s="11" t="n">
        <v>1.0395067087630607</v>
      </c>
      <c r="AQ703" s="11" t="n">
        <v>1.048428692110265</v>
      </c>
      <c r="AR703" s="11" t="n">
        <v>1.076979038821319</v>
      </c>
      <c r="AS703" s="11" t="n">
        <f>IF(AND(COUNT(I703:K703,AP703:AR703)=6,MIN(AP703:AR703)&gt;0),I703/7/AP703*0.5+J703/14/AQ703*0.3+K703/30/AR703*0.2,"")</f>
        <v>0</v>
      </c>
      <c r="AT703" s="8" t="n">
        <v>0</v>
      </c>
      <c r="AU703" s="8" t="n">
        <v>0</v>
      </c>
      <c r="AV703" s="8" t="n">
        <v>85</v>
      </c>
      <c r="AW703" s="11" t="n">
        <f>IF(AND(COUNT(AT703:AV703)=3,AT703&gt;=AU703,AU703&gt;=0,AV703&gt;0),(AT703-AU703)/AV703,"")</f>
        <v>0</v>
      </c>
      <c r="AX703" s="8" t="n">
        <v>0</v>
      </c>
      <c r="AY703" s="8" t="n">
        <v>0</v>
      </c>
      <c r="AZ703" s="8" t="n">
        <v>175</v>
      </c>
      <c r="BA703" s="11" t="n">
        <f>IF(AND(COUNT(AX703:AZ703)=3,AX703&gt;=AY703,AY703&gt;=0,AZ703&gt;0),(AX703-AY703)/AZ703,"")</f>
        <v>0</v>
      </c>
      <c r="BB703" s="8" t="n">
        <f>IF(COUNT(AS703,AW703,BA703)=3,1,0)</f>
        <v>1</v>
      </c>
      <c r="BC703" s="11" t="n">
        <f>IF(SUMIF($AO$11:$AO$1309,AO703,$BB$11:$BB$1309)=COUNTIF($AO$11:$AO$1309,AO703),SUMIF($AO$11:$AO$1309,AO703,$AS$11:$AS$1309),"")</f>
        <v>0.12239477859749676</v>
      </c>
      <c r="BD703" s="11" t="n">
        <f>IF(SUMIF($AO$11:$AO$1309,AO703,$BB$11:$BB$1309)=COUNTIF($AO$11:$AO$1309,AO703),SUMIF($AO$11:$AO$1309,AO703,$AW$11:$AW$1309),"")</f>
        <v>0.0572192513368984</v>
      </c>
      <c r="BE703" s="11" t="n">
        <f>IF(SUMIF($AO$11:$AO$1309,AO703,$BB$11:$BB$1309)=COUNTIF($AO$11:$AO$1309,AO703),SUMIF($AO$11:$AO$1309,AO703,$BA$11:$BA$1309),"")</f>
        <v>0.03390048154093098</v>
      </c>
      <c r="BF703" s="12" t="n">
        <f>IF(COUNT(BD703:BE703)&lt;&gt;2,"",IF(AND(BD703&gt;0,BE703&gt;0),0.7*AW703/BD703+0.3*BA703/BE703,IF(BD703&gt;0,AW703/BD703,IF(BE703&gt;0,BA703/BE703,IF(AND(ISNUMBER(BH703),BH703=0),0,"")))))</f>
        <v>0</v>
      </c>
      <c r="BG703" s="11" t="n">
        <f>IF(AND(COUNT(BN703:BU703)=8,MIN(BN703:BU703)&gt;=0),SUMPRODUCT(BN703:BQ703,BR703:BU703),"")</f>
        <v>88.27281580841549</v>
      </c>
      <c r="BH703" s="11" t="n">
        <f>IF(COUNT(BC703,BG703)=2,BC703*BG703,"")</f>
        <v>10.804131747048626</v>
      </c>
      <c r="BI703" s="11" t="n">
        <f>IF(ISNUMBER(CI703),CI703,"")</f>
        <v>0</v>
      </c>
      <c r="BJ703" s="8" t="str">
        <v>近180天本色销量7双（＜90），无有效新采购，请运营判断</v>
      </c>
      <c r="BK703" s="8" t="str">
        <v>90天：2026-07-20 至 2026-10-17；180天：2026-04-21 至 2026-10-17</v>
      </c>
      <c r="BL703" s="8" t="str">
        <v>90天：2026-10-06、2026-10-07、2026-10-12、2026-10-13、2026-10-16；180天：2026-10-06、2026-10-07、2026-10-12、2026-10-13、2026-10-16</v>
      </c>
      <c r="BM703" s="8" t="str">
        <v>2026-10：12天 × 1.0395067087630607；2026-11：30天 × 0.9890368360033146；2026-12：31天 × 0.7800796503018808；2027-01：17天 × 1.2908918272824135</v>
      </c>
      <c r="BN703" s="11" t="n">
        <v>1.0395067087630607</v>
      </c>
      <c r="BO703" s="11" t="n">
        <v>0.9890368360033146</v>
      </c>
      <c r="BP703" s="11" t="n">
        <v>0.7800796503018808</v>
      </c>
      <c r="BQ703" s="11" t="n">
        <v>1.2908918272824135</v>
      </c>
      <c r="BR703" s="8" t="n">
        <v>12</v>
      </c>
      <c r="BS703" s="8" t="n">
        <v>30</v>
      </c>
      <c r="BT703" s="8" t="n">
        <v>31</v>
      </c>
      <c r="BU703" s="8" t="n">
        <v>17</v>
      </c>
      <c r="BV703" s="11" t="n">
        <f>IF(COUNT(BC703,BF703)=2,BC703*BF703,"")</f>
        <v>0</v>
      </c>
      <c r="BW703" s="11" t="n">
        <f>IF(ISNUMBER(BN703),BN703,"")</f>
        <v>1.0395067087630607</v>
      </c>
      <c r="BX703" s="14" t="n">
        <f>IF(ISNUMBER(BR703),BR703,"")</f>
        <v>12</v>
      </c>
      <c r="BY703" s="13" t="n">
        <f>IF(AND(COUNT(BV703,BW703,BX703)=3,MIN(BV703,BW703,BX703)&gt;=0),BV703*BW703*BX703,"")</f>
        <v>0</v>
      </c>
      <c r="BZ703" s="11" t="n">
        <f>IF(ISNUMBER(BO703),BO703,"")</f>
        <v>0.9890368360033146</v>
      </c>
      <c r="CA703" s="14" t="n">
        <f>IF(ISNUMBER(BS703),BS703,"")</f>
        <v>30</v>
      </c>
      <c r="CB703" s="13" t="n">
        <f>IF(AND(COUNT(BV703,BZ703,CA703)=3,MIN(BV703,BZ703,CA703)&gt;=0),BV703*BZ703*CA703,"")</f>
        <v>0</v>
      </c>
      <c r="CC703" s="11" t="n">
        <f>IF(ISNUMBER(BP703),BP703,"")</f>
        <v>0.7800796503018808</v>
      </c>
      <c r="CD703" s="14" t="n">
        <f>IF(ISNUMBER(BT703),BT703,"")</f>
        <v>31</v>
      </c>
      <c r="CE703" s="13" t="n">
        <f>IF(AND(COUNT(BV703,CC703,CD703)=3,MIN(BV703,CC703,CD703)&gt;=0),BV703*CC703*CD703,"")</f>
        <v>0</v>
      </c>
      <c r="CF703" s="11" t="n">
        <f>IF(ISNUMBER(BQ703),BQ703,"")</f>
        <v>1.2908918272824135</v>
      </c>
      <c r="CG703" s="14" t="n">
        <f>IF(ISNUMBER(BU703),BU703,"")</f>
        <v>17</v>
      </c>
      <c r="CH703" s="13" t="n">
        <f>IF(AND(COUNT(BV703,CF703,CG703)=3,MIN(BV703,CF703,CG703)&gt;=0),BV703*CF703*CG703,"")</f>
        <v>0</v>
      </c>
      <c r="CI703" s="13" t="n">
        <f>IF(COUNT(BY703,CB703,CE703,CH703)=4,SUM(BY703,CB703,CE703,CH703),"")</f>
        <v>0</v>
      </c>
    </row>
    <row r="704" ht="72" customHeight="1">
      <c r="A704" s="16" t="str">
        <v>32582-LD-41.5</v>
      </c>
      <c r="B704" s="16" t="str">
        <v>3店-SANDIEX-US</v>
      </c>
      <c r="C704" s="16" t="str">
        <v>徐新怡</v>
      </c>
      <c r="D704" s="26" t="n">
        <f>IF(NOT(ISNUMBER(E704)),"",IF(OR(E704&lt;=0,L704=0),0,IF(OR(NOT(ISNUMBER(F704)),F704&lt;0),"",MIN(E704,INT(F704)))))</f>
        <v>0</v>
      </c>
      <c r="E704" s="27" t="n">
        <f>IF(OR(NOT(ISNUMBER(L704)),COUNT(M704:O704)&lt;&gt;3,MIN(M704:O704)&lt;0),"",ROUNDUP(ROUND(BI704-SUM(M704:O704),10),0))</f>
        <v>0</v>
      </c>
      <c r="F704" s="28"/>
      <c r="G704" s="28" t="n">
        <f>IF(AND(ISNUMBER(D704),ISNUMBER(E704)),IF(OR(E704&lt;=0,L704=0),0,E704-D704),"")</f>
        <v>0</v>
      </c>
      <c r="H704" s="16" t="str">
        <f>IF(NOT(ISNUMBER(E704)),"销量或海外库存待补",IF(OR(E704&lt;=0,L704=0),IF(L704=0,"零日销，本批不发","本批无需补货"),IF(NOT(ISNUMBER(D704)),"国内库存待补",IF(D704=0,"国内无可用库存",IF(G704&gt;0,"先发国内现货","按建议量发货")))))</f>
        <v>零日销，本批不发</v>
      </c>
      <c r="I704" s="28" t="n">
        <f>IF(AND(COUNT(Z704,AA704,AB704)=3,Z704&gt;=AA704,AA704&gt;=0,AB704=7),Z704-AA704,"")</f>
        <v>0</v>
      </c>
      <c r="J704" s="28" t="n">
        <f>IF(AND(COUNT(AF704,AG704,AH704)=3,AF704&gt;=AG704,AG704&gt;=0,AH704=14),AF704-AG704,"")</f>
        <v>0</v>
      </c>
      <c r="K704" s="28" t="n">
        <f>IF(AND(COUNT(AL704,AM704,AN704)=3,AL704&gt;=AM704,AM704&gt;=0,AN704=30),AL704-AM704,"")</f>
        <v>0</v>
      </c>
      <c r="L704" s="29" t="n">
        <f>IF(ISNUMBER(BI704),BI704/90,"")</f>
        <v>0</v>
      </c>
      <c r="M704" s="28" t="n">
        <v>0</v>
      </c>
      <c r="N704" s="28" t="n">
        <v>0</v>
      </c>
      <c r="O704" s="28" t="n">
        <v>0</v>
      </c>
      <c r="P704" s="30" t="str">
        <f>IF(AND(ISNUMBER(L704),L704&gt;0,COUNT(M704:O704)=3,MIN(M704:O704)&gt;=0),SUM(M704:O704)/L704,"")</f>
      </c>
      <c r="Q704" s="16" t="str">
        <v>沿用原计划SKU店铺</v>
      </c>
      <c r="R704" s="16" t="str">
        <v>未匹配</v>
      </c>
      <c r="S704" s="16" t="str">
        <v>停售</v>
      </c>
      <c r="T704" s="16" t="str">
        <v>32582</v>
      </c>
      <c r="U704" s="16" t="str">
        <v>豹纹</v>
      </c>
      <c r="V704" s="16" t="n">
        <v>10.5</v>
      </c>
      <c r="W704" s="8" t="str">
        <v>2026-10-08 至 2026-10-17</v>
      </c>
      <c r="X704" s="8" t="str">
        <v>2026-10-08、2026-10-09、2026-10-10、2026-10-11、2026-10-14、2026-10-15、2026-10-17</v>
      </c>
      <c r="Y704" s="8" t="str">
        <v>2026-10-12 有记录的停售日；2026-10-13 有记录的停售日；2026-10-16 有记录的停售日</v>
      </c>
      <c r="Z704" s="8" t="n">
        <v>0</v>
      </c>
      <c r="AA704" s="8" t="n">
        <v>0</v>
      </c>
      <c r="AB704" s="8" t="n">
        <v>7</v>
      </c>
      <c r="AC704" s="8" t="str">
        <v>2026-09-29 至 2026-10-17</v>
      </c>
      <c r="AD704" s="8" t="str">
        <v>2026-09-29、2026-09-30、2026-10-01、2026-10-02、2026-10-03、2026-10-04、2026-10-05、2026-10-08、2026-10-09、2026-10-10、2026-10-11、2026-10-14、2026-10-15、2026-10-17</v>
      </c>
      <c r="AE704" s="8" t="str">
        <v>2026-10-06 大促；2026-10-07 大促；2026-10-12 有记录的停售日；2026-10-13 有记录的停售日；2026-10-16 有记录的停售日</v>
      </c>
      <c r="AF704" s="8" t="n">
        <v>0</v>
      </c>
      <c r="AG704" s="8" t="n">
        <v>0</v>
      </c>
      <c r="AH704" s="8" t="n">
        <v>14</v>
      </c>
      <c r="AI704" s="8" t="str">
        <v>2026-09-13 至 2026-10-17</v>
      </c>
      <c r="AJ7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4" s="8" t="str">
        <v>2026-10-06 大促；2026-10-07 大促；2026-10-12 有记录的停售日；2026-10-13 有记录的停售日；2026-10-16 有记录的停售日</v>
      </c>
      <c r="AL704" s="8" t="n">
        <v>0</v>
      </c>
      <c r="AM704" s="8" t="n">
        <v>0</v>
      </c>
      <c r="AN704" s="8" t="n">
        <v>30</v>
      </c>
      <c r="AO704" s="8" t="str">
        <v>32582 / 豹纹羊京绒 / 6574</v>
      </c>
      <c r="AP704" s="11" t="n">
        <v>1.0395067087630607</v>
      </c>
      <c r="AQ704" s="11" t="n">
        <v>1.048428692110265</v>
      </c>
      <c r="AR704" s="11" t="n">
        <v>1.076979038821319</v>
      </c>
      <c r="AS704" s="11" t="n">
        <f>IF(AND(COUNT(I704:K704,AP704:AR704)=6,MIN(AP704:AR704)&gt;0),I704/7/AP704*0.5+J704/14/AQ704*0.3+K704/30/AR704*0.2,"")</f>
        <v>0</v>
      </c>
      <c r="AT704" s="8" t="n">
        <v>0</v>
      </c>
      <c r="AU704" s="8" t="n">
        <v>0</v>
      </c>
      <c r="AV704" s="8" t="n">
        <v>85</v>
      </c>
      <c r="AW704" s="11" t="n">
        <f>IF(AND(COUNT(AT704:AV704)=3,AT704&gt;=AU704,AU704&gt;=0,AV704&gt;0),(AT704-AU704)/AV704,"")</f>
        <v>0</v>
      </c>
      <c r="AX704" s="8" t="n">
        <v>0</v>
      </c>
      <c r="AY704" s="8" t="n">
        <v>0</v>
      </c>
      <c r="AZ704" s="8" t="n">
        <v>175</v>
      </c>
      <c r="BA704" s="11" t="n">
        <f>IF(AND(COUNT(AX704:AZ704)=3,AX704&gt;=AY704,AY704&gt;=0,AZ704&gt;0),(AX704-AY704)/AZ704,"")</f>
        <v>0</v>
      </c>
      <c r="BB704" s="8" t="n">
        <f>IF(COUNT(AS704,AW704,BA704)=3,1,0)</f>
        <v>1</v>
      </c>
      <c r="BC704" s="11" t="n">
        <f>IF(SUMIF($AO$11:$AO$1309,AO704,$BB$11:$BB$1309)=COUNTIF($AO$11:$AO$1309,AO704),SUMIF($AO$11:$AO$1309,AO704,$AS$11:$AS$1309),"")</f>
        <v>2.517644694108243</v>
      </c>
      <c r="BD704" s="11" t="n">
        <f>IF(SUMIF($AO$11:$AO$1309,AO704,$BB$11:$BB$1309)=COUNTIF($AO$11:$AO$1309,AO704),SUMIF($AO$11:$AO$1309,AO704,$AW$11:$AW$1309),"")</f>
        <v>2.0255347593582886</v>
      </c>
      <c r="BE704" s="11" t="n">
        <f>IF(SUMIF($AO$11:$AO$1309,AO704,$BB$11:$BB$1309)=COUNTIF($AO$11:$AO$1309,AO704),SUMIF($AO$11:$AO$1309,AO704,$BA$11:$BA$1309),"")</f>
        <v>1.721701444622793</v>
      </c>
      <c r="BF704" s="12" t="n">
        <f>IF(COUNT(BD704:BE704)&lt;&gt;2,"",IF(AND(BD704&gt;0,BE704&gt;0),0.7*AW704/BD704+0.3*BA704/BE704,IF(BD704&gt;0,AW704/BD704,IF(BE704&gt;0,BA704/BE704,IF(AND(ISNUMBER(BH704),BH704=0),0,"")))))</f>
        <v>0</v>
      </c>
      <c r="BG704" s="11" t="n">
        <f>IF(AND(COUNT(BN704:BU704)=8,MIN(BN704:BU704)&gt;=0),SUMPRODUCT(BN704:BQ704,BR704:BU704),"")</f>
        <v>88.27281580841549</v>
      </c>
      <c r="BH704" s="11" t="n">
        <f>IF(COUNT(BC704,BG704)=2,BC704*BG704,"")</f>
        <v>222.23958635405148</v>
      </c>
      <c r="BI704" s="11" t="n">
        <f>IF(ISNUMBER(CI704),CI704,"")</f>
        <v>0</v>
      </c>
      <c r="BJ704" s="8" t="str"/>
      <c r="BK704" s="8" t="str">
        <v>90天：2026-07-20 至 2026-10-17；180天：2026-04-21 至 2026-10-17</v>
      </c>
      <c r="BL704" s="8" t="str">
        <v>90天：2026-10-06、2026-10-07、2026-10-12、2026-10-13、2026-10-16；180天：2026-10-06、2026-10-07、2026-10-12、2026-10-13、2026-10-16</v>
      </c>
      <c r="BM704" s="8" t="str">
        <v>2026-10：12天 × 1.0395067087630607；2026-11：30天 × 0.9890368360033146；2026-12：31天 × 0.7800796503018808；2027-01：17天 × 1.2908918272824135</v>
      </c>
      <c r="BN704" s="11" t="n">
        <v>1.0395067087630607</v>
      </c>
      <c r="BO704" s="11" t="n">
        <v>0.9890368360033146</v>
      </c>
      <c r="BP704" s="11" t="n">
        <v>0.7800796503018808</v>
      </c>
      <c r="BQ704" s="11" t="n">
        <v>1.2908918272824135</v>
      </c>
      <c r="BR704" s="8" t="n">
        <v>12</v>
      </c>
      <c r="BS704" s="8" t="n">
        <v>30</v>
      </c>
      <c r="BT704" s="8" t="n">
        <v>31</v>
      </c>
      <c r="BU704" s="8" t="n">
        <v>17</v>
      </c>
      <c r="BV704" s="11" t="n">
        <f>IF(COUNT(BC704,BF704)=2,BC704*BF704,"")</f>
        <v>0</v>
      </c>
      <c r="BW704" s="11" t="n">
        <f>IF(ISNUMBER(BN704),BN704,"")</f>
        <v>1.0395067087630607</v>
      </c>
      <c r="BX704" s="14" t="n">
        <f>IF(ISNUMBER(BR704),BR704,"")</f>
        <v>12</v>
      </c>
      <c r="BY704" s="13" t="n">
        <f>IF(AND(COUNT(BV704,BW704,BX704)=3,MIN(BV704,BW704,BX704)&gt;=0),BV704*BW704*BX704,"")</f>
        <v>0</v>
      </c>
      <c r="BZ704" s="11" t="n">
        <f>IF(ISNUMBER(BO704),BO704,"")</f>
        <v>0.9890368360033146</v>
      </c>
      <c r="CA704" s="14" t="n">
        <f>IF(ISNUMBER(BS704),BS704,"")</f>
        <v>30</v>
      </c>
      <c r="CB704" s="13" t="n">
        <f>IF(AND(COUNT(BV704,BZ704,CA704)=3,MIN(BV704,BZ704,CA704)&gt;=0),BV704*BZ704*CA704,"")</f>
        <v>0</v>
      </c>
      <c r="CC704" s="11" t="n">
        <f>IF(ISNUMBER(BP704),BP704,"")</f>
        <v>0.7800796503018808</v>
      </c>
      <c r="CD704" s="14" t="n">
        <f>IF(ISNUMBER(BT704),BT704,"")</f>
        <v>31</v>
      </c>
      <c r="CE704" s="13" t="n">
        <f>IF(AND(COUNT(BV704,CC704,CD704)=3,MIN(BV704,CC704,CD704)&gt;=0),BV704*CC704*CD704,"")</f>
        <v>0</v>
      </c>
      <c r="CF704" s="11" t="n">
        <f>IF(ISNUMBER(BQ704),BQ704,"")</f>
        <v>1.2908918272824135</v>
      </c>
      <c r="CG704" s="14" t="n">
        <f>IF(ISNUMBER(BU704),BU704,"")</f>
        <v>17</v>
      </c>
      <c r="CH704" s="13" t="n">
        <f>IF(AND(COUNT(BV704,CF704,CG704)=3,MIN(BV704,CF704,CG704)&gt;=0),BV704*CF704*CG704,"")</f>
        <v>0</v>
      </c>
      <c r="CI704" s="13" t="n">
        <f>IF(COUNT(BY704,CB704,CE704,CH704)=4,SUM(BY704,CB704,CE704,CH704),"")</f>
        <v>0</v>
      </c>
    </row>
    <row r="705" ht="72" customHeight="1">
      <c r="A705" s="16" t="str">
        <v>32582-LPB-38.5</v>
      </c>
      <c r="B705" s="16" t="str">
        <v>3店-SANDIEX-US</v>
      </c>
      <c r="C705" s="16" t="str">
        <v>徐新怡</v>
      </c>
      <c r="D705" s="26" t="n">
        <f>IF(NOT(ISNUMBER(E705)),"",IF(OR(E705&lt;=0,L705=0),0,IF(OR(NOT(ISNUMBER(F705)),F705&lt;0),"",MIN(E705,INT(F705)))))</f>
        <v>0</v>
      </c>
      <c r="E705" s="27" t="n">
        <f>IF(OR(NOT(ISNUMBER(L705)),COUNT(M705:O705)&lt;&gt;3,MIN(M705:O705)&lt;0),"",ROUNDUP(ROUND(BI705-SUM(M705:O705),10),0))</f>
        <v>-9</v>
      </c>
      <c r="F705" s="28" t="n">
        <v>66</v>
      </c>
      <c r="G705" s="28" t="n">
        <f>IF(AND(ISNUMBER(D705),ISNUMBER(E705)),IF(OR(E705&lt;=0,L705=0),0,E705-D705),"")</f>
        <v>0</v>
      </c>
      <c r="H705" s="16" t="str">
        <f>IF(NOT(ISNUMBER(E705)),"销量或海外库存待补",IF(OR(E705&lt;=0,L705=0),IF(L705=0,"零日销，本批不发","本批无需补货"),IF(NOT(ISNUMBER(D705)),"国内库存待补",IF(D705=0,"国内无可用库存",IF(G705&gt;0,"先发国内现货","按建议量发货")))))</f>
        <v>本批无需补货</v>
      </c>
      <c r="I705" s="28" t="n">
        <f>IF(AND(COUNT(Z705,AA705,AB705)=3,Z705&gt;=AA705,AA705&gt;=0,AB705=7),Z705-AA705,"")</f>
        <v>0</v>
      </c>
      <c r="J705" s="28" t="n">
        <f>IF(AND(COUNT(AF705,AG705,AH705)=3,AF705&gt;=AG705,AG705&gt;=0,AH705=14),AF705-AG705,"")</f>
        <v>1</v>
      </c>
      <c r="K705" s="28" t="n">
        <f>IF(AND(COUNT(AL705,AM705,AN705)=3,AL705&gt;=AM705,AM705&gt;=0,AN705=30),AL705-AM705,"")</f>
        <v>4</v>
      </c>
      <c r="L705" s="29" t="n">
        <f>IF(ISNUMBER(BI705),BI705/90,"")</f>
        <v>0.17951023405147787</v>
      </c>
      <c r="M705" s="28" t="n">
        <v>25</v>
      </c>
      <c r="N705" s="28" t="n">
        <v>0</v>
      </c>
      <c r="O705" s="28" t="n">
        <v>0</v>
      </c>
      <c r="P705" s="30" t="n">
        <f>IF(AND(ISNUMBER(L705),L705&gt;0,COUNT(M705:O705)=3,MIN(M705:O705)&gt;=0),SUM(M705:O705)/L705,"")</f>
        <v>139.26782577104095</v>
      </c>
      <c r="Q705" s="16" t="str">
        <v>沿用原计划SKU店铺</v>
      </c>
      <c r="R705" s="16" t="str">
        <v>已匹配</v>
      </c>
      <c r="S705" s="16" t="str">
        <v>在售</v>
      </c>
      <c r="T705" s="16" t="str">
        <v>32582</v>
      </c>
      <c r="U705" s="16" t="str">
        <v>豹纹黑色内里</v>
      </c>
      <c r="V705" s="16" t="n">
        <v>7.5</v>
      </c>
      <c r="W705" s="8" t="str">
        <v>2026-10-11 至 2026-10-17</v>
      </c>
      <c r="X705" s="8" t="str">
        <v>2026-10-11、2026-10-12、2026-10-13、2026-10-14、2026-10-15、2026-10-16、2026-10-17</v>
      </c>
      <c r="Y705" s="8" t="str">
        <v>无</v>
      </c>
      <c r="Z705" s="8" t="n">
        <v>0</v>
      </c>
      <c r="AA705" s="8" t="n">
        <v>0</v>
      </c>
      <c r="AB705" s="8" t="n">
        <v>7</v>
      </c>
      <c r="AC705" s="8" t="str">
        <v>2026-10-02 至 2026-10-17</v>
      </c>
      <c r="AD705" s="8" t="str">
        <v>2026-10-02、2026-10-03、2026-10-04、2026-10-05、2026-10-08、2026-10-09、2026-10-10、2026-10-11、2026-10-12、2026-10-13、2026-10-14、2026-10-15、2026-10-16、2026-10-17</v>
      </c>
      <c r="AE705" s="8" t="str">
        <v>2026-10-06 大促；2026-10-07 大促</v>
      </c>
      <c r="AF705" s="8" t="n">
        <v>3</v>
      </c>
      <c r="AG705" s="8" t="n">
        <v>2</v>
      </c>
      <c r="AH705" s="8" t="n">
        <v>14</v>
      </c>
      <c r="AI705" s="8" t="str">
        <v>2026-09-16 至 2026-10-17</v>
      </c>
      <c r="AJ7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05" s="8" t="str">
        <v>2026-10-06 大促；2026-10-07 大促</v>
      </c>
      <c r="AL705" s="8" t="n">
        <v>6</v>
      </c>
      <c r="AM705" s="8" t="n">
        <v>2</v>
      </c>
      <c r="AN705" s="8" t="n">
        <v>30</v>
      </c>
      <c r="AO705" s="8" t="str">
        <v>32582 / 豹纹黑色内里羊京绒 / 6574</v>
      </c>
      <c r="AP705" s="11" t="n">
        <v>1.0395067087630607</v>
      </c>
      <c r="AQ705" s="11" t="n">
        <v>1.0395067087630607</v>
      </c>
      <c r="AR705" s="11" t="n">
        <v>1.0707336504782758</v>
      </c>
      <c r="AS705" s="11" t="n">
        <f>IF(AND(COUNT(I705:K705,AP705:AR705)=6,MIN(AP705:AR705)&gt;0),I705/7/AP705*0.5+J705/14/AQ705*0.3+K705/30/AR705*0.2,"")</f>
        <v>0.04551921541014594</v>
      </c>
      <c r="AT705" s="8" t="n">
        <v>11</v>
      </c>
      <c r="AU705" s="8" t="n">
        <v>2</v>
      </c>
      <c r="AV705" s="8" t="n">
        <v>88</v>
      </c>
      <c r="AW705" s="11" t="n">
        <f>IF(AND(COUNT(AT705:AV705)=3,AT705&gt;=AU705,AU705&gt;=0,AV705&gt;0),(AT705-AU705)/AV705,"")</f>
        <v>0.10227272727272728</v>
      </c>
      <c r="AX705" s="8" t="n">
        <v>22</v>
      </c>
      <c r="AY705" s="8" t="n">
        <v>2</v>
      </c>
      <c r="AZ705" s="8" t="n">
        <v>178</v>
      </c>
      <c r="BA705" s="11" t="n">
        <f>IF(AND(COUNT(AX705:AZ705)=3,AX705&gt;=AY705,AY705&gt;=0,AZ705&gt;0),(AX705-AY705)/AZ705,"")</f>
        <v>0.11235955056179775</v>
      </c>
      <c r="BB705" s="8" t="n">
        <f>IF(COUNT(AS705,AW705,BA705)=3,1,0)</f>
        <v>1</v>
      </c>
      <c r="BC705" s="11" t="n">
        <f>IF(SUMIF($AO$11:$AO$1309,AO705,$BB$11:$BB$1309)=COUNTIF($AO$11:$AO$1309,AO705),SUMIF($AO$11:$AO$1309,AO705,$AS$11:$AS$1309),"")</f>
        <v>1.9131647321216234</v>
      </c>
      <c r="BD705" s="11" t="n">
        <f>IF(SUMIF($AO$11:$AO$1309,AO705,$BB$11:$BB$1309)=COUNTIF($AO$11:$AO$1309,AO705),SUMIF($AO$11:$AO$1309,AO705,$AW$11:$AW$1309),"")</f>
        <v>1.2065508021390374</v>
      </c>
      <c r="BE705" s="11" t="n">
        <f>IF(SUMIF($AO$11:$AO$1309,AO705,$BB$11:$BB$1309)=COUNTIF($AO$11:$AO$1309,AO705),SUMIF($AO$11:$AO$1309,AO705,$BA$11:$BA$1309),"")</f>
        <v>0.9278330658105939</v>
      </c>
      <c r="BF705" s="12" t="n">
        <f>IF(COUNT(BD705:BE705)&lt;&gt;2,"",IF(AND(BD705&gt;0,BE705&gt;0),0.7*AW705/BD705+0.3*BA705/BE705,IF(BD705&gt;0,AW705/BD705,IF(BE705&gt;0,BA705/BE705,IF(AND(ISNUMBER(BH705),BH705=0),0,"")))))</f>
        <v>0.09566484582247661</v>
      </c>
      <c r="BG705" s="11" t="n">
        <f>IF(AND(COUNT(BN705:BU705)=8,MIN(BN705:BU705)&gt;=0),SUMPRODUCT(BN705:BQ705,BR705:BU705),"")</f>
        <v>88.27281580841549</v>
      </c>
      <c r="BH705" s="11" t="n">
        <f>IF(COUNT(BC705,BG705)=2,BC705*BG705,"")</f>
        <v>168.8804380097286</v>
      </c>
      <c r="BI705" s="11" t="n">
        <f>IF(ISNUMBER(CI705),CI705,"")</f>
        <v>16.15592106463301</v>
      </c>
      <c r="BJ705" s="8" t="str"/>
      <c r="BK705" s="8" t="str">
        <v>90天：2026-07-20 至 2026-10-17；180天：2026-04-21 至 2026-10-17</v>
      </c>
      <c r="BL705" s="8" t="str">
        <v>90天：2026-10-06、2026-10-07；180天：2026-10-06、2026-10-07</v>
      </c>
      <c r="BM705" s="8" t="str">
        <v>2026-10：12天 × 1.0395067087630607；2026-11：30天 × 0.9890368360033146；2026-12：31天 × 0.7800796503018808；2027-01：17天 × 1.2908918272824135</v>
      </c>
      <c r="BN705" s="11" t="n">
        <v>1.0395067087630607</v>
      </c>
      <c r="BO705" s="11" t="n">
        <v>0.9890368360033146</v>
      </c>
      <c r="BP705" s="11" t="n">
        <v>0.7800796503018808</v>
      </c>
      <c r="BQ705" s="11" t="n">
        <v>1.2908918272824135</v>
      </c>
      <c r="BR705" s="8" t="n">
        <v>12</v>
      </c>
      <c r="BS705" s="8" t="n">
        <v>30</v>
      </c>
      <c r="BT705" s="8" t="n">
        <v>31</v>
      </c>
      <c r="BU705" s="8" t="n">
        <v>17</v>
      </c>
      <c r="BV705" s="11" t="n">
        <f>IF(COUNT(BC705,BF705)=2,BC705*BF705,"")</f>
        <v>0.18302260913141488</v>
      </c>
      <c r="BW705" s="11" t="n">
        <f>IF(ISNUMBER(BN705),BN705,"")</f>
        <v>1.0395067087630607</v>
      </c>
      <c r="BX705" s="14" t="n">
        <f>IF(ISNUMBER(BR705),BR705,"")</f>
        <v>12</v>
      </c>
      <c r="BY705" s="13" t="n">
        <f>IF(AND(COUNT(BV705,BW705,BX705)=3,MIN(BV705,BW705,BX705)&gt;=0),BV705*BW705*BX705,"")</f>
        <v>2.2830387605691023</v>
      </c>
      <c r="BZ705" s="11" t="n">
        <f>IF(ISNUMBER(BO705),BO705,"")</f>
        <v>0.9890368360033146</v>
      </c>
      <c r="CA705" s="14" t="n">
        <f>IF(ISNUMBER(BS705),BS705,"")</f>
        <v>30</v>
      </c>
      <c r="CB705" s="13" t="n">
        <f>IF(AND(COUNT(BV705,BZ705,CA705)=3,MIN(BV705,BZ705,CA705)&gt;=0),BV705*BZ705*CA705,"")</f>
        <v>5.430483067572178</v>
      </c>
      <c r="CC705" s="11" t="n">
        <f>IF(ISNUMBER(BP705),BP705,"")</f>
        <v>0.7800796503018808</v>
      </c>
      <c r="CD705" s="14" t="n">
        <f>IF(ISNUMBER(BT705),BT705,"")</f>
        <v>31</v>
      </c>
      <c r="CE705" s="13" t="n">
        <f>IF(AND(COUNT(BV705,CC705,CD705)=3,MIN(BV705,CC705,CD705)&gt;=0),BV705*CC705*CD705,"")</f>
        <v>4.42593860078573</v>
      </c>
      <c r="CF705" s="11" t="n">
        <f>IF(ISNUMBER(BQ705),BQ705,"")</f>
        <v>1.2908918272824135</v>
      </c>
      <c r="CG705" s="14" t="n">
        <f>IF(ISNUMBER(BU705),BU705,"")</f>
        <v>17</v>
      </c>
      <c r="CH705" s="13" t="n">
        <f>IF(AND(COUNT(BV705,CF705,CG705)=3,MIN(BV705,CF705,CG705)&gt;=0),BV705*CF705*CG705,"")</f>
        <v>4.016460635706</v>
      </c>
      <c r="CI705" s="13" t="n">
        <f>IF(COUNT(BY705,CB705,CE705,CH705)=4,SUM(BY705,CB705,CE705,CH705),"")</f>
        <v>16.15592106463301</v>
      </c>
    </row>
    <row r="706" ht="72" customHeight="1">
      <c r="A706" s="16" t="str">
        <v>32582-LPB-39</v>
      </c>
      <c r="B706" s="16" t="str">
        <v>3店-SANDIEX-US</v>
      </c>
      <c r="C706" s="16" t="str">
        <v>徐新怡</v>
      </c>
      <c r="D706" s="26" t="n">
        <f>IF(NOT(ISNUMBER(E706)),"",IF(OR(E706&lt;=0,L706=0),0,IF(OR(NOT(ISNUMBER(F706)),F706&lt;0),"",MIN(E706,INT(F706)))))</f>
        <v>0</v>
      </c>
      <c r="E706" s="27" t="n">
        <f>IF(OR(NOT(ISNUMBER(L706)),COUNT(M706:O706)&lt;&gt;3,MIN(M706:O706)&lt;0),"",ROUNDUP(ROUND(BI706-SUM(M706:O706),10),0))</f>
        <v>-9</v>
      </c>
      <c r="F706" s="28" t="n">
        <v>40</v>
      </c>
      <c r="G706" s="28" t="n">
        <f>IF(AND(ISNUMBER(D706),ISNUMBER(E706)),IF(OR(E706&lt;=0,L706=0),0,E706-D706),"")</f>
        <v>0</v>
      </c>
      <c r="H706" s="16" t="str">
        <f>IF(NOT(ISNUMBER(E706)),"销量或海外库存待补",IF(OR(E706&lt;=0,L706=0),IF(L706=0,"零日销，本批不发","本批无需补货"),IF(NOT(ISNUMBER(D706)),"国内库存待补",IF(D706=0,"国内无可用库存",IF(G706&gt;0,"先发国内现货","按建议量发货")))))</f>
        <v>本批无需补货</v>
      </c>
      <c r="I706" s="28" t="n">
        <f>IF(AND(COUNT(Z706,AA706,AB706)=3,Z706&gt;=AA706,AA706&gt;=0,AB706=7),Z706-AA706,"")</f>
        <v>2</v>
      </c>
      <c r="J706" s="28" t="n">
        <f>IF(AND(COUNT(AF706,AG706,AH706)=3,AF706&gt;=AG706,AG706&gt;=0,AH706=14),AF706-AG706,"")</f>
        <v>6</v>
      </c>
      <c r="K706" s="28" t="n">
        <f>IF(AND(COUNT(AL706,AM706,AN706)=3,AL706&gt;=AM706,AM706&gt;=0,AN706=30),AL706-AM706,"")</f>
        <v>10</v>
      </c>
      <c r="L706" s="29" t="n">
        <f>IF(ISNUMBER(BI706),BI706/90,"")</f>
        <v>0.23113987190900795</v>
      </c>
      <c r="M706" s="28" t="n">
        <v>26</v>
      </c>
      <c r="N706" s="28" t="n">
        <v>0</v>
      </c>
      <c r="O706" s="28" t="n">
        <v>3</v>
      </c>
      <c r="P706" s="30" t="n">
        <f>IF(AND(ISNUMBER(L706),L706&gt;0,COUNT(M706:O706)=3,MIN(M706:O706)&gt;=0),SUM(M706:O706)/L706,"")</f>
        <v>125.4651556241077</v>
      </c>
      <c r="Q706" s="16" t="str">
        <v>沿用原计划SKU店铺</v>
      </c>
      <c r="R706" s="16" t="str">
        <v>已匹配</v>
      </c>
      <c r="S706" s="16" t="str">
        <v>在售</v>
      </c>
      <c r="T706" s="16" t="str">
        <v>32582</v>
      </c>
      <c r="U706" s="16" t="str">
        <v>豹纹黑色内里</v>
      </c>
      <c r="V706" s="16" t="n">
        <v>8</v>
      </c>
      <c r="W706" s="8" t="str">
        <v>2026-10-11 至 2026-10-17</v>
      </c>
      <c r="X706" s="8" t="str">
        <v>2026-10-11、2026-10-12、2026-10-13、2026-10-14、2026-10-15、2026-10-16、2026-10-17</v>
      </c>
      <c r="Y706" s="8" t="str">
        <v>无</v>
      </c>
      <c r="Z706" s="8" t="n">
        <v>2</v>
      </c>
      <c r="AA706" s="8" t="n">
        <v>0</v>
      </c>
      <c r="AB706" s="8" t="n">
        <v>7</v>
      </c>
      <c r="AC706" s="8" t="str">
        <v>2026-10-02 至 2026-10-17</v>
      </c>
      <c r="AD706" s="8" t="str">
        <v>2026-10-02、2026-10-03、2026-10-04、2026-10-05、2026-10-08、2026-10-09、2026-10-10、2026-10-11、2026-10-12、2026-10-13、2026-10-14、2026-10-15、2026-10-16、2026-10-17</v>
      </c>
      <c r="AE706" s="8" t="str">
        <v>2026-10-06 大促；2026-10-07 大促</v>
      </c>
      <c r="AF706" s="8" t="n">
        <v>8</v>
      </c>
      <c r="AG706" s="8" t="n">
        <v>2</v>
      </c>
      <c r="AH706" s="8" t="n">
        <v>14</v>
      </c>
      <c r="AI706" s="8" t="str">
        <v>2026-09-16 至 2026-10-17</v>
      </c>
      <c r="AJ7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06" s="8" t="str">
        <v>2026-10-06 大促；2026-10-07 大促</v>
      </c>
      <c r="AL706" s="8" t="n">
        <v>12</v>
      </c>
      <c r="AM706" s="8" t="n">
        <v>2</v>
      </c>
      <c r="AN706" s="8" t="n">
        <v>30</v>
      </c>
      <c r="AO706" s="8" t="str">
        <v>32582 / 豹纹黑色内里羊京绒 / 6574</v>
      </c>
      <c r="AP706" s="11" t="n">
        <v>1.0395067087630607</v>
      </c>
      <c r="AQ706" s="11" t="n">
        <v>1.0395067087630607</v>
      </c>
      <c r="AR706" s="11" t="n">
        <v>1.0707336504782758</v>
      </c>
      <c r="AS706" s="11" t="n">
        <f>IF(AND(COUNT(I706:K706,AP706:AR706)=6,MIN(AP706:AR706)&gt;0),I706/7/AP706*0.5+J706/14/AQ706*0.3+K706/30/AR706*0.2,"")</f>
        <v>0.3233754669542563</v>
      </c>
      <c r="AT706" s="8" t="n">
        <v>16</v>
      </c>
      <c r="AU706" s="8" t="n">
        <v>2</v>
      </c>
      <c r="AV706" s="8" t="n">
        <v>88</v>
      </c>
      <c r="AW706" s="11" t="n">
        <f>IF(AND(COUNT(AT706:AV706)=3,AT706&gt;=AU706,AU706&gt;=0,AV706&gt;0),(AT706-AU706)/AV706,"")</f>
        <v>0.1590909090909091</v>
      </c>
      <c r="AX706" s="8" t="n">
        <v>19</v>
      </c>
      <c r="AY706" s="8" t="n">
        <v>2</v>
      </c>
      <c r="AZ706" s="8" t="n">
        <v>178</v>
      </c>
      <c r="BA706" s="11" t="n">
        <f>IF(AND(COUNT(AX706:AZ706)=3,AX706&gt;=AY706,AY706&gt;=0,AZ706&gt;0),(AX706-AY706)/AZ706,"")</f>
        <v>0.09550561797752809</v>
      </c>
      <c r="BB706" s="8" t="n">
        <f>IF(COUNT(AS706,AW706,BA706)=3,1,0)</f>
        <v>1</v>
      </c>
      <c r="BC706" s="11" t="n">
        <f>IF(SUMIF($AO$11:$AO$1309,AO706,$BB$11:$BB$1309)=COUNTIF($AO$11:$AO$1309,AO706),SUMIF($AO$11:$AO$1309,AO706,$AS$11:$AS$1309),"")</f>
        <v>1.9131647321216234</v>
      </c>
      <c r="BD706" s="11" t="n">
        <f>IF(SUMIF($AO$11:$AO$1309,AO706,$BB$11:$BB$1309)=COUNTIF($AO$11:$AO$1309,AO706),SUMIF($AO$11:$AO$1309,AO706,$AW$11:$AW$1309),"")</f>
        <v>1.2065508021390374</v>
      </c>
      <c r="BE706" s="11" t="n">
        <f>IF(SUMIF($AO$11:$AO$1309,AO706,$BB$11:$BB$1309)=COUNTIF($AO$11:$AO$1309,AO706),SUMIF($AO$11:$AO$1309,AO706,$BA$11:$BA$1309),"")</f>
        <v>0.9278330658105939</v>
      </c>
      <c r="BF706" s="12" t="n">
        <f>IF(COUNT(BD706:BE706)&lt;&gt;2,"",IF(AND(BD706&gt;0,BE706&gt;0),0.7*AW706/BD706+0.3*BA706/BE706,IF(BD706&gt;0,AW706/BD706,IF(BE706&gt;0,BA706/BE706,IF(AND(ISNUMBER(BH706),BH706=0),0,"")))))</f>
        <v>0.12317938487708295</v>
      </c>
      <c r="BG706" s="11" t="n">
        <f>IF(AND(COUNT(BN706:BU706)=8,MIN(BN706:BU706)&gt;=0),SUMPRODUCT(BN706:BQ706,BR706:BU706),"")</f>
        <v>88.27281580841549</v>
      </c>
      <c r="BH706" s="11" t="n">
        <f>IF(COUNT(BC706,BG706)=2,BC706*BG706,"")</f>
        <v>168.8804380097286</v>
      </c>
      <c r="BI706" s="11" t="n">
        <f>IF(ISNUMBER(CI706),CI706,"")</f>
        <v>20.802588471810715</v>
      </c>
      <c r="BJ706" s="8" t="str"/>
      <c r="BK706" s="8" t="str">
        <v>90天：2026-07-20 至 2026-10-17；180天：2026-04-21 至 2026-10-17</v>
      </c>
      <c r="BL706" s="8" t="str">
        <v>90天：2026-10-06、2026-10-07；180天：2026-10-06、2026-10-07</v>
      </c>
      <c r="BM706" s="8" t="str">
        <v>2026-10：12天 × 1.0395067087630607；2026-11：30天 × 0.9890368360033146；2026-12：31天 × 0.7800796503018808；2027-01：17天 × 1.2908918272824135</v>
      </c>
      <c r="BN706" s="11" t="n">
        <v>1.0395067087630607</v>
      </c>
      <c r="BO706" s="11" t="n">
        <v>0.9890368360033146</v>
      </c>
      <c r="BP706" s="11" t="n">
        <v>0.7800796503018808</v>
      </c>
      <c r="BQ706" s="11" t="n">
        <v>1.2908918272824135</v>
      </c>
      <c r="BR706" s="8" t="n">
        <v>12</v>
      </c>
      <c r="BS706" s="8" t="n">
        <v>30</v>
      </c>
      <c r="BT706" s="8" t="n">
        <v>31</v>
      </c>
      <c r="BU706" s="8" t="n">
        <v>17</v>
      </c>
      <c r="BV706" s="11" t="n">
        <f>IF(COUNT(BC706,BF706)=2,BC706*BF706,"")</f>
        <v>0.23566245487127074</v>
      </c>
      <c r="BW706" s="11" t="n">
        <f>IF(ISNUMBER(BN706),BN706,"")</f>
        <v>1.0395067087630607</v>
      </c>
      <c r="BX706" s="14" t="n">
        <f>IF(ISNUMBER(BR706),BR706,"")</f>
        <v>12</v>
      </c>
      <c r="BY706" s="13" t="n">
        <f>IF(AND(COUNT(BV706,BW706,BX706)=3,MIN(BV706,BW706,BX706)&gt;=0),BV706*BW706*BX706,"")</f>
        <v>2.939672434107096</v>
      </c>
      <c r="BZ706" s="11" t="n">
        <f>IF(ISNUMBER(BO706),BO706,"")</f>
        <v>0.9890368360033146</v>
      </c>
      <c r="CA706" s="14" t="n">
        <f>IF(ISNUMBER(BS706),BS706,"")</f>
        <v>30</v>
      </c>
      <c r="CB706" s="13" t="n">
        <f>IF(AND(COUNT(BV706,BZ706,CA706)=3,MIN(BV706,BZ706,CA706)&gt;=0),BV706*BZ706*CA706,"")</f>
        <v>6.9923654619196665</v>
      </c>
      <c r="CC706" s="11" t="n">
        <f>IF(ISNUMBER(BP706),BP706,"")</f>
        <v>0.7800796503018808</v>
      </c>
      <c r="CD706" s="14" t="n">
        <f>IF(ISNUMBER(BT706),BT706,"")</f>
        <v>31</v>
      </c>
      <c r="CE706" s="13" t="n">
        <f>IF(AND(COUNT(BV706,CC706,CD706)=3,MIN(BV706,CC706,CD706)&gt;=0),BV706*CC706*CD706,"")</f>
        <v>5.698900046943173</v>
      </c>
      <c r="CF706" s="11" t="n">
        <f>IF(ISNUMBER(BQ706),BQ706,"")</f>
        <v>1.2908918272824135</v>
      </c>
      <c r="CG706" s="14" t="n">
        <f>IF(ISNUMBER(BU706),BU706,"")</f>
        <v>17</v>
      </c>
      <c r="CH706" s="13" t="n">
        <f>IF(AND(COUNT(BV706,CF706,CG706)=3,MIN(BV706,CF706,CG706)&gt;=0),BV706*CF706*CG706,"")</f>
        <v>5.171650528840778</v>
      </c>
      <c r="CI706" s="13" t="n">
        <f>IF(COUNT(BY706,CB706,CE706,CH706)=4,SUM(BY706,CB706,CE706,CH706),"")</f>
        <v>20.802588471810715</v>
      </c>
    </row>
    <row r="707" ht="72" customHeight="1">
      <c r="A707" s="16" t="str">
        <v>32582-LPB-39.5</v>
      </c>
      <c r="B707" s="16" t="str">
        <v>3店-SANDIEX-US</v>
      </c>
      <c r="C707" s="16" t="str">
        <v>徐新怡</v>
      </c>
      <c r="D707" s="26" t="n">
        <f>IF(NOT(ISNUMBER(E707)),"",IF(OR(E707&lt;=0,L707=0),0,IF(OR(NOT(ISNUMBER(F707)),F707&lt;0),"",MIN(E707,INT(F707)))))</f>
        <v>0</v>
      </c>
      <c r="E707" s="27" t="n">
        <f>IF(OR(NOT(ISNUMBER(L707)),COUNT(M707:O707)&lt;&gt;3,MIN(M707:O707)&lt;0),"",ROUNDUP(ROUND(BI707-SUM(M707:O707),10),0))</f>
        <v>-20</v>
      </c>
      <c r="F707" s="28" t="n">
        <v>0</v>
      </c>
      <c r="G707" s="28" t="n">
        <f>IF(AND(ISNUMBER(D707),ISNUMBER(E707)),IF(OR(E707&lt;=0,L707=0),0,E707-D707),"")</f>
        <v>0</v>
      </c>
      <c r="H707" s="16" t="str">
        <f>IF(NOT(ISNUMBER(E707)),"销量或海外库存待补",IF(OR(E707&lt;=0,L707=0),IF(L707=0,"零日销，本批不发","本批无需补货"),IF(NOT(ISNUMBER(D707)),"国内库存待补",IF(D707=0,"国内无可用库存",IF(G707&gt;0,"先发国内现货","按建议量发货")))))</f>
        <v>零日销，本批不发</v>
      </c>
      <c r="I707" s="28" t="n">
        <f>IF(AND(COUNT(Z707,AA707,AB707)=3,Z707&gt;=AA707,AA707&gt;=0,AB707=7),Z707-AA707,"")</f>
        <v>0</v>
      </c>
      <c r="J707" s="28" t="n">
        <f>IF(AND(COUNT(AF707,AG707,AH707)=3,AF707&gt;=AG707,AG707&gt;=0,AH707=14),AF707-AG707,"")</f>
        <v>0</v>
      </c>
      <c r="K707" s="28" t="n">
        <f>IF(AND(COUNT(AL707,AM707,AN707)=3,AL707&gt;=AM707,AM707&gt;=0,AN707=30),AL707-AM707,"")</f>
        <v>0</v>
      </c>
      <c r="L707" s="29" t="n">
        <f>IF(ISNUMBER(BI707),BI707/90,"")</f>
        <v>0</v>
      </c>
      <c r="M707" s="28" t="n">
        <v>0</v>
      </c>
      <c r="N707" s="28" t="n">
        <v>0</v>
      </c>
      <c r="O707" s="28" t="n">
        <v>20</v>
      </c>
      <c r="P707" s="30" t="str">
        <f>IF(AND(ISNUMBER(L707),L707&gt;0,COUNT(M707:O707)=3,MIN(M707:O707)&gt;=0),SUM(M707:O707)/L707,"")</f>
      </c>
      <c r="Q707" s="16" t="str">
        <v>沿用原计划SKU店铺</v>
      </c>
      <c r="R707" s="16" t="str">
        <v>已匹配</v>
      </c>
      <c r="S707" s="16" t="str">
        <v>在售</v>
      </c>
      <c r="T707" s="16" t="str">
        <v>32582</v>
      </c>
      <c r="U707" s="16" t="str">
        <v>豹纹黑色内里</v>
      </c>
      <c r="V707" s="16" t="n">
        <v>8.5</v>
      </c>
      <c r="W707" s="8" t="str">
        <v>2026-10-11 至 2026-10-17</v>
      </c>
      <c r="X707" s="8" t="str">
        <v>2026-10-11、2026-10-12、2026-10-13、2026-10-14、2026-10-15、2026-10-16、2026-10-17</v>
      </c>
      <c r="Y707" s="8" t="str">
        <v>无</v>
      </c>
      <c r="Z707" s="8" t="n">
        <v>0</v>
      </c>
      <c r="AA707" s="8" t="n">
        <v>0</v>
      </c>
      <c r="AB707" s="8" t="n">
        <v>7</v>
      </c>
      <c r="AC707" s="8" t="str">
        <v>2026-10-02 至 2026-10-17</v>
      </c>
      <c r="AD707" s="8" t="str">
        <v>2026-10-02、2026-10-03、2026-10-04、2026-10-05、2026-10-08、2026-10-09、2026-10-10、2026-10-11、2026-10-12、2026-10-13、2026-10-14、2026-10-15、2026-10-16、2026-10-17</v>
      </c>
      <c r="AE707" s="8" t="str">
        <v>2026-10-06 大促；2026-10-07 大促</v>
      </c>
      <c r="AF707" s="8" t="n">
        <v>0</v>
      </c>
      <c r="AG707" s="8" t="n">
        <v>0</v>
      </c>
      <c r="AH707" s="8" t="n">
        <v>14</v>
      </c>
      <c r="AI707" s="8" t="str">
        <v>2026-09-16 至 2026-10-17</v>
      </c>
      <c r="AJ7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07" s="8" t="str">
        <v>2026-10-06 大促；2026-10-07 大促</v>
      </c>
      <c r="AL707" s="8" t="n">
        <v>0</v>
      </c>
      <c r="AM707" s="8" t="n">
        <v>0</v>
      </c>
      <c r="AN707" s="8" t="n">
        <v>30</v>
      </c>
      <c r="AO707" s="8" t="str">
        <v>32582 / 豹纹黑色内里羊京绒 / 6574</v>
      </c>
      <c r="AP707" s="11" t="n">
        <v>1.0395067087630607</v>
      </c>
      <c r="AQ707" s="11" t="n">
        <v>1.0395067087630607</v>
      </c>
      <c r="AR707" s="11" t="n">
        <v>1.0707336504782758</v>
      </c>
      <c r="AS707" s="11" t="n">
        <f>IF(AND(COUNT(I707:K707,AP707:AR707)=6,MIN(AP707:AR707)&gt;0),I707/7/AP707*0.5+J707/14/AQ707*0.3+K707/30/AR707*0.2,"")</f>
        <v>0</v>
      </c>
      <c r="AT707" s="8" t="n">
        <v>0</v>
      </c>
      <c r="AU707" s="8" t="n">
        <v>0</v>
      </c>
      <c r="AV707" s="8" t="n">
        <v>88</v>
      </c>
      <c r="AW707" s="11" t="n">
        <f>IF(AND(COUNT(AT707:AV707)=3,AT707&gt;=AU707,AU707&gt;=0,AV707&gt;0),(AT707-AU707)/AV707,"")</f>
        <v>0</v>
      </c>
      <c r="AX707" s="8" t="n">
        <v>0</v>
      </c>
      <c r="AY707" s="8" t="n">
        <v>0</v>
      </c>
      <c r="AZ707" s="8" t="n">
        <v>178</v>
      </c>
      <c r="BA707" s="11" t="n">
        <f>IF(AND(COUNT(AX707:AZ707)=3,AX707&gt;=AY707,AY707&gt;=0,AZ707&gt;0),(AX707-AY707)/AZ707,"")</f>
        <v>0</v>
      </c>
      <c r="BB707" s="8" t="n">
        <f>IF(COUNT(AS707,AW707,BA707)=3,1,0)</f>
        <v>1</v>
      </c>
      <c r="BC707" s="11" t="n">
        <f>IF(SUMIF($AO$11:$AO$1309,AO707,$BB$11:$BB$1309)=COUNTIF($AO$11:$AO$1309,AO707),SUMIF($AO$11:$AO$1309,AO707,$AS$11:$AS$1309),"")</f>
        <v>1.9131647321216234</v>
      </c>
      <c r="BD707" s="11" t="n">
        <f>IF(SUMIF($AO$11:$AO$1309,AO707,$BB$11:$BB$1309)=COUNTIF($AO$11:$AO$1309,AO707),SUMIF($AO$11:$AO$1309,AO707,$AW$11:$AW$1309),"")</f>
        <v>1.2065508021390374</v>
      </c>
      <c r="BE707" s="11" t="n">
        <f>IF(SUMIF($AO$11:$AO$1309,AO707,$BB$11:$BB$1309)=COUNTIF($AO$11:$AO$1309,AO707),SUMIF($AO$11:$AO$1309,AO707,$BA$11:$BA$1309),"")</f>
        <v>0.9278330658105939</v>
      </c>
      <c r="BF707" s="12" t="n">
        <f>IF(COUNT(BD707:BE707)&lt;&gt;2,"",IF(AND(BD707&gt;0,BE707&gt;0),0.7*AW707/BD707+0.3*BA707/BE707,IF(BD707&gt;0,AW707/BD707,IF(BE707&gt;0,BA707/BE707,IF(AND(ISNUMBER(BH707),BH707=0),0,"")))))</f>
        <v>0</v>
      </c>
      <c r="BG707" s="11" t="n">
        <f>IF(AND(COUNT(BN707:BU707)=8,MIN(BN707:BU707)&gt;=0),SUMPRODUCT(BN707:BQ707,BR707:BU707),"")</f>
        <v>88.27281580841549</v>
      </c>
      <c r="BH707" s="11" t="n">
        <f>IF(COUNT(BC707,BG707)=2,BC707*BG707,"")</f>
        <v>168.8804380097286</v>
      </c>
      <c r="BI707" s="11" t="n">
        <f>IF(ISNUMBER(CI707),CI707,"")</f>
        <v>0</v>
      </c>
      <c r="BJ707" s="8" t="str"/>
      <c r="BK707" s="8" t="str">
        <v>90天：2026-07-20 至 2026-10-17；180天：2026-04-21 至 2026-10-17</v>
      </c>
      <c r="BL707" s="8" t="str">
        <v>90天：2026-10-06、2026-10-07；180天：2026-10-06、2026-10-07</v>
      </c>
      <c r="BM707" s="8" t="str">
        <v>2026-10：12天 × 1.0395067087630607；2026-11：30天 × 0.9890368360033146；2026-12：31天 × 0.7800796503018808；2027-01：17天 × 1.2908918272824135</v>
      </c>
      <c r="BN707" s="11" t="n">
        <v>1.0395067087630607</v>
      </c>
      <c r="BO707" s="11" t="n">
        <v>0.9890368360033146</v>
      </c>
      <c r="BP707" s="11" t="n">
        <v>0.7800796503018808</v>
      </c>
      <c r="BQ707" s="11" t="n">
        <v>1.2908918272824135</v>
      </c>
      <c r="BR707" s="8" t="n">
        <v>12</v>
      </c>
      <c r="BS707" s="8" t="n">
        <v>30</v>
      </c>
      <c r="BT707" s="8" t="n">
        <v>31</v>
      </c>
      <c r="BU707" s="8" t="n">
        <v>17</v>
      </c>
      <c r="BV707" s="11" t="n">
        <f>IF(COUNT(BC707,BF707)=2,BC707*BF707,"")</f>
        <v>0</v>
      </c>
      <c r="BW707" s="11" t="n">
        <f>IF(ISNUMBER(BN707),BN707,"")</f>
        <v>1.0395067087630607</v>
      </c>
      <c r="BX707" s="14" t="n">
        <f>IF(ISNUMBER(BR707),BR707,"")</f>
        <v>12</v>
      </c>
      <c r="BY707" s="13" t="n">
        <f>IF(AND(COUNT(BV707,BW707,BX707)=3,MIN(BV707,BW707,BX707)&gt;=0),BV707*BW707*BX707,"")</f>
        <v>0</v>
      </c>
      <c r="BZ707" s="11" t="n">
        <f>IF(ISNUMBER(BO707),BO707,"")</f>
        <v>0.9890368360033146</v>
      </c>
      <c r="CA707" s="14" t="n">
        <f>IF(ISNUMBER(BS707),BS707,"")</f>
        <v>30</v>
      </c>
      <c r="CB707" s="13" t="n">
        <f>IF(AND(COUNT(BV707,BZ707,CA707)=3,MIN(BV707,BZ707,CA707)&gt;=0),BV707*BZ707*CA707,"")</f>
        <v>0</v>
      </c>
      <c r="CC707" s="11" t="n">
        <f>IF(ISNUMBER(BP707),BP707,"")</f>
        <v>0.7800796503018808</v>
      </c>
      <c r="CD707" s="14" t="n">
        <f>IF(ISNUMBER(BT707),BT707,"")</f>
        <v>31</v>
      </c>
      <c r="CE707" s="13" t="n">
        <f>IF(AND(COUNT(BV707,CC707,CD707)=3,MIN(BV707,CC707,CD707)&gt;=0),BV707*CC707*CD707,"")</f>
        <v>0</v>
      </c>
      <c r="CF707" s="11" t="n">
        <f>IF(ISNUMBER(BQ707),BQ707,"")</f>
        <v>1.2908918272824135</v>
      </c>
      <c r="CG707" s="14" t="n">
        <f>IF(ISNUMBER(BU707),BU707,"")</f>
        <v>17</v>
      </c>
      <c r="CH707" s="13" t="n">
        <f>IF(AND(COUNT(BV707,CF707,CG707)=3,MIN(BV707,CF707,CG707)&gt;=0),BV707*CF707*CG707,"")</f>
        <v>0</v>
      </c>
      <c r="CI707" s="13" t="n">
        <f>IF(COUNT(BY707,CB707,CE707,CH707)=4,SUM(BY707,CB707,CE707,CH707),"")</f>
        <v>0</v>
      </c>
    </row>
    <row r="708" ht="72" customHeight="1">
      <c r="A708" s="16" t="str">
        <v>32582-LPB-40.5</v>
      </c>
      <c r="B708" s="16" t="str">
        <v>3店-SANDIEX-US</v>
      </c>
      <c r="C708" s="16" t="str">
        <v>徐新怡</v>
      </c>
      <c r="D708" s="26" t="n">
        <f>IF(NOT(ISNUMBER(E708)),"",IF(OR(E708&lt;=0,L708=0),0,IF(OR(NOT(ISNUMBER(F708)),F708&lt;0),"",MIN(E708,INT(F708)))))</f>
        <v>0</v>
      </c>
      <c r="E708" s="27" t="n">
        <f>IF(OR(NOT(ISNUMBER(L708)),COUNT(M708:O708)&lt;&gt;3,MIN(M708:O708)&lt;0),"",ROUNDUP(ROUND(BI708-SUM(M708:O708),10),0))</f>
        <v>-1</v>
      </c>
      <c r="F708" s="28" t="n">
        <v>57</v>
      </c>
      <c r="G708" s="28" t="n">
        <f>IF(AND(ISNUMBER(D708),ISNUMBER(E708)),IF(OR(E708&lt;=0,L708=0),0,E708-D708),"")</f>
        <v>0</v>
      </c>
      <c r="H708" s="16" t="str">
        <f>IF(NOT(ISNUMBER(E708)),"销量或海外库存待补",IF(OR(E708&lt;=0,L708=0),IF(L708=0,"零日销，本批不发","本批无需补货"),IF(NOT(ISNUMBER(D708)),"国内库存待补",IF(D708=0,"国内无可用库存",IF(G708&gt;0,"先发国内现货","按建议量发货")))))</f>
        <v>本批无需补货</v>
      </c>
      <c r="I708" s="28" t="n">
        <f>IF(AND(COUNT(Z708,AA708,AB708)=3,Z708&gt;=AA708,AA708&gt;=0,AB708=7),Z708-AA708,"")</f>
        <v>3</v>
      </c>
      <c r="J708" s="28" t="n">
        <f>IF(AND(COUNT(AF708,AG708,AH708)=3,AF708&gt;=AG708,AG708&gt;=0,AH708=14),AF708-AG708,"")</f>
        <v>3</v>
      </c>
      <c r="K708" s="28" t="n">
        <f>IF(AND(COUNT(AL708,AM708,AN708)=3,AL708&gt;=AM708,AM708&gt;=0,AN708=30),AL708-AM708,"")</f>
        <v>7</v>
      </c>
      <c r="L708" s="29" t="n">
        <f>IF(ISNUMBER(BI708),BI708/90,"")</f>
        <v>0.2528542092010642</v>
      </c>
      <c r="M708" s="28" t="n">
        <v>23</v>
      </c>
      <c r="N708" s="28" t="n">
        <v>0</v>
      </c>
      <c r="O708" s="28" t="n">
        <v>0</v>
      </c>
      <c r="P708" s="30" t="n">
        <f>IF(AND(ISNUMBER(L708),L708&gt;0,COUNT(M708:O708)=3,MIN(M708:O708)&gt;=0),SUM(M708:O708)/L708,"")</f>
        <v>90.9615073155096</v>
      </c>
      <c r="Q708" s="16" t="str">
        <v>沿用原计划SKU店铺</v>
      </c>
      <c r="R708" s="16" t="str">
        <v>已匹配</v>
      </c>
      <c r="S708" s="16" t="str">
        <v>在售</v>
      </c>
      <c r="T708" s="16" t="str">
        <v>32582</v>
      </c>
      <c r="U708" s="16" t="str">
        <v>豹纹黑色内里</v>
      </c>
      <c r="V708" s="16" t="n">
        <v>9.5</v>
      </c>
      <c r="W708" s="8" t="str">
        <v>2026-10-11 至 2026-10-17</v>
      </c>
      <c r="X708" s="8" t="str">
        <v>2026-10-11、2026-10-12、2026-10-13、2026-10-14、2026-10-15、2026-10-16、2026-10-17</v>
      </c>
      <c r="Y708" s="8" t="str">
        <v>无</v>
      </c>
      <c r="Z708" s="8" t="n">
        <v>3</v>
      </c>
      <c r="AA708" s="8" t="n">
        <v>0</v>
      </c>
      <c r="AB708" s="8" t="n">
        <v>7</v>
      </c>
      <c r="AC708" s="8" t="str">
        <v>2026-10-02 至 2026-10-17</v>
      </c>
      <c r="AD708" s="8" t="str">
        <v>2026-10-02、2026-10-03、2026-10-04、2026-10-05、2026-10-08、2026-10-09、2026-10-10、2026-10-11、2026-10-12、2026-10-13、2026-10-14、2026-10-15、2026-10-16、2026-10-17</v>
      </c>
      <c r="AE708" s="8" t="str">
        <v>2026-10-06 大促；2026-10-07 大促</v>
      </c>
      <c r="AF708" s="8" t="n">
        <v>4</v>
      </c>
      <c r="AG708" s="8" t="n">
        <v>1</v>
      </c>
      <c r="AH708" s="8" t="n">
        <v>14</v>
      </c>
      <c r="AI708" s="8" t="str">
        <v>2026-09-16 至 2026-10-17</v>
      </c>
      <c r="AJ7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08" s="8" t="str">
        <v>2026-10-06 大促；2026-10-07 大促</v>
      </c>
      <c r="AL708" s="8" t="n">
        <v>8</v>
      </c>
      <c r="AM708" s="8" t="n">
        <v>1</v>
      </c>
      <c r="AN708" s="8" t="n">
        <v>30</v>
      </c>
      <c r="AO708" s="8" t="str">
        <v>32582 / 豹纹黑色内里羊京绒 / 6574</v>
      </c>
      <c r="AP708" s="11" t="n">
        <v>1.0395067087630607</v>
      </c>
      <c r="AQ708" s="11" t="n">
        <v>1.0395067087630607</v>
      </c>
      <c r="AR708" s="11" t="n">
        <v>1.0707336504782758</v>
      </c>
      <c r="AS708" s="11" t="n">
        <f>IF(AND(COUNT(I708:K708,AP708:AR708)=6,MIN(AP708:AR708)&gt;0),I708/7/AP708*0.5+J708/14/AQ708*0.3+K708/30/AR708*0.2,"")</f>
        <v>0.31156807645874185</v>
      </c>
      <c r="AT708" s="8" t="n">
        <v>14</v>
      </c>
      <c r="AU708" s="8" t="n">
        <v>1</v>
      </c>
      <c r="AV708" s="8" t="n">
        <v>88</v>
      </c>
      <c r="AW708" s="11" t="n">
        <f>IF(AND(COUNT(AT708:AV708)=3,AT708&gt;=AU708,AU708&gt;=0,AV708&gt;0),(AT708-AU708)/AV708,"")</f>
        <v>0.14772727272727273</v>
      </c>
      <c r="AX708" s="8" t="n">
        <v>28</v>
      </c>
      <c r="AY708" s="8" t="n">
        <v>1</v>
      </c>
      <c r="AZ708" s="8" t="n">
        <v>178</v>
      </c>
      <c r="BA708" s="11" t="n">
        <f>IF(AND(COUNT(AX708:AZ708)=3,AX708&gt;=AY708,AY708&gt;=0,AZ708&gt;0),(AX708-AY708)/AZ708,"")</f>
        <v>0.15168539325842698</v>
      </c>
      <c r="BB708" s="8" t="n">
        <f>IF(COUNT(AS708,AW708,BA708)=3,1,0)</f>
        <v>1</v>
      </c>
      <c r="BC708" s="11" t="n">
        <f>IF(SUMIF($AO$11:$AO$1309,AO708,$BB$11:$BB$1309)=COUNTIF($AO$11:$AO$1309,AO708),SUMIF($AO$11:$AO$1309,AO708,$AS$11:$AS$1309),"")</f>
        <v>1.9131647321216234</v>
      </c>
      <c r="BD708" s="11" t="n">
        <f>IF(SUMIF($AO$11:$AO$1309,AO708,$BB$11:$BB$1309)=COUNTIF($AO$11:$AO$1309,AO708),SUMIF($AO$11:$AO$1309,AO708,$AW$11:$AW$1309),"")</f>
        <v>1.2065508021390374</v>
      </c>
      <c r="BE708" s="11" t="n">
        <f>IF(SUMIF($AO$11:$AO$1309,AO708,$BB$11:$BB$1309)=COUNTIF($AO$11:$AO$1309,AO708),SUMIF($AO$11:$AO$1309,AO708,$BA$11:$BA$1309),"")</f>
        <v>0.9278330658105939</v>
      </c>
      <c r="BF708" s="12" t="n">
        <f>IF(COUNT(BD708:BE708)&lt;&gt;2,"",IF(AND(BD708&gt;0,BE708&gt;0),0.7*AW708/BD708+0.3*BA708/BE708,IF(BD708&gt;0,AW708/BD708,IF(BE708&gt;0,BA708/BE708,IF(AND(ISNUMBER(BH708),BH708=0),0,"")))))</f>
        <v>0.1347514199766869</v>
      </c>
      <c r="BG708" s="11" t="n">
        <f>IF(AND(COUNT(BN708:BU708)=8,MIN(BN708:BU708)&gt;=0),SUMPRODUCT(BN708:BQ708,BR708:BU708),"")</f>
        <v>88.27281580841549</v>
      </c>
      <c r="BH708" s="11" t="n">
        <f>IF(COUNT(BC708,BG708)=2,BC708*BG708,"")</f>
        <v>168.8804380097286</v>
      </c>
      <c r="BI708" s="11" t="n">
        <f>IF(ISNUMBER(CI708),CI708,"")</f>
        <v>22.75687882809578</v>
      </c>
      <c r="BJ708" s="8" t="str"/>
      <c r="BK708" s="8" t="str">
        <v>90天：2026-07-20 至 2026-10-17；180天：2026-04-21 至 2026-10-17</v>
      </c>
      <c r="BL708" s="8" t="str">
        <v>90天：2026-10-06、2026-10-07；180天：2026-10-06、2026-10-07</v>
      </c>
      <c r="BM708" s="8" t="str">
        <v>2026-10：12天 × 1.0395067087630607；2026-11：30天 × 0.9890368360033146；2026-12：31天 × 0.7800796503018808；2027-01：17天 × 1.2908918272824135</v>
      </c>
      <c r="BN708" s="11" t="n">
        <v>1.0395067087630607</v>
      </c>
      <c r="BO708" s="11" t="n">
        <v>0.9890368360033146</v>
      </c>
      <c r="BP708" s="11" t="n">
        <v>0.7800796503018808</v>
      </c>
      <c r="BQ708" s="11" t="n">
        <v>1.2908918272824135</v>
      </c>
      <c r="BR708" s="8" t="n">
        <v>12</v>
      </c>
      <c r="BS708" s="8" t="n">
        <v>30</v>
      </c>
      <c r="BT708" s="8" t="n">
        <v>31</v>
      </c>
      <c r="BU708" s="8" t="n">
        <v>17</v>
      </c>
      <c r="BV708" s="11" t="n">
        <f>IF(COUNT(BC708,BF708)=2,BC708*BF708,"")</f>
        <v>0.25780166430270657</v>
      </c>
      <c r="BW708" s="11" t="n">
        <f>IF(ISNUMBER(BN708),BN708,"")</f>
        <v>1.0395067087630607</v>
      </c>
      <c r="BX708" s="14" t="n">
        <f>IF(ISNUMBER(BR708),BR708,"")</f>
        <v>12</v>
      </c>
      <c r="BY708" s="13" t="n">
        <f>IF(AND(COUNT(BV708,BW708,BX708)=3,MIN(BV708,BW708,BX708)&gt;=0),BV708*BW708*BX708,"")</f>
        <v>3.215838714875351</v>
      </c>
      <c r="BZ708" s="11" t="n">
        <f>IF(ISNUMBER(BO708),BO708,"")</f>
        <v>0.9890368360033146</v>
      </c>
      <c r="CA708" s="14" t="n">
        <f>IF(ISNUMBER(BS708),BS708,"")</f>
        <v>30</v>
      </c>
      <c r="CB708" s="13" t="n">
        <f>IF(AND(COUNT(BV708,BZ708,CA708)=3,MIN(BV708,BZ708,CA708)&gt;=0),BV708*BZ708*CA708,"")</f>
        <v>7.649260271350127</v>
      </c>
      <c r="CC708" s="11" t="n">
        <f>IF(ISNUMBER(BP708),BP708,"")</f>
        <v>0.7800796503018808</v>
      </c>
      <c r="CD708" s="14" t="n">
        <f>IF(ISNUMBER(BT708),BT708,"")</f>
        <v>31</v>
      </c>
      <c r="CE708" s="13" t="n">
        <f>IF(AND(COUNT(BV708,CC708,CD708)=3,MIN(BV708,CC708,CD708)&gt;=0),BV708*CC708*CD708,"")</f>
        <v>6.2342807962314435</v>
      </c>
      <c r="CF708" s="11" t="n">
        <f>IF(ISNUMBER(BQ708),BQ708,"")</f>
        <v>1.2908918272824135</v>
      </c>
      <c r="CG708" s="14" t="n">
        <f>IF(ISNUMBER(BU708),BU708,"")</f>
        <v>17</v>
      </c>
      <c r="CH708" s="13" t="n">
        <f>IF(AND(COUNT(BV708,CF708,CG708)=3,MIN(BV708,CF708,CG708)&gt;=0),BV708*CF708*CG708,"")</f>
        <v>5.657499045638859</v>
      </c>
      <c r="CI708" s="13" t="n">
        <f>IF(COUNT(BY708,CB708,CE708,CH708)=4,SUM(BY708,CB708,CE708,CH708),"")</f>
        <v>22.75687882809578</v>
      </c>
    </row>
    <row r="709" ht="72" customHeight="1">
      <c r="A709" s="16" t="str">
        <v>32582-LPB-42</v>
      </c>
      <c r="B709" s="16" t="str">
        <v>3店-SANDIEX-US</v>
      </c>
      <c r="C709" s="16" t="str">
        <v>徐新怡</v>
      </c>
      <c r="D709" s="26" t="n">
        <f>IF(NOT(ISNUMBER(E709)),"",IF(OR(E709&lt;=0,L709=0),0,IF(OR(NOT(ISNUMBER(F709)),F709&lt;0),"",MIN(E709,INT(F709)))))</f>
        <v>0</v>
      </c>
      <c r="E709" s="27" t="n">
        <f>IF(OR(NOT(ISNUMBER(L709)),COUNT(M709:O709)&lt;&gt;3,MIN(M709:O709)&lt;0),"",ROUNDUP(ROUND(BI709-SUM(M709:O709),10),0))</f>
        <v>0</v>
      </c>
      <c r="F709" s="28" t="n">
        <v>0</v>
      </c>
      <c r="G709" s="28" t="n">
        <f>IF(AND(ISNUMBER(D709),ISNUMBER(E709)),IF(OR(E709&lt;=0,L709=0),0,E709-D709),"")</f>
        <v>0</v>
      </c>
      <c r="H709" s="16" t="str">
        <f>IF(NOT(ISNUMBER(E709)),"销量或海外库存待补",IF(OR(E709&lt;=0,L709=0),IF(L709=0,"零日销，本批不发","本批无需补货"),IF(NOT(ISNUMBER(D709)),"国内库存待补",IF(D709=0,"国内无可用库存",IF(G709&gt;0,"先发国内现货","按建议量发货")))))</f>
        <v>零日销，本批不发</v>
      </c>
      <c r="I709" s="28" t="n">
        <f>IF(AND(COUNT(Z709,AA709,AB709)=3,Z709&gt;=AA709,AA709&gt;=0,AB709=7),Z709-AA709,"")</f>
        <v>0</v>
      </c>
      <c r="J709" s="28" t="n">
        <f>IF(AND(COUNT(AF709,AG709,AH709)=3,AF709&gt;=AG709,AG709&gt;=0,AH709=14),AF709-AG709,"")</f>
        <v>0</v>
      </c>
      <c r="K709" s="28" t="n">
        <f>IF(AND(COUNT(AL709,AM709,AN709)=3,AL709&gt;=AM709,AM709&gt;=0,AN709=30),AL709-AM709,"")</f>
        <v>0</v>
      </c>
      <c r="L709" s="29" t="n">
        <f>IF(ISNUMBER(BI709),BI709/90,"")</f>
        <v>0</v>
      </c>
      <c r="M709" s="28" t="n">
        <v>0</v>
      </c>
      <c r="N709" s="28" t="n">
        <v>0</v>
      </c>
      <c r="O709" s="28" t="n">
        <v>0</v>
      </c>
      <c r="P709" s="30" t="str">
        <f>IF(AND(ISNUMBER(L709),L709&gt;0,COUNT(M709:O709)=3,MIN(M709:O709)&gt;=0),SUM(M709:O709)/L709,"")</f>
      </c>
      <c r="Q709" s="16" t="str">
        <v>沿用原计划SKU店铺</v>
      </c>
      <c r="R709" s="16" t="str">
        <v>已匹配</v>
      </c>
      <c r="S709" s="16" t="str">
        <v>停售</v>
      </c>
      <c r="T709" s="16" t="str">
        <v>32582</v>
      </c>
      <c r="U709" s="16" t="str">
        <v>豹纹黑色内里</v>
      </c>
      <c r="V709" s="16" t="n">
        <v>11</v>
      </c>
      <c r="W709" s="8" t="str">
        <v>2026-10-08 至 2026-10-17</v>
      </c>
      <c r="X709" s="8" t="str">
        <v>2026-10-08、2026-10-09、2026-10-10、2026-10-11、2026-10-14、2026-10-15、2026-10-17</v>
      </c>
      <c r="Y709" s="8" t="str">
        <v>2026-10-12 有记录的停售日；2026-10-13 有记录的停售日；2026-10-16 有记录的停售日</v>
      </c>
      <c r="Z709" s="8" t="n">
        <v>0</v>
      </c>
      <c r="AA709" s="8" t="n">
        <v>0</v>
      </c>
      <c r="AB709" s="8" t="n">
        <v>7</v>
      </c>
      <c r="AC709" s="8" t="str">
        <v>2026-09-29 至 2026-10-17</v>
      </c>
      <c r="AD709" s="8" t="str">
        <v>2026-09-29、2026-09-30、2026-10-01、2026-10-02、2026-10-03、2026-10-04、2026-10-05、2026-10-08、2026-10-09、2026-10-10、2026-10-11、2026-10-14、2026-10-15、2026-10-17</v>
      </c>
      <c r="AE709" s="8" t="str">
        <v>2026-10-06 大促；2026-10-07 大促；2026-10-12 有记录的停售日；2026-10-13 有记录的停售日；2026-10-16 有记录的停售日</v>
      </c>
      <c r="AF709" s="8" t="n">
        <v>0</v>
      </c>
      <c r="AG709" s="8" t="n">
        <v>0</v>
      </c>
      <c r="AH709" s="8" t="n">
        <v>14</v>
      </c>
      <c r="AI709" s="8" t="str">
        <v>2026-09-13 至 2026-10-17</v>
      </c>
      <c r="AJ70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09" s="8" t="str">
        <v>2026-10-06 大促；2026-10-07 大促；2026-10-12 有记录的停售日；2026-10-13 有记录的停售日；2026-10-16 有记录的停售日</v>
      </c>
      <c r="AL709" s="8" t="n">
        <v>0</v>
      </c>
      <c r="AM709" s="8" t="n">
        <v>0</v>
      </c>
      <c r="AN709" s="8" t="n">
        <v>30</v>
      </c>
      <c r="AO709" s="8" t="str">
        <v>32582 / 豹纹黑色内里羊京绒 / 6574</v>
      </c>
      <c r="AP709" s="11" t="n">
        <v>1.0395067087630607</v>
      </c>
      <c r="AQ709" s="11" t="n">
        <v>1.048428692110265</v>
      </c>
      <c r="AR709" s="11" t="n">
        <v>1.076979038821319</v>
      </c>
      <c r="AS709" s="11" t="n">
        <f>IF(AND(COUNT(I709:K709,AP709:AR709)=6,MIN(AP709:AR709)&gt;0),I709/7/AP709*0.5+J709/14/AQ709*0.3+K709/30/AR709*0.2,"")</f>
        <v>0</v>
      </c>
      <c r="AT709" s="8" t="n">
        <v>0</v>
      </c>
      <c r="AU709" s="8" t="n">
        <v>0</v>
      </c>
      <c r="AV709" s="8" t="n">
        <v>85</v>
      </c>
      <c r="AW709" s="11" t="n">
        <f>IF(AND(COUNT(AT709:AV709)=3,AT709&gt;=AU709,AU709&gt;=0,AV709&gt;0),(AT709-AU709)/AV709,"")</f>
        <v>0</v>
      </c>
      <c r="AX709" s="8" t="n">
        <v>0</v>
      </c>
      <c r="AY709" s="8" t="n">
        <v>0</v>
      </c>
      <c r="AZ709" s="8" t="n">
        <v>175</v>
      </c>
      <c r="BA709" s="11" t="n">
        <f>IF(AND(COUNT(AX709:AZ709)=3,AX709&gt;=AY709,AY709&gt;=0,AZ709&gt;0),(AX709-AY709)/AZ709,"")</f>
        <v>0</v>
      </c>
      <c r="BB709" s="8" t="n">
        <f>IF(COUNT(AS709,AW709,BA709)=3,1,0)</f>
        <v>1</v>
      </c>
      <c r="BC709" s="11" t="n">
        <f>IF(SUMIF($AO$11:$AO$1309,AO709,$BB$11:$BB$1309)=COUNTIF($AO$11:$AO$1309,AO709),SUMIF($AO$11:$AO$1309,AO709,$AS$11:$AS$1309),"")</f>
        <v>1.9131647321216234</v>
      </c>
      <c r="BD709" s="11" t="n">
        <f>IF(SUMIF($AO$11:$AO$1309,AO709,$BB$11:$BB$1309)=COUNTIF($AO$11:$AO$1309,AO709),SUMIF($AO$11:$AO$1309,AO709,$AW$11:$AW$1309),"")</f>
        <v>1.2065508021390374</v>
      </c>
      <c r="BE709" s="11" t="n">
        <f>IF(SUMIF($AO$11:$AO$1309,AO709,$BB$11:$BB$1309)=COUNTIF($AO$11:$AO$1309,AO709),SUMIF($AO$11:$AO$1309,AO709,$BA$11:$BA$1309),"")</f>
        <v>0.9278330658105939</v>
      </c>
      <c r="BF709" s="12" t="n">
        <f>IF(COUNT(BD709:BE709)&lt;&gt;2,"",IF(AND(BD709&gt;0,BE709&gt;0),0.7*AW709/BD709+0.3*BA709/BE709,IF(BD709&gt;0,AW709/BD709,IF(BE709&gt;0,BA709/BE709,IF(AND(ISNUMBER(BH709),BH709=0),0,"")))))</f>
        <v>0</v>
      </c>
      <c r="BG709" s="11" t="n">
        <f>IF(AND(COUNT(BN709:BU709)=8,MIN(BN709:BU709)&gt;=0),SUMPRODUCT(BN709:BQ709,BR709:BU709),"")</f>
        <v>88.27281580841549</v>
      </c>
      <c r="BH709" s="11" t="n">
        <f>IF(COUNT(BC709,BG709)=2,BC709*BG709,"")</f>
        <v>168.8804380097286</v>
      </c>
      <c r="BI709" s="11" t="n">
        <f>IF(ISNUMBER(CI709),CI709,"")</f>
        <v>0</v>
      </c>
      <c r="BJ709" s="8" t="str"/>
      <c r="BK709" s="8" t="str">
        <v>90天：2026-07-20 至 2026-10-17；180天：2026-04-21 至 2026-10-17</v>
      </c>
      <c r="BL709" s="8" t="str">
        <v>90天：2026-10-06、2026-10-07、2026-10-12、2026-10-13、2026-10-16；180天：2026-10-06、2026-10-07、2026-10-12、2026-10-13、2026-10-16</v>
      </c>
      <c r="BM709" s="8" t="str">
        <v>2026-10：12天 × 1.0395067087630607；2026-11：30天 × 0.9890368360033146；2026-12：31天 × 0.7800796503018808；2027-01：17天 × 1.2908918272824135</v>
      </c>
      <c r="BN709" s="11" t="n">
        <v>1.0395067087630607</v>
      </c>
      <c r="BO709" s="11" t="n">
        <v>0.9890368360033146</v>
      </c>
      <c r="BP709" s="11" t="n">
        <v>0.7800796503018808</v>
      </c>
      <c r="BQ709" s="11" t="n">
        <v>1.2908918272824135</v>
      </c>
      <c r="BR709" s="8" t="n">
        <v>12</v>
      </c>
      <c r="BS709" s="8" t="n">
        <v>30</v>
      </c>
      <c r="BT709" s="8" t="n">
        <v>31</v>
      </c>
      <c r="BU709" s="8" t="n">
        <v>17</v>
      </c>
      <c r="BV709" s="11" t="n">
        <f>IF(COUNT(BC709,BF709)=2,BC709*BF709,"")</f>
        <v>0</v>
      </c>
      <c r="BW709" s="11" t="n">
        <f>IF(ISNUMBER(BN709),BN709,"")</f>
        <v>1.0395067087630607</v>
      </c>
      <c r="BX709" s="14" t="n">
        <f>IF(ISNUMBER(BR709),BR709,"")</f>
        <v>12</v>
      </c>
      <c r="BY709" s="13" t="n">
        <f>IF(AND(COUNT(BV709,BW709,BX709)=3,MIN(BV709,BW709,BX709)&gt;=0),BV709*BW709*BX709,"")</f>
        <v>0</v>
      </c>
      <c r="BZ709" s="11" t="n">
        <f>IF(ISNUMBER(BO709),BO709,"")</f>
        <v>0.9890368360033146</v>
      </c>
      <c r="CA709" s="14" t="n">
        <f>IF(ISNUMBER(BS709),BS709,"")</f>
        <v>30</v>
      </c>
      <c r="CB709" s="13" t="n">
        <f>IF(AND(COUNT(BV709,BZ709,CA709)=3,MIN(BV709,BZ709,CA709)&gt;=0),BV709*BZ709*CA709,"")</f>
        <v>0</v>
      </c>
      <c r="CC709" s="11" t="n">
        <f>IF(ISNUMBER(BP709),BP709,"")</f>
        <v>0.7800796503018808</v>
      </c>
      <c r="CD709" s="14" t="n">
        <f>IF(ISNUMBER(BT709),BT709,"")</f>
        <v>31</v>
      </c>
      <c r="CE709" s="13" t="n">
        <f>IF(AND(COUNT(BV709,CC709,CD709)=3,MIN(BV709,CC709,CD709)&gt;=0),BV709*CC709*CD709,"")</f>
        <v>0</v>
      </c>
      <c r="CF709" s="11" t="n">
        <f>IF(ISNUMBER(BQ709),BQ709,"")</f>
        <v>1.2908918272824135</v>
      </c>
      <c r="CG709" s="14" t="n">
        <f>IF(ISNUMBER(BU709),BU709,"")</f>
        <v>17</v>
      </c>
      <c r="CH709" s="13" t="n">
        <f>IF(AND(COUNT(BV709,CF709,CG709)=3,MIN(BV709,CF709,CG709)&gt;=0),BV709*CF709*CG709,"")</f>
        <v>0</v>
      </c>
      <c r="CI709" s="13" t="n">
        <f>IF(COUNT(BY709,CB709,CE709,CH709)=4,SUM(BY709,CB709,CE709,CH709),"")</f>
        <v>0</v>
      </c>
    </row>
    <row r="710" ht="72" customHeight="1">
      <c r="A710" s="16" t="str">
        <v>32582-MT-37</v>
      </c>
      <c r="B710" s="16" t="str">
        <v>3店-SANDIEX-US</v>
      </c>
      <c r="C710" s="16" t="str">
        <v>徐新怡</v>
      </c>
      <c r="D710" s="26" t="n">
        <f>IF(NOT(ISNUMBER(E710)),"",IF(OR(E710&lt;=0,L710=0),0,IF(OR(NOT(ISNUMBER(F710)),F710&lt;0),"",MIN(E710,INT(F710)))))</f>
        <v>0</v>
      </c>
      <c r="E710" s="27" t="n">
        <f>IF(OR(NOT(ISNUMBER(L710)),COUNT(M710:O710)&lt;&gt;3,MIN(M710:O710)&lt;0),"",ROUNDUP(ROUND(BI710-SUM(M710:O710),10),0))</f>
        <v>0</v>
      </c>
      <c r="F710" s="28" t="n">
        <v>0</v>
      </c>
      <c r="G710" s="28" t="n">
        <f>IF(AND(ISNUMBER(D710),ISNUMBER(E710)),IF(OR(E710&lt;=0,L710=0),0,E710-D710),"")</f>
        <v>0</v>
      </c>
      <c r="H710" s="16" t="str">
        <f>IF(NOT(ISNUMBER(E710)),"销量或海外库存待补",IF(OR(E710&lt;=0,L710=0),IF(L710=0,"零日销，本批不发","本批无需补货"),IF(NOT(ISNUMBER(D710)),"国内库存待补",IF(D710=0,"国内无可用库存",IF(G710&gt;0,"先发国内现货","按建议量发货")))))</f>
        <v>零日销，本批不发</v>
      </c>
      <c r="I710" s="28" t="n">
        <f>IF(AND(COUNT(Z710,AA710,AB710)=3,Z710&gt;=AA710,AA710&gt;=0,AB710=7),Z710-AA710,"")</f>
        <v>0</v>
      </c>
      <c r="J710" s="28" t="n">
        <f>IF(AND(COUNT(AF710,AG710,AH710)=3,AF710&gt;=AG710,AG710&gt;=0,AH710=14),AF710-AG710,"")</f>
        <v>0</v>
      </c>
      <c r="K710" s="28" t="n">
        <f>IF(AND(COUNT(AL710,AM710,AN710)=3,AL710&gt;=AM710,AM710&gt;=0,AN710=30),AL710-AM710,"")</f>
        <v>0</v>
      </c>
      <c r="L710" s="29" t="n">
        <f>IF(ISNUMBER(BI710),BI710/90,"")</f>
        <v>0</v>
      </c>
      <c r="M710" s="28" t="n">
        <v>0</v>
      </c>
      <c r="N710" s="28" t="n">
        <v>0</v>
      </c>
      <c r="O710" s="28" t="n">
        <v>0</v>
      </c>
      <c r="P710" s="30" t="str">
        <f>IF(AND(ISNUMBER(L710),L710&gt;0,COUNT(M710:O710)=3,MIN(M710:O710)&gt;=0),SUM(M710:O710)/L710,"")</f>
      </c>
      <c r="Q710" s="16" t="str">
        <v>沿用原计划SKU店铺</v>
      </c>
      <c r="R710" s="16" t="str">
        <v>已匹配</v>
      </c>
      <c r="S710" s="16" t="str">
        <v>停售</v>
      </c>
      <c r="T710" s="16" t="str">
        <v>32582</v>
      </c>
      <c r="U710" s="16" t="str">
        <v>黄色</v>
      </c>
      <c r="V710" s="16" t="n">
        <v>6</v>
      </c>
      <c r="W710" s="8" t="str">
        <v>2026-10-08 至 2026-10-17</v>
      </c>
      <c r="X710" s="8" t="str">
        <v>2026-10-08、2026-10-09、2026-10-10、2026-10-11、2026-10-14、2026-10-15、2026-10-17</v>
      </c>
      <c r="Y710" s="8" t="str">
        <v>2026-10-12 有记录的停售日；2026-10-13 有记录的停售日；2026-10-16 有记录的停售日</v>
      </c>
      <c r="Z710" s="8" t="n">
        <v>0</v>
      </c>
      <c r="AA710" s="8" t="n">
        <v>0</v>
      </c>
      <c r="AB710" s="8" t="n">
        <v>7</v>
      </c>
      <c r="AC710" s="8" t="str">
        <v>2026-09-29 至 2026-10-17</v>
      </c>
      <c r="AD710" s="8" t="str">
        <v>2026-09-29、2026-09-30、2026-10-01、2026-10-02、2026-10-03、2026-10-04、2026-10-05、2026-10-08、2026-10-09、2026-10-10、2026-10-11、2026-10-14、2026-10-15、2026-10-17</v>
      </c>
      <c r="AE710" s="8" t="str">
        <v>2026-10-06 大促；2026-10-07 大促；2026-10-12 有记录的停售日；2026-10-13 有记录的停售日；2026-10-16 有记录的停售日</v>
      </c>
      <c r="AF710" s="8" t="n">
        <v>0</v>
      </c>
      <c r="AG710" s="8" t="n">
        <v>0</v>
      </c>
      <c r="AH710" s="8" t="n">
        <v>14</v>
      </c>
      <c r="AI710" s="8" t="str">
        <v>2026-09-13 至 2026-10-17</v>
      </c>
      <c r="AJ7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10" s="8" t="str">
        <v>2026-10-06 大促；2026-10-07 大促；2026-10-12 有记录的停售日；2026-10-13 有记录的停售日；2026-10-16 有记录的停售日</v>
      </c>
      <c r="AL710" s="8" t="n">
        <v>0</v>
      </c>
      <c r="AM710" s="8" t="n">
        <v>0</v>
      </c>
      <c r="AN710" s="8" t="n">
        <v>30</v>
      </c>
      <c r="AO710" s="8" t="str">
        <v>32582 / 黄色羊京绒 / 6574</v>
      </c>
      <c r="AP710" s="11" t="n">
        <v>1.0395067087630607</v>
      </c>
      <c r="AQ710" s="11" t="n">
        <v>1.048428692110265</v>
      </c>
      <c r="AR710" s="11" t="n">
        <v>1.076979038821319</v>
      </c>
      <c r="AS710" s="11" t="n">
        <f>IF(AND(COUNT(I710:K710,AP710:AR710)=6,MIN(AP710:AR710)&gt;0),I710/7/AP710*0.5+J710/14/AQ710*0.3+K710/30/AR710*0.2,"")</f>
        <v>0</v>
      </c>
      <c r="AT710" s="8" t="n">
        <v>0</v>
      </c>
      <c r="AU710" s="8" t="n">
        <v>0</v>
      </c>
      <c r="AV710" s="8" t="n">
        <v>85</v>
      </c>
      <c r="AW710" s="11" t="n">
        <f>IF(AND(COUNT(AT710:AV710)=3,AT710&gt;=AU710,AU710&gt;=0,AV710&gt;0),(AT710-AU710)/AV710,"")</f>
        <v>0</v>
      </c>
      <c r="AX710" s="8" t="n">
        <v>0</v>
      </c>
      <c r="AY710" s="8" t="n">
        <v>0</v>
      </c>
      <c r="AZ710" s="8" t="n">
        <v>175</v>
      </c>
      <c r="BA710" s="11" t="n">
        <f>IF(AND(COUNT(AX710:AZ710)=3,AX710&gt;=AY710,AY710&gt;=0,AZ710&gt;0),(AX710-AY710)/AZ710,"")</f>
        <v>0</v>
      </c>
      <c r="BB710" s="8" t="n">
        <f>IF(COUNT(AS710,AW710,BA710)=3,1,0)</f>
        <v>1</v>
      </c>
      <c r="BC710" s="11" t="n">
        <f>IF(SUMIF($AO$11:$AO$1309,AO710,$BB$11:$BB$1309)=COUNTIF($AO$11:$AO$1309,AO710),SUMIF($AO$11:$AO$1309,AO710,$AS$11:$AS$1309),"")</f>
        <v>0.47872862187367615</v>
      </c>
      <c r="BD710" s="11" t="n">
        <f>IF(SUMIF($AO$11:$AO$1309,AO710,$BB$11:$BB$1309)=COUNTIF($AO$11:$AO$1309,AO710),SUMIF($AO$11:$AO$1309,AO710,$AW$11:$AW$1309),"")</f>
        <v>0.4244652406417112</v>
      </c>
      <c r="BE710" s="11" t="n">
        <f>IF(SUMIF($AO$11:$AO$1309,AO710,$BB$11:$BB$1309)=COUNTIF($AO$11:$AO$1309,AO710),SUMIF($AO$11:$AO$1309,AO710,$BA$11:$BA$1309),"")</f>
        <v>0.5211878009630819</v>
      </c>
      <c r="BF710" s="12" t="n">
        <f>IF(COUNT(BD710:BE710)&lt;&gt;2,"",IF(AND(BD710&gt;0,BE710&gt;0),0.7*AW710/BD710+0.3*BA710/BE710,IF(BD710&gt;0,AW710/BD710,IF(BE710&gt;0,BA710/BE710,IF(AND(ISNUMBER(BH710),BH710=0),0,"")))))</f>
        <v>0</v>
      </c>
      <c r="BG710" s="11" t="n">
        <f>IF(AND(COUNT(BN710:BU710)=8,MIN(BN710:BU710)&gt;=0),SUMPRODUCT(BN710:BQ710,BR710:BU710),"")</f>
        <v>88.27281580841549</v>
      </c>
      <c r="BH710" s="11" t="n">
        <f>IF(COUNT(BC710,BG710)=2,BC710*BG710,"")</f>
        <v>42.2587234608716</v>
      </c>
      <c r="BI710" s="11" t="n">
        <f>IF(ISNUMBER(CI710),CI710,"")</f>
        <v>0</v>
      </c>
      <c r="BJ710" s="8" t="str"/>
      <c r="BK710" s="8" t="str">
        <v>90天：2026-07-20 至 2026-10-17；180天：2026-04-21 至 2026-10-17</v>
      </c>
      <c r="BL710" s="8" t="str">
        <v>90天：2026-10-06、2026-10-07、2026-10-12、2026-10-13、2026-10-16；180天：2026-10-06、2026-10-07、2026-10-12、2026-10-13、2026-10-16</v>
      </c>
      <c r="BM710" s="8" t="str">
        <v>2026-10：12天 × 1.0395067087630607；2026-11：30天 × 0.9890368360033146；2026-12：31天 × 0.7800796503018808；2027-01：17天 × 1.2908918272824135</v>
      </c>
      <c r="BN710" s="11" t="n">
        <v>1.0395067087630607</v>
      </c>
      <c r="BO710" s="11" t="n">
        <v>0.9890368360033146</v>
      </c>
      <c r="BP710" s="11" t="n">
        <v>0.7800796503018808</v>
      </c>
      <c r="BQ710" s="11" t="n">
        <v>1.2908918272824135</v>
      </c>
      <c r="BR710" s="8" t="n">
        <v>12</v>
      </c>
      <c r="BS710" s="8" t="n">
        <v>30</v>
      </c>
      <c r="BT710" s="8" t="n">
        <v>31</v>
      </c>
      <c r="BU710" s="8" t="n">
        <v>17</v>
      </c>
      <c r="BV710" s="11" t="n">
        <f>IF(COUNT(BC710,BF710)=2,BC710*BF710,"")</f>
        <v>0</v>
      </c>
      <c r="BW710" s="11" t="n">
        <f>IF(ISNUMBER(BN710),BN710,"")</f>
        <v>1.0395067087630607</v>
      </c>
      <c r="BX710" s="14" t="n">
        <f>IF(ISNUMBER(BR710),BR710,"")</f>
        <v>12</v>
      </c>
      <c r="BY710" s="13" t="n">
        <f>IF(AND(COUNT(BV710,BW710,BX710)=3,MIN(BV710,BW710,BX710)&gt;=0),BV710*BW710*BX710,"")</f>
        <v>0</v>
      </c>
      <c r="BZ710" s="11" t="n">
        <f>IF(ISNUMBER(BO710),BO710,"")</f>
        <v>0.9890368360033146</v>
      </c>
      <c r="CA710" s="14" t="n">
        <f>IF(ISNUMBER(BS710),BS710,"")</f>
        <v>30</v>
      </c>
      <c r="CB710" s="13" t="n">
        <f>IF(AND(COUNT(BV710,BZ710,CA710)=3,MIN(BV710,BZ710,CA710)&gt;=0),BV710*BZ710*CA710,"")</f>
        <v>0</v>
      </c>
      <c r="CC710" s="11" t="n">
        <f>IF(ISNUMBER(BP710),BP710,"")</f>
        <v>0.7800796503018808</v>
      </c>
      <c r="CD710" s="14" t="n">
        <f>IF(ISNUMBER(BT710),BT710,"")</f>
        <v>31</v>
      </c>
      <c r="CE710" s="13" t="n">
        <f>IF(AND(COUNT(BV710,CC710,CD710)=3,MIN(BV710,CC710,CD710)&gt;=0),BV710*CC710*CD710,"")</f>
        <v>0</v>
      </c>
      <c r="CF710" s="11" t="n">
        <f>IF(ISNUMBER(BQ710),BQ710,"")</f>
        <v>1.2908918272824135</v>
      </c>
      <c r="CG710" s="14" t="n">
        <f>IF(ISNUMBER(BU710),BU710,"")</f>
        <v>17</v>
      </c>
      <c r="CH710" s="13" t="n">
        <f>IF(AND(COUNT(BV710,CF710,CG710)=3,MIN(BV710,CF710,CG710)&gt;=0),BV710*CF710*CG710,"")</f>
        <v>0</v>
      </c>
      <c r="CI710" s="13" t="n">
        <f>IF(COUNT(BY710,CB710,CE710,CH710)=4,SUM(BY710,CB710,CE710,CH710),"")</f>
        <v>0</v>
      </c>
    </row>
    <row r="711" ht="72" customHeight="1">
      <c r="A711" s="16" t="str">
        <v>32582-MT-37.5</v>
      </c>
      <c r="B711" s="16" t="str">
        <v>3店-SANDIEX-US</v>
      </c>
      <c r="C711" s="16" t="str">
        <v>徐新怡</v>
      </c>
      <c r="D711" s="26" t="n">
        <f>IF(NOT(ISNUMBER(E711)),"",IF(OR(E711&lt;=0,L711=0),0,IF(OR(NOT(ISNUMBER(F711)),F711&lt;0),"",MIN(E711,INT(F711)))))</f>
        <v>0</v>
      </c>
      <c r="E711" s="27" t="n">
        <f>IF(OR(NOT(ISNUMBER(L711)),COUNT(M711:O711)&lt;&gt;3,MIN(M711:O711)&lt;0),"",ROUNDUP(ROUND(BI711-SUM(M711:O711),10),0))</f>
        <v>0</v>
      </c>
      <c r="F711" s="28" t="n">
        <v>0</v>
      </c>
      <c r="G711" s="28" t="n">
        <f>IF(AND(ISNUMBER(D711),ISNUMBER(E711)),IF(OR(E711&lt;=0,L711=0),0,E711-D711),"")</f>
        <v>0</v>
      </c>
      <c r="H711" s="16" t="str">
        <f>IF(NOT(ISNUMBER(E711)),"销量或海外库存待补",IF(OR(E711&lt;=0,L711=0),IF(L711=0,"零日销，本批不发","本批无需补货"),IF(NOT(ISNUMBER(D711)),"国内库存待补",IF(D711=0,"国内无可用库存",IF(G711&gt;0,"先发国内现货","按建议量发货")))))</f>
        <v>零日销，本批不发</v>
      </c>
      <c r="I711" s="28" t="n">
        <f>IF(AND(COUNT(Z711,AA711,AB711)=3,Z711&gt;=AA711,AA711&gt;=0,AB711=7),Z711-AA711,"")</f>
        <v>0</v>
      </c>
      <c r="J711" s="28" t="n">
        <f>IF(AND(COUNT(AF711,AG711,AH711)=3,AF711&gt;=AG711,AG711&gt;=0,AH711=14),AF711-AG711,"")</f>
        <v>0</v>
      </c>
      <c r="K711" s="28" t="n">
        <f>IF(AND(COUNT(AL711,AM711,AN711)=3,AL711&gt;=AM711,AM711&gt;=0,AN711=30),AL711-AM711,"")</f>
        <v>0</v>
      </c>
      <c r="L711" s="29" t="n">
        <f>IF(ISNUMBER(BI711),BI711/90,"")</f>
        <v>0</v>
      </c>
      <c r="M711" s="28" t="n">
        <v>0</v>
      </c>
      <c r="N711" s="28" t="n">
        <v>0</v>
      </c>
      <c r="O711" s="28" t="n">
        <v>0</v>
      </c>
      <c r="P711" s="30" t="str">
        <f>IF(AND(ISNUMBER(L711),L711&gt;0,COUNT(M711:O711)=3,MIN(M711:O711)&gt;=0),SUM(M711:O711)/L711,"")</f>
      </c>
      <c r="Q711" s="16" t="str">
        <v>沿用原计划SKU店铺</v>
      </c>
      <c r="R711" s="16" t="str">
        <v>已匹配</v>
      </c>
      <c r="S711" s="16" t="str">
        <v>停售</v>
      </c>
      <c r="T711" s="16" t="str">
        <v>32582</v>
      </c>
      <c r="U711" s="16" t="str">
        <v>黄色</v>
      </c>
      <c r="V711" s="16" t="n">
        <v>6.5</v>
      </c>
      <c r="W711" s="8" t="str">
        <v>2026-10-08 至 2026-10-17</v>
      </c>
      <c r="X711" s="8" t="str">
        <v>2026-10-08、2026-10-09、2026-10-10、2026-10-11、2026-10-14、2026-10-15、2026-10-17</v>
      </c>
      <c r="Y711" s="8" t="str">
        <v>2026-10-12 有记录的停售日；2026-10-13 有记录的停售日；2026-10-16 有记录的停售日</v>
      </c>
      <c r="Z711" s="8" t="n">
        <v>0</v>
      </c>
      <c r="AA711" s="8" t="n">
        <v>0</v>
      </c>
      <c r="AB711" s="8" t="n">
        <v>7</v>
      </c>
      <c r="AC711" s="8" t="str">
        <v>2026-09-29 至 2026-10-17</v>
      </c>
      <c r="AD711" s="8" t="str">
        <v>2026-09-29、2026-09-30、2026-10-01、2026-10-02、2026-10-03、2026-10-04、2026-10-05、2026-10-08、2026-10-09、2026-10-10、2026-10-11、2026-10-14、2026-10-15、2026-10-17</v>
      </c>
      <c r="AE711" s="8" t="str">
        <v>2026-10-06 大促；2026-10-07 大促；2026-10-12 有记录的停售日；2026-10-13 有记录的停售日；2026-10-16 有记录的停售日</v>
      </c>
      <c r="AF711" s="8" t="n">
        <v>0</v>
      </c>
      <c r="AG711" s="8" t="n">
        <v>0</v>
      </c>
      <c r="AH711" s="8" t="n">
        <v>14</v>
      </c>
      <c r="AI711" s="8" t="str">
        <v>2026-09-13 至 2026-10-17</v>
      </c>
      <c r="AJ71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11" s="8" t="str">
        <v>2026-10-06 大促；2026-10-07 大促；2026-10-12 有记录的停售日；2026-10-13 有记录的停售日；2026-10-16 有记录的停售日</v>
      </c>
      <c r="AL711" s="8" t="n">
        <v>0</v>
      </c>
      <c r="AM711" s="8" t="n">
        <v>0</v>
      </c>
      <c r="AN711" s="8" t="n">
        <v>30</v>
      </c>
      <c r="AO711" s="8" t="str">
        <v>32582 / 黄色羊京绒 / 6574</v>
      </c>
      <c r="AP711" s="11" t="n">
        <v>1.0395067087630607</v>
      </c>
      <c r="AQ711" s="11" t="n">
        <v>1.048428692110265</v>
      </c>
      <c r="AR711" s="11" t="n">
        <v>1.076979038821319</v>
      </c>
      <c r="AS711" s="11" t="n">
        <f>IF(AND(COUNT(I711:K711,AP711:AR711)=6,MIN(AP711:AR711)&gt;0),I711/7/AP711*0.5+J711/14/AQ711*0.3+K711/30/AR711*0.2,"")</f>
        <v>0</v>
      </c>
      <c r="AT711" s="8" t="n">
        <v>0</v>
      </c>
      <c r="AU711" s="8" t="n">
        <v>0</v>
      </c>
      <c r="AV711" s="8" t="n">
        <v>85</v>
      </c>
      <c r="AW711" s="11" t="n">
        <f>IF(AND(COUNT(AT711:AV711)=3,AT711&gt;=AU711,AU711&gt;=0,AV711&gt;0),(AT711-AU711)/AV711,"")</f>
        <v>0</v>
      </c>
      <c r="AX711" s="8" t="n">
        <v>0</v>
      </c>
      <c r="AY711" s="8" t="n">
        <v>0</v>
      </c>
      <c r="AZ711" s="8" t="n">
        <v>175</v>
      </c>
      <c r="BA711" s="11" t="n">
        <f>IF(AND(COUNT(AX711:AZ711)=3,AX711&gt;=AY711,AY711&gt;=0,AZ711&gt;0),(AX711-AY711)/AZ711,"")</f>
        <v>0</v>
      </c>
      <c r="BB711" s="8" t="n">
        <f>IF(COUNT(AS711,AW711,BA711)=3,1,0)</f>
        <v>1</v>
      </c>
      <c r="BC711" s="11" t="n">
        <f>IF(SUMIF($AO$11:$AO$1309,AO711,$BB$11:$BB$1309)=COUNTIF($AO$11:$AO$1309,AO711),SUMIF($AO$11:$AO$1309,AO711,$AS$11:$AS$1309),"")</f>
        <v>0.47872862187367615</v>
      </c>
      <c r="BD711" s="11" t="n">
        <f>IF(SUMIF($AO$11:$AO$1309,AO711,$BB$11:$BB$1309)=COUNTIF($AO$11:$AO$1309,AO711),SUMIF($AO$11:$AO$1309,AO711,$AW$11:$AW$1309),"")</f>
        <v>0.4244652406417112</v>
      </c>
      <c r="BE711" s="11" t="n">
        <f>IF(SUMIF($AO$11:$AO$1309,AO711,$BB$11:$BB$1309)=COUNTIF($AO$11:$AO$1309,AO711),SUMIF($AO$11:$AO$1309,AO711,$BA$11:$BA$1309),"")</f>
        <v>0.5211878009630819</v>
      </c>
      <c r="BF711" s="12" t="n">
        <f>IF(COUNT(BD711:BE711)&lt;&gt;2,"",IF(AND(BD711&gt;0,BE711&gt;0),0.7*AW711/BD711+0.3*BA711/BE711,IF(BD711&gt;0,AW711/BD711,IF(BE711&gt;0,BA711/BE711,IF(AND(ISNUMBER(BH711),BH711=0),0,"")))))</f>
        <v>0</v>
      </c>
      <c r="BG711" s="11" t="n">
        <f>IF(AND(COUNT(BN711:BU711)=8,MIN(BN711:BU711)&gt;=0),SUMPRODUCT(BN711:BQ711,BR711:BU711),"")</f>
        <v>88.27281580841549</v>
      </c>
      <c r="BH711" s="11" t="n">
        <f>IF(COUNT(BC711,BG711)=2,BC711*BG711,"")</f>
        <v>42.2587234608716</v>
      </c>
      <c r="BI711" s="11" t="n">
        <f>IF(ISNUMBER(CI711),CI711,"")</f>
        <v>0</v>
      </c>
      <c r="BJ711" s="8" t="str"/>
      <c r="BK711" s="8" t="str">
        <v>90天：2026-07-20 至 2026-10-17；180天：2026-04-21 至 2026-10-17</v>
      </c>
      <c r="BL711" s="8" t="str">
        <v>90天：2026-10-06、2026-10-07、2026-10-12、2026-10-13、2026-10-16；180天：2026-10-06、2026-10-07、2026-10-12、2026-10-13、2026-10-16</v>
      </c>
      <c r="BM711" s="8" t="str">
        <v>2026-10：12天 × 1.0395067087630607；2026-11：30天 × 0.9890368360033146；2026-12：31天 × 0.7800796503018808；2027-01：17天 × 1.2908918272824135</v>
      </c>
      <c r="BN711" s="11" t="n">
        <v>1.0395067087630607</v>
      </c>
      <c r="BO711" s="11" t="n">
        <v>0.9890368360033146</v>
      </c>
      <c r="BP711" s="11" t="n">
        <v>0.7800796503018808</v>
      </c>
      <c r="BQ711" s="11" t="n">
        <v>1.2908918272824135</v>
      </c>
      <c r="BR711" s="8" t="n">
        <v>12</v>
      </c>
      <c r="BS711" s="8" t="n">
        <v>30</v>
      </c>
      <c r="BT711" s="8" t="n">
        <v>31</v>
      </c>
      <c r="BU711" s="8" t="n">
        <v>17</v>
      </c>
      <c r="BV711" s="11" t="n">
        <f>IF(COUNT(BC711,BF711)=2,BC711*BF711,"")</f>
        <v>0</v>
      </c>
      <c r="BW711" s="11" t="n">
        <f>IF(ISNUMBER(BN711),BN711,"")</f>
        <v>1.0395067087630607</v>
      </c>
      <c r="BX711" s="14" t="n">
        <f>IF(ISNUMBER(BR711),BR711,"")</f>
        <v>12</v>
      </c>
      <c r="BY711" s="13" t="n">
        <f>IF(AND(COUNT(BV711,BW711,BX711)=3,MIN(BV711,BW711,BX711)&gt;=0),BV711*BW711*BX711,"")</f>
        <v>0</v>
      </c>
      <c r="BZ711" s="11" t="n">
        <f>IF(ISNUMBER(BO711),BO711,"")</f>
        <v>0.9890368360033146</v>
      </c>
      <c r="CA711" s="14" t="n">
        <f>IF(ISNUMBER(BS711),BS711,"")</f>
        <v>30</v>
      </c>
      <c r="CB711" s="13" t="n">
        <f>IF(AND(COUNT(BV711,BZ711,CA711)=3,MIN(BV711,BZ711,CA711)&gt;=0),BV711*BZ711*CA711,"")</f>
        <v>0</v>
      </c>
      <c r="CC711" s="11" t="n">
        <f>IF(ISNUMBER(BP711),BP711,"")</f>
        <v>0.7800796503018808</v>
      </c>
      <c r="CD711" s="14" t="n">
        <f>IF(ISNUMBER(BT711),BT711,"")</f>
        <v>31</v>
      </c>
      <c r="CE711" s="13" t="n">
        <f>IF(AND(COUNT(BV711,CC711,CD711)=3,MIN(BV711,CC711,CD711)&gt;=0),BV711*CC711*CD711,"")</f>
        <v>0</v>
      </c>
      <c r="CF711" s="11" t="n">
        <f>IF(ISNUMBER(BQ711),BQ711,"")</f>
        <v>1.2908918272824135</v>
      </c>
      <c r="CG711" s="14" t="n">
        <f>IF(ISNUMBER(BU711),BU711,"")</f>
        <v>17</v>
      </c>
      <c r="CH711" s="13" t="n">
        <f>IF(AND(COUNT(BV711,CF711,CG711)=3,MIN(BV711,CF711,CG711)&gt;=0),BV711*CF711*CG711,"")</f>
        <v>0</v>
      </c>
      <c r="CI711" s="13" t="n">
        <f>IF(COUNT(BY711,CB711,CE711,CH711)=4,SUM(BY711,CB711,CE711,CH711),"")</f>
        <v>0</v>
      </c>
    </row>
    <row r="712" ht="72" customHeight="1">
      <c r="A712" s="16" t="str">
        <v>32582-MT-38</v>
      </c>
      <c r="B712" s="16" t="str">
        <v>3店-SANDIEX-US</v>
      </c>
      <c r="C712" s="16" t="str">
        <v>徐新怡</v>
      </c>
      <c r="D712" s="26" t="n">
        <f>IF(NOT(ISNUMBER(E712)),"",IF(OR(E712&lt;=0,L712=0),0,IF(OR(NOT(ISNUMBER(F712)),F712&lt;0),"",MIN(E712,INT(F712)))))</f>
        <v>0</v>
      </c>
      <c r="E712" s="27" t="n">
        <f>IF(OR(NOT(ISNUMBER(L712)),COUNT(M712:O712)&lt;&gt;3,MIN(M712:O712)&lt;0),"",ROUNDUP(ROUND(BI712-SUM(M712:O712),10),0))</f>
        <v>0</v>
      </c>
      <c r="F712" s="28"/>
      <c r="G712" s="28" t="n">
        <f>IF(AND(ISNUMBER(D712),ISNUMBER(E712)),IF(OR(E712&lt;=0,L712=0),0,E712-D712),"")</f>
        <v>0</v>
      </c>
      <c r="H712" s="16" t="str">
        <f>IF(NOT(ISNUMBER(E712)),"销量或海外库存待补",IF(OR(E712&lt;=0,L712=0),IF(L712=0,"零日销，本批不发","本批无需补货"),IF(NOT(ISNUMBER(D712)),"国内库存待补",IF(D712=0,"国内无可用库存",IF(G712&gt;0,"先发国内现货","按建议量发货")))))</f>
        <v>零日销，本批不发</v>
      </c>
      <c r="I712" s="28" t="n">
        <f>IF(AND(COUNT(Z712,AA712,AB712)=3,Z712&gt;=AA712,AA712&gt;=0,AB712=7),Z712-AA712,"")</f>
        <v>0</v>
      </c>
      <c r="J712" s="28" t="n">
        <f>IF(AND(COUNT(AF712,AG712,AH712)=3,AF712&gt;=AG712,AG712&gt;=0,AH712=14),AF712-AG712,"")</f>
        <v>0</v>
      </c>
      <c r="K712" s="28" t="n">
        <f>IF(AND(COUNT(AL712,AM712,AN712)=3,AL712&gt;=AM712,AM712&gt;=0,AN712=30),AL712-AM712,"")</f>
        <v>0</v>
      </c>
      <c r="L712" s="29" t="n">
        <f>IF(ISNUMBER(BI712),BI712/90,"")</f>
        <v>0</v>
      </c>
      <c r="M712" s="28" t="n">
        <v>0</v>
      </c>
      <c r="N712" s="28" t="n">
        <v>0</v>
      </c>
      <c r="O712" s="28" t="n">
        <v>0</v>
      </c>
      <c r="P712" s="30" t="str">
        <f>IF(AND(ISNUMBER(L712),L712&gt;0,COUNT(M712:O712)=3,MIN(M712:O712)&gt;=0),SUM(M712:O712)/L712,"")</f>
      </c>
      <c r="Q712" s="16" t="str">
        <v>沿用原计划SKU店铺</v>
      </c>
      <c r="R712" s="16" t="str">
        <v>未匹配</v>
      </c>
      <c r="S712" s="16" t="str">
        <v>停售</v>
      </c>
      <c r="T712" s="16" t="str">
        <v>32582</v>
      </c>
      <c r="U712" s="16" t="str">
        <v>黄色</v>
      </c>
      <c r="V712" s="16" t="n">
        <v>7</v>
      </c>
      <c r="W712" s="8" t="str">
        <v>2026-10-08 至 2026-10-17</v>
      </c>
      <c r="X712" s="8" t="str">
        <v>2026-10-08、2026-10-09、2026-10-10、2026-10-11、2026-10-14、2026-10-15、2026-10-17</v>
      </c>
      <c r="Y712" s="8" t="str">
        <v>2026-10-12 有记录的停售日；2026-10-13 有记录的停售日；2026-10-16 有记录的停售日</v>
      </c>
      <c r="Z712" s="8" t="n">
        <v>0</v>
      </c>
      <c r="AA712" s="8" t="n">
        <v>0</v>
      </c>
      <c r="AB712" s="8" t="n">
        <v>7</v>
      </c>
      <c r="AC712" s="8" t="str">
        <v>2026-09-29 至 2026-10-17</v>
      </c>
      <c r="AD712" s="8" t="str">
        <v>2026-09-29、2026-09-30、2026-10-01、2026-10-02、2026-10-03、2026-10-04、2026-10-05、2026-10-08、2026-10-09、2026-10-10、2026-10-11、2026-10-14、2026-10-15、2026-10-17</v>
      </c>
      <c r="AE712" s="8" t="str">
        <v>2026-10-06 大促；2026-10-07 大促；2026-10-12 有记录的停售日；2026-10-13 有记录的停售日；2026-10-16 有记录的停售日</v>
      </c>
      <c r="AF712" s="8" t="n">
        <v>0</v>
      </c>
      <c r="AG712" s="8" t="n">
        <v>0</v>
      </c>
      <c r="AH712" s="8" t="n">
        <v>14</v>
      </c>
      <c r="AI712" s="8" t="str">
        <v>2026-09-13 至 2026-10-17</v>
      </c>
      <c r="AJ71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12" s="8" t="str">
        <v>2026-10-06 大促；2026-10-07 大促；2026-10-12 有记录的停售日；2026-10-13 有记录的停售日；2026-10-16 有记录的停售日</v>
      </c>
      <c r="AL712" s="8" t="n">
        <v>0</v>
      </c>
      <c r="AM712" s="8" t="n">
        <v>0</v>
      </c>
      <c r="AN712" s="8" t="n">
        <v>30</v>
      </c>
      <c r="AO712" s="8" t="str">
        <v>32582 / 黄色羊京绒 / 6574</v>
      </c>
      <c r="AP712" s="11" t="n">
        <v>1.0395067087630607</v>
      </c>
      <c r="AQ712" s="11" t="n">
        <v>1.048428692110265</v>
      </c>
      <c r="AR712" s="11" t="n">
        <v>1.076979038821319</v>
      </c>
      <c r="AS712" s="11" t="n">
        <f>IF(AND(COUNT(I712:K712,AP712:AR712)=6,MIN(AP712:AR712)&gt;0),I712/7/AP712*0.5+J712/14/AQ712*0.3+K712/30/AR712*0.2,"")</f>
        <v>0</v>
      </c>
      <c r="AT712" s="8" t="n">
        <v>0</v>
      </c>
      <c r="AU712" s="8" t="n">
        <v>0</v>
      </c>
      <c r="AV712" s="8" t="n">
        <v>85</v>
      </c>
      <c r="AW712" s="11" t="n">
        <f>IF(AND(COUNT(AT712:AV712)=3,AT712&gt;=AU712,AU712&gt;=0,AV712&gt;0),(AT712-AU712)/AV712,"")</f>
        <v>0</v>
      </c>
      <c r="AX712" s="8" t="n">
        <v>0</v>
      </c>
      <c r="AY712" s="8" t="n">
        <v>0</v>
      </c>
      <c r="AZ712" s="8" t="n">
        <v>175</v>
      </c>
      <c r="BA712" s="11" t="n">
        <f>IF(AND(COUNT(AX712:AZ712)=3,AX712&gt;=AY712,AY712&gt;=0,AZ712&gt;0),(AX712-AY712)/AZ712,"")</f>
        <v>0</v>
      </c>
      <c r="BB712" s="8" t="n">
        <f>IF(COUNT(AS712,AW712,BA712)=3,1,0)</f>
        <v>1</v>
      </c>
      <c r="BC712" s="11" t="n">
        <f>IF(SUMIF($AO$11:$AO$1309,AO712,$BB$11:$BB$1309)=COUNTIF($AO$11:$AO$1309,AO712),SUMIF($AO$11:$AO$1309,AO712,$AS$11:$AS$1309),"")</f>
        <v>0.47872862187367615</v>
      </c>
      <c r="BD712" s="11" t="n">
        <f>IF(SUMIF($AO$11:$AO$1309,AO712,$BB$11:$BB$1309)=COUNTIF($AO$11:$AO$1309,AO712),SUMIF($AO$11:$AO$1309,AO712,$AW$11:$AW$1309),"")</f>
        <v>0.4244652406417112</v>
      </c>
      <c r="BE712" s="11" t="n">
        <f>IF(SUMIF($AO$11:$AO$1309,AO712,$BB$11:$BB$1309)=COUNTIF($AO$11:$AO$1309,AO712),SUMIF($AO$11:$AO$1309,AO712,$BA$11:$BA$1309),"")</f>
        <v>0.5211878009630819</v>
      </c>
      <c r="BF712" s="12" t="n">
        <f>IF(COUNT(BD712:BE712)&lt;&gt;2,"",IF(AND(BD712&gt;0,BE712&gt;0),0.7*AW712/BD712+0.3*BA712/BE712,IF(BD712&gt;0,AW712/BD712,IF(BE712&gt;0,BA712/BE712,IF(AND(ISNUMBER(BH712),BH712=0),0,"")))))</f>
        <v>0</v>
      </c>
      <c r="BG712" s="11" t="n">
        <f>IF(AND(COUNT(BN712:BU712)=8,MIN(BN712:BU712)&gt;=0),SUMPRODUCT(BN712:BQ712,BR712:BU712),"")</f>
        <v>88.27281580841549</v>
      </c>
      <c r="BH712" s="11" t="n">
        <f>IF(COUNT(BC712,BG712)=2,BC712*BG712,"")</f>
        <v>42.2587234608716</v>
      </c>
      <c r="BI712" s="11" t="n">
        <f>IF(ISNUMBER(CI712),CI712,"")</f>
        <v>0</v>
      </c>
      <c r="BJ712" s="8" t="str"/>
      <c r="BK712" s="8" t="str">
        <v>90天：2026-07-20 至 2026-10-17；180天：2026-04-21 至 2026-10-17</v>
      </c>
      <c r="BL712" s="8" t="str">
        <v>90天：2026-10-06、2026-10-07、2026-10-12、2026-10-13、2026-10-16；180天：2026-10-06、2026-10-07、2026-10-12、2026-10-13、2026-10-16</v>
      </c>
      <c r="BM712" s="8" t="str">
        <v>2026-10：12天 × 1.0395067087630607；2026-11：30天 × 0.9890368360033146；2026-12：31天 × 0.7800796503018808；2027-01：17天 × 1.2908918272824135</v>
      </c>
      <c r="BN712" s="11" t="n">
        <v>1.0395067087630607</v>
      </c>
      <c r="BO712" s="11" t="n">
        <v>0.9890368360033146</v>
      </c>
      <c r="BP712" s="11" t="n">
        <v>0.7800796503018808</v>
      </c>
      <c r="BQ712" s="11" t="n">
        <v>1.2908918272824135</v>
      </c>
      <c r="BR712" s="8" t="n">
        <v>12</v>
      </c>
      <c r="BS712" s="8" t="n">
        <v>30</v>
      </c>
      <c r="BT712" s="8" t="n">
        <v>31</v>
      </c>
      <c r="BU712" s="8" t="n">
        <v>17</v>
      </c>
      <c r="BV712" s="11" t="n">
        <f>IF(COUNT(BC712,BF712)=2,BC712*BF712,"")</f>
        <v>0</v>
      </c>
      <c r="BW712" s="11" t="n">
        <f>IF(ISNUMBER(BN712),BN712,"")</f>
        <v>1.0395067087630607</v>
      </c>
      <c r="BX712" s="14" t="n">
        <f>IF(ISNUMBER(BR712),BR712,"")</f>
        <v>12</v>
      </c>
      <c r="BY712" s="13" t="n">
        <f>IF(AND(COUNT(BV712,BW712,BX712)=3,MIN(BV712,BW712,BX712)&gt;=0),BV712*BW712*BX712,"")</f>
        <v>0</v>
      </c>
      <c r="BZ712" s="11" t="n">
        <f>IF(ISNUMBER(BO712),BO712,"")</f>
        <v>0.9890368360033146</v>
      </c>
      <c r="CA712" s="14" t="n">
        <f>IF(ISNUMBER(BS712),BS712,"")</f>
        <v>30</v>
      </c>
      <c r="CB712" s="13" t="n">
        <f>IF(AND(COUNT(BV712,BZ712,CA712)=3,MIN(BV712,BZ712,CA712)&gt;=0),BV712*BZ712*CA712,"")</f>
        <v>0</v>
      </c>
      <c r="CC712" s="11" t="n">
        <f>IF(ISNUMBER(BP712),BP712,"")</f>
        <v>0.7800796503018808</v>
      </c>
      <c r="CD712" s="14" t="n">
        <f>IF(ISNUMBER(BT712),BT712,"")</f>
        <v>31</v>
      </c>
      <c r="CE712" s="13" t="n">
        <f>IF(AND(COUNT(BV712,CC712,CD712)=3,MIN(BV712,CC712,CD712)&gt;=0),BV712*CC712*CD712,"")</f>
        <v>0</v>
      </c>
      <c r="CF712" s="11" t="n">
        <f>IF(ISNUMBER(BQ712),BQ712,"")</f>
        <v>1.2908918272824135</v>
      </c>
      <c r="CG712" s="14" t="n">
        <f>IF(ISNUMBER(BU712),BU712,"")</f>
        <v>17</v>
      </c>
      <c r="CH712" s="13" t="n">
        <f>IF(AND(COUNT(BV712,CF712,CG712)=3,MIN(BV712,CF712,CG712)&gt;=0),BV712*CF712*CG712,"")</f>
        <v>0</v>
      </c>
      <c r="CI712" s="13" t="n">
        <f>IF(COUNT(BY712,CB712,CE712,CH712)=4,SUM(BY712,CB712,CE712,CH712),"")</f>
        <v>0</v>
      </c>
    </row>
    <row r="713" ht="72" customHeight="1">
      <c r="A713" s="16" t="str">
        <v>32582-MT-38.5</v>
      </c>
      <c r="B713" s="16" t="str">
        <v>3店-SANDIEX-US</v>
      </c>
      <c r="C713" s="16" t="str">
        <v>徐新怡</v>
      </c>
      <c r="D713" s="26" t="n">
        <f>IF(NOT(ISNUMBER(E713)),"",IF(OR(E713&lt;=0,L713=0),0,IF(OR(NOT(ISNUMBER(F713)),F713&lt;0),"",MIN(E713,INT(F713)))))</f>
        <v>0</v>
      </c>
      <c r="E713" s="27" t="n">
        <f>IF(OR(NOT(ISNUMBER(L713)),COUNT(M713:O713)&lt;&gt;3,MIN(M713:O713)&lt;0),"",ROUNDUP(ROUND(BI713-SUM(M713:O713),10),0))</f>
        <v>0</v>
      </c>
      <c r="F713" s="28"/>
      <c r="G713" s="28" t="n">
        <f>IF(AND(ISNUMBER(D713),ISNUMBER(E713)),IF(OR(E713&lt;=0,L713=0),0,E713-D713),"")</f>
        <v>0</v>
      </c>
      <c r="H713" s="16" t="str">
        <f>IF(NOT(ISNUMBER(E713)),"销量或海外库存待补",IF(OR(E713&lt;=0,L713=0),IF(L713=0,"零日销，本批不发","本批无需补货"),IF(NOT(ISNUMBER(D713)),"国内库存待补",IF(D713=0,"国内无可用库存",IF(G713&gt;0,"先发国内现货","按建议量发货")))))</f>
        <v>零日销，本批不发</v>
      </c>
      <c r="I713" s="28" t="n">
        <f>IF(AND(COUNT(Z713,AA713,AB713)=3,Z713&gt;=AA713,AA713&gt;=0,AB713=7),Z713-AA713,"")</f>
        <v>0</v>
      </c>
      <c r="J713" s="28" t="n">
        <f>IF(AND(COUNT(AF713,AG713,AH713)=3,AF713&gt;=AG713,AG713&gt;=0,AH713=14),AF713-AG713,"")</f>
        <v>0</v>
      </c>
      <c r="K713" s="28" t="n">
        <f>IF(AND(COUNT(AL713,AM713,AN713)=3,AL713&gt;=AM713,AM713&gt;=0,AN713=30),AL713-AM713,"")</f>
        <v>0</v>
      </c>
      <c r="L713" s="29" t="n">
        <f>IF(ISNUMBER(BI713),BI713/90,"")</f>
        <v>0</v>
      </c>
      <c r="M713" s="28" t="n">
        <v>0</v>
      </c>
      <c r="N713" s="28" t="n">
        <v>0</v>
      </c>
      <c r="O713" s="28" t="n">
        <v>0</v>
      </c>
      <c r="P713" s="30" t="str">
        <f>IF(AND(ISNUMBER(L713),L713&gt;0,COUNT(M713:O713)=3,MIN(M713:O713)&gt;=0),SUM(M713:O713)/L713,"")</f>
      </c>
      <c r="Q713" s="16" t="str">
        <v>沿用原计划SKU店铺</v>
      </c>
      <c r="R713" s="16" t="str">
        <v>未匹配</v>
      </c>
      <c r="S713" s="16" t="str">
        <v>停售</v>
      </c>
      <c r="T713" s="16" t="str">
        <v>32582</v>
      </c>
      <c r="U713" s="16" t="str">
        <v>黄色</v>
      </c>
      <c r="V713" s="16" t="n">
        <v>7.5</v>
      </c>
      <c r="W713" s="8" t="str">
        <v>2026-10-08 至 2026-10-17</v>
      </c>
      <c r="X713" s="8" t="str">
        <v>2026-10-08、2026-10-09、2026-10-10、2026-10-11、2026-10-14、2026-10-15、2026-10-17</v>
      </c>
      <c r="Y713" s="8" t="str">
        <v>2026-10-12 有记录的停售日；2026-10-13 有记录的停售日；2026-10-16 有记录的停售日</v>
      </c>
      <c r="Z713" s="8" t="n">
        <v>0</v>
      </c>
      <c r="AA713" s="8" t="n">
        <v>0</v>
      </c>
      <c r="AB713" s="8" t="n">
        <v>7</v>
      </c>
      <c r="AC713" s="8" t="str">
        <v>2026-09-29 至 2026-10-17</v>
      </c>
      <c r="AD713" s="8" t="str">
        <v>2026-09-29、2026-09-30、2026-10-01、2026-10-02、2026-10-03、2026-10-04、2026-10-05、2026-10-08、2026-10-09、2026-10-10、2026-10-11、2026-10-14、2026-10-15、2026-10-17</v>
      </c>
      <c r="AE713" s="8" t="str">
        <v>2026-10-06 大促；2026-10-07 大促；2026-10-12 有记录的停售日；2026-10-13 有记录的停售日；2026-10-16 有记录的停售日</v>
      </c>
      <c r="AF713" s="8" t="n">
        <v>0</v>
      </c>
      <c r="AG713" s="8" t="n">
        <v>0</v>
      </c>
      <c r="AH713" s="8" t="n">
        <v>14</v>
      </c>
      <c r="AI713" s="8" t="str">
        <v>2026-09-13 至 2026-10-17</v>
      </c>
      <c r="AJ71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13" s="8" t="str">
        <v>2026-10-06 大促；2026-10-07 大促；2026-10-12 有记录的停售日；2026-10-13 有记录的停售日；2026-10-16 有记录的停售日</v>
      </c>
      <c r="AL713" s="8" t="n">
        <v>0</v>
      </c>
      <c r="AM713" s="8" t="n">
        <v>0</v>
      </c>
      <c r="AN713" s="8" t="n">
        <v>30</v>
      </c>
      <c r="AO713" s="8" t="str">
        <v>32582 / 黄色羊京绒 / 6574</v>
      </c>
      <c r="AP713" s="11" t="n">
        <v>1.0395067087630607</v>
      </c>
      <c r="AQ713" s="11" t="n">
        <v>1.048428692110265</v>
      </c>
      <c r="AR713" s="11" t="n">
        <v>1.076979038821319</v>
      </c>
      <c r="AS713" s="11" t="n">
        <f>IF(AND(COUNT(I713:K713,AP713:AR713)=6,MIN(AP713:AR713)&gt;0),I713/7/AP713*0.5+J713/14/AQ713*0.3+K713/30/AR713*0.2,"")</f>
        <v>0</v>
      </c>
      <c r="AT713" s="8" t="n">
        <v>0</v>
      </c>
      <c r="AU713" s="8" t="n">
        <v>0</v>
      </c>
      <c r="AV713" s="8" t="n">
        <v>85</v>
      </c>
      <c r="AW713" s="11" t="n">
        <f>IF(AND(COUNT(AT713:AV713)=3,AT713&gt;=AU713,AU713&gt;=0,AV713&gt;0),(AT713-AU713)/AV713,"")</f>
        <v>0</v>
      </c>
      <c r="AX713" s="8" t="n">
        <v>0</v>
      </c>
      <c r="AY713" s="8" t="n">
        <v>0</v>
      </c>
      <c r="AZ713" s="8" t="n">
        <v>175</v>
      </c>
      <c r="BA713" s="11" t="n">
        <f>IF(AND(COUNT(AX713:AZ713)=3,AX713&gt;=AY713,AY713&gt;=0,AZ713&gt;0),(AX713-AY713)/AZ713,"")</f>
        <v>0</v>
      </c>
      <c r="BB713" s="8" t="n">
        <f>IF(COUNT(AS713,AW713,BA713)=3,1,0)</f>
        <v>1</v>
      </c>
      <c r="BC713" s="11" t="n">
        <f>IF(SUMIF($AO$11:$AO$1309,AO713,$BB$11:$BB$1309)=COUNTIF($AO$11:$AO$1309,AO713),SUMIF($AO$11:$AO$1309,AO713,$AS$11:$AS$1309),"")</f>
        <v>0.47872862187367615</v>
      </c>
      <c r="BD713" s="11" t="n">
        <f>IF(SUMIF($AO$11:$AO$1309,AO713,$BB$11:$BB$1309)=COUNTIF($AO$11:$AO$1309,AO713),SUMIF($AO$11:$AO$1309,AO713,$AW$11:$AW$1309),"")</f>
        <v>0.4244652406417112</v>
      </c>
      <c r="BE713" s="11" t="n">
        <f>IF(SUMIF($AO$11:$AO$1309,AO713,$BB$11:$BB$1309)=COUNTIF($AO$11:$AO$1309,AO713),SUMIF($AO$11:$AO$1309,AO713,$BA$11:$BA$1309),"")</f>
        <v>0.5211878009630819</v>
      </c>
      <c r="BF713" s="12" t="n">
        <f>IF(COUNT(BD713:BE713)&lt;&gt;2,"",IF(AND(BD713&gt;0,BE713&gt;0),0.7*AW713/BD713+0.3*BA713/BE713,IF(BD713&gt;0,AW713/BD713,IF(BE713&gt;0,BA713/BE713,IF(AND(ISNUMBER(BH713),BH713=0),0,"")))))</f>
        <v>0</v>
      </c>
      <c r="BG713" s="11" t="n">
        <f>IF(AND(COUNT(BN713:BU713)=8,MIN(BN713:BU713)&gt;=0),SUMPRODUCT(BN713:BQ713,BR713:BU713),"")</f>
        <v>88.27281580841549</v>
      </c>
      <c r="BH713" s="11" t="n">
        <f>IF(COUNT(BC713,BG713)=2,BC713*BG713,"")</f>
        <v>42.2587234608716</v>
      </c>
      <c r="BI713" s="11" t="n">
        <f>IF(ISNUMBER(CI713),CI713,"")</f>
        <v>0</v>
      </c>
      <c r="BJ713" s="8" t="str"/>
      <c r="BK713" s="8" t="str">
        <v>90天：2026-07-20 至 2026-10-17；180天：2026-04-21 至 2026-10-17</v>
      </c>
      <c r="BL713" s="8" t="str">
        <v>90天：2026-10-06、2026-10-07、2026-10-12、2026-10-13、2026-10-16；180天：2026-10-06、2026-10-07、2026-10-12、2026-10-13、2026-10-16</v>
      </c>
      <c r="BM713" s="8" t="str">
        <v>2026-10：12天 × 1.0395067087630607；2026-11：30天 × 0.9890368360033146；2026-12：31天 × 0.7800796503018808；2027-01：17天 × 1.2908918272824135</v>
      </c>
      <c r="BN713" s="11" t="n">
        <v>1.0395067087630607</v>
      </c>
      <c r="BO713" s="11" t="n">
        <v>0.9890368360033146</v>
      </c>
      <c r="BP713" s="11" t="n">
        <v>0.7800796503018808</v>
      </c>
      <c r="BQ713" s="11" t="n">
        <v>1.2908918272824135</v>
      </c>
      <c r="BR713" s="8" t="n">
        <v>12</v>
      </c>
      <c r="BS713" s="8" t="n">
        <v>30</v>
      </c>
      <c r="BT713" s="8" t="n">
        <v>31</v>
      </c>
      <c r="BU713" s="8" t="n">
        <v>17</v>
      </c>
      <c r="BV713" s="11" t="n">
        <f>IF(COUNT(BC713,BF713)=2,BC713*BF713,"")</f>
        <v>0</v>
      </c>
      <c r="BW713" s="11" t="n">
        <f>IF(ISNUMBER(BN713),BN713,"")</f>
        <v>1.0395067087630607</v>
      </c>
      <c r="BX713" s="14" t="n">
        <f>IF(ISNUMBER(BR713),BR713,"")</f>
        <v>12</v>
      </c>
      <c r="BY713" s="13" t="n">
        <f>IF(AND(COUNT(BV713,BW713,BX713)=3,MIN(BV713,BW713,BX713)&gt;=0),BV713*BW713*BX713,"")</f>
        <v>0</v>
      </c>
      <c r="BZ713" s="11" t="n">
        <f>IF(ISNUMBER(BO713),BO713,"")</f>
        <v>0.9890368360033146</v>
      </c>
      <c r="CA713" s="14" t="n">
        <f>IF(ISNUMBER(BS713),BS713,"")</f>
        <v>30</v>
      </c>
      <c r="CB713" s="13" t="n">
        <f>IF(AND(COUNT(BV713,BZ713,CA713)=3,MIN(BV713,BZ713,CA713)&gt;=0),BV713*BZ713*CA713,"")</f>
        <v>0</v>
      </c>
      <c r="CC713" s="11" t="n">
        <f>IF(ISNUMBER(BP713),BP713,"")</f>
        <v>0.7800796503018808</v>
      </c>
      <c r="CD713" s="14" t="n">
        <f>IF(ISNUMBER(BT713),BT713,"")</f>
        <v>31</v>
      </c>
      <c r="CE713" s="13" t="n">
        <f>IF(AND(COUNT(BV713,CC713,CD713)=3,MIN(BV713,CC713,CD713)&gt;=0),BV713*CC713*CD713,"")</f>
        <v>0</v>
      </c>
      <c r="CF713" s="11" t="n">
        <f>IF(ISNUMBER(BQ713),BQ713,"")</f>
        <v>1.2908918272824135</v>
      </c>
      <c r="CG713" s="14" t="n">
        <f>IF(ISNUMBER(BU713),BU713,"")</f>
        <v>17</v>
      </c>
      <c r="CH713" s="13" t="n">
        <f>IF(AND(COUNT(BV713,CF713,CG713)=3,MIN(BV713,CF713,CG713)&gt;=0),BV713*CF713*CG713,"")</f>
        <v>0</v>
      </c>
      <c r="CI713" s="13" t="n">
        <f>IF(COUNT(BY713,CB713,CE713,CH713)=4,SUM(BY713,CB713,CE713,CH713),"")</f>
        <v>0</v>
      </c>
    </row>
    <row r="714" ht="72" customHeight="1">
      <c r="A714" s="16" t="str">
        <v>32582-MT-39.5</v>
      </c>
      <c r="B714" s="16" t="str">
        <v>3店-SANDIEX-US</v>
      </c>
      <c r="C714" s="16" t="str">
        <v>徐新怡</v>
      </c>
      <c r="D714" s="26" t="n">
        <f>IF(NOT(ISNUMBER(E714)),"",IF(OR(E714&lt;=0,L714=0),0,IF(OR(NOT(ISNUMBER(F714)),F714&lt;0),"",MIN(E714,INT(F714)))))</f>
        <v>0</v>
      </c>
      <c r="E714" s="27" t="n">
        <f>IF(OR(NOT(ISNUMBER(L714)),COUNT(M714:O714)&lt;&gt;3,MIN(M714:O714)&lt;0),"",ROUNDUP(ROUND(BI714-SUM(M714:O714),10),0))</f>
        <v>-3</v>
      </c>
      <c r="F714" s="28" t="n">
        <v>31</v>
      </c>
      <c r="G714" s="28" t="n">
        <f>IF(AND(ISNUMBER(D714),ISNUMBER(E714)),IF(OR(E714&lt;=0,L714=0),0,E714-D714),"")</f>
        <v>0</v>
      </c>
      <c r="H714" s="16" t="str">
        <f>IF(NOT(ISNUMBER(E714)),"销量或海外库存待补",IF(OR(E714&lt;=0,L714=0),IF(L714=0,"零日销，本批不发","本批无需补货"),IF(NOT(ISNUMBER(D714)),"国内库存待补",IF(D714=0,"国内无可用库存",IF(G714&gt;0,"先发国内现货","按建议量发货")))))</f>
        <v>本批无需补货</v>
      </c>
      <c r="I714" s="28" t="n">
        <f>IF(AND(COUNT(Z714,AA714,AB714)=3,Z714&gt;=AA714,AA714&gt;=0,AB714=7),Z714-AA714,"")</f>
        <v>1</v>
      </c>
      <c r="J714" s="28" t="n">
        <f>IF(AND(COUNT(AF714,AG714,AH714)=3,AF714&gt;=AG714,AG714&gt;=0,AH714=14),AF714-AG714,"")</f>
        <v>2</v>
      </c>
      <c r="K714" s="28" t="n">
        <f>IF(AND(COUNT(AL714,AM714,AN714)=3,AL714&gt;=AM714,AM714&gt;=0,AN714=30),AL714-AM714,"")</f>
        <v>3</v>
      </c>
      <c r="L714" s="29" t="n">
        <f>IF(ISNUMBER(BI714),BI714/90,"")</f>
        <v>0.12867808114588206</v>
      </c>
      <c r="M714" s="28" t="n">
        <v>4</v>
      </c>
      <c r="N714" s="28" t="n">
        <v>0</v>
      </c>
      <c r="O714" s="28" t="n">
        <v>10</v>
      </c>
      <c r="P714" s="30" t="n">
        <f>IF(AND(ISNUMBER(L714),L714&gt;0,COUNT(M714:O714)=3,MIN(M714:O714)&gt;=0),SUM(M714:O714)/L714,"")</f>
        <v>108.79863823993638</v>
      </c>
      <c r="Q714" s="16" t="str">
        <v>沿用原计划SKU店铺</v>
      </c>
      <c r="R714" s="16" t="str">
        <v>已匹配</v>
      </c>
      <c r="S714" s="16" t="str">
        <v>在售</v>
      </c>
      <c r="T714" s="16" t="str">
        <v>32582</v>
      </c>
      <c r="U714" s="16" t="str">
        <v>黄色</v>
      </c>
      <c r="V714" s="16" t="n">
        <v>8.5</v>
      </c>
      <c r="W714" s="8" t="str">
        <v>2026-10-11 至 2026-10-17</v>
      </c>
      <c r="X714" s="8" t="str">
        <v>2026-10-11、2026-10-12、2026-10-13、2026-10-14、2026-10-15、2026-10-16、2026-10-17</v>
      </c>
      <c r="Y714" s="8" t="str">
        <v>无</v>
      </c>
      <c r="Z714" s="8" t="n">
        <v>1</v>
      </c>
      <c r="AA714" s="8" t="n">
        <v>0</v>
      </c>
      <c r="AB714" s="8" t="n">
        <v>7</v>
      </c>
      <c r="AC714" s="8" t="str">
        <v>2026-10-02 至 2026-10-17</v>
      </c>
      <c r="AD714" s="8" t="str">
        <v>2026-10-02、2026-10-03、2026-10-04、2026-10-05、2026-10-08、2026-10-09、2026-10-10、2026-10-11、2026-10-12、2026-10-13、2026-10-14、2026-10-15、2026-10-16、2026-10-17</v>
      </c>
      <c r="AE714" s="8" t="str">
        <v>2026-10-06 大促；2026-10-07 大促</v>
      </c>
      <c r="AF714" s="8" t="n">
        <v>3</v>
      </c>
      <c r="AG714" s="8" t="n">
        <v>1</v>
      </c>
      <c r="AH714" s="8" t="n">
        <v>14</v>
      </c>
      <c r="AI714" s="8" t="str">
        <v>2026-09-16 至 2026-10-17</v>
      </c>
      <c r="AJ7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4" s="8" t="str">
        <v>2026-10-06 大促；2026-10-07 大促</v>
      </c>
      <c r="AL714" s="8" t="n">
        <v>4</v>
      </c>
      <c r="AM714" s="8" t="n">
        <v>1</v>
      </c>
      <c r="AN714" s="8" t="n">
        <v>30</v>
      </c>
      <c r="AO714" s="8" t="str">
        <v>32582 / 黄色羊京绒 / 6574</v>
      </c>
      <c r="AP714" s="11" t="n">
        <v>1.0395067087630607</v>
      </c>
      <c r="AQ714" s="11" t="n">
        <v>1.0395067087630607</v>
      </c>
      <c r="AR714" s="11" t="n">
        <v>1.0707336504782758</v>
      </c>
      <c r="AS714" s="11" t="n">
        <f>IF(AND(COUNT(I714:K714,AP714:AR714)=6,MIN(AP714:AR714)&gt;0),I714/7/AP714*0.5+J714/14/AQ714*0.3+K714/30/AR714*0.2,"")</f>
        <v>0.12862103912801132</v>
      </c>
      <c r="AT714" s="8" t="n">
        <v>12</v>
      </c>
      <c r="AU714" s="8" t="n">
        <v>1</v>
      </c>
      <c r="AV714" s="8" t="n">
        <v>88</v>
      </c>
      <c r="AW714" s="11" t="n">
        <f>IF(AND(COUNT(AT714:AV714)=3,AT714&gt;=AU714,AU714&gt;=0,AV714&gt;0),(AT714-AU714)/AV714,"")</f>
        <v>0.125</v>
      </c>
      <c r="AX714" s="8" t="n">
        <v>22</v>
      </c>
      <c r="AY714" s="8" t="n">
        <v>1</v>
      </c>
      <c r="AZ714" s="8" t="n">
        <v>178</v>
      </c>
      <c r="BA714" s="11" t="n">
        <f>IF(AND(COUNT(AX714:AZ714)=3,AX714&gt;=AY714,AY714&gt;=0,AZ714&gt;0),(AX714-AY714)/AZ714,"")</f>
        <v>0.11797752808988764</v>
      </c>
      <c r="BB714" s="8" t="n">
        <f>IF(COUNT(AS714,AW714,BA714)=3,1,0)</f>
        <v>1</v>
      </c>
      <c r="BC714" s="11" t="n">
        <f>IF(SUMIF($AO$11:$AO$1309,AO714,$BB$11:$BB$1309)=COUNTIF($AO$11:$AO$1309,AO714),SUMIF($AO$11:$AO$1309,AO714,$AS$11:$AS$1309),"")</f>
        <v>0.47872862187367615</v>
      </c>
      <c r="BD714" s="11" t="n">
        <f>IF(SUMIF($AO$11:$AO$1309,AO714,$BB$11:$BB$1309)=COUNTIF($AO$11:$AO$1309,AO714),SUMIF($AO$11:$AO$1309,AO714,$AW$11:$AW$1309),"")</f>
        <v>0.4244652406417112</v>
      </c>
      <c r="BE714" s="11" t="n">
        <f>IF(SUMIF($AO$11:$AO$1309,AO714,$BB$11:$BB$1309)=COUNTIF($AO$11:$AO$1309,AO714),SUMIF($AO$11:$AO$1309,AO714,$BA$11:$BA$1309),"")</f>
        <v>0.5211878009630819</v>
      </c>
      <c r="BF714" s="12" t="n">
        <f>IF(COUNT(BD714:BE714)&lt;&gt;2,"",IF(AND(BD714&gt;0,BE714&gt;0),0.7*AW714/BD714+0.3*BA714/BE714,IF(BD714&gt;0,AW714/BD714,IF(BE714&gt;0,BA714/BE714,IF(AND(ISNUMBER(BH714),BH714=0),0,"")))))</f>
        <v>0.274050571211706</v>
      </c>
      <c r="BG714" s="11" t="n">
        <f>IF(AND(COUNT(BN714:BU714)=8,MIN(BN714:BU714)&gt;=0),SUMPRODUCT(BN714:BQ714,BR714:BU714),"")</f>
        <v>88.27281580841549</v>
      </c>
      <c r="BH714" s="11" t="n">
        <f>IF(COUNT(BC714,BG714)=2,BC714*BG714,"")</f>
        <v>42.2587234608716</v>
      </c>
      <c r="BI714" s="11" t="n">
        <f>IF(ISNUMBER(CI714),CI714,"")</f>
        <v>11.581027303129385</v>
      </c>
      <c r="BJ714" s="8" t="str"/>
      <c r="BK714" s="8" t="str">
        <v>90天：2026-07-20 至 2026-10-17；180天：2026-04-21 至 2026-10-17</v>
      </c>
      <c r="BL714" s="8" t="str">
        <v>90天：2026-10-06、2026-10-07；180天：2026-10-06、2026-10-07</v>
      </c>
      <c r="BM714" s="8" t="str">
        <v>2026-10：12天 × 1.0395067087630607；2026-11：30天 × 0.9890368360033146；2026-12：31天 × 0.7800796503018808；2027-01：17天 × 1.2908918272824135</v>
      </c>
      <c r="BN714" s="11" t="n">
        <v>1.0395067087630607</v>
      </c>
      <c r="BO714" s="11" t="n">
        <v>0.9890368360033146</v>
      </c>
      <c r="BP714" s="11" t="n">
        <v>0.7800796503018808</v>
      </c>
      <c r="BQ714" s="11" t="n">
        <v>1.2908918272824135</v>
      </c>
      <c r="BR714" s="8" t="n">
        <v>12</v>
      </c>
      <c r="BS714" s="8" t="n">
        <v>30</v>
      </c>
      <c r="BT714" s="8" t="n">
        <v>31</v>
      </c>
      <c r="BU714" s="8" t="n">
        <v>17</v>
      </c>
      <c r="BV714" s="11" t="n">
        <f>IF(COUNT(BC714,BF714)=2,BC714*BF714,"")</f>
        <v>0.13119585227987376</v>
      </c>
      <c r="BW714" s="11" t="n">
        <f>IF(ISNUMBER(BN714),BN714,"")</f>
        <v>1.0395067087630607</v>
      </c>
      <c r="BX714" s="14" t="n">
        <f>IF(ISNUMBER(BR714),BR714,"")</f>
        <v>12</v>
      </c>
      <c r="BY714" s="13" t="n">
        <f>IF(AND(COUNT(BV714,BW714,BX714)=3,MIN(BV714,BW714,BX714)&gt;=0),BV714*BW714*BX714,"")</f>
        <v>1.6365476232817953</v>
      </c>
      <c r="BZ714" s="11" t="n">
        <f>IF(ISNUMBER(BO714),BO714,"")</f>
        <v>0.9890368360033146</v>
      </c>
      <c r="CA714" s="14" t="n">
        <f>IF(ISNUMBER(BS714),BS714,"")</f>
        <v>30</v>
      </c>
      <c r="CB714" s="13" t="n">
        <f>IF(AND(COUNT(BV714,BZ714,CA714)=3,MIN(BV714,BZ714,CA714)&gt;=0),BV714*BZ714*CA714,"")</f>
        <v>3.892725919069338</v>
      </c>
      <c r="CC714" s="11" t="n">
        <f>IF(ISNUMBER(BP714),BP714,"")</f>
        <v>0.7800796503018808</v>
      </c>
      <c r="CD714" s="14" t="n">
        <f>IF(ISNUMBER(BT714),BT714,"")</f>
        <v>31</v>
      </c>
      <c r="CE714" s="13" t="n">
        <f>IF(AND(COUNT(BV714,CC714,CD714)=3,MIN(BV714,CC714,CD714)&gt;=0),BV714*CC714*CD714,"")</f>
        <v>3.172639651593775</v>
      </c>
      <c r="CF714" s="11" t="n">
        <f>IF(ISNUMBER(BQ714),BQ714,"")</f>
        <v>1.2908918272824135</v>
      </c>
      <c r="CG714" s="14" t="n">
        <f>IF(ISNUMBER(BU714),BU714,"")</f>
        <v>17</v>
      </c>
      <c r="CH714" s="13" t="n">
        <f>IF(AND(COUNT(BV714,CF714,CG714)=3,MIN(BV714,CF714,CG714)&gt;=0),BV714*CF714*CG714,"")</f>
        <v>2.879114109184477</v>
      </c>
      <c r="CI714" s="13" t="n">
        <f>IF(COUNT(BY714,CB714,CE714,CH714)=4,SUM(BY714,CB714,CE714,CH714),"")</f>
        <v>11.581027303129385</v>
      </c>
    </row>
    <row r="715" ht="72" customHeight="1">
      <c r="A715" s="16" t="str">
        <v>32582-MT-41.5</v>
      </c>
      <c r="B715" s="16" t="str">
        <v>3店-SANDIEX-US</v>
      </c>
      <c r="C715" s="16" t="str">
        <v>徐新怡</v>
      </c>
      <c r="D715" s="26" t="n">
        <f>IF(NOT(ISNUMBER(E715)),"",IF(OR(E715&lt;=0,L715=0),0,IF(OR(NOT(ISNUMBER(F715)),F715&lt;0),"",MIN(E715,INT(F715)))))</f>
        <v>0</v>
      </c>
      <c r="E715" s="27" t="n">
        <f>IF(OR(NOT(ISNUMBER(L715)),COUNT(M715:O715)&lt;&gt;3,MIN(M715:O715)&lt;0),"",ROUNDUP(ROUND(BI715-SUM(M715:O715),10),0))</f>
        <v>0</v>
      </c>
      <c r="F715" s="28"/>
      <c r="G715" s="28" t="n">
        <f>IF(AND(ISNUMBER(D715),ISNUMBER(E715)),IF(OR(E715&lt;=0,L715=0),0,E715-D715),"")</f>
        <v>0</v>
      </c>
      <c r="H715" s="16" t="str">
        <f>IF(NOT(ISNUMBER(E715)),"销量或海外库存待补",IF(OR(E715&lt;=0,L715=0),IF(L715=0,"零日销，本批不发","本批无需补货"),IF(NOT(ISNUMBER(D715)),"国内库存待补",IF(D715=0,"国内无可用库存",IF(G715&gt;0,"先发国内现货","按建议量发货")))))</f>
        <v>零日销，本批不发</v>
      </c>
      <c r="I715" s="28" t="n">
        <f>IF(AND(COUNT(Z715,AA715,AB715)=3,Z715&gt;=AA715,AA715&gt;=0,AB715=7),Z715-AA715,"")</f>
        <v>0</v>
      </c>
      <c r="J715" s="28" t="n">
        <f>IF(AND(COUNT(AF715,AG715,AH715)=3,AF715&gt;=AG715,AG715&gt;=0,AH715=14),AF715-AG715,"")</f>
        <v>0</v>
      </c>
      <c r="K715" s="28" t="n">
        <f>IF(AND(COUNT(AL715,AM715,AN715)=3,AL715&gt;=AM715,AM715&gt;=0,AN715=30),AL715-AM715,"")</f>
        <v>0</v>
      </c>
      <c r="L715" s="29" t="n">
        <f>IF(ISNUMBER(BI715),BI715/90,"")</f>
        <v>0</v>
      </c>
      <c r="M715" s="28" t="n">
        <v>0</v>
      </c>
      <c r="N715" s="28" t="n">
        <v>0</v>
      </c>
      <c r="O715" s="28" t="n">
        <v>0</v>
      </c>
      <c r="P715" s="30" t="str">
        <f>IF(AND(ISNUMBER(L715),L715&gt;0,COUNT(M715:O715)=3,MIN(M715:O715)&gt;=0),SUM(M715:O715)/L715,"")</f>
      </c>
      <c r="Q715" s="16" t="str">
        <v>沿用原计划SKU店铺</v>
      </c>
      <c r="R715" s="16" t="str">
        <v>未匹配</v>
      </c>
      <c r="S715" s="16" t="str">
        <v>停售</v>
      </c>
      <c r="T715" s="16" t="str">
        <v>32582</v>
      </c>
      <c r="U715" s="16" t="str">
        <v>黄色</v>
      </c>
      <c r="V715" s="16" t="n">
        <v>10.5</v>
      </c>
      <c r="W715" s="8" t="str">
        <v>2026-10-08 至 2026-10-17</v>
      </c>
      <c r="X715" s="8" t="str">
        <v>2026-10-08、2026-10-09、2026-10-10、2026-10-11、2026-10-14、2026-10-15、2026-10-17</v>
      </c>
      <c r="Y715" s="8" t="str">
        <v>2026-10-12 有记录的停售日；2026-10-13 有记录的停售日；2026-10-16 有记录的停售日</v>
      </c>
      <c r="Z715" s="8" t="n">
        <v>0</v>
      </c>
      <c r="AA715" s="8" t="n">
        <v>0</v>
      </c>
      <c r="AB715" s="8" t="n">
        <v>7</v>
      </c>
      <c r="AC715" s="8" t="str">
        <v>2026-09-29 至 2026-10-17</v>
      </c>
      <c r="AD715" s="8" t="str">
        <v>2026-09-29、2026-09-30、2026-10-01、2026-10-02、2026-10-03、2026-10-04、2026-10-05、2026-10-08、2026-10-09、2026-10-10、2026-10-11、2026-10-14、2026-10-15、2026-10-17</v>
      </c>
      <c r="AE715" s="8" t="str">
        <v>2026-10-06 大促；2026-10-07 大促；2026-10-12 有记录的停售日；2026-10-13 有记录的停售日；2026-10-16 有记录的停售日</v>
      </c>
      <c r="AF715" s="8" t="n">
        <v>0</v>
      </c>
      <c r="AG715" s="8" t="n">
        <v>0</v>
      </c>
      <c r="AH715" s="8" t="n">
        <v>14</v>
      </c>
      <c r="AI715" s="8" t="str">
        <v>2026-09-13 至 2026-10-17</v>
      </c>
      <c r="AJ7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15" s="8" t="str">
        <v>2026-10-06 大促；2026-10-07 大促；2026-10-12 有记录的停售日；2026-10-13 有记录的停售日；2026-10-16 有记录的停售日</v>
      </c>
      <c r="AL715" s="8" t="n">
        <v>0</v>
      </c>
      <c r="AM715" s="8" t="n">
        <v>0</v>
      </c>
      <c r="AN715" s="8" t="n">
        <v>30</v>
      </c>
      <c r="AO715" s="8" t="str">
        <v>32582 / 黄色羊京绒 / 6574</v>
      </c>
      <c r="AP715" s="11" t="n">
        <v>1.0395067087630607</v>
      </c>
      <c r="AQ715" s="11" t="n">
        <v>1.048428692110265</v>
      </c>
      <c r="AR715" s="11" t="n">
        <v>1.076979038821319</v>
      </c>
      <c r="AS715" s="11" t="n">
        <f>IF(AND(COUNT(I715:K715,AP715:AR715)=6,MIN(AP715:AR715)&gt;0),I715/7/AP715*0.5+J715/14/AQ715*0.3+K715/30/AR715*0.2,"")</f>
        <v>0</v>
      </c>
      <c r="AT715" s="8" t="n">
        <v>0</v>
      </c>
      <c r="AU715" s="8" t="n">
        <v>0</v>
      </c>
      <c r="AV715" s="8" t="n">
        <v>85</v>
      </c>
      <c r="AW715" s="11" t="n">
        <f>IF(AND(COUNT(AT715:AV715)=3,AT715&gt;=AU715,AU715&gt;=0,AV715&gt;0),(AT715-AU715)/AV715,"")</f>
        <v>0</v>
      </c>
      <c r="AX715" s="8" t="n">
        <v>0</v>
      </c>
      <c r="AY715" s="8" t="n">
        <v>0</v>
      </c>
      <c r="AZ715" s="8" t="n">
        <v>175</v>
      </c>
      <c r="BA715" s="11" t="n">
        <f>IF(AND(COUNT(AX715:AZ715)=3,AX715&gt;=AY715,AY715&gt;=0,AZ715&gt;0),(AX715-AY715)/AZ715,"")</f>
        <v>0</v>
      </c>
      <c r="BB715" s="8" t="n">
        <f>IF(COUNT(AS715,AW715,BA715)=3,1,0)</f>
        <v>1</v>
      </c>
      <c r="BC715" s="11" t="n">
        <f>IF(SUMIF($AO$11:$AO$1309,AO715,$BB$11:$BB$1309)=COUNTIF($AO$11:$AO$1309,AO715),SUMIF($AO$11:$AO$1309,AO715,$AS$11:$AS$1309),"")</f>
        <v>0.47872862187367615</v>
      </c>
      <c r="BD715" s="11" t="n">
        <f>IF(SUMIF($AO$11:$AO$1309,AO715,$BB$11:$BB$1309)=COUNTIF($AO$11:$AO$1309,AO715),SUMIF($AO$11:$AO$1309,AO715,$AW$11:$AW$1309),"")</f>
        <v>0.4244652406417112</v>
      </c>
      <c r="BE715" s="11" t="n">
        <f>IF(SUMIF($AO$11:$AO$1309,AO715,$BB$11:$BB$1309)=COUNTIF($AO$11:$AO$1309,AO715),SUMIF($AO$11:$AO$1309,AO715,$BA$11:$BA$1309),"")</f>
        <v>0.5211878009630819</v>
      </c>
      <c r="BF715" s="12" t="n">
        <f>IF(COUNT(BD715:BE715)&lt;&gt;2,"",IF(AND(BD715&gt;0,BE715&gt;0),0.7*AW715/BD715+0.3*BA715/BE715,IF(BD715&gt;0,AW715/BD715,IF(BE715&gt;0,BA715/BE715,IF(AND(ISNUMBER(BH715),BH715=0),0,"")))))</f>
        <v>0</v>
      </c>
      <c r="BG715" s="11" t="n">
        <f>IF(AND(COUNT(BN715:BU715)=8,MIN(BN715:BU715)&gt;=0),SUMPRODUCT(BN715:BQ715,BR715:BU715),"")</f>
        <v>88.27281580841549</v>
      </c>
      <c r="BH715" s="11" t="n">
        <f>IF(COUNT(BC715,BG715)=2,BC715*BG715,"")</f>
        <v>42.2587234608716</v>
      </c>
      <c r="BI715" s="11" t="n">
        <f>IF(ISNUMBER(CI715),CI715,"")</f>
        <v>0</v>
      </c>
      <c r="BJ715" s="8" t="str"/>
      <c r="BK715" s="8" t="str">
        <v>90天：2026-07-20 至 2026-10-17；180天：2026-04-21 至 2026-10-17</v>
      </c>
      <c r="BL715" s="8" t="str">
        <v>90天：2026-10-06、2026-10-07、2026-10-12、2026-10-13、2026-10-16；180天：2026-10-06、2026-10-07、2026-10-12、2026-10-13、2026-10-16</v>
      </c>
      <c r="BM715" s="8" t="str">
        <v>2026-10：12天 × 1.0395067087630607；2026-11：30天 × 0.9890368360033146；2026-12：31天 × 0.7800796503018808；2027-01：17天 × 1.2908918272824135</v>
      </c>
      <c r="BN715" s="11" t="n">
        <v>1.0395067087630607</v>
      </c>
      <c r="BO715" s="11" t="n">
        <v>0.9890368360033146</v>
      </c>
      <c r="BP715" s="11" t="n">
        <v>0.7800796503018808</v>
      </c>
      <c r="BQ715" s="11" t="n">
        <v>1.2908918272824135</v>
      </c>
      <c r="BR715" s="8" t="n">
        <v>12</v>
      </c>
      <c r="BS715" s="8" t="n">
        <v>30</v>
      </c>
      <c r="BT715" s="8" t="n">
        <v>31</v>
      </c>
      <c r="BU715" s="8" t="n">
        <v>17</v>
      </c>
      <c r="BV715" s="11" t="n">
        <f>IF(COUNT(BC715,BF715)=2,BC715*BF715,"")</f>
        <v>0</v>
      </c>
      <c r="BW715" s="11" t="n">
        <f>IF(ISNUMBER(BN715),BN715,"")</f>
        <v>1.0395067087630607</v>
      </c>
      <c r="BX715" s="14" t="n">
        <f>IF(ISNUMBER(BR715),BR715,"")</f>
        <v>12</v>
      </c>
      <c r="BY715" s="13" t="n">
        <f>IF(AND(COUNT(BV715,BW715,BX715)=3,MIN(BV715,BW715,BX715)&gt;=0),BV715*BW715*BX715,"")</f>
        <v>0</v>
      </c>
      <c r="BZ715" s="11" t="n">
        <f>IF(ISNUMBER(BO715),BO715,"")</f>
        <v>0.9890368360033146</v>
      </c>
      <c r="CA715" s="14" t="n">
        <f>IF(ISNUMBER(BS715),BS715,"")</f>
        <v>30</v>
      </c>
      <c r="CB715" s="13" t="n">
        <f>IF(AND(COUNT(BV715,BZ715,CA715)=3,MIN(BV715,BZ715,CA715)&gt;=0),BV715*BZ715*CA715,"")</f>
        <v>0</v>
      </c>
      <c r="CC715" s="11" t="n">
        <f>IF(ISNUMBER(BP715),BP715,"")</f>
        <v>0.7800796503018808</v>
      </c>
      <c r="CD715" s="14" t="n">
        <f>IF(ISNUMBER(BT715),BT715,"")</f>
        <v>31</v>
      </c>
      <c r="CE715" s="13" t="n">
        <f>IF(AND(COUNT(BV715,CC715,CD715)=3,MIN(BV715,CC715,CD715)&gt;=0),BV715*CC715*CD715,"")</f>
        <v>0</v>
      </c>
      <c r="CF715" s="11" t="n">
        <f>IF(ISNUMBER(BQ715),BQ715,"")</f>
        <v>1.2908918272824135</v>
      </c>
      <c r="CG715" s="14" t="n">
        <f>IF(ISNUMBER(BU715),BU715,"")</f>
        <v>17</v>
      </c>
      <c r="CH715" s="13" t="n">
        <f>IF(AND(COUNT(BV715,CF715,CG715)=3,MIN(BV715,CF715,CG715)&gt;=0),BV715*CF715*CG715,"")</f>
        <v>0</v>
      </c>
      <c r="CI715" s="13" t="n">
        <f>IF(COUNT(BY715,CB715,CE715,CH715)=4,SUM(BY715,CB715,CE715,CH715),"")</f>
        <v>0</v>
      </c>
    </row>
    <row r="716" ht="72" customHeight="1">
      <c r="A716" s="16" t="str">
        <v>32582-ND-37</v>
      </c>
      <c r="B716" s="16" t="str">
        <v>3店-SANDIEX-US</v>
      </c>
      <c r="C716" s="16" t="str">
        <v>徐新怡</v>
      </c>
      <c r="D716" s="26" t="n">
        <f>IF(NOT(ISNUMBER(E716)),"",IF(OR(E716&lt;=0,L716=0),0,IF(OR(NOT(ISNUMBER(F716)),F716&lt;0),"",MIN(E716,INT(F716)))))</f>
        <v>0</v>
      </c>
      <c r="E716" s="27" t="n">
        <f>IF(OR(NOT(ISNUMBER(L716)),COUNT(M716:O716)&lt;&gt;3,MIN(M716:O716)&lt;0),"",ROUNDUP(ROUND(BI716-SUM(M716:O716),10),0))</f>
        <v>-8</v>
      </c>
      <c r="F716" s="28" t="n">
        <v>8</v>
      </c>
      <c r="G716" s="28" t="n">
        <f>IF(AND(ISNUMBER(D716),ISNUMBER(E716)),IF(OR(E716&lt;=0,L716=0),0,E716-D716),"")</f>
        <v>0</v>
      </c>
      <c r="H716" s="16" t="str">
        <f>IF(NOT(ISNUMBER(E716)),"销量或海外库存待补",IF(OR(E716&lt;=0,L716=0),IF(L716=0,"零日销，本批不发","本批无需补货"),IF(NOT(ISNUMBER(D716)),"国内库存待补",IF(D716=0,"国内无可用库存",IF(G716&gt;0,"先发国内现货","按建议量发货")))))</f>
        <v>本批无需补货</v>
      </c>
      <c r="I716" s="28" t="n">
        <f>IF(AND(COUNT(Z716,AA716,AB716)=3,Z716&gt;=AA716,AA716&gt;=0,AB716=7),Z716-AA716,"")</f>
        <v>1</v>
      </c>
      <c r="J716" s="28" t="n">
        <f>IF(AND(COUNT(AF716,AG716,AH716)=3,AF716&gt;=AG716,AG716&gt;=0,AH716=14),AF716-AG716,"")</f>
        <v>3</v>
      </c>
      <c r="K716" s="28" t="n">
        <f>IF(AND(COUNT(AL716,AM716,AN716)=3,AL716&gt;=AM716,AM716&gt;=0,AN716=30),AL716-AM716,"")</f>
        <v>7</v>
      </c>
      <c r="L716" s="29" t="n">
        <f>IF(ISNUMBER(BI716),BI716/90,"")</f>
        <v>0.11764314199567102</v>
      </c>
      <c r="M716" s="28" t="n">
        <v>8</v>
      </c>
      <c r="N716" s="28" t="n">
        <v>0</v>
      </c>
      <c r="O716" s="28" t="n">
        <v>10</v>
      </c>
      <c r="P716" s="30" t="n">
        <f>IF(AND(ISNUMBER(L716),L716&gt;0,COUNT(M716:O716)=3,MIN(M716:O716)&gt;=0),SUM(M716:O716)/L716,"")</f>
        <v>153.0050940042247</v>
      </c>
      <c r="Q716" s="16" t="str">
        <v>沿用原计划SKU店铺</v>
      </c>
      <c r="R716" s="16" t="str">
        <v>已匹配</v>
      </c>
      <c r="S716" s="16" t="str">
        <v>在售</v>
      </c>
      <c r="T716" s="16" t="str">
        <v>32582</v>
      </c>
      <c r="U716" s="16" t="str">
        <v>裸色</v>
      </c>
      <c r="V716" s="16" t="n">
        <v>6</v>
      </c>
      <c r="W716" s="8" t="str">
        <v>2026-10-11 至 2026-10-17</v>
      </c>
      <c r="X716" s="8" t="str">
        <v>2026-10-11、2026-10-12、2026-10-13、2026-10-14、2026-10-15、2026-10-16、2026-10-17</v>
      </c>
      <c r="Y716" s="8" t="str">
        <v>无</v>
      </c>
      <c r="Z716" s="8" t="n">
        <v>1</v>
      </c>
      <c r="AA716" s="8" t="n">
        <v>0</v>
      </c>
      <c r="AB716" s="8" t="n">
        <v>7</v>
      </c>
      <c r="AC716" s="8" t="str">
        <v>2026-10-02 至 2026-10-17</v>
      </c>
      <c r="AD716" s="8" t="str">
        <v>2026-10-02、2026-10-03、2026-10-04、2026-10-05、2026-10-08、2026-10-09、2026-10-10、2026-10-11、2026-10-12、2026-10-13、2026-10-14、2026-10-15、2026-10-16、2026-10-17</v>
      </c>
      <c r="AE716" s="8" t="str">
        <v>2026-10-06 大促；2026-10-07 大促</v>
      </c>
      <c r="AF716" s="8" t="n">
        <v>4</v>
      </c>
      <c r="AG716" s="8" t="n">
        <v>1</v>
      </c>
      <c r="AH716" s="8" t="n">
        <v>14</v>
      </c>
      <c r="AI716" s="8" t="str">
        <v>2026-09-16 至 2026-10-17</v>
      </c>
      <c r="AJ7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6" s="8" t="str">
        <v>2026-10-06 大促；2026-10-07 大促</v>
      </c>
      <c r="AL716" s="8" t="n">
        <v>8</v>
      </c>
      <c r="AM716" s="8" t="n">
        <v>1</v>
      </c>
      <c r="AN716" s="8" t="n">
        <v>30</v>
      </c>
      <c r="AO716" s="8" t="str">
        <v>32582 / 裸色羊京绒 / 6574</v>
      </c>
      <c r="AP716" s="11" t="n">
        <v>1.0395067087630607</v>
      </c>
      <c r="AQ716" s="11" t="n">
        <v>1.0395067087630607</v>
      </c>
      <c r="AR716" s="11" t="n">
        <v>1.0707336504782758</v>
      </c>
      <c r="AS716" s="11" t="n">
        <f>IF(AND(COUNT(I716:K716,AP716:AR716)=6,MIN(AP716:AR716)&gt;0),I716/7/AP716*0.5+J716/14/AQ716*0.3+K716/30/AR716*0.2,"")</f>
        <v>0.17414025453815726</v>
      </c>
      <c r="AT716" s="8" t="n">
        <v>14</v>
      </c>
      <c r="AU716" s="8" t="n">
        <v>1</v>
      </c>
      <c r="AV716" s="8" t="n">
        <v>88</v>
      </c>
      <c r="AW716" s="11" t="n">
        <f>IF(AND(COUNT(AT716:AV716)=3,AT716&gt;=AU716,AU716&gt;=0,AV716&gt;0),(AT716-AU716)/AV716,"")</f>
        <v>0.14772727272727273</v>
      </c>
      <c r="AX716" s="8" t="n">
        <v>27</v>
      </c>
      <c r="AY716" s="8" t="n">
        <v>1</v>
      </c>
      <c r="AZ716" s="8" t="n">
        <v>178</v>
      </c>
      <c r="BA716" s="11" t="n">
        <f>IF(AND(COUNT(AX716:AZ716)=3,AX716&gt;=AY716,AY716&gt;=0,AZ716&gt;0),(AX716-AY716)/AZ716,"")</f>
        <v>0.14606741573033707</v>
      </c>
      <c r="BB716" s="8" t="n">
        <f>IF(COUNT(AS716,AW716,BA716)=3,1,0)</f>
        <v>1</v>
      </c>
      <c r="BC716" s="11" t="n">
        <f>IF(SUMIF($AO$11:$AO$1309,AO716,$BB$11:$BB$1309)=COUNTIF($AO$11:$AO$1309,AO716),SUMIF($AO$11:$AO$1309,AO716,$AS$11:$AS$1309),"")</f>
        <v>1.469700342349848</v>
      </c>
      <c r="BD716" s="11" t="n">
        <f>IF(SUMIF($AO$11:$AO$1309,AO716,$BB$11:$BB$1309)=COUNTIF($AO$11:$AO$1309,AO716),SUMIF($AO$11:$AO$1309,AO716,$AW$11:$AW$1309),"")</f>
        <v>1.858288770053476</v>
      </c>
      <c r="BE716" s="11" t="n">
        <f>IF(SUMIF($AO$11:$AO$1309,AO716,$BB$11:$BB$1309)=COUNTIF($AO$11:$AO$1309,AO716),SUMIF($AO$11:$AO$1309,AO716,$BA$11:$BA$1309),"")</f>
        <v>1.6877046548956662</v>
      </c>
      <c r="BF716" s="12" t="n">
        <f>IF(COUNT(BD716:BE716)&lt;&gt;2,"",IF(AND(BD716&gt;0,BE716&gt;0),0.7*AW716/BD716+0.3*BA716/BE716,IF(BD716&gt;0,AW716/BD716,IF(BE716&gt;0,BA716/BE716,IF(AND(ISNUMBER(BH716),BH716=0),0,"")))))</f>
        <v>0.08161187370578314</v>
      </c>
      <c r="BG716" s="11" t="n">
        <f>IF(AND(COUNT(BN716:BU716)=8,MIN(BN716:BU716)&gt;=0),SUMPRODUCT(BN716:BQ716,BR716:BU716),"")</f>
        <v>88.27281580841549</v>
      </c>
      <c r="BH716" s="11" t="n">
        <f>IF(COUNT(BC716,BG716)=2,BC716*BG716,"")</f>
        <v>129.73458761381332</v>
      </c>
      <c r="BI716" s="11" t="n">
        <f>IF(ISNUMBER(CI716),CI716,"")</f>
        <v>10.587882779610393</v>
      </c>
      <c r="BJ716" s="8" t="str"/>
      <c r="BK716" s="8" t="str">
        <v>90天：2026-07-20 至 2026-10-17；180天：2026-04-21 至 2026-10-17</v>
      </c>
      <c r="BL716" s="8" t="str">
        <v>90天：2026-10-06、2026-10-07；180天：2026-10-06、2026-10-07</v>
      </c>
      <c r="BM716" s="8" t="str">
        <v>2026-10：12天 × 1.0395067087630607；2026-11：30天 × 0.9890368360033146；2026-12：31天 × 0.7800796503018808；2027-01：17天 × 1.2908918272824135</v>
      </c>
      <c r="BN716" s="11" t="n">
        <v>1.0395067087630607</v>
      </c>
      <c r="BO716" s="11" t="n">
        <v>0.9890368360033146</v>
      </c>
      <c r="BP716" s="11" t="n">
        <v>0.7800796503018808</v>
      </c>
      <c r="BQ716" s="11" t="n">
        <v>1.2908918272824135</v>
      </c>
      <c r="BR716" s="8" t="n">
        <v>12</v>
      </c>
      <c r="BS716" s="8" t="n">
        <v>30</v>
      </c>
      <c r="BT716" s="8" t="n">
        <v>31</v>
      </c>
      <c r="BU716" s="8" t="n">
        <v>17</v>
      </c>
      <c r="BV716" s="11" t="n">
        <f>IF(COUNT(BC716,BF716)=2,BC716*BF716,"")</f>
        <v>0.11994499872520205</v>
      </c>
      <c r="BW716" s="11" t="n">
        <f>IF(ISNUMBER(BN716),BN716,"")</f>
        <v>1.0395067087630607</v>
      </c>
      <c r="BX716" s="14" t="n">
        <f>IF(ISNUMBER(BR716),BR716,"")</f>
        <v>12</v>
      </c>
      <c r="BY716" s="13" t="n">
        <f>IF(AND(COUNT(BV716,BW716,BX716)=3,MIN(BV716,BW716,BX716)&gt;=0),BV716*BW716*BX716,"")</f>
        <v>1.4962035702890917</v>
      </c>
      <c r="BZ716" s="11" t="n">
        <f>IF(ISNUMBER(BO716),BO716,"")</f>
        <v>0.9890368360033146</v>
      </c>
      <c r="CA716" s="14" t="n">
        <f>IF(ISNUMBER(BS716),BS716,"")</f>
        <v>30</v>
      </c>
      <c r="CB716" s="13" t="n">
        <f>IF(AND(COUNT(BV716,BZ716,CA716)=3,MIN(BV716,BZ716,CA716)&gt;=0),BV716*BZ716*CA716,"")</f>
        <v>3.558900661007863</v>
      </c>
      <c r="CC716" s="11" t="n">
        <f>IF(ISNUMBER(BP716),BP716,"")</f>
        <v>0.7800796503018808</v>
      </c>
      <c r="CD716" s="14" t="n">
        <f>IF(ISNUMBER(BT716),BT716,"")</f>
        <v>31</v>
      </c>
      <c r="CE716" s="13" t="n">
        <f>IF(AND(COUNT(BV716,CC716,CD716)=3,MIN(BV716,CC716,CD716)&gt;=0),BV716*CC716*CD716,"")</f>
        <v>2.9005662324914696</v>
      </c>
      <c r="CF716" s="11" t="n">
        <f>IF(ISNUMBER(BQ716),BQ716,"")</f>
        <v>1.2908918272824135</v>
      </c>
      <c r="CG716" s="14" t="n">
        <f>IF(ISNUMBER(BU716),BU716,"")</f>
        <v>17</v>
      </c>
      <c r="CH716" s="13" t="n">
        <f>IF(AND(COUNT(BV716,CF716,CG716)=3,MIN(BV716,CF716,CG716)&gt;=0),BV716*CF716*CG716,"")</f>
        <v>2.632212315821968</v>
      </c>
      <c r="CI716" s="13" t="n">
        <f>IF(COUNT(BY716,CB716,CE716,CH716)=4,SUM(BY716,CB716,CE716,CH716),"")</f>
        <v>10.587882779610393</v>
      </c>
    </row>
    <row r="717" ht="72" customHeight="1">
      <c r="A717" s="16" t="str">
        <v>32582-ND-37.5</v>
      </c>
      <c r="B717" s="16" t="str">
        <v>3店-SANDIEX-US</v>
      </c>
      <c r="C717" s="16" t="str">
        <v>徐新怡</v>
      </c>
      <c r="D717" s="26" t="n">
        <f>IF(NOT(ISNUMBER(E717)),"",IF(OR(E717&lt;=0,L717=0),0,IF(OR(NOT(ISNUMBER(F717)),F717&lt;0),"",MIN(E717,INT(F717)))))</f>
        <v>0</v>
      </c>
      <c r="E717" s="27" t="n">
        <f>IF(OR(NOT(ISNUMBER(L717)),COUNT(M717:O717)&lt;&gt;3,MIN(M717:O717)&lt;0),"",ROUNDUP(ROUND(BI717-SUM(M717:O717),10),0))</f>
        <v>-7</v>
      </c>
      <c r="F717" s="28" t="n">
        <v>53</v>
      </c>
      <c r="G717" s="28" t="n">
        <f>IF(AND(ISNUMBER(D717),ISNUMBER(E717)),IF(OR(E717&lt;=0,L717=0),0,E717-D717),"")</f>
        <v>0</v>
      </c>
      <c r="H717" s="16" t="str">
        <f>IF(NOT(ISNUMBER(E717)),"销量或海外库存待补",IF(OR(E717&lt;=0,L717=0),IF(L717=0,"零日销，本批不发","本批无需补货"),IF(NOT(ISNUMBER(D717)),"国内库存待补",IF(D717=0,"国内无可用库存",IF(G717&gt;0,"先发国内现货","按建议量发货")))))</f>
        <v>本批无需补货</v>
      </c>
      <c r="I717" s="28" t="n">
        <f>IF(AND(COUNT(Z717,AA717,AB717)=3,Z717&gt;=AA717,AA717&gt;=0,AB717=7),Z717-AA717,"")</f>
        <v>1</v>
      </c>
      <c r="J717" s="28" t="n">
        <f>IF(AND(COUNT(AF717,AG717,AH717)=3,AF717&gt;=AG717,AG717&gt;=0,AH717=14),AF717-AG717,"")</f>
        <v>1</v>
      </c>
      <c r="K717" s="28" t="n">
        <f>IF(AND(COUNT(AL717,AM717,AN717)=3,AL717&gt;=AM717,AM717&gt;=0,AN717=30),AL717-AM717,"")</f>
        <v>4</v>
      </c>
      <c r="L717" s="29" t="n">
        <f>IF(ISNUMBER(BI717),BI717/90,"")</f>
        <v>0.03804975621900465</v>
      </c>
      <c r="M717" s="28" t="n">
        <v>10</v>
      </c>
      <c r="N717" s="28" t="n">
        <v>0</v>
      </c>
      <c r="O717" s="28" t="n">
        <v>0</v>
      </c>
      <c r="P717" s="30" t="n">
        <f>IF(AND(ISNUMBER(L717),L717&gt;0,COUNT(M717:O717)=3,MIN(M717:O717)&gt;=0),SUM(M717:O717)/L717,"")</f>
        <v>262.8137731669701</v>
      </c>
      <c r="Q717" s="16" t="str">
        <v>沿用原计划SKU店铺</v>
      </c>
      <c r="R717" s="16" t="str">
        <v>已匹配</v>
      </c>
      <c r="S717" s="16" t="str">
        <v>在售</v>
      </c>
      <c r="T717" s="16" t="str">
        <v>32582</v>
      </c>
      <c r="U717" s="16" t="str">
        <v>裸色</v>
      </c>
      <c r="V717" s="16" t="n">
        <v>6.5</v>
      </c>
      <c r="W717" s="8" t="str">
        <v>2026-10-11 至 2026-10-17</v>
      </c>
      <c r="X717" s="8" t="str">
        <v>2026-10-11、2026-10-12、2026-10-13、2026-10-14、2026-10-15、2026-10-16、2026-10-17</v>
      </c>
      <c r="Y717" s="8" t="str">
        <v>无</v>
      </c>
      <c r="Z717" s="8" t="n">
        <v>1</v>
      </c>
      <c r="AA717" s="8" t="n">
        <v>0</v>
      </c>
      <c r="AB717" s="8" t="n">
        <v>7</v>
      </c>
      <c r="AC717" s="8" t="str">
        <v>2026-10-02 至 2026-10-17</v>
      </c>
      <c r="AD717" s="8" t="str">
        <v>2026-10-02、2026-10-03、2026-10-04、2026-10-05、2026-10-08、2026-10-09、2026-10-10、2026-10-11、2026-10-12、2026-10-13、2026-10-14、2026-10-15、2026-10-16、2026-10-17</v>
      </c>
      <c r="AE717" s="8" t="str">
        <v>2026-10-06 大促；2026-10-07 大促</v>
      </c>
      <c r="AF717" s="8" t="n">
        <v>1</v>
      </c>
      <c r="AG717" s="8" t="n">
        <v>0</v>
      </c>
      <c r="AH717" s="8" t="n">
        <v>14</v>
      </c>
      <c r="AI717" s="8" t="str">
        <v>2026-09-16 至 2026-10-17</v>
      </c>
      <c r="AJ7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7" s="8" t="str">
        <v>2026-10-06 大促；2026-10-07 大促</v>
      </c>
      <c r="AL717" s="8" t="n">
        <v>4</v>
      </c>
      <c r="AM717" s="8" t="n">
        <v>0</v>
      </c>
      <c r="AN717" s="8" t="n">
        <v>30</v>
      </c>
      <c r="AO717" s="8" t="str">
        <v>32582 / 裸色羊京绒 / 6574</v>
      </c>
      <c r="AP717" s="11" t="n">
        <v>1.0395067087630607</v>
      </c>
      <c r="AQ717" s="11" t="n">
        <v>1.0395067087630607</v>
      </c>
      <c r="AR717" s="11" t="n">
        <v>1.0707336504782758</v>
      </c>
      <c r="AS717" s="11" t="n">
        <f>IF(AND(COUNT(I717:K717,AP717:AR717)=6,MIN(AP717:AR717)&gt;0),I717/7/AP717*0.5+J717/14/AQ717*0.3+K717/30/AR717*0.2,"")</f>
        <v>0.1142331263704382</v>
      </c>
      <c r="AT717" s="8" t="n">
        <v>5</v>
      </c>
      <c r="AU717" s="8" t="n">
        <v>0</v>
      </c>
      <c r="AV717" s="8" t="n">
        <v>88</v>
      </c>
      <c r="AW717" s="11" t="n">
        <f>IF(AND(COUNT(AT717:AV717)=3,AT717&gt;=AU717,AU717&gt;=0,AV717&gt;0),(AT717-AU717)/AV717,"")</f>
        <v>0.056818181818181816</v>
      </c>
      <c r="AX717" s="8" t="n">
        <v>5</v>
      </c>
      <c r="AY717" s="8" t="n">
        <v>0</v>
      </c>
      <c r="AZ717" s="8" t="n">
        <v>178</v>
      </c>
      <c r="BA717" s="11" t="n">
        <f>IF(AND(COUNT(AX717:AZ717)=3,AX717&gt;=AY717,AY717&gt;=0,AZ717&gt;0),(AX717-AY717)/AZ717,"")</f>
        <v>0.028089887640449437</v>
      </c>
      <c r="BB717" s="8" t="n">
        <f>IF(COUNT(AS717,AW717,BA717)=3,1,0)</f>
        <v>1</v>
      </c>
      <c r="BC717" s="11" t="n">
        <f>IF(SUMIF($AO$11:$AO$1309,AO717,$BB$11:$BB$1309)=COUNTIF($AO$11:$AO$1309,AO717),SUMIF($AO$11:$AO$1309,AO717,$AS$11:$AS$1309),"")</f>
        <v>1.469700342349848</v>
      </c>
      <c r="BD717" s="11" t="n">
        <f>IF(SUMIF($AO$11:$AO$1309,AO717,$BB$11:$BB$1309)=COUNTIF($AO$11:$AO$1309,AO717),SUMIF($AO$11:$AO$1309,AO717,$AW$11:$AW$1309),"")</f>
        <v>1.858288770053476</v>
      </c>
      <c r="BE717" s="11" t="n">
        <f>IF(SUMIF($AO$11:$AO$1309,AO717,$BB$11:$BB$1309)=COUNTIF($AO$11:$AO$1309,AO717),SUMIF($AO$11:$AO$1309,AO717,$BA$11:$BA$1309),"")</f>
        <v>1.6877046548956662</v>
      </c>
      <c r="BF717" s="12" t="n">
        <f>IF(COUNT(BD717:BE717)&lt;&gt;2,"",IF(AND(BD717&gt;0,BE717&gt;0),0.7*AW717/BD717+0.3*BA717/BE717,IF(BD717&gt;0,AW717/BD717,IF(BE717&gt;0,BA717/BE717,IF(AND(ISNUMBER(BH717),BH717=0),0,"")))))</f>
        <v>0.026396029946186852</v>
      </c>
      <c r="BG717" s="11" t="n">
        <f>IF(AND(COUNT(BN717:BU717)=8,MIN(BN717:BU717)&gt;=0),SUMPRODUCT(BN717:BQ717,BR717:BU717),"")</f>
        <v>88.27281580841549</v>
      </c>
      <c r="BH717" s="11" t="n">
        <f>IF(COUNT(BC717,BG717)=2,BC717*BG717,"")</f>
        <v>129.73458761381332</v>
      </c>
      <c r="BI717" s="11" t="n">
        <f>IF(ISNUMBER(CI717),CI717,"")</f>
        <v>3.4244780597104185</v>
      </c>
      <c r="BJ717" s="8" t="str"/>
      <c r="BK717" s="8" t="str">
        <v>90天：2026-07-20 至 2026-10-17；180天：2026-04-21 至 2026-10-17</v>
      </c>
      <c r="BL717" s="8" t="str">
        <v>90天：2026-10-06、2026-10-07；180天：2026-10-06、2026-10-07</v>
      </c>
      <c r="BM717" s="8" t="str">
        <v>2026-10：12天 × 1.0395067087630607；2026-11：30天 × 0.9890368360033146；2026-12：31天 × 0.7800796503018808；2027-01：17天 × 1.2908918272824135</v>
      </c>
      <c r="BN717" s="11" t="n">
        <v>1.0395067087630607</v>
      </c>
      <c r="BO717" s="11" t="n">
        <v>0.9890368360033146</v>
      </c>
      <c r="BP717" s="11" t="n">
        <v>0.7800796503018808</v>
      </c>
      <c r="BQ717" s="11" t="n">
        <v>1.2908918272824135</v>
      </c>
      <c r="BR717" s="8" t="n">
        <v>12</v>
      </c>
      <c r="BS717" s="8" t="n">
        <v>30</v>
      </c>
      <c r="BT717" s="8" t="n">
        <v>31</v>
      </c>
      <c r="BU717" s="8" t="n">
        <v>17</v>
      </c>
      <c r="BV717" s="11" t="n">
        <f>IF(COUNT(BC717,BF717)=2,BC717*BF717,"")</f>
        <v>0.03879425424858766</v>
      </c>
      <c r="BW717" s="11" t="n">
        <f>IF(ISNUMBER(BN717),BN717,"")</f>
        <v>1.0395067087630607</v>
      </c>
      <c r="BX717" s="14" t="n">
        <f>IF(ISNUMBER(BR717),BR717,"")</f>
        <v>12</v>
      </c>
      <c r="BY717" s="13" t="n">
        <f>IF(AND(COUNT(BV717,BW717,BX717)=3,MIN(BV717,BW717,BX717)&gt;=0),BV717*BW717*BX717,"")</f>
        <v>0.48392265063440093</v>
      </c>
      <c r="BZ717" s="11" t="n">
        <f>IF(ISNUMBER(BO717),BO717,"")</f>
        <v>0.9890368360033146</v>
      </c>
      <c r="CA717" s="14" t="n">
        <f>IF(ISNUMBER(BS717),BS717,"")</f>
        <v>30</v>
      </c>
      <c r="CB717" s="13" t="n">
        <f>IF(AND(COUNT(BV717,BZ717,CA717)=3,MIN(BV717,BZ717,CA717)&gt;=0),BV717*BZ717*CA717,"")</f>
        <v>1.1510683943139384</v>
      </c>
      <c r="CC717" s="11" t="n">
        <f>IF(ISNUMBER(BP717),BP717,"")</f>
        <v>0.7800796503018808</v>
      </c>
      <c r="CD717" s="14" t="n">
        <f>IF(ISNUMBER(BT717),BT717,"")</f>
        <v>31</v>
      </c>
      <c r="CE717" s="13" t="n">
        <f>IF(AND(COUNT(BV717,CC717,CD717)=3,MIN(BV717,CC717,CD717)&gt;=0),BV717*CC717*CD717,"")</f>
        <v>0.938140856926776</v>
      </c>
      <c r="CF717" s="11" t="n">
        <f>IF(ISNUMBER(BQ717),BQ717,"")</f>
        <v>1.2908918272824135</v>
      </c>
      <c r="CG717" s="14" t="n">
        <f>IF(ISNUMBER(BU717),BU717,"")</f>
        <v>17</v>
      </c>
      <c r="CH717" s="13" t="n">
        <f>IF(AND(COUNT(BV717,CF717,CG717)=3,MIN(BV717,CF717,CG717)&gt;=0),BV717*CF717*CG717,"")</f>
        <v>0.8513461578353034</v>
      </c>
      <c r="CI717" s="13" t="n">
        <f>IF(COUNT(BY717,CB717,CE717,CH717)=4,SUM(BY717,CB717,CE717,CH717),"")</f>
        <v>3.4244780597104185</v>
      </c>
    </row>
    <row r="718" ht="72" customHeight="1">
      <c r="A718" s="16" t="str">
        <v>32582-ND-38</v>
      </c>
      <c r="B718" s="16" t="str">
        <v>3店-SANDIEX-US</v>
      </c>
      <c r="C718" s="16" t="str">
        <v>徐新怡</v>
      </c>
      <c r="D718" s="26" t="n">
        <f>IF(NOT(ISNUMBER(E718)),"",IF(OR(E718&lt;=0,L718=0),0,IF(OR(NOT(ISNUMBER(F718)),F718&lt;0),"",MIN(E718,INT(F718)))))</f>
        <v>0</v>
      </c>
      <c r="E718" s="27" t="n">
        <f>IF(OR(NOT(ISNUMBER(L718)),COUNT(M718:O718)&lt;&gt;3,MIN(M718:O718)&lt;0),"",ROUNDUP(ROUND(BI718-SUM(M718:O718),10),0))</f>
        <v>-9</v>
      </c>
      <c r="F718" s="28" t="n">
        <v>52</v>
      </c>
      <c r="G718" s="28" t="n">
        <f>IF(AND(ISNUMBER(D718),ISNUMBER(E718)),IF(OR(E718&lt;=0,L718=0),0,E718-D718),"")</f>
        <v>0</v>
      </c>
      <c r="H718" s="16" t="str">
        <f>IF(NOT(ISNUMBER(E718)),"销量或海外库存待补",IF(OR(E718&lt;=0,L718=0),IF(L718=0,"零日销，本批不发","本批无需补货"),IF(NOT(ISNUMBER(D718)),"国内库存待补",IF(D718=0,"国内无可用库存",IF(G718&gt;0,"先发国内现货","按建议量发货")))))</f>
        <v>本批无需补货</v>
      </c>
      <c r="I718" s="28" t="n">
        <f>IF(AND(COUNT(Z718,AA718,AB718)=3,Z718&gt;=AA718,AA718&gt;=0,AB718=7),Z718-AA718,"")</f>
        <v>1</v>
      </c>
      <c r="J718" s="28" t="n">
        <f>IF(AND(COUNT(AF718,AG718,AH718)=3,AF718&gt;=AG718,AG718&gt;=0,AH718=14),AF718-AG718,"")</f>
        <v>2</v>
      </c>
      <c r="K718" s="28" t="n">
        <f>IF(AND(COUNT(AL718,AM718,AN718)=3,AL718&gt;=AM718,AM718&gt;=0,AN718=30),AL718-AM718,"")</f>
        <v>6</v>
      </c>
      <c r="L718" s="29" t="n">
        <f>IF(ISNUMBER(BI718),BI718/90,"")</f>
        <v>0.20052791536392472</v>
      </c>
      <c r="M718" s="28" t="n">
        <v>17</v>
      </c>
      <c r="N718" s="28" t="n">
        <v>0</v>
      </c>
      <c r="O718" s="28" t="n">
        <v>10</v>
      </c>
      <c r="P718" s="30" t="n">
        <f>IF(AND(ISNUMBER(L718),L718&gt;0,COUNT(M718:O718)=3,MIN(M718:O718)&gt;=0),SUM(M718:O718)/L718,"")</f>
        <v>134.6445952474971</v>
      </c>
      <c r="Q718" s="16" t="str">
        <v>沿用原计划SKU店铺</v>
      </c>
      <c r="R718" s="16" t="str">
        <v>已匹配</v>
      </c>
      <c r="S718" s="16" t="str">
        <v>在售</v>
      </c>
      <c r="T718" s="16" t="str">
        <v>32582</v>
      </c>
      <c r="U718" s="16" t="str">
        <v>裸色</v>
      </c>
      <c r="V718" s="16" t="n">
        <v>7</v>
      </c>
      <c r="W718" s="8" t="str">
        <v>2026-10-11 至 2026-10-17</v>
      </c>
      <c r="X718" s="8" t="str">
        <v>2026-10-11、2026-10-12、2026-10-13、2026-10-14、2026-10-15、2026-10-16、2026-10-17</v>
      </c>
      <c r="Y718" s="8" t="str">
        <v>无</v>
      </c>
      <c r="Z718" s="8" t="n">
        <v>1</v>
      </c>
      <c r="AA718" s="8" t="n">
        <v>0</v>
      </c>
      <c r="AB718" s="8" t="n">
        <v>7</v>
      </c>
      <c r="AC718" s="8" t="str">
        <v>2026-10-02 至 2026-10-17</v>
      </c>
      <c r="AD718" s="8" t="str">
        <v>2026-10-02、2026-10-03、2026-10-04、2026-10-05、2026-10-08、2026-10-09、2026-10-10、2026-10-11、2026-10-12、2026-10-13、2026-10-14、2026-10-15、2026-10-16、2026-10-17</v>
      </c>
      <c r="AE718" s="8" t="str">
        <v>2026-10-06 大促；2026-10-07 大促</v>
      </c>
      <c r="AF718" s="8" t="n">
        <v>2</v>
      </c>
      <c r="AG718" s="8" t="n">
        <v>0</v>
      </c>
      <c r="AH718" s="8" t="n">
        <v>14</v>
      </c>
      <c r="AI718" s="8" t="str">
        <v>2026-09-16 至 2026-10-17</v>
      </c>
      <c r="AJ7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8" s="8" t="str">
        <v>2026-10-06 大促；2026-10-07 大促</v>
      </c>
      <c r="AL718" s="8" t="n">
        <v>6</v>
      </c>
      <c r="AM718" s="8" t="n">
        <v>0</v>
      </c>
      <c r="AN718" s="8" t="n">
        <v>30</v>
      </c>
      <c r="AO718" s="8" t="str">
        <v>32582 / 裸色羊京绒 / 6574</v>
      </c>
      <c r="AP718" s="11" t="n">
        <v>1.0395067087630607</v>
      </c>
      <c r="AQ718" s="11" t="n">
        <v>1.0395067087630607</v>
      </c>
      <c r="AR718" s="11" t="n">
        <v>1.0707336504782758</v>
      </c>
      <c r="AS718" s="11" t="n">
        <f>IF(AND(COUNT(I718:K718,AP718:AR718)=6,MIN(AP718:AR718)&gt;0),I718/7/AP718*0.5+J718/14/AQ718*0.3+K718/30/AR718*0.2,"")</f>
        <v>0.14729982071955502</v>
      </c>
      <c r="AT718" s="8" t="n">
        <v>22</v>
      </c>
      <c r="AU718" s="8" t="n">
        <v>0</v>
      </c>
      <c r="AV718" s="8" t="n">
        <v>88</v>
      </c>
      <c r="AW718" s="11" t="n">
        <f>IF(AND(COUNT(AT718:AV718)=3,AT718&gt;=AU718,AU718&gt;=0,AV718&gt;0),(AT718-AU718)/AV718,"")</f>
        <v>0.25</v>
      </c>
      <c r="AX718" s="8" t="n">
        <v>45</v>
      </c>
      <c r="AY718" s="8" t="n">
        <v>0</v>
      </c>
      <c r="AZ718" s="8" t="n">
        <v>178</v>
      </c>
      <c r="BA718" s="11" t="n">
        <f>IF(AND(COUNT(AX718:AZ718)=3,AX718&gt;=AY718,AY718&gt;=0,AZ718&gt;0),(AX718-AY718)/AZ718,"")</f>
        <v>0.25280898876404495</v>
      </c>
      <c r="BB718" s="8" t="n">
        <f>IF(COUNT(AS718,AW718,BA718)=3,1,0)</f>
        <v>1</v>
      </c>
      <c r="BC718" s="11" t="n">
        <f>IF(SUMIF($AO$11:$AO$1309,AO718,$BB$11:$BB$1309)=COUNTIF($AO$11:$AO$1309,AO718),SUMIF($AO$11:$AO$1309,AO718,$AS$11:$AS$1309),"")</f>
        <v>1.469700342349848</v>
      </c>
      <c r="BD718" s="11" t="n">
        <f>IF(SUMIF($AO$11:$AO$1309,AO718,$BB$11:$BB$1309)=COUNTIF($AO$11:$AO$1309,AO718),SUMIF($AO$11:$AO$1309,AO718,$AW$11:$AW$1309),"")</f>
        <v>1.858288770053476</v>
      </c>
      <c r="BE718" s="11" t="n">
        <f>IF(SUMIF($AO$11:$AO$1309,AO718,$BB$11:$BB$1309)=COUNTIF($AO$11:$AO$1309,AO718),SUMIF($AO$11:$AO$1309,AO718,$BA$11:$BA$1309),"")</f>
        <v>1.6877046548956662</v>
      </c>
      <c r="BF718" s="12" t="n">
        <f>IF(COUNT(BD718:BE718)&lt;&gt;2,"",IF(AND(BD718&gt;0,BE718&gt;0),0.7*AW718/BD718+0.3*BA718/BE718,IF(BD718&gt;0,AW718/BD718,IF(BE718&gt;0,BA718/BE718,IF(AND(ISNUMBER(BH718),BH718=0),0,"")))))</f>
        <v>0.13911103210560974</v>
      </c>
      <c r="BG718" s="11" t="n">
        <f>IF(AND(COUNT(BN718:BU718)=8,MIN(BN718:BU718)&gt;=0),SUMPRODUCT(BN718:BQ718,BR718:BU718),"")</f>
        <v>88.27281580841549</v>
      </c>
      <c r="BH718" s="11" t="n">
        <f>IF(COUNT(BC718,BG718)=2,BC718*BG718,"")</f>
        <v>129.73458761381332</v>
      </c>
      <c r="BI718" s="11" t="n">
        <f>IF(ISNUMBER(CI718),CI718,"")</f>
        <v>18.047512382753226</v>
      </c>
      <c r="BJ718" s="8" t="str"/>
      <c r="BK718" s="8" t="str">
        <v>90天：2026-07-20 至 2026-10-17；180天：2026-04-21 至 2026-10-17</v>
      </c>
      <c r="BL718" s="8" t="str">
        <v>90天：2026-10-06、2026-10-07；180天：2026-10-06、2026-10-07</v>
      </c>
      <c r="BM718" s="8" t="str">
        <v>2026-10：12天 × 1.0395067087630607；2026-11：30天 × 0.9890368360033146；2026-12：31天 × 0.7800796503018808；2027-01：17天 × 1.2908918272824135</v>
      </c>
      <c r="BN718" s="11" t="n">
        <v>1.0395067087630607</v>
      </c>
      <c r="BO718" s="11" t="n">
        <v>0.9890368360033146</v>
      </c>
      <c r="BP718" s="11" t="n">
        <v>0.7800796503018808</v>
      </c>
      <c r="BQ718" s="11" t="n">
        <v>1.2908918272824135</v>
      </c>
      <c r="BR718" s="8" t="n">
        <v>12</v>
      </c>
      <c r="BS718" s="8" t="n">
        <v>30</v>
      </c>
      <c r="BT718" s="8" t="n">
        <v>31</v>
      </c>
      <c r="BU718" s="8" t="n">
        <v>17</v>
      </c>
      <c r="BV718" s="11" t="n">
        <f>IF(COUNT(BC718,BF718)=2,BC718*BF718,"")</f>
        <v>0.20445153151025533</v>
      </c>
      <c r="BW718" s="11" t="n">
        <f>IF(ISNUMBER(BN718),BN718,"")</f>
        <v>1.0395067087630607</v>
      </c>
      <c r="BX718" s="14" t="n">
        <f>IF(ISNUMBER(BR718),BR718,"")</f>
        <v>12</v>
      </c>
      <c r="BY718" s="13" t="n">
        <f>IF(AND(COUNT(BV718,BW718,BX718)=3,MIN(BV718,BW718,BX718)&gt;=0),BV718*BW718*BX718,"")</f>
        <v>2.550344863461513</v>
      </c>
      <c r="BZ718" s="11" t="n">
        <f>IF(ISNUMBER(BO718),BO718,"")</f>
        <v>0.9890368360033146</v>
      </c>
      <c r="CA718" s="14" t="n">
        <f>IF(ISNUMBER(BS718),BS718,"")</f>
        <v>30</v>
      </c>
      <c r="CB718" s="13" t="n">
        <f>IF(AND(COUNT(BV718,BZ718,CA718)=3,MIN(BV718,BZ718,CA718)&gt;=0),BV718*BZ718*CA718,"")</f>
        <v>6.066302875228048</v>
      </c>
      <c r="CC718" s="11" t="n">
        <f>IF(ISNUMBER(BP718),BP718,"")</f>
        <v>0.7800796503018808</v>
      </c>
      <c r="CD718" s="14" t="n">
        <f>IF(ISNUMBER(BT718),BT718,"")</f>
        <v>31</v>
      </c>
      <c r="CE718" s="13" t="n">
        <f>IF(AND(COUNT(BV718,CC718,CD718)=3,MIN(BV718,CC718,CD718)&gt;=0),BV718*CC718*CD718,"")</f>
        <v>4.9441428553303215</v>
      </c>
      <c r="CF718" s="11" t="n">
        <f>IF(ISNUMBER(BQ718),BQ718,"")</f>
        <v>1.2908918272824135</v>
      </c>
      <c r="CG718" s="14" t="n">
        <f>IF(ISNUMBER(BU718),BU718,"")</f>
        <v>17</v>
      </c>
      <c r="CH718" s="13" t="n">
        <f>IF(AND(COUNT(BV718,CF718,CG718)=3,MIN(BV718,CF718,CG718)&gt;=0),BV718*CF718*CG718,"")</f>
        <v>4.486721788733345</v>
      </c>
      <c r="CI718" s="13" t="n">
        <f>IF(COUNT(BY718,CB718,CE718,CH718)=4,SUM(BY718,CB718,CE718,CH718),"")</f>
        <v>18.047512382753226</v>
      </c>
    </row>
    <row r="719" ht="72" customHeight="1">
      <c r="A719" s="16" t="str">
        <v>32582-ND-38.5</v>
      </c>
      <c r="B719" s="16" t="str">
        <v>3店-SANDIEX-US</v>
      </c>
      <c r="C719" s="16" t="str">
        <v>徐新怡</v>
      </c>
      <c r="D719" s="26" t="n">
        <f>IF(NOT(ISNUMBER(E719)),"",IF(OR(E719&lt;=0,L719=0),0,IF(OR(NOT(ISNUMBER(F719)),F719&lt;0),"",MIN(E719,INT(F719)))))</f>
        <v>0</v>
      </c>
      <c r="E719" s="27" t="n">
        <f>IF(OR(NOT(ISNUMBER(L719)),COUNT(M719:O719)&lt;&gt;3,MIN(M719:O719)&lt;0),"",ROUNDUP(ROUND(BI719-SUM(M719:O719),10),0))</f>
        <v>-14</v>
      </c>
      <c r="F719" s="28" t="n">
        <v>56</v>
      </c>
      <c r="G719" s="28" t="n">
        <f>IF(AND(ISNUMBER(D719),ISNUMBER(E719)),IF(OR(E719&lt;=0,L719=0),0,E719-D719),"")</f>
        <v>0</v>
      </c>
      <c r="H719" s="16" t="str">
        <f>IF(NOT(ISNUMBER(E719)),"销量或海外库存待补",IF(OR(E719&lt;=0,L719=0),IF(L719=0,"零日销，本批不发","本批无需补货"),IF(NOT(ISNUMBER(D719)),"国内库存待补",IF(D719=0,"国内无可用库存",IF(G719&gt;0,"先发国内现货","按建议量发货")))))</f>
        <v>本批无需补货</v>
      </c>
      <c r="I719" s="28" t="n">
        <f>IF(AND(COUNT(Z719,AA719,AB719)=3,Z719&gt;=AA719,AA719&gt;=0,AB719=7),Z719-AA719,"")</f>
        <v>1</v>
      </c>
      <c r="J719" s="28" t="n">
        <f>IF(AND(COUNT(AF719,AG719,AH719)=3,AF719&gt;=AG719,AG719&gt;=0,AH719=14),AF719-AG719,"")</f>
        <v>4</v>
      </c>
      <c r="K719" s="28" t="n">
        <f>IF(AND(COUNT(AL719,AM719,AN719)=3,AL719&gt;=AM719,AM719&gt;=0,AN719=30),AL719-AM719,"")</f>
        <v>14</v>
      </c>
      <c r="L719" s="29" t="n">
        <f>IF(ISNUMBER(BI719),BI719/90,"")</f>
        <v>0.26716561018395024</v>
      </c>
      <c r="M719" s="28" t="n">
        <v>38</v>
      </c>
      <c r="N719" s="28" t="n">
        <v>0</v>
      </c>
      <c r="O719" s="28" t="n">
        <v>0</v>
      </c>
      <c r="P719" s="30" t="n">
        <f>IF(AND(ISNUMBER(L719),L719&gt;0,COUNT(M719:O719)=3,MIN(M719:O719)&gt;=0),SUM(M719:O719)/L719,"")</f>
        <v>142.23387498801227</v>
      </c>
      <c r="Q719" s="16" t="str">
        <v>沿用原计划SKU店铺</v>
      </c>
      <c r="R719" s="16" t="str">
        <v>已匹配</v>
      </c>
      <c r="S719" s="16" t="str">
        <v>在售</v>
      </c>
      <c r="T719" s="16" t="str">
        <v>32582</v>
      </c>
      <c r="U719" s="16" t="str">
        <v>裸色</v>
      </c>
      <c r="V719" s="16" t="n">
        <v>7.5</v>
      </c>
      <c r="W719" s="8" t="str">
        <v>2026-10-11 至 2026-10-17</v>
      </c>
      <c r="X719" s="8" t="str">
        <v>2026-10-11、2026-10-12、2026-10-13、2026-10-14、2026-10-15、2026-10-16、2026-10-17</v>
      </c>
      <c r="Y719" s="8" t="str">
        <v>无</v>
      </c>
      <c r="Z719" s="8" t="n">
        <v>1</v>
      </c>
      <c r="AA719" s="8" t="n">
        <v>0</v>
      </c>
      <c r="AB719" s="8" t="n">
        <v>7</v>
      </c>
      <c r="AC719" s="8" t="str">
        <v>2026-10-02 至 2026-10-17</v>
      </c>
      <c r="AD719" s="8" t="str">
        <v>2026-10-02、2026-10-03、2026-10-04、2026-10-05、2026-10-08、2026-10-09、2026-10-10、2026-10-11、2026-10-12、2026-10-13、2026-10-14、2026-10-15、2026-10-16、2026-10-17</v>
      </c>
      <c r="AE719" s="8" t="str">
        <v>2026-10-06 大促；2026-10-07 大促</v>
      </c>
      <c r="AF719" s="8" t="n">
        <v>5</v>
      </c>
      <c r="AG719" s="8" t="n">
        <v>1</v>
      </c>
      <c r="AH719" s="8" t="n">
        <v>14</v>
      </c>
      <c r="AI719" s="8" t="str">
        <v>2026-09-16 至 2026-10-17</v>
      </c>
      <c r="AJ7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19" s="8" t="str">
        <v>2026-10-06 大促；2026-10-07 大促</v>
      </c>
      <c r="AL719" s="8" t="n">
        <v>15</v>
      </c>
      <c r="AM719" s="8" t="n">
        <v>1</v>
      </c>
      <c r="AN719" s="8" t="n">
        <v>30</v>
      </c>
      <c r="AO719" s="8" t="str">
        <v>32582 / 裸色羊京绒 / 6574</v>
      </c>
      <c r="AP719" s="11" t="n">
        <v>1.0395067087630607</v>
      </c>
      <c r="AQ719" s="11" t="n">
        <v>1.0395067087630607</v>
      </c>
      <c r="AR719" s="11" t="n">
        <v>1.0707336504782758</v>
      </c>
      <c r="AS719" s="11" t="n">
        <f>IF(AND(COUNT(I719:K719,AP719:AR719)=6,MIN(AP719:AR719)&gt;0),I719/7/AP719*0.5+J719/14/AQ719*0.3+K719/30/AR719*0.2,"")</f>
        <v>0.2383382515398469</v>
      </c>
      <c r="AT719" s="8" t="n">
        <v>31</v>
      </c>
      <c r="AU719" s="8" t="n">
        <v>1</v>
      </c>
      <c r="AV719" s="8" t="n">
        <v>88</v>
      </c>
      <c r="AW719" s="11" t="n">
        <f>IF(AND(COUNT(AT719:AV719)=3,AT719&gt;=AU719,AU719&gt;=0,AV719&gt;0),(AT719-AU719)/AV719,"")</f>
        <v>0.3409090909090909</v>
      </c>
      <c r="AX719" s="8" t="n">
        <v>58</v>
      </c>
      <c r="AY719" s="8" t="n">
        <v>1</v>
      </c>
      <c r="AZ719" s="8" t="n">
        <v>178</v>
      </c>
      <c r="BA719" s="11" t="n">
        <f>IF(AND(COUNT(AX719:AZ719)=3,AX719&gt;=AY719,AY719&gt;=0,AZ719&gt;0),(AX719-AY719)/AZ719,"")</f>
        <v>0.3202247191011236</v>
      </c>
      <c r="BB719" s="8" t="n">
        <f>IF(COUNT(AS719,AW719,BA719)=3,1,0)</f>
        <v>1</v>
      </c>
      <c r="BC719" s="11" t="n">
        <f>IF(SUMIF($AO$11:$AO$1309,AO719,$BB$11:$BB$1309)=COUNTIF($AO$11:$AO$1309,AO719),SUMIF($AO$11:$AO$1309,AO719,$AS$11:$AS$1309),"")</f>
        <v>1.469700342349848</v>
      </c>
      <c r="BD719" s="11" t="n">
        <f>IF(SUMIF($AO$11:$AO$1309,AO719,$BB$11:$BB$1309)=COUNTIF($AO$11:$AO$1309,AO719),SUMIF($AO$11:$AO$1309,AO719,$AW$11:$AW$1309),"")</f>
        <v>1.858288770053476</v>
      </c>
      <c r="BE719" s="11" t="n">
        <f>IF(SUMIF($AO$11:$AO$1309,AO719,$BB$11:$BB$1309)=COUNTIF($AO$11:$AO$1309,AO719),SUMIF($AO$11:$AO$1309,AO719,$BA$11:$BA$1309),"")</f>
        <v>1.6877046548956662</v>
      </c>
      <c r="BF719" s="12" t="n">
        <f>IF(COUNT(BD719:BE719)&lt;&gt;2,"",IF(AND(BD719&gt;0,BE719&gt;0),0.7*AW719/BD719+0.3*BA719/BE719,IF(BD719&gt;0,AW719/BD719,IF(BE719&gt;0,BA719/BE719,IF(AND(ISNUMBER(BH719),BH719=0),0,"")))))</f>
        <v>0.18533920181818475</v>
      </c>
      <c r="BG719" s="11" t="n">
        <f>IF(AND(COUNT(BN719:BU719)=8,MIN(BN719:BU719)&gt;=0),SUMPRODUCT(BN719:BQ719,BR719:BU719),"")</f>
        <v>88.27281580841549</v>
      </c>
      <c r="BH719" s="11" t="n">
        <f>IF(COUNT(BC719,BG719)=2,BC719*BG719,"")</f>
        <v>129.73458761381332</v>
      </c>
      <c r="BI719" s="11" t="n">
        <f>IF(ISNUMBER(CI719),CI719,"")</f>
        <v>24.044904916555524</v>
      </c>
      <c r="BJ719" s="8" t="str"/>
      <c r="BK719" s="8" t="str">
        <v>90天：2026-07-20 至 2026-10-17；180天：2026-04-21 至 2026-10-17</v>
      </c>
      <c r="BL719" s="8" t="str">
        <v>90天：2026-10-06、2026-10-07；180天：2026-10-06、2026-10-07</v>
      </c>
      <c r="BM719" s="8" t="str">
        <v>2026-10：12天 × 1.0395067087630607；2026-11：30天 × 0.9890368360033146；2026-12：31天 × 0.7800796503018808；2027-01：17天 × 1.2908918272824135</v>
      </c>
      <c r="BN719" s="11" t="n">
        <v>1.0395067087630607</v>
      </c>
      <c r="BO719" s="11" t="n">
        <v>0.9890368360033146</v>
      </c>
      <c r="BP719" s="11" t="n">
        <v>0.7800796503018808</v>
      </c>
      <c r="BQ719" s="11" t="n">
        <v>1.2908918272824135</v>
      </c>
      <c r="BR719" s="8" t="n">
        <v>12</v>
      </c>
      <c r="BS719" s="8" t="n">
        <v>30</v>
      </c>
      <c r="BT719" s="8" t="n">
        <v>31</v>
      </c>
      <c r="BU719" s="8" t="n">
        <v>17</v>
      </c>
      <c r="BV719" s="11" t="n">
        <f>IF(COUNT(BC719,BF719)=2,BC719*BF719,"")</f>
        <v>0.2723930883630337</v>
      </c>
      <c r="BW719" s="11" t="n">
        <f>IF(ISNUMBER(BN719),BN719,"")</f>
        <v>1.0395067087630607</v>
      </c>
      <c r="BX719" s="14" t="n">
        <f>IF(ISNUMBER(BR719),BR719,"")</f>
        <v>12</v>
      </c>
      <c r="BY719" s="13" t="n">
        <f>IF(AND(COUNT(BV719,BW719,BX719)=3,MIN(BV719,BW719,BX719)&gt;=0),BV719*BW719*BX719,"")</f>
        <v>3.397853313288753</v>
      </c>
      <c r="BZ719" s="11" t="n">
        <f>IF(ISNUMBER(BO719),BO719,"")</f>
        <v>0.9890368360033146</v>
      </c>
      <c r="CA719" s="14" t="n">
        <f>IF(ISNUMBER(BS719),BS719,"")</f>
        <v>30</v>
      </c>
      <c r="CB719" s="13" t="n">
        <f>IF(AND(COUNT(BV719,BZ719,CA719)=3,MIN(BV719,BZ719,CA719)&gt;=0),BV719*BZ719*CA719,"")</f>
        <v>8.082203947912385</v>
      </c>
      <c r="CC719" s="11" t="n">
        <f>IF(ISNUMBER(BP719),BP719,"")</f>
        <v>0.7800796503018808</v>
      </c>
      <c r="CD719" s="14" t="n">
        <f>IF(ISNUMBER(BT719),BT719,"")</f>
        <v>31</v>
      </c>
      <c r="CE719" s="13" t="n">
        <f>IF(AND(COUNT(BV719,CC719,CD719)=3,MIN(BV719,CC719,CD719)&gt;=0),BV719*CC719*CD719,"")</f>
        <v>6.587137458561424</v>
      </c>
      <c r="CF719" s="11" t="n">
        <f>IF(ISNUMBER(BQ719),BQ719,"")</f>
        <v>1.2908918272824135</v>
      </c>
      <c r="CG719" s="14" t="n">
        <f>IF(ISNUMBER(BU719),BU719,"")</f>
        <v>17</v>
      </c>
      <c r="CH719" s="13" t="n">
        <f>IF(AND(COUNT(BV719,CF719,CG719)=3,MIN(BV719,CF719,CG719)&gt;=0),BV719*CF719*CG719,"")</f>
        <v>5.977710196792961</v>
      </c>
      <c r="CI719" s="13" t="n">
        <f>IF(COUNT(BY719,CB719,CE719,CH719)=4,SUM(BY719,CB719,CE719,CH719),"")</f>
        <v>24.044904916555524</v>
      </c>
    </row>
    <row r="720" ht="72" customHeight="1">
      <c r="A720" s="16" t="str">
        <v>32582-ND-39</v>
      </c>
      <c r="B720" s="16" t="str">
        <v>3店-SANDIEX-US</v>
      </c>
      <c r="C720" s="16" t="str">
        <v>徐新怡</v>
      </c>
      <c r="D720" s="26" t="n">
        <f>IF(NOT(ISNUMBER(E720)),"",IF(OR(E720&lt;=0,L720=0),0,IF(OR(NOT(ISNUMBER(F720)),F720&lt;0),"",MIN(E720,INT(F720)))))</f>
        <v>0</v>
      </c>
      <c r="E720" s="27" t="n">
        <f>IF(OR(NOT(ISNUMBER(L720)),COUNT(M720:O720)&lt;&gt;3,MIN(M720:O720)&lt;0),"",ROUNDUP(ROUND(BI720-SUM(M720:O720),10),0))</f>
        <v>-27</v>
      </c>
      <c r="F720" s="28" t="n">
        <v>161</v>
      </c>
      <c r="G720" s="28" t="n">
        <f>IF(AND(ISNUMBER(D720),ISNUMBER(E720)),IF(OR(E720&lt;=0,L720=0),0,E720-D720),"")</f>
        <v>0</v>
      </c>
      <c r="H720" s="16" t="str">
        <f>IF(NOT(ISNUMBER(E720)),"销量或海外库存待补",IF(OR(E720&lt;=0,L720=0),IF(L720=0,"零日销，本批不发","本批无需补货"),IF(NOT(ISNUMBER(D720)),"国内库存待补",IF(D720=0,"国内无可用库存",IF(G720&gt;0,"先发国内现货","按建议量发货")))))</f>
        <v>本批无需补货</v>
      </c>
      <c r="I720" s="28" t="n">
        <f>IF(AND(COUNT(Z720,AA720,AB720)=3,Z720&gt;=AA720,AA720&gt;=0,AB720=7),Z720-AA720,"")</f>
        <v>1</v>
      </c>
      <c r="J720" s="28" t="n">
        <f>IF(AND(COUNT(AF720,AG720,AH720)=3,AF720&gt;=AG720,AG720&gt;=0,AH720=14),AF720-AG720,"")</f>
        <v>2</v>
      </c>
      <c r="K720" s="28" t="n">
        <f>IF(AND(COUNT(AL720,AM720,AN720)=3,AL720&gt;=AM720,AM720&gt;=0,AN720=30),AL720-AM720,"")</f>
        <v>3</v>
      </c>
      <c r="L720" s="29" t="n">
        <f>IF(ISNUMBER(BI720),BI720/90,"")</f>
        <v>0.14479155937928742</v>
      </c>
      <c r="M720" s="28" t="n">
        <v>20</v>
      </c>
      <c r="N720" s="28" t="n">
        <v>0</v>
      </c>
      <c r="O720" s="28" t="n">
        <v>20</v>
      </c>
      <c r="P720" s="30" t="n">
        <f>IF(AND(ISNUMBER(L720),L720&gt;0,COUNT(M720:O720)=3,MIN(M720:O720)&gt;=0),SUM(M720:O720)/L720,"")</f>
        <v>276.2591975076279</v>
      </c>
      <c r="Q720" s="16" t="str">
        <v>沿用原计划SKU店铺</v>
      </c>
      <c r="R720" s="16" t="str">
        <v>已匹配</v>
      </c>
      <c r="S720" s="16" t="str">
        <v>在售</v>
      </c>
      <c r="T720" s="16" t="str">
        <v>32582</v>
      </c>
      <c r="U720" s="16" t="str">
        <v>裸色</v>
      </c>
      <c r="V720" s="16" t="n">
        <v>8</v>
      </c>
      <c r="W720" s="8" t="str">
        <v>2026-10-11 至 2026-10-17</v>
      </c>
      <c r="X720" s="8" t="str">
        <v>2026-10-11、2026-10-12、2026-10-13、2026-10-14、2026-10-15、2026-10-16、2026-10-17</v>
      </c>
      <c r="Y720" s="8" t="str">
        <v>无</v>
      </c>
      <c r="Z720" s="8" t="n">
        <v>1</v>
      </c>
      <c r="AA720" s="8" t="n">
        <v>0</v>
      </c>
      <c r="AB720" s="8" t="n">
        <v>7</v>
      </c>
      <c r="AC720" s="8" t="str">
        <v>2026-10-02 至 2026-10-17</v>
      </c>
      <c r="AD720" s="8" t="str">
        <v>2026-10-02、2026-10-03、2026-10-04、2026-10-05、2026-10-08、2026-10-09、2026-10-10、2026-10-11、2026-10-12、2026-10-13、2026-10-14、2026-10-15、2026-10-16、2026-10-17</v>
      </c>
      <c r="AE720" s="8" t="str">
        <v>2026-10-06 大促；2026-10-07 大促</v>
      </c>
      <c r="AF720" s="8" t="n">
        <v>2</v>
      </c>
      <c r="AG720" s="8" t="n">
        <v>0</v>
      </c>
      <c r="AH720" s="8" t="n">
        <v>14</v>
      </c>
      <c r="AI720" s="8" t="str">
        <v>2026-09-16 至 2026-10-17</v>
      </c>
      <c r="AJ7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0" s="8" t="str">
        <v>2026-10-06 大促；2026-10-07 大促</v>
      </c>
      <c r="AL720" s="8" t="n">
        <v>3</v>
      </c>
      <c r="AM720" s="8" t="n">
        <v>0</v>
      </c>
      <c r="AN720" s="8" t="n">
        <v>30</v>
      </c>
      <c r="AO720" s="8" t="str">
        <v>32582 / 裸色羊京绒 / 6574</v>
      </c>
      <c r="AP720" s="11" t="n">
        <v>1.0395067087630607</v>
      </c>
      <c r="AQ720" s="11" t="n">
        <v>1.0395067087630607</v>
      </c>
      <c r="AR720" s="11" t="n">
        <v>1.0707336504782758</v>
      </c>
      <c r="AS720" s="11" t="n">
        <f>IF(AND(COUNT(I720:K720,AP720:AR720)=6,MIN(AP720:AR720)&gt;0),I720/7/AP720*0.5+J720/14/AQ720*0.3+K720/30/AR720*0.2,"")</f>
        <v>0.12862103912801132</v>
      </c>
      <c r="AT720" s="8" t="n">
        <v>16</v>
      </c>
      <c r="AU720" s="8" t="n">
        <v>0</v>
      </c>
      <c r="AV720" s="8" t="n">
        <v>88</v>
      </c>
      <c r="AW720" s="11" t="n">
        <f>IF(AND(COUNT(AT720:AV720)=3,AT720&gt;=AU720,AU720&gt;=0,AV720&gt;0),(AT720-AU720)/AV720,"")</f>
        <v>0.18181818181818182</v>
      </c>
      <c r="AX720" s="8" t="n">
        <v>32</v>
      </c>
      <c r="AY720" s="8" t="n">
        <v>0</v>
      </c>
      <c r="AZ720" s="8" t="n">
        <v>178</v>
      </c>
      <c r="BA720" s="11" t="n">
        <f>IF(AND(COUNT(AX720:AZ720)=3,AX720&gt;=AY720,AY720&gt;=0,AZ720&gt;0),(AX720-AY720)/AZ720,"")</f>
        <v>0.1797752808988764</v>
      </c>
      <c r="BB720" s="8" t="n">
        <f>IF(COUNT(AS720,AW720,BA720)=3,1,0)</f>
        <v>1</v>
      </c>
      <c r="BC720" s="11" t="n">
        <f>IF(SUMIF($AO$11:$AO$1309,AO720,$BB$11:$BB$1309)=COUNTIF($AO$11:$AO$1309,AO720),SUMIF($AO$11:$AO$1309,AO720,$AS$11:$AS$1309),"")</f>
        <v>1.469700342349848</v>
      </c>
      <c r="BD720" s="11" t="n">
        <f>IF(SUMIF($AO$11:$AO$1309,AO720,$BB$11:$BB$1309)=COUNTIF($AO$11:$AO$1309,AO720),SUMIF($AO$11:$AO$1309,AO720,$AW$11:$AW$1309),"")</f>
        <v>1.858288770053476</v>
      </c>
      <c r="BE720" s="11" t="n">
        <f>IF(SUMIF($AO$11:$AO$1309,AO720,$BB$11:$BB$1309)=COUNTIF($AO$11:$AO$1309,AO720),SUMIF($AO$11:$AO$1309,AO720,$BA$11:$BA$1309),"")</f>
        <v>1.6877046548956662</v>
      </c>
      <c r="BF720" s="12" t="n">
        <f>IF(COUNT(BD720:BE720)&lt;&gt;2,"",IF(AND(BD720&gt;0,BE720&gt;0),0.7*AW720/BD720+0.3*BA720/BE720,IF(BD720&gt;0,AW720/BD720,IF(BE720&gt;0,BA720/BE720,IF(AND(ISNUMBER(BH720),BH720=0),0,"")))))</f>
        <v>0.10044538302250233</v>
      </c>
      <c r="BG720" s="11" t="n">
        <f>IF(AND(COUNT(BN720:BU720)=8,MIN(BN720:BU720)&gt;=0),SUMPRODUCT(BN720:BQ720,BR720:BU720),"")</f>
        <v>88.27281580841549</v>
      </c>
      <c r="BH720" s="11" t="n">
        <f>IF(COUNT(BC720,BG720)=2,BC720*BG720,"")</f>
        <v>129.73458761381332</v>
      </c>
      <c r="BI720" s="11" t="n">
        <f>IF(ISNUMBER(CI720),CI720,"")</f>
        <v>13.031240344135869</v>
      </c>
      <c r="BJ720" s="8" t="str"/>
      <c r="BK720" s="8" t="str">
        <v>90天：2026-07-20 至 2026-10-17；180天：2026-04-21 至 2026-10-17</v>
      </c>
      <c r="BL720" s="8" t="str">
        <v>90天：2026-10-06、2026-10-07；180天：2026-10-06、2026-10-07</v>
      </c>
      <c r="BM720" s="8" t="str">
        <v>2026-10：12天 × 1.0395067087630607；2026-11：30天 × 0.9890368360033146；2026-12：31天 × 0.7800796503018808；2027-01：17天 × 1.2908918272824135</v>
      </c>
      <c r="BN720" s="11" t="n">
        <v>1.0395067087630607</v>
      </c>
      <c r="BO720" s="11" t="n">
        <v>0.9890368360033146</v>
      </c>
      <c r="BP720" s="11" t="n">
        <v>0.7800796503018808</v>
      </c>
      <c r="BQ720" s="11" t="n">
        <v>1.2908918272824135</v>
      </c>
      <c r="BR720" s="8" t="n">
        <v>12</v>
      </c>
      <c r="BS720" s="8" t="n">
        <v>30</v>
      </c>
      <c r="BT720" s="8" t="n">
        <v>31</v>
      </c>
      <c r="BU720" s="8" t="n">
        <v>17</v>
      </c>
      <c r="BV720" s="11" t="n">
        <f>IF(COUNT(BC720,BF720)=2,BC720*BF720,"")</f>
        <v>0.1476246138156333</v>
      </c>
      <c r="BW720" s="11" t="n">
        <f>IF(ISNUMBER(BN720),BN720,"")</f>
        <v>1.0395067087630607</v>
      </c>
      <c r="BX720" s="14" t="n">
        <f>IF(ISNUMBER(BR720),BR720,"")</f>
        <v>12</v>
      </c>
      <c r="BY720" s="13" t="n">
        <f>IF(AND(COUNT(BV720,BW720,BX720)=3,MIN(BV720,BW720,BX720)&gt;=0),BV720*BW720*BX720,"")</f>
        <v>1.8414813172788818</v>
      </c>
      <c r="BZ720" s="11" t="n">
        <f>IF(ISNUMBER(BO720),BO720,"")</f>
        <v>0.9890368360033146</v>
      </c>
      <c r="CA720" s="14" t="n">
        <f>IF(ISNUMBER(BS720),BS720,"")</f>
        <v>30</v>
      </c>
      <c r="CB720" s="13" t="n">
        <f>IF(AND(COUNT(BV720,BZ720,CA720)=3,MIN(BV720,BZ720,CA720)&gt;=0),BV720*BZ720*CA720,"")</f>
        <v>4.380185428932755</v>
      </c>
      <c r="CC720" s="11" t="n">
        <f>IF(ISNUMBER(BP720),BP720,"")</f>
        <v>0.7800796503018808</v>
      </c>
      <c r="CD720" s="14" t="n">
        <f>IF(ISNUMBER(BT720),BT720,"")</f>
        <v>31</v>
      </c>
      <c r="CE720" s="13" t="n">
        <f>IF(AND(COUNT(BV720,CC720,CD720)=3,MIN(BV720,CC720,CD720)&gt;=0),BV720*CC720*CD720,"")</f>
        <v>3.569927670758732</v>
      </c>
      <c r="CF720" s="11" t="n">
        <f>IF(ISNUMBER(BQ720),BQ720,"")</f>
        <v>1.2908918272824135</v>
      </c>
      <c r="CG720" s="14" t="n">
        <f>IF(ISNUMBER(BU720),BU720,"")</f>
        <v>17</v>
      </c>
      <c r="CH720" s="13" t="n">
        <f>IF(AND(COUNT(BV720,CF720,CG720)=3,MIN(BV720,CF720,CG720)&gt;=0),BV720*CF720*CG720,"")</f>
        <v>3.2396459271654994</v>
      </c>
      <c r="CI720" s="13" t="n">
        <f>IF(COUNT(BY720,CB720,CE720,CH720)=4,SUM(BY720,CB720,CE720,CH720),"")</f>
        <v>13.031240344135869</v>
      </c>
    </row>
    <row r="721" ht="72" customHeight="1">
      <c r="A721" s="16" t="str">
        <v>32582-ND-39.5</v>
      </c>
      <c r="B721" s="16" t="str">
        <v>3店-SANDIEX-US</v>
      </c>
      <c r="C721" s="16" t="str">
        <v>徐新怡</v>
      </c>
      <c r="D721" s="26" t="n">
        <f>IF(NOT(ISNUMBER(E721)),"",IF(OR(E721&lt;=0,L721=0),0,IF(OR(NOT(ISNUMBER(F721)),F721&lt;0),"",MIN(E721,INT(F721)))))</f>
        <v>0</v>
      </c>
      <c r="E721" s="27" t="n">
        <f>IF(OR(NOT(ISNUMBER(L721)),COUNT(M721:O721)&lt;&gt;3,MIN(M721:O721)&lt;0),"",ROUNDUP(ROUND(BI721-SUM(M721:O721),10),0))</f>
        <v>-17</v>
      </c>
      <c r="F721" s="28" t="n">
        <v>23</v>
      </c>
      <c r="G721" s="28" t="n">
        <f>IF(AND(ISNUMBER(D721),ISNUMBER(E721)),IF(OR(E721&lt;=0,L721=0),0,E721-D721),"")</f>
        <v>0</v>
      </c>
      <c r="H721" s="16" t="str">
        <f>IF(NOT(ISNUMBER(E721)),"销量或海外库存待补",IF(OR(E721&lt;=0,L721=0),IF(L721=0,"零日销，本批不发","本批无需补货"),IF(NOT(ISNUMBER(D721)),"国内库存待补",IF(D721=0,"国内无可用库存",IF(G721&gt;0,"先发国内现货","按建议量发货")))))</f>
        <v>本批无需补货</v>
      </c>
      <c r="I721" s="28" t="n">
        <f>IF(AND(COUNT(Z721,AA721,AB721)=3,Z721&gt;=AA721,AA721&gt;=0,AB721=7),Z721-AA721,"")</f>
        <v>0</v>
      </c>
      <c r="J721" s="28" t="n">
        <f>IF(AND(COUNT(AF721,AG721,AH721)=3,AF721&gt;=AG721,AG721&gt;=0,AH721=14),AF721-AG721,"")</f>
        <v>1</v>
      </c>
      <c r="K721" s="28" t="n">
        <f>IF(AND(COUNT(AL721,AM721,AN721)=3,AL721&gt;=AM721,AM721&gt;=0,AN721=30),AL721-AM721,"")</f>
        <v>3</v>
      </c>
      <c r="L721" s="29" t="n">
        <f>IF(ISNUMBER(BI721),BI721/90,"")</f>
        <v>0.024269374948807317</v>
      </c>
      <c r="M721" s="28" t="n">
        <v>19</v>
      </c>
      <c r="N721" s="28" t="n">
        <v>0</v>
      </c>
      <c r="O721" s="28" t="n">
        <v>0</v>
      </c>
      <c r="P721" s="30" t="n">
        <f>IF(AND(ISNUMBER(L721),L721&gt;0,COUNT(M721:O721)=3,MIN(M721:O721)&gt;=0),SUM(M721:O721)/L721,"")</f>
        <v>782.8796596565717</v>
      </c>
      <c r="Q721" s="16" t="str">
        <v>沿用原计划SKU店铺</v>
      </c>
      <c r="R721" s="16" t="str">
        <v>已匹配</v>
      </c>
      <c r="S721" s="16" t="str">
        <v>在售</v>
      </c>
      <c r="T721" s="16" t="str">
        <v>32582</v>
      </c>
      <c r="U721" s="16" t="str">
        <v>裸色</v>
      </c>
      <c r="V721" s="16" t="n">
        <v>8.5</v>
      </c>
      <c r="W721" s="8" t="str">
        <v>2026-10-11 至 2026-10-17</v>
      </c>
      <c r="X721" s="8" t="str">
        <v>2026-10-11、2026-10-12、2026-10-13、2026-10-14、2026-10-15、2026-10-16、2026-10-17</v>
      </c>
      <c r="Y721" s="8" t="str">
        <v>无</v>
      </c>
      <c r="Z721" s="8" t="n">
        <v>0</v>
      </c>
      <c r="AA721" s="8" t="n">
        <v>0</v>
      </c>
      <c r="AB721" s="8" t="n">
        <v>7</v>
      </c>
      <c r="AC721" s="8" t="str">
        <v>2026-10-02 至 2026-10-17</v>
      </c>
      <c r="AD721" s="8" t="str">
        <v>2026-10-02、2026-10-03、2026-10-04、2026-10-05、2026-10-08、2026-10-09、2026-10-10、2026-10-11、2026-10-12、2026-10-13、2026-10-14、2026-10-15、2026-10-16、2026-10-17</v>
      </c>
      <c r="AE721" s="8" t="str">
        <v>2026-10-06 大促；2026-10-07 大促</v>
      </c>
      <c r="AF721" s="8" t="n">
        <v>2</v>
      </c>
      <c r="AG721" s="8" t="n">
        <v>1</v>
      </c>
      <c r="AH721" s="8" t="n">
        <v>14</v>
      </c>
      <c r="AI721" s="8" t="str">
        <v>2026-09-16 至 2026-10-17</v>
      </c>
      <c r="AJ7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1" s="8" t="str">
        <v>2026-10-06 大促；2026-10-07 大促</v>
      </c>
      <c r="AL721" s="8" t="n">
        <v>4</v>
      </c>
      <c r="AM721" s="8" t="n">
        <v>1</v>
      </c>
      <c r="AN721" s="8" t="n">
        <v>30</v>
      </c>
      <c r="AO721" s="8" t="str">
        <v>32582 / 裸色羊京绒 / 6574</v>
      </c>
      <c r="AP721" s="11" t="n">
        <v>1.0395067087630607</v>
      </c>
      <c r="AQ721" s="11" t="n">
        <v>1.0395067087630607</v>
      </c>
      <c r="AR721" s="11" t="n">
        <v>1.0707336504782758</v>
      </c>
      <c r="AS721" s="11" t="n">
        <f>IF(AND(COUNT(I721:K721,AP721:AR721)=6,MIN(AP721:AR721)&gt;0),I721/7/AP721*0.5+J721/14/AQ721*0.3+K721/30/AR721*0.2,"")</f>
        <v>0.03929295487963137</v>
      </c>
      <c r="AT721" s="8" t="n">
        <v>4</v>
      </c>
      <c r="AU721" s="8" t="n">
        <v>1</v>
      </c>
      <c r="AV721" s="8" t="n">
        <v>88</v>
      </c>
      <c r="AW721" s="11" t="n">
        <f>IF(AND(COUNT(AT721:AV721)=3,AT721&gt;=AU721,AU721&gt;=0,AV721&gt;0),(AT721-AU721)/AV721,"")</f>
        <v>0.03409090909090909</v>
      </c>
      <c r="AX721" s="8" t="n">
        <v>5</v>
      </c>
      <c r="AY721" s="8" t="n">
        <v>1</v>
      </c>
      <c r="AZ721" s="8" t="n">
        <v>178</v>
      </c>
      <c r="BA721" s="11" t="n">
        <f>IF(AND(COUNT(AX721:AZ721)=3,AX721&gt;=AY721,AY721&gt;=0,AZ721&gt;0),(AX721-AY721)/AZ721,"")</f>
        <v>0.02247191011235955</v>
      </c>
      <c r="BB721" s="8" t="n">
        <f>IF(COUNT(AS721,AW721,BA721)=3,1,0)</f>
        <v>1</v>
      </c>
      <c r="BC721" s="11" t="n">
        <f>IF(SUMIF($AO$11:$AO$1309,AO721,$BB$11:$BB$1309)=COUNTIF($AO$11:$AO$1309,AO721),SUMIF($AO$11:$AO$1309,AO721,$AS$11:$AS$1309),"")</f>
        <v>1.469700342349848</v>
      </c>
      <c r="BD721" s="11" t="n">
        <f>IF(SUMIF($AO$11:$AO$1309,AO721,$BB$11:$BB$1309)=COUNTIF($AO$11:$AO$1309,AO721),SUMIF($AO$11:$AO$1309,AO721,$AW$11:$AW$1309),"")</f>
        <v>1.858288770053476</v>
      </c>
      <c r="BE721" s="11" t="n">
        <f>IF(SUMIF($AO$11:$AO$1309,AO721,$BB$11:$BB$1309)=COUNTIF($AO$11:$AO$1309,AO721),SUMIF($AO$11:$AO$1309,AO721,$BA$11:$BA$1309),"")</f>
        <v>1.6877046548956662</v>
      </c>
      <c r="BF721" s="12" t="n">
        <f>IF(COUNT(BD721:BE721)&lt;&gt;2,"",IF(AND(BD721&gt;0,BE721&gt;0),0.7*AW721/BD721+0.3*BA721/BE721,IF(BD721&gt;0,AW721/BD721,IF(BE721&gt;0,BA721/BE721,IF(AND(ISNUMBER(BH721),BH721=0),0,"")))))</f>
        <v>0.016836248417381135</v>
      </c>
      <c r="BG721" s="11" t="n">
        <f>IF(AND(COUNT(BN721:BU721)=8,MIN(BN721:BU721)&gt;=0),SUMPRODUCT(BN721:BQ721,BR721:BU721),"")</f>
        <v>88.27281580841549</v>
      </c>
      <c r="BH721" s="11" t="n">
        <f>IF(COUNT(BC721,BG721)=2,BC721*BG721,"")</f>
        <v>129.73458761381332</v>
      </c>
      <c r="BI721" s="11" t="n">
        <f>IF(ISNUMBER(CI721),CI721,"")</f>
        <v>2.1842437453926586</v>
      </c>
      <c r="BJ721" s="8" t="str"/>
      <c r="BK721" s="8" t="str">
        <v>90天：2026-07-20 至 2026-10-17；180天：2026-04-21 至 2026-10-17</v>
      </c>
      <c r="BL721" s="8" t="str">
        <v>90天：2026-10-06、2026-10-07；180天：2026-10-06、2026-10-07</v>
      </c>
      <c r="BM721" s="8" t="str">
        <v>2026-10：12天 × 1.0395067087630607；2026-11：30天 × 0.9890368360033146；2026-12：31天 × 0.7800796503018808；2027-01：17天 × 1.2908918272824135</v>
      </c>
      <c r="BN721" s="11" t="n">
        <v>1.0395067087630607</v>
      </c>
      <c r="BO721" s="11" t="n">
        <v>0.9890368360033146</v>
      </c>
      <c r="BP721" s="11" t="n">
        <v>0.7800796503018808</v>
      </c>
      <c r="BQ721" s="11" t="n">
        <v>1.2908918272824135</v>
      </c>
      <c r="BR721" s="8" t="n">
        <v>12</v>
      </c>
      <c r="BS721" s="8" t="n">
        <v>30</v>
      </c>
      <c r="BT721" s="8" t="n">
        <v>31</v>
      </c>
      <c r="BU721" s="8" t="n">
        <v>17</v>
      </c>
      <c r="BV721" s="11" t="n">
        <f>IF(COUNT(BC721,BF721)=2,BC721*BF721,"")</f>
        <v>0.02474424006291214</v>
      </c>
      <c r="BW721" s="11" t="n">
        <f>IF(ISNUMBER(BN721),BN721,"")</f>
        <v>1.0395067087630607</v>
      </c>
      <c r="BX721" s="14" t="n">
        <f>IF(ISNUMBER(BR721),BR721,"")</f>
        <v>12</v>
      </c>
      <c r="BY721" s="13" t="n">
        <f>IF(AND(COUNT(BV721,BW721,BX721)=3,MIN(BV721,BW721,BX721)&gt;=0),BV721*BW721*BX721,"")</f>
        <v>0.30866164258369044</v>
      </c>
      <c r="BZ721" s="11" t="n">
        <f>IF(ISNUMBER(BO721),BO721,"")</f>
        <v>0.9890368360033146</v>
      </c>
      <c r="CA721" s="14" t="n">
        <f>IF(ISNUMBER(BS721),BS721,"")</f>
        <v>30</v>
      </c>
      <c r="CB721" s="13" t="n">
        <f>IF(AND(COUNT(BV721,BZ721,CA721)=3,MIN(BV721,BZ721,CA721)&gt;=0),BV721*BZ721*CA721,"")</f>
        <v>0.7341889470338724</v>
      </c>
      <c r="CC721" s="11" t="n">
        <f>IF(ISNUMBER(BP721),BP721,"")</f>
        <v>0.7800796503018808</v>
      </c>
      <c r="CD721" s="14" t="n">
        <f>IF(ISNUMBER(BT721),BT721,"")</f>
        <v>31</v>
      </c>
      <c r="CE721" s="13" t="n">
        <f>IF(AND(COUNT(BV721,CC721,CD721)=3,MIN(BV721,CC721,CD721)&gt;=0),BV721*CC721*CD721,"")</f>
        <v>0.598376822193131</v>
      </c>
      <c r="CF721" s="11" t="n">
        <f>IF(ISNUMBER(BQ721),BQ721,"")</f>
        <v>1.2908918272824135</v>
      </c>
      <c r="CG721" s="14" t="n">
        <f>IF(ISNUMBER(BU721),BU721,"")</f>
        <v>17</v>
      </c>
      <c r="CH721" s="13" t="n">
        <f>IF(AND(COUNT(BV721,CF721,CG721)=3,MIN(BV721,CF721,CG721)&gt;=0),BV721*CF721*CG721,"")</f>
        <v>0.543016333581965</v>
      </c>
      <c r="CI721" s="13" t="n">
        <f>IF(COUNT(BY721,CB721,CE721,CH721)=4,SUM(BY721,CB721,CE721,CH721),"")</f>
        <v>2.1842437453926586</v>
      </c>
    </row>
    <row r="722" ht="72" customHeight="1">
      <c r="A722" s="16" t="str">
        <v>32582-ND-40.5</v>
      </c>
      <c r="B722" s="16" t="str">
        <v>3店-SANDIEX-US</v>
      </c>
      <c r="C722" s="16" t="str">
        <v>徐新怡</v>
      </c>
      <c r="D722" s="26" t="n">
        <f>IF(NOT(ISNUMBER(E722)),"",IF(OR(E722&lt;=0,L722=0),0,IF(OR(NOT(ISNUMBER(F722)),F722&lt;0),"",MIN(E722,INT(F722)))))</f>
        <v>0</v>
      </c>
      <c r="E722" s="27" t="n">
        <f>IF(OR(NOT(ISNUMBER(L722)),COUNT(M722:O722)&lt;&gt;3,MIN(M722:O722)&lt;0),"",ROUNDUP(ROUND(BI722-SUM(M722:O722),10),0))</f>
        <v>-17</v>
      </c>
      <c r="F722" s="28" t="n">
        <v>0</v>
      </c>
      <c r="G722" s="28" t="n">
        <f>IF(AND(ISNUMBER(D722),ISNUMBER(E722)),IF(OR(E722&lt;=0,L722=0),0,E722-D722),"")</f>
        <v>0</v>
      </c>
      <c r="H722" s="16" t="str">
        <f>IF(NOT(ISNUMBER(E722)),"销量或海外库存待补",IF(OR(E722&lt;=0,L722=0),IF(L722=0,"零日销，本批不发","本批无需补货"),IF(NOT(ISNUMBER(D722)),"国内库存待补",IF(D722=0,"国内无可用库存",IF(G722&gt;0,"先发国内现货","按建议量发货")))))</f>
        <v>本批无需补货</v>
      </c>
      <c r="I722" s="28" t="n">
        <f>IF(AND(COUNT(Z722,AA722,AB722)=3,Z722&gt;=AA722,AA722&gt;=0,AB722=7),Z722-AA722,"")</f>
        <v>0</v>
      </c>
      <c r="J722" s="28" t="n">
        <f>IF(AND(COUNT(AF722,AG722,AH722)=3,AF722&gt;=AG722,AG722&gt;=0,AH722=14),AF722-AG722,"")</f>
        <v>0</v>
      </c>
      <c r="K722" s="28" t="n">
        <f>IF(AND(COUNT(AL722,AM722,AN722)=3,AL722&gt;=AM722,AM722&gt;=0,AN722=30),AL722-AM722,"")</f>
        <v>0</v>
      </c>
      <c r="L722" s="29" t="n">
        <f>IF(ISNUMBER(BI722),BI722/90,"")</f>
        <v>0.01768659976563266</v>
      </c>
      <c r="M722" s="28" t="n">
        <v>18</v>
      </c>
      <c r="N722" s="28" t="n">
        <v>0</v>
      </c>
      <c r="O722" s="28" t="n">
        <v>0</v>
      </c>
      <c r="P722" s="30" t="n">
        <f>IF(AND(ISNUMBER(L722),L722&gt;0,COUNT(M722:O722)=3,MIN(M722:O722)&gt;=0),SUM(M722:O722)/L722,"")</f>
        <v>1017.7196430359847</v>
      </c>
      <c r="Q722" s="16" t="str">
        <v>沿用原计划SKU店铺</v>
      </c>
      <c r="R722" s="16" t="str">
        <v>已匹配</v>
      </c>
      <c r="S722" s="16" t="str">
        <v>在售</v>
      </c>
      <c r="T722" s="16" t="str">
        <v>32582</v>
      </c>
      <c r="U722" s="16" t="str">
        <v>裸色</v>
      </c>
      <c r="V722" s="16" t="n">
        <v>9.5</v>
      </c>
      <c r="W722" s="8" t="str">
        <v>2026-10-11 至 2026-10-17</v>
      </c>
      <c r="X722" s="8" t="str">
        <v>2026-10-11、2026-10-12、2026-10-13、2026-10-14、2026-10-15、2026-10-16、2026-10-17</v>
      </c>
      <c r="Y722" s="8" t="str">
        <v>无</v>
      </c>
      <c r="Z722" s="8" t="n">
        <v>0</v>
      </c>
      <c r="AA722" s="8" t="n">
        <v>0</v>
      </c>
      <c r="AB722" s="8" t="n">
        <v>7</v>
      </c>
      <c r="AC722" s="8" t="str">
        <v>2026-10-02 至 2026-10-17</v>
      </c>
      <c r="AD722" s="8" t="str">
        <v>2026-10-02、2026-10-03、2026-10-04、2026-10-05、2026-10-08、2026-10-09、2026-10-10、2026-10-11、2026-10-12、2026-10-13、2026-10-14、2026-10-15、2026-10-16、2026-10-17</v>
      </c>
      <c r="AE722" s="8" t="str">
        <v>2026-10-06 大促；2026-10-07 大促</v>
      </c>
      <c r="AF722" s="8" t="n">
        <v>1</v>
      </c>
      <c r="AG722" s="8" t="n">
        <v>1</v>
      </c>
      <c r="AH722" s="8" t="n">
        <v>14</v>
      </c>
      <c r="AI722" s="8" t="str">
        <v>2026-09-16 至 2026-10-17</v>
      </c>
      <c r="AJ7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2" s="8" t="str">
        <v>2026-10-06 大促；2026-10-07 大促</v>
      </c>
      <c r="AL722" s="8" t="n">
        <v>1</v>
      </c>
      <c r="AM722" s="8" t="n">
        <v>1</v>
      </c>
      <c r="AN722" s="8" t="n">
        <v>30</v>
      </c>
      <c r="AO722" s="8" t="str">
        <v>32582 / 裸色羊京绒 / 6574</v>
      </c>
      <c r="AP722" s="11" t="n">
        <v>1.0395067087630607</v>
      </c>
      <c r="AQ722" s="11" t="n">
        <v>1.0395067087630607</v>
      </c>
      <c r="AR722" s="11" t="n">
        <v>1.0707336504782758</v>
      </c>
      <c r="AS722" s="11" t="n">
        <f>IF(AND(COUNT(I722:K722,AP722:AR722)=6,MIN(AP722:AR722)&gt;0),I722/7/AP722*0.5+J722/14/AQ722*0.3+K722/30/AR722*0.2,"")</f>
        <v>0</v>
      </c>
      <c r="AT722" s="8" t="n">
        <v>2</v>
      </c>
      <c r="AU722" s="8" t="n">
        <v>1</v>
      </c>
      <c r="AV722" s="8" t="n">
        <v>88</v>
      </c>
      <c r="AW722" s="11" t="n">
        <f>IF(AND(COUNT(AT722:AV722)=3,AT722&gt;=AU722,AU722&gt;=0,AV722&gt;0),(AT722-AU722)/AV722,"")</f>
        <v>0.011363636363636364</v>
      </c>
      <c r="AX722" s="8" t="n">
        <v>9</v>
      </c>
      <c r="AY722" s="8" t="n">
        <v>1</v>
      </c>
      <c r="AZ722" s="8" t="n">
        <v>178</v>
      </c>
      <c r="BA722" s="11" t="n">
        <f>IF(AND(COUNT(AX722:AZ722)=3,AX722&gt;=AY722,AY722&gt;=0,AZ722&gt;0),(AX722-AY722)/AZ722,"")</f>
        <v>0.0449438202247191</v>
      </c>
      <c r="BB722" s="8" t="n">
        <f>IF(COUNT(AS722,AW722,BA722)=3,1,0)</f>
        <v>1</v>
      </c>
      <c r="BC722" s="11" t="n">
        <f>IF(SUMIF($AO$11:$AO$1309,AO722,$BB$11:$BB$1309)=COUNTIF($AO$11:$AO$1309,AO722),SUMIF($AO$11:$AO$1309,AO722,$AS$11:$AS$1309),"")</f>
        <v>1.469700342349848</v>
      </c>
      <c r="BD722" s="11" t="n">
        <f>IF(SUMIF($AO$11:$AO$1309,AO722,$BB$11:$BB$1309)=COUNTIF($AO$11:$AO$1309,AO722),SUMIF($AO$11:$AO$1309,AO722,$AW$11:$AW$1309),"")</f>
        <v>1.858288770053476</v>
      </c>
      <c r="BE722" s="11" t="n">
        <f>IF(SUMIF($AO$11:$AO$1309,AO722,$BB$11:$BB$1309)=COUNTIF($AO$11:$AO$1309,AO722),SUMIF($AO$11:$AO$1309,AO722,$BA$11:$BA$1309),"")</f>
        <v>1.6877046548956662</v>
      </c>
      <c r="BF722" s="12" t="n">
        <f>IF(COUNT(BD722:BE722)&lt;&gt;2,"",IF(AND(BD722&gt;0,BE722&gt;0),0.7*AW722/BD722+0.3*BA722/BE722,IF(BD722&gt;0,AW722/BD722,IF(BE722&gt;0,BA722/BE722,IF(AND(ISNUMBER(BH722),BH722=0),0,"")))))</f>
        <v>0.012269619136920547</v>
      </c>
      <c r="BG722" s="11" t="n">
        <f>IF(AND(COUNT(BN722:BU722)=8,MIN(BN722:BU722)&gt;=0),SUMPRODUCT(BN722:BQ722,BR722:BU722),"")</f>
        <v>88.27281580841549</v>
      </c>
      <c r="BH722" s="11" t="n">
        <f>IF(COUNT(BC722,BG722)=2,BC722*BG722,"")</f>
        <v>129.73458761381332</v>
      </c>
      <c r="BI722" s="11" t="n">
        <f>IF(ISNUMBER(CI722),CI722,"")</f>
        <v>1.5917939789069393</v>
      </c>
      <c r="BJ722" s="8" t="str"/>
      <c r="BK722" s="8" t="str">
        <v>90天：2026-07-20 至 2026-10-17；180天：2026-04-21 至 2026-10-17</v>
      </c>
      <c r="BL722" s="8" t="str">
        <v>90天：2026-10-06、2026-10-07；180天：2026-10-06、2026-10-07</v>
      </c>
      <c r="BM722" s="8" t="str">
        <v>2026-10：12天 × 1.0395067087630607；2026-11：30天 × 0.9890368360033146；2026-12：31天 × 0.7800796503018808；2027-01：17天 × 1.2908918272824135</v>
      </c>
      <c r="BN722" s="11" t="n">
        <v>1.0395067087630607</v>
      </c>
      <c r="BO722" s="11" t="n">
        <v>0.9890368360033146</v>
      </c>
      <c r="BP722" s="11" t="n">
        <v>0.7800796503018808</v>
      </c>
      <c r="BQ722" s="11" t="n">
        <v>1.2908918272824135</v>
      </c>
      <c r="BR722" s="8" t="n">
        <v>12</v>
      </c>
      <c r="BS722" s="8" t="n">
        <v>30</v>
      </c>
      <c r="BT722" s="8" t="n">
        <v>31</v>
      </c>
      <c r="BU722" s="8" t="n">
        <v>17</v>
      </c>
      <c r="BV722" s="11" t="n">
        <f>IF(COUNT(BC722,BF722)=2,BC722*BF722,"")</f>
        <v>0.018032663446034373</v>
      </c>
      <c r="BW722" s="11" t="n">
        <f>IF(ISNUMBER(BN722),BN722,"")</f>
        <v>1.0395067087630607</v>
      </c>
      <c r="BX722" s="14" t="n">
        <f>IF(ISNUMBER(BR722),BR722,"")</f>
        <v>12</v>
      </c>
      <c r="BY722" s="13" t="n">
        <f>IF(AND(COUNT(BV722,BW722,BX722)=3,MIN(BV722,BW722,BX722)&gt;=0),BV722*BW722*BX722,"")</f>
        <v>0.22494089554822977</v>
      </c>
      <c r="BZ722" s="11" t="n">
        <f>IF(ISNUMBER(BO722),BO722,"")</f>
        <v>0.9890368360033146</v>
      </c>
      <c r="CA722" s="14" t="n">
        <f>IF(ISNUMBER(BS722),BS722,"")</f>
        <v>30</v>
      </c>
      <c r="CB722" s="13" t="n">
        <f>IF(AND(COUNT(BV722,BZ722,CA722)=3,MIN(BV722,BZ722,CA722)&gt;=0),BV722*BZ722*CA722,"")</f>
        <v>0.5350490519813539</v>
      </c>
      <c r="CC722" s="11" t="n">
        <f>IF(ISNUMBER(BP722),BP722,"")</f>
        <v>0.7800796503018808</v>
      </c>
      <c r="CD722" s="14" t="n">
        <f>IF(ISNUMBER(BT722),BT722,"")</f>
        <v>31</v>
      </c>
      <c r="CE722" s="13" t="n">
        <f>IF(AND(COUNT(BV722,CC722,CD722)=3,MIN(BV722,CC722,CD722)&gt;=0),BV722*CC722*CD722,"")</f>
        <v>0.436074327644814</v>
      </c>
      <c r="CF722" s="11" t="n">
        <f>IF(ISNUMBER(BQ722),BQ722,"")</f>
        <v>1.2908918272824135</v>
      </c>
      <c r="CG722" s="14" t="n">
        <f>IF(ISNUMBER(BU722),BU722,"")</f>
        <v>17</v>
      </c>
      <c r="CH722" s="13" t="n">
        <f>IF(AND(COUNT(BV722,CF722,CG722)=3,MIN(BV722,CF722,CG722)&gt;=0),BV722*CF722*CG722,"")</f>
        <v>0.3957297037325416</v>
      </c>
      <c r="CI722" s="13" t="n">
        <f>IF(COUNT(BY722,CB722,CE722,CH722)=4,SUM(BY722,CB722,CE722,CH722),"")</f>
        <v>1.5917939789069393</v>
      </c>
    </row>
    <row r="723" ht="72" customHeight="1">
      <c r="A723" s="16" t="str">
        <v>32582-ND-41</v>
      </c>
      <c r="B723" s="16" t="str">
        <v>3店-SANDIEX-US</v>
      </c>
      <c r="C723" s="16" t="str">
        <v>徐新怡</v>
      </c>
      <c r="D723" s="26" t="n">
        <f>IF(NOT(ISNUMBER(E723)),"",IF(OR(E723&lt;=0,L723=0),0,IF(OR(NOT(ISNUMBER(F723)),F723&lt;0),"",MIN(E723,INT(F723)))))</f>
        <v>0</v>
      </c>
      <c r="E723" s="27" t="n">
        <f>IF(OR(NOT(ISNUMBER(L723)),COUNT(M723:O723)&lt;&gt;3,MIN(M723:O723)&lt;0),"",ROUNDUP(ROUND(BI723-SUM(M723:O723),10),0))</f>
        <v>-15</v>
      </c>
      <c r="F723" s="28" t="n">
        <v>44</v>
      </c>
      <c r="G723" s="28" t="n">
        <f>IF(AND(ISNUMBER(D723),ISNUMBER(E723)),IF(OR(E723&lt;=0,L723=0),0,E723-D723),"")</f>
        <v>0</v>
      </c>
      <c r="H723" s="16" t="str">
        <f>IF(NOT(ISNUMBER(E723)),"销量或海外库存待补",IF(OR(E723&lt;=0,L723=0),IF(L723=0,"零日销，本批不发","本批无需补货"),IF(NOT(ISNUMBER(D723)),"国内库存待补",IF(D723=0,"国内无可用库存",IF(G723&gt;0,"先发国内现货","按建议量发货")))))</f>
        <v>本批无需补货</v>
      </c>
      <c r="I723" s="28" t="n">
        <f>IF(AND(COUNT(Z723,AA723,AB723)=3,Z723&gt;=AA723,AA723&gt;=0,AB723=7),Z723-AA723,"")</f>
        <v>2</v>
      </c>
      <c r="J723" s="28" t="n">
        <f>IF(AND(COUNT(AF723,AG723,AH723)=3,AF723&gt;=AG723,AG723&gt;=0,AH723=14),AF723-AG723,"")</f>
        <v>4</v>
      </c>
      <c r="K723" s="28" t="n">
        <f>IF(AND(COUNT(AL723,AM723,AN723)=3,AL723&gt;=AM723,AM723&gt;=0,AN723=30),AL723-AM723,"")</f>
        <v>11</v>
      </c>
      <c r="L723" s="29" t="n">
        <f>IF(ISNUMBER(BI723),BI723/90,"")</f>
        <v>0.21801202938248768</v>
      </c>
      <c r="M723" s="28" t="n">
        <v>14</v>
      </c>
      <c r="N723" s="28" t="n">
        <v>0</v>
      </c>
      <c r="O723" s="28" t="n">
        <v>20</v>
      </c>
      <c r="P723" s="30" t="n">
        <f>IF(AND(ISNUMBER(L723),L723&gt;0,COUNT(M723:O723)=3,MIN(M723:O723)&gt;=0),SUM(M723:O723)/L723,"")</f>
        <v>155.9546970701752</v>
      </c>
      <c r="Q723" s="16" t="str">
        <v>沿用原计划SKU店铺</v>
      </c>
      <c r="R723" s="16" t="str">
        <v>已匹配</v>
      </c>
      <c r="S723" s="16" t="str">
        <v>在售</v>
      </c>
      <c r="T723" s="16" t="str">
        <v>32582</v>
      </c>
      <c r="U723" s="16" t="str">
        <v>裸色</v>
      </c>
      <c r="V723" s="16" t="n">
        <v>10</v>
      </c>
      <c r="W723" s="8" t="str">
        <v>2026-10-11 至 2026-10-17</v>
      </c>
      <c r="X723" s="8" t="str">
        <v>2026-10-11、2026-10-12、2026-10-13、2026-10-14、2026-10-15、2026-10-16、2026-10-17</v>
      </c>
      <c r="Y723" s="8" t="str">
        <v>无</v>
      </c>
      <c r="Z723" s="8" t="n">
        <v>2</v>
      </c>
      <c r="AA723" s="8" t="n">
        <v>0</v>
      </c>
      <c r="AB723" s="8" t="n">
        <v>7</v>
      </c>
      <c r="AC723" s="8" t="str">
        <v>2026-10-02 至 2026-10-17</v>
      </c>
      <c r="AD723" s="8" t="str">
        <v>2026-10-02、2026-10-03、2026-10-04、2026-10-05、2026-10-08、2026-10-09、2026-10-10、2026-10-11、2026-10-12、2026-10-13、2026-10-14、2026-10-15、2026-10-16、2026-10-17</v>
      </c>
      <c r="AE723" s="8" t="str">
        <v>2026-10-06 大促；2026-10-07 大促</v>
      </c>
      <c r="AF723" s="8" t="n">
        <v>4</v>
      </c>
      <c r="AG723" s="8" t="n">
        <v>0</v>
      </c>
      <c r="AH723" s="8" t="n">
        <v>14</v>
      </c>
      <c r="AI723" s="8" t="str">
        <v>2026-09-16 至 2026-10-17</v>
      </c>
      <c r="AJ7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3" s="8" t="str">
        <v>2026-10-06 大促；2026-10-07 大促</v>
      </c>
      <c r="AL723" s="8" t="n">
        <v>11</v>
      </c>
      <c r="AM723" s="8" t="n">
        <v>0</v>
      </c>
      <c r="AN723" s="8" t="n">
        <v>30</v>
      </c>
      <c r="AO723" s="8" t="str">
        <v>32582 / 裸色羊京绒 / 6574</v>
      </c>
      <c r="AP723" s="11" t="n">
        <v>1.0395067087630607</v>
      </c>
      <c r="AQ723" s="11" t="n">
        <v>1.0395067087630607</v>
      </c>
      <c r="AR723" s="11" t="n">
        <v>1.0707336504782758</v>
      </c>
      <c r="AS723" s="11" t="n">
        <f>IF(AND(COUNT(I723:K723,AP723:AR723)=6,MIN(AP723:AR723)&gt;0),I723/7/AP723*0.5+J723/14/AQ723*0.3+K723/30/AR723*0.2,"")</f>
        <v>0.28837338090859543</v>
      </c>
      <c r="AT723" s="8" t="n">
        <v>26</v>
      </c>
      <c r="AU723" s="8" t="n">
        <v>0</v>
      </c>
      <c r="AV723" s="8" t="n">
        <v>88</v>
      </c>
      <c r="AW723" s="11" t="n">
        <f>IF(AND(COUNT(AT723:AV723)=3,AT723&gt;=AU723,AU723&gt;=0,AV723&gt;0),(AT723-AU723)/AV723,"")</f>
        <v>0.29545454545454547</v>
      </c>
      <c r="AX723" s="8" t="n">
        <v>40</v>
      </c>
      <c r="AY723" s="8" t="n">
        <v>0</v>
      </c>
      <c r="AZ723" s="8" t="n">
        <v>178</v>
      </c>
      <c r="BA723" s="11" t="n">
        <f>IF(AND(COUNT(AX723:AZ723)=3,AX723&gt;=AY723,AY723&gt;=0,AZ723&gt;0),(AX723-AY723)/AZ723,"")</f>
        <v>0.2247191011235955</v>
      </c>
      <c r="BB723" s="8" t="n">
        <f>IF(COUNT(AS723,AW723,BA723)=3,1,0)</f>
        <v>1</v>
      </c>
      <c r="BC723" s="11" t="n">
        <f>IF(SUMIF($AO$11:$AO$1309,AO723,$BB$11:$BB$1309)=COUNTIF($AO$11:$AO$1309,AO723),SUMIF($AO$11:$AO$1309,AO723,$AS$11:$AS$1309),"")</f>
        <v>1.469700342349848</v>
      </c>
      <c r="BD723" s="11" t="n">
        <f>IF(SUMIF($AO$11:$AO$1309,AO723,$BB$11:$BB$1309)=COUNTIF($AO$11:$AO$1309,AO723),SUMIF($AO$11:$AO$1309,AO723,$AW$11:$AW$1309),"")</f>
        <v>1.858288770053476</v>
      </c>
      <c r="BE723" s="11" t="n">
        <f>IF(SUMIF($AO$11:$AO$1309,AO723,$BB$11:$BB$1309)=COUNTIF($AO$11:$AO$1309,AO723),SUMIF($AO$11:$AO$1309,AO723,$BA$11:$BA$1309),"")</f>
        <v>1.6877046548956662</v>
      </c>
      <c r="BF723" s="12" t="n">
        <f>IF(COUNT(BD723:BE723)&lt;&gt;2,"",IF(AND(BD723&gt;0,BE723&gt;0),0.7*AW723/BD723+0.3*BA723/BE723,IF(BD723&gt;0,AW723/BD723,IF(BE723&gt;0,BA723/BE723,IF(AND(ISNUMBER(BH723),BH723=0),0,"")))))</f>
        <v>0.151240182015538</v>
      </c>
      <c r="BG723" s="11" t="n">
        <f>IF(AND(COUNT(BN723:BU723)=8,MIN(BN723:BU723)&gt;=0),SUMPRODUCT(BN723:BQ723,BR723:BU723),"")</f>
        <v>88.27281580841549</v>
      </c>
      <c r="BH723" s="11" t="n">
        <f>IF(COUNT(BC723,BG723)=2,BC723*BG723,"")</f>
        <v>129.73458761381332</v>
      </c>
      <c r="BI723" s="11" t="n">
        <f>IF(ISNUMBER(CI723),CI723,"")</f>
        <v>19.62108264442389</v>
      </c>
      <c r="BJ723" s="8" t="str"/>
      <c r="BK723" s="8" t="str">
        <v>90天：2026-07-20 至 2026-10-17；180天：2026-04-21 至 2026-10-17</v>
      </c>
      <c r="BL723" s="8" t="str">
        <v>90天：2026-10-06、2026-10-07；180天：2026-10-06、2026-10-07</v>
      </c>
      <c r="BM723" s="8" t="str">
        <v>2026-10：12天 × 1.0395067087630607；2026-11：30天 × 0.9890368360033146；2026-12：31天 × 0.7800796503018808；2027-01：17天 × 1.2908918272824135</v>
      </c>
      <c r="BN723" s="11" t="n">
        <v>1.0395067087630607</v>
      </c>
      <c r="BO723" s="11" t="n">
        <v>0.9890368360033146</v>
      </c>
      <c r="BP723" s="11" t="n">
        <v>0.7800796503018808</v>
      </c>
      <c r="BQ723" s="11" t="n">
        <v>1.2908918272824135</v>
      </c>
      <c r="BR723" s="8" t="n">
        <v>12</v>
      </c>
      <c r="BS723" s="8" t="n">
        <v>30</v>
      </c>
      <c r="BT723" s="8" t="n">
        <v>31</v>
      </c>
      <c r="BU723" s="8" t="n">
        <v>17</v>
      </c>
      <c r="BV723" s="11" t="n">
        <f>IF(COUNT(BC723,BF723)=2,BC723*BF723,"")</f>
        <v>0.2222777472852895</v>
      </c>
      <c r="BW723" s="11" t="n">
        <f>IF(ISNUMBER(BN723),BN723,"")</f>
        <v>1.0395067087630607</v>
      </c>
      <c r="BX723" s="14" t="n">
        <f>IF(ISNUMBER(BR723),BR723,"")</f>
        <v>12</v>
      </c>
      <c r="BY723" s="13" t="n">
        <f>IF(AND(COUNT(BV723,BW723,BX723)=3,MIN(BV723,BW723,BX723)&gt;=0),BV723*BW723*BX723,"")</f>
        <v>2.7727105141415835</v>
      </c>
      <c r="BZ723" s="11" t="n">
        <f>IF(ISNUMBER(BO723),BO723,"")</f>
        <v>0.9890368360033146</v>
      </c>
      <c r="CA723" s="14" t="n">
        <f>IF(ISNUMBER(BS723),BS723,"")</f>
        <v>30</v>
      </c>
      <c r="CB723" s="13" t="n">
        <f>IF(AND(COUNT(BV723,BZ723,CA723)=3,MIN(BV723,BZ723,CA723)&gt;=0),BV723*BZ723*CA723,"")</f>
        <v>6.595226396669613</v>
      </c>
      <c r="CC723" s="11" t="n">
        <f>IF(ISNUMBER(BP723),BP723,"")</f>
        <v>0.7800796503018808</v>
      </c>
      <c r="CD723" s="14" t="n">
        <f>IF(ISNUMBER(BT723),BT723,"")</f>
        <v>31</v>
      </c>
      <c r="CE723" s="13" t="n">
        <f>IF(AND(COUNT(BV723,CC723,CD723)=3,MIN(BV723,CC723,CD723)&gt;=0),BV723*CC723*CD723,"")</f>
        <v>5.3752247685381525</v>
      </c>
      <c r="CF723" s="11" t="n">
        <f>IF(ISNUMBER(BQ723),BQ723,"")</f>
        <v>1.2908918272824135</v>
      </c>
      <c r="CG723" s="14" t="n">
        <f>IF(ISNUMBER(BU723),BU723,"")</f>
        <v>17</v>
      </c>
      <c r="CH723" s="13" t="n">
        <f>IF(AND(COUNT(BV723,CF723,CG723)=3,MIN(BV723,CF723,CG723)&gt;=0),BV723*CF723*CG723,"")</f>
        <v>4.87792096507454</v>
      </c>
      <c r="CI723" s="13" t="n">
        <f>IF(COUNT(BY723,CB723,CE723,CH723)=4,SUM(BY723,CB723,CE723,CH723),"")</f>
        <v>19.62108264442389</v>
      </c>
    </row>
    <row r="724" ht="72" customHeight="1">
      <c r="A724" s="16" t="str">
        <v>32582-ND-41.5</v>
      </c>
      <c r="B724" s="16" t="str">
        <v>3店-SANDIEX-US</v>
      </c>
      <c r="C724" s="16" t="str">
        <v>徐新怡</v>
      </c>
      <c r="D724" s="26" t="n">
        <f>IF(NOT(ISNUMBER(E724)),"",IF(OR(E724&lt;=0,L724=0),0,IF(OR(NOT(ISNUMBER(F724)),F724&lt;0),"",MIN(E724,INT(F724)))))</f>
        <v>0</v>
      </c>
      <c r="E724" s="27" t="n">
        <f>IF(OR(NOT(ISNUMBER(L724)),COUNT(M724:O724)&lt;&gt;3,MIN(M724:O724)&lt;0),"",ROUNDUP(ROUND(BI724-SUM(M724:O724),10),0))</f>
        <v>0</v>
      </c>
      <c r="F724" s="28" t="n">
        <v>0</v>
      </c>
      <c r="G724" s="28" t="n">
        <f>IF(AND(ISNUMBER(D724),ISNUMBER(E724)),IF(OR(E724&lt;=0,L724=0),0,E724-D724),"")</f>
        <v>0</v>
      </c>
      <c r="H724" s="16" t="str">
        <f>IF(NOT(ISNUMBER(E724)),"销量或海外库存待补",IF(OR(E724&lt;=0,L724=0),IF(L724=0,"零日销，本批不发","本批无需补货"),IF(NOT(ISNUMBER(D724)),"国内库存待补",IF(D724=0,"国内无可用库存",IF(G724&gt;0,"先发国内现货","按建议量发货")))))</f>
        <v>零日销，本批不发</v>
      </c>
      <c r="I724" s="28" t="n">
        <f>IF(AND(COUNT(Z724,AA724,AB724)=3,Z724&gt;=AA724,AA724&gt;=0,AB724=7),Z724-AA724,"")</f>
        <v>0</v>
      </c>
      <c r="J724" s="28" t="n">
        <f>IF(AND(COUNT(AF724,AG724,AH724)=3,AF724&gt;=AG724,AG724&gt;=0,AH724=14),AF724-AG724,"")</f>
        <v>0</v>
      </c>
      <c r="K724" s="28" t="n">
        <f>IF(AND(COUNT(AL724,AM724,AN724)=3,AL724&gt;=AM724,AM724&gt;=0,AN724=30),AL724-AM724,"")</f>
        <v>0</v>
      </c>
      <c r="L724" s="29" t="n">
        <f>IF(ISNUMBER(BI724),BI724/90,"")</f>
        <v>0</v>
      </c>
      <c r="M724" s="28" t="n">
        <v>0</v>
      </c>
      <c r="N724" s="28" t="n">
        <v>0</v>
      </c>
      <c r="O724" s="28" t="n">
        <v>0</v>
      </c>
      <c r="P724" s="30" t="str">
        <f>IF(AND(ISNUMBER(L724),L724&gt;0,COUNT(M724:O724)=3,MIN(M724:O724)&gt;=0),SUM(M724:O724)/L724,"")</f>
      </c>
      <c r="Q724" s="16" t="str">
        <v>沿用原计划SKU店铺</v>
      </c>
      <c r="R724" s="16" t="str">
        <v>已匹配</v>
      </c>
      <c r="S724" s="16" t="str">
        <v>停售</v>
      </c>
      <c r="T724" s="16" t="str">
        <v>32582</v>
      </c>
      <c r="U724" s="16" t="str">
        <v>裸色</v>
      </c>
      <c r="V724" s="16" t="n">
        <v>10.5</v>
      </c>
      <c r="W724" s="8" t="str">
        <v>2026-10-08 至 2026-10-17</v>
      </c>
      <c r="X724" s="8" t="str">
        <v>2026-10-08、2026-10-09、2026-10-10、2026-10-11、2026-10-14、2026-10-15、2026-10-17</v>
      </c>
      <c r="Y724" s="8" t="str">
        <v>2026-10-12 有记录的停售日；2026-10-13 有记录的停售日；2026-10-16 有记录的停售日</v>
      </c>
      <c r="Z724" s="8" t="n">
        <v>0</v>
      </c>
      <c r="AA724" s="8" t="n">
        <v>0</v>
      </c>
      <c r="AB724" s="8" t="n">
        <v>7</v>
      </c>
      <c r="AC724" s="8" t="str">
        <v>2026-09-29 至 2026-10-17</v>
      </c>
      <c r="AD724" s="8" t="str">
        <v>2026-09-29、2026-09-30、2026-10-01、2026-10-02、2026-10-03、2026-10-04、2026-10-05、2026-10-08、2026-10-09、2026-10-10、2026-10-11、2026-10-14、2026-10-15、2026-10-17</v>
      </c>
      <c r="AE724" s="8" t="str">
        <v>2026-10-06 大促；2026-10-07 大促；2026-10-12 有记录的停售日；2026-10-13 有记录的停售日；2026-10-16 有记录的停售日</v>
      </c>
      <c r="AF724" s="8" t="n">
        <v>0</v>
      </c>
      <c r="AG724" s="8" t="n">
        <v>0</v>
      </c>
      <c r="AH724" s="8" t="n">
        <v>14</v>
      </c>
      <c r="AI724" s="8" t="str">
        <v>2026-09-13 至 2026-10-17</v>
      </c>
      <c r="AJ72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24" s="8" t="str">
        <v>2026-10-06 大促；2026-10-07 大促；2026-10-12 有记录的停售日；2026-10-13 有记录的停售日；2026-10-16 有记录的停售日</v>
      </c>
      <c r="AL724" s="8" t="n">
        <v>0</v>
      </c>
      <c r="AM724" s="8" t="n">
        <v>0</v>
      </c>
      <c r="AN724" s="8" t="n">
        <v>30</v>
      </c>
      <c r="AO724" s="8" t="str">
        <v>32582 / 裸色羊京绒 / 6574</v>
      </c>
      <c r="AP724" s="11" t="n">
        <v>1.0395067087630607</v>
      </c>
      <c r="AQ724" s="11" t="n">
        <v>1.048428692110265</v>
      </c>
      <c r="AR724" s="11" t="n">
        <v>1.076979038821319</v>
      </c>
      <c r="AS724" s="11" t="n">
        <f>IF(AND(COUNT(I724:K724,AP724:AR724)=6,MIN(AP724:AR724)&gt;0),I724/7/AP724*0.5+J724/14/AQ724*0.3+K724/30/AR724*0.2,"")</f>
        <v>0</v>
      </c>
      <c r="AT724" s="8" t="n">
        <v>0</v>
      </c>
      <c r="AU724" s="8" t="n">
        <v>0</v>
      </c>
      <c r="AV724" s="8" t="n">
        <v>85</v>
      </c>
      <c r="AW724" s="11" t="n">
        <f>IF(AND(COUNT(AT724:AV724)=3,AT724&gt;=AU724,AU724&gt;=0,AV724&gt;0),(AT724-AU724)/AV724,"")</f>
        <v>0</v>
      </c>
      <c r="AX724" s="8" t="n">
        <v>0</v>
      </c>
      <c r="AY724" s="8" t="n">
        <v>0</v>
      </c>
      <c r="AZ724" s="8" t="n">
        <v>175</v>
      </c>
      <c r="BA724" s="11" t="n">
        <f>IF(AND(COUNT(AX724:AZ724)=3,AX724&gt;=AY724,AY724&gt;=0,AZ724&gt;0),(AX724-AY724)/AZ724,"")</f>
        <v>0</v>
      </c>
      <c r="BB724" s="8" t="n">
        <f>IF(COUNT(AS724,AW724,BA724)=3,1,0)</f>
        <v>1</v>
      </c>
      <c r="BC724" s="11" t="n">
        <f>IF(SUMIF($AO$11:$AO$1309,AO724,$BB$11:$BB$1309)=COUNTIF($AO$11:$AO$1309,AO724),SUMIF($AO$11:$AO$1309,AO724,$AS$11:$AS$1309),"")</f>
        <v>1.469700342349848</v>
      </c>
      <c r="BD724" s="11" t="n">
        <f>IF(SUMIF($AO$11:$AO$1309,AO724,$BB$11:$BB$1309)=COUNTIF($AO$11:$AO$1309,AO724),SUMIF($AO$11:$AO$1309,AO724,$AW$11:$AW$1309),"")</f>
        <v>1.858288770053476</v>
      </c>
      <c r="BE724" s="11" t="n">
        <f>IF(SUMIF($AO$11:$AO$1309,AO724,$BB$11:$BB$1309)=COUNTIF($AO$11:$AO$1309,AO724),SUMIF($AO$11:$AO$1309,AO724,$BA$11:$BA$1309),"")</f>
        <v>1.6877046548956662</v>
      </c>
      <c r="BF724" s="12" t="n">
        <f>IF(COUNT(BD724:BE724)&lt;&gt;2,"",IF(AND(BD724&gt;0,BE724&gt;0),0.7*AW724/BD724+0.3*BA724/BE724,IF(BD724&gt;0,AW724/BD724,IF(BE724&gt;0,BA724/BE724,IF(AND(ISNUMBER(BH724),BH724=0),0,"")))))</f>
        <v>0</v>
      </c>
      <c r="BG724" s="11" t="n">
        <f>IF(AND(COUNT(BN724:BU724)=8,MIN(BN724:BU724)&gt;=0),SUMPRODUCT(BN724:BQ724,BR724:BU724),"")</f>
        <v>88.27281580841549</v>
      </c>
      <c r="BH724" s="11" t="n">
        <f>IF(COUNT(BC724,BG724)=2,BC724*BG724,"")</f>
        <v>129.73458761381332</v>
      </c>
      <c r="BI724" s="11" t="n">
        <f>IF(ISNUMBER(CI724),CI724,"")</f>
        <v>0</v>
      </c>
      <c r="BJ724" s="8" t="str"/>
      <c r="BK724" s="8" t="str">
        <v>90天：2026-07-20 至 2026-10-17；180天：2026-04-21 至 2026-10-17</v>
      </c>
      <c r="BL724" s="8" t="str">
        <v>90天：2026-10-06、2026-10-07、2026-10-12、2026-10-13、2026-10-16；180天：2026-10-06、2026-10-07、2026-10-12、2026-10-13、2026-10-16</v>
      </c>
      <c r="BM724" s="8" t="str">
        <v>2026-10：12天 × 1.0395067087630607；2026-11：30天 × 0.9890368360033146；2026-12：31天 × 0.7800796503018808；2027-01：17天 × 1.2908918272824135</v>
      </c>
      <c r="BN724" s="11" t="n">
        <v>1.0395067087630607</v>
      </c>
      <c r="BO724" s="11" t="n">
        <v>0.9890368360033146</v>
      </c>
      <c r="BP724" s="11" t="n">
        <v>0.7800796503018808</v>
      </c>
      <c r="BQ724" s="11" t="n">
        <v>1.2908918272824135</v>
      </c>
      <c r="BR724" s="8" t="n">
        <v>12</v>
      </c>
      <c r="BS724" s="8" t="n">
        <v>30</v>
      </c>
      <c r="BT724" s="8" t="n">
        <v>31</v>
      </c>
      <c r="BU724" s="8" t="n">
        <v>17</v>
      </c>
      <c r="BV724" s="11" t="n">
        <f>IF(COUNT(BC724,BF724)=2,BC724*BF724,"")</f>
        <v>0</v>
      </c>
      <c r="BW724" s="11" t="n">
        <f>IF(ISNUMBER(BN724),BN724,"")</f>
        <v>1.0395067087630607</v>
      </c>
      <c r="BX724" s="14" t="n">
        <f>IF(ISNUMBER(BR724),BR724,"")</f>
        <v>12</v>
      </c>
      <c r="BY724" s="13" t="n">
        <f>IF(AND(COUNT(BV724,BW724,BX724)=3,MIN(BV724,BW724,BX724)&gt;=0),BV724*BW724*BX724,"")</f>
        <v>0</v>
      </c>
      <c r="BZ724" s="11" t="n">
        <f>IF(ISNUMBER(BO724),BO724,"")</f>
        <v>0.9890368360033146</v>
      </c>
      <c r="CA724" s="14" t="n">
        <f>IF(ISNUMBER(BS724),BS724,"")</f>
        <v>30</v>
      </c>
      <c r="CB724" s="13" t="n">
        <f>IF(AND(COUNT(BV724,BZ724,CA724)=3,MIN(BV724,BZ724,CA724)&gt;=0),BV724*BZ724*CA724,"")</f>
        <v>0</v>
      </c>
      <c r="CC724" s="11" t="n">
        <f>IF(ISNUMBER(BP724),BP724,"")</f>
        <v>0.7800796503018808</v>
      </c>
      <c r="CD724" s="14" t="n">
        <f>IF(ISNUMBER(BT724),BT724,"")</f>
        <v>31</v>
      </c>
      <c r="CE724" s="13" t="n">
        <f>IF(AND(COUNT(BV724,CC724,CD724)=3,MIN(BV724,CC724,CD724)&gt;=0),BV724*CC724*CD724,"")</f>
        <v>0</v>
      </c>
      <c r="CF724" s="11" t="n">
        <f>IF(ISNUMBER(BQ724),BQ724,"")</f>
        <v>1.2908918272824135</v>
      </c>
      <c r="CG724" s="14" t="n">
        <f>IF(ISNUMBER(BU724),BU724,"")</f>
        <v>17</v>
      </c>
      <c r="CH724" s="13" t="n">
        <f>IF(AND(COUNT(BV724,CF724,CG724)=3,MIN(BV724,CF724,CG724)&gt;=0),BV724*CF724*CG724,"")</f>
        <v>0</v>
      </c>
      <c r="CI724" s="13" t="n">
        <f>IF(COUNT(BY724,CB724,CE724,CH724)=4,SUM(BY724,CB724,CE724,CH724),"")</f>
        <v>0</v>
      </c>
    </row>
    <row r="725" ht="72" customHeight="1">
      <c r="A725" s="16" t="str">
        <v>32582-NY-37</v>
      </c>
      <c r="B725" s="16" t="str">
        <v>3店-SANDIEX-US</v>
      </c>
      <c r="C725" s="16" t="str">
        <v>徐新怡</v>
      </c>
      <c r="D725" s="26" t="n">
        <f>IF(NOT(ISNUMBER(E725)),"",IF(OR(E725&lt;=0,L725=0),0,IF(OR(NOT(ISNUMBER(F725)),F725&lt;0),"",MIN(E725,INT(F725)))))</f>
        <v>0</v>
      </c>
      <c r="E725" s="27" t="n">
        <f>IF(OR(NOT(ISNUMBER(L725)),COUNT(M725:O725)&lt;&gt;3,MIN(M725:O725)&lt;0),"",ROUNDUP(ROUND(BI725-SUM(M725:O725),10),0))</f>
        <v>0</v>
      </c>
      <c r="F725" s="28" t="n">
        <v>0</v>
      </c>
      <c r="G725" s="28" t="n">
        <f>IF(AND(ISNUMBER(D725),ISNUMBER(E725)),IF(OR(E725&lt;=0,L725=0),0,E725-D725),"")</f>
        <v>0</v>
      </c>
      <c r="H725" s="16" t="str">
        <f>IF(NOT(ISNUMBER(E725)),"销量或海外库存待补",IF(OR(E725&lt;=0,L725=0),IF(L725=0,"零日销，本批不发","本批无需补货"),IF(NOT(ISNUMBER(D725)),"国内库存待补",IF(D725=0,"国内无可用库存",IF(G725&gt;0,"先发国内现货","按建议量发货")))))</f>
        <v>零日销，本批不发</v>
      </c>
      <c r="I725" s="28" t="n">
        <f>IF(AND(COUNT(Z725,AA725,AB725)=3,Z725&gt;=AA725,AA725&gt;=0,AB725=7),Z725-AA725,"")</f>
        <v>0</v>
      </c>
      <c r="J725" s="28" t="n">
        <f>IF(AND(COUNT(AF725,AG725,AH725)=3,AF725&gt;=AG725,AG725&gt;=0,AH725=14),AF725-AG725,"")</f>
        <v>0</v>
      </c>
      <c r="K725" s="28" t="n">
        <f>IF(AND(COUNT(AL725,AM725,AN725)=3,AL725&gt;=AM725,AM725&gt;=0,AN725=30),AL725-AM725,"")</f>
        <v>0</v>
      </c>
      <c r="L725" s="29" t="n">
        <f>IF(ISNUMBER(BI725),BI725/90,"")</f>
        <v>0</v>
      </c>
      <c r="M725" s="28" t="n">
        <v>0</v>
      </c>
      <c r="N725" s="28" t="n">
        <v>0</v>
      </c>
      <c r="O725" s="28" t="n">
        <v>0</v>
      </c>
      <c r="P725" s="30" t="str">
        <f>IF(AND(ISNUMBER(L725),L725&gt;0,COUNT(M725:O725)=3,MIN(M725:O725)&gt;=0),SUM(M725:O725)/L725,"")</f>
      </c>
      <c r="Q725" s="16" t="str">
        <v>沿用原计划SKU店铺</v>
      </c>
      <c r="R725" s="16" t="str">
        <v>已匹配</v>
      </c>
      <c r="S725" s="16" t="str">
        <v>停售</v>
      </c>
      <c r="T725" s="16" t="str">
        <v>32582</v>
      </c>
      <c r="U725" s="16" t="str">
        <v>藏青色</v>
      </c>
      <c r="V725" s="16" t="n">
        <v>6</v>
      </c>
      <c r="W725" s="8" t="str">
        <v>2026-10-08 至 2026-10-17</v>
      </c>
      <c r="X725" s="8" t="str">
        <v>2026-10-08、2026-10-09、2026-10-10、2026-10-11、2026-10-14、2026-10-15、2026-10-17</v>
      </c>
      <c r="Y725" s="8" t="str">
        <v>2026-10-12 有记录的停售日；2026-10-13 有记录的停售日；2026-10-16 有记录的停售日</v>
      </c>
      <c r="Z725" s="8" t="n">
        <v>0</v>
      </c>
      <c r="AA725" s="8" t="n">
        <v>0</v>
      </c>
      <c r="AB725" s="8" t="n">
        <v>7</v>
      </c>
      <c r="AC725" s="8" t="str">
        <v>2026-09-29 至 2026-10-17</v>
      </c>
      <c r="AD725" s="8" t="str">
        <v>2026-09-29、2026-09-30、2026-10-01、2026-10-02、2026-10-03、2026-10-04、2026-10-05、2026-10-08、2026-10-09、2026-10-10、2026-10-11、2026-10-14、2026-10-15、2026-10-17</v>
      </c>
      <c r="AE725" s="8" t="str">
        <v>2026-10-06 大促；2026-10-07 大促；2026-10-12 有记录的停售日；2026-10-13 有记录的停售日；2026-10-16 有记录的停售日</v>
      </c>
      <c r="AF725" s="8" t="n">
        <v>0</v>
      </c>
      <c r="AG725" s="8" t="n">
        <v>0</v>
      </c>
      <c r="AH725" s="8" t="n">
        <v>14</v>
      </c>
      <c r="AI725" s="8" t="str">
        <v>2026-09-13 至 2026-10-17</v>
      </c>
      <c r="AJ72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25" s="8" t="str">
        <v>2026-10-06 大促；2026-10-07 大促；2026-10-12 有记录的停售日；2026-10-13 有记录的停售日；2026-10-16 有记录的停售日</v>
      </c>
      <c r="AL725" s="8" t="n">
        <v>0</v>
      </c>
      <c r="AM725" s="8" t="n">
        <v>0</v>
      </c>
      <c r="AN725" s="8" t="n">
        <v>30</v>
      </c>
      <c r="AO725" s="8" t="str">
        <v>32582 / 藏青色羊京绒 / 6574</v>
      </c>
      <c r="AP725" s="11" t="n">
        <v>1.0395067087630607</v>
      </c>
      <c r="AQ725" s="11" t="n">
        <v>1.048428692110265</v>
      </c>
      <c r="AR725" s="11" t="n">
        <v>1.076979038821319</v>
      </c>
      <c r="AS725" s="11" t="n">
        <f>IF(AND(COUNT(I725:K725,AP725:AR725)=6,MIN(AP725:AR725)&gt;0),I725/7/AP725*0.5+J725/14/AQ725*0.3+K725/30/AR725*0.2,"")</f>
        <v>0</v>
      </c>
      <c r="AT725" s="8" t="n">
        <v>0</v>
      </c>
      <c r="AU725" s="8" t="n">
        <v>0</v>
      </c>
      <c r="AV725" s="8" t="n">
        <v>85</v>
      </c>
      <c r="AW725" s="11" t="n">
        <f>IF(AND(COUNT(AT725:AV725)=3,AT725&gt;=AU725,AU725&gt;=0,AV725&gt;0),(AT725-AU725)/AV725,"")</f>
        <v>0</v>
      </c>
      <c r="AX725" s="8" t="n">
        <v>0</v>
      </c>
      <c r="AY725" s="8" t="n">
        <v>0</v>
      </c>
      <c r="AZ725" s="8" t="n">
        <v>175</v>
      </c>
      <c r="BA725" s="11" t="n">
        <f>IF(AND(COUNT(AX725:AZ725)=3,AX725&gt;=AY725,AY725&gt;=0,AZ725&gt;0),(AX725-AY725)/AZ725,"")</f>
        <v>0</v>
      </c>
      <c r="BB725" s="8" t="n">
        <f>IF(COUNT(AS725,AW725,BA725)=3,1,0)</f>
        <v>1</v>
      </c>
      <c r="BC725" s="11" t="n">
        <f>IF(SUMIF($AO$11:$AO$1309,AO725,$BB$11:$BB$1309)=COUNTIF($AO$11:$AO$1309,AO725),SUMIF($AO$11:$AO$1309,AO725,$AS$11:$AS$1309),"")</f>
        <v>1.3720516715672233</v>
      </c>
      <c r="BD725" s="11" t="n">
        <f>IF(SUMIF($AO$11:$AO$1309,AO725,$BB$11:$BB$1309)=COUNTIF($AO$11:$AO$1309,AO725),SUMIF($AO$11:$AO$1309,AO725,$AW$11:$AW$1309),"")</f>
        <v>1.1959893048128343</v>
      </c>
      <c r="BE725" s="11" t="n">
        <f>IF(SUMIF($AO$11:$AO$1309,AO725,$BB$11:$BB$1309)=COUNTIF($AO$11:$AO$1309,AO725),SUMIF($AO$11:$AO$1309,AO725,$BA$11:$BA$1309),"")</f>
        <v>1.9519101123595508</v>
      </c>
      <c r="BF725" s="12" t="n">
        <f>IF(COUNT(BD725:BE725)&lt;&gt;2,"",IF(AND(BD725&gt;0,BE725&gt;0),0.7*AW725/BD725+0.3*BA725/BE725,IF(BD725&gt;0,AW725/BD725,IF(BE725&gt;0,BA725/BE725,IF(AND(ISNUMBER(BH725),BH725=0),0,"")))))</f>
        <v>0</v>
      </c>
      <c r="BG725" s="11" t="n">
        <f>IF(AND(COUNT(BN725:BU725)=8,MIN(BN725:BU725)&gt;=0),SUMPRODUCT(BN725:BQ725,BR725:BU725),"")</f>
        <v>88.27281580841549</v>
      </c>
      <c r="BH725" s="11" t="n">
        <f>IF(COUNT(BC725,BG725)=2,BC725*BG725,"")</f>
        <v>121.11486448388209</v>
      </c>
      <c r="BI725" s="11" t="n">
        <f>IF(ISNUMBER(CI725),CI725,"")</f>
        <v>0</v>
      </c>
      <c r="BJ725" s="8" t="str"/>
      <c r="BK725" s="8" t="str">
        <v>90天：2026-07-20 至 2026-10-17；180天：2026-04-21 至 2026-10-17</v>
      </c>
      <c r="BL725" s="8" t="str">
        <v>90天：2026-10-06、2026-10-07、2026-10-12、2026-10-13、2026-10-16；180天：2026-10-06、2026-10-07、2026-10-12、2026-10-13、2026-10-16</v>
      </c>
      <c r="BM725" s="8" t="str">
        <v>2026-10：12天 × 1.0395067087630607；2026-11：30天 × 0.9890368360033146；2026-12：31天 × 0.7800796503018808；2027-01：17天 × 1.2908918272824135</v>
      </c>
      <c r="BN725" s="11" t="n">
        <v>1.0395067087630607</v>
      </c>
      <c r="BO725" s="11" t="n">
        <v>0.9890368360033146</v>
      </c>
      <c r="BP725" s="11" t="n">
        <v>0.7800796503018808</v>
      </c>
      <c r="BQ725" s="11" t="n">
        <v>1.2908918272824135</v>
      </c>
      <c r="BR725" s="8" t="n">
        <v>12</v>
      </c>
      <c r="BS725" s="8" t="n">
        <v>30</v>
      </c>
      <c r="BT725" s="8" t="n">
        <v>31</v>
      </c>
      <c r="BU725" s="8" t="n">
        <v>17</v>
      </c>
      <c r="BV725" s="11" t="n">
        <f>IF(COUNT(BC725,BF725)=2,BC725*BF725,"")</f>
        <v>0</v>
      </c>
      <c r="BW725" s="11" t="n">
        <f>IF(ISNUMBER(BN725),BN725,"")</f>
        <v>1.0395067087630607</v>
      </c>
      <c r="BX725" s="14" t="n">
        <f>IF(ISNUMBER(BR725),BR725,"")</f>
        <v>12</v>
      </c>
      <c r="BY725" s="13" t="n">
        <f>IF(AND(COUNT(BV725,BW725,BX725)=3,MIN(BV725,BW725,BX725)&gt;=0),BV725*BW725*BX725,"")</f>
        <v>0</v>
      </c>
      <c r="BZ725" s="11" t="n">
        <f>IF(ISNUMBER(BO725),BO725,"")</f>
        <v>0.9890368360033146</v>
      </c>
      <c r="CA725" s="14" t="n">
        <f>IF(ISNUMBER(BS725),BS725,"")</f>
        <v>30</v>
      </c>
      <c r="CB725" s="13" t="n">
        <f>IF(AND(COUNT(BV725,BZ725,CA725)=3,MIN(BV725,BZ725,CA725)&gt;=0),BV725*BZ725*CA725,"")</f>
        <v>0</v>
      </c>
      <c r="CC725" s="11" t="n">
        <f>IF(ISNUMBER(BP725),BP725,"")</f>
        <v>0.7800796503018808</v>
      </c>
      <c r="CD725" s="14" t="n">
        <f>IF(ISNUMBER(BT725),BT725,"")</f>
        <v>31</v>
      </c>
      <c r="CE725" s="13" t="n">
        <f>IF(AND(COUNT(BV725,CC725,CD725)=3,MIN(BV725,CC725,CD725)&gt;=0),BV725*CC725*CD725,"")</f>
        <v>0</v>
      </c>
      <c r="CF725" s="11" t="n">
        <f>IF(ISNUMBER(BQ725),BQ725,"")</f>
        <v>1.2908918272824135</v>
      </c>
      <c r="CG725" s="14" t="n">
        <f>IF(ISNUMBER(BU725),BU725,"")</f>
        <v>17</v>
      </c>
      <c r="CH725" s="13" t="n">
        <f>IF(AND(COUNT(BV725,CF725,CG725)=3,MIN(BV725,CF725,CG725)&gt;=0),BV725*CF725*CG725,"")</f>
        <v>0</v>
      </c>
      <c r="CI725" s="13" t="n">
        <f>IF(COUNT(BY725,CB725,CE725,CH725)=4,SUM(BY725,CB725,CE725,CH725),"")</f>
        <v>0</v>
      </c>
    </row>
    <row r="726" ht="72" customHeight="1">
      <c r="A726" s="16" t="str">
        <v>32582-NY-37.5</v>
      </c>
      <c r="B726" s="16" t="str">
        <v>3店-SANDIEX-US</v>
      </c>
      <c r="C726" s="16" t="str">
        <v>徐新怡</v>
      </c>
      <c r="D726" s="26" t="n">
        <f>IF(NOT(ISNUMBER(E726)),"",IF(OR(E726&lt;=0,L726=0),0,IF(OR(NOT(ISNUMBER(F726)),F726&lt;0),"",MIN(E726,INT(F726)))))</f>
        <v>0</v>
      </c>
      <c r="E726" s="27" t="n">
        <f>IF(OR(NOT(ISNUMBER(L726)),COUNT(M726:O726)&lt;&gt;3,MIN(M726:O726)&lt;0),"",ROUNDUP(ROUND(BI726-SUM(M726:O726),10),0))</f>
        <v>-9</v>
      </c>
      <c r="F726" s="28" t="n">
        <v>5</v>
      </c>
      <c r="G726" s="28" t="n">
        <f>IF(AND(ISNUMBER(D726),ISNUMBER(E726)),IF(OR(E726&lt;=0,L726=0),0,E726-D726),"")</f>
        <v>0</v>
      </c>
      <c r="H726" s="16" t="str">
        <f>IF(NOT(ISNUMBER(E726)),"销量或海外库存待补",IF(OR(E726&lt;=0,L726=0),IF(L726=0,"零日销，本批不发","本批无需补货"),IF(NOT(ISNUMBER(D726)),"国内库存待补",IF(D726=0,"国内无可用库存",IF(G726&gt;0,"先发国内现货","按建议量发货")))))</f>
        <v>本批无需补货</v>
      </c>
      <c r="I726" s="28" t="n">
        <f>IF(AND(COUNT(Z726,AA726,AB726)=3,Z726&gt;=AA726,AA726&gt;=0,AB726=7),Z726-AA726,"")</f>
        <v>2</v>
      </c>
      <c r="J726" s="28" t="n">
        <f>IF(AND(COUNT(AF726,AG726,AH726)=3,AF726&gt;=AG726,AG726&gt;=0,AH726=14),AF726-AG726,"")</f>
        <v>5</v>
      </c>
      <c r="K726" s="28" t="n">
        <f>IF(AND(COUNT(AL726,AM726,AN726)=3,AL726&gt;=AM726,AM726&gt;=0,AN726=30),AL726-AM726,"")</f>
        <v>6</v>
      </c>
      <c r="L726" s="29" t="n">
        <f>IF(ISNUMBER(BI726),BI726/90,"")</f>
        <v>0.11739149032753109</v>
      </c>
      <c r="M726" s="28" t="n">
        <v>19</v>
      </c>
      <c r="N726" s="28" t="n">
        <v>0</v>
      </c>
      <c r="O726" s="28" t="n">
        <v>0</v>
      </c>
      <c r="P726" s="30" t="n">
        <f>IF(AND(ISNUMBER(L726),L726&gt;0,COUNT(M726:O726)=3,MIN(M726:O726)&gt;=0),SUM(M726:O726)/L726,"")</f>
        <v>161.8515954349721</v>
      </c>
      <c r="Q726" s="16" t="str">
        <v>沿用原计划SKU店铺</v>
      </c>
      <c r="R726" s="16" t="str">
        <v>已匹配</v>
      </c>
      <c r="S726" s="16" t="str">
        <v>在售</v>
      </c>
      <c r="T726" s="16" t="str">
        <v>32582</v>
      </c>
      <c r="U726" s="16" t="str">
        <v>藏青色</v>
      </c>
      <c r="V726" s="16" t="n">
        <v>6.5</v>
      </c>
      <c r="W726" s="8" t="str">
        <v>2026-10-11 至 2026-10-17</v>
      </c>
      <c r="X726" s="8" t="str">
        <v>2026-10-11、2026-10-12、2026-10-13、2026-10-14、2026-10-15、2026-10-16、2026-10-17</v>
      </c>
      <c r="Y726" s="8" t="str">
        <v>无</v>
      </c>
      <c r="Z726" s="8" t="n">
        <v>2</v>
      </c>
      <c r="AA726" s="8" t="n">
        <v>0</v>
      </c>
      <c r="AB726" s="8" t="n">
        <v>7</v>
      </c>
      <c r="AC726" s="8" t="str">
        <v>2026-10-02 至 2026-10-17</v>
      </c>
      <c r="AD726" s="8" t="str">
        <v>2026-10-02、2026-10-03、2026-10-04、2026-10-05、2026-10-08、2026-10-09、2026-10-10、2026-10-11、2026-10-12、2026-10-13、2026-10-14、2026-10-15、2026-10-16、2026-10-17</v>
      </c>
      <c r="AE726" s="8" t="str">
        <v>2026-10-06 大促；2026-10-07 大促</v>
      </c>
      <c r="AF726" s="8" t="n">
        <v>9</v>
      </c>
      <c r="AG726" s="8" t="n">
        <v>4</v>
      </c>
      <c r="AH726" s="8" t="n">
        <v>14</v>
      </c>
      <c r="AI726" s="8" t="str">
        <v>2026-09-16 至 2026-10-17</v>
      </c>
      <c r="AJ7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6" s="8" t="str">
        <v>2026-10-06 大促；2026-10-07 大促</v>
      </c>
      <c r="AL726" s="8" t="n">
        <v>10</v>
      </c>
      <c r="AM726" s="8" t="n">
        <v>4</v>
      </c>
      <c r="AN726" s="8" t="n">
        <v>30</v>
      </c>
      <c r="AO726" s="8" t="str">
        <v>32582 / 藏青色羊京绒 / 6574</v>
      </c>
      <c r="AP726" s="11" t="n">
        <v>1.0395067087630607</v>
      </c>
      <c r="AQ726" s="11" t="n">
        <v>1.0395067087630607</v>
      </c>
      <c r="AR726" s="11" t="n">
        <v>1.0707336504782758</v>
      </c>
      <c r="AS726" s="11" t="n">
        <f>IF(AND(COUNT(I726:K726,AP726:AR726)=6,MIN(AP726:AR726)&gt;0),I726/7/AP726*0.5+J726/14/AQ726*0.3+K726/30/AR726*0.2,"")</f>
        <v>0.27785625154411037</v>
      </c>
      <c r="AT726" s="8" t="n">
        <v>14</v>
      </c>
      <c r="AU726" s="8" t="n">
        <v>4</v>
      </c>
      <c r="AV726" s="8" t="n">
        <v>88</v>
      </c>
      <c r="AW726" s="11" t="n">
        <f>IF(AND(COUNT(AT726:AV726)=3,AT726&gt;=AU726,AU726&gt;=0,AV726&gt;0),(AT726-AU726)/AV726,"")</f>
        <v>0.11363636363636363</v>
      </c>
      <c r="AX726" s="8" t="n">
        <v>28</v>
      </c>
      <c r="AY726" s="8" t="n">
        <v>4</v>
      </c>
      <c r="AZ726" s="8" t="n">
        <v>178</v>
      </c>
      <c r="BA726" s="11" t="n">
        <f>IF(AND(COUNT(AX726:AZ726)=3,AX726&gt;=AY726,AY726&gt;=0,AZ726&gt;0),(AX726-AY726)/AZ726,"")</f>
        <v>0.1348314606741573</v>
      </c>
      <c r="BB726" s="8" t="n">
        <f>IF(COUNT(AS726,AW726,BA726)=3,1,0)</f>
        <v>1</v>
      </c>
      <c r="BC726" s="11" t="n">
        <f>IF(SUMIF($AO$11:$AO$1309,AO726,$BB$11:$BB$1309)=COUNTIF($AO$11:$AO$1309,AO726),SUMIF($AO$11:$AO$1309,AO726,$AS$11:$AS$1309),"")</f>
        <v>1.3720516715672233</v>
      </c>
      <c r="BD726" s="11" t="n">
        <f>IF(SUMIF($AO$11:$AO$1309,AO726,$BB$11:$BB$1309)=COUNTIF($AO$11:$AO$1309,AO726),SUMIF($AO$11:$AO$1309,AO726,$AW$11:$AW$1309),"")</f>
        <v>1.1959893048128343</v>
      </c>
      <c r="BE726" s="11" t="n">
        <f>IF(SUMIF($AO$11:$AO$1309,AO726,$BB$11:$BB$1309)=COUNTIF($AO$11:$AO$1309,AO726),SUMIF($AO$11:$AO$1309,AO726,$BA$11:$BA$1309),"")</f>
        <v>1.9519101123595508</v>
      </c>
      <c r="BF726" s="12" t="n">
        <f>IF(COUNT(BD726:BE726)&lt;&gt;2,"",IF(AND(BD726&gt;0,BE726&gt;0),0.7*AW726/BD726+0.3*BA726/BE726,IF(BD726&gt;0,AW726/BD726,IF(BE726&gt;0,BA726/BE726,IF(AND(ISNUMBER(BH726),BH726=0),0,"")))))</f>
        <v>0.08723317467678637</v>
      </c>
      <c r="BG726" s="11" t="n">
        <f>IF(AND(COUNT(BN726:BU726)=8,MIN(BN726:BU726)&gt;=0),SUMPRODUCT(BN726:BQ726,BR726:BU726),"")</f>
        <v>88.27281580841549</v>
      </c>
      <c r="BH726" s="11" t="n">
        <f>IF(COUNT(BC726,BG726)=2,BC726*BG726,"")</f>
        <v>121.11486448388209</v>
      </c>
      <c r="BI726" s="11" t="n">
        <f>IF(ISNUMBER(CI726),CI726,"")</f>
        <v>10.565234129477798</v>
      </c>
      <c r="BJ726" s="8" t="str"/>
      <c r="BK726" s="8" t="str">
        <v>90天：2026-07-20 至 2026-10-17；180天：2026-04-21 至 2026-10-17</v>
      </c>
      <c r="BL726" s="8" t="str">
        <v>90天：2026-10-06、2026-10-07；180天：2026-10-06、2026-10-07</v>
      </c>
      <c r="BM726" s="8" t="str">
        <v>2026-10：12天 × 1.0395067087630607；2026-11：30天 × 0.9890368360033146；2026-12：31天 × 0.7800796503018808；2027-01：17天 × 1.2908918272824135</v>
      </c>
      <c r="BN726" s="11" t="n">
        <v>1.0395067087630607</v>
      </c>
      <c r="BO726" s="11" t="n">
        <v>0.9890368360033146</v>
      </c>
      <c r="BP726" s="11" t="n">
        <v>0.7800796503018808</v>
      </c>
      <c r="BQ726" s="11" t="n">
        <v>1.2908918272824135</v>
      </c>
      <c r="BR726" s="8" t="n">
        <v>12</v>
      </c>
      <c r="BS726" s="8" t="n">
        <v>30</v>
      </c>
      <c r="BT726" s="8" t="n">
        <v>31</v>
      </c>
      <c r="BU726" s="8" t="n">
        <v>17</v>
      </c>
      <c r="BV726" s="11" t="n">
        <f>IF(COUNT(BC726,BF726)=2,BC726*BF726,"")</f>
        <v>0.11968842313140032</v>
      </c>
      <c r="BW726" s="11" t="n">
        <f>IF(ISNUMBER(BN726),BN726,"")</f>
        <v>1.0395067087630607</v>
      </c>
      <c r="BX726" s="14" t="n">
        <f>IF(ISNUMBER(BR726),BR726,"")</f>
        <v>12</v>
      </c>
      <c r="BY726" s="13" t="n">
        <f>IF(AND(COUNT(BV726,BW726,BX726)=3,MIN(BV726,BW726,BX726)&gt;=0),BV726*BW726*BX726,"")</f>
        <v>1.4930030256763505</v>
      </c>
      <c r="BZ726" s="11" t="n">
        <f>IF(ISNUMBER(BO726),BO726,"")</f>
        <v>0.9890368360033146</v>
      </c>
      <c r="CA726" s="14" t="n">
        <f>IF(ISNUMBER(BS726),BS726,"")</f>
        <v>30</v>
      </c>
      <c r="CB726" s="13" t="n">
        <f>IF(AND(COUNT(BV726,BZ726,CA726)=3,MIN(BV726,BZ726,CA726)&gt;=0),BV726*BZ726*CA726,"")</f>
        <v>3.551287779603183</v>
      </c>
      <c r="CC726" s="11" t="n">
        <f>IF(ISNUMBER(BP726),BP726,"")</f>
        <v>0.7800796503018808</v>
      </c>
      <c r="CD726" s="14" t="n">
        <f>IF(ISNUMBER(BT726),BT726,"")</f>
        <v>31</v>
      </c>
      <c r="CE726" s="13" t="n">
        <f>IF(AND(COUNT(BV726,CC726,CD726)=3,MIN(BV726,CC726,CD726)&gt;=0),BV726*CC726*CD726,"")</f>
        <v>2.8943616011073154</v>
      </c>
      <c r="CF726" s="11" t="n">
        <f>IF(ISNUMBER(BQ726),BQ726,"")</f>
        <v>1.2908918272824135</v>
      </c>
      <c r="CG726" s="14" t="n">
        <f>IF(ISNUMBER(BU726),BU726,"")</f>
        <v>17</v>
      </c>
      <c r="CH726" s="13" t="n">
        <f>IF(AND(COUNT(BV726,CF726,CG726)=3,MIN(BV726,CF726,CG726)&gt;=0),BV726*CF726*CG726,"")</f>
        <v>2.6265817230909487</v>
      </c>
      <c r="CI726" s="13" t="n">
        <f>IF(COUNT(BY726,CB726,CE726,CH726)=4,SUM(BY726,CB726,CE726,CH726),"")</f>
        <v>10.565234129477798</v>
      </c>
    </row>
    <row r="727" ht="72" customHeight="1">
      <c r="A727" s="16" t="str">
        <v>32582-NY-38</v>
      </c>
      <c r="B727" s="16" t="str">
        <v>3店-SANDIEX-US</v>
      </c>
      <c r="C727" s="16" t="str">
        <v>徐新怡</v>
      </c>
      <c r="D727" s="26" t="n">
        <f>IF(NOT(ISNUMBER(E727)),"",IF(OR(E727&lt;=0,L727=0),0,IF(OR(NOT(ISNUMBER(F727)),F727&lt;0),"",MIN(E727,INT(F727)))))</f>
        <v>0</v>
      </c>
      <c r="E727" s="27" t="n">
        <f>IF(OR(NOT(ISNUMBER(L727)),COUNT(M727:O727)&lt;&gt;3,MIN(M727:O727)&lt;0),"",ROUNDUP(ROUND(BI727-SUM(M727:O727),10),0))</f>
        <v>-13</v>
      </c>
      <c r="F727" s="28" t="n">
        <v>0</v>
      </c>
      <c r="G727" s="28" t="n">
        <f>IF(AND(ISNUMBER(D727),ISNUMBER(E727)),IF(OR(E727&lt;=0,L727=0),0,E727-D727),"")</f>
        <v>0</v>
      </c>
      <c r="H727" s="16" t="str">
        <f>IF(NOT(ISNUMBER(E727)),"销量或海外库存待补",IF(OR(E727&lt;=0,L727=0),IF(L727=0,"零日销，本批不发","本批无需补货"),IF(NOT(ISNUMBER(D727)),"国内库存待补",IF(D727=0,"国内无可用库存",IF(G727&gt;0,"先发国内现货","按建议量发货")))))</f>
        <v>零日销，本批不发</v>
      </c>
      <c r="I727" s="28" t="n">
        <f>IF(AND(COUNT(Z727,AA727,AB727)=3,Z727&gt;=AA727,AA727&gt;=0,AB727=7),Z727-AA727,"")</f>
        <v>0</v>
      </c>
      <c r="J727" s="28" t="n">
        <f>IF(AND(COUNT(AF727,AG727,AH727)=3,AF727&gt;=AG727,AG727&gt;=0,AH727=14),AF727-AG727,"")</f>
        <v>0</v>
      </c>
      <c r="K727" s="28" t="n">
        <f>IF(AND(COUNT(AL727,AM727,AN727)=3,AL727&gt;=AM727,AM727&gt;=0,AN727=30),AL727-AM727,"")</f>
        <v>0</v>
      </c>
      <c r="L727" s="29" t="n">
        <f>IF(ISNUMBER(BI727),BI727/90,"")</f>
        <v>0</v>
      </c>
      <c r="M727" s="28" t="n">
        <v>13</v>
      </c>
      <c r="N727" s="28" t="n">
        <v>0</v>
      </c>
      <c r="O727" s="28" t="n">
        <v>0</v>
      </c>
      <c r="P727" s="30" t="str">
        <f>IF(AND(ISNUMBER(L727),L727&gt;0,COUNT(M727:O727)=3,MIN(M727:O727)&gt;=0),SUM(M727:O727)/L727,"")</f>
      </c>
      <c r="Q727" s="16" t="str">
        <v>沿用原计划SKU店铺</v>
      </c>
      <c r="R727" s="16" t="str">
        <v>已匹配</v>
      </c>
      <c r="S727" s="16" t="str">
        <v>在售</v>
      </c>
      <c r="T727" s="16" t="str">
        <v>32582</v>
      </c>
      <c r="U727" s="16" t="str">
        <v>藏青色</v>
      </c>
      <c r="V727" s="16" t="n">
        <v>7</v>
      </c>
      <c r="W727" s="8" t="str">
        <v>2026-10-11 至 2026-10-17</v>
      </c>
      <c r="X727" s="8" t="str">
        <v>2026-10-11、2026-10-12、2026-10-13、2026-10-14、2026-10-15、2026-10-16、2026-10-17</v>
      </c>
      <c r="Y727" s="8" t="str">
        <v>无</v>
      </c>
      <c r="Z727" s="8" t="n">
        <v>0</v>
      </c>
      <c r="AA727" s="8" t="n">
        <v>0</v>
      </c>
      <c r="AB727" s="8" t="n">
        <v>7</v>
      </c>
      <c r="AC727" s="8" t="str">
        <v>2026-10-02 至 2026-10-17</v>
      </c>
      <c r="AD727" s="8" t="str">
        <v>2026-10-02、2026-10-03、2026-10-04、2026-10-05、2026-10-08、2026-10-09、2026-10-10、2026-10-11、2026-10-12、2026-10-13、2026-10-14、2026-10-15、2026-10-16、2026-10-17</v>
      </c>
      <c r="AE727" s="8" t="str">
        <v>2026-10-06 大促；2026-10-07 大促</v>
      </c>
      <c r="AF727" s="8" t="n">
        <v>0</v>
      </c>
      <c r="AG727" s="8" t="n">
        <v>0</v>
      </c>
      <c r="AH727" s="8" t="n">
        <v>14</v>
      </c>
      <c r="AI727" s="8" t="str">
        <v>2026-09-16 至 2026-10-17</v>
      </c>
      <c r="AJ7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7" s="8" t="str">
        <v>2026-10-06 大促；2026-10-07 大促</v>
      </c>
      <c r="AL727" s="8" t="n">
        <v>0</v>
      </c>
      <c r="AM727" s="8" t="n">
        <v>0</v>
      </c>
      <c r="AN727" s="8" t="n">
        <v>30</v>
      </c>
      <c r="AO727" s="8" t="str">
        <v>32582 / 藏青色羊京绒 / 6574</v>
      </c>
      <c r="AP727" s="11" t="n">
        <v>1.0395067087630607</v>
      </c>
      <c r="AQ727" s="11" t="n">
        <v>1.0395067087630607</v>
      </c>
      <c r="AR727" s="11" t="n">
        <v>1.0707336504782758</v>
      </c>
      <c r="AS727" s="11" t="n">
        <f>IF(AND(COUNT(I727:K727,AP727:AR727)=6,MIN(AP727:AR727)&gt;0),I727/7/AP727*0.5+J727/14/AQ727*0.3+K727/30/AR727*0.2,"")</f>
        <v>0</v>
      </c>
      <c r="AT727" s="8" t="n">
        <v>0</v>
      </c>
      <c r="AU727" s="8" t="n">
        <v>0</v>
      </c>
      <c r="AV727" s="8" t="n">
        <v>88</v>
      </c>
      <c r="AW727" s="11" t="n">
        <f>IF(AND(COUNT(AT727:AV727)=3,AT727&gt;=AU727,AU727&gt;=0,AV727&gt;0),(AT727-AU727)/AV727,"")</f>
        <v>0</v>
      </c>
      <c r="AX727" s="8" t="n">
        <v>0</v>
      </c>
      <c r="AY727" s="8" t="n">
        <v>0</v>
      </c>
      <c r="AZ727" s="8" t="n">
        <v>178</v>
      </c>
      <c r="BA727" s="11" t="n">
        <f>IF(AND(COUNT(AX727:AZ727)=3,AX727&gt;=AY727,AY727&gt;=0,AZ727&gt;0),(AX727-AY727)/AZ727,"")</f>
        <v>0</v>
      </c>
      <c r="BB727" s="8" t="n">
        <f>IF(COUNT(AS727,AW727,BA727)=3,1,0)</f>
        <v>1</v>
      </c>
      <c r="BC727" s="11" t="n">
        <f>IF(SUMIF($AO$11:$AO$1309,AO727,$BB$11:$BB$1309)=COUNTIF($AO$11:$AO$1309,AO727),SUMIF($AO$11:$AO$1309,AO727,$AS$11:$AS$1309),"")</f>
        <v>1.3720516715672233</v>
      </c>
      <c r="BD727" s="11" t="n">
        <f>IF(SUMIF($AO$11:$AO$1309,AO727,$BB$11:$BB$1309)=COUNTIF($AO$11:$AO$1309,AO727),SUMIF($AO$11:$AO$1309,AO727,$AW$11:$AW$1309),"")</f>
        <v>1.1959893048128343</v>
      </c>
      <c r="BE727" s="11" t="n">
        <f>IF(SUMIF($AO$11:$AO$1309,AO727,$BB$11:$BB$1309)=COUNTIF($AO$11:$AO$1309,AO727),SUMIF($AO$11:$AO$1309,AO727,$BA$11:$BA$1309),"")</f>
        <v>1.9519101123595508</v>
      </c>
      <c r="BF727" s="12" t="n">
        <f>IF(COUNT(BD727:BE727)&lt;&gt;2,"",IF(AND(BD727&gt;0,BE727&gt;0),0.7*AW727/BD727+0.3*BA727/BE727,IF(BD727&gt;0,AW727/BD727,IF(BE727&gt;0,BA727/BE727,IF(AND(ISNUMBER(BH727),BH727=0),0,"")))))</f>
        <v>0</v>
      </c>
      <c r="BG727" s="11" t="n">
        <f>IF(AND(COUNT(BN727:BU727)=8,MIN(BN727:BU727)&gt;=0),SUMPRODUCT(BN727:BQ727,BR727:BU727),"")</f>
        <v>88.27281580841549</v>
      </c>
      <c r="BH727" s="11" t="n">
        <f>IF(COUNT(BC727,BG727)=2,BC727*BG727,"")</f>
        <v>121.11486448388209</v>
      </c>
      <c r="BI727" s="11" t="n">
        <f>IF(ISNUMBER(CI727),CI727,"")</f>
        <v>0</v>
      </c>
      <c r="BJ727" s="8" t="str"/>
      <c r="BK727" s="8" t="str">
        <v>90天：2026-07-20 至 2026-10-17；180天：2026-04-21 至 2026-10-17</v>
      </c>
      <c r="BL727" s="8" t="str">
        <v>90天：2026-10-06、2026-10-07；180天：2026-10-06、2026-10-07</v>
      </c>
      <c r="BM727" s="8" t="str">
        <v>2026-10：12天 × 1.0395067087630607；2026-11：30天 × 0.9890368360033146；2026-12：31天 × 0.7800796503018808；2027-01：17天 × 1.2908918272824135</v>
      </c>
      <c r="BN727" s="11" t="n">
        <v>1.0395067087630607</v>
      </c>
      <c r="BO727" s="11" t="n">
        <v>0.9890368360033146</v>
      </c>
      <c r="BP727" s="11" t="n">
        <v>0.7800796503018808</v>
      </c>
      <c r="BQ727" s="11" t="n">
        <v>1.2908918272824135</v>
      </c>
      <c r="BR727" s="8" t="n">
        <v>12</v>
      </c>
      <c r="BS727" s="8" t="n">
        <v>30</v>
      </c>
      <c r="BT727" s="8" t="n">
        <v>31</v>
      </c>
      <c r="BU727" s="8" t="n">
        <v>17</v>
      </c>
      <c r="BV727" s="11" t="n">
        <f>IF(COUNT(BC727,BF727)=2,BC727*BF727,"")</f>
        <v>0</v>
      </c>
      <c r="BW727" s="11" t="n">
        <f>IF(ISNUMBER(BN727),BN727,"")</f>
        <v>1.0395067087630607</v>
      </c>
      <c r="BX727" s="14" t="n">
        <f>IF(ISNUMBER(BR727),BR727,"")</f>
        <v>12</v>
      </c>
      <c r="BY727" s="13" t="n">
        <f>IF(AND(COUNT(BV727,BW727,BX727)=3,MIN(BV727,BW727,BX727)&gt;=0),BV727*BW727*BX727,"")</f>
        <v>0</v>
      </c>
      <c r="BZ727" s="11" t="n">
        <f>IF(ISNUMBER(BO727),BO727,"")</f>
        <v>0.9890368360033146</v>
      </c>
      <c r="CA727" s="14" t="n">
        <f>IF(ISNUMBER(BS727),BS727,"")</f>
        <v>30</v>
      </c>
      <c r="CB727" s="13" t="n">
        <f>IF(AND(COUNT(BV727,BZ727,CA727)=3,MIN(BV727,BZ727,CA727)&gt;=0),BV727*BZ727*CA727,"")</f>
        <v>0</v>
      </c>
      <c r="CC727" s="11" t="n">
        <f>IF(ISNUMBER(BP727),BP727,"")</f>
        <v>0.7800796503018808</v>
      </c>
      <c r="CD727" s="14" t="n">
        <f>IF(ISNUMBER(BT727),BT727,"")</f>
        <v>31</v>
      </c>
      <c r="CE727" s="13" t="n">
        <f>IF(AND(COUNT(BV727,CC727,CD727)=3,MIN(BV727,CC727,CD727)&gt;=0),BV727*CC727*CD727,"")</f>
        <v>0</v>
      </c>
      <c r="CF727" s="11" t="n">
        <f>IF(ISNUMBER(BQ727),BQ727,"")</f>
        <v>1.2908918272824135</v>
      </c>
      <c r="CG727" s="14" t="n">
        <f>IF(ISNUMBER(BU727),BU727,"")</f>
        <v>17</v>
      </c>
      <c r="CH727" s="13" t="n">
        <f>IF(AND(COUNT(BV727,CF727,CG727)=3,MIN(BV727,CF727,CG727)&gt;=0),BV727*CF727*CG727,"")</f>
        <v>0</v>
      </c>
      <c r="CI727" s="13" t="n">
        <f>IF(COUNT(BY727,CB727,CE727,CH727)=4,SUM(BY727,CB727,CE727,CH727),"")</f>
        <v>0</v>
      </c>
    </row>
    <row r="728" ht="72" customHeight="1">
      <c r="A728" s="16" t="str">
        <v>32582-NY-39</v>
      </c>
      <c r="B728" s="16" t="str">
        <v>3店-SANDIEX-US</v>
      </c>
      <c r="C728" s="16" t="str">
        <v>徐新怡</v>
      </c>
      <c r="D728" s="26" t="n">
        <f>IF(NOT(ISNUMBER(E728)),"",IF(OR(E728&lt;=0,L728=0),0,IF(OR(NOT(ISNUMBER(F728)),F728&lt;0),"",MIN(E728,INT(F728)))))</f>
        <v>0</v>
      </c>
      <c r="E728" s="27" t="n">
        <f>IF(OR(NOT(ISNUMBER(L728)),COUNT(M728:O728)&lt;&gt;3,MIN(M728:O728)&lt;0),"",ROUNDUP(ROUND(BI728-SUM(M728:O728),10),0))</f>
        <v>-5</v>
      </c>
      <c r="F728" s="28" t="n">
        <v>42</v>
      </c>
      <c r="G728" s="28" t="n">
        <f>IF(AND(ISNUMBER(D728),ISNUMBER(E728)),IF(OR(E728&lt;=0,L728=0),0,E728-D728),"")</f>
        <v>0</v>
      </c>
      <c r="H728" s="16" t="str">
        <f>IF(NOT(ISNUMBER(E728)),"销量或海外库存待补",IF(OR(E728&lt;=0,L728=0),IF(L728=0,"零日销，本批不发","本批无需补货"),IF(NOT(ISNUMBER(D728)),"国内库存待补",IF(D728=0,"国内无可用库存",IF(G728&gt;0,"先发国内现货","按建议量发货")))))</f>
        <v>本批无需补货</v>
      </c>
      <c r="I728" s="28" t="n">
        <f>IF(AND(COUNT(Z728,AA728,AB728)=3,Z728&gt;=AA728,AA728&gt;=0,AB728=7),Z728-AA728,"")</f>
        <v>3</v>
      </c>
      <c r="J728" s="28" t="n">
        <f>IF(AND(COUNT(AF728,AG728,AH728)=3,AF728&gt;=AG728,AG728&gt;=0,AH728=14),AF728-AG728,"")</f>
        <v>13</v>
      </c>
      <c r="K728" s="28" t="n">
        <f>IF(AND(COUNT(AL728,AM728,AN728)=3,AL728&gt;=AM728,AM728&gt;=0,AN728=30),AL728-AM728,"")</f>
        <v>25</v>
      </c>
      <c r="L728" s="29" t="n">
        <f>IF(ISNUMBER(BI728),BI728/90,"")</f>
        <v>0.7315455565395234</v>
      </c>
      <c r="M728" s="28" t="n">
        <v>70</v>
      </c>
      <c r="N728" s="28" t="n">
        <v>0</v>
      </c>
      <c r="O728" s="28" t="n">
        <v>0</v>
      </c>
      <c r="P728" s="30" t="n">
        <f>IF(AND(ISNUMBER(L728),L728&gt;0,COUNT(M728:O728)=3,MIN(M728:O728)&gt;=0),SUM(M728:O728)/L728,"")</f>
        <v>95.6878206343368</v>
      </c>
      <c r="Q728" s="16" t="str">
        <v>沿用原计划SKU店铺</v>
      </c>
      <c r="R728" s="16" t="str">
        <v>已匹配</v>
      </c>
      <c r="S728" s="16" t="str">
        <v>在售</v>
      </c>
      <c r="T728" s="16" t="str">
        <v>32582</v>
      </c>
      <c r="U728" s="16" t="str">
        <v>藏青色</v>
      </c>
      <c r="V728" s="16" t="n">
        <v>8</v>
      </c>
      <c r="W728" s="8" t="str">
        <v>2026-10-11 至 2026-10-17</v>
      </c>
      <c r="X728" s="8" t="str">
        <v>2026-10-11、2026-10-12、2026-10-13、2026-10-14、2026-10-15、2026-10-16、2026-10-17</v>
      </c>
      <c r="Y728" s="8" t="str">
        <v>无</v>
      </c>
      <c r="Z728" s="8" t="n">
        <v>3</v>
      </c>
      <c r="AA728" s="8" t="n">
        <v>0</v>
      </c>
      <c r="AB728" s="8" t="n">
        <v>7</v>
      </c>
      <c r="AC728" s="8" t="str">
        <v>2026-10-02 至 2026-10-17</v>
      </c>
      <c r="AD728" s="8" t="str">
        <v>2026-10-02、2026-10-03、2026-10-04、2026-10-05、2026-10-08、2026-10-09、2026-10-10、2026-10-11、2026-10-12、2026-10-13、2026-10-14、2026-10-15、2026-10-16、2026-10-17</v>
      </c>
      <c r="AE728" s="8" t="str">
        <v>2026-10-06 大促；2026-10-07 大促</v>
      </c>
      <c r="AF728" s="8" t="n">
        <v>19</v>
      </c>
      <c r="AG728" s="8" t="n">
        <v>6</v>
      </c>
      <c r="AH728" s="8" t="n">
        <v>14</v>
      </c>
      <c r="AI728" s="8" t="str">
        <v>2026-09-16 至 2026-10-17</v>
      </c>
      <c r="AJ7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8" s="8" t="str">
        <v>2026-10-06 大促；2026-10-07 大促</v>
      </c>
      <c r="AL728" s="8" t="n">
        <v>31</v>
      </c>
      <c r="AM728" s="8" t="n">
        <v>6</v>
      </c>
      <c r="AN728" s="8" t="n">
        <v>30</v>
      </c>
      <c r="AO728" s="8" t="str">
        <v>32582 / 藏青色羊京绒 / 6574</v>
      </c>
      <c r="AP728" s="11" t="n">
        <v>1.0395067087630607</v>
      </c>
      <c r="AQ728" s="11" t="n">
        <v>1.0395067087630607</v>
      </c>
      <c r="AR728" s="11" t="n">
        <v>1.0707336504782758</v>
      </c>
      <c r="AS728" s="11" t="n">
        <f>IF(AND(COUNT(I728:K728,AP728:AR728)=6,MIN(AP728:AR728)&gt;0),I728/7/AP728*0.5+J728/14/AQ728*0.3+K728/30/AR728*0.2,"")</f>
        <v>0.6297824988888808</v>
      </c>
      <c r="AT728" s="8" t="n">
        <v>68</v>
      </c>
      <c r="AU728" s="8" t="n">
        <v>6</v>
      </c>
      <c r="AV728" s="8" t="n">
        <v>88</v>
      </c>
      <c r="AW728" s="11" t="n">
        <f>IF(AND(COUNT(AT728:AV728)=3,AT728&gt;=AU728,AU728&gt;=0,AV728&gt;0),(AT728-AU728)/AV728,"")</f>
        <v>0.7045454545454546</v>
      </c>
      <c r="AX728" s="8" t="n">
        <v>158</v>
      </c>
      <c r="AY728" s="8" t="n">
        <v>6</v>
      </c>
      <c r="AZ728" s="8" t="n">
        <v>178</v>
      </c>
      <c r="BA728" s="11" t="n">
        <f>IF(AND(COUNT(AX728:AZ728)=3,AX728&gt;=AY728,AY728&gt;=0,AZ728&gt;0),(AX728-AY728)/AZ728,"")</f>
        <v>0.8539325842696629</v>
      </c>
      <c r="BB728" s="8" t="n">
        <f>IF(COUNT(AS728,AW728,BA728)=3,1,0)</f>
        <v>1</v>
      </c>
      <c r="BC728" s="11" t="n">
        <f>IF(SUMIF($AO$11:$AO$1309,AO728,$BB$11:$BB$1309)=COUNTIF($AO$11:$AO$1309,AO728),SUMIF($AO$11:$AO$1309,AO728,$AS$11:$AS$1309),"")</f>
        <v>1.3720516715672233</v>
      </c>
      <c r="BD728" s="11" t="n">
        <f>IF(SUMIF($AO$11:$AO$1309,AO728,$BB$11:$BB$1309)=COUNTIF($AO$11:$AO$1309,AO728),SUMIF($AO$11:$AO$1309,AO728,$AW$11:$AW$1309),"")</f>
        <v>1.1959893048128343</v>
      </c>
      <c r="BE728" s="11" t="n">
        <f>IF(SUMIF($AO$11:$AO$1309,AO728,$BB$11:$BB$1309)=COUNTIF($AO$11:$AO$1309,AO728),SUMIF($AO$11:$AO$1309,AO728,$BA$11:$BA$1309),"")</f>
        <v>1.9519101123595508</v>
      </c>
      <c r="BF728" s="12" t="n">
        <f>IF(COUNT(BD728:BE728)&lt;&gt;2,"",IF(AND(BD728&gt;0,BE728&gt;0),0.7*AW728/BD728+0.3*BA728/BE728,IF(BD728&gt;0,AW728/BD728,IF(BE728&gt;0,BA728/BE728,IF(AND(ISNUMBER(BH728),BH728=0),0,"")))))</f>
        <v>0.5436087500004504</v>
      </c>
      <c r="BG728" s="11" t="n">
        <f>IF(AND(COUNT(BN728:BU728)=8,MIN(BN728:BU728)&gt;=0),SUMPRODUCT(BN728:BQ728,BR728:BU728),"")</f>
        <v>88.27281580841549</v>
      </c>
      <c r="BH728" s="11" t="n">
        <f>IF(COUNT(BC728,BG728)=2,BC728*BG728,"")</f>
        <v>121.11486448388209</v>
      </c>
      <c r="BI728" s="11" t="n">
        <f>IF(ISNUMBER(CI728),CI728,"")</f>
        <v>65.8391000885571</v>
      </c>
      <c r="BJ728" s="8" t="str"/>
      <c r="BK728" s="8" t="str">
        <v>90天：2026-07-20 至 2026-10-17；180天：2026-04-21 至 2026-10-17</v>
      </c>
      <c r="BL728" s="8" t="str">
        <v>90天：2026-10-06、2026-10-07；180天：2026-10-06、2026-10-07</v>
      </c>
      <c r="BM728" s="8" t="str">
        <v>2026-10：12天 × 1.0395067087630607；2026-11：30天 × 0.9890368360033146；2026-12：31天 × 0.7800796503018808；2027-01：17天 × 1.2908918272824135</v>
      </c>
      <c r="BN728" s="11" t="n">
        <v>1.0395067087630607</v>
      </c>
      <c r="BO728" s="11" t="n">
        <v>0.9890368360033146</v>
      </c>
      <c r="BP728" s="11" t="n">
        <v>0.7800796503018808</v>
      </c>
      <c r="BQ728" s="11" t="n">
        <v>1.2908918272824135</v>
      </c>
      <c r="BR728" s="8" t="n">
        <v>12</v>
      </c>
      <c r="BS728" s="8" t="n">
        <v>30</v>
      </c>
      <c r="BT728" s="8" t="n">
        <v>31</v>
      </c>
      <c r="BU728" s="8" t="n">
        <v>17</v>
      </c>
      <c r="BV728" s="11" t="n">
        <f>IF(COUNT(BC728,BF728)=2,BC728*BF728,"")</f>
        <v>0.7458592941166867</v>
      </c>
      <c r="BW728" s="11" t="n">
        <f>IF(ISNUMBER(BN728),BN728,"")</f>
        <v>1.0395067087630607</v>
      </c>
      <c r="BX728" s="14" t="n">
        <f>IF(ISNUMBER(BR728),BR728,"")</f>
        <v>12</v>
      </c>
      <c r="BY728" s="13" t="n">
        <f>IF(AND(COUNT(BV728,BW728,BX728)=3,MIN(BV728,BW728,BX728)&gt;=0),BV728*BW728*BX728,"")</f>
        <v>9.303908880330921</v>
      </c>
      <c r="BZ728" s="11" t="n">
        <f>IF(ISNUMBER(BO728),BO728,"")</f>
        <v>0.9890368360033146</v>
      </c>
      <c r="CA728" s="14" t="n">
        <f>IF(ISNUMBER(BS728),BS728,"")</f>
        <v>30</v>
      </c>
      <c r="CB728" s="13" t="n">
        <f>IF(AND(COUNT(BV728,BZ728,CA728)=3,MIN(BV728,BZ728,CA728)&gt;=0),BV728*BZ728*CA728,"")</f>
        <v>22.130469490705003</v>
      </c>
      <c r="CC728" s="11" t="n">
        <f>IF(ISNUMBER(BP728),BP728,"")</f>
        <v>0.7800796503018808</v>
      </c>
      <c r="CD728" s="14" t="n">
        <f>IF(ISNUMBER(BT728),BT728,"")</f>
        <v>31</v>
      </c>
      <c r="CE728" s="13" t="n">
        <f>IF(AND(COUNT(BV728,CC728,CD728)=3,MIN(BV728,CC728,CD728)&gt;=0),BV728*CC728*CD728,"")</f>
        <v>18.03671937719753</v>
      </c>
      <c r="CF728" s="11" t="n">
        <f>IF(ISNUMBER(BQ728),BQ728,"")</f>
        <v>1.2908918272824135</v>
      </c>
      <c r="CG728" s="14" t="n">
        <f>IF(ISNUMBER(BU728),BU728,"")</f>
        <v>17</v>
      </c>
      <c r="CH728" s="13" t="n">
        <f>IF(AND(COUNT(BV728,CF728,CG728)=3,MIN(BV728,CF728,CG728)&gt;=0),BV728*CF728*CG728,"")</f>
        <v>16.368002340323635</v>
      </c>
      <c r="CI728" s="13" t="n">
        <f>IF(COUNT(BY728,CB728,CE728,CH728)=4,SUM(BY728,CB728,CE728,CH728),"")</f>
        <v>65.8391000885571</v>
      </c>
    </row>
    <row r="729" ht="72" customHeight="1">
      <c r="A729" s="16" t="str">
        <v>32582-NY-39.5</v>
      </c>
      <c r="B729" s="16" t="str">
        <v>3店-SANDIEX-US</v>
      </c>
      <c r="C729" s="16" t="str">
        <v>徐新怡</v>
      </c>
      <c r="D729" s="26" t="n">
        <f>IF(NOT(ISNUMBER(E729)),"",IF(OR(E729&lt;=0,L729=0),0,IF(OR(NOT(ISNUMBER(F729)),F729&lt;0),"",MIN(E729,INT(F729)))))</f>
        <v>0</v>
      </c>
      <c r="E729" s="27" t="n">
        <f>IF(OR(NOT(ISNUMBER(L729)),COUNT(M729:O729)&lt;&gt;3,MIN(M729:O729)&lt;0),"",ROUNDUP(ROUND(BI729-SUM(M729:O729),10),0))</f>
        <v>-18</v>
      </c>
      <c r="F729" s="28" t="n">
        <v>0</v>
      </c>
      <c r="G729" s="28" t="n">
        <f>IF(AND(ISNUMBER(D729),ISNUMBER(E729)),IF(OR(E729&lt;=0,L729=0),0,E729-D729),"")</f>
        <v>0</v>
      </c>
      <c r="H729" s="16" t="str">
        <f>IF(NOT(ISNUMBER(E729)),"销量或海外库存待补",IF(OR(E729&lt;=0,L729=0),IF(L729=0,"零日销，本批不发","本批无需补货"),IF(NOT(ISNUMBER(D729)),"国内库存待补",IF(D729=0,"国内无可用库存",IF(G729&gt;0,"先发国内现货","按建议量发货")))))</f>
        <v>本批无需补货</v>
      </c>
      <c r="I729" s="28" t="n">
        <f>IF(AND(COUNT(Z729,AA729,AB729)=3,Z729&gt;=AA729,AA729&gt;=0,AB729=7),Z729-AA729,"")</f>
        <v>1</v>
      </c>
      <c r="J729" s="28" t="n">
        <f>IF(AND(COUNT(AF729,AG729,AH729)=3,AF729&gt;=AG729,AG729&gt;=0,AH729=14),AF729-AG729,"")</f>
        <v>2</v>
      </c>
      <c r="K729" s="28" t="n">
        <f>IF(AND(COUNT(AL729,AM729,AN729)=3,AL729&gt;=AM729,AM729&gt;=0,AN729=30),AL729-AM729,"")</f>
        <v>2</v>
      </c>
      <c r="L729" s="29" t="n">
        <f>IF(ISNUMBER(BI729),BI729/90,"")</f>
        <v>0.022548718938298587</v>
      </c>
      <c r="M729" s="28" t="n">
        <v>0</v>
      </c>
      <c r="N729" s="28" t="n">
        <v>0</v>
      </c>
      <c r="O729" s="28" t="n">
        <v>20</v>
      </c>
      <c r="P729" s="30" t="n">
        <f>IF(AND(ISNUMBER(L729),L729&gt;0,COUNT(M729:O729)=3,MIN(M729:O729)&gt;=0),SUM(M729:O729)/L729,"")</f>
        <v>886.968348611165</v>
      </c>
      <c r="Q729" s="16" t="str">
        <v>沿用原计划SKU店铺</v>
      </c>
      <c r="R729" s="16" t="str">
        <v>已匹配</v>
      </c>
      <c r="S729" s="16" t="str">
        <v>在售</v>
      </c>
      <c r="T729" s="16" t="str">
        <v>32582</v>
      </c>
      <c r="U729" s="16" t="str">
        <v>藏青色</v>
      </c>
      <c r="V729" s="16" t="n">
        <v>8.5</v>
      </c>
      <c r="W729" s="8" t="str">
        <v>2026-10-11 至 2026-10-17</v>
      </c>
      <c r="X729" s="8" t="str">
        <v>2026-10-11、2026-10-12、2026-10-13、2026-10-14、2026-10-15、2026-10-16、2026-10-17</v>
      </c>
      <c r="Y729" s="8" t="str">
        <v>无</v>
      </c>
      <c r="Z729" s="8" t="n">
        <v>1</v>
      </c>
      <c r="AA729" s="8" t="n">
        <v>0</v>
      </c>
      <c r="AB729" s="8" t="n">
        <v>7</v>
      </c>
      <c r="AC729" s="8" t="str">
        <v>2026-10-02 至 2026-10-17</v>
      </c>
      <c r="AD729" s="8" t="str">
        <v>2026-10-02、2026-10-03、2026-10-04、2026-10-05、2026-10-08、2026-10-09、2026-10-10、2026-10-11、2026-10-12、2026-10-13、2026-10-14、2026-10-15、2026-10-16、2026-10-17</v>
      </c>
      <c r="AE729" s="8" t="str">
        <v>2026-10-06 大促；2026-10-07 大促</v>
      </c>
      <c r="AF729" s="8" t="n">
        <v>2</v>
      </c>
      <c r="AG729" s="8" t="n">
        <v>0</v>
      </c>
      <c r="AH729" s="8" t="n">
        <v>14</v>
      </c>
      <c r="AI729" s="8" t="str">
        <v>2026-09-16 至 2026-10-17</v>
      </c>
      <c r="AJ7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29" s="8" t="str">
        <v>2026-10-06 大促；2026-10-07 大促</v>
      </c>
      <c r="AL729" s="8" t="n">
        <v>2</v>
      </c>
      <c r="AM729" s="8" t="n">
        <v>0</v>
      </c>
      <c r="AN729" s="8" t="n">
        <v>30</v>
      </c>
      <c r="AO729" s="8" t="str">
        <v>32582 / 藏青色羊京绒 / 6574</v>
      </c>
      <c r="AP729" s="11" t="n">
        <v>1.0395067087630607</v>
      </c>
      <c r="AQ729" s="11" t="n">
        <v>1.0395067087630607</v>
      </c>
      <c r="AR729" s="11" t="n">
        <v>1.0707336504782758</v>
      </c>
      <c r="AS729" s="11" t="n">
        <f>IF(AND(COUNT(I729:K729,AP729:AR729)=6,MIN(AP729:AR729)&gt;0),I729/7/AP729*0.5+J729/14/AQ729*0.3+K729/30/AR729*0.2,"")</f>
        <v>0.12239477859749676</v>
      </c>
      <c r="AT729" s="8" t="n">
        <v>2</v>
      </c>
      <c r="AU729" s="8" t="n">
        <v>0</v>
      </c>
      <c r="AV729" s="8" t="n">
        <v>88</v>
      </c>
      <c r="AW729" s="11" t="n">
        <f>IF(AND(COUNT(AT729:AV729)=3,AT729&gt;=AU729,AU729&gt;=0,AV729&gt;0),(AT729-AU729)/AV729,"")</f>
        <v>0.022727272727272728</v>
      </c>
      <c r="AX729" s="8" t="n">
        <v>4</v>
      </c>
      <c r="AY729" s="8" t="n">
        <v>0</v>
      </c>
      <c r="AZ729" s="8" t="n">
        <v>178</v>
      </c>
      <c r="BA729" s="11" t="n">
        <f>IF(AND(COUNT(AX729:AZ729)=3,AX729&gt;=AY729,AY729&gt;=0,AZ729&gt;0),(AX729-AY729)/AZ729,"")</f>
        <v>0.02247191011235955</v>
      </c>
      <c r="BB729" s="8" t="n">
        <f>IF(COUNT(AS729,AW729,BA729)=3,1,0)</f>
        <v>1</v>
      </c>
      <c r="BC729" s="11" t="n">
        <f>IF(SUMIF($AO$11:$AO$1309,AO729,$BB$11:$BB$1309)=COUNTIF($AO$11:$AO$1309,AO729),SUMIF($AO$11:$AO$1309,AO729,$AS$11:$AS$1309),"")</f>
        <v>1.3720516715672233</v>
      </c>
      <c r="BD729" s="11" t="n">
        <f>IF(SUMIF($AO$11:$AO$1309,AO729,$BB$11:$BB$1309)=COUNTIF($AO$11:$AO$1309,AO729),SUMIF($AO$11:$AO$1309,AO729,$AW$11:$AW$1309),"")</f>
        <v>1.1959893048128343</v>
      </c>
      <c r="BE729" s="11" t="n">
        <f>IF(SUMIF($AO$11:$AO$1309,AO729,$BB$11:$BB$1309)=COUNTIF($AO$11:$AO$1309,AO729),SUMIF($AO$11:$AO$1309,AO729,$BA$11:$BA$1309),"")</f>
        <v>1.9519101123595508</v>
      </c>
      <c r="BF729" s="12" t="n">
        <f>IF(COUNT(BD729:BE729)&lt;&gt;2,"",IF(AND(BD729&gt;0,BE729&gt;0),0.7*AW729/BD729+0.3*BA729/BE729,IF(BD729&gt;0,AW729/BD729,IF(BE729&gt;0,BA729/BE729,IF(AND(ISNUMBER(BH729),BH729=0),0,"")))))</f>
        <v>0.01675586818426356</v>
      </c>
      <c r="BG729" s="11" t="n">
        <f>IF(AND(COUNT(BN729:BU729)=8,MIN(BN729:BU729)&gt;=0),SUMPRODUCT(BN729:BQ729,BR729:BU729),"")</f>
        <v>88.27281580841549</v>
      </c>
      <c r="BH729" s="11" t="n">
        <f>IF(COUNT(BC729,BG729)=2,BC729*BG729,"")</f>
        <v>121.11486448388209</v>
      </c>
      <c r="BI729" s="11" t="n">
        <f>IF(ISNUMBER(CI729),CI729,"")</f>
        <v>2.0293847044468727</v>
      </c>
      <c r="BJ729" s="8" t="str"/>
      <c r="BK729" s="8" t="str">
        <v>90天：2026-07-20 至 2026-10-17；180天：2026-04-21 至 2026-10-17</v>
      </c>
      <c r="BL729" s="8" t="str">
        <v>90天：2026-10-06、2026-10-07；180天：2026-10-06、2026-10-07</v>
      </c>
      <c r="BM729" s="8" t="str">
        <v>2026-10：12天 × 1.0395067087630607；2026-11：30天 × 0.9890368360033146；2026-12：31天 × 0.7800796503018808；2027-01：17天 × 1.2908918272824135</v>
      </c>
      <c r="BN729" s="11" t="n">
        <v>1.0395067087630607</v>
      </c>
      <c r="BO729" s="11" t="n">
        <v>0.9890368360033146</v>
      </c>
      <c r="BP729" s="11" t="n">
        <v>0.7800796503018808</v>
      </c>
      <c r="BQ729" s="11" t="n">
        <v>1.2908918272824135</v>
      </c>
      <c r="BR729" s="8" t="n">
        <v>12</v>
      </c>
      <c r="BS729" s="8" t="n">
        <v>30</v>
      </c>
      <c r="BT729" s="8" t="n">
        <v>31</v>
      </c>
      <c r="BU729" s="8" t="n">
        <v>17</v>
      </c>
      <c r="BV729" s="11" t="n">
        <f>IF(COUNT(BC729,BF729)=2,BC729*BF729,"")</f>
        <v>0.02298991695077887</v>
      </c>
      <c r="BW729" s="11" t="n">
        <f>IF(ISNUMBER(BN729),BN729,"")</f>
        <v>1.0395067087630607</v>
      </c>
      <c r="BX729" s="14" t="n">
        <f>IF(ISNUMBER(BR729),BR729,"")</f>
        <v>12</v>
      </c>
      <c r="BY729" s="13" t="n">
        <f>IF(AND(COUNT(BV729,BW729,BX729)=3,MIN(BV729,BW729,BX729)&gt;=0),BV729*BW729*BX729,"")</f>
        <v>0.2867780748508829</v>
      </c>
      <c r="BZ729" s="11" t="n">
        <f>IF(ISNUMBER(BO729),BO729,"")</f>
        <v>0.9890368360033146</v>
      </c>
      <c r="CA729" s="14" t="n">
        <f>IF(ISNUMBER(BS729),BS729,"")</f>
        <v>30</v>
      </c>
      <c r="CB729" s="13" t="n">
        <f>IF(AND(COUNT(BV729,BZ729,CA729)=3,MIN(BV729,BZ729,CA729)&gt;=0),BV729*BZ729*CA729,"")</f>
        <v>0.6821362416293191</v>
      </c>
      <c r="CC729" s="11" t="n">
        <f>IF(ISNUMBER(BP729),BP729,"")</f>
        <v>0.7800796503018808</v>
      </c>
      <c r="CD729" s="14" t="n">
        <f>IF(ISNUMBER(BT729),BT729,"")</f>
        <v>31</v>
      </c>
      <c r="CE729" s="13" t="n">
        <f>IF(AND(COUNT(BV729,CC729,CD729)=3,MIN(BV729,CC729,CD729)&gt;=0),BV729*CC729*CD729,"")</f>
        <v>0.5559529576384188</v>
      </c>
      <c r="CF729" s="11" t="n">
        <f>IF(ISNUMBER(BQ729),BQ729,"")</f>
        <v>1.2908918272824135</v>
      </c>
      <c r="CG729" s="14" t="n">
        <f>IF(ISNUMBER(BU729),BU729,"")</f>
        <v>17</v>
      </c>
      <c r="CH729" s="13" t="n">
        <f>IF(AND(COUNT(BV729,CF729,CG729)=3,MIN(BV729,CF729,CG729)&gt;=0),BV729*CF729*CG729,"")</f>
        <v>0.5045174303282518</v>
      </c>
      <c r="CI729" s="13" t="n">
        <f>IF(COUNT(BY729,CB729,CE729,CH729)=4,SUM(BY729,CB729,CE729,CH729),"")</f>
        <v>2.0293847044468727</v>
      </c>
    </row>
    <row r="730" ht="72" customHeight="1">
      <c r="A730" s="16" t="str">
        <v>32582-NY-41</v>
      </c>
      <c r="B730" s="16" t="str">
        <v>3店-SANDIEX-US</v>
      </c>
      <c r="C730" s="16" t="str">
        <v>徐新怡</v>
      </c>
      <c r="D730" s="26" t="n">
        <f>IF(NOT(ISNUMBER(E730)),"",IF(OR(E730&lt;=0,L730=0),0,IF(OR(NOT(ISNUMBER(F730)),F730&lt;0),"",MIN(E730,INT(F730)))))</f>
        <v>0</v>
      </c>
      <c r="E730" s="27" t="n">
        <f>IF(OR(NOT(ISNUMBER(L730)),COUNT(M730:O730)&lt;&gt;3,MIN(M730:O730)&lt;0),"",ROUNDUP(ROUND(BI730-SUM(M730:O730),10),0))</f>
        <v>-14</v>
      </c>
      <c r="F730" s="28" t="n">
        <v>21</v>
      </c>
      <c r="G730" s="28" t="n">
        <f>IF(AND(ISNUMBER(D730),ISNUMBER(E730)),IF(OR(E730&lt;=0,L730=0),0,E730-D730),"")</f>
        <v>0</v>
      </c>
      <c r="H730" s="16" t="str">
        <f>IF(NOT(ISNUMBER(E730)),"销量或海外库存待补",IF(OR(E730&lt;=0,L730=0),IF(L730=0,"零日销，本批不发","本批无需补货"),IF(NOT(ISNUMBER(D730)),"国内库存待补",IF(D730=0,"国内无可用库存",IF(G730&gt;0,"先发国内现货","按建议量发货")))))</f>
        <v>本批无需补货</v>
      </c>
      <c r="I730" s="28" t="n">
        <f>IF(AND(COUNT(Z730,AA730,AB730)=3,Z730&gt;=AA730,AA730&gt;=0,AB730=7),Z730-AA730,"")</f>
        <v>0</v>
      </c>
      <c r="J730" s="28" t="n">
        <f>IF(AND(COUNT(AF730,AG730,AH730)=3,AF730&gt;=AG730,AG730&gt;=0,AH730=14),AF730-AG730,"")</f>
        <v>0</v>
      </c>
      <c r="K730" s="28" t="n">
        <f>IF(AND(COUNT(AL730,AM730,AN730)=3,AL730&gt;=AM730,AM730&gt;=0,AN730=30),AL730-AM730,"")</f>
        <v>0</v>
      </c>
      <c r="L730" s="29" t="n">
        <f>IF(ISNUMBER(BI730),BI730/90,"")</f>
        <v>0.01742960863514306</v>
      </c>
      <c r="M730" s="28" t="n">
        <v>0</v>
      </c>
      <c r="N730" s="28" t="n">
        <v>0</v>
      </c>
      <c r="O730" s="28" t="n">
        <v>15</v>
      </c>
      <c r="P730" s="30" t="n">
        <f>IF(AND(ISNUMBER(L730),L730&gt;0,COUNT(M730:O730)=3,MIN(M730:O730)&gt;=0),SUM(M730:O730)/L730,"")</f>
        <v>860.6045215355969</v>
      </c>
      <c r="Q730" s="16" t="str">
        <v>沿用原计划SKU店铺</v>
      </c>
      <c r="R730" s="16" t="str">
        <v>已匹配</v>
      </c>
      <c r="S730" s="16" t="str">
        <v>在售</v>
      </c>
      <c r="T730" s="16" t="str">
        <v>32582</v>
      </c>
      <c r="U730" s="16" t="str">
        <v>藏青色</v>
      </c>
      <c r="V730" s="16" t="n">
        <v>10</v>
      </c>
      <c r="W730" s="8" t="str">
        <v>2026-10-11 至 2026-10-17</v>
      </c>
      <c r="X730" s="8" t="str">
        <v>2026-10-11、2026-10-12、2026-10-13、2026-10-14、2026-10-15、2026-10-16、2026-10-17</v>
      </c>
      <c r="Y730" s="8" t="str">
        <v>无</v>
      </c>
      <c r="Z730" s="8" t="n">
        <v>0</v>
      </c>
      <c r="AA730" s="8" t="n">
        <v>0</v>
      </c>
      <c r="AB730" s="8" t="n">
        <v>7</v>
      </c>
      <c r="AC730" s="8" t="str">
        <v>2026-10-02 至 2026-10-17</v>
      </c>
      <c r="AD730" s="8" t="str">
        <v>2026-10-02、2026-10-03、2026-10-04、2026-10-05、2026-10-08、2026-10-09、2026-10-10、2026-10-11、2026-10-12、2026-10-13、2026-10-14、2026-10-15、2026-10-16、2026-10-17</v>
      </c>
      <c r="AE730" s="8" t="str">
        <v>2026-10-06 大促；2026-10-07 大促</v>
      </c>
      <c r="AF730" s="8" t="n">
        <v>0</v>
      </c>
      <c r="AG730" s="8" t="n">
        <v>0</v>
      </c>
      <c r="AH730" s="8" t="n">
        <v>14</v>
      </c>
      <c r="AI730" s="8" t="str">
        <v>2026-09-16 至 2026-10-17</v>
      </c>
      <c r="AJ7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30" s="8" t="str">
        <v>2026-10-06 大促；2026-10-07 大促</v>
      </c>
      <c r="AL730" s="8" t="n">
        <v>0</v>
      </c>
      <c r="AM730" s="8" t="n">
        <v>0</v>
      </c>
      <c r="AN730" s="8" t="n">
        <v>30</v>
      </c>
      <c r="AO730" s="8" t="str">
        <v>32582 / 藏青色羊京绒 / 6574</v>
      </c>
      <c r="AP730" s="11" t="n">
        <v>1.0395067087630607</v>
      </c>
      <c r="AQ730" s="11" t="n">
        <v>1.0395067087630607</v>
      </c>
      <c r="AR730" s="11" t="n">
        <v>1.0707336504782758</v>
      </c>
      <c r="AS730" s="11" t="n">
        <f>IF(AND(COUNT(I730:K730,AP730:AR730)=6,MIN(AP730:AR730)&gt;0),I730/7/AP730*0.5+J730/14/AQ730*0.3+K730/30/AR730*0.2,"")</f>
        <v>0</v>
      </c>
      <c r="AT730" s="8" t="n">
        <v>0</v>
      </c>
      <c r="AU730" s="8" t="n">
        <v>0</v>
      </c>
      <c r="AV730" s="8" t="n">
        <v>88</v>
      </c>
      <c r="AW730" s="11" t="n">
        <f>IF(AND(COUNT(AT730:AV730)=3,AT730&gt;=AU730,AU730&gt;=0,AV730&gt;0),(AT730-AU730)/AV730,"")</f>
        <v>0</v>
      </c>
      <c r="AX730" s="8" t="n">
        <v>15</v>
      </c>
      <c r="AY730" s="8" t="n">
        <v>0</v>
      </c>
      <c r="AZ730" s="8" t="n">
        <v>178</v>
      </c>
      <c r="BA730" s="11" t="n">
        <f>IF(AND(COUNT(AX730:AZ730)=3,AX730&gt;=AY730,AY730&gt;=0,AZ730&gt;0),(AX730-AY730)/AZ730,"")</f>
        <v>0.08426966292134831</v>
      </c>
      <c r="BB730" s="8" t="n">
        <f>IF(COUNT(AS730,AW730,BA730)=3,1,0)</f>
        <v>1</v>
      </c>
      <c r="BC730" s="11" t="n">
        <f>IF(SUMIF($AO$11:$AO$1309,AO730,$BB$11:$BB$1309)=COUNTIF($AO$11:$AO$1309,AO730),SUMIF($AO$11:$AO$1309,AO730,$AS$11:$AS$1309),"")</f>
        <v>1.3720516715672233</v>
      </c>
      <c r="BD730" s="11" t="n">
        <f>IF(SUMIF($AO$11:$AO$1309,AO730,$BB$11:$BB$1309)=COUNTIF($AO$11:$AO$1309,AO730),SUMIF($AO$11:$AO$1309,AO730,$AW$11:$AW$1309),"")</f>
        <v>1.1959893048128343</v>
      </c>
      <c r="BE730" s="11" t="n">
        <f>IF(SUMIF($AO$11:$AO$1309,AO730,$BB$11:$BB$1309)=COUNTIF($AO$11:$AO$1309,AO730),SUMIF($AO$11:$AO$1309,AO730,$BA$11:$BA$1309),"")</f>
        <v>1.9519101123595508</v>
      </c>
      <c r="BF730" s="12" t="n">
        <f>IF(COUNT(BD730:BE730)&lt;&gt;2,"",IF(AND(BD730&gt;0,BE730&gt;0),0.7*AW730/BD730+0.3*BA730/BE730,IF(BD730&gt;0,AW730/BD730,IF(BE730&gt;0,BA730/BE730,IF(AND(ISNUMBER(BH730),BH730=0),0,"")))))</f>
        <v>0.012951876583007137</v>
      </c>
      <c r="BG730" s="11" t="n">
        <f>IF(AND(COUNT(BN730:BU730)=8,MIN(BN730:BU730)&gt;=0),SUMPRODUCT(BN730:BQ730,BR730:BU730),"")</f>
        <v>88.27281580841549</v>
      </c>
      <c r="BH730" s="11" t="n">
        <f>IF(COUNT(BC730,BG730)=2,BC730*BG730,"")</f>
        <v>121.11486448388209</v>
      </c>
      <c r="BI730" s="11" t="n">
        <f>IF(ISNUMBER(CI730),CI730,"")</f>
        <v>1.5686647771628754</v>
      </c>
      <c r="BJ730" s="8" t="str"/>
      <c r="BK730" s="8" t="str">
        <v>90天：2026-07-20 至 2026-10-17；180天：2026-04-21 至 2026-10-17</v>
      </c>
      <c r="BL730" s="8" t="str">
        <v>90天：2026-10-06、2026-10-07；180天：2026-10-06、2026-10-07</v>
      </c>
      <c r="BM730" s="8" t="str">
        <v>2026-10：12天 × 1.0395067087630607；2026-11：30天 × 0.9890368360033146；2026-12：31天 × 0.7800796503018808；2027-01：17天 × 1.2908918272824135</v>
      </c>
      <c r="BN730" s="11" t="n">
        <v>1.0395067087630607</v>
      </c>
      <c r="BO730" s="11" t="n">
        <v>0.9890368360033146</v>
      </c>
      <c r="BP730" s="11" t="n">
        <v>0.7800796503018808</v>
      </c>
      <c r="BQ730" s="11" t="n">
        <v>1.2908918272824135</v>
      </c>
      <c r="BR730" s="8" t="n">
        <v>12</v>
      </c>
      <c r="BS730" s="8" t="n">
        <v>30</v>
      </c>
      <c r="BT730" s="8" t="n">
        <v>31</v>
      </c>
      <c r="BU730" s="8" t="n">
        <v>17</v>
      </c>
      <c r="BV730" s="11" t="n">
        <f>IF(COUNT(BC730,BF730)=2,BC730*BF730,"")</f>
        <v>0.017770643915647318</v>
      </c>
      <c r="BW730" s="11" t="n">
        <f>IF(ISNUMBER(BN730),BN730,"")</f>
        <v>1.0395067087630607</v>
      </c>
      <c r="BX730" s="14" t="n">
        <f>IF(ISNUMBER(BR730),BR730,"")</f>
        <v>12</v>
      </c>
      <c r="BY730" s="13" t="n">
        <f>IF(AND(COUNT(BV730,BW730,BX730)=3,MIN(BV730,BW730,BX730)&gt;=0),BV730*BW730*BX730,"")</f>
        <v>0.22167244283225823</v>
      </c>
      <c r="BZ730" s="11" t="n">
        <f>IF(ISNUMBER(BO730),BO730,"")</f>
        <v>0.9890368360033146</v>
      </c>
      <c r="CA730" s="14" t="n">
        <f>IF(ISNUMBER(BS730),BS730,"")</f>
        <v>30</v>
      </c>
      <c r="CB730" s="13" t="n">
        <f>IF(AND(COUNT(BV730,BZ730,CA730)=3,MIN(BV730,BZ730,CA730)&gt;=0),BV730*BZ730*CA730,"")</f>
        <v>0.5272746429622013</v>
      </c>
      <c r="CC730" s="11" t="n">
        <f>IF(ISNUMBER(BP730),BP730,"")</f>
        <v>0.7800796503018808</v>
      </c>
      <c r="CD730" s="14" t="n">
        <f>IF(ISNUMBER(BT730),BT730,"")</f>
        <v>31</v>
      </c>
      <c r="CE730" s="13" t="n">
        <f>IF(AND(COUNT(BV730,CC730,CD730)=3,MIN(BV730,CC730,CD730)&gt;=0),BV730*CC730*CD730,"")</f>
        <v>0.4297380484320796</v>
      </c>
      <c r="CF730" s="11" t="n">
        <f>IF(ISNUMBER(BQ730),BQ730,"")</f>
        <v>1.2908918272824135</v>
      </c>
      <c r="CG730" s="14" t="n">
        <f>IF(ISNUMBER(BU730),BU730,"")</f>
        <v>17</v>
      </c>
      <c r="CH730" s="13" t="n">
        <f>IF(AND(COUNT(BV730,CF730,CG730)=3,MIN(BV730,CF730,CG730)&gt;=0),BV730*CF730*CG730,"")</f>
        <v>0.38997964293633613</v>
      </c>
      <c r="CI730" s="13" t="n">
        <f>IF(COUNT(BY730,CB730,CE730,CH730)=4,SUM(BY730,CB730,CE730,CH730),"")</f>
        <v>1.5686647771628754</v>
      </c>
    </row>
    <row r="731" ht="72" customHeight="1">
      <c r="A731" s="16" t="str">
        <v>32582-PK-37</v>
      </c>
      <c r="B731" s="16" t="str">
        <v>3店-SANDIEX-US</v>
      </c>
      <c r="C731" s="16" t="str">
        <v>徐新怡</v>
      </c>
      <c r="D731" s="26" t="n">
        <f>IF(NOT(ISNUMBER(E731)),"",IF(OR(E731&lt;=0,L731=0),0,IF(OR(NOT(ISNUMBER(F731)),F731&lt;0),"",MIN(E731,INT(F731)))))</f>
        <v>0</v>
      </c>
      <c r="E731" s="27" t="n">
        <f>IF(OR(NOT(ISNUMBER(L731)),COUNT(M731:O731)&lt;&gt;3,MIN(M731:O731)&lt;0),"",ROUNDUP(ROUND(BI731-SUM(M731:O731),10),0))</f>
        <v>0</v>
      </c>
      <c r="F731" s="28"/>
      <c r="G731" s="28" t="n">
        <f>IF(AND(ISNUMBER(D731),ISNUMBER(E731)),IF(OR(E731&lt;=0,L731=0),0,E731-D731),"")</f>
        <v>0</v>
      </c>
      <c r="H731" s="16" t="str">
        <f>IF(NOT(ISNUMBER(E731)),"销量或海外库存待补",IF(OR(E731&lt;=0,L731=0),IF(L731=0,"零日销，本批不发","本批无需补货"),IF(NOT(ISNUMBER(D731)),"国内库存待补",IF(D731=0,"国内无可用库存",IF(G731&gt;0,"先发国内现货","按建议量发货")))))</f>
        <v>零日销，本批不发</v>
      </c>
      <c r="I731" s="28" t="n">
        <f>IF(AND(COUNT(Z731,AA731,AB731)=3,Z731&gt;=AA731,AA731&gt;=0,AB731=7),Z731-AA731,"")</f>
        <v>0</v>
      </c>
      <c r="J731" s="28" t="n">
        <f>IF(AND(COUNT(AF731,AG731,AH731)=3,AF731&gt;=AG731,AG731&gt;=0,AH731=14),AF731-AG731,"")</f>
        <v>0</v>
      </c>
      <c r="K731" s="28" t="n">
        <f>IF(AND(COUNT(AL731,AM731,AN731)=3,AL731&gt;=AM731,AM731&gt;=0,AN731=30),AL731-AM731,"")</f>
        <v>0</v>
      </c>
      <c r="L731" s="29" t="n">
        <f>IF(ISNUMBER(BI731),BI731/90,"")</f>
        <v>0</v>
      </c>
      <c r="M731" s="28" t="n">
        <v>0</v>
      </c>
      <c r="N731" s="28" t="n">
        <v>0</v>
      </c>
      <c r="O731" s="28" t="n">
        <v>0</v>
      </c>
      <c r="P731" s="30" t="str">
        <f>IF(AND(ISNUMBER(L731),L731&gt;0,COUNT(M731:O731)=3,MIN(M731:O731)&gt;=0),SUM(M731:O731)/L731,"")</f>
      </c>
      <c r="Q731" s="16" t="str">
        <v>沿用原计划SKU店铺</v>
      </c>
      <c r="R731" s="16" t="str">
        <v>未匹配</v>
      </c>
      <c r="S731" s="16" t="str">
        <v>停售</v>
      </c>
      <c r="T731" s="16" t="str">
        <v>32582</v>
      </c>
      <c r="U731" s="16" t="str">
        <v>粉色</v>
      </c>
      <c r="V731" s="16" t="n">
        <v>6</v>
      </c>
      <c r="W731" s="8" t="str">
        <v>2026-10-08 至 2026-10-17</v>
      </c>
      <c r="X731" s="8" t="str">
        <v>2026-10-08、2026-10-09、2026-10-10、2026-10-11、2026-10-14、2026-10-15、2026-10-17</v>
      </c>
      <c r="Y731" s="8" t="str">
        <v>2026-10-12 有记录的停售日；2026-10-13 有记录的停售日；2026-10-16 有记录的停售日</v>
      </c>
      <c r="Z731" s="8" t="n">
        <v>0</v>
      </c>
      <c r="AA731" s="8" t="n">
        <v>0</v>
      </c>
      <c r="AB731" s="8" t="n">
        <v>7</v>
      </c>
      <c r="AC731" s="8" t="str">
        <v>2026-09-29 至 2026-10-17</v>
      </c>
      <c r="AD731" s="8" t="str">
        <v>2026-09-29、2026-09-30、2026-10-01、2026-10-02、2026-10-03、2026-10-04、2026-10-05、2026-10-08、2026-10-09、2026-10-10、2026-10-11、2026-10-14、2026-10-15、2026-10-17</v>
      </c>
      <c r="AE731" s="8" t="str">
        <v>2026-10-06 大促；2026-10-07 大促；2026-10-12 有记录的停售日；2026-10-13 有记录的停售日；2026-10-16 有记录的停售日</v>
      </c>
      <c r="AF731" s="8" t="n">
        <v>0</v>
      </c>
      <c r="AG731" s="8" t="n">
        <v>0</v>
      </c>
      <c r="AH731" s="8" t="n">
        <v>14</v>
      </c>
      <c r="AI731" s="8" t="str">
        <v>2026-09-13 至 2026-10-17</v>
      </c>
      <c r="AJ73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1" s="8" t="str">
        <v>2026-10-06 大促；2026-10-07 大促；2026-10-12 有记录的停售日；2026-10-13 有记录的停售日；2026-10-16 有记录的停售日</v>
      </c>
      <c r="AL731" s="8" t="n">
        <v>0</v>
      </c>
      <c r="AM731" s="8" t="n">
        <v>0</v>
      </c>
      <c r="AN731" s="8" t="n">
        <v>30</v>
      </c>
      <c r="AO731" s="8" t="str">
        <v>32582 / 粉色羊京绒 / 6574</v>
      </c>
      <c r="AP731" s="11" t="n">
        <v>1.0395067087630607</v>
      </c>
      <c r="AQ731" s="11" t="n">
        <v>1.048428692110265</v>
      </c>
      <c r="AR731" s="11" t="n">
        <v>1.076979038821319</v>
      </c>
      <c r="AS731" s="11" t="n">
        <f>IF(AND(COUNT(I731:K731,AP731:AR731)=6,MIN(AP731:AR731)&gt;0),I731/7/AP731*0.5+J731/14/AQ731*0.3+K731/30/AR731*0.2,"")</f>
        <v>0</v>
      </c>
      <c r="AT731" s="8" t="n">
        <v>0</v>
      </c>
      <c r="AU731" s="8" t="n">
        <v>0</v>
      </c>
      <c r="AV731" s="8" t="n">
        <v>85</v>
      </c>
      <c r="AW731" s="11" t="n">
        <f>IF(AND(COUNT(AT731:AV731)=3,AT731&gt;=AU731,AU731&gt;=0,AV731&gt;0),(AT731-AU731)/AV731,"")</f>
        <v>0</v>
      </c>
      <c r="AX731" s="8" t="n">
        <v>0</v>
      </c>
      <c r="AY731" s="8" t="n">
        <v>0</v>
      </c>
      <c r="AZ731" s="8" t="n">
        <v>175</v>
      </c>
      <c r="BA731" s="11" t="n">
        <f>IF(AND(COUNT(AX731:AZ731)=3,AX731&gt;=AY731,AY731&gt;=0,AZ731&gt;0),(AX731-AY731)/AZ731,"")</f>
        <v>0</v>
      </c>
      <c r="BB731" s="8" t="n">
        <f>IF(COUNT(AS731,AW731,BA731)=3,1,0)</f>
        <v>1</v>
      </c>
      <c r="BC731" s="11" t="n">
        <f>IF(SUMIF($AO$11:$AO$1309,AO731,$BB$11:$BB$1309)=COUNTIF($AO$11:$AO$1309,AO731),SUMIF($AO$11:$AO$1309,AO731,$AS$11:$AS$1309),"")</f>
        <v>0.13201914161115513</v>
      </c>
      <c r="BD731" s="11" t="n">
        <f>IF(SUMIF($AO$11:$AO$1309,AO731,$BB$11:$BB$1309)=COUNTIF($AO$11:$AO$1309,AO731),SUMIF($AO$11:$AO$1309,AO731,$AW$11:$AW$1309),"")</f>
        <v>0.2418449197860963</v>
      </c>
      <c r="BE731" s="11" t="n">
        <f>IF(SUMIF($AO$11:$AO$1309,AO731,$BB$11:$BB$1309)=COUNTIF($AO$11:$AO$1309,AO731),SUMIF($AO$11:$AO$1309,AO731,$BA$11:$BA$1309),"")</f>
        <v>0.31768860353130013</v>
      </c>
      <c r="BF731" s="12" t="n">
        <f>IF(COUNT(BD731:BE731)&lt;&gt;2,"",IF(AND(BD731&gt;0,BE731&gt;0),0.7*AW731/BD731+0.3*BA731/BE731,IF(BD731&gt;0,AW731/BD731,IF(BE731&gt;0,BA731/BE731,IF(AND(ISNUMBER(BH731),BH731=0),0,"")))))</f>
        <v>0</v>
      </c>
      <c r="BG731" s="11" t="n">
        <f>IF(AND(COUNT(BN731:BU731)=8,MIN(BN731:BU731)&gt;=0),SUMPRODUCT(BN731:BQ731,BR731:BU731),"")</f>
        <v>88.27281580841549</v>
      </c>
      <c r="BH731" s="11" t="n">
        <f>IF(COUNT(BC731,BG731)=2,BC731*BG731,"")</f>
        <v>11.653701370626617</v>
      </c>
      <c r="BI731" s="11" t="n">
        <f>IF(ISNUMBER(CI731),CI731,"")</f>
        <v>0</v>
      </c>
      <c r="BJ731" s="8" t="str">
        <v>近180天本色销量57双（＜90），无有效新采购，请运营判断</v>
      </c>
      <c r="BK731" s="8" t="str">
        <v>90天：2026-07-20 至 2026-10-17；180天：2026-04-21 至 2026-10-17</v>
      </c>
      <c r="BL731" s="8" t="str">
        <v>90天：2026-10-06、2026-10-07、2026-10-12、2026-10-13、2026-10-16；180天：2026-10-06、2026-10-07、2026-10-12、2026-10-13、2026-10-16</v>
      </c>
      <c r="BM731" s="8" t="str">
        <v>2026-10：12天 × 1.0395067087630607；2026-11：30天 × 0.9890368360033146；2026-12：31天 × 0.7800796503018808；2027-01：17天 × 1.2908918272824135</v>
      </c>
      <c r="BN731" s="11" t="n">
        <v>1.0395067087630607</v>
      </c>
      <c r="BO731" s="11" t="n">
        <v>0.9890368360033146</v>
      </c>
      <c r="BP731" s="11" t="n">
        <v>0.7800796503018808</v>
      </c>
      <c r="BQ731" s="11" t="n">
        <v>1.2908918272824135</v>
      </c>
      <c r="BR731" s="8" t="n">
        <v>12</v>
      </c>
      <c r="BS731" s="8" t="n">
        <v>30</v>
      </c>
      <c r="BT731" s="8" t="n">
        <v>31</v>
      </c>
      <c r="BU731" s="8" t="n">
        <v>17</v>
      </c>
      <c r="BV731" s="11" t="n">
        <f>IF(COUNT(BC731,BF731)=2,BC731*BF731,"")</f>
        <v>0</v>
      </c>
      <c r="BW731" s="11" t="n">
        <f>IF(ISNUMBER(BN731),BN731,"")</f>
        <v>1.0395067087630607</v>
      </c>
      <c r="BX731" s="14" t="n">
        <f>IF(ISNUMBER(BR731),BR731,"")</f>
        <v>12</v>
      </c>
      <c r="BY731" s="13" t="n">
        <f>IF(AND(COUNT(BV731,BW731,BX731)=3,MIN(BV731,BW731,BX731)&gt;=0),BV731*BW731*BX731,"")</f>
        <v>0</v>
      </c>
      <c r="BZ731" s="11" t="n">
        <f>IF(ISNUMBER(BO731),BO731,"")</f>
        <v>0.9890368360033146</v>
      </c>
      <c r="CA731" s="14" t="n">
        <f>IF(ISNUMBER(BS731),BS731,"")</f>
        <v>30</v>
      </c>
      <c r="CB731" s="13" t="n">
        <f>IF(AND(COUNT(BV731,BZ731,CA731)=3,MIN(BV731,BZ731,CA731)&gt;=0),BV731*BZ731*CA731,"")</f>
        <v>0</v>
      </c>
      <c r="CC731" s="11" t="n">
        <f>IF(ISNUMBER(BP731),BP731,"")</f>
        <v>0.7800796503018808</v>
      </c>
      <c r="CD731" s="14" t="n">
        <f>IF(ISNUMBER(BT731),BT731,"")</f>
        <v>31</v>
      </c>
      <c r="CE731" s="13" t="n">
        <f>IF(AND(COUNT(BV731,CC731,CD731)=3,MIN(BV731,CC731,CD731)&gt;=0),BV731*CC731*CD731,"")</f>
        <v>0</v>
      </c>
      <c r="CF731" s="11" t="n">
        <f>IF(ISNUMBER(BQ731),BQ731,"")</f>
        <v>1.2908918272824135</v>
      </c>
      <c r="CG731" s="14" t="n">
        <f>IF(ISNUMBER(BU731),BU731,"")</f>
        <v>17</v>
      </c>
      <c r="CH731" s="13" t="n">
        <f>IF(AND(COUNT(BV731,CF731,CG731)=3,MIN(BV731,CF731,CG731)&gt;=0),BV731*CF731*CG731,"")</f>
        <v>0</v>
      </c>
      <c r="CI731" s="13" t="n">
        <f>IF(COUNT(BY731,CB731,CE731,CH731)=4,SUM(BY731,CB731,CE731,CH731),"")</f>
        <v>0</v>
      </c>
    </row>
    <row r="732" ht="72" customHeight="1">
      <c r="A732" s="16" t="str">
        <v>32582-PK-37.5</v>
      </c>
      <c r="B732" s="16" t="str">
        <v>3店-SANDIEX-US</v>
      </c>
      <c r="C732" s="16" t="str">
        <v>徐新怡</v>
      </c>
      <c r="D732" s="26" t="n">
        <f>IF(NOT(ISNUMBER(E732)),"",IF(OR(E732&lt;=0,L732=0),0,IF(OR(NOT(ISNUMBER(F732)),F732&lt;0),"",MIN(E732,INT(F732)))))</f>
        <v>0</v>
      </c>
      <c r="E732" s="27" t="n">
        <f>IF(OR(NOT(ISNUMBER(L732)),COUNT(M732:O732)&lt;&gt;3,MIN(M732:O732)&lt;0),"",ROUNDUP(ROUND(BI732-SUM(M732:O732),10),0))</f>
        <v>0</v>
      </c>
      <c r="F732" s="28"/>
      <c r="G732" s="28" t="n">
        <f>IF(AND(ISNUMBER(D732),ISNUMBER(E732)),IF(OR(E732&lt;=0,L732=0),0,E732-D732),"")</f>
        <v>0</v>
      </c>
      <c r="H732" s="16" t="str">
        <f>IF(NOT(ISNUMBER(E732)),"销量或海外库存待补",IF(OR(E732&lt;=0,L732=0),IF(L732=0,"零日销，本批不发","本批无需补货"),IF(NOT(ISNUMBER(D732)),"国内库存待补",IF(D732=0,"国内无可用库存",IF(G732&gt;0,"先发国内现货","按建议量发货")))))</f>
        <v>零日销，本批不发</v>
      </c>
      <c r="I732" s="28" t="n">
        <f>IF(AND(COUNT(Z732,AA732,AB732)=3,Z732&gt;=AA732,AA732&gt;=0,AB732=7),Z732-AA732,"")</f>
        <v>0</v>
      </c>
      <c r="J732" s="28" t="n">
        <f>IF(AND(COUNT(AF732,AG732,AH732)=3,AF732&gt;=AG732,AG732&gt;=0,AH732=14),AF732-AG732,"")</f>
        <v>0</v>
      </c>
      <c r="K732" s="28" t="n">
        <f>IF(AND(COUNT(AL732,AM732,AN732)=3,AL732&gt;=AM732,AM732&gt;=0,AN732=30),AL732-AM732,"")</f>
        <v>0</v>
      </c>
      <c r="L732" s="29" t="n">
        <f>IF(ISNUMBER(BI732),BI732/90,"")</f>
        <v>0</v>
      </c>
      <c r="M732" s="28" t="n">
        <v>0</v>
      </c>
      <c r="N732" s="28" t="n">
        <v>0</v>
      </c>
      <c r="O732" s="28" t="n">
        <v>0</v>
      </c>
      <c r="P732" s="30" t="str">
        <f>IF(AND(ISNUMBER(L732),L732&gt;0,COUNT(M732:O732)=3,MIN(M732:O732)&gt;=0),SUM(M732:O732)/L732,"")</f>
      </c>
      <c r="Q732" s="16" t="str">
        <v>沿用原计划SKU店铺</v>
      </c>
      <c r="R732" s="16" t="str">
        <v>未匹配</v>
      </c>
      <c r="S732" s="16" t="str">
        <v>停售</v>
      </c>
      <c r="T732" s="16" t="str">
        <v>32582</v>
      </c>
      <c r="U732" s="16" t="str">
        <v>粉色</v>
      </c>
      <c r="V732" s="16" t="n">
        <v>6.5</v>
      </c>
      <c r="W732" s="8" t="str">
        <v>2026-10-08 至 2026-10-17</v>
      </c>
      <c r="X732" s="8" t="str">
        <v>2026-10-08、2026-10-09、2026-10-10、2026-10-11、2026-10-14、2026-10-15、2026-10-17</v>
      </c>
      <c r="Y732" s="8" t="str">
        <v>2026-10-12 有记录的停售日；2026-10-13 有记录的停售日；2026-10-16 有记录的停售日</v>
      </c>
      <c r="Z732" s="8" t="n">
        <v>0</v>
      </c>
      <c r="AA732" s="8" t="n">
        <v>0</v>
      </c>
      <c r="AB732" s="8" t="n">
        <v>7</v>
      </c>
      <c r="AC732" s="8" t="str">
        <v>2026-09-29 至 2026-10-17</v>
      </c>
      <c r="AD732" s="8" t="str">
        <v>2026-09-29、2026-09-30、2026-10-01、2026-10-02、2026-10-03、2026-10-04、2026-10-05、2026-10-08、2026-10-09、2026-10-10、2026-10-11、2026-10-14、2026-10-15、2026-10-17</v>
      </c>
      <c r="AE732" s="8" t="str">
        <v>2026-10-06 大促；2026-10-07 大促；2026-10-12 有记录的停售日；2026-10-13 有记录的停售日；2026-10-16 有记录的停售日</v>
      </c>
      <c r="AF732" s="8" t="n">
        <v>0</v>
      </c>
      <c r="AG732" s="8" t="n">
        <v>0</v>
      </c>
      <c r="AH732" s="8" t="n">
        <v>14</v>
      </c>
      <c r="AI732" s="8" t="str">
        <v>2026-09-13 至 2026-10-17</v>
      </c>
      <c r="AJ73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2" s="8" t="str">
        <v>2026-10-06 大促；2026-10-07 大促；2026-10-12 有记录的停售日；2026-10-13 有记录的停售日；2026-10-16 有记录的停售日</v>
      </c>
      <c r="AL732" s="8" t="n">
        <v>0</v>
      </c>
      <c r="AM732" s="8" t="n">
        <v>0</v>
      </c>
      <c r="AN732" s="8" t="n">
        <v>30</v>
      </c>
      <c r="AO732" s="8" t="str">
        <v>32582 / 粉色羊京绒 / 6574</v>
      </c>
      <c r="AP732" s="11" t="n">
        <v>1.0395067087630607</v>
      </c>
      <c r="AQ732" s="11" t="n">
        <v>1.048428692110265</v>
      </c>
      <c r="AR732" s="11" t="n">
        <v>1.076979038821319</v>
      </c>
      <c r="AS732" s="11" t="n">
        <f>IF(AND(COUNT(I732:K732,AP732:AR732)=6,MIN(AP732:AR732)&gt;0),I732/7/AP732*0.5+J732/14/AQ732*0.3+K732/30/AR732*0.2,"")</f>
        <v>0</v>
      </c>
      <c r="AT732" s="8" t="n">
        <v>0</v>
      </c>
      <c r="AU732" s="8" t="n">
        <v>0</v>
      </c>
      <c r="AV732" s="8" t="n">
        <v>85</v>
      </c>
      <c r="AW732" s="11" t="n">
        <f>IF(AND(COUNT(AT732:AV732)=3,AT732&gt;=AU732,AU732&gt;=0,AV732&gt;0),(AT732-AU732)/AV732,"")</f>
        <v>0</v>
      </c>
      <c r="AX732" s="8" t="n">
        <v>0</v>
      </c>
      <c r="AY732" s="8" t="n">
        <v>0</v>
      </c>
      <c r="AZ732" s="8" t="n">
        <v>175</v>
      </c>
      <c r="BA732" s="11" t="n">
        <f>IF(AND(COUNT(AX732:AZ732)=3,AX732&gt;=AY732,AY732&gt;=0,AZ732&gt;0),(AX732-AY732)/AZ732,"")</f>
        <v>0</v>
      </c>
      <c r="BB732" s="8" t="n">
        <f>IF(COUNT(AS732,AW732,BA732)=3,1,0)</f>
        <v>1</v>
      </c>
      <c r="BC732" s="11" t="n">
        <f>IF(SUMIF($AO$11:$AO$1309,AO732,$BB$11:$BB$1309)=COUNTIF($AO$11:$AO$1309,AO732),SUMIF($AO$11:$AO$1309,AO732,$AS$11:$AS$1309),"")</f>
        <v>0.13201914161115513</v>
      </c>
      <c r="BD732" s="11" t="n">
        <f>IF(SUMIF($AO$11:$AO$1309,AO732,$BB$11:$BB$1309)=COUNTIF($AO$11:$AO$1309,AO732),SUMIF($AO$11:$AO$1309,AO732,$AW$11:$AW$1309),"")</f>
        <v>0.2418449197860963</v>
      </c>
      <c r="BE732" s="11" t="n">
        <f>IF(SUMIF($AO$11:$AO$1309,AO732,$BB$11:$BB$1309)=COUNTIF($AO$11:$AO$1309,AO732),SUMIF($AO$11:$AO$1309,AO732,$BA$11:$BA$1309),"")</f>
        <v>0.31768860353130013</v>
      </c>
      <c r="BF732" s="12" t="n">
        <f>IF(COUNT(BD732:BE732)&lt;&gt;2,"",IF(AND(BD732&gt;0,BE732&gt;0),0.7*AW732/BD732+0.3*BA732/BE732,IF(BD732&gt;0,AW732/BD732,IF(BE732&gt;0,BA732/BE732,IF(AND(ISNUMBER(BH732),BH732=0),0,"")))))</f>
        <v>0</v>
      </c>
      <c r="BG732" s="11" t="n">
        <f>IF(AND(COUNT(BN732:BU732)=8,MIN(BN732:BU732)&gt;=0),SUMPRODUCT(BN732:BQ732,BR732:BU732),"")</f>
        <v>88.27281580841549</v>
      </c>
      <c r="BH732" s="11" t="n">
        <f>IF(COUNT(BC732,BG732)=2,BC732*BG732,"")</f>
        <v>11.653701370626617</v>
      </c>
      <c r="BI732" s="11" t="n">
        <f>IF(ISNUMBER(CI732),CI732,"")</f>
        <v>0</v>
      </c>
      <c r="BJ732" s="8" t="str">
        <v>近180天本色销量57双（＜90），无有效新采购，请运营判断</v>
      </c>
      <c r="BK732" s="8" t="str">
        <v>90天：2026-07-20 至 2026-10-17；180天：2026-04-21 至 2026-10-17</v>
      </c>
      <c r="BL732" s="8" t="str">
        <v>90天：2026-10-06、2026-10-07、2026-10-12、2026-10-13、2026-10-16；180天：2026-10-06、2026-10-07、2026-10-12、2026-10-13、2026-10-16</v>
      </c>
      <c r="BM732" s="8" t="str">
        <v>2026-10：12天 × 1.0395067087630607；2026-11：30天 × 0.9890368360033146；2026-12：31天 × 0.7800796503018808；2027-01：17天 × 1.2908918272824135</v>
      </c>
      <c r="BN732" s="11" t="n">
        <v>1.0395067087630607</v>
      </c>
      <c r="BO732" s="11" t="n">
        <v>0.9890368360033146</v>
      </c>
      <c r="BP732" s="11" t="n">
        <v>0.7800796503018808</v>
      </c>
      <c r="BQ732" s="11" t="n">
        <v>1.2908918272824135</v>
      </c>
      <c r="BR732" s="8" t="n">
        <v>12</v>
      </c>
      <c r="BS732" s="8" t="n">
        <v>30</v>
      </c>
      <c r="BT732" s="8" t="n">
        <v>31</v>
      </c>
      <c r="BU732" s="8" t="n">
        <v>17</v>
      </c>
      <c r="BV732" s="11" t="n">
        <f>IF(COUNT(BC732,BF732)=2,BC732*BF732,"")</f>
        <v>0</v>
      </c>
      <c r="BW732" s="11" t="n">
        <f>IF(ISNUMBER(BN732),BN732,"")</f>
        <v>1.0395067087630607</v>
      </c>
      <c r="BX732" s="14" t="n">
        <f>IF(ISNUMBER(BR732),BR732,"")</f>
        <v>12</v>
      </c>
      <c r="BY732" s="13" t="n">
        <f>IF(AND(COUNT(BV732,BW732,BX732)=3,MIN(BV732,BW732,BX732)&gt;=0),BV732*BW732*BX732,"")</f>
        <v>0</v>
      </c>
      <c r="BZ732" s="11" t="n">
        <f>IF(ISNUMBER(BO732),BO732,"")</f>
        <v>0.9890368360033146</v>
      </c>
      <c r="CA732" s="14" t="n">
        <f>IF(ISNUMBER(BS732),BS732,"")</f>
        <v>30</v>
      </c>
      <c r="CB732" s="13" t="n">
        <f>IF(AND(COUNT(BV732,BZ732,CA732)=3,MIN(BV732,BZ732,CA732)&gt;=0),BV732*BZ732*CA732,"")</f>
        <v>0</v>
      </c>
      <c r="CC732" s="11" t="n">
        <f>IF(ISNUMBER(BP732),BP732,"")</f>
        <v>0.7800796503018808</v>
      </c>
      <c r="CD732" s="14" t="n">
        <f>IF(ISNUMBER(BT732),BT732,"")</f>
        <v>31</v>
      </c>
      <c r="CE732" s="13" t="n">
        <f>IF(AND(COUNT(BV732,CC732,CD732)=3,MIN(BV732,CC732,CD732)&gt;=0),BV732*CC732*CD732,"")</f>
        <v>0</v>
      </c>
      <c r="CF732" s="11" t="n">
        <f>IF(ISNUMBER(BQ732),BQ732,"")</f>
        <v>1.2908918272824135</v>
      </c>
      <c r="CG732" s="14" t="n">
        <f>IF(ISNUMBER(BU732),BU732,"")</f>
        <v>17</v>
      </c>
      <c r="CH732" s="13" t="n">
        <f>IF(AND(COUNT(BV732,CF732,CG732)=3,MIN(BV732,CF732,CG732)&gt;=0),BV732*CF732*CG732,"")</f>
        <v>0</v>
      </c>
      <c r="CI732" s="13" t="n">
        <f>IF(COUNT(BY732,CB732,CE732,CH732)=4,SUM(BY732,CB732,CE732,CH732),"")</f>
        <v>0</v>
      </c>
    </row>
    <row r="733" ht="72" customHeight="1">
      <c r="A733" s="16" t="str">
        <v>32582-PK-38.5</v>
      </c>
      <c r="B733" s="16" t="str">
        <v>3店-SANDIEX-US</v>
      </c>
      <c r="C733" s="16" t="str">
        <v>徐新怡</v>
      </c>
      <c r="D733" s="26" t="n">
        <f>IF(NOT(ISNUMBER(E733)),"",IF(OR(E733&lt;=0,L733=0),0,IF(OR(NOT(ISNUMBER(F733)),F733&lt;0),"",MIN(E733,INT(F733)))))</f>
        <v>0</v>
      </c>
      <c r="E733" s="27" t="n">
        <f>IF(OR(NOT(ISNUMBER(L733)),COUNT(M733:O733)&lt;&gt;3,MIN(M733:O733)&lt;0),"",ROUNDUP(ROUND(BI733-SUM(M733:O733),10),0))</f>
        <v>0</v>
      </c>
      <c r="F733" s="28" t="n">
        <v>0</v>
      </c>
      <c r="G733" s="28" t="n">
        <f>IF(AND(ISNUMBER(D733),ISNUMBER(E733)),IF(OR(E733&lt;=0,L733=0),0,E733-D733),"")</f>
        <v>0</v>
      </c>
      <c r="H733" s="16" t="str">
        <f>IF(NOT(ISNUMBER(E733)),"销量或海外库存待补",IF(OR(E733&lt;=0,L733=0),IF(L733=0,"零日销，本批不发","本批无需补货"),IF(NOT(ISNUMBER(D733)),"国内库存待补",IF(D733=0,"国内无可用库存",IF(G733&gt;0,"先发国内现货","按建议量发货")))))</f>
        <v>零日销，本批不发</v>
      </c>
      <c r="I733" s="28" t="n">
        <f>IF(AND(COUNT(Z733,AA733,AB733)=3,Z733&gt;=AA733,AA733&gt;=0,AB733=7),Z733-AA733,"")</f>
        <v>0</v>
      </c>
      <c r="J733" s="28" t="n">
        <f>IF(AND(COUNT(AF733,AG733,AH733)=3,AF733&gt;=AG733,AG733&gt;=0,AH733=14),AF733-AG733,"")</f>
        <v>0</v>
      </c>
      <c r="K733" s="28" t="n">
        <f>IF(AND(COUNT(AL733,AM733,AN733)=3,AL733&gt;=AM733,AM733&gt;=0,AN733=30),AL733-AM733,"")</f>
        <v>0</v>
      </c>
      <c r="L733" s="29" t="n">
        <f>IF(ISNUMBER(BI733),BI733/90,"")</f>
        <v>0</v>
      </c>
      <c r="M733" s="28" t="n">
        <v>0</v>
      </c>
      <c r="N733" s="28" t="n">
        <v>0</v>
      </c>
      <c r="O733" s="28" t="n">
        <v>0</v>
      </c>
      <c r="P733" s="30" t="str">
        <f>IF(AND(ISNUMBER(L733),L733&gt;0,COUNT(M733:O733)=3,MIN(M733:O733)&gt;=0),SUM(M733:O733)/L733,"")</f>
      </c>
      <c r="Q733" s="16" t="str">
        <v>沿用原计划SKU店铺</v>
      </c>
      <c r="R733" s="16" t="str">
        <v>已匹配</v>
      </c>
      <c r="S733" s="16" t="str">
        <v>停售</v>
      </c>
      <c r="T733" s="16" t="str">
        <v>32582</v>
      </c>
      <c r="U733" s="16" t="str">
        <v>粉色</v>
      </c>
      <c r="V733" s="16" t="n">
        <v>7.5</v>
      </c>
      <c r="W733" s="8" t="str">
        <v>2026-10-08 至 2026-10-17</v>
      </c>
      <c r="X733" s="8" t="str">
        <v>2026-10-08、2026-10-09、2026-10-10、2026-10-11、2026-10-14、2026-10-15、2026-10-17</v>
      </c>
      <c r="Y733" s="8" t="str">
        <v>2026-10-12 有记录的停售日；2026-10-13 有记录的停售日；2026-10-16 有记录的停售日</v>
      </c>
      <c r="Z733" s="8" t="n">
        <v>0</v>
      </c>
      <c r="AA733" s="8" t="n">
        <v>0</v>
      </c>
      <c r="AB733" s="8" t="n">
        <v>7</v>
      </c>
      <c r="AC733" s="8" t="str">
        <v>2026-09-29 至 2026-10-17</v>
      </c>
      <c r="AD733" s="8" t="str">
        <v>2026-09-29、2026-09-30、2026-10-01、2026-10-02、2026-10-03、2026-10-04、2026-10-05、2026-10-08、2026-10-09、2026-10-10、2026-10-11、2026-10-14、2026-10-15、2026-10-17</v>
      </c>
      <c r="AE733" s="8" t="str">
        <v>2026-10-06 大促；2026-10-07 大促；2026-10-12 有记录的停售日；2026-10-13 有记录的停售日；2026-10-16 有记录的停售日</v>
      </c>
      <c r="AF733" s="8" t="n">
        <v>0</v>
      </c>
      <c r="AG733" s="8" t="n">
        <v>0</v>
      </c>
      <c r="AH733" s="8" t="n">
        <v>14</v>
      </c>
      <c r="AI733" s="8" t="str">
        <v>2026-09-13 至 2026-10-17</v>
      </c>
      <c r="AJ7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3" s="8" t="str">
        <v>2026-10-06 大促；2026-10-07 大促；2026-10-12 有记录的停售日；2026-10-13 有记录的停售日；2026-10-16 有记录的停售日</v>
      </c>
      <c r="AL733" s="8" t="n">
        <v>0</v>
      </c>
      <c r="AM733" s="8" t="n">
        <v>0</v>
      </c>
      <c r="AN733" s="8" t="n">
        <v>30</v>
      </c>
      <c r="AO733" s="8" t="str">
        <v>32582 / 粉色羊京绒 / 6574</v>
      </c>
      <c r="AP733" s="11" t="n">
        <v>1.0395067087630607</v>
      </c>
      <c r="AQ733" s="11" t="n">
        <v>1.048428692110265</v>
      </c>
      <c r="AR733" s="11" t="n">
        <v>1.076979038821319</v>
      </c>
      <c r="AS733" s="11" t="n">
        <f>IF(AND(COUNT(I733:K733,AP733:AR733)=6,MIN(AP733:AR733)&gt;0),I733/7/AP733*0.5+J733/14/AQ733*0.3+K733/30/AR733*0.2,"")</f>
        <v>0</v>
      </c>
      <c r="AT733" s="8" t="n">
        <v>0</v>
      </c>
      <c r="AU733" s="8" t="n">
        <v>0</v>
      </c>
      <c r="AV733" s="8" t="n">
        <v>85</v>
      </c>
      <c r="AW733" s="11" t="n">
        <f>IF(AND(COUNT(AT733:AV733)=3,AT733&gt;=AU733,AU733&gt;=0,AV733&gt;0),(AT733-AU733)/AV733,"")</f>
        <v>0</v>
      </c>
      <c r="AX733" s="8" t="n">
        <v>0</v>
      </c>
      <c r="AY733" s="8" t="n">
        <v>0</v>
      </c>
      <c r="AZ733" s="8" t="n">
        <v>175</v>
      </c>
      <c r="BA733" s="11" t="n">
        <f>IF(AND(COUNT(AX733:AZ733)=3,AX733&gt;=AY733,AY733&gt;=0,AZ733&gt;0),(AX733-AY733)/AZ733,"")</f>
        <v>0</v>
      </c>
      <c r="BB733" s="8" t="n">
        <f>IF(COUNT(AS733,AW733,BA733)=3,1,0)</f>
        <v>1</v>
      </c>
      <c r="BC733" s="11" t="n">
        <f>IF(SUMIF($AO$11:$AO$1309,AO733,$BB$11:$BB$1309)=COUNTIF($AO$11:$AO$1309,AO733),SUMIF($AO$11:$AO$1309,AO733,$AS$11:$AS$1309),"")</f>
        <v>0.13201914161115513</v>
      </c>
      <c r="BD733" s="11" t="n">
        <f>IF(SUMIF($AO$11:$AO$1309,AO733,$BB$11:$BB$1309)=COUNTIF($AO$11:$AO$1309,AO733),SUMIF($AO$11:$AO$1309,AO733,$AW$11:$AW$1309),"")</f>
        <v>0.2418449197860963</v>
      </c>
      <c r="BE733" s="11" t="n">
        <f>IF(SUMIF($AO$11:$AO$1309,AO733,$BB$11:$BB$1309)=COUNTIF($AO$11:$AO$1309,AO733),SUMIF($AO$11:$AO$1309,AO733,$BA$11:$BA$1309),"")</f>
        <v>0.31768860353130013</v>
      </c>
      <c r="BF733" s="12" t="n">
        <f>IF(COUNT(BD733:BE733)&lt;&gt;2,"",IF(AND(BD733&gt;0,BE733&gt;0),0.7*AW733/BD733+0.3*BA733/BE733,IF(BD733&gt;0,AW733/BD733,IF(BE733&gt;0,BA733/BE733,IF(AND(ISNUMBER(BH733),BH733=0),0,"")))))</f>
        <v>0</v>
      </c>
      <c r="BG733" s="11" t="n">
        <f>IF(AND(COUNT(BN733:BU733)=8,MIN(BN733:BU733)&gt;=0),SUMPRODUCT(BN733:BQ733,BR733:BU733),"")</f>
        <v>88.27281580841549</v>
      </c>
      <c r="BH733" s="11" t="n">
        <f>IF(COUNT(BC733,BG733)=2,BC733*BG733,"")</f>
        <v>11.653701370626617</v>
      </c>
      <c r="BI733" s="11" t="n">
        <f>IF(ISNUMBER(CI733),CI733,"")</f>
        <v>0</v>
      </c>
      <c r="BJ733" s="8" t="str">
        <v>近180天本色销量57双（＜90），无有效新采购，请运营判断</v>
      </c>
      <c r="BK733" s="8" t="str">
        <v>90天：2026-07-20 至 2026-10-17；180天：2026-04-21 至 2026-10-17</v>
      </c>
      <c r="BL733" s="8" t="str">
        <v>90天：2026-10-06、2026-10-07、2026-10-12、2026-10-13、2026-10-16；180天：2026-10-06、2026-10-07、2026-10-12、2026-10-13、2026-10-16</v>
      </c>
      <c r="BM733" s="8" t="str">
        <v>2026-10：12天 × 1.0395067087630607；2026-11：30天 × 0.9890368360033146；2026-12：31天 × 0.7800796503018808；2027-01：17天 × 1.2908918272824135</v>
      </c>
      <c r="BN733" s="11" t="n">
        <v>1.0395067087630607</v>
      </c>
      <c r="BO733" s="11" t="n">
        <v>0.9890368360033146</v>
      </c>
      <c r="BP733" s="11" t="n">
        <v>0.7800796503018808</v>
      </c>
      <c r="BQ733" s="11" t="n">
        <v>1.2908918272824135</v>
      </c>
      <c r="BR733" s="8" t="n">
        <v>12</v>
      </c>
      <c r="BS733" s="8" t="n">
        <v>30</v>
      </c>
      <c r="BT733" s="8" t="n">
        <v>31</v>
      </c>
      <c r="BU733" s="8" t="n">
        <v>17</v>
      </c>
      <c r="BV733" s="11" t="n">
        <f>IF(COUNT(BC733,BF733)=2,BC733*BF733,"")</f>
        <v>0</v>
      </c>
      <c r="BW733" s="11" t="n">
        <f>IF(ISNUMBER(BN733),BN733,"")</f>
        <v>1.0395067087630607</v>
      </c>
      <c r="BX733" s="14" t="n">
        <f>IF(ISNUMBER(BR733),BR733,"")</f>
        <v>12</v>
      </c>
      <c r="BY733" s="13" t="n">
        <f>IF(AND(COUNT(BV733,BW733,BX733)=3,MIN(BV733,BW733,BX733)&gt;=0),BV733*BW733*BX733,"")</f>
        <v>0</v>
      </c>
      <c r="BZ733" s="11" t="n">
        <f>IF(ISNUMBER(BO733),BO733,"")</f>
        <v>0.9890368360033146</v>
      </c>
      <c r="CA733" s="14" t="n">
        <f>IF(ISNUMBER(BS733),BS733,"")</f>
        <v>30</v>
      </c>
      <c r="CB733" s="13" t="n">
        <f>IF(AND(COUNT(BV733,BZ733,CA733)=3,MIN(BV733,BZ733,CA733)&gt;=0),BV733*BZ733*CA733,"")</f>
        <v>0</v>
      </c>
      <c r="CC733" s="11" t="n">
        <f>IF(ISNUMBER(BP733),BP733,"")</f>
        <v>0.7800796503018808</v>
      </c>
      <c r="CD733" s="14" t="n">
        <f>IF(ISNUMBER(BT733),BT733,"")</f>
        <v>31</v>
      </c>
      <c r="CE733" s="13" t="n">
        <f>IF(AND(COUNT(BV733,CC733,CD733)=3,MIN(BV733,CC733,CD733)&gt;=0),BV733*CC733*CD733,"")</f>
        <v>0</v>
      </c>
      <c r="CF733" s="11" t="n">
        <f>IF(ISNUMBER(BQ733),BQ733,"")</f>
        <v>1.2908918272824135</v>
      </c>
      <c r="CG733" s="14" t="n">
        <f>IF(ISNUMBER(BU733),BU733,"")</f>
        <v>17</v>
      </c>
      <c r="CH733" s="13" t="n">
        <f>IF(AND(COUNT(BV733,CF733,CG733)=3,MIN(BV733,CF733,CG733)&gt;=0),BV733*CF733*CG733,"")</f>
        <v>0</v>
      </c>
      <c r="CI733" s="13" t="n">
        <f>IF(COUNT(BY733,CB733,CE733,CH733)=4,SUM(BY733,CB733,CE733,CH733),"")</f>
        <v>0</v>
      </c>
    </row>
    <row r="734" ht="72" customHeight="1">
      <c r="A734" s="16" t="str">
        <v>32582-PK-40</v>
      </c>
      <c r="B734" s="16" t="str">
        <v>3店-SANDIEX-US</v>
      </c>
      <c r="C734" s="16" t="str">
        <v>徐新怡</v>
      </c>
      <c r="D734" s="26" t="n">
        <f>IF(NOT(ISNUMBER(E734)),"",IF(OR(E734&lt;=0,L734=0),0,IF(OR(NOT(ISNUMBER(F734)),F734&lt;0),"",MIN(E734,INT(F734)))))</f>
        <v>0</v>
      </c>
      <c r="E734" s="27" t="n">
        <f>IF(OR(NOT(ISNUMBER(L734)),COUNT(M734:O734)&lt;&gt;3,MIN(M734:O734)&lt;0),"",ROUNDUP(ROUND(BI734-SUM(M734:O734),10),0))</f>
        <v>-20</v>
      </c>
      <c r="F734" s="28" t="n">
        <v>0</v>
      </c>
      <c r="G734" s="28" t="n">
        <f>IF(AND(ISNUMBER(D734),ISNUMBER(E734)),IF(OR(E734&lt;=0,L734=0),0,E734-D734),"")</f>
        <v>0</v>
      </c>
      <c r="H734" s="16" t="str">
        <f>IF(NOT(ISNUMBER(E734)),"销量或海外库存待补",IF(OR(E734&lt;=0,L734=0),IF(L734=0,"零日销，本批不发","本批无需补货"),IF(NOT(ISNUMBER(D734)),"国内库存待补",IF(D734=0,"国内无可用库存",IF(G734&gt;0,"先发国内现货","按建议量发货")))))</f>
        <v>本批无需补货</v>
      </c>
      <c r="I734" s="28" t="n">
        <f>IF(AND(COUNT(Z734,AA734,AB734)=3,Z734&gt;=AA734,AA734&gt;=0,AB734=7),Z734-AA734,"")</f>
        <v>0</v>
      </c>
      <c r="J734" s="28" t="n">
        <f>IF(AND(COUNT(AF734,AG734,AH734)=3,AF734&gt;=AG734,AG734&gt;=0,AH734=14),AF734-AG734,"")</f>
        <v>1</v>
      </c>
      <c r="K734" s="28" t="n">
        <f>IF(AND(COUNT(AL734,AM734,AN734)=3,AL734&gt;=AM734,AM734&gt;=0,AN734=30),AL734-AM734,"")</f>
        <v>1</v>
      </c>
      <c r="L734" s="29" t="n">
        <f>IF(ISNUMBER(BI734),BI734/90,"")</f>
        <v>0.011265619563148498</v>
      </c>
      <c r="M734" s="28" t="n">
        <v>21</v>
      </c>
      <c r="N734" s="28" t="n">
        <v>0</v>
      </c>
      <c r="O734" s="28" t="n">
        <v>0</v>
      </c>
      <c r="P734" s="30" t="n">
        <f>IF(AND(ISNUMBER(L734),L734&gt;0,COUNT(M734:O734)=3,MIN(M734:O734)&gt;=0),SUM(M734:O734)/L734,"")</f>
        <v>1864.0785695173033</v>
      </c>
      <c r="Q734" s="16" t="str">
        <v>沿用原计划SKU店铺</v>
      </c>
      <c r="R734" s="16" t="str">
        <v>已匹配</v>
      </c>
      <c r="S734" s="16" t="str">
        <v>在售</v>
      </c>
      <c r="T734" s="16" t="str">
        <v>32582</v>
      </c>
      <c r="U734" s="16" t="str">
        <v>粉色</v>
      </c>
      <c r="V734" s="16" t="n">
        <v>9</v>
      </c>
      <c r="W734" s="8" t="str">
        <v>2026-10-11 至 2026-10-17</v>
      </c>
      <c r="X734" s="8" t="str">
        <v>2026-10-11、2026-10-12、2026-10-13、2026-10-14、2026-10-15、2026-10-16、2026-10-17</v>
      </c>
      <c r="Y734" s="8" t="str">
        <v>无</v>
      </c>
      <c r="Z734" s="8" t="n">
        <v>0</v>
      </c>
      <c r="AA734" s="8" t="n">
        <v>0</v>
      </c>
      <c r="AB734" s="8" t="n">
        <v>7</v>
      </c>
      <c r="AC734" s="8" t="str">
        <v>2026-10-02 至 2026-10-17</v>
      </c>
      <c r="AD734" s="8" t="str">
        <v>2026-10-02、2026-10-03、2026-10-04、2026-10-05、2026-10-08、2026-10-09、2026-10-10、2026-10-11、2026-10-12、2026-10-13、2026-10-14、2026-10-15、2026-10-16、2026-10-17</v>
      </c>
      <c r="AE734" s="8" t="str">
        <v>2026-10-06 大促；2026-10-07 大促</v>
      </c>
      <c r="AF734" s="8" t="n">
        <v>2</v>
      </c>
      <c r="AG734" s="8" t="n">
        <v>1</v>
      </c>
      <c r="AH734" s="8" t="n">
        <v>14</v>
      </c>
      <c r="AI734" s="8" t="str">
        <v>2026-09-16 至 2026-10-17</v>
      </c>
      <c r="AJ7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34" s="8" t="str">
        <v>2026-10-06 大促；2026-10-07 大促</v>
      </c>
      <c r="AL734" s="8" t="n">
        <v>2</v>
      </c>
      <c r="AM734" s="8" t="n">
        <v>1</v>
      </c>
      <c r="AN734" s="8" t="n">
        <v>30</v>
      </c>
      <c r="AO734" s="8" t="str">
        <v>32582 / 粉色羊京绒 / 6574</v>
      </c>
      <c r="AP734" s="11" t="n">
        <v>1.0395067087630607</v>
      </c>
      <c r="AQ734" s="11" t="n">
        <v>1.0395067087630607</v>
      </c>
      <c r="AR734" s="11" t="n">
        <v>1.0707336504782758</v>
      </c>
      <c r="AS734" s="11" t="n">
        <f>IF(AND(COUNT(I734:K734,AP734:AR734)=6,MIN(AP734:AR734)&gt;0),I734/7/AP734*0.5+J734/14/AQ734*0.3+K734/30/AR734*0.2,"")</f>
        <v>0.026840433818602245</v>
      </c>
      <c r="AT734" s="8" t="n">
        <v>3</v>
      </c>
      <c r="AU734" s="8" t="n">
        <v>1</v>
      </c>
      <c r="AV734" s="8" t="n">
        <v>88</v>
      </c>
      <c r="AW734" s="11" t="n">
        <f>IF(AND(COUNT(AT734:AV734)=3,AT734&gt;=AU734,AU734&gt;=0,AV734&gt;0),(AT734-AU734)/AV734,"")</f>
        <v>0.022727272727272728</v>
      </c>
      <c r="AX734" s="8" t="n">
        <v>5</v>
      </c>
      <c r="AY734" s="8" t="n">
        <v>1</v>
      </c>
      <c r="AZ734" s="8" t="n">
        <v>178</v>
      </c>
      <c r="BA734" s="11" t="n">
        <f>IF(AND(COUNT(AX734:AZ734)=3,AX734&gt;=AY734,AY734&gt;=0,AZ734&gt;0),(AX734-AY734)/AZ734,"")</f>
        <v>0.02247191011235955</v>
      </c>
      <c r="BB734" s="8" t="n">
        <f>IF(COUNT(AS734,AW734,BA734)=3,1,0)</f>
        <v>1</v>
      </c>
      <c r="BC734" s="11" t="n">
        <f>IF(SUMIF($AO$11:$AO$1309,AO734,$BB$11:$BB$1309)=COUNTIF($AO$11:$AO$1309,AO734),SUMIF($AO$11:$AO$1309,AO734,$AS$11:$AS$1309),"")</f>
        <v>0.13201914161115513</v>
      </c>
      <c r="BD734" s="11" t="n">
        <f>IF(SUMIF($AO$11:$AO$1309,AO734,$BB$11:$BB$1309)=COUNTIF($AO$11:$AO$1309,AO734),SUMIF($AO$11:$AO$1309,AO734,$AW$11:$AW$1309),"")</f>
        <v>0.2418449197860963</v>
      </c>
      <c r="BE734" s="11" t="n">
        <f>IF(SUMIF($AO$11:$AO$1309,AO734,$BB$11:$BB$1309)=COUNTIF($AO$11:$AO$1309,AO734),SUMIF($AO$11:$AO$1309,AO734,$BA$11:$BA$1309),"")</f>
        <v>0.31768860353130013</v>
      </c>
      <c r="BF734" s="12" t="n">
        <f>IF(COUNT(BD734:BE734)&lt;&gt;2,"",IF(AND(BD734&gt;0,BE734&gt;0),0.7*AW734/BD734+0.3*BA734/BE734,IF(BD734&gt;0,AW734/BD734,IF(BE734&gt;0,BA734/BE734,IF(AND(ISNUMBER(BH734),BH734=0),0,"")))))</f>
        <v>0.08700289534095441</v>
      </c>
      <c r="BG734" s="11" t="n">
        <f>IF(AND(COUNT(BN734:BU734)=8,MIN(BN734:BU734)&gt;=0),SUMPRODUCT(BN734:BQ734,BR734:BU734),"")</f>
        <v>88.27281580841549</v>
      </c>
      <c r="BH734" s="11" t="n">
        <f>IF(COUNT(BC734,BG734)=2,BC734*BG734,"")</f>
        <v>11.653701370626617</v>
      </c>
      <c r="BI734" s="11" t="n">
        <f>IF(ISNUMBER(CI734),CI734,"")</f>
        <v>1.0139057606833648</v>
      </c>
      <c r="BJ734" s="8" t="str">
        <v>近180天本色销量57双（＜90），无有效新采购，请运营判断</v>
      </c>
      <c r="BK734" s="8" t="str">
        <v>90天：2026-07-20 至 2026-10-17；180天：2026-04-21 至 2026-10-17</v>
      </c>
      <c r="BL734" s="8" t="str">
        <v>90天：2026-10-06、2026-10-07；180天：2026-10-06、2026-10-07</v>
      </c>
      <c r="BM734" s="8" t="str">
        <v>2026-10：12天 × 1.0395067087630607；2026-11：30天 × 0.9890368360033146；2026-12：31天 × 0.7800796503018808；2027-01：17天 × 1.2908918272824135</v>
      </c>
      <c r="BN734" s="11" t="n">
        <v>1.0395067087630607</v>
      </c>
      <c r="BO734" s="11" t="n">
        <v>0.9890368360033146</v>
      </c>
      <c r="BP734" s="11" t="n">
        <v>0.7800796503018808</v>
      </c>
      <c r="BQ734" s="11" t="n">
        <v>1.2908918272824135</v>
      </c>
      <c r="BR734" s="8" t="n">
        <v>12</v>
      </c>
      <c r="BS734" s="8" t="n">
        <v>30</v>
      </c>
      <c r="BT734" s="8" t="n">
        <v>31</v>
      </c>
      <c r="BU734" s="8" t="n">
        <v>17</v>
      </c>
      <c r="BV734" s="11" t="n">
        <f>IF(COUNT(BC734,BF734)=2,BC734*BF734,"")</f>
        <v>0.01148604756059797</v>
      </c>
      <c r="BW734" s="11" t="n">
        <f>IF(ISNUMBER(BN734),BN734,"")</f>
        <v>1.0395067087630607</v>
      </c>
      <c r="BX734" s="14" t="n">
        <f>IF(ISNUMBER(BR734),BR734,"")</f>
        <v>12</v>
      </c>
      <c r="BY734" s="13" t="n">
        <f>IF(AND(COUNT(BV734,BW734,BX734)=3,MIN(BV734,BW734,BX734)&gt;=0),BV734*BW734*BX734,"")</f>
        <v>0.14327788195695815</v>
      </c>
      <c r="BZ734" s="11" t="n">
        <f>IF(ISNUMBER(BO734),BO734,"")</f>
        <v>0.9890368360033146</v>
      </c>
      <c r="CA734" s="14" t="n">
        <f>IF(ISNUMBER(BS734),BS734,"")</f>
        <v>30</v>
      </c>
      <c r="CB734" s="13" t="n">
        <f>IF(AND(COUNT(BV734,BZ734,CA734)=3,MIN(BV734,BZ734,CA734)&gt;=0),BV734*BZ734*CA734,"")</f>
        <v>0.3408037241255222</v>
      </c>
      <c r="CC734" s="11" t="n">
        <f>IF(ISNUMBER(BP734),BP734,"")</f>
        <v>0.7800796503018808</v>
      </c>
      <c r="CD734" s="14" t="n">
        <f>IF(ISNUMBER(BT734),BT734,"")</f>
        <v>31</v>
      </c>
      <c r="CE734" s="13" t="n">
        <f>IF(AND(COUNT(BV734,CC734,CD734)=3,MIN(BV734,CC734,CD734)&gt;=0),BV734*CC734*CD734,"")</f>
        <v>0.2777609908970831</v>
      </c>
      <c r="CF734" s="11" t="n">
        <f>IF(ISNUMBER(BQ734),BQ734,"")</f>
        <v>1.2908918272824135</v>
      </c>
      <c r="CG734" s="14" t="n">
        <f>IF(ISNUMBER(BU734),BU734,"")</f>
        <v>17</v>
      </c>
      <c r="CH734" s="13" t="n">
        <f>IF(AND(COUNT(BV734,CF734,CG734)=3,MIN(BV734,CF734,CG734)&gt;=0),BV734*CF734*CG734,"")</f>
        <v>0.2520631637038014</v>
      </c>
      <c r="CI734" s="13" t="n">
        <f>IF(COUNT(BY734,CB734,CE734,CH734)=4,SUM(BY734,CB734,CE734,CH734),"")</f>
        <v>1.0139057606833648</v>
      </c>
    </row>
    <row r="735" ht="72" customHeight="1">
      <c r="A735" s="16" t="str">
        <v>32582-PK-40.5</v>
      </c>
      <c r="B735" s="16" t="str">
        <v>3店-SANDIEX-US</v>
      </c>
      <c r="C735" s="16" t="str">
        <v>徐新怡</v>
      </c>
      <c r="D735" s="26" t="n">
        <f>IF(NOT(ISNUMBER(E735)),"",IF(OR(E735&lt;=0,L735=0),0,IF(OR(NOT(ISNUMBER(F735)),F735&lt;0),"",MIN(E735,INT(F735)))))</f>
        <v>0</v>
      </c>
      <c r="E735" s="27" t="n">
        <f>IF(OR(NOT(ISNUMBER(L735)),COUNT(M735:O735)&lt;&gt;3,MIN(M735:O735)&lt;0),"",ROUNDUP(ROUND(BI735-SUM(M735:O735),10),0))</f>
        <v>-11</v>
      </c>
      <c r="F735" s="28" t="n">
        <v>0</v>
      </c>
      <c r="G735" s="28" t="n">
        <f>IF(AND(ISNUMBER(D735),ISNUMBER(E735)),IF(OR(E735&lt;=0,L735=0),0,E735-D735),"")</f>
        <v>0</v>
      </c>
      <c r="H735" s="16" t="str">
        <f>IF(NOT(ISNUMBER(E735)),"销量或海外库存待补",IF(OR(E735&lt;=0,L735=0),IF(L735=0,"零日销，本批不发","本批无需补货"),IF(NOT(ISNUMBER(D735)),"国内库存待补",IF(D735=0,"国内无可用库存",IF(G735&gt;0,"先发国内现货","按建议量发货")))))</f>
        <v>本批无需补货</v>
      </c>
      <c r="I735" s="28" t="n">
        <f>IF(AND(COUNT(Z735,AA735,AB735)=3,Z735&gt;=AA735,AA735&gt;=0,AB735=7),Z735-AA735,"")</f>
        <v>0</v>
      </c>
      <c r="J735" s="28" t="n">
        <f>IF(AND(COUNT(AF735,AG735,AH735)=3,AF735&gt;=AG735,AG735&gt;=0,AH735=14),AF735-AG735,"")</f>
        <v>0</v>
      </c>
      <c r="K735" s="28" t="n">
        <f>IF(AND(COUNT(AL735,AM735,AN735)=3,AL735&gt;=AM735,AM735&gt;=0,AN735=30),AL735-AM735,"")</f>
        <v>1</v>
      </c>
      <c r="L735" s="29" t="n">
        <f>IF(ISNUMBER(BI735),BI735/90,"")</f>
        <v>0.021844295667707785</v>
      </c>
      <c r="M735" s="28" t="n">
        <v>12</v>
      </c>
      <c r="N735" s="28" t="n">
        <v>0</v>
      </c>
      <c r="O735" s="28" t="n">
        <v>0</v>
      </c>
      <c r="P735" s="30" t="n">
        <f>IF(AND(ISNUMBER(L735),L735&gt;0,COUNT(M735:O735)=3,MIN(M735:O735)&gt;=0),SUM(M735:O735)/L735,"")</f>
        <v>549.3425003278768</v>
      </c>
      <c r="Q735" s="16" t="str">
        <v>沿用原计划SKU店铺</v>
      </c>
      <c r="R735" s="16" t="str">
        <v>已匹配</v>
      </c>
      <c r="S735" s="16" t="str">
        <v>在售</v>
      </c>
      <c r="T735" s="16" t="str">
        <v>32582</v>
      </c>
      <c r="U735" s="16" t="str">
        <v>粉色</v>
      </c>
      <c r="V735" s="16" t="n">
        <v>9.5</v>
      </c>
      <c r="W735" s="8" t="str">
        <v>2026-10-11 至 2026-10-17</v>
      </c>
      <c r="X735" s="8" t="str">
        <v>2026-10-11、2026-10-12、2026-10-13、2026-10-14、2026-10-15、2026-10-16、2026-10-17</v>
      </c>
      <c r="Y735" s="8" t="str">
        <v>无</v>
      </c>
      <c r="Z735" s="8" t="n">
        <v>0</v>
      </c>
      <c r="AA735" s="8" t="n">
        <v>0</v>
      </c>
      <c r="AB735" s="8" t="n">
        <v>7</v>
      </c>
      <c r="AC735" s="8" t="str">
        <v>2026-10-02 至 2026-10-17</v>
      </c>
      <c r="AD735" s="8" t="str">
        <v>2026-10-02、2026-10-03、2026-10-04、2026-10-05、2026-10-08、2026-10-09、2026-10-10、2026-10-11、2026-10-12、2026-10-13、2026-10-14、2026-10-15、2026-10-16、2026-10-17</v>
      </c>
      <c r="AE735" s="8" t="str">
        <v>2026-10-06 大促；2026-10-07 大促</v>
      </c>
      <c r="AF735" s="8" t="n">
        <v>0</v>
      </c>
      <c r="AG735" s="8" t="n">
        <v>0</v>
      </c>
      <c r="AH735" s="8" t="n">
        <v>14</v>
      </c>
      <c r="AI735" s="8" t="str">
        <v>2026-09-16 至 2026-10-17</v>
      </c>
      <c r="AJ7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35" s="8" t="str">
        <v>2026-10-06 大促；2026-10-07 大促</v>
      </c>
      <c r="AL735" s="8" t="n">
        <v>1</v>
      </c>
      <c r="AM735" s="8" t="n">
        <v>0</v>
      </c>
      <c r="AN735" s="8" t="n">
        <v>30</v>
      </c>
      <c r="AO735" s="8" t="str">
        <v>32582 / 粉色羊京绒 / 6574</v>
      </c>
      <c r="AP735" s="11" t="n">
        <v>1.0395067087630607</v>
      </c>
      <c r="AQ735" s="11" t="n">
        <v>1.0395067087630607</v>
      </c>
      <c r="AR735" s="11" t="n">
        <v>1.0707336504782758</v>
      </c>
      <c r="AS735" s="11" t="n">
        <f>IF(AND(COUNT(I735:K735,AP735:AR735)=6,MIN(AP735:AR735)&gt;0),I735/7/AP735*0.5+J735/14/AQ735*0.3+K735/30/AR735*0.2,"")</f>
        <v>0.006226260530514565</v>
      </c>
      <c r="AT735" s="8" t="n">
        <v>4</v>
      </c>
      <c r="AU735" s="8" t="n">
        <v>0</v>
      </c>
      <c r="AV735" s="8" t="n">
        <v>88</v>
      </c>
      <c r="AW735" s="11" t="n">
        <f>IF(AND(COUNT(AT735:AV735)=3,AT735&gt;=AU735,AU735&gt;=0,AV735&gt;0),(AT735-AU735)/AV735,"")</f>
        <v>0.045454545454545456</v>
      </c>
      <c r="AX735" s="8" t="n">
        <v>7</v>
      </c>
      <c r="AY735" s="8" t="n">
        <v>0</v>
      </c>
      <c r="AZ735" s="8" t="n">
        <v>178</v>
      </c>
      <c r="BA735" s="11" t="n">
        <f>IF(AND(COUNT(AX735:AZ735)=3,AX735&gt;=AY735,AY735&gt;=0,AZ735&gt;0),(AX735-AY735)/AZ735,"")</f>
        <v>0.03932584269662921</v>
      </c>
      <c r="BB735" s="8" t="n">
        <f>IF(COUNT(AS735,AW735,BA735)=3,1,0)</f>
        <v>1</v>
      </c>
      <c r="BC735" s="11" t="n">
        <f>IF(SUMIF($AO$11:$AO$1309,AO735,$BB$11:$BB$1309)=COUNTIF($AO$11:$AO$1309,AO735),SUMIF($AO$11:$AO$1309,AO735,$AS$11:$AS$1309),"")</f>
        <v>0.13201914161115513</v>
      </c>
      <c r="BD735" s="11" t="n">
        <f>IF(SUMIF($AO$11:$AO$1309,AO735,$BB$11:$BB$1309)=COUNTIF($AO$11:$AO$1309,AO735),SUMIF($AO$11:$AO$1309,AO735,$AW$11:$AW$1309),"")</f>
        <v>0.2418449197860963</v>
      </c>
      <c r="BE735" s="11" t="n">
        <f>IF(SUMIF($AO$11:$AO$1309,AO735,$BB$11:$BB$1309)=COUNTIF($AO$11:$AO$1309,AO735),SUMIF($AO$11:$AO$1309,AO735,$BA$11:$BA$1309),"")</f>
        <v>0.31768860353130013</v>
      </c>
      <c r="BF735" s="12" t="n">
        <f>IF(COUNT(BD735:BE735)&lt;&gt;2,"",IF(AND(BD735&gt;0,BE735&gt;0),0.7*AW735/BD735+0.3*BA735/BE735,IF(BD735&gt;0,AW735/BD735,IF(BE735&gt;0,BA735/BE735,IF(AND(ISNUMBER(BH735),BH735=0),0,"")))))</f>
        <v>0.16870061687430982</v>
      </c>
      <c r="BG735" s="11" t="n">
        <f>IF(AND(COUNT(BN735:BU735)=8,MIN(BN735:BU735)&gt;=0),SUMPRODUCT(BN735:BQ735,BR735:BU735),"")</f>
        <v>88.27281580841549</v>
      </c>
      <c r="BH735" s="11" t="n">
        <f>IF(COUNT(BC735,BG735)=2,BC735*BG735,"")</f>
        <v>11.653701370626617</v>
      </c>
      <c r="BI735" s="11" t="n">
        <f>IF(ISNUMBER(CI735),CI735,"")</f>
        <v>1.9659866100937005</v>
      </c>
      <c r="BJ735" s="8" t="str">
        <v>近180天本色销量57双（＜90），无有效新采购，请运营判断</v>
      </c>
      <c r="BK735" s="8" t="str">
        <v>90天：2026-07-20 至 2026-10-17；180天：2026-04-21 至 2026-10-17</v>
      </c>
      <c r="BL735" s="8" t="str">
        <v>90天：2026-10-06、2026-10-07；180天：2026-10-06、2026-10-07</v>
      </c>
      <c r="BM735" s="8" t="str">
        <v>2026-10：12天 × 1.0395067087630607；2026-11：30天 × 0.9890368360033146；2026-12：31天 × 0.7800796503018808；2027-01：17天 × 1.2908918272824135</v>
      </c>
      <c r="BN735" s="11" t="n">
        <v>1.0395067087630607</v>
      </c>
      <c r="BO735" s="11" t="n">
        <v>0.9890368360033146</v>
      </c>
      <c r="BP735" s="11" t="n">
        <v>0.7800796503018808</v>
      </c>
      <c r="BQ735" s="11" t="n">
        <v>1.2908918272824135</v>
      </c>
      <c r="BR735" s="8" t="n">
        <v>12</v>
      </c>
      <c r="BS735" s="8" t="n">
        <v>30</v>
      </c>
      <c r="BT735" s="8" t="n">
        <v>31</v>
      </c>
      <c r="BU735" s="8" t="n">
        <v>17</v>
      </c>
      <c r="BV735" s="11" t="n">
        <f>IF(COUNT(BC735,BF735)=2,BC735*BF735,"")</f>
        <v>0.022271710629018737</v>
      </c>
      <c r="BW735" s="11" t="n">
        <f>IF(ISNUMBER(BN735),BN735,"")</f>
        <v>1.0395067087630607</v>
      </c>
      <c r="BX735" s="14" t="n">
        <f>IF(ISNUMBER(BR735),BR735,"")</f>
        <v>12</v>
      </c>
      <c r="BY735" s="13" t="n">
        <f>IF(AND(COUNT(BV735,BW735,BX735)=3,MIN(BV735,BW735,BX735)&gt;=0),BV735*BW735*BX735,"")</f>
        <v>0.27781911137393456</v>
      </c>
      <c r="BZ735" s="11" t="n">
        <f>IF(ISNUMBER(BO735),BO735,"")</f>
        <v>0.9890368360033146</v>
      </c>
      <c r="CA735" s="14" t="n">
        <f>IF(ISNUMBER(BS735),BS735,"")</f>
        <v>30</v>
      </c>
      <c r="CB735" s="13" t="n">
        <f>IF(AND(COUNT(BV735,BZ735,CA735)=3,MIN(BV735,BZ735,CA735)&gt;=0),BV735*BZ735*CA735,"")</f>
        <v>0.6608262663871824</v>
      </c>
      <c r="CC735" s="11" t="n">
        <f>IF(ISNUMBER(BP735),BP735,"")</f>
        <v>0.7800796503018808</v>
      </c>
      <c r="CD735" s="14" t="n">
        <f>IF(ISNUMBER(BT735),BT735,"")</f>
        <v>31</v>
      </c>
      <c r="CE735" s="13" t="n">
        <f>IF(AND(COUNT(BV735,CC735,CD735)=3,MIN(BV735,CC735,CD735)&gt;=0),BV735*CC735*CD735,"")</f>
        <v>0.538584955412398</v>
      </c>
      <c r="CF735" s="11" t="n">
        <f>IF(ISNUMBER(BQ735),BQ735,"")</f>
        <v>1.2908918272824135</v>
      </c>
      <c r="CG735" s="14" t="n">
        <f>IF(ISNUMBER(BU735),BU735,"")</f>
        <v>17</v>
      </c>
      <c r="CH735" s="13" t="n">
        <f>IF(AND(COUNT(BV735,CF735,CG735)=3,MIN(BV735,CF735,CG735)&gt;=0),BV735*CF735*CG735,"")</f>
        <v>0.48875627692018553</v>
      </c>
      <c r="CI735" s="13" t="n">
        <f>IF(COUNT(BY735,CB735,CE735,CH735)=4,SUM(BY735,CB735,CE735,CH735),"")</f>
        <v>1.9659866100937005</v>
      </c>
    </row>
    <row r="736" ht="72" customHeight="1">
      <c r="A736" s="16" t="str">
        <v>32582-PK-41</v>
      </c>
      <c r="B736" s="16" t="str">
        <v>3店-SANDIEX-US</v>
      </c>
      <c r="C736" s="16" t="str">
        <v>徐新怡</v>
      </c>
      <c r="D736" s="26" t="n">
        <f>IF(NOT(ISNUMBER(E736)),"",IF(OR(E736&lt;=0,L736=0),0,IF(OR(NOT(ISNUMBER(F736)),F736&lt;0),"",MIN(E736,INT(F736)))))</f>
        <v>0</v>
      </c>
      <c r="E736" s="27" t="n">
        <f>IF(OR(NOT(ISNUMBER(L736)),COUNT(M736:O736)&lt;&gt;3,MIN(M736:O736)&lt;0),"",ROUNDUP(ROUND(BI736-SUM(M736:O736),10),0))</f>
        <v>0</v>
      </c>
      <c r="F736" s="28"/>
      <c r="G736" s="28" t="n">
        <f>IF(AND(ISNUMBER(D736),ISNUMBER(E736)),IF(OR(E736&lt;=0,L736=0),0,E736-D736),"")</f>
        <v>0</v>
      </c>
      <c r="H736" s="16" t="str">
        <f>IF(NOT(ISNUMBER(E736)),"销量或海外库存待补",IF(OR(E736&lt;=0,L736=0),IF(L736=0,"零日销，本批不发","本批无需补货"),IF(NOT(ISNUMBER(D736)),"国内库存待补",IF(D736=0,"国内无可用库存",IF(G736&gt;0,"先发国内现货","按建议量发货")))))</f>
        <v>零日销，本批不发</v>
      </c>
      <c r="I736" s="28" t="n">
        <f>IF(AND(COUNT(Z736,AA736,AB736)=3,Z736&gt;=AA736,AA736&gt;=0,AB736=7),Z736-AA736,"")</f>
        <v>0</v>
      </c>
      <c r="J736" s="28" t="n">
        <f>IF(AND(COUNT(AF736,AG736,AH736)=3,AF736&gt;=AG736,AG736&gt;=0,AH736=14),AF736-AG736,"")</f>
        <v>0</v>
      </c>
      <c r="K736" s="28" t="n">
        <f>IF(AND(COUNT(AL736,AM736,AN736)=3,AL736&gt;=AM736,AM736&gt;=0,AN736=30),AL736-AM736,"")</f>
        <v>0</v>
      </c>
      <c r="L736" s="29" t="n">
        <f>IF(ISNUMBER(BI736),BI736/90,"")</f>
        <v>0</v>
      </c>
      <c r="M736" s="28" t="n">
        <v>0</v>
      </c>
      <c r="N736" s="28" t="n">
        <v>0</v>
      </c>
      <c r="O736" s="28" t="n">
        <v>0</v>
      </c>
      <c r="P736" s="30" t="str">
        <f>IF(AND(ISNUMBER(L736),L736&gt;0,COUNT(M736:O736)=3,MIN(M736:O736)&gt;=0),SUM(M736:O736)/L736,"")</f>
      </c>
      <c r="Q736" s="16" t="str">
        <v>沿用原计划SKU店铺</v>
      </c>
      <c r="R736" s="16" t="str">
        <v>未匹配</v>
      </c>
      <c r="S736" s="16" t="str">
        <v>停售</v>
      </c>
      <c r="T736" s="16" t="str">
        <v>32582</v>
      </c>
      <c r="U736" s="16" t="str">
        <v>粉色</v>
      </c>
      <c r="V736" s="16" t="n">
        <v>10</v>
      </c>
      <c r="W736" s="8" t="str">
        <v>2026-10-08 至 2026-10-17</v>
      </c>
      <c r="X736" s="8" t="str">
        <v>2026-10-08、2026-10-09、2026-10-10、2026-10-11、2026-10-14、2026-10-15、2026-10-17</v>
      </c>
      <c r="Y736" s="8" t="str">
        <v>2026-10-12 有记录的停售日；2026-10-13 有记录的停售日；2026-10-16 有记录的停售日</v>
      </c>
      <c r="Z736" s="8" t="n">
        <v>0</v>
      </c>
      <c r="AA736" s="8" t="n">
        <v>0</v>
      </c>
      <c r="AB736" s="8" t="n">
        <v>7</v>
      </c>
      <c r="AC736" s="8" t="str">
        <v>2026-09-29 至 2026-10-17</v>
      </c>
      <c r="AD736" s="8" t="str">
        <v>2026-09-29、2026-09-30、2026-10-01、2026-10-02、2026-10-03、2026-10-04、2026-10-05、2026-10-08、2026-10-09、2026-10-10、2026-10-11、2026-10-14、2026-10-15、2026-10-17</v>
      </c>
      <c r="AE736" s="8" t="str">
        <v>2026-10-06 大促；2026-10-07 大促；2026-10-12 有记录的停售日；2026-10-13 有记录的停售日；2026-10-16 有记录的停售日</v>
      </c>
      <c r="AF736" s="8" t="n">
        <v>0</v>
      </c>
      <c r="AG736" s="8" t="n">
        <v>0</v>
      </c>
      <c r="AH736" s="8" t="n">
        <v>14</v>
      </c>
      <c r="AI736" s="8" t="str">
        <v>2026-09-13 至 2026-10-17</v>
      </c>
      <c r="AJ73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6" s="8" t="str">
        <v>2026-10-06 大促；2026-10-07 大促；2026-10-12 有记录的停售日；2026-10-13 有记录的停售日；2026-10-16 有记录的停售日</v>
      </c>
      <c r="AL736" s="8" t="n">
        <v>0</v>
      </c>
      <c r="AM736" s="8" t="n">
        <v>0</v>
      </c>
      <c r="AN736" s="8" t="n">
        <v>30</v>
      </c>
      <c r="AO736" s="8" t="str">
        <v>32582 / 粉色羊京绒 / 6574</v>
      </c>
      <c r="AP736" s="11" t="n">
        <v>1.0395067087630607</v>
      </c>
      <c r="AQ736" s="11" t="n">
        <v>1.048428692110265</v>
      </c>
      <c r="AR736" s="11" t="n">
        <v>1.076979038821319</v>
      </c>
      <c r="AS736" s="11" t="n">
        <f>IF(AND(COUNT(I736:K736,AP736:AR736)=6,MIN(AP736:AR736)&gt;0),I736/7/AP736*0.5+J736/14/AQ736*0.3+K736/30/AR736*0.2,"")</f>
        <v>0</v>
      </c>
      <c r="AT736" s="8" t="n">
        <v>0</v>
      </c>
      <c r="AU736" s="8" t="n">
        <v>0</v>
      </c>
      <c r="AV736" s="8" t="n">
        <v>85</v>
      </c>
      <c r="AW736" s="11" t="n">
        <f>IF(AND(COUNT(AT736:AV736)=3,AT736&gt;=AU736,AU736&gt;=0,AV736&gt;0),(AT736-AU736)/AV736,"")</f>
        <v>0</v>
      </c>
      <c r="AX736" s="8" t="n">
        <v>0</v>
      </c>
      <c r="AY736" s="8" t="n">
        <v>0</v>
      </c>
      <c r="AZ736" s="8" t="n">
        <v>175</v>
      </c>
      <c r="BA736" s="11" t="n">
        <f>IF(AND(COUNT(AX736:AZ736)=3,AX736&gt;=AY736,AY736&gt;=0,AZ736&gt;0),(AX736-AY736)/AZ736,"")</f>
        <v>0</v>
      </c>
      <c r="BB736" s="8" t="n">
        <f>IF(COUNT(AS736,AW736,BA736)=3,1,0)</f>
        <v>1</v>
      </c>
      <c r="BC736" s="11" t="n">
        <f>IF(SUMIF($AO$11:$AO$1309,AO736,$BB$11:$BB$1309)=COUNTIF($AO$11:$AO$1309,AO736),SUMIF($AO$11:$AO$1309,AO736,$AS$11:$AS$1309),"")</f>
        <v>0.13201914161115513</v>
      </c>
      <c r="BD736" s="11" t="n">
        <f>IF(SUMIF($AO$11:$AO$1309,AO736,$BB$11:$BB$1309)=COUNTIF($AO$11:$AO$1309,AO736),SUMIF($AO$11:$AO$1309,AO736,$AW$11:$AW$1309),"")</f>
        <v>0.2418449197860963</v>
      </c>
      <c r="BE736" s="11" t="n">
        <f>IF(SUMIF($AO$11:$AO$1309,AO736,$BB$11:$BB$1309)=COUNTIF($AO$11:$AO$1309,AO736),SUMIF($AO$11:$AO$1309,AO736,$BA$11:$BA$1309),"")</f>
        <v>0.31768860353130013</v>
      </c>
      <c r="BF736" s="12" t="n">
        <f>IF(COUNT(BD736:BE736)&lt;&gt;2,"",IF(AND(BD736&gt;0,BE736&gt;0),0.7*AW736/BD736+0.3*BA736/BE736,IF(BD736&gt;0,AW736/BD736,IF(BE736&gt;0,BA736/BE736,IF(AND(ISNUMBER(BH736),BH736=0),0,"")))))</f>
        <v>0</v>
      </c>
      <c r="BG736" s="11" t="n">
        <f>IF(AND(COUNT(BN736:BU736)=8,MIN(BN736:BU736)&gt;=0),SUMPRODUCT(BN736:BQ736,BR736:BU736),"")</f>
        <v>88.27281580841549</v>
      </c>
      <c r="BH736" s="11" t="n">
        <f>IF(COUNT(BC736,BG736)=2,BC736*BG736,"")</f>
        <v>11.653701370626617</v>
      </c>
      <c r="BI736" s="11" t="n">
        <f>IF(ISNUMBER(CI736),CI736,"")</f>
        <v>0</v>
      </c>
      <c r="BJ736" s="8" t="str">
        <v>近180天本色销量57双（＜90），无有效新采购，请运营判断</v>
      </c>
      <c r="BK736" s="8" t="str">
        <v>90天：2026-07-20 至 2026-10-17；180天：2026-04-21 至 2026-10-17</v>
      </c>
      <c r="BL736" s="8" t="str">
        <v>90天：2026-10-06、2026-10-07、2026-10-12、2026-10-13、2026-10-16；180天：2026-10-06、2026-10-07、2026-10-12、2026-10-13、2026-10-16</v>
      </c>
      <c r="BM736" s="8" t="str">
        <v>2026-10：12天 × 1.0395067087630607；2026-11：30天 × 0.9890368360033146；2026-12：31天 × 0.7800796503018808；2027-01：17天 × 1.2908918272824135</v>
      </c>
      <c r="BN736" s="11" t="n">
        <v>1.0395067087630607</v>
      </c>
      <c r="BO736" s="11" t="n">
        <v>0.9890368360033146</v>
      </c>
      <c r="BP736" s="11" t="n">
        <v>0.7800796503018808</v>
      </c>
      <c r="BQ736" s="11" t="n">
        <v>1.2908918272824135</v>
      </c>
      <c r="BR736" s="8" t="n">
        <v>12</v>
      </c>
      <c r="BS736" s="8" t="n">
        <v>30</v>
      </c>
      <c r="BT736" s="8" t="n">
        <v>31</v>
      </c>
      <c r="BU736" s="8" t="n">
        <v>17</v>
      </c>
      <c r="BV736" s="11" t="n">
        <f>IF(COUNT(BC736,BF736)=2,BC736*BF736,"")</f>
        <v>0</v>
      </c>
      <c r="BW736" s="11" t="n">
        <f>IF(ISNUMBER(BN736),BN736,"")</f>
        <v>1.0395067087630607</v>
      </c>
      <c r="BX736" s="14" t="n">
        <f>IF(ISNUMBER(BR736),BR736,"")</f>
        <v>12</v>
      </c>
      <c r="BY736" s="13" t="n">
        <f>IF(AND(COUNT(BV736,BW736,BX736)=3,MIN(BV736,BW736,BX736)&gt;=0),BV736*BW736*BX736,"")</f>
        <v>0</v>
      </c>
      <c r="BZ736" s="11" t="n">
        <f>IF(ISNUMBER(BO736),BO736,"")</f>
        <v>0.9890368360033146</v>
      </c>
      <c r="CA736" s="14" t="n">
        <f>IF(ISNUMBER(BS736),BS736,"")</f>
        <v>30</v>
      </c>
      <c r="CB736" s="13" t="n">
        <f>IF(AND(COUNT(BV736,BZ736,CA736)=3,MIN(BV736,BZ736,CA736)&gt;=0),BV736*BZ736*CA736,"")</f>
        <v>0</v>
      </c>
      <c r="CC736" s="11" t="n">
        <f>IF(ISNUMBER(BP736),BP736,"")</f>
        <v>0.7800796503018808</v>
      </c>
      <c r="CD736" s="14" t="n">
        <f>IF(ISNUMBER(BT736),BT736,"")</f>
        <v>31</v>
      </c>
      <c r="CE736" s="13" t="n">
        <f>IF(AND(COUNT(BV736,CC736,CD736)=3,MIN(BV736,CC736,CD736)&gt;=0),BV736*CC736*CD736,"")</f>
        <v>0</v>
      </c>
      <c r="CF736" s="11" t="n">
        <f>IF(ISNUMBER(BQ736),BQ736,"")</f>
        <v>1.2908918272824135</v>
      </c>
      <c r="CG736" s="14" t="n">
        <f>IF(ISNUMBER(BU736),BU736,"")</f>
        <v>17</v>
      </c>
      <c r="CH736" s="13" t="n">
        <f>IF(AND(COUNT(BV736,CF736,CG736)=3,MIN(BV736,CF736,CG736)&gt;=0),BV736*CF736*CG736,"")</f>
        <v>0</v>
      </c>
      <c r="CI736" s="13" t="n">
        <f>IF(COUNT(BY736,CB736,CE736,CH736)=4,SUM(BY736,CB736,CE736,CH736),"")</f>
        <v>0</v>
      </c>
    </row>
    <row r="737" ht="72" customHeight="1">
      <c r="A737" s="16" t="str">
        <v>32582-PK-41.5</v>
      </c>
      <c r="B737" s="16" t="str">
        <v>3店-SANDIEX-US</v>
      </c>
      <c r="C737" s="16" t="str">
        <v>徐新怡</v>
      </c>
      <c r="D737" s="26" t="n">
        <f>IF(NOT(ISNUMBER(E737)),"",IF(OR(E737&lt;=0,L737=0),0,IF(OR(NOT(ISNUMBER(F737)),F737&lt;0),"",MIN(E737,INT(F737)))))</f>
        <v>0</v>
      </c>
      <c r="E737" s="27" t="n">
        <f>IF(OR(NOT(ISNUMBER(L737)),COUNT(M737:O737)&lt;&gt;3,MIN(M737:O737)&lt;0),"",ROUNDUP(ROUND(BI737-SUM(M737:O737),10),0))</f>
        <v>0</v>
      </c>
      <c r="F737" s="28"/>
      <c r="G737" s="28" t="n">
        <f>IF(AND(ISNUMBER(D737),ISNUMBER(E737)),IF(OR(E737&lt;=0,L737=0),0,E737-D737),"")</f>
        <v>0</v>
      </c>
      <c r="H737" s="16" t="str">
        <f>IF(NOT(ISNUMBER(E737)),"销量或海外库存待补",IF(OR(E737&lt;=0,L737=0),IF(L737=0,"零日销，本批不发","本批无需补货"),IF(NOT(ISNUMBER(D737)),"国内库存待补",IF(D737=0,"国内无可用库存",IF(G737&gt;0,"先发国内现货","按建议量发货")))))</f>
        <v>零日销，本批不发</v>
      </c>
      <c r="I737" s="28" t="n">
        <f>IF(AND(COUNT(Z737,AA737,AB737)=3,Z737&gt;=AA737,AA737&gt;=0,AB737=7),Z737-AA737,"")</f>
        <v>0</v>
      </c>
      <c r="J737" s="28" t="n">
        <f>IF(AND(COUNT(AF737,AG737,AH737)=3,AF737&gt;=AG737,AG737&gt;=0,AH737=14),AF737-AG737,"")</f>
        <v>0</v>
      </c>
      <c r="K737" s="28" t="n">
        <f>IF(AND(COUNT(AL737,AM737,AN737)=3,AL737&gt;=AM737,AM737&gt;=0,AN737=30),AL737-AM737,"")</f>
        <v>0</v>
      </c>
      <c r="L737" s="29" t="n">
        <f>IF(ISNUMBER(BI737),BI737/90,"")</f>
        <v>0</v>
      </c>
      <c r="M737" s="28" t="n">
        <v>0</v>
      </c>
      <c r="N737" s="28" t="n">
        <v>0</v>
      </c>
      <c r="O737" s="28" t="n">
        <v>0</v>
      </c>
      <c r="P737" s="30" t="str">
        <f>IF(AND(ISNUMBER(L737),L737&gt;0,COUNT(M737:O737)=3,MIN(M737:O737)&gt;=0),SUM(M737:O737)/L737,"")</f>
      </c>
      <c r="Q737" s="16" t="str">
        <v>沿用原计划SKU店铺</v>
      </c>
      <c r="R737" s="16" t="str">
        <v>未匹配</v>
      </c>
      <c r="S737" s="16" t="str">
        <v>停售</v>
      </c>
      <c r="T737" s="16" t="str">
        <v>32582</v>
      </c>
      <c r="U737" s="16" t="str">
        <v>粉色</v>
      </c>
      <c r="V737" s="16" t="n">
        <v>10.5</v>
      </c>
      <c r="W737" s="8" t="str">
        <v>2026-10-08 至 2026-10-17</v>
      </c>
      <c r="X737" s="8" t="str">
        <v>2026-10-08、2026-10-09、2026-10-10、2026-10-11、2026-10-14、2026-10-15、2026-10-17</v>
      </c>
      <c r="Y737" s="8" t="str">
        <v>2026-10-12 有记录的停售日；2026-10-13 有记录的停售日；2026-10-16 有记录的停售日</v>
      </c>
      <c r="Z737" s="8" t="n">
        <v>0</v>
      </c>
      <c r="AA737" s="8" t="n">
        <v>0</v>
      </c>
      <c r="AB737" s="8" t="n">
        <v>7</v>
      </c>
      <c r="AC737" s="8" t="str">
        <v>2026-09-29 至 2026-10-17</v>
      </c>
      <c r="AD737" s="8" t="str">
        <v>2026-09-29、2026-09-30、2026-10-01、2026-10-02、2026-10-03、2026-10-04、2026-10-05、2026-10-08、2026-10-09、2026-10-10、2026-10-11、2026-10-14、2026-10-15、2026-10-17</v>
      </c>
      <c r="AE737" s="8" t="str">
        <v>2026-10-06 大促；2026-10-07 大促；2026-10-12 有记录的停售日；2026-10-13 有记录的停售日；2026-10-16 有记录的停售日</v>
      </c>
      <c r="AF737" s="8" t="n">
        <v>0</v>
      </c>
      <c r="AG737" s="8" t="n">
        <v>0</v>
      </c>
      <c r="AH737" s="8" t="n">
        <v>14</v>
      </c>
      <c r="AI737" s="8" t="str">
        <v>2026-09-13 至 2026-10-17</v>
      </c>
      <c r="AJ73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7" s="8" t="str">
        <v>2026-10-06 大促；2026-10-07 大促；2026-10-12 有记录的停售日；2026-10-13 有记录的停售日；2026-10-16 有记录的停售日</v>
      </c>
      <c r="AL737" s="8" t="n">
        <v>0</v>
      </c>
      <c r="AM737" s="8" t="n">
        <v>0</v>
      </c>
      <c r="AN737" s="8" t="n">
        <v>30</v>
      </c>
      <c r="AO737" s="8" t="str">
        <v>32582 / 粉色羊京绒 / 6574</v>
      </c>
      <c r="AP737" s="11" t="n">
        <v>1.0395067087630607</v>
      </c>
      <c r="AQ737" s="11" t="n">
        <v>1.048428692110265</v>
      </c>
      <c r="AR737" s="11" t="n">
        <v>1.076979038821319</v>
      </c>
      <c r="AS737" s="11" t="n">
        <f>IF(AND(COUNT(I737:K737,AP737:AR737)=6,MIN(AP737:AR737)&gt;0),I737/7/AP737*0.5+J737/14/AQ737*0.3+K737/30/AR737*0.2,"")</f>
        <v>0</v>
      </c>
      <c r="AT737" s="8" t="n">
        <v>0</v>
      </c>
      <c r="AU737" s="8" t="n">
        <v>0</v>
      </c>
      <c r="AV737" s="8" t="n">
        <v>85</v>
      </c>
      <c r="AW737" s="11" t="n">
        <f>IF(AND(COUNT(AT737:AV737)=3,AT737&gt;=AU737,AU737&gt;=0,AV737&gt;0),(AT737-AU737)/AV737,"")</f>
        <v>0</v>
      </c>
      <c r="AX737" s="8" t="n">
        <v>0</v>
      </c>
      <c r="AY737" s="8" t="n">
        <v>0</v>
      </c>
      <c r="AZ737" s="8" t="n">
        <v>175</v>
      </c>
      <c r="BA737" s="11" t="n">
        <f>IF(AND(COUNT(AX737:AZ737)=3,AX737&gt;=AY737,AY737&gt;=0,AZ737&gt;0),(AX737-AY737)/AZ737,"")</f>
        <v>0</v>
      </c>
      <c r="BB737" s="8" t="n">
        <f>IF(COUNT(AS737,AW737,BA737)=3,1,0)</f>
        <v>1</v>
      </c>
      <c r="BC737" s="11" t="n">
        <f>IF(SUMIF($AO$11:$AO$1309,AO737,$BB$11:$BB$1309)=COUNTIF($AO$11:$AO$1309,AO737),SUMIF($AO$11:$AO$1309,AO737,$AS$11:$AS$1309),"")</f>
        <v>0.13201914161115513</v>
      </c>
      <c r="BD737" s="11" t="n">
        <f>IF(SUMIF($AO$11:$AO$1309,AO737,$BB$11:$BB$1309)=COUNTIF($AO$11:$AO$1309,AO737),SUMIF($AO$11:$AO$1309,AO737,$AW$11:$AW$1309),"")</f>
        <v>0.2418449197860963</v>
      </c>
      <c r="BE737" s="11" t="n">
        <f>IF(SUMIF($AO$11:$AO$1309,AO737,$BB$11:$BB$1309)=COUNTIF($AO$11:$AO$1309,AO737),SUMIF($AO$11:$AO$1309,AO737,$BA$11:$BA$1309),"")</f>
        <v>0.31768860353130013</v>
      </c>
      <c r="BF737" s="12" t="n">
        <f>IF(COUNT(BD737:BE737)&lt;&gt;2,"",IF(AND(BD737&gt;0,BE737&gt;0),0.7*AW737/BD737+0.3*BA737/BE737,IF(BD737&gt;0,AW737/BD737,IF(BE737&gt;0,BA737/BE737,IF(AND(ISNUMBER(BH737),BH737=0),0,"")))))</f>
        <v>0</v>
      </c>
      <c r="BG737" s="11" t="n">
        <f>IF(AND(COUNT(BN737:BU737)=8,MIN(BN737:BU737)&gt;=0),SUMPRODUCT(BN737:BQ737,BR737:BU737),"")</f>
        <v>88.27281580841549</v>
      </c>
      <c r="BH737" s="11" t="n">
        <f>IF(COUNT(BC737,BG737)=2,BC737*BG737,"")</f>
        <v>11.653701370626617</v>
      </c>
      <c r="BI737" s="11" t="n">
        <f>IF(ISNUMBER(CI737),CI737,"")</f>
        <v>0</v>
      </c>
      <c r="BJ737" s="8" t="str">
        <v>近180天本色销量57双（＜90），无有效新采购，请运营判断</v>
      </c>
      <c r="BK737" s="8" t="str">
        <v>90天：2026-07-20 至 2026-10-17；180天：2026-04-21 至 2026-10-17</v>
      </c>
      <c r="BL737" s="8" t="str">
        <v>90天：2026-10-06、2026-10-07、2026-10-12、2026-10-13、2026-10-16；180天：2026-10-06、2026-10-07、2026-10-12、2026-10-13、2026-10-16</v>
      </c>
      <c r="BM737" s="8" t="str">
        <v>2026-10：12天 × 1.0395067087630607；2026-11：30天 × 0.9890368360033146；2026-12：31天 × 0.7800796503018808；2027-01：17天 × 1.2908918272824135</v>
      </c>
      <c r="BN737" s="11" t="n">
        <v>1.0395067087630607</v>
      </c>
      <c r="BO737" s="11" t="n">
        <v>0.9890368360033146</v>
      </c>
      <c r="BP737" s="11" t="n">
        <v>0.7800796503018808</v>
      </c>
      <c r="BQ737" s="11" t="n">
        <v>1.2908918272824135</v>
      </c>
      <c r="BR737" s="8" t="n">
        <v>12</v>
      </c>
      <c r="BS737" s="8" t="n">
        <v>30</v>
      </c>
      <c r="BT737" s="8" t="n">
        <v>31</v>
      </c>
      <c r="BU737" s="8" t="n">
        <v>17</v>
      </c>
      <c r="BV737" s="11" t="n">
        <f>IF(COUNT(BC737,BF737)=2,BC737*BF737,"")</f>
        <v>0</v>
      </c>
      <c r="BW737" s="11" t="n">
        <f>IF(ISNUMBER(BN737),BN737,"")</f>
        <v>1.0395067087630607</v>
      </c>
      <c r="BX737" s="14" t="n">
        <f>IF(ISNUMBER(BR737),BR737,"")</f>
        <v>12</v>
      </c>
      <c r="BY737" s="13" t="n">
        <f>IF(AND(COUNT(BV737,BW737,BX737)=3,MIN(BV737,BW737,BX737)&gt;=0),BV737*BW737*BX737,"")</f>
        <v>0</v>
      </c>
      <c r="BZ737" s="11" t="n">
        <f>IF(ISNUMBER(BO737),BO737,"")</f>
        <v>0.9890368360033146</v>
      </c>
      <c r="CA737" s="14" t="n">
        <f>IF(ISNUMBER(BS737),BS737,"")</f>
        <v>30</v>
      </c>
      <c r="CB737" s="13" t="n">
        <f>IF(AND(COUNT(BV737,BZ737,CA737)=3,MIN(BV737,BZ737,CA737)&gt;=0),BV737*BZ737*CA737,"")</f>
        <v>0</v>
      </c>
      <c r="CC737" s="11" t="n">
        <f>IF(ISNUMBER(BP737),BP737,"")</f>
        <v>0.7800796503018808</v>
      </c>
      <c r="CD737" s="14" t="n">
        <f>IF(ISNUMBER(BT737),BT737,"")</f>
        <v>31</v>
      </c>
      <c r="CE737" s="13" t="n">
        <f>IF(AND(COUNT(BV737,CC737,CD737)=3,MIN(BV737,CC737,CD737)&gt;=0),BV737*CC737*CD737,"")</f>
        <v>0</v>
      </c>
      <c r="CF737" s="11" t="n">
        <f>IF(ISNUMBER(BQ737),BQ737,"")</f>
        <v>1.2908918272824135</v>
      </c>
      <c r="CG737" s="14" t="n">
        <f>IF(ISNUMBER(BU737),BU737,"")</f>
        <v>17</v>
      </c>
      <c r="CH737" s="13" t="n">
        <f>IF(AND(COUNT(BV737,CF737,CG737)=3,MIN(BV737,CF737,CG737)&gt;=0),BV737*CF737*CG737,"")</f>
        <v>0</v>
      </c>
      <c r="CI737" s="13" t="n">
        <f>IF(COUNT(BY737,CB737,CE737,CH737)=4,SUM(BY737,CB737,CE737,CH737),"")</f>
        <v>0</v>
      </c>
    </row>
    <row r="738" ht="72" customHeight="1">
      <c r="A738" s="16" t="str">
        <v>32582-RD-37</v>
      </c>
      <c r="B738" s="16" t="str">
        <v>3店-SANDIEX-US</v>
      </c>
      <c r="C738" s="16" t="str">
        <v>徐新怡</v>
      </c>
      <c r="D738" s="26" t="n">
        <f>IF(NOT(ISNUMBER(E738)),"",IF(OR(E738&lt;=0,L738=0),0,IF(OR(NOT(ISNUMBER(F738)),F738&lt;0),"",MIN(E738,INT(F738)))))</f>
        <v>0</v>
      </c>
      <c r="E738" s="27" t="n">
        <f>IF(OR(NOT(ISNUMBER(L738)),COUNT(M738:O738)&lt;&gt;3,MIN(M738:O738)&lt;0),"",ROUNDUP(ROUND(BI738-SUM(M738:O738),10),0))</f>
        <v>0</v>
      </c>
      <c r="F738" s="28"/>
      <c r="G738" s="28" t="n">
        <f>IF(AND(ISNUMBER(D738),ISNUMBER(E738)),IF(OR(E738&lt;=0,L738=0),0,E738-D738),"")</f>
        <v>0</v>
      </c>
      <c r="H738" s="16" t="str">
        <f>IF(NOT(ISNUMBER(E738)),"销量或海外库存待补",IF(OR(E738&lt;=0,L738=0),IF(L738=0,"零日销，本批不发","本批无需补货"),IF(NOT(ISNUMBER(D738)),"国内库存待补",IF(D738=0,"国内无可用库存",IF(G738&gt;0,"先发国内现货","按建议量发货")))))</f>
        <v>零日销，本批不发</v>
      </c>
      <c r="I738" s="28" t="n">
        <f>IF(AND(COUNT(Z738,AA738,AB738)=3,Z738&gt;=AA738,AA738&gt;=0,AB738=7),Z738-AA738,"")</f>
        <v>0</v>
      </c>
      <c r="J738" s="28" t="n">
        <f>IF(AND(COUNT(AF738,AG738,AH738)=3,AF738&gt;=AG738,AG738&gt;=0,AH738=14),AF738-AG738,"")</f>
        <v>0</v>
      </c>
      <c r="K738" s="28" t="n">
        <f>IF(AND(COUNT(AL738,AM738,AN738)=3,AL738&gt;=AM738,AM738&gt;=0,AN738=30),AL738-AM738,"")</f>
        <v>0</v>
      </c>
      <c r="L738" s="29" t="n">
        <f>IF(ISNUMBER(BI738),BI738/90,"")</f>
        <v>0</v>
      </c>
      <c r="M738" s="28" t="n">
        <v>0</v>
      </c>
      <c r="N738" s="28" t="n">
        <v>0</v>
      </c>
      <c r="O738" s="28" t="n">
        <v>0</v>
      </c>
      <c r="P738" s="30" t="str">
        <f>IF(AND(ISNUMBER(L738),L738&gt;0,COUNT(M738:O738)=3,MIN(M738:O738)&gt;=0),SUM(M738:O738)/L738,"")</f>
      </c>
      <c r="Q738" s="16" t="str">
        <v>沿用原计划SKU店铺</v>
      </c>
      <c r="R738" s="16" t="str">
        <v>未匹配</v>
      </c>
      <c r="S738" s="16" t="str">
        <v>停售</v>
      </c>
      <c r="T738" s="16" t="str">
        <v>32582</v>
      </c>
      <c r="U738" s="16" t="str">
        <v>红色</v>
      </c>
      <c r="V738" s="16" t="n">
        <v>6</v>
      </c>
      <c r="W738" s="8" t="str">
        <v>2026-10-08 至 2026-10-17</v>
      </c>
      <c r="X738" s="8" t="str">
        <v>2026-10-08、2026-10-09、2026-10-10、2026-10-11、2026-10-14、2026-10-15、2026-10-17</v>
      </c>
      <c r="Y738" s="8" t="str">
        <v>2026-10-12 有记录的停售日；2026-10-13 有记录的停售日；2026-10-16 有记录的停售日</v>
      </c>
      <c r="Z738" s="8" t="n">
        <v>0</v>
      </c>
      <c r="AA738" s="8" t="n">
        <v>0</v>
      </c>
      <c r="AB738" s="8" t="n">
        <v>7</v>
      </c>
      <c r="AC738" s="8" t="str">
        <v>2026-09-29 至 2026-10-17</v>
      </c>
      <c r="AD738" s="8" t="str">
        <v>2026-09-29、2026-09-30、2026-10-01、2026-10-02、2026-10-03、2026-10-04、2026-10-05、2026-10-08、2026-10-09、2026-10-10、2026-10-11、2026-10-14、2026-10-15、2026-10-17</v>
      </c>
      <c r="AE738" s="8" t="str">
        <v>2026-10-06 大促；2026-10-07 大促；2026-10-12 有记录的停售日；2026-10-13 有记录的停售日；2026-10-16 有记录的停售日</v>
      </c>
      <c r="AF738" s="8" t="n">
        <v>0</v>
      </c>
      <c r="AG738" s="8" t="n">
        <v>0</v>
      </c>
      <c r="AH738" s="8" t="n">
        <v>14</v>
      </c>
      <c r="AI738" s="8" t="str">
        <v>2026-09-13 至 2026-10-17</v>
      </c>
      <c r="AJ73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38" s="8" t="str">
        <v>2026-10-06 大促；2026-10-07 大促；2026-10-12 有记录的停售日；2026-10-13 有记录的停售日；2026-10-16 有记录的停售日</v>
      </c>
      <c r="AL738" s="8" t="n">
        <v>0</v>
      </c>
      <c r="AM738" s="8" t="n">
        <v>0</v>
      </c>
      <c r="AN738" s="8" t="n">
        <v>30</v>
      </c>
      <c r="AO738" s="8" t="str">
        <v>32582 / 红色羊京绒 / 6574</v>
      </c>
      <c r="AP738" s="11" t="n">
        <v>1.0395067087630607</v>
      </c>
      <c r="AQ738" s="11" t="n">
        <v>1.048428692110265</v>
      </c>
      <c r="AR738" s="11" t="n">
        <v>1.076979038821319</v>
      </c>
      <c r="AS738" s="11" t="n">
        <f>IF(AND(COUNT(I738:K738,AP738:AR738)=6,MIN(AP738:AR738)&gt;0),I738/7/AP738*0.5+J738/14/AQ738*0.3+K738/30/AR738*0.2,"")</f>
        <v>0</v>
      </c>
      <c r="AT738" s="8" t="n">
        <v>0</v>
      </c>
      <c r="AU738" s="8" t="n">
        <v>0</v>
      </c>
      <c r="AV738" s="8" t="n">
        <v>85</v>
      </c>
      <c r="AW738" s="11" t="n">
        <f>IF(AND(COUNT(AT738:AV738)=3,AT738&gt;=AU738,AU738&gt;=0,AV738&gt;0),(AT738-AU738)/AV738,"")</f>
        <v>0</v>
      </c>
      <c r="AX738" s="8" t="n">
        <v>0</v>
      </c>
      <c r="AY738" s="8" t="n">
        <v>0</v>
      </c>
      <c r="AZ738" s="8" t="n">
        <v>175</v>
      </c>
      <c r="BA738" s="11" t="n">
        <f>IF(AND(COUNT(AX738:AZ738)=3,AX738&gt;=AY738,AY738&gt;=0,AZ738&gt;0),(AX738-AY738)/AZ738,"")</f>
        <v>0</v>
      </c>
      <c r="BB738" s="8" t="n">
        <f>IF(COUNT(AS738,AW738,BA738)=3,1,0)</f>
        <v>1</v>
      </c>
      <c r="BC738" s="11" t="n">
        <f>IF(SUMIF($AO$11:$AO$1309,AO738,$BB$11:$BB$1309)=COUNTIF($AO$11:$AO$1309,AO738),SUMIF($AO$11:$AO$1309,AO738,$AS$11:$AS$1309),"")</f>
        <v>0.17414025453815726</v>
      </c>
      <c r="BD738" s="11" t="n">
        <f>IF(SUMIF($AO$11:$AO$1309,AO738,$BB$11:$BB$1309)=COUNTIF($AO$11:$AO$1309,AO738),SUMIF($AO$11:$AO$1309,AO738,$AW$11:$AW$1309),"")</f>
        <v>0.25</v>
      </c>
      <c r="BE738" s="11" t="n">
        <f>IF(SUMIF($AO$11:$AO$1309,AO738,$BB$11:$BB$1309)=COUNTIF($AO$11:$AO$1309,AO738),SUMIF($AO$11:$AO$1309,AO738,$BA$11:$BA$1309),"")</f>
        <v>0.342792937399679</v>
      </c>
      <c r="BF738" s="12" t="n">
        <f>IF(COUNT(BD738:BE738)&lt;&gt;2,"",IF(AND(BD738&gt;0,BE738&gt;0),0.7*AW738/BD738+0.3*BA738/BE738,IF(BD738&gt;0,AW738/BD738,IF(BE738&gt;0,BA738/BE738,IF(AND(ISNUMBER(BH738),BH738=0),0,"")))))</f>
        <v>0</v>
      </c>
      <c r="BG738" s="11" t="n">
        <f>IF(AND(COUNT(BN738:BU738)=8,MIN(BN738:BU738)&gt;=0),SUMPRODUCT(BN738:BQ738,BR738:BU738),"")</f>
        <v>88.27281580841549</v>
      </c>
      <c r="BH738" s="11" t="n">
        <f>IF(COUNT(BC738,BG738)=2,BC738*BG738,"")</f>
        <v>15.371850613677346</v>
      </c>
      <c r="BI738" s="11" t="n">
        <f>IF(ISNUMBER(CI738),CI738,"")</f>
        <v>0</v>
      </c>
      <c r="BJ738" s="8" t="str">
        <v>近180天本色销量64双（＜90），无有效新采购，请运营判断</v>
      </c>
      <c r="BK738" s="8" t="str">
        <v>90天：2026-07-20 至 2026-10-17；180天：2026-04-21 至 2026-10-17</v>
      </c>
      <c r="BL738" s="8" t="str">
        <v>90天：2026-10-06、2026-10-07、2026-10-12、2026-10-13、2026-10-16；180天：2026-10-06、2026-10-07、2026-10-12、2026-10-13、2026-10-16</v>
      </c>
      <c r="BM738" s="8" t="str">
        <v>2026-10：12天 × 1.0395067087630607；2026-11：30天 × 0.9890368360033146；2026-12：31天 × 0.7800796503018808；2027-01：17天 × 1.2908918272824135</v>
      </c>
      <c r="BN738" s="11" t="n">
        <v>1.0395067087630607</v>
      </c>
      <c r="BO738" s="11" t="n">
        <v>0.9890368360033146</v>
      </c>
      <c r="BP738" s="11" t="n">
        <v>0.7800796503018808</v>
      </c>
      <c r="BQ738" s="11" t="n">
        <v>1.2908918272824135</v>
      </c>
      <c r="BR738" s="8" t="n">
        <v>12</v>
      </c>
      <c r="BS738" s="8" t="n">
        <v>30</v>
      </c>
      <c r="BT738" s="8" t="n">
        <v>31</v>
      </c>
      <c r="BU738" s="8" t="n">
        <v>17</v>
      </c>
      <c r="BV738" s="11" t="n">
        <f>IF(COUNT(BC738,BF738)=2,BC738*BF738,"")</f>
        <v>0</v>
      </c>
      <c r="BW738" s="11" t="n">
        <f>IF(ISNUMBER(BN738),BN738,"")</f>
        <v>1.0395067087630607</v>
      </c>
      <c r="BX738" s="14" t="n">
        <f>IF(ISNUMBER(BR738),BR738,"")</f>
        <v>12</v>
      </c>
      <c r="BY738" s="13" t="n">
        <f>IF(AND(COUNT(BV738,BW738,BX738)=3,MIN(BV738,BW738,BX738)&gt;=0),BV738*BW738*BX738,"")</f>
        <v>0</v>
      </c>
      <c r="BZ738" s="11" t="n">
        <f>IF(ISNUMBER(BO738),BO738,"")</f>
        <v>0.9890368360033146</v>
      </c>
      <c r="CA738" s="14" t="n">
        <f>IF(ISNUMBER(BS738),BS738,"")</f>
        <v>30</v>
      </c>
      <c r="CB738" s="13" t="n">
        <f>IF(AND(COUNT(BV738,BZ738,CA738)=3,MIN(BV738,BZ738,CA738)&gt;=0),BV738*BZ738*CA738,"")</f>
        <v>0</v>
      </c>
      <c r="CC738" s="11" t="n">
        <f>IF(ISNUMBER(BP738),BP738,"")</f>
        <v>0.7800796503018808</v>
      </c>
      <c r="CD738" s="14" t="n">
        <f>IF(ISNUMBER(BT738),BT738,"")</f>
        <v>31</v>
      </c>
      <c r="CE738" s="13" t="n">
        <f>IF(AND(COUNT(BV738,CC738,CD738)=3,MIN(BV738,CC738,CD738)&gt;=0),BV738*CC738*CD738,"")</f>
        <v>0</v>
      </c>
      <c r="CF738" s="11" t="n">
        <f>IF(ISNUMBER(BQ738),BQ738,"")</f>
        <v>1.2908918272824135</v>
      </c>
      <c r="CG738" s="14" t="n">
        <f>IF(ISNUMBER(BU738),BU738,"")</f>
        <v>17</v>
      </c>
      <c r="CH738" s="13" t="n">
        <f>IF(AND(COUNT(BV738,CF738,CG738)=3,MIN(BV738,CF738,CG738)&gt;=0),BV738*CF738*CG738,"")</f>
        <v>0</v>
      </c>
      <c r="CI738" s="13" t="n">
        <f>IF(COUNT(BY738,CB738,CE738,CH738)=4,SUM(BY738,CB738,CE738,CH738),"")</f>
        <v>0</v>
      </c>
    </row>
    <row r="739" ht="72" customHeight="1">
      <c r="A739" s="16" t="str">
        <v>32582-RD-37.5</v>
      </c>
      <c r="B739" s="16" t="str">
        <v>3店-SANDIEX-US</v>
      </c>
      <c r="C739" s="16" t="str">
        <v>徐新怡</v>
      </c>
      <c r="D739" s="26" t="n">
        <f>IF(NOT(ISNUMBER(E739)),"",IF(OR(E739&lt;=0,L739=0),0,IF(OR(NOT(ISNUMBER(F739)),F739&lt;0),"",MIN(E739,INT(F739)))))</f>
        <v>0</v>
      </c>
      <c r="E739" s="27" t="n">
        <f>IF(OR(NOT(ISNUMBER(L739)),COUNT(M739:O739)&lt;&gt;3,MIN(M739:O739)&lt;0),"",ROUNDUP(ROUND(BI739-SUM(M739:O739),10),0))</f>
        <v>-14</v>
      </c>
      <c r="F739" s="28" t="n">
        <v>0</v>
      </c>
      <c r="G739" s="28" t="n">
        <f>IF(AND(ISNUMBER(D739),ISNUMBER(E739)),IF(OR(E739&lt;=0,L739=0),0,E739-D739),"")</f>
        <v>0</v>
      </c>
      <c r="H739" s="16" t="str">
        <f>IF(NOT(ISNUMBER(E739)),"销量或海外库存待补",IF(OR(E739&lt;=0,L739=0),IF(L739=0,"零日销，本批不发","本批无需补货"),IF(NOT(ISNUMBER(D739)),"国内库存待补",IF(D739=0,"国内无可用库存",IF(G739&gt;0,"先发国内现货","按建议量发货")))))</f>
        <v>本批无需补货</v>
      </c>
      <c r="I739" s="28" t="n">
        <f>IF(AND(COUNT(Z739,AA739,AB739)=3,Z739&gt;=AA739,AA739&gt;=0,AB739=7),Z739-AA739,"")</f>
        <v>1</v>
      </c>
      <c r="J739" s="28" t="n">
        <f>IF(AND(COUNT(AF739,AG739,AH739)=3,AF739&gt;=AG739,AG739&gt;=0,AH739=14),AF739-AG739,"")</f>
        <v>2</v>
      </c>
      <c r="K739" s="28" t="n">
        <f>IF(AND(COUNT(AL739,AM739,AN739)=3,AL739&gt;=AM739,AM739&gt;=0,AN739=30),AL739-AM739,"")</f>
        <v>3</v>
      </c>
      <c r="L739" s="29" t="n">
        <f>IF(ISNUMBER(BI739),BI739/90,"")</f>
        <v>0.04727876272680541</v>
      </c>
      <c r="M739" s="28" t="n">
        <v>18</v>
      </c>
      <c r="N739" s="28" t="n">
        <v>0</v>
      </c>
      <c r="O739" s="28" t="n">
        <v>0</v>
      </c>
      <c r="P739" s="30" t="n">
        <f>IF(AND(ISNUMBER(L739),L739&gt;0,COUNT(M739:O739)=3,MIN(M739:O739)&gt;=0),SUM(M739:O739)/L739,"")</f>
        <v>380.720622999608</v>
      </c>
      <c r="Q739" s="16" t="str">
        <v>沿用原计划SKU店铺</v>
      </c>
      <c r="R739" s="16" t="str">
        <v>已匹配</v>
      </c>
      <c r="S739" s="16" t="str">
        <v>在售</v>
      </c>
      <c r="T739" s="16" t="str">
        <v>32582</v>
      </c>
      <c r="U739" s="16" t="str">
        <v>红色</v>
      </c>
      <c r="V739" s="16" t="n">
        <v>6.5</v>
      </c>
      <c r="W739" s="8" t="str">
        <v>2026-10-11 至 2026-10-17</v>
      </c>
      <c r="X739" s="8" t="str">
        <v>2026-10-11、2026-10-12、2026-10-13、2026-10-14、2026-10-15、2026-10-16、2026-10-17</v>
      </c>
      <c r="Y739" s="8" t="str">
        <v>无</v>
      </c>
      <c r="Z739" s="8" t="n">
        <v>1</v>
      </c>
      <c r="AA739" s="8" t="n">
        <v>0</v>
      </c>
      <c r="AB739" s="8" t="n">
        <v>7</v>
      </c>
      <c r="AC739" s="8" t="str">
        <v>2026-10-02 至 2026-10-17</v>
      </c>
      <c r="AD739" s="8" t="str">
        <v>2026-10-02、2026-10-03、2026-10-04、2026-10-05、2026-10-08、2026-10-09、2026-10-10、2026-10-11、2026-10-12、2026-10-13、2026-10-14、2026-10-15、2026-10-16、2026-10-17</v>
      </c>
      <c r="AE739" s="8" t="str">
        <v>2026-10-06 大促；2026-10-07 大促</v>
      </c>
      <c r="AF739" s="8" t="n">
        <v>3</v>
      </c>
      <c r="AG739" s="8" t="n">
        <v>1</v>
      </c>
      <c r="AH739" s="8" t="n">
        <v>14</v>
      </c>
      <c r="AI739" s="8" t="str">
        <v>2026-09-16 至 2026-10-17</v>
      </c>
      <c r="AJ7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39" s="8" t="str">
        <v>2026-10-06 大促；2026-10-07 大促</v>
      </c>
      <c r="AL739" s="8" t="n">
        <v>4</v>
      </c>
      <c r="AM739" s="8" t="n">
        <v>1</v>
      </c>
      <c r="AN739" s="8" t="n">
        <v>30</v>
      </c>
      <c r="AO739" s="8" t="str">
        <v>32582 / 红色羊京绒 / 6574</v>
      </c>
      <c r="AP739" s="11" t="n">
        <v>1.0395067087630607</v>
      </c>
      <c r="AQ739" s="11" t="n">
        <v>1.0395067087630607</v>
      </c>
      <c r="AR739" s="11" t="n">
        <v>1.0707336504782758</v>
      </c>
      <c r="AS739" s="11" t="n">
        <f>IF(AND(COUNT(I739:K739,AP739:AR739)=6,MIN(AP739:AR739)&gt;0),I739/7/AP739*0.5+J739/14/AQ739*0.3+K739/30/AR739*0.2,"")</f>
        <v>0.12862103912801132</v>
      </c>
      <c r="AT739" s="8" t="n">
        <v>8</v>
      </c>
      <c r="AU739" s="8" t="n">
        <v>1</v>
      </c>
      <c r="AV739" s="8" t="n">
        <v>88</v>
      </c>
      <c r="AW739" s="11" t="n">
        <f>IF(AND(COUNT(AT739:AV739)=3,AT739&gt;=AU739,AU739&gt;=0,AV739&gt;0),(AT739-AU739)/AV739,"")</f>
        <v>0.07954545454545454</v>
      </c>
      <c r="AX739" s="8" t="n">
        <v>12</v>
      </c>
      <c r="AY739" s="8" t="n">
        <v>1</v>
      </c>
      <c r="AZ739" s="8" t="n">
        <v>178</v>
      </c>
      <c r="BA739" s="11" t="n">
        <f>IF(AND(COUNT(AX739:AZ739)=3,AX739&gt;=AY739,AY739&gt;=0,AZ739&gt;0),(AX739-AY739)/AZ739,"")</f>
        <v>0.06179775280898876</v>
      </c>
      <c r="BB739" s="8" t="n">
        <f>IF(COUNT(AS739,AW739,BA739)=3,1,0)</f>
        <v>1</v>
      </c>
      <c r="BC739" s="11" t="n">
        <f>IF(SUMIF($AO$11:$AO$1309,AO739,$BB$11:$BB$1309)=COUNTIF($AO$11:$AO$1309,AO739),SUMIF($AO$11:$AO$1309,AO739,$AS$11:$AS$1309),"")</f>
        <v>0.17414025453815726</v>
      </c>
      <c r="BD739" s="11" t="n">
        <f>IF(SUMIF($AO$11:$AO$1309,AO739,$BB$11:$BB$1309)=COUNTIF($AO$11:$AO$1309,AO739),SUMIF($AO$11:$AO$1309,AO739,$AW$11:$AW$1309),"")</f>
        <v>0.25</v>
      </c>
      <c r="BE739" s="11" t="n">
        <f>IF(SUMIF($AO$11:$AO$1309,AO739,$BB$11:$BB$1309)=COUNTIF($AO$11:$AO$1309,AO739),SUMIF($AO$11:$AO$1309,AO739,$BA$11:$BA$1309),"")</f>
        <v>0.342792937399679</v>
      </c>
      <c r="BF739" s="12" t="n">
        <f>IF(COUNT(BD739:BE739)&lt;&gt;2,"",IF(AND(BD739&gt;0,BE739&gt;0),0.7*AW739/BD739+0.3*BA739/BE739,IF(BD739&gt;0,AW739/BD739,IF(BE739&gt;0,BA739/BE739,IF(AND(ISNUMBER(BH739),BH739=0),0,"")))))</f>
        <v>0.27681043436802943</v>
      </c>
      <c r="BG739" s="11" t="n">
        <f>IF(AND(COUNT(BN739:BU739)=8,MIN(BN739:BU739)&gt;=0),SUMPRODUCT(BN739:BQ739,BR739:BU739),"")</f>
        <v>88.27281580841549</v>
      </c>
      <c r="BH739" s="11" t="n">
        <f>IF(COUNT(BC739,BG739)=2,BC739*BG739,"")</f>
        <v>15.371850613677346</v>
      </c>
      <c r="BI739" s="11" t="n">
        <f>IF(ISNUMBER(CI739),CI739,"")</f>
        <v>4.255088645412487</v>
      </c>
      <c r="BJ739" s="8" t="str">
        <v>近180天本色销量64双（＜90），无有效新采购，请运营判断</v>
      </c>
      <c r="BK739" s="8" t="str">
        <v>90天：2026-07-20 至 2026-10-17；180天：2026-04-21 至 2026-10-17</v>
      </c>
      <c r="BL739" s="8" t="str">
        <v>90天：2026-10-06、2026-10-07；180天：2026-10-06、2026-10-07</v>
      </c>
      <c r="BM739" s="8" t="str">
        <v>2026-10：12天 × 1.0395067087630607；2026-11：30天 × 0.9890368360033146；2026-12：31天 × 0.7800796503018808；2027-01：17天 × 1.2908918272824135</v>
      </c>
      <c r="BN739" s="11" t="n">
        <v>1.0395067087630607</v>
      </c>
      <c r="BO739" s="11" t="n">
        <v>0.9890368360033146</v>
      </c>
      <c r="BP739" s="11" t="n">
        <v>0.7800796503018808</v>
      </c>
      <c r="BQ739" s="11" t="n">
        <v>1.2908918272824135</v>
      </c>
      <c r="BR739" s="8" t="n">
        <v>12</v>
      </c>
      <c r="BS739" s="8" t="n">
        <v>30</v>
      </c>
      <c r="BT739" s="8" t="n">
        <v>31</v>
      </c>
      <c r="BU739" s="8" t="n">
        <v>17</v>
      </c>
      <c r="BV739" s="11" t="n">
        <f>IF(COUNT(BC739,BF739)=2,BC739*BF739,"")</f>
        <v>0.04820383949966652</v>
      </c>
      <c r="BW739" s="11" t="n">
        <f>IF(ISNUMBER(BN739),BN739,"")</f>
        <v>1.0395067087630607</v>
      </c>
      <c r="BX739" s="14" t="n">
        <f>IF(ISNUMBER(BR739),BR739,"")</f>
        <v>12</v>
      </c>
      <c r="BY739" s="13" t="n">
        <f>IF(AND(COUNT(BV739,BW739,BX739)=3,MIN(BV739,BW739,BX739)&gt;=0),BV739*BW739*BX739,"")</f>
        <v>0.601298574576494</v>
      </c>
      <c r="BZ739" s="11" t="n">
        <f>IF(ISNUMBER(BO739),BO739,"")</f>
        <v>0.9890368360033146</v>
      </c>
      <c r="CA739" s="14" t="n">
        <f>IF(ISNUMBER(BS739),BS739,"")</f>
        <v>30</v>
      </c>
      <c r="CB739" s="13" t="n">
        <f>IF(AND(COUNT(BV739,BZ739,CA739)=3,MIN(BV739,BZ739,CA739)&gt;=0),BV739*BZ739*CA739,"")</f>
        <v>1.4302611870588533</v>
      </c>
      <c r="CC739" s="11" t="n">
        <f>IF(ISNUMBER(BP739),BP739,"")</f>
        <v>0.7800796503018808</v>
      </c>
      <c r="CD739" s="14" t="n">
        <f>IF(ISNUMBER(BT739),BT739,"")</f>
        <v>31</v>
      </c>
      <c r="CE739" s="13" t="n">
        <f>IF(AND(COUNT(BV739,CC739,CD739)=3,MIN(BV739,CC739,CD739)&gt;=0),BV739*CC739*CD739,"")</f>
        <v>1.1656878620633433</v>
      </c>
      <c r="CF739" s="11" t="n">
        <f>IF(ISNUMBER(BQ739),BQ739,"")</f>
        <v>1.2908918272824135</v>
      </c>
      <c r="CG739" s="14" t="n">
        <f>IF(ISNUMBER(BU739),BU739,"")</f>
        <v>17</v>
      </c>
      <c r="CH739" s="13" t="n">
        <f>IF(AND(COUNT(BV739,CF739,CG739)=3,MIN(BV739,CF739,CG739)&gt;=0),BV739*CF739*CG739,"")</f>
        <v>1.057841021713796</v>
      </c>
      <c r="CI739" s="13" t="n">
        <f>IF(COUNT(BY739,CB739,CE739,CH739)=4,SUM(BY739,CB739,CE739,CH739),"")</f>
        <v>4.255088645412487</v>
      </c>
    </row>
    <row r="740" ht="72" customHeight="1">
      <c r="A740" s="16" t="str">
        <v>32582-RD-38</v>
      </c>
      <c r="B740" s="16" t="str">
        <v>3店-SANDIEX-US</v>
      </c>
      <c r="C740" s="16" t="str">
        <v>徐新怡</v>
      </c>
      <c r="D740" s="26" t="n">
        <f>IF(NOT(ISNUMBER(E740)),"",IF(OR(E740&lt;=0,L740=0),0,IF(OR(NOT(ISNUMBER(F740)),F740&lt;0),"",MIN(E740,INT(F740)))))</f>
        <v>0</v>
      </c>
      <c r="E740" s="27" t="n">
        <f>IF(OR(NOT(ISNUMBER(L740)),COUNT(M740:O740)&lt;&gt;3,MIN(M740:O740)&lt;0),"",ROUNDUP(ROUND(BI740-SUM(M740:O740),10),0))</f>
        <v>0</v>
      </c>
      <c r="F740" s="28" t="n">
        <v>0</v>
      </c>
      <c r="G740" s="28" t="n">
        <f>IF(AND(ISNUMBER(D740),ISNUMBER(E740)),IF(OR(E740&lt;=0,L740=0),0,E740-D740),"")</f>
        <v>0</v>
      </c>
      <c r="H740" s="16" t="str">
        <f>IF(NOT(ISNUMBER(E740)),"销量或海外库存待补",IF(OR(E740&lt;=0,L740=0),IF(L740=0,"零日销，本批不发","本批无需补货"),IF(NOT(ISNUMBER(D740)),"国内库存待补",IF(D740=0,"国内无可用库存",IF(G740&gt;0,"先发国内现货","按建议量发货")))))</f>
        <v>零日销，本批不发</v>
      </c>
      <c r="I740" s="28" t="n">
        <f>IF(AND(COUNT(Z740,AA740,AB740)=3,Z740&gt;=AA740,AA740&gt;=0,AB740=7),Z740-AA740,"")</f>
        <v>0</v>
      </c>
      <c r="J740" s="28" t="n">
        <f>IF(AND(COUNT(AF740,AG740,AH740)=3,AF740&gt;=AG740,AG740&gt;=0,AH740=14),AF740-AG740,"")</f>
        <v>0</v>
      </c>
      <c r="K740" s="28" t="n">
        <f>IF(AND(COUNT(AL740,AM740,AN740)=3,AL740&gt;=AM740,AM740&gt;=0,AN740=30),AL740-AM740,"")</f>
        <v>0</v>
      </c>
      <c r="L740" s="29" t="n">
        <f>IF(ISNUMBER(BI740),BI740/90,"")</f>
        <v>0</v>
      </c>
      <c r="M740" s="28" t="n">
        <v>0</v>
      </c>
      <c r="N740" s="28" t="n">
        <v>0</v>
      </c>
      <c r="O740" s="28" t="n">
        <v>0</v>
      </c>
      <c r="P740" s="30" t="str">
        <f>IF(AND(ISNUMBER(L740),L740&gt;0,COUNT(M740:O740)=3,MIN(M740:O740)&gt;=0),SUM(M740:O740)/L740,"")</f>
      </c>
      <c r="Q740" s="16" t="str">
        <v>沿用原计划SKU店铺</v>
      </c>
      <c r="R740" s="16" t="str">
        <v>已匹配</v>
      </c>
      <c r="S740" s="16" t="str">
        <v>停售</v>
      </c>
      <c r="T740" s="16" t="str">
        <v>32582</v>
      </c>
      <c r="U740" s="16" t="str">
        <v>红色</v>
      </c>
      <c r="V740" s="16" t="n">
        <v>7</v>
      </c>
      <c r="W740" s="8" t="str">
        <v>2026-10-08 至 2026-10-17</v>
      </c>
      <c r="X740" s="8" t="str">
        <v>2026-10-08、2026-10-09、2026-10-10、2026-10-11、2026-10-14、2026-10-15、2026-10-17</v>
      </c>
      <c r="Y740" s="8" t="str">
        <v>2026-10-12 有记录的停售日；2026-10-13 有记录的停售日；2026-10-16 有记录的停售日</v>
      </c>
      <c r="Z740" s="8" t="n">
        <v>0</v>
      </c>
      <c r="AA740" s="8" t="n">
        <v>0</v>
      </c>
      <c r="AB740" s="8" t="n">
        <v>7</v>
      </c>
      <c r="AC740" s="8" t="str">
        <v>2026-09-29 至 2026-10-17</v>
      </c>
      <c r="AD740" s="8" t="str">
        <v>2026-09-29、2026-09-30、2026-10-01、2026-10-02、2026-10-03、2026-10-04、2026-10-05、2026-10-08、2026-10-09、2026-10-10、2026-10-11、2026-10-14、2026-10-15、2026-10-17</v>
      </c>
      <c r="AE740" s="8" t="str">
        <v>2026-10-06 大促；2026-10-07 大促；2026-10-12 有记录的停售日；2026-10-13 有记录的停售日；2026-10-16 有记录的停售日</v>
      </c>
      <c r="AF740" s="8" t="n">
        <v>0</v>
      </c>
      <c r="AG740" s="8" t="n">
        <v>0</v>
      </c>
      <c r="AH740" s="8" t="n">
        <v>14</v>
      </c>
      <c r="AI740" s="8" t="str">
        <v>2026-09-13 至 2026-10-17</v>
      </c>
      <c r="AJ74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0" s="8" t="str">
        <v>2026-10-06 大促；2026-10-07 大促；2026-10-12 有记录的停售日；2026-10-13 有记录的停售日；2026-10-16 有记录的停售日</v>
      </c>
      <c r="AL740" s="8" t="n">
        <v>0</v>
      </c>
      <c r="AM740" s="8" t="n">
        <v>0</v>
      </c>
      <c r="AN740" s="8" t="n">
        <v>30</v>
      </c>
      <c r="AO740" s="8" t="str">
        <v>32582 / 红色羊京绒 / 6574</v>
      </c>
      <c r="AP740" s="11" t="n">
        <v>1.0395067087630607</v>
      </c>
      <c r="AQ740" s="11" t="n">
        <v>1.048428692110265</v>
      </c>
      <c r="AR740" s="11" t="n">
        <v>1.076979038821319</v>
      </c>
      <c r="AS740" s="11" t="n">
        <f>IF(AND(COUNT(I740:K740,AP740:AR740)=6,MIN(AP740:AR740)&gt;0),I740/7/AP740*0.5+J740/14/AQ740*0.3+K740/30/AR740*0.2,"")</f>
        <v>0</v>
      </c>
      <c r="AT740" s="8" t="n">
        <v>0</v>
      </c>
      <c r="AU740" s="8" t="n">
        <v>0</v>
      </c>
      <c r="AV740" s="8" t="n">
        <v>85</v>
      </c>
      <c r="AW740" s="11" t="n">
        <f>IF(AND(COUNT(AT740:AV740)=3,AT740&gt;=AU740,AU740&gt;=0,AV740&gt;0),(AT740-AU740)/AV740,"")</f>
        <v>0</v>
      </c>
      <c r="AX740" s="8" t="n">
        <v>0</v>
      </c>
      <c r="AY740" s="8" t="n">
        <v>0</v>
      </c>
      <c r="AZ740" s="8" t="n">
        <v>175</v>
      </c>
      <c r="BA740" s="11" t="n">
        <f>IF(AND(COUNT(AX740:AZ740)=3,AX740&gt;=AY740,AY740&gt;=0,AZ740&gt;0),(AX740-AY740)/AZ740,"")</f>
        <v>0</v>
      </c>
      <c r="BB740" s="8" t="n">
        <f>IF(COUNT(AS740,AW740,BA740)=3,1,0)</f>
        <v>1</v>
      </c>
      <c r="BC740" s="11" t="n">
        <f>IF(SUMIF($AO$11:$AO$1309,AO740,$BB$11:$BB$1309)=COUNTIF($AO$11:$AO$1309,AO740),SUMIF($AO$11:$AO$1309,AO740,$AS$11:$AS$1309),"")</f>
        <v>0.17414025453815726</v>
      </c>
      <c r="BD740" s="11" t="n">
        <f>IF(SUMIF($AO$11:$AO$1309,AO740,$BB$11:$BB$1309)=COUNTIF($AO$11:$AO$1309,AO740),SUMIF($AO$11:$AO$1309,AO740,$AW$11:$AW$1309),"")</f>
        <v>0.25</v>
      </c>
      <c r="BE740" s="11" t="n">
        <f>IF(SUMIF($AO$11:$AO$1309,AO740,$BB$11:$BB$1309)=COUNTIF($AO$11:$AO$1309,AO740),SUMIF($AO$11:$AO$1309,AO740,$BA$11:$BA$1309),"")</f>
        <v>0.342792937399679</v>
      </c>
      <c r="BF740" s="12" t="n">
        <f>IF(COUNT(BD740:BE740)&lt;&gt;2,"",IF(AND(BD740&gt;0,BE740&gt;0),0.7*AW740/BD740+0.3*BA740/BE740,IF(BD740&gt;0,AW740/BD740,IF(BE740&gt;0,BA740/BE740,IF(AND(ISNUMBER(BH740),BH740=0),0,"")))))</f>
        <v>0</v>
      </c>
      <c r="BG740" s="11" t="n">
        <f>IF(AND(COUNT(BN740:BU740)=8,MIN(BN740:BU740)&gt;=0),SUMPRODUCT(BN740:BQ740,BR740:BU740),"")</f>
        <v>88.27281580841549</v>
      </c>
      <c r="BH740" s="11" t="n">
        <f>IF(COUNT(BC740,BG740)=2,BC740*BG740,"")</f>
        <v>15.371850613677346</v>
      </c>
      <c r="BI740" s="11" t="n">
        <f>IF(ISNUMBER(CI740),CI740,"")</f>
        <v>0</v>
      </c>
      <c r="BJ740" s="8" t="str">
        <v>近180天本色销量64双（＜90），无有效新采购，请运营判断</v>
      </c>
      <c r="BK740" s="8" t="str">
        <v>90天：2026-07-20 至 2026-10-17；180天：2026-04-21 至 2026-10-17</v>
      </c>
      <c r="BL740" s="8" t="str">
        <v>90天：2026-10-06、2026-10-07、2026-10-12、2026-10-13、2026-10-16；180天：2026-10-06、2026-10-07、2026-10-12、2026-10-13、2026-10-16</v>
      </c>
      <c r="BM740" s="8" t="str">
        <v>2026-10：12天 × 1.0395067087630607；2026-11：30天 × 0.9890368360033146；2026-12：31天 × 0.7800796503018808；2027-01：17天 × 1.2908918272824135</v>
      </c>
      <c r="BN740" s="11" t="n">
        <v>1.0395067087630607</v>
      </c>
      <c r="BO740" s="11" t="n">
        <v>0.9890368360033146</v>
      </c>
      <c r="BP740" s="11" t="n">
        <v>0.7800796503018808</v>
      </c>
      <c r="BQ740" s="11" t="n">
        <v>1.2908918272824135</v>
      </c>
      <c r="BR740" s="8" t="n">
        <v>12</v>
      </c>
      <c r="BS740" s="8" t="n">
        <v>30</v>
      </c>
      <c r="BT740" s="8" t="n">
        <v>31</v>
      </c>
      <c r="BU740" s="8" t="n">
        <v>17</v>
      </c>
      <c r="BV740" s="11" t="n">
        <f>IF(COUNT(BC740,BF740)=2,BC740*BF740,"")</f>
        <v>0</v>
      </c>
      <c r="BW740" s="11" t="n">
        <f>IF(ISNUMBER(BN740),BN740,"")</f>
        <v>1.0395067087630607</v>
      </c>
      <c r="BX740" s="14" t="n">
        <f>IF(ISNUMBER(BR740),BR740,"")</f>
        <v>12</v>
      </c>
      <c r="BY740" s="13" t="n">
        <f>IF(AND(COUNT(BV740,BW740,BX740)=3,MIN(BV740,BW740,BX740)&gt;=0),BV740*BW740*BX740,"")</f>
        <v>0</v>
      </c>
      <c r="BZ740" s="11" t="n">
        <f>IF(ISNUMBER(BO740),BO740,"")</f>
        <v>0.9890368360033146</v>
      </c>
      <c r="CA740" s="14" t="n">
        <f>IF(ISNUMBER(BS740),BS740,"")</f>
        <v>30</v>
      </c>
      <c r="CB740" s="13" t="n">
        <f>IF(AND(COUNT(BV740,BZ740,CA740)=3,MIN(BV740,BZ740,CA740)&gt;=0),BV740*BZ740*CA740,"")</f>
        <v>0</v>
      </c>
      <c r="CC740" s="11" t="n">
        <f>IF(ISNUMBER(BP740),BP740,"")</f>
        <v>0.7800796503018808</v>
      </c>
      <c r="CD740" s="14" t="n">
        <f>IF(ISNUMBER(BT740),BT740,"")</f>
        <v>31</v>
      </c>
      <c r="CE740" s="13" t="n">
        <f>IF(AND(COUNT(BV740,CC740,CD740)=3,MIN(BV740,CC740,CD740)&gt;=0),BV740*CC740*CD740,"")</f>
        <v>0</v>
      </c>
      <c r="CF740" s="11" t="n">
        <f>IF(ISNUMBER(BQ740),BQ740,"")</f>
        <v>1.2908918272824135</v>
      </c>
      <c r="CG740" s="14" t="n">
        <f>IF(ISNUMBER(BU740),BU740,"")</f>
        <v>17</v>
      </c>
      <c r="CH740" s="13" t="n">
        <f>IF(AND(COUNT(BV740,CF740,CG740)=3,MIN(BV740,CF740,CG740)&gt;=0),BV740*CF740*CG740,"")</f>
        <v>0</v>
      </c>
      <c r="CI740" s="13" t="n">
        <f>IF(COUNT(BY740,CB740,CE740,CH740)=4,SUM(BY740,CB740,CE740,CH740),"")</f>
        <v>0</v>
      </c>
    </row>
    <row r="741" ht="72" customHeight="1">
      <c r="A741" s="16" t="str">
        <v>32582-RD-38.5</v>
      </c>
      <c r="B741" s="16" t="str">
        <v>3店-SANDIEX-US</v>
      </c>
      <c r="C741" s="16" t="str">
        <v>徐新怡</v>
      </c>
      <c r="D741" s="26" t="n">
        <f>IF(NOT(ISNUMBER(E741)),"",IF(OR(E741&lt;=0,L741=0),0,IF(OR(NOT(ISNUMBER(F741)),F741&lt;0),"",MIN(E741,INT(F741)))))</f>
        <v>0</v>
      </c>
      <c r="E741" s="27" t="n">
        <f>IF(OR(NOT(ISNUMBER(L741)),COUNT(M741:O741)&lt;&gt;3,MIN(M741:O741)&lt;0),"",ROUNDUP(ROUND(BI741-SUM(M741:O741),10),0))</f>
        <v>0</v>
      </c>
      <c r="F741" s="28" t="n">
        <v>0</v>
      </c>
      <c r="G741" s="28" t="n">
        <f>IF(AND(ISNUMBER(D741),ISNUMBER(E741)),IF(OR(E741&lt;=0,L741=0),0,E741-D741),"")</f>
        <v>0</v>
      </c>
      <c r="H741" s="16" t="str">
        <f>IF(NOT(ISNUMBER(E741)),"销量或海外库存待补",IF(OR(E741&lt;=0,L741=0),IF(L741=0,"零日销，本批不发","本批无需补货"),IF(NOT(ISNUMBER(D741)),"国内库存待补",IF(D741=0,"国内无可用库存",IF(G741&gt;0,"先发国内现货","按建议量发货")))))</f>
        <v>零日销，本批不发</v>
      </c>
      <c r="I741" s="28" t="n">
        <f>IF(AND(COUNT(Z741,AA741,AB741)=3,Z741&gt;=AA741,AA741&gt;=0,AB741=7),Z741-AA741,"")</f>
        <v>0</v>
      </c>
      <c r="J741" s="28" t="n">
        <f>IF(AND(COUNT(AF741,AG741,AH741)=3,AF741&gt;=AG741,AG741&gt;=0,AH741=14),AF741-AG741,"")</f>
        <v>0</v>
      </c>
      <c r="K741" s="28" t="n">
        <f>IF(AND(COUNT(AL741,AM741,AN741)=3,AL741&gt;=AM741,AM741&gt;=0,AN741=30),AL741-AM741,"")</f>
        <v>0</v>
      </c>
      <c r="L741" s="29" t="n">
        <f>IF(ISNUMBER(BI741),BI741/90,"")</f>
        <v>0</v>
      </c>
      <c r="M741" s="28" t="n">
        <v>0</v>
      </c>
      <c r="N741" s="28" t="n">
        <v>0</v>
      </c>
      <c r="O741" s="28" t="n">
        <v>0</v>
      </c>
      <c r="P741" s="30" t="str">
        <f>IF(AND(ISNUMBER(L741),L741&gt;0,COUNT(M741:O741)=3,MIN(M741:O741)&gt;=0),SUM(M741:O741)/L741,"")</f>
      </c>
      <c r="Q741" s="16" t="str">
        <v>沿用原计划SKU店铺</v>
      </c>
      <c r="R741" s="16" t="str">
        <v>已匹配</v>
      </c>
      <c r="S741" s="16" t="str">
        <v>停售</v>
      </c>
      <c r="T741" s="16" t="str">
        <v>32582</v>
      </c>
      <c r="U741" s="16" t="str">
        <v>红色</v>
      </c>
      <c r="V741" s="16" t="n">
        <v>7.5</v>
      </c>
      <c r="W741" s="8" t="str">
        <v>2026-10-08 至 2026-10-17</v>
      </c>
      <c r="X741" s="8" t="str">
        <v>2026-10-08、2026-10-09、2026-10-10、2026-10-11、2026-10-14、2026-10-15、2026-10-17</v>
      </c>
      <c r="Y741" s="8" t="str">
        <v>2026-10-12 有记录的停售日；2026-10-13 有记录的停售日；2026-10-16 有记录的停售日</v>
      </c>
      <c r="Z741" s="8" t="n">
        <v>0</v>
      </c>
      <c r="AA741" s="8" t="n">
        <v>0</v>
      </c>
      <c r="AB741" s="8" t="n">
        <v>7</v>
      </c>
      <c r="AC741" s="8" t="str">
        <v>2026-09-29 至 2026-10-17</v>
      </c>
      <c r="AD741" s="8" t="str">
        <v>2026-09-29、2026-09-30、2026-10-01、2026-10-02、2026-10-03、2026-10-04、2026-10-05、2026-10-08、2026-10-09、2026-10-10、2026-10-11、2026-10-14、2026-10-15、2026-10-17</v>
      </c>
      <c r="AE741" s="8" t="str">
        <v>2026-10-06 大促；2026-10-07 大促；2026-10-12 有记录的停售日；2026-10-13 有记录的停售日；2026-10-16 有记录的停售日</v>
      </c>
      <c r="AF741" s="8" t="n">
        <v>0</v>
      </c>
      <c r="AG741" s="8" t="n">
        <v>0</v>
      </c>
      <c r="AH741" s="8" t="n">
        <v>14</v>
      </c>
      <c r="AI741" s="8" t="str">
        <v>2026-09-13 至 2026-10-17</v>
      </c>
      <c r="AJ74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1" s="8" t="str">
        <v>2026-10-06 大促；2026-10-07 大促；2026-10-12 有记录的停售日；2026-10-13 有记录的停售日；2026-10-16 有记录的停售日</v>
      </c>
      <c r="AL741" s="8" t="n">
        <v>0</v>
      </c>
      <c r="AM741" s="8" t="n">
        <v>0</v>
      </c>
      <c r="AN741" s="8" t="n">
        <v>30</v>
      </c>
      <c r="AO741" s="8" t="str">
        <v>32582 / 红色羊京绒 / 6574</v>
      </c>
      <c r="AP741" s="11" t="n">
        <v>1.0395067087630607</v>
      </c>
      <c r="AQ741" s="11" t="n">
        <v>1.048428692110265</v>
      </c>
      <c r="AR741" s="11" t="n">
        <v>1.076979038821319</v>
      </c>
      <c r="AS741" s="11" t="n">
        <f>IF(AND(COUNT(I741:K741,AP741:AR741)=6,MIN(AP741:AR741)&gt;0),I741/7/AP741*0.5+J741/14/AQ741*0.3+K741/30/AR741*0.2,"")</f>
        <v>0</v>
      </c>
      <c r="AT741" s="8" t="n">
        <v>0</v>
      </c>
      <c r="AU741" s="8" t="n">
        <v>0</v>
      </c>
      <c r="AV741" s="8" t="n">
        <v>85</v>
      </c>
      <c r="AW741" s="11" t="n">
        <f>IF(AND(COUNT(AT741:AV741)=3,AT741&gt;=AU741,AU741&gt;=0,AV741&gt;0),(AT741-AU741)/AV741,"")</f>
        <v>0</v>
      </c>
      <c r="AX741" s="8" t="n">
        <v>0</v>
      </c>
      <c r="AY741" s="8" t="n">
        <v>0</v>
      </c>
      <c r="AZ741" s="8" t="n">
        <v>175</v>
      </c>
      <c r="BA741" s="11" t="n">
        <f>IF(AND(COUNT(AX741:AZ741)=3,AX741&gt;=AY741,AY741&gt;=0,AZ741&gt;0),(AX741-AY741)/AZ741,"")</f>
        <v>0</v>
      </c>
      <c r="BB741" s="8" t="n">
        <f>IF(COUNT(AS741,AW741,BA741)=3,1,0)</f>
        <v>1</v>
      </c>
      <c r="BC741" s="11" t="n">
        <f>IF(SUMIF($AO$11:$AO$1309,AO741,$BB$11:$BB$1309)=COUNTIF($AO$11:$AO$1309,AO741),SUMIF($AO$11:$AO$1309,AO741,$AS$11:$AS$1309),"")</f>
        <v>0.17414025453815726</v>
      </c>
      <c r="BD741" s="11" t="n">
        <f>IF(SUMIF($AO$11:$AO$1309,AO741,$BB$11:$BB$1309)=COUNTIF($AO$11:$AO$1309,AO741),SUMIF($AO$11:$AO$1309,AO741,$AW$11:$AW$1309),"")</f>
        <v>0.25</v>
      </c>
      <c r="BE741" s="11" t="n">
        <f>IF(SUMIF($AO$11:$AO$1309,AO741,$BB$11:$BB$1309)=COUNTIF($AO$11:$AO$1309,AO741),SUMIF($AO$11:$AO$1309,AO741,$BA$11:$BA$1309),"")</f>
        <v>0.342792937399679</v>
      </c>
      <c r="BF741" s="12" t="n">
        <f>IF(COUNT(BD741:BE741)&lt;&gt;2,"",IF(AND(BD741&gt;0,BE741&gt;0),0.7*AW741/BD741+0.3*BA741/BE741,IF(BD741&gt;0,AW741/BD741,IF(BE741&gt;0,BA741/BE741,IF(AND(ISNUMBER(BH741),BH741=0),0,"")))))</f>
        <v>0</v>
      </c>
      <c r="BG741" s="11" t="n">
        <f>IF(AND(COUNT(BN741:BU741)=8,MIN(BN741:BU741)&gt;=0),SUMPRODUCT(BN741:BQ741,BR741:BU741),"")</f>
        <v>88.27281580841549</v>
      </c>
      <c r="BH741" s="11" t="n">
        <f>IF(COUNT(BC741,BG741)=2,BC741*BG741,"")</f>
        <v>15.371850613677346</v>
      </c>
      <c r="BI741" s="11" t="n">
        <f>IF(ISNUMBER(CI741),CI741,"")</f>
        <v>0</v>
      </c>
      <c r="BJ741" s="8" t="str">
        <v>近180天本色销量64双（＜90），无有效新采购，请运营判断</v>
      </c>
      <c r="BK741" s="8" t="str">
        <v>90天：2026-07-20 至 2026-10-17；180天：2026-04-21 至 2026-10-17</v>
      </c>
      <c r="BL741" s="8" t="str">
        <v>90天：2026-10-06、2026-10-07、2026-10-12、2026-10-13、2026-10-16；180天：2026-10-06、2026-10-07、2026-10-12、2026-10-13、2026-10-16</v>
      </c>
      <c r="BM741" s="8" t="str">
        <v>2026-10：12天 × 1.0395067087630607；2026-11：30天 × 0.9890368360033146；2026-12：31天 × 0.7800796503018808；2027-01：17天 × 1.2908918272824135</v>
      </c>
      <c r="BN741" s="11" t="n">
        <v>1.0395067087630607</v>
      </c>
      <c r="BO741" s="11" t="n">
        <v>0.9890368360033146</v>
      </c>
      <c r="BP741" s="11" t="n">
        <v>0.7800796503018808</v>
      </c>
      <c r="BQ741" s="11" t="n">
        <v>1.2908918272824135</v>
      </c>
      <c r="BR741" s="8" t="n">
        <v>12</v>
      </c>
      <c r="BS741" s="8" t="n">
        <v>30</v>
      </c>
      <c r="BT741" s="8" t="n">
        <v>31</v>
      </c>
      <c r="BU741" s="8" t="n">
        <v>17</v>
      </c>
      <c r="BV741" s="11" t="n">
        <f>IF(COUNT(BC741,BF741)=2,BC741*BF741,"")</f>
        <v>0</v>
      </c>
      <c r="BW741" s="11" t="n">
        <f>IF(ISNUMBER(BN741),BN741,"")</f>
        <v>1.0395067087630607</v>
      </c>
      <c r="BX741" s="14" t="n">
        <f>IF(ISNUMBER(BR741),BR741,"")</f>
        <v>12</v>
      </c>
      <c r="BY741" s="13" t="n">
        <f>IF(AND(COUNT(BV741,BW741,BX741)=3,MIN(BV741,BW741,BX741)&gt;=0),BV741*BW741*BX741,"")</f>
        <v>0</v>
      </c>
      <c r="BZ741" s="11" t="n">
        <f>IF(ISNUMBER(BO741),BO741,"")</f>
        <v>0.9890368360033146</v>
      </c>
      <c r="CA741" s="14" t="n">
        <f>IF(ISNUMBER(BS741),BS741,"")</f>
        <v>30</v>
      </c>
      <c r="CB741" s="13" t="n">
        <f>IF(AND(COUNT(BV741,BZ741,CA741)=3,MIN(BV741,BZ741,CA741)&gt;=0),BV741*BZ741*CA741,"")</f>
        <v>0</v>
      </c>
      <c r="CC741" s="11" t="n">
        <f>IF(ISNUMBER(BP741),BP741,"")</f>
        <v>0.7800796503018808</v>
      </c>
      <c r="CD741" s="14" t="n">
        <f>IF(ISNUMBER(BT741),BT741,"")</f>
        <v>31</v>
      </c>
      <c r="CE741" s="13" t="n">
        <f>IF(AND(COUNT(BV741,CC741,CD741)=3,MIN(BV741,CC741,CD741)&gt;=0),BV741*CC741*CD741,"")</f>
        <v>0</v>
      </c>
      <c r="CF741" s="11" t="n">
        <f>IF(ISNUMBER(BQ741),BQ741,"")</f>
        <v>1.2908918272824135</v>
      </c>
      <c r="CG741" s="14" t="n">
        <f>IF(ISNUMBER(BU741),BU741,"")</f>
        <v>17</v>
      </c>
      <c r="CH741" s="13" t="n">
        <f>IF(AND(COUNT(BV741,CF741,CG741)=3,MIN(BV741,CF741,CG741)&gt;=0),BV741*CF741*CG741,"")</f>
        <v>0</v>
      </c>
      <c r="CI741" s="13" t="n">
        <f>IF(COUNT(BY741,CB741,CE741,CH741)=4,SUM(BY741,CB741,CE741,CH741),"")</f>
        <v>0</v>
      </c>
    </row>
    <row r="742" ht="72" customHeight="1">
      <c r="A742" s="16" t="str">
        <v>32582-RD-39</v>
      </c>
      <c r="B742" s="16" t="str">
        <v>3店-SANDIEX-US</v>
      </c>
      <c r="C742" s="16" t="str">
        <v>徐新怡</v>
      </c>
      <c r="D742" s="26" t="n">
        <f>IF(NOT(ISNUMBER(E742)),"",IF(OR(E742&lt;=0,L742=0),0,IF(OR(NOT(ISNUMBER(F742)),F742&lt;0),"",MIN(E742,INT(F742)))))</f>
        <v>0</v>
      </c>
      <c r="E742" s="27" t="n">
        <f>IF(OR(NOT(ISNUMBER(L742)),COUNT(M742:O742)&lt;&gt;3,MIN(M742:O742)&lt;0),"",ROUNDUP(ROUND(BI742-SUM(M742:O742),10),0))</f>
        <v>-7</v>
      </c>
      <c r="F742" s="28" t="n">
        <v>0</v>
      </c>
      <c r="G742" s="28" t="n">
        <f>IF(AND(ISNUMBER(D742),ISNUMBER(E742)),IF(OR(E742&lt;=0,L742=0),0,E742-D742),"")</f>
        <v>0</v>
      </c>
      <c r="H742" s="16" t="str">
        <f>IF(NOT(ISNUMBER(E742)),"销量或海外库存待补",IF(OR(E742&lt;=0,L742=0),IF(L742=0,"零日销，本批不发","本批无需补货"),IF(NOT(ISNUMBER(D742)),"国内库存待补",IF(D742=0,"国内无可用库存",IF(G742&gt;0,"先发国内现货","按建议量发货")))))</f>
        <v>本批无需补货</v>
      </c>
      <c r="I742" s="28" t="n">
        <f>IF(AND(COUNT(Z742,AA742,AB742)=3,Z742&gt;=AA742,AA742&gt;=0,AB742=7),Z742-AA742,"")</f>
        <v>0</v>
      </c>
      <c r="J742" s="28" t="n">
        <f>IF(AND(COUNT(AF742,AG742,AH742)=3,AF742&gt;=AG742,AG742&gt;=0,AH742=14),AF742-AG742,"")</f>
        <v>0</v>
      </c>
      <c r="K742" s="28" t="n">
        <f>IF(AND(COUNT(AL742,AM742,AN742)=3,AL742&gt;=AM742,AM742&gt;=0,AN742=30),AL742-AM742,"")</f>
        <v>0</v>
      </c>
      <c r="L742" s="29" t="n">
        <f>IF(ISNUMBER(BI742),BI742/90,"")</f>
        <v>0.06491363536377372</v>
      </c>
      <c r="M742" s="28" t="n">
        <v>12</v>
      </c>
      <c r="N742" s="28" t="n">
        <v>0</v>
      </c>
      <c r="O742" s="28" t="n">
        <v>0</v>
      </c>
      <c r="P742" s="30" t="n">
        <f>IF(AND(ISNUMBER(L742),L742&gt;0,COUNT(M742:O742)=3,MIN(M742:O742)&gt;=0),SUM(M742:O742)/L742,"")</f>
        <v>184.86100697877148</v>
      </c>
      <c r="Q742" s="16" t="str">
        <v>沿用原计划SKU店铺</v>
      </c>
      <c r="R742" s="16" t="str">
        <v>已匹配</v>
      </c>
      <c r="S742" s="16" t="str">
        <v>在售</v>
      </c>
      <c r="T742" s="16" t="str">
        <v>32582</v>
      </c>
      <c r="U742" s="16" t="str">
        <v>红色</v>
      </c>
      <c r="V742" s="16" t="n">
        <v>8</v>
      </c>
      <c r="W742" s="8" t="str">
        <v>2026-10-11 至 2026-10-17</v>
      </c>
      <c r="X742" s="8" t="str">
        <v>2026-10-11、2026-10-12、2026-10-13、2026-10-14、2026-10-15、2026-10-16、2026-10-17</v>
      </c>
      <c r="Y742" s="8" t="str">
        <v>无</v>
      </c>
      <c r="Z742" s="8" t="n">
        <v>0</v>
      </c>
      <c r="AA742" s="8" t="n">
        <v>0</v>
      </c>
      <c r="AB742" s="8" t="n">
        <v>7</v>
      </c>
      <c r="AC742" s="8" t="str">
        <v>2026-10-02 至 2026-10-17</v>
      </c>
      <c r="AD742" s="8" t="str">
        <v>2026-10-02、2026-10-03、2026-10-04、2026-10-05、2026-10-08、2026-10-09、2026-10-10、2026-10-11、2026-10-12、2026-10-13、2026-10-14、2026-10-15、2026-10-16、2026-10-17</v>
      </c>
      <c r="AE742" s="8" t="str">
        <v>2026-10-06 大促；2026-10-07 大促</v>
      </c>
      <c r="AF742" s="8" t="n">
        <v>2</v>
      </c>
      <c r="AG742" s="8" t="n">
        <v>2</v>
      </c>
      <c r="AH742" s="8" t="n">
        <v>14</v>
      </c>
      <c r="AI742" s="8" t="str">
        <v>2026-09-16 至 2026-10-17</v>
      </c>
      <c r="AJ7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42" s="8" t="str">
        <v>2026-10-06 大促；2026-10-07 大促</v>
      </c>
      <c r="AL742" s="8" t="n">
        <v>2</v>
      </c>
      <c r="AM742" s="8" t="n">
        <v>2</v>
      </c>
      <c r="AN742" s="8" t="n">
        <v>30</v>
      </c>
      <c r="AO742" s="8" t="str">
        <v>32582 / 红色羊京绒 / 6574</v>
      </c>
      <c r="AP742" s="11" t="n">
        <v>1.0395067087630607</v>
      </c>
      <c r="AQ742" s="11" t="n">
        <v>1.0395067087630607</v>
      </c>
      <c r="AR742" s="11" t="n">
        <v>1.0707336504782758</v>
      </c>
      <c r="AS742" s="11" t="n">
        <f>IF(AND(COUNT(I742:K742,AP742:AR742)=6,MIN(AP742:AR742)&gt;0),I742/7/AP742*0.5+J742/14/AQ742*0.3+K742/30/AR742*0.2,"")</f>
        <v>0</v>
      </c>
      <c r="AT742" s="8" t="n">
        <v>9</v>
      </c>
      <c r="AU742" s="8" t="n">
        <v>2</v>
      </c>
      <c r="AV742" s="8" t="n">
        <v>88</v>
      </c>
      <c r="AW742" s="11" t="n">
        <f>IF(AND(COUNT(AT742:AV742)=3,AT742&gt;=AU742,AU742&gt;=0,AV742&gt;0),(AT742-AU742)/AV742,"")</f>
        <v>0.07954545454545454</v>
      </c>
      <c r="AX742" s="8" t="n">
        <v>34</v>
      </c>
      <c r="AY742" s="8" t="n">
        <v>2</v>
      </c>
      <c r="AZ742" s="8" t="n">
        <v>178</v>
      </c>
      <c r="BA742" s="11" t="n">
        <f>IF(AND(COUNT(AX742:AZ742)=3,AX742&gt;=AY742,AY742&gt;=0,AZ742&gt;0),(AX742-AY742)/AZ742,"")</f>
        <v>0.1797752808988764</v>
      </c>
      <c r="BB742" s="8" t="n">
        <f>IF(COUNT(AS742,AW742,BA742)=3,1,0)</f>
        <v>1</v>
      </c>
      <c r="BC742" s="11" t="n">
        <f>IF(SUMIF($AO$11:$AO$1309,AO742,$BB$11:$BB$1309)=COUNTIF($AO$11:$AO$1309,AO742),SUMIF($AO$11:$AO$1309,AO742,$AS$11:$AS$1309),"")</f>
        <v>0.17414025453815726</v>
      </c>
      <c r="BD742" s="11" t="n">
        <f>IF(SUMIF($AO$11:$AO$1309,AO742,$BB$11:$BB$1309)=COUNTIF($AO$11:$AO$1309,AO742),SUMIF($AO$11:$AO$1309,AO742,$AW$11:$AW$1309),"")</f>
        <v>0.25</v>
      </c>
      <c r="BE742" s="11" t="n">
        <f>IF(SUMIF($AO$11:$AO$1309,AO742,$BB$11:$BB$1309)=COUNTIF($AO$11:$AO$1309,AO742),SUMIF($AO$11:$AO$1309,AO742,$BA$11:$BA$1309),"")</f>
        <v>0.342792937399679</v>
      </c>
      <c r="BF742" s="12" t="n">
        <f>IF(COUNT(BD742:BE742)&lt;&gt;2,"",IF(AND(BD742&gt;0,BE742&gt;0),0.7*AW742/BD742+0.3*BA742/BE742,IF(BD742&gt;0,AW742/BD742,IF(BE742&gt;0,BA742/BE742,IF(AND(ISNUMBER(BH742),BH742=0),0,"")))))</f>
        <v>0.3800601065912922</v>
      </c>
      <c r="BG742" s="11" t="n">
        <f>IF(AND(COUNT(BN742:BU742)=8,MIN(BN742:BU742)&gt;=0),SUMPRODUCT(BN742:BQ742,BR742:BU742),"")</f>
        <v>88.27281580841549</v>
      </c>
      <c r="BH742" s="11" t="n">
        <f>IF(COUNT(BC742,BG742)=2,BC742*BG742,"")</f>
        <v>15.371850613677346</v>
      </c>
      <c r="BI742" s="11" t="n">
        <f>IF(ISNUMBER(CI742),CI742,"")</f>
        <v>5.842227182739634</v>
      </c>
      <c r="BJ742" s="8" t="str">
        <v>近180天本色销量64双（＜90），无有效新采购，请运营判断</v>
      </c>
      <c r="BK742" s="8" t="str">
        <v>90天：2026-07-20 至 2026-10-17；180天：2026-04-21 至 2026-10-17</v>
      </c>
      <c r="BL742" s="8" t="str">
        <v>90天：2026-10-06、2026-10-07；180天：2026-10-06、2026-10-07</v>
      </c>
      <c r="BM742" s="8" t="str">
        <v>2026-10：12天 × 1.0395067087630607；2026-11：30天 × 0.9890368360033146；2026-12：31天 × 0.7800796503018808；2027-01：17天 × 1.2908918272824135</v>
      </c>
      <c r="BN742" s="11" t="n">
        <v>1.0395067087630607</v>
      </c>
      <c r="BO742" s="11" t="n">
        <v>0.9890368360033146</v>
      </c>
      <c r="BP742" s="11" t="n">
        <v>0.7800796503018808</v>
      </c>
      <c r="BQ742" s="11" t="n">
        <v>1.2908918272824135</v>
      </c>
      <c r="BR742" s="8" t="n">
        <v>12</v>
      </c>
      <c r="BS742" s="8" t="n">
        <v>30</v>
      </c>
      <c r="BT742" s="8" t="n">
        <v>31</v>
      </c>
      <c r="BU742" s="8" t="n">
        <v>17</v>
      </c>
      <c r="BV742" s="11" t="n">
        <f>IF(COUNT(BC742,BF742)=2,BC742*BF742,"")</f>
        <v>0.06618376370160681</v>
      </c>
      <c r="BW742" s="11" t="n">
        <f>IF(ISNUMBER(BN742),BN742,"")</f>
        <v>1.0395067087630607</v>
      </c>
      <c r="BX742" s="14" t="n">
        <f>IF(ISNUMBER(BR742),BR742,"")</f>
        <v>12</v>
      </c>
      <c r="BY742" s="13" t="n">
        <f>IF(AND(COUNT(BV742,BW742,BX742)=3,MIN(BV742,BW742,BX742)&gt;=0),BV742*BW742*BX742,"")</f>
        <v>0.825581596548113</v>
      </c>
      <c r="BZ742" s="11" t="n">
        <f>IF(ISNUMBER(BO742),BO742,"")</f>
        <v>0.9890368360033146</v>
      </c>
      <c r="CA742" s="14" t="n">
        <f>IF(ISNUMBER(BS742),BS742,"")</f>
        <v>30</v>
      </c>
      <c r="CB742" s="13" t="n">
        <f>IF(AND(COUNT(BV742,BZ742,CA742)=3,MIN(BV742,BZ742,CA742)&gt;=0),BV742*BZ742*CA742,"")</f>
        <v>1.9637454073868468</v>
      </c>
      <c r="CC742" s="11" t="n">
        <f>IF(ISNUMBER(BP742),BP742,"")</f>
        <v>0.7800796503018808</v>
      </c>
      <c r="CD742" s="14" t="n">
        <f>IF(ISNUMBER(BT742),BT742,"")</f>
        <v>31</v>
      </c>
      <c r="CE742" s="13" t="n">
        <f>IF(AND(COUNT(BV742,CC742,CD742)=3,MIN(BV742,CC742,CD742)&gt;=0),BV742*CC742*CD742,"")</f>
        <v>1.6004868245643642</v>
      </c>
      <c r="CF742" s="11" t="n">
        <f>IF(ISNUMBER(BQ742),BQ742,"")</f>
        <v>1.2908918272824135</v>
      </c>
      <c r="CG742" s="14" t="n">
        <f>IF(ISNUMBER(BU742),BU742,"")</f>
        <v>17</v>
      </c>
      <c r="CH742" s="13" t="n">
        <f>IF(AND(COUNT(BV742,CF742,CG742)=3,MIN(BV742,CF742,CG742)&gt;=0),BV742*CF742*CG742,"")</f>
        <v>1.4524133542403095</v>
      </c>
      <c r="CI742" s="13" t="n">
        <f>IF(COUNT(BY742,CB742,CE742,CH742)=4,SUM(BY742,CB742,CE742,CH742),"")</f>
        <v>5.842227182739634</v>
      </c>
    </row>
    <row r="743" ht="72" customHeight="1">
      <c r="A743" s="16" t="str">
        <v>32582-RD-39.5</v>
      </c>
      <c r="B743" s="16" t="str">
        <v>3店-SANDIEX-US</v>
      </c>
      <c r="C743" s="16" t="str">
        <v>徐新怡</v>
      </c>
      <c r="D743" s="26" t="n">
        <f>IF(NOT(ISNUMBER(E743)),"",IF(OR(E743&lt;=0,L743=0),0,IF(OR(NOT(ISNUMBER(F743)),F743&lt;0),"",MIN(E743,INT(F743)))))</f>
        <v>0</v>
      </c>
      <c r="E743" s="27" t="n">
        <f>IF(OR(NOT(ISNUMBER(L743)),COUNT(M743:O743)&lt;&gt;3,MIN(M743:O743)&lt;0),"",ROUNDUP(ROUND(BI743-SUM(M743:O743),10),0))</f>
        <v>0</v>
      </c>
      <c r="F743" s="28" t="n">
        <v>0</v>
      </c>
      <c r="G743" s="28" t="n">
        <f>IF(AND(ISNUMBER(D743),ISNUMBER(E743)),IF(OR(E743&lt;=0,L743=0),0,E743-D743),"")</f>
        <v>0</v>
      </c>
      <c r="H743" s="16" t="str">
        <f>IF(NOT(ISNUMBER(E743)),"销量或海外库存待补",IF(OR(E743&lt;=0,L743=0),IF(L743=0,"零日销，本批不发","本批无需补货"),IF(NOT(ISNUMBER(D743)),"国内库存待补",IF(D743=0,"国内无可用库存",IF(G743&gt;0,"先发国内现货","按建议量发货")))))</f>
        <v>零日销，本批不发</v>
      </c>
      <c r="I743" s="28" t="n">
        <f>IF(AND(COUNT(Z743,AA743,AB743)=3,Z743&gt;=AA743,AA743&gt;=0,AB743=7),Z743-AA743,"")</f>
        <v>0</v>
      </c>
      <c r="J743" s="28" t="n">
        <f>IF(AND(COUNT(AF743,AG743,AH743)=3,AF743&gt;=AG743,AG743&gt;=0,AH743=14),AF743-AG743,"")</f>
        <v>0</v>
      </c>
      <c r="K743" s="28" t="n">
        <f>IF(AND(COUNT(AL743,AM743,AN743)=3,AL743&gt;=AM743,AM743&gt;=0,AN743=30),AL743-AM743,"")</f>
        <v>0</v>
      </c>
      <c r="L743" s="29" t="n">
        <f>IF(ISNUMBER(BI743),BI743/90,"")</f>
        <v>0</v>
      </c>
      <c r="M743" s="28" t="n">
        <v>0</v>
      </c>
      <c r="N743" s="28" t="n">
        <v>0</v>
      </c>
      <c r="O743" s="28" t="n">
        <v>0</v>
      </c>
      <c r="P743" s="30" t="str">
        <f>IF(AND(ISNUMBER(L743),L743&gt;0,COUNT(M743:O743)=3,MIN(M743:O743)&gt;=0),SUM(M743:O743)/L743,"")</f>
      </c>
      <c r="Q743" s="16" t="str">
        <v>沿用原计划SKU店铺</v>
      </c>
      <c r="R743" s="16" t="str">
        <v>已匹配</v>
      </c>
      <c r="S743" s="16" t="str">
        <v>停售</v>
      </c>
      <c r="T743" s="16" t="str">
        <v>32582</v>
      </c>
      <c r="U743" s="16" t="str">
        <v>红色</v>
      </c>
      <c r="V743" s="16" t="n">
        <v>8.5</v>
      </c>
      <c r="W743" s="8" t="str">
        <v>2026-10-08 至 2026-10-17</v>
      </c>
      <c r="X743" s="8" t="str">
        <v>2026-10-08、2026-10-09、2026-10-10、2026-10-11、2026-10-14、2026-10-15、2026-10-17</v>
      </c>
      <c r="Y743" s="8" t="str">
        <v>2026-10-12 有记录的停售日；2026-10-13 有记录的停售日；2026-10-16 有记录的停售日</v>
      </c>
      <c r="Z743" s="8" t="n">
        <v>0</v>
      </c>
      <c r="AA743" s="8" t="n">
        <v>0</v>
      </c>
      <c r="AB743" s="8" t="n">
        <v>7</v>
      </c>
      <c r="AC743" s="8" t="str">
        <v>2026-09-29 至 2026-10-17</v>
      </c>
      <c r="AD743" s="8" t="str">
        <v>2026-09-29、2026-09-30、2026-10-01、2026-10-02、2026-10-03、2026-10-04、2026-10-05、2026-10-08、2026-10-09、2026-10-10、2026-10-11、2026-10-14、2026-10-15、2026-10-17</v>
      </c>
      <c r="AE743" s="8" t="str">
        <v>2026-10-06 大促；2026-10-07 大促；2026-10-12 有记录的停售日；2026-10-13 有记录的停售日；2026-10-16 有记录的停售日</v>
      </c>
      <c r="AF743" s="8" t="n">
        <v>0</v>
      </c>
      <c r="AG743" s="8" t="n">
        <v>0</v>
      </c>
      <c r="AH743" s="8" t="n">
        <v>14</v>
      </c>
      <c r="AI743" s="8" t="str">
        <v>2026-09-13 至 2026-10-17</v>
      </c>
      <c r="AJ74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3" s="8" t="str">
        <v>2026-10-06 大促；2026-10-07 大促；2026-10-12 有记录的停售日；2026-10-13 有记录的停售日；2026-10-16 有记录的停售日</v>
      </c>
      <c r="AL743" s="8" t="n">
        <v>0</v>
      </c>
      <c r="AM743" s="8" t="n">
        <v>0</v>
      </c>
      <c r="AN743" s="8" t="n">
        <v>30</v>
      </c>
      <c r="AO743" s="8" t="str">
        <v>32582 / 红色羊京绒 / 6574</v>
      </c>
      <c r="AP743" s="11" t="n">
        <v>1.0395067087630607</v>
      </c>
      <c r="AQ743" s="11" t="n">
        <v>1.048428692110265</v>
      </c>
      <c r="AR743" s="11" t="n">
        <v>1.076979038821319</v>
      </c>
      <c r="AS743" s="11" t="n">
        <f>IF(AND(COUNT(I743:K743,AP743:AR743)=6,MIN(AP743:AR743)&gt;0),I743/7/AP743*0.5+J743/14/AQ743*0.3+K743/30/AR743*0.2,"")</f>
        <v>0</v>
      </c>
      <c r="AT743" s="8" t="n">
        <v>0</v>
      </c>
      <c r="AU743" s="8" t="n">
        <v>0</v>
      </c>
      <c r="AV743" s="8" t="n">
        <v>85</v>
      </c>
      <c r="AW743" s="11" t="n">
        <f>IF(AND(COUNT(AT743:AV743)=3,AT743&gt;=AU743,AU743&gt;=0,AV743&gt;0),(AT743-AU743)/AV743,"")</f>
        <v>0</v>
      </c>
      <c r="AX743" s="8" t="n">
        <v>0</v>
      </c>
      <c r="AY743" s="8" t="n">
        <v>0</v>
      </c>
      <c r="AZ743" s="8" t="n">
        <v>175</v>
      </c>
      <c r="BA743" s="11" t="n">
        <f>IF(AND(COUNT(AX743:AZ743)=3,AX743&gt;=AY743,AY743&gt;=0,AZ743&gt;0),(AX743-AY743)/AZ743,"")</f>
        <v>0</v>
      </c>
      <c r="BB743" s="8" t="n">
        <f>IF(COUNT(AS743,AW743,BA743)=3,1,0)</f>
        <v>1</v>
      </c>
      <c r="BC743" s="11" t="n">
        <f>IF(SUMIF($AO$11:$AO$1309,AO743,$BB$11:$BB$1309)=COUNTIF($AO$11:$AO$1309,AO743),SUMIF($AO$11:$AO$1309,AO743,$AS$11:$AS$1309),"")</f>
        <v>0.17414025453815726</v>
      </c>
      <c r="BD743" s="11" t="n">
        <f>IF(SUMIF($AO$11:$AO$1309,AO743,$BB$11:$BB$1309)=COUNTIF($AO$11:$AO$1309,AO743),SUMIF($AO$11:$AO$1309,AO743,$AW$11:$AW$1309),"")</f>
        <v>0.25</v>
      </c>
      <c r="BE743" s="11" t="n">
        <f>IF(SUMIF($AO$11:$AO$1309,AO743,$BB$11:$BB$1309)=COUNTIF($AO$11:$AO$1309,AO743),SUMIF($AO$11:$AO$1309,AO743,$BA$11:$BA$1309),"")</f>
        <v>0.342792937399679</v>
      </c>
      <c r="BF743" s="12" t="n">
        <f>IF(COUNT(BD743:BE743)&lt;&gt;2,"",IF(AND(BD743&gt;0,BE743&gt;0),0.7*AW743/BD743+0.3*BA743/BE743,IF(BD743&gt;0,AW743/BD743,IF(BE743&gt;0,BA743/BE743,IF(AND(ISNUMBER(BH743),BH743=0),0,"")))))</f>
        <v>0</v>
      </c>
      <c r="BG743" s="11" t="n">
        <f>IF(AND(COUNT(BN743:BU743)=8,MIN(BN743:BU743)&gt;=0),SUMPRODUCT(BN743:BQ743,BR743:BU743),"")</f>
        <v>88.27281580841549</v>
      </c>
      <c r="BH743" s="11" t="n">
        <f>IF(COUNT(BC743,BG743)=2,BC743*BG743,"")</f>
        <v>15.371850613677346</v>
      </c>
      <c r="BI743" s="11" t="n">
        <f>IF(ISNUMBER(CI743),CI743,"")</f>
        <v>0</v>
      </c>
      <c r="BJ743" s="8" t="str">
        <v>近180天本色销量64双（＜90），无有效新采购，请运营判断</v>
      </c>
      <c r="BK743" s="8" t="str">
        <v>90天：2026-07-20 至 2026-10-17；180天：2026-04-21 至 2026-10-17</v>
      </c>
      <c r="BL743" s="8" t="str">
        <v>90天：2026-10-06、2026-10-07、2026-10-12、2026-10-13、2026-10-16；180天：2026-10-06、2026-10-07、2026-10-12、2026-10-13、2026-10-16</v>
      </c>
      <c r="BM743" s="8" t="str">
        <v>2026-10：12天 × 1.0395067087630607；2026-11：30天 × 0.9890368360033146；2026-12：31天 × 0.7800796503018808；2027-01：17天 × 1.2908918272824135</v>
      </c>
      <c r="BN743" s="11" t="n">
        <v>1.0395067087630607</v>
      </c>
      <c r="BO743" s="11" t="n">
        <v>0.9890368360033146</v>
      </c>
      <c r="BP743" s="11" t="n">
        <v>0.7800796503018808</v>
      </c>
      <c r="BQ743" s="11" t="n">
        <v>1.2908918272824135</v>
      </c>
      <c r="BR743" s="8" t="n">
        <v>12</v>
      </c>
      <c r="BS743" s="8" t="n">
        <v>30</v>
      </c>
      <c r="BT743" s="8" t="n">
        <v>31</v>
      </c>
      <c r="BU743" s="8" t="n">
        <v>17</v>
      </c>
      <c r="BV743" s="11" t="n">
        <f>IF(COUNT(BC743,BF743)=2,BC743*BF743,"")</f>
        <v>0</v>
      </c>
      <c r="BW743" s="11" t="n">
        <f>IF(ISNUMBER(BN743),BN743,"")</f>
        <v>1.0395067087630607</v>
      </c>
      <c r="BX743" s="14" t="n">
        <f>IF(ISNUMBER(BR743),BR743,"")</f>
        <v>12</v>
      </c>
      <c r="BY743" s="13" t="n">
        <f>IF(AND(COUNT(BV743,BW743,BX743)=3,MIN(BV743,BW743,BX743)&gt;=0),BV743*BW743*BX743,"")</f>
        <v>0</v>
      </c>
      <c r="BZ743" s="11" t="n">
        <f>IF(ISNUMBER(BO743),BO743,"")</f>
        <v>0.9890368360033146</v>
      </c>
      <c r="CA743" s="14" t="n">
        <f>IF(ISNUMBER(BS743),BS743,"")</f>
        <v>30</v>
      </c>
      <c r="CB743" s="13" t="n">
        <f>IF(AND(COUNT(BV743,BZ743,CA743)=3,MIN(BV743,BZ743,CA743)&gt;=0),BV743*BZ743*CA743,"")</f>
        <v>0</v>
      </c>
      <c r="CC743" s="11" t="n">
        <f>IF(ISNUMBER(BP743),BP743,"")</f>
        <v>0.7800796503018808</v>
      </c>
      <c r="CD743" s="14" t="n">
        <f>IF(ISNUMBER(BT743),BT743,"")</f>
        <v>31</v>
      </c>
      <c r="CE743" s="13" t="n">
        <f>IF(AND(COUNT(BV743,CC743,CD743)=3,MIN(BV743,CC743,CD743)&gt;=0),BV743*CC743*CD743,"")</f>
        <v>0</v>
      </c>
      <c r="CF743" s="11" t="n">
        <f>IF(ISNUMBER(BQ743),BQ743,"")</f>
        <v>1.2908918272824135</v>
      </c>
      <c r="CG743" s="14" t="n">
        <f>IF(ISNUMBER(BU743),BU743,"")</f>
        <v>17</v>
      </c>
      <c r="CH743" s="13" t="n">
        <f>IF(AND(COUNT(BV743,CF743,CG743)=3,MIN(BV743,CF743,CG743)&gt;=0),BV743*CF743*CG743,"")</f>
        <v>0</v>
      </c>
      <c r="CI743" s="13" t="n">
        <f>IF(COUNT(BY743,CB743,CE743,CH743)=4,SUM(BY743,CB743,CE743,CH743),"")</f>
        <v>0</v>
      </c>
    </row>
    <row r="744" ht="72" customHeight="1">
      <c r="A744" s="16" t="str">
        <v>32582-RD-40.5</v>
      </c>
      <c r="B744" s="16" t="str">
        <v>3店-SANDIEX-US</v>
      </c>
      <c r="C744" s="16" t="str">
        <v>徐新怡</v>
      </c>
      <c r="D744" s="26" t="n">
        <f>IF(NOT(ISNUMBER(E744)),"",IF(OR(E744&lt;=0,L744=0),0,IF(OR(NOT(ISNUMBER(F744)),F744&lt;0),"",MIN(E744,INT(F744)))))</f>
        <v>0</v>
      </c>
      <c r="E744" s="27" t="n">
        <f>IF(OR(NOT(ISNUMBER(L744)),COUNT(M744:O744)&lt;&gt;3,MIN(M744:O744)&lt;0),"",ROUNDUP(ROUND(BI744-SUM(M744:O744),10),0))</f>
        <v>0</v>
      </c>
      <c r="F744" s="28"/>
      <c r="G744" s="28" t="n">
        <f>IF(AND(ISNUMBER(D744),ISNUMBER(E744)),IF(OR(E744&lt;=0,L744=0),0,E744-D744),"")</f>
        <v>0</v>
      </c>
      <c r="H744" s="16" t="str">
        <f>IF(NOT(ISNUMBER(E744)),"销量或海外库存待补",IF(OR(E744&lt;=0,L744=0),IF(L744=0,"零日销，本批不发","本批无需补货"),IF(NOT(ISNUMBER(D744)),"国内库存待补",IF(D744=0,"国内无可用库存",IF(G744&gt;0,"先发国内现货","按建议量发货")))))</f>
        <v>零日销，本批不发</v>
      </c>
      <c r="I744" s="28" t="n">
        <f>IF(AND(COUNT(Z744,AA744,AB744)=3,Z744&gt;=AA744,AA744&gt;=0,AB744=7),Z744-AA744,"")</f>
        <v>0</v>
      </c>
      <c r="J744" s="28" t="n">
        <f>IF(AND(COUNT(AF744,AG744,AH744)=3,AF744&gt;=AG744,AG744&gt;=0,AH744=14),AF744-AG744,"")</f>
        <v>0</v>
      </c>
      <c r="K744" s="28" t="n">
        <f>IF(AND(COUNT(AL744,AM744,AN744)=3,AL744&gt;=AM744,AM744&gt;=0,AN744=30),AL744-AM744,"")</f>
        <v>0</v>
      </c>
      <c r="L744" s="29" t="n">
        <f>IF(ISNUMBER(BI744),BI744/90,"")</f>
        <v>0</v>
      </c>
      <c r="M744" s="28" t="n">
        <v>0</v>
      </c>
      <c r="N744" s="28" t="n">
        <v>0</v>
      </c>
      <c r="O744" s="28" t="n">
        <v>0</v>
      </c>
      <c r="P744" s="30" t="str">
        <f>IF(AND(ISNUMBER(L744),L744&gt;0,COUNT(M744:O744)=3,MIN(M744:O744)&gt;=0),SUM(M744:O744)/L744,"")</f>
      </c>
      <c r="Q744" s="16" t="str">
        <v>沿用原计划SKU店铺</v>
      </c>
      <c r="R744" s="16" t="str">
        <v>未匹配</v>
      </c>
      <c r="S744" s="16" t="str">
        <v>停售</v>
      </c>
      <c r="T744" s="16" t="str">
        <v>32582</v>
      </c>
      <c r="U744" s="16" t="str">
        <v>红色</v>
      </c>
      <c r="V744" s="16" t="n">
        <v>9.5</v>
      </c>
      <c r="W744" s="8" t="str">
        <v>2026-10-08 至 2026-10-17</v>
      </c>
      <c r="X744" s="8" t="str">
        <v>2026-10-08、2026-10-09、2026-10-10、2026-10-11、2026-10-14、2026-10-15、2026-10-17</v>
      </c>
      <c r="Y744" s="8" t="str">
        <v>2026-10-12 有记录的停售日；2026-10-13 有记录的停售日；2026-10-16 有记录的停售日</v>
      </c>
      <c r="Z744" s="8" t="n">
        <v>0</v>
      </c>
      <c r="AA744" s="8" t="n">
        <v>0</v>
      </c>
      <c r="AB744" s="8" t="n">
        <v>7</v>
      </c>
      <c r="AC744" s="8" t="str">
        <v>2026-09-29 至 2026-10-17</v>
      </c>
      <c r="AD744" s="8" t="str">
        <v>2026-09-29、2026-09-30、2026-10-01、2026-10-02、2026-10-03、2026-10-04、2026-10-05、2026-10-08、2026-10-09、2026-10-10、2026-10-11、2026-10-14、2026-10-15、2026-10-17</v>
      </c>
      <c r="AE744" s="8" t="str">
        <v>2026-10-06 大促；2026-10-07 大促；2026-10-12 有记录的停售日；2026-10-13 有记录的停售日；2026-10-16 有记录的停售日</v>
      </c>
      <c r="AF744" s="8" t="n">
        <v>0</v>
      </c>
      <c r="AG744" s="8" t="n">
        <v>0</v>
      </c>
      <c r="AH744" s="8" t="n">
        <v>14</v>
      </c>
      <c r="AI744" s="8" t="str">
        <v>2026-09-13 至 2026-10-17</v>
      </c>
      <c r="AJ74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4" s="8" t="str">
        <v>2026-10-06 大促；2026-10-07 大促；2026-10-12 有记录的停售日；2026-10-13 有记录的停售日；2026-10-16 有记录的停售日</v>
      </c>
      <c r="AL744" s="8" t="n">
        <v>0</v>
      </c>
      <c r="AM744" s="8" t="n">
        <v>0</v>
      </c>
      <c r="AN744" s="8" t="n">
        <v>30</v>
      </c>
      <c r="AO744" s="8" t="str">
        <v>32582 / 红色羊京绒 / 6574</v>
      </c>
      <c r="AP744" s="11" t="n">
        <v>1.0395067087630607</v>
      </c>
      <c r="AQ744" s="11" t="n">
        <v>1.048428692110265</v>
      </c>
      <c r="AR744" s="11" t="n">
        <v>1.076979038821319</v>
      </c>
      <c r="AS744" s="11" t="n">
        <f>IF(AND(COUNT(I744:K744,AP744:AR744)=6,MIN(AP744:AR744)&gt;0),I744/7/AP744*0.5+J744/14/AQ744*0.3+K744/30/AR744*0.2,"")</f>
        <v>0</v>
      </c>
      <c r="AT744" s="8" t="n">
        <v>0</v>
      </c>
      <c r="AU744" s="8" t="n">
        <v>0</v>
      </c>
      <c r="AV744" s="8" t="n">
        <v>85</v>
      </c>
      <c r="AW744" s="11" t="n">
        <f>IF(AND(COUNT(AT744:AV744)=3,AT744&gt;=AU744,AU744&gt;=0,AV744&gt;0),(AT744-AU744)/AV744,"")</f>
        <v>0</v>
      </c>
      <c r="AX744" s="8" t="n">
        <v>0</v>
      </c>
      <c r="AY744" s="8" t="n">
        <v>0</v>
      </c>
      <c r="AZ744" s="8" t="n">
        <v>175</v>
      </c>
      <c r="BA744" s="11" t="n">
        <f>IF(AND(COUNT(AX744:AZ744)=3,AX744&gt;=AY744,AY744&gt;=0,AZ744&gt;0),(AX744-AY744)/AZ744,"")</f>
        <v>0</v>
      </c>
      <c r="BB744" s="8" t="n">
        <f>IF(COUNT(AS744,AW744,BA744)=3,1,0)</f>
        <v>1</v>
      </c>
      <c r="BC744" s="11" t="n">
        <f>IF(SUMIF($AO$11:$AO$1309,AO744,$BB$11:$BB$1309)=COUNTIF($AO$11:$AO$1309,AO744),SUMIF($AO$11:$AO$1309,AO744,$AS$11:$AS$1309),"")</f>
        <v>0.17414025453815726</v>
      </c>
      <c r="BD744" s="11" t="n">
        <f>IF(SUMIF($AO$11:$AO$1309,AO744,$BB$11:$BB$1309)=COUNTIF($AO$11:$AO$1309,AO744),SUMIF($AO$11:$AO$1309,AO744,$AW$11:$AW$1309),"")</f>
        <v>0.25</v>
      </c>
      <c r="BE744" s="11" t="n">
        <f>IF(SUMIF($AO$11:$AO$1309,AO744,$BB$11:$BB$1309)=COUNTIF($AO$11:$AO$1309,AO744),SUMIF($AO$11:$AO$1309,AO744,$BA$11:$BA$1309),"")</f>
        <v>0.342792937399679</v>
      </c>
      <c r="BF744" s="12" t="n">
        <f>IF(COUNT(BD744:BE744)&lt;&gt;2,"",IF(AND(BD744&gt;0,BE744&gt;0),0.7*AW744/BD744+0.3*BA744/BE744,IF(BD744&gt;0,AW744/BD744,IF(BE744&gt;0,BA744/BE744,IF(AND(ISNUMBER(BH744),BH744=0),0,"")))))</f>
        <v>0</v>
      </c>
      <c r="BG744" s="11" t="n">
        <f>IF(AND(COUNT(BN744:BU744)=8,MIN(BN744:BU744)&gt;=0),SUMPRODUCT(BN744:BQ744,BR744:BU744),"")</f>
        <v>88.27281580841549</v>
      </c>
      <c r="BH744" s="11" t="n">
        <f>IF(COUNT(BC744,BG744)=2,BC744*BG744,"")</f>
        <v>15.371850613677346</v>
      </c>
      <c r="BI744" s="11" t="n">
        <f>IF(ISNUMBER(CI744),CI744,"")</f>
        <v>0</v>
      </c>
      <c r="BJ744" s="8" t="str">
        <v>近180天本色销量64双（＜90），无有效新采购，请运营判断</v>
      </c>
      <c r="BK744" s="8" t="str">
        <v>90天：2026-07-20 至 2026-10-17；180天：2026-04-21 至 2026-10-17</v>
      </c>
      <c r="BL744" s="8" t="str">
        <v>90天：2026-10-06、2026-10-07、2026-10-12、2026-10-13、2026-10-16；180天：2026-10-06、2026-10-07、2026-10-12、2026-10-13、2026-10-16</v>
      </c>
      <c r="BM744" s="8" t="str">
        <v>2026-10：12天 × 1.0395067087630607；2026-11：30天 × 0.9890368360033146；2026-12：31天 × 0.7800796503018808；2027-01：17天 × 1.2908918272824135</v>
      </c>
      <c r="BN744" s="11" t="n">
        <v>1.0395067087630607</v>
      </c>
      <c r="BO744" s="11" t="n">
        <v>0.9890368360033146</v>
      </c>
      <c r="BP744" s="11" t="n">
        <v>0.7800796503018808</v>
      </c>
      <c r="BQ744" s="11" t="n">
        <v>1.2908918272824135</v>
      </c>
      <c r="BR744" s="8" t="n">
        <v>12</v>
      </c>
      <c r="BS744" s="8" t="n">
        <v>30</v>
      </c>
      <c r="BT744" s="8" t="n">
        <v>31</v>
      </c>
      <c r="BU744" s="8" t="n">
        <v>17</v>
      </c>
      <c r="BV744" s="11" t="n">
        <f>IF(COUNT(BC744,BF744)=2,BC744*BF744,"")</f>
        <v>0</v>
      </c>
      <c r="BW744" s="11" t="n">
        <f>IF(ISNUMBER(BN744),BN744,"")</f>
        <v>1.0395067087630607</v>
      </c>
      <c r="BX744" s="14" t="n">
        <f>IF(ISNUMBER(BR744),BR744,"")</f>
        <v>12</v>
      </c>
      <c r="BY744" s="13" t="n">
        <f>IF(AND(COUNT(BV744,BW744,BX744)=3,MIN(BV744,BW744,BX744)&gt;=0),BV744*BW744*BX744,"")</f>
        <v>0</v>
      </c>
      <c r="BZ744" s="11" t="n">
        <f>IF(ISNUMBER(BO744),BO744,"")</f>
        <v>0.9890368360033146</v>
      </c>
      <c r="CA744" s="14" t="n">
        <f>IF(ISNUMBER(BS744),BS744,"")</f>
        <v>30</v>
      </c>
      <c r="CB744" s="13" t="n">
        <f>IF(AND(COUNT(BV744,BZ744,CA744)=3,MIN(BV744,BZ744,CA744)&gt;=0),BV744*BZ744*CA744,"")</f>
        <v>0</v>
      </c>
      <c r="CC744" s="11" t="n">
        <f>IF(ISNUMBER(BP744),BP744,"")</f>
        <v>0.7800796503018808</v>
      </c>
      <c r="CD744" s="14" t="n">
        <f>IF(ISNUMBER(BT744),BT744,"")</f>
        <v>31</v>
      </c>
      <c r="CE744" s="13" t="n">
        <f>IF(AND(COUNT(BV744,CC744,CD744)=3,MIN(BV744,CC744,CD744)&gt;=0),BV744*CC744*CD744,"")</f>
        <v>0</v>
      </c>
      <c r="CF744" s="11" t="n">
        <f>IF(ISNUMBER(BQ744),BQ744,"")</f>
        <v>1.2908918272824135</v>
      </c>
      <c r="CG744" s="14" t="n">
        <f>IF(ISNUMBER(BU744),BU744,"")</f>
        <v>17</v>
      </c>
      <c r="CH744" s="13" t="n">
        <f>IF(AND(COUNT(BV744,CF744,CG744)=3,MIN(BV744,CF744,CG744)&gt;=0),BV744*CF744*CG744,"")</f>
        <v>0</v>
      </c>
      <c r="CI744" s="13" t="n">
        <f>IF(COUNT(BY744,CB744,CE744,CH744)=4,SUM(BY744,CB744,CE744,CH744),"")</f>
        <v>0</v>
      </c>
    </row>
    <row r="745" ht="72" customHeight="1">
      <c r="A745" s="16" t="str">
        <v>32582-RD-41</v>
      </c>
      <c r="B745" s="16" t="str">
        <v>3店-SANDIEX-US</v>
      </c>
      <c r="C745" s="16" t="str">
        <v>徐新怡</v>
      </c>
      <c r="D745" s="26" t="n">
        <f>IF(NOT(ISNUMBER(E745)),"",IF(OR(E745&lt;=0,L745=0),0,IF(OR(NOT(ISNUMBER(F745)),F745&lt;0),"",MIN(E745,INT(F745)))))</f>
        <v>0</v>
      </c>
      <c r="E745" s="27" t="n">
        <f>IF(OR(NOT(ISNUMBER(L745)),COUNT(M745:O745)&lt;&gt;3,MIN(M745:O745)&lt;0),"",ROUNDUP(ROUND(BI745-SUM(M745:O745),10),0))</f>
        <v>0</v>
      </c>
      <c r="F745" s="28"/>
      <c r="G745" s="28" t="n">
        <f>IF(AND(ISNUMBER(D745),ISNUMBER(E745)),IF(OR(E745&lt;=0,L745=0),0,E745-D745),"")</f>
        <v>0</v>
      </c>
      <c r="H745" s="16" t="str">
        <f>IF(NOT(ISNUMBER(E745)),"销量或海外库存待补",IF(OR(E745&lt;=0,L745=0),IF(L745=0,"零日销，本批不发","本批无需补货"),IF(NOT(ISNUMBER(D745)),"国内库存待补",IF(D745=0,"国内无可用库存",IF(G745&gt;0,"先发国内现货","按建议量发货")))))</f>
        <v>零日销，本批不发</v>
      </c>
      <c r="I745" s="28" t="n">
        <f>IF(AND(COUNT(Z745,AA745,AB745)=3,Z745&gt;=AA745,AA745&gt;=0,AB745=7),Z745-AA745,"")</f>
        <v>0</v>
      </c>
      <c r="J745" s="28" t="n">
        <f>IF(AND(COUNT(AF745,AG745,AH745)=3,AF745&gt;=AG745,AG745&gt;=0,AH745=14),AF745-AG745,"")</f>
        <v>0</v>
      </c>
      <c r="K745" s="28" t="n">
        <f>IF(AND(COUNT(AL745,AM745,AN745)=3,AL745&gt;=AM745,AM745&gt;=0,AN745=30),AL745-AM745,"")</f>
        <v>0</v>
      </c>
      <c r="L745" s="29" t="n">
        <f>IF(ISNUMBER(BI745),BI745/90,"")</f>
        <v>0</v>
      </c>
      <c r="M745" s="28" t="n">
        <v>0</v>
      </c>
      <c r="N745" s="28" t="n">
        <v>0</v>
      </c>
      <c r="O745" s="28" t="n">
        <v>0</v>
      </c>
      <c r="P745" s="30" t="str">
        <f>IF(AND(ISNUMBER(L745),L745&gt;0,COUNT(M745:O745)=3,MIN(M745:O745)&gt;=0),SUM(M745:O745)/L745,"")</f>
      </c>
      <c r="Q745" s="16" t="str">
        <v>沿用原计划SKU店铺</v>
      </c>
      <c r="R745" s="16" t="str">
        <v>未匹配</v>
      </c>
      <c r="S745" s="16" t="str">
        <v>停售</v>
      </c>
      <c r="T745" s="16" t="str">
        <v>32582</v>
      </c>
      <c r="U745" s="16" t="str">
        <v>红色</v>
      </c>
      <c r="V745" s="16" t="n">
        <v>10</v>
      </c>
      <c r="W745" s="8" t="str">
        <v>2026-10-08 至 2026-10-17</v>
      </c>
      <c r="X745" s="8" t="str">
        <v>2026-10-08、2026-10-09、2026-10-10、2026-10-11、2026-10-14、2026-10-15、2026-10-17</v>
      </c>
      <c r="Y745" s="8" t="str">
        <v>2026-10-12 有记录的停售日；2026-10-13 有记录的停售日；2026-10-16 有记录的停售日</v>
      </c>
      <c r="Z745" s="8" t="n">
        <v>0</v>
      </c>
      <c r="AA745" s="8" t="n">
        <v>0</v>
      </c>
      <c r="AB745" s="8" t="n">
        <v>7</v>
      </c>
      <c r="AC745" s="8" t="str">
        <v>2026-09-29 至 2026-10-17</v>
      </c>
      <c r="AD745" s="8" t="str">
        <v>2026-09-29、2026-09-30、2026-10-01、2026-10-02、2026-10-03、2026-10-04、2026-10-05、2026-10-08、2026-10-09、2026-10-10、2026-10-11、2026-10-14、2026-10-15、2026-10-17</v>
      </c>
      <c r="AE745" s="8" t="str">
        <v>2026-10-06 大促；2026-10-07 大促；2026-10-12 有记录的停售日；2026-10-13 有记录的停售日；2026-10-16 有记录的停售日</v>
      </c>
      <c r="AF745" s="8" t="n">
        <v>0</v>
      </c>
      <c r="AG745" s="8" t="n">
        <v>0</v>
      </c>
      <c r="AH745" s="8" t="n">
        <v>14</v>
      </c>
      <c r="AI745" s="8" t="str">
        <v>2026-09-13 至 2026-10-17</v>
      </c>
      <c r="AJ74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5" s="8" t="str">
        <v>2026-10-06 大促；2026-10-07 大促；2026-10-12 有记录的停售日；2026-10-13 有记录的停售日；2026-10-16 有记录的停售日</v>
      </c>
      <c r="AL745" s="8" t="n">
        <v>0</v>
      </c>
      <c r="AM745" s="8" t="n">
        <v>0</v>
      </c>
      <c r="AN745" s="8" t="n">
        <v>30</v>
      </c>
      <c r="AO745" s="8" t="str">
        <v>32582 / 红色羊京绒 / 6574</v>
      </c>
      <c r="AP745" s="11" t="n">
        <v>1.0395067087630607</v>
      </c>
      <c r="AQ745" s="11" t="n">
        <v>1.048428692110265</v>
      </c>
      <c r="AR745" s="11" t="n">
        <v>1.076979038821319</v>
      </c>
      <c r="AS745" s="11" t="n">
        <f>IF(AND(COUNT(I745:K745,AP745:AR745)=6,MIN(AP745:AR745)&gt;0),I745/7/AP745*0.5+J745/14/AQ745*0.3+K745/30/AR745*0.2,"")</f>
        <v>0</v>
      </c>
      <c r="AT745" s="8" t="n">
        <v>0</v>
      </c>
      <c r="AU745" s="8" t="n">
        <v>0</v>
      </c>
      <c r="AV745" s="8" t="n">
        <v>85</v>
      </c>
      <c r="AW745" s="11" t="n">
        <f>IF(AND(COUNT(AT745:AV745)=3,AT745&gt;=AU745,AU745&gt;=0,AV745&gt;0),(AT745-AU745)/AV745,"")</f>
        <v>0</v>
      </c>
      <c r="AX745" s="8" t="n">
        <v>0</v>
      </c>
      <c r="AY745" s="8" t="n">
        <v>0</v>
      </c>
      <c r="AZ745" s="8" t="n">
        <v>175</v>
      </c>
      <c r="BA745" s="11" t="n">
        <f>IF(AND(COUNT(AX745:AZ745)=3,AX745&gt;=AY745,AY745&gt;=0,AZ745&gt;0),(AX745-AY745)/AZ745,"")</f>
        <v>0</v>
      </c>
      <c r="BB745" s="8" t="n">
        <f>IF(COUNT(AS745,AW745,BA745)=3,1,0)</f>
        <v>1</v>
      </c>
      <c r="BC745" s="11" t="n">
        <f>IF(SUMIF($AO$11:$AO$1309,AO745,$BB$11:$BB$1309)=COUNTIF($AO$11:$AO$1309,AO745),SUMIF($AO$11:$AO$1309,AO745,$AS$11:$AS$1309),"")</f>
        <v>0.17414025453815726</v>
      </c>
      <c r="BD745" s="11" t="n">
        <f>IF(SUMIF($AO$11:$AO$1309,AO745,$BB$11:$BB$1309)=COUNTIF($AO$11:$AO$1309,AO745),SUMIF($AO$11:$AO$1309,AO745,$AW$11:$AW$1309),"")</f>
        <v>0.25</v>
      </c>
      <c r="BE745" s="11" t="n">
        <f>IF(SUMIF($AO$11:$AO$1309,AO745,$BB$11:$BB$1309)=COUNTIF($AO$11:$AO$1309,AO745),SUMIF($AO$11:$AO$1309,AO745,$BA$11:$BA$1309),"")</f>
        <v>0.342792937399679</v>
      </c>
      <c r="BF745" s="12" t="n">
        <f>IF(COUNT(BD745:BE745)&lt;&gt;2,"",IF(AND(BD745&gt;0,BE745&gt;0),0.7*AW745/BD745+0.3*BA745/BE745,IF(BD745&gt;0,AW745/BD745,IF(BE745&gt;0,BA745/BE745,IF(AND(ISNUMBER(BH745),BH745=0),0,"")))))</f>
        <v>0</v>
      </c>
      <c r="BG745" s="11" t="n">
        <f>IF(AND(COUNT(BN745:BU745)=8,MIN(BN745:BU745)&gt;=0),SUMPRODUCT(BN745:BQ745,BR745:BU745),"")</f>
        <v>88.27281580841549</v>
      </c>
      <c r="BH745" s="11" t="n">
        <f>IF(COUNT(BC745,BG745)=2,BC745*BG745,"")</f>
        <v>15.371850613677346</v>
      </c>
      <c r="BI745" s="11" t="n">
        <f>IF(ISNUMBER(CI745),CI745,"")</f>
        <v>0</v>
      </c>
      <c r="BJ745" s="8" t="str">
        <v>近180天本色销量64双（＜90），无有效新采购，请运营判断</v>
      </c>
      <c r="BK745" s="8" t="str">
        <v>90天：2026-07-20 至 2026-10-17；180天：2026-04-21 至 2026-10-17</v>
      </c>
      <c r="BL745" s="8" t="str">
        <v>90天：2026-10-06、2026-10-07、2026-10-12、2026-10-13、2026-10-16；180天：2026-10-06、2026-10-07、2026-10-12、2026-10-13、2026-10-16</v>
      </c>
      <c r="BM745" s="8" t="str">
        <v>2026-10：12天 × 1.0395067087630607；2026-11：30天 × 0.9890368360033146；2026-12：31天 × 0.7800796503018808；2027-01：17天 × 1.2908918272824135</v>
      </c>
      <c r="BN745" s="11" t="n">
        <v>1.0395067087630607</v>
      </c>
      <c r="BO745" s="11" t="n">
        <v>0.9890368360033146</v>
      </c>
      <c r="BP745" s="11" t="n">
        <v>0.7800796503018808</v>
      </c>
      <c r="BQ745" s="11" t="n">
        <v>1.2908918272824135</v>
      </c>
      <c r="BR745" s="8" t="n">
        <v>12</v>
      </c>
      <c r="BS745" s="8" t="n">
        <v>30</v>
      </c>
      <c r="BT745" s="8" t="n">
        <v>31</v>
      </c>
      <c r="BU745" s="8" t="n">
        <v>17</v>
      </c>
      <c r="BV745" s="11" t="n">
        <f>IF(COUNT(BC745,BF745)=2,BC745*BF745,"")</f>
        <v>0</v>
      </c>
      <c r="BW745" s="11" t="n">
        <f>IF(ISNUMBER(BN745),BN745,"")</f>
        <v>1.0395067087630607</v>
      </c>
      <c r="BX745" s="14" t="n">
        <f>IF(ISNUMBER(BR745),BR745,"")</f>
        <v>12</v>
      </c>
      <c r="BY745" s="13" t="n">
        <f>IF(AND(COUNT(BV745,BW745,BX745)=3,MIN(BV745,BW745,BX745)&gt;=0),BV745*BW745*BX745,"")</f>
        <v>0</v>
      </c>
      <c r="BZ745" s="11" t="n">
        <f>IF(ISNUMBER(BO745),BO745,"")</f>
        <v>0.9890368360033146</v>
      </c>
      <c r="CA745" s="14" t="n">
        <f>IF(ISNUMBER(BS745),BS745,"")</f>
        <v>30</v>
      </c>
      <c r="CB745" s="13" t="n">
        <f>IF(AND(COUNT(BV745,BZ745,CA745)=3,MIN(BV745,BZ745,CA745)&gt;=0),BV745*BZ745*CA745,"")</f>
        <v>0</v>
      </c>
      <c r="CC745" s="11" t="n">
        <f>IF(ISNUMBER(BP745),BP745,"")</f>
        <v>0.7800796503018808</v>
      </c>
      <c r="CD745" s="14" t="n">
        <f>IF(ISNUMBER(BT745),BT745,"")</f>
        <v>31</v>
      </c>
      <c r="CE745" s="13" t="n">
        <f>IF(AND(COUNT(BV745,CC745,CD745)=3,MIN(BV745,CC745,CD745)&gt;=0),BV745*CC745*CD745,"")</f>
        <v>0</v>
      </c>
      <c r="CF745" s="11" t="n">
        <f>IF(ISNUMBER(BQ745),BQ745,"")</f>
        <v>1.2908918272824135</v>
      </c>
      <c r="CG745" s="14" t="n">
        <f>IF(ISNUMBER(BU745),BU745,"")</f>
        <v>17</v>
      </c>
      <c r="CH745" s="13" t="n">
        <f>IF(AND(COUNT(BV745,CF745,CG745)=3,MIN(BV745,CF745,CG745)&gt;=0),BV745*CF745*CG745,"")</f>
        <v>0</v>
      </c>
      <c r="CI745" s="13" t="n">
        <f>IF(COUNT(BY745,CB745,CE745,CH745)=4,SUM(BY745,CB745,CE745,CH745),"")</f>
        <v>0</v>
      </c>
    </row>
    <row r="746" ht="72" customHeight="1">
      <c r="A746" s="16" t="str">
        <v>32582-RD-41.5</v>
      </c>
      <c r="B746" s="16" t="str">
        <v>3店-SANDIEX-US</v>
      </c>
      <c r="C746" s="16" t="str">
        <v>徐新怡</v>
      </c>
      <c r="D746" s="26" t="n">
        <f>IF(NOT(ISNUMBER(E746)),"",IF(OR(E746&lt;=0,L746=0),0,IF(OR(NOT(ISNUMBER(F746)),F746&lt;0),"",MIN(E746,INT(F746)))))</f>
        <v>0</v>
      </c>
      <c r="E746" s="27" t="n">
        <f>IF(OR(NOT(ISNUMBER(L746)),COUNT(M746:O746)&lt;&gt;3,MIN(M746:O746)&lt;0),"",ROUNDUP(ROUND(BI746-SUM(M746:O746),10),0))</f>
        <v>0</v>
      </c>
      <c r="F746" s="28"/>
      <c r="G746" s="28" t="n">
        <f>IF(AND(ISNUMBER(D746),ISNUMBER(E746)),IF(OR(E746&lt;=0,L746=0),0,E746-D746),"")</f>
        <v>0</v>
      </c>
      <c r="H746" s="16" t="str">
        <f>IF(NOT(ISNUMBER(E746)),"销量或海外库存待补",IF(OR(E746&lt;=0,L746=0),IF(L746=0,"零日销，本批不发","本批无需补货"),IF(NOT(ISNUMBER(D746)),"国内库存待补",IF(D746=0,"国内无可用库存",IF(G746&gt;0,"先发国内现货","按建议量发货")))))</f>
        <v>零日销，本批不发</v>
      </c>
      <c r="I746" s="28" t="n">
        <f>IF(AND(COUNT(Z746,AA746,AB746)=3,Z746&gt;=AA746,AA746&gt;=0,AB746=7),Z746-AA746,"")</f>
        <v>0</v>
      </c>
      <c r="J746" s="28" t="n">
        <f>IF(AND(COUNT(AF746,AG746,AH746)=3,AF746&gt;=AG746,AG746&gt;=0,AH746=14),AF746-AG746,"")</f>
        <v>0</v>
      </c>
      <c r="K746" s="28" t="n">
        <f>IF(AND(COUNT(AL746,AM746,AN746)=3,AL746&gt;=AM746,AM746&gt;=0,AN746=30),AL746-AM746,"")</f>
        <v>0</v>
      </c>
      <c r="L746" s="29" t="n">
        <f>IF(ISNUMBER(BI746),BI746/90,"")</f>
        <v>0</v>
      </c>
      <c r="M746" s="28" t="n">
        <v>0</v>
      </c>
      <c r="N746" s="28" t="n">
        <v>0</v>
      </c>
      <c r="O746" s="28" t="n">
        <v>0</v>
      </c>
      <c r="P746" s="30" t="str">
        <f>IF(AND(ISNUMBER(L746),L746&gt;0,COUNT(M746:O746)=3,MIN(M746:O746)&gt;=0),SUM(M746:O746)/L746,"")</f>
      </c>
      <c r="Q746" s="16" t="str">
        <v>沿用原计划SKU店铺</v>
      </c>
      <c r="R746" s="16" t="str">
        <v>未匹配</v>
      </c>
      <c r="S746" s="16" t="str">
        <v>停售</v>
      </c>
      <c r="T746" s="16" t="str">
        <v>32582</v>
      </c>
      <c r="U746" s="16" t="str">
        <v>红色</v>
      </c>
      <c r="V746" s="16" t="n">
        <v>10.5</v>
      </c>
      <c r="W746" s="8" t="str">
        <v>2026-10-08 至 2026-10-17</v>
      </c>
      <c r="X746" s="8" t="str">
        <v>2026-10-08、2026-10-09、2026-10-10、2026-10-11、2026-10-14、2026-10-15、2026-10-17</v>
      </c>
      <c r="Y746" s="8" t="str">
        <v>2026-10-12 有记录的停售日；2026-10-13 有记录的停售日；2026-10-16 有记录的停售日</v>
      </c>
      <c r="Z746" s="8" t="n">
        <v>0</v>
      </c>
      <c r="AA746" s="8" t="n">
        <v>0</v>
      </c>
      <c r="AB746" s="8" t="n">
        <v>7</v>
      </c>
      <c r="AC746" s="8" t="str">
        <v>2026-09-29 至 2026-10-17</v>
      </c>
      <c r="AD746" s="8" t="str">
        <v>2026-09-29、2026-09-30、2026-10-01、2026-10-02、2026-10-03、2026-10-04、2026-10-05、2026-10-08、2026-10-09、2026-10-10、2026-10-11、2026-10-14、2026-10-15、2026-10-17</v>
      </c>
      <c r="AE746" s="8" t="str">
        <v>2026-10-06 大促；2026-10-07 大促；2026-10-12 有记录的停售日；2026-10-13 有记录的停售日；2026-10-16 有记录的停售日</v>
      </c>
      <c r="AF746" s="8" t="n">
        <v>0</v>
      </c>
      <c r="AG746" s="8" t="n">
        <v>0</v>
      </c>
      <c r="AH746" s="8" t="n">
        <v>14</v>
      </c>
      <c r="AI746" s="8" t="str">
        <v>2026-09-13 至 2026-10-17</v>
      </c>
      <c r="AJ74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46" s="8" t="str">
        <v>2026-10-06 大促；2026-10-07 大促；2026-10-12 有记录的停售日；2026-10-13 有记录的停售日；2026-10-16 有记录的停售日</v>
      </c>
      <c r="AL746" s="8" t="n">
        <v>0</v>
      </c>
      <c r="AM746" s="8" t="n">
        <v>0</v>
      </c>
      <c r="AN746" s="8" t="n">
        <v>30</v>
      </c>
      <c r="AO746" s="8" t="str">
        <v>32582 / 红色羊京绒 / 6574</v>
      </c>
      <c r="AP746" s="11" t="n">
        <v>1.0395067087630607</v>
      </c>
      <c r="AQ746" s="11" t="n">
        <v>1.048428692110265</v>
      </c>
      <c r="AR746" s="11" t="n">
        <v>1.076979038821319</v>
      </c>
      <c r="AS746" s="11" t="n">
        <f>IF(AND(COUNT(I746:K746,AP746:AR746)=6,MIN(AP746:AR746)&gt;0),I746/7/AP746*0.5+J746/14/AQ746*0.3+K746/30/AR746*0.2,"")</f>
        <v>0</v>
      </c>
      <c r="AT746" s="8" t="n">
        <v>0</v>
      </c>
      <c r="AU746" s="8" t="n">
        <v>0</v>
      </c>
      <c r="AV746" s="8" t="n">
        <v>85</v>
      </c>
      <c r="AW746" s="11" t="n">
        <f>IF(AND(COUNT(AT746:AV746)=3,AT746&gt;=AU746,AU746&gt;=0,AV746&gt;0),(AT746-AU746)/AV746,"")</f>
        <v>0</v>
      </c>
      <c r="AX746" s="8" t="n">
        <v>0</v>
      </c>
      <c r="AY746" s="8" t="n">
        <v>0</v>
      </c>
      <c r="AZ746" s="8" t="n">
        <v>175</v>
      </c>
      <c r="BA746" s="11" t="n">
        <f>IF(AND(COUNT(AX746:AZ746)=3,AX746&gt;=AY746,AY746&gt;=0,AZ746&gt;0),(AX746-AY746)/AZ746,"")</f>
        <v>0</v>
      </c>
      <c r="BB746" s="8" t="n">
        <f>IF(COUNT(AS746,AW746,BA746)=3,1,0)</f>
        <v>1</v>
      </c>
      <c r="BC746" s="11" t="n">
        <f>IF(SUMIF($AO$11:$AO$1309,AO746,$BB$11:$BB$1309)=COUNTIF($AO$11:$AO$1309,AO746),SUMIF($AO$11:$AO$1309,AO746,$AS$11:$AS$1309),"")</f>
        <v>0.17414025453815726</v>
      </c>
      <c r="BD746" s="11" t="n">
        <f>IF(SUMIF($AO$11:$AO$1309,AO746,$BB$11:$BB$1309)=COUNTIF($AO$11:$AO$1309,AO746),SUMIF($AO$11:$AO$1309,AO746,$AW$11:$AW$1309),"")</f>
        <v>0.25</v>
      </c>
      <c r="BE746" s="11" t="n">
        <f>IF(SUMIF($AO$11:$AO$1309,AO746,$BB$11:$BB$1309)=COUNTIF($AO$11:$AO$1309,AO746),SUMIF($AO$11:$AO$1309,AO746,$BA$11:$BA$1309),"")</f>
        <v>0.342792937399679</v>
      </c>
      <c r="BF746" s="12" t="n">
        <f>IF(COUNT(BD746:BE746)&lt;&gt;2,"",IF(AND(BD746&gt;0,BE746&gt;0),0.7*AW746/BD746+0.3*BA746/BE746,IF(BD746&gt;0,AW746/BD746,IF(BE746&gt;0,BA746/BE746,IF(AND(ISNUMBER(BH746),BH746=0),0,"")))))</f>
        <v>0</v>
      </c>
      <c r="BG746" s="11" t="n">
        <f>IF(AND(COUNT(BN746:BU746)=8,MIN(BN746:BU746)&gt;=0),SUMPRODUCT(BN746:BQ746,BR746:BU746),"")</f>
        <v>88.27281580841549</v>
      </c>
      <c r="BH746" s="11" t="n">
        <f>IF(COUNT(BC746,BG746)=2,BC746*BG746,"")</f>
        <v>15.371850613677346</v>
      </c>
      <c r="BI746" s="11" t="n">
        <f>IF(ISNUMBER(CI746),CI746,"")</f>
        <v>0</v>
      </c>
      <c r="BJ746" s="8" t="str">
        <v>近180天本色销量64双（＜90），无有效新采购，请运营判断</v>
      </c>
      <c r="BK746" s="8" t="str">
        <v>90天：2026-07-20 至 2026-10-17；180天：2026-04-21 至 2026-10-17</v>
      </c>
      <c r="BL746" s="8" t="str">
        <v>90天：2026-10-06、2026-10-07、2026-10-12、2026-10-13、2026-10-16；180天：2026-10-06、2026-10-07、2026-10-12、2026-10-13、2026-10-16</v>
      </c>
      <c r="BM746" s="8" t="str">
        <v>2026-10：12天 × 1.0395067087630607；2026-11：30天 × 0.9890368360033146；2026-12：31天 × 0.7800796503018808；2027-01：17天 × 1.2908918272824135</v>
      </c>
      <c r="BN746" s="11" t="n">
        <v>1.0395067087630607</v>
      </c>
      <c r="BO746" s="11" t="n">
        <v>0.9890368360033146</v>
      </c>
      <c r="BP746" s="11" t="n">
        <v>0.7800796503018808</v>
      </c>
      <c r="BQ746" s="11" t="n">
        <v>1.2908918272824135</v>
      </c>
      <c r="BR746" s="8" t="n">
        <v>12</v>
      </c>
      <c r="BS746" s="8" t="n">
        <v>30</v>
      </c>
      <c r="BT746" s="8" t="n">
        <v>31</v>
      </c>
      <c r="BU746" s="8" t="n">
        <v>17</v>
      </c>
      <c r="BV746" s="11" t="n">
        <f>IF(COUNT(BC746,BF746)=2,BC746*BF746,"")</f>
        <v>0</v>
      </c>
      <c r="BW746" s="11" t="n">
        <f>IF(ISNUMBER(BN746),BN746,"")</f>
        <v>1.0395067087630607</v>
      </c>
      <c r="BX746" s="14" t="n">
        <f>IF(ISNUMBER(BR746),BR746,"")</f>
        <v>12</v>
      </c>
      <c r="BY746" s="13" t="n">
        <f>IF(AND(COUNT(BV746,BW746,BX746)=3,MIN(BV746,BW746,BX746)&gt;=0),BV746*BW746*BX746,"")</f>
        <v>0</v>
      </c>
      <c r="BZ746" s="11" t="n">
        <f>IF(ISNUMBER(BO746),BO746,"")</f>
        <v>0.9890368360033146</v>
      </c>
      <c r="CA746" s="14" t="n">
        <f>IF(ISNUMBER(BS746),BS746,"")</f>
        <v>30</v>
      </c>
      <c r="CB746" s="13" t="n">
        <f>IF(AND(COUNT(BV746,BZ746,CA746)=3,MIN(BV746,BZ746,CA746)&gt;=0),BV746*BZ746*CA746,"")</f>
        <v>0</v>
      </c>
      <c r="CC746" s="11" t="n">
        <f>IF(ISNUMBER(BP746),BP746,"")</f>
        <v>0.7800796503018808</v>
      </c>
      <c r="CD746" s="14" t="n">
        <f>IF(ISNUMBER(BT746),BT746,"")</f>
        <v>31</v>
      </c>
      <c r="CE746" s="13" t="n">
        <f>IF(AND(COUNT(BV746,CC746,CD746)=3,MIN(BV746,CC746,CD746)&gt;=0),BV746*CC746*CD746,"")</f>
        <v>0</v>
      </c>
      <c r="CF746" s="11" t="n">
        <f>IF(ISNUMBER(BQ746),BQ746,"")</f>
        <v>1.2908918272824135</v>
      </c>
      <c r="CG746" s="14" t="n">
        <f>IF(ISNUMBER(BU746),BU746,"")</f>
        <v>17</v>
      </c>
      <c r="CH746" s="13" t="n">
        <f>IF(AND(COUNT(BV746,CF746,CG746)=3,MIN(BV746,CF746,CG746)&gt;=0),BV746*CF746*CG746,"")</f>
        <v>0</v>
      </c>
      <c r="CI746" s="13" t="n">
        <f>IF(COUNT(BY746,CB746,CE746,CH746)=4,SUM(BY746,CB746,CE746,CH746),"")</f>
        <v>0</v>
      </c>
    </row>
    <row r="747" ht="72" customHeight="1">
      <c r="A747" s="16" t="str">
        <v>32582-TN-37</v>
      </c>
      <c r="B747" s="16" t="str">
        <v>3店-SANDIEX-US</v>
      </c>
      <c r="C747" s="16" t="str">
        <v>徐新怡</v>
      </c>
      <c r="D747" s="26" t="n">
        <f>IF(NOT(ISNUMBER(E747)),"",IF(OR(E747&lt;=0,L747=0),0,IF(OR(NOT(ISNUMBER(F747)),F747&lt;0),"",MIN(E747,INT(F747)))))</f>
        <v>0</v>
      </c>
      <c r="E747" s="27" t="n">
        <f>IF(OR(NOT(ISNUMBER(L747)),COUNT(M747:O747)&lt;&gt;3,MIN(M747:O747)&lt;0),"",ROUNDUP(ROUND(BI747-SUM(M747:O747),10),0))</f>
        <v>-6</v>
      </c>
      <c r="F747" s="28" t="n">
        <v>55</v>
      </c>
      <c r="G747" s="28" t="n">
        <f>IF(AND(ISNUMBER(D747),ISNUMBER(E747)),IF(OR(E747&lt;=0,L747=0),0,E747-D747),"")</f>
        <v>0</v>
      </c>
      <c r="H747" s="16" t="str">
        <f>IF(NOT(ISNUMBER(E747)),"销量或海外库存待补",IF(OR(E747&lt;=0,L747=0),IF(L747=0,"零日销，本批不发","本批无需补货"),IF(NOT(ISNUMBER(D747)),"国内库存待补",IF(D747=0,"国内无可用库存",IF(G747&gt;0,"先发国内现货","按建议量发货")))))</f>
        <v>本批无需补货</v>
      </c>
      <c r="I747" s="28" t="n">
        <f>IF(AND(COUNT(Z747,AA747,AB747)=3,Z747&gt;=AA747,AA747&gt;=0,AB747=7),Z747-AA747,"")</f>
        <v>1</v>
      </c>
      <c r="J747" s="28" t="n">
        <f>IF(AND(COUNT(AF747,AG747,AH747)=3,AF747&gt;=AG747,AG747&gt;=0,AH747=14),AF747-AG747,"")</f>
        <v>2</v>
      </c>
      <c r="K747" s="28" t="n">
        <f>IF(AND(COUNT(AL747,AM747,AN747)=3,AL747&gt;=AM747,AM747&gt;=0,AN747=30),AL747-AM747,"")</f>
        <v>4</v>
      </c>
      <c r="L747" s="29" t="n">
        <f>IF(ISNUMBER(BI747),BI747/90,"")</f>
        <v>0.07005639280663077</v>
      </c>
      <c r="M747" s="28" t="n">
        <v>12</v>
      </c>
      <c r="N747" s="28" t="n">
        <v>0</v>
      </c>
      <c r="O747" s="28" t="n">
        <v>0</v>
      </c>
      <c r="P747" s="30" t="n">
        <f>IF(AND(ISNUMBER(L747),L747&gt;0,COUNT(M747:O747)=3,MIN(M747:O747)&gt;=0),SUM(M747:O747)/L747,"")</f>
        <v>171.29057776529154</v>
      </c>
      <c r="Q747" s="16" t="str">
        <v>沿用原计划SKU店铺</v>
      </c>
      <c r="R747" s="16" t="str">
        <v>已匹配</v>
      </c>
      <c r="S747" s="16" t="str">
        <v>在售</v>
      </c>
      <c r="T747" s="16" t="str">
        <v>32582</v>
      </c>
      <c r="U747" s="16" t="str">
        <v>驼色</v>
      </c>
      <c r="V747" s="16" t="n">
        <v>6</v>
      </c>
      <c r="W747" s="8" t="str">
        <v>2026-10-11 至 2026-10-17</v>
      </c>
      <c r="X747" s="8" t="str">
        <v>2026-10-11、2026-10-12、2026-10-13、2026-10-14、2026-10-15、2026-10-16、2026-10-17</v>
      </c>
      <c r="Y747" s="8" t="str">
        <v>无</v>
      </c>
      <c r="Z747" s="8" t="n">
        <v>1</v>
      </c>
      <c r="AA747" s="8" t="n">
        <v>0</v>
      </c>
      <c r="AB747" s="8" t="n">
        <v>7</v>
      </c>
      <c r="AC747" s="8" t="str">
        <v>2026-10-02 至 2026-10-17</v>
      </c>
      <c r="AD747" s="8" t="str">
        <v>2026-10-02、2026-10-03、2026-10-04、2026-10-05、2026-10-08、2026-10-09、2026-10-10、2026-10-11、2026-10-12、2026-10-13、2026-10-14、2026-10-15、2026-10-16、2026-10-17</v>
      </c>
      <c r="AE747" s="8" t="str">
        <v>2026-10-06 大促；2026-10-07 大促</v>
      </c>
      <c r="AF747" s="8" t="n">
        <v>4</v>
      </c>
      <c r="AG747" s="8" t="n">
        <v>2</v>
      </c>
      <c r="AH747" s="8" t="n">
        <v>14</v>
      </c>
      <c r="AI747" s="8" t="str">
        <v>2026-09-16 至 2026-10-17</v>
      </c>
      <c r="AJ7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47" s="8" t="str">
        <v>2026-10-06 大促；2026-10-07 大促</v>
      </c>
      <c r="AL747" s="8" t="n">
        <v>6</v>
      </c>
      <c r="AM747" s="8" t="n">
        <v>2</v>
      </c>
      <c r="AN747" s="8" t="n">
        <v>30</v>
      </c>
      <c r="AO747" s="8" t="str">
        <v>32582 / 驼色羊京绒 / 6574</v>
      </c>
      <c r="AP747" s="11" t="n">
        <v>1.0395067087630607</v>
      </c>
      <c r="AQ747" s="11" t="n">
        <v>1.0395067087630607</v>
      </c>
      <c r="AR747" s="11" t="n">
        <v>1.0707336504782758</v>
      </c>
      <c r="AS747" s="11" t="n">
        <f>IF(AND(COUNT(I747:K747,AP747:AR747)=6,MIN(AP747:AR747)&gt;0),I747/7/AP747*0.5+J747/14/AQ747*0.3+K747/30/AR747*0.2,"")</f>
        <v>0.13484729965852588</v>
      </c>
      <c r="AT747" s="8" t="n">
        <v>9</v>
      </c>
      <c r="AU747" s="8" t="n">
        <v>2</v>
      </c>
      <c r="AV747" s="8" t="n">
        <v>88</v>
      </c>
      <c r="AW747" s="11" t="n">
        <f>IF(AND(COUNT(AT747:AV747)=3,AT747&gt;=AU747,AU747&gt;=0,AV747&gt;0),(AT747-AU747)/AV747,"")</f>
        <v>0.07954545454545454</v>
      </c>
      <c r="AX747" s="8" t="n">
        <v>14</v>
      </c>
      <c r="AY747" s="8" t="n">
        <v>2</v>
      </c>
      <c r="AZ747" s="8" t="n">
        <v>178</v>
      </c>
      <c r="BA747" s="11" t="n">
        <f>IF(AND(COUNT(AX747:AZ747)=3,AX747&gt;=AY747,AY747&gt;=0,AZ747&gt;0),(AX747-AY747)/AZ747,"")</f>
        <v>0.06741573033707865</v>
      </c>
      <c r="BB747" s="8" t="n">
        <f>IF(COUNT(AS747,AW747,BA747)=3,1,0)</f>
        <v>1</v>
      </c>
      <c r="BC747" s="11" t="n">
        <f>IF(SUMIF($AO$11:$AO$1309,AO747,$BB$11:$BB$1309)=COUNTIF($AO$11:$AO$1309,AO747),SUMIF($AO$11:$AO$1309,AO747,$AS$11:$AS$1309),"")</f>
        <v>1.2063042155814396</v>
      </c>
      <c r="BD747" s="11" t="n">
        <f>IF(SUMIF($AO$11:$AO$1309,AO747,$BB$11:$BB$1309)=COUNTIF($AO$11:$AO$1309,AO747),SUMIF($AO$11:$AO$1309,AO747,$AW$11:$AW$1309),"")</f>
        <v>1.386363636363636</v>
      </c>
      <c r="BE747" s="11" t="n">
        <f>IF(SUMIF($AO$11:$AO$1309,AO747,$BB$11:$BB$1309)=COUNTIF($AO$11:$AO$1309,AO747),SUMIF($AO$11:$AO$1309,AO747,$BA$11:$BA$1309),"")</f>
        <v>1.0617977528089888</v>
      </c>
      <c r="BF747" s="12" t="n">
        <f>IF(COUNT(BD747:BE747)&lt;&gt;2,"",IF(AND(BD747&gt;0,BE747&gt;0),0.7*AW747/BD747+0.3*BA747/BE747,IF(BD747&gt;0,AW747/BD747,IF(BE747&gt;0,BA747/BE747,IF(AND(ISNUMBER(BH747),BH747=0),0,"")))))</f>
        <v>0.05921155347384856</v>
      </c>
      <c r="BG747" s="11" t="n">
        <f>IF(AND(COUNT(BN747:BU747)=8,MIN(BN747:BU747)&gt;=0),SUMPRODUCT(BN747:BQ747,BR747:BU747),"")</f>
        <v>88.27281580841549</v>
      </c>
      <c r="BH747" s="11" t="n">
        <f>IF(COUNT(BC747,BG747)=2,BC747*BG747,"")</f>
        <v>106.48386983093555</v>
      </c>
      <c r="BI747" s="11" t="n">
        <f>IF(ISNUMBER(CI747),CI747,"")</f>
        <v>6.30507535259677</v>
      </c>
      <c r="BJ747" s="8" t="str"/>
      <c r="BK747" s="8" t="str">
        <v>90天：2026-07-20 至 2026-10-17；180天：2026-04-21 至 2026-10-17</v>
      </c>
      <c r="BL747" s="8" t="str">
        <v>90天：2026-10-06、2026-10-07；180天：2026-10-06、2026-10-07</v>
      </c>
      <c r="BM747" s="8" t="str">
        <v>2026-10：12天 × 1.0395067087630607；2026-11：30天 × 0.9890368360033146；2026-12：31天 × 0.7800796503018808；2027-01：17天 × 1.2908918272824135</v>
      </c>
      <c r="BN747" s="11" t="n">
        <v>1.0395067087630607</v>
      </c>
      <c r="BO747" s="11" t="n">
        <v>0.9890368360033146</v>
      </c>
      <c r="BP747" s="11" t="n">
        <v>0.7800796503018808</v>
      </c>
      <c r="BQ747" s="11" t="n">
        <v>1.2908918272824135</v>
      </c>
      <c r="BR747" s="8" t="n">
        <v>12</v>
      </c>
      <c r="BS747" s="8" t="n">
        <v>30</v>
      </c>
      <c r="BT747" s="8" t="n">
        <v>31</v>
      </c>
      <c r="BU747" s="8" t="n">
        <v>17</v>
      </c>
      <c r="BV747" s="11" t="n">
        <f>IF(COUNT(BC747,BF747)=2,BC747*BF747,"")</f>
        <v>0.07142714656662935</v>
      </c>
      <c r="BW747" s="11" t="n">
        <f>IF(ISNUMBER(BN747),BN747,"")</f>
        <v>1.0395067087630607</v>
      </c>
      <c r="BX747" s="14" t="n">
        <f>IF(ISNUMBER(BR747),BR747,"")</f>
        <v>12</v>
      </c>
      <c r="BY747" s="13" t="n">
        <f>IF(AND(COUNT(BV747,BW747,BX747)=3,MIN(BV747,BW747,BX747)&gt;=0),BV747*BW747*BX747,"")</f>
        <v>0.8909879765257636</v>
      </c>
      <c r="BZ747" s="11" t="n">
        <f>IF(ISNUMBER(BO747),BO747,"")</f>
        <v>0.9890368360033146</v>
      </c>
      <c r="CA747" s="14" t="n">
        <f>IF(ISNUMBER(BS747),BS747,"")</f>
        <v>30</v>
      </c>
      <c r="CB747" s="13" t="n">
        <f>IF(AND(COUNT(BV747,BZ747,CA747)=3,MIN(BV747,BZ747,CA747)&gt;=0),BV747*BZ747*CA747,"")</f>
        <v>2.1193223713501235</v>
      </c>
      <c r="CC747" s="11" t="n">
        <f>IF(ISNUMBER(BP747),BP747,"")</f>
        <v>0.7800796503018808</v>
      </c>
      <c r="CD747" s="14" t="n">
        <f>IF(ISNUMBER(BT747),BT747,"")</f>
        <v>31</v>
      </c>
      <c r="CE747" s="13" t="n">
        <f>IF(AND(COUNT(BV747,CC747,CD747)=3,MIN(BV747,CC747,CD747)&gt;=0),BV747*CC747*CD747,"")</f>
        <v>1.7272847689884796</v>
      </c>
      <c r="CF747" s="11" t="n">
        <f>IF(ISNUMBER(BQ747),BQ747,"")</f>
        <v>1.2908918272824135</v>
      </c>
      <c r="CG747" s="14" t="n">
        <f>IF(ISNUMBER(BU747),BU747,"")</f>
        <v>17</v>
      </c>
      <c r="CH747" s="13" t="n">
        <f>IF(AND(COUNT(BV747,CF747,CG747)=3,MIN(BV747,CF747,CG747)&gt;=0),BV747*CF747*CG747,"")</f>
        <v>1.567480235732404</v>
      </c>
      <c r="CI747" s="13" t="n">
        <f>IF(COUNT(BY747,CB747,CE747,CH747)=4,SUM(BY747,CB747,CE747,CH747),"")</f>
        <v>6.30507535259677</v>
      </c>
    </row>
    <row r="748" ht="72" customHeight="1">
      <c r="A748" s="16" t="str">
        <v>32582-TN-37.5</v>
      </c>
      <c r="B748" s="16" t="str">
        <v>3店-SANDIEX-US</v>
      </c>
      <c r="C748" s="16" t="str">
        <v>徐新怡</v>
      </c>
      <c r="D748" s="26" t="n">
        <f>IF(NOT(ISNUMBER(E748)),"",IF(OR(E748&lt;=0,L748=0),0,IF(OR(NOT(ISNUMBER(F748)),F748&lt;0),"",MIN(E748,INT(F748)))))</f>
        <v>0</v>
      </c>
      <c r="E748" s="27" t="n">
        <f>IF(OR(NOT(ISNUMBER(L748)),COUNT(M748:O748)&lt;&gt;3,MIN(M748:O748)&lt;0),"",ROUNDUP(ROUND(BI748-SUM(M748:O748),10),0))</f>
        <v>-1</v>
      </c>
      <c r="F748" s="28" t="n">
        <v>25</v>
      </c>
      <c r="G748" s="28" t="n">
        <f>IF(AND(ISNUMBER(D748),ISNUMBER(E748)),IF(OR(E748&lt;=0,L748=0),0,E748-D748),"")</f>
        <v>0</v>
      </c>
      <c r="H748" s="16" t="str">
        <f>IF(NOT(ISNUMBER(E748)),"销量或海外库存待补",IF(OR(E748&lt;=0,L748=0),IF(L748=0,"零日销，本批不发","本批无需补货"),IF(NOT(ISNUMBER(D748)),"国内库存待补",IF(D748=0,"国内无可用库存",IF(G748&gt;0,"先发国内现货","按建议量发货")))))</f>
        <v>本批无需补货</v>
      </c>
      <c r="I748" s="28" t="n">
        <f>IF(AND(COUNT(Z748,AA748,AB748)=3,Z748&gt;=AA748,AA748&gt;=0,AB748=7),Z748-AA748,"")</f>
        <v>0</v>
      </c>
      <c r="J748" s="28" t="n">
        <f>IF(AND(COUNT(AF748,AG748,AH748)=3,AF748&gt;=AG748,AG748&gt;=0,AH748=14),AF748-AG748,"")</f>
        <v>2</v>
      </c>
      <c r="K748" s="28" t="n">
        <f>IF(AND(COUNT(AL748,AM748,AN748)=3,AL748&gt;=AM748,AM748&gt;=0,AN748=30),AL748-AM748,"")</f>
        <v>3</v>
      </c>
      <c r="L748" s="29" t="n">
        <f>IF(ISNUMBER(BI748),BI748/90,"")</f>
        <v>0.0923001826562422</v>
      </c>
      <c r="M748" s="28" t="n">
        <v>9</v>
      </c>
      <c r="N748" s="28" t="n">
        <v>0</v>
      </c>
      <c r="O748" s="28" t="n">
        <v>0</v>
      </c>
      <c r="P748" s="30" t="n">
        <f>IF(AND(ISNUMBER(L748),L748&gt;0,COUNT(M748:O748)=3,MIN(M748:O748)&gt;=0),SUM(M748:O748)/L748,"")</f>
        <v>97.50793271470668</v>
      </c>
      <c r="Q748" s="16" t="str">
        <v>沿用原计划SKU店铺</v>
      </c>
      <c r="R748" s="16" t="str">
        <v>已匹配</v>
      </c>
      <c r="S748" s="16" t="str">
        <v>在售</v>
      </c>
      <c r="T748" s="16" t="str">
        <v>32582</v>
      </c>
      <c r="U748" s="16" t="str">
        <v>驼色</v>
      </c>
      <c r="V748" s="16" t="n">
        <v>6.5</v>
      </c>
      <c r="W748" s="8" t="str">
        <v>2026-10-11 至 2026-10-17</v>
      </c>
      <c r="X748" s="8" t="str">
        <v>2026-10-11、2026-10-12、2026-10-13、2026-10-14、2026-10-15、2026-10-16、2026-10-17</v>
      </c>
      <c r="Y748" s="8" t="str">
        <v>无</v>
      </c>
      <c r="Z748" s="8" t="n">
        <v>0</v>
      </c>
      <c r="AA748" s="8" t="n">
        <v>0</v>
      </c>
      <c r="AB748" s="8" t="n">
        <v>7</v>
      </c>
      <c r="AC748" s="8" t="str">
        <v>2026-10-02 至 2026-10-17</v>
      </c>
      <c r="AD748" s="8" t="str">
        <v>2026-10-02、2026-10-03、2026-10-04、2026-10-05、2026-10-08、2026-10-09、2026-10-10、2026-10-11、2026-10-12、2026-10-13、2026-10-14、2026-10-15、2026-10-16、2026-10-17</v>
      </c>
      <c r="AE748" s="8" t="str">
        <v>2026-10-06 大促；2026-10-07 大促</v>
      </c>
      <c r="AF748" s="8" t="n">
        <v>4</v>
      </c>
      <c r="AG748" s="8" t="n">
        <v>2</v>
      </c>
      <c r="AH748" s="8" t="n">
        <v>14</v>
      </c>
      <c r="AI748" s="8" t="str">
        <v>2026-09-16 至 2026-10-17</v>
      </c>
      <c r="AJ7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48" s="8" t="str">
        <v>2026-10-06 大促；2026-10-07 大促</v>
      </c>
      <c r="AL748" s="8" t="n">
        <v>5</v>
      </c>
      <c r="AM748" s="8" t="n">
        <v>2</v>
      </c>
      <c r="AN748" s="8" t="n">
        <v>30</v>
      </c>
      <c r="AO748" s="8" t="str">
        <v>32582 / 驼色羊京绒 / 6574</v>
      </c>
      <c r="AP748" s="11" t="n">
        <v>1.0395067087630607</v>
      </c>
      <c r="AQ748" s="11" t="n">
        <v>1.0395067087630607</v>
      </c>
      <c r="AR748" s="11" t="n">
        <v>1.0707336504782758</v>
      </c>
      <c r="AS748" s="11" t="n">
        <f>IF(AND(COUNT(I748:K748,AP748:AR748)=6,MIN(AP748:AR748)&gt;0),I748/7/AP748*0.5+J748/14/AQ748*0.3+K748/30/AR748*0.2,"")</f>
        <v>0.05990712816771905</v>
      </c>
      <c r="AT748" s="8" t="n">
        <v>12</v>
      </c>
      <c r="AU748" s="8" t="n">
        <v>2</v>
      </c>
      <c r="AV748" s="8" t="n">
        <v>88</v>
      </c>
      <c r="AW748" s="11" t="n">
        <f>IF(AND(COUNT(AT748:AV748)=3,AT748&gt;=AU748,AU748&gt;=0,AV748&gt;0),(AT748-AU748)/AV748,"")</f>
        <v>0.11363636363636363</v>
      </c>
      <c r="AX748" s="8" t="n">
        <v>15</v>
      </c>
      <c r="AY748" s="8" t="n">
        <v>2</v>
      </c>
      <c r="AZ748" s="8" t="n">
        <v>178</v>
      </c>
      <c r="BA748" s="11" t="n">
        <f>IF(AND(COUNT(AX748:AZ748)=3,AX748&gt;=AY748,AY748&gt;=0,AZ748&gt;0),(AX748-AY748)/AZ748,"")</f>
        <v>0.07303370786516854</v>
      </c>
      <c r="BB748" s="8" t="n">
        <f>IF(COUNT(AS748,AW748,BA748)=3,1,0)</f>
        <v>1</v>
      </c>
      <c r="BC748" s="11" t="n">
        <f>IF(SUMIF($AO$11:$AO$1309,AO748,$BB$11:$BB$1309)=COUNTIF($AO$11:$AO$1309,AO748),SUMIF($AO$11:$AO$1309,AO748,$AS$11:$AS$1309),"")</f>
        <v>1.2063042155814396</v>
      </c>
      <c r="BD748" s="11" t="n">
        <f>IF(SUMIF($AO$11:$AO$1309,AO748,$BB$11:$BB$1309)=COUNTIF($AO$11:$AO$1309,AO748),SUMIF($AO$11:$AO$1309,AO748,$AW$11:$AW$1309),"")</f>
        <v>1.386363636363636</v>
      </c>
      <c r="BE748" s="11" t="n">
        <f>IF(SUMIF($AO$11:$AO$1309,AO748,$BB$11:$BB$1309)=COUNTIF($AO$11:$AO$1309,AO748),SUMIF($AO$11:$AO$1309,AO748,$BA$11:$BA$1309),"")</f>
        <v>1.0617977528089888</v>
      </c>
      <c r="BF748" s="12" t="n">
        <f>IF(COUNT(BD748:BE748)&lt;&gt;2,"",IF(AND(BD748&gt;0,BE748&gt;0),0.7*AW748/BD748+0.3*BA748/BE748,IF(BD748&gt;0,AW748/BD748,IF(BE748&gt;0,BA748/BE748,IF(AND(ISNUMBER(BH748),BH748=0),0,"")))))</f>
        <v>0.07801196981524852</v>
      </c>
      <c r="BG748" s="11" t="n">
        <f>IF(AND(COUNT(BN748:BU748)=8,MIN(BN748:BU748)&gt;=0),SUMPRODUCT(BN748:BQ748,BR748:BU748),"")</f>
        <v>88.27281580841549</v>
      </c>
      <c r="BH748" s="11" t="n">
        <f>IF(COUNT(BC748,BG748)=2,BC748*BG748,"")</f>
        <v>106.48386983093555</v>
      </c>
      <c r="BI748" s="11" t="n">
        <f>IF(ISNUMBER(CI748),CI748,"")</f>
        <v>8.307016439061798</v>
      </c>
      <c r="BJ748" s="8" t="str"/>
      <c r="BK748" s="8" t="str">
        <v>90天：2026-07-20 至 2026-10-17；180天：2026-04-21 至 2026-10-17</v>
      </c>
      <c r="BL748" s="8" t="str">
        <v>90天：2026-10-06、2026-10-07；180天：2026-10-06、2026-10-07</v>
      </c>
      <c r="BM748" s="8" t="str">
        <v>2026-10：12天 × 1.0395067087630607；2026-11：30天 × 0.9890368360033146；2026-12：31天 × 0.7800796503018808；2027-01：17天 × 1.2908918272824135</v>
      </c>
      <c r="BN748" s="11" t="n">
        <v>1.0395067087630607</v>
      </c>
      <c r="BO748" s="11" t="n">
        <v>0.9890368360033146</v>
      </c>
      <c r="BP748" s="11" t="n">
        <v>0.7800796503018808</v>
      </c>
      <c r="BQ748" s="11" t="n">
        <v>1.2908918272824135</v>
      </c>
      <c r="BR748" s="8" t="n">
        <v>12</v>
      </c>
      <c r="BS748" s="8" t="n">
        <v>30</v>
      </c>
      <c r="BT748" s="8" t="n">
        <v>31</v>
      </c>
      <c r="BU748" s="8" t="n">
        <v>17</v>
      </c>
      <c r="BV748" s="11" t="n">
        <f>IF(COUNT(BC748,BF748)=2,BC748*BF748,"")</f>
        <v>0.09410616805394631</v>
      </c>
      <c r="BW748" s="11" t="n">
        <f>IF(ISNUMBER(BN748),BN748,"")</f>
        <v>1.0395067087630607</v>
      </c>
      <c r="BX748" s="14" t="n">
        <f>IF(ISNUMBER(BR748),BR748,"")</f>
        <v>12</v>
      </c>
      <c r="BY748" s="13" t="n">
        <f>IF(AND(COUNT(BV748,BW748,BX748)=3,MIN(BV748,BW748,BX748)&gt;=0),BV748*BW748*BX748,"")</f>
        <v>1.1738879163367346</v>
      </c>
      <c r="BZ748" s="11" t="n">
        <f>IF(ISNUMBER(BO748),BO748,"")</f>
        <v>0.9890368360033146</v>
      </c>
      <c r="CA748" s="14" t="n">
        <f>IF(ISNUMBER(BS748),BS748,"")</f>
        <v>30</v>
      </c>
      <c r="CB748" s="13" t="n">
        <f>IF(AND(COUNT(BV748,BZ748,CA748)=3,MIN(BV748,BZ748,CA748)&gt;=0),BV748*BZ748*CA748,"")</f>
        <v>2.7922340010141378</v>
      </c>
      <c r="CC748" s="11" t="n">
        <f>IF(ISNUMBER(BP748),BP748,"")</f>
        <v>0.7800796503018808</v>
      </c>
      <c r="CD748" s="14" t="n">
        <f>IF(ISNUMBER(BT748),BT748,"")</f>
        <v>31</v>
      </c>
      <c r="CE748" s="13" t="n">
        <f>IF(AND(COUNT(BV748,CC748,CD748)=3,MIN(BV748,CC748,CD748)&gt;=0),BV748*CC748*CD748,"")</f>
        <v>2.2757195066699465</v>
      </c>
      <c r="CF748" s="11" t="n">
        <f>IF(ISNUMBER(BQ748),BQ748,"")</f>
        <v>1.2908918272824135</v>
      </c>
      <c r="CG748" s="14" t="n">
        <f>IF(ISNUMBER(BU748),BU748,"")</f>
        <v>17</v>
      </c>
      <c r="CH748" s="13" t="n">
        <f>IF(AND(COUNT(BV748,CF748,CG748)=3,MIN(BV748,CF748,CG748)&gt;=0),BV748*CF748*CG748,"")</f>
        <v>2.0651750150409787</v>
      </c>
      <c r="CI748" s="13" t="n">
        <f>IF(COUNT(BY748,CB748,CE748,CH748)=4,SUM(BY748,CB748,CE748,CH748),"")</f>
        <v>8.307016439061798</v>
      </c>
    </row>
    <row r="749" ht="72" customHeight="1">
      <c r="A749" s="16" t="str">
        <v>32582-TN-38</v>
      </c>
      <c r="B749" s="16" t="str">
        <v>3店-SANDIEX-US</v>
      </c>
      <c r="C749" s="16" t="str">
        <v>徐新怡</v>
      </c>
      <c r="D749" s="26" t="n">
        <f>IF(NOT(ISNUMBER(E749)),"",IF(OR(E749&lt;=0,L749=0),0,IF(OR(NOT(ISNUMBER(F749)),F749&lt;0),"",MIN(E749,INT(F749)))))</f>
        <v>0</v>
      </c>
      <c r="E749" s="27" t="n">
        <f>IF(OR(NOT(ISNUMBER(L749)),COUNT(M749:O749)&lt;&gt;3,MIN(M749:O749)&lt;0),"",ROUNDUP(ROUND(BI749-SUM(M749:O749),10),0))</f>
        <v>-17</v>
      </c>
      <c r="F749" s="28" t="n">
        <v>252</v>
      </c>
      <c r="G749" s="28" t="n">
        <f>IF(AND(ISNUMBER(D749),ISNUMBER(E749)),IF(OR(E749&lt;=0,L749=0),0,E749-D749),"")</f>
        <v>0</v>
      </c>
      <c r="H749" s="16" t="str">
        <f>IF(NOT(ISNUMBER(E749)),"销量或海外库存待补",IF(OR(E749&lt;=0,L749=0),IF(L749=0,"零日销，本批不发","本批无需补货"),IF(NOT(ISNUMBER(D749)),"国内库存待补",IF(D749=0,"国内无可用库存",IF(G749&gt;0,"先发国内现货","按建议量发货")))))</f>
        <v>本批无需补货</v>
      </c>
      <c r="I749" s="28" t="n">
        <f>IF(AND(COUNT(Z749,AA749,AB749)=3,Z749&gt;=AA749,AA749&gt;=0,AB749=7),Z749-AA749,"")</f>
        <v>0</v>
      </c>
      <c r="J749" s="28" t="n">
        <f>IF(AND(COUNT(AF749,AG749,AH749)=3,AF749&gt;=AG749,AG749&gt;=0,AH749=14),AF749-AG749,"")</f>
        <v>2</v>
      </c>
      <c r="K749" s="28" t="n">
        <f>IF(AND(COUNT(AL749,AM749,AN749)=3,AL749&gt;=AM749,AM749&gt;=0,AN749=30),AL749-AM749,"")</f>
        <v>3</v>
      </c>
      <c r="L749" s="29" t="n">
        <f>IF(ISNUMBER(BI749),BI749/90,"")</f>
        <v>0.07005639280663077</v>
      </c>
      <c r="M749" s="28" t="n">
        <v>23</v>
      </c>
      <c r="N749" s="28" t="n">
        <v>0</v>
      </c>
      <c r="O749" s="28" t="n">
        <v>0</v>
      </c>
      <c r="P749" s="30" t="n">
        <f>IF(AND(ISNUMBER(L749),L749&gt;0,COUNT(M749:O749)=3,MIN(M749:O749)&gt;=0),SUM(M749:O749)/L749,"")</f>
        <v>328.3069407168088</v>
      </c>
      <c r="Q749" s="16" t="str">
        <v>沿用原计划SKU店铺</v>
      </c>
      <c r="R749" s="16" t="str">
        <v>已匹配</v>
      </c>
      <c r="S749" s="16" t="str">
        <v>在售</v>
      </c>
      <c r="T749" s="16" t="str">
        <v>32582</v>
      </c>
      <c r="U749" s="16" t="str">
        <v>驼色</v>
      </c>
      <c r="V749" s="16" t="n">
        <v>7</v>
      </c>
      <c r="W749" s="8" t="str">
        <v>2026-10-11 至 2026-10-17</v>
      </c>
      <c r="X749" s="8" t="str">
        <v>2026-10-11、2026-10-12、2026-10-13、2026-10-14、2026-10-15、2026-10-16、2026-10-17</v>
      </c>
      <c r="Y749" s="8" t="str">
        <v>无</v>
      </c>
      <c r="Z749" s="8" t="n">
        <v>0</v>
      </c>
      <c r="AA749" s="8" t="n">
        <v>0</v>
      </c>
      <c r="AB749" s="8" t="n">
        <v>7</v>
      </c>
      <c r="AC749" s="8" t="str">
        <v>2026-10-02 至 2026-10-17</v>
      </c>
      <c r="AD749" s="8" t="str">
        <v>2026-10-02、2026-10-03、2026-10-04、2026-10-05、2026-10-08、2026-10-09、2026-10-10、2026-10-11、2026-10-12、2026-10-13、2026-10-14、2026-10-15、2026-10-16、2026-10-17</v>
      </c>
      <c r="AE749" s="8" t="str">
        <v>2026-10-06 大促；2026-10-07 大促</v>
      </c>
      <c r="AF749" s="8" t="n">
        <v>3</v>
      </c>
      <c r="AG749" s="8" t="n">
        <v>1</v>
      </c>
      <c r="AH749" s="8" t="n">
        <v>14</v>
      </c>
      <c r="AI749" s="8" t="str">
        <v>2026-09-16 至 2026-10-17</v>
      </c>
      <c r="AJ7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49" s="8" t="str">
        <v>2026-10-06 大促；2026-10-07 大促</v>
      </c>
      <c r="AL749" s="8" t="n">
        <v>4</v>
      </c>
      <c r="AM749" s="8" t="n">
        <v>1</v>
      </c>
      <c r="AN749" s="8" t="n">
        <v>30</v>
      </c>
      <c r="AO749" s="8" t="str">
        <v>32582 / 驼色羊京绒 / 6574</v>
      </c>
      <c r="AP749" s="11" t="n">
        <v>1.0395067087630607</v>
      </c>
      <c r="AQ749" s="11" t="n">
        <v>1.0395067087630607</v>
      </c>
      <c r="AR749" s="11" t="n">
        <v>1.0707336504782758</v>
      </c>
      <c r="AS749" s="11" t="n">
        <f>IF(AND(COUNT(I749:K749,AP749:AR749)=6,MIN(AP749:AR749)&gt;0),I749/7/AP749*0.5+J749/14/AQ749*0.3+K749/30/AR749*0.2,"")</f>
        <v>0.05990712816771905</v>
      </c>
      <c r="AT749" s="8" t="n">
        <v>8</v>
      </c>
      <c r="AU749" s="8" t="n">
        <v>1</v>
      </c>
      <c r="AV749" s="8" t="n">
        <v>88</v>
      </c>
      <c r="AW749" s="11" t="n">
        <f>IF(AND(COUNT(AT749:AV749)=3,AT749&gt;=AU749,AU749&gt;=0,AV749&gt;0),(AT749-AU749)/AV749,"")</f>
        <v>0.07954545454545454</v>
      </c>
      <c r="AX749" s="8" t="n">
        <v>13</v>
      </c>
      <c r="AY749" s="8" t="n">
        <v>1</v>
      </c>
      <c r="AZ749" s="8" t="n">
        <v>178</v>
      </c>
      <c r="BA749" s="11" t="n">
        <f>IF(AND(COUNT(AX749:AZ749)=3,AX749&gt;=AY749,AY749&gt;=0,AZ749&gt;0),(AX749-AY749)/AZ749,"")</f>
        <v>0.06741573033707865</v>
      </c>
      <c r="BB749" s="8" t="n">
        <f>IF(COUNT(AS749,AW749,BA749)=3,1,0)</f>
        <v>1</v>
      </c>
      <c r="BC749" s="11" t="n">
        <f>IF(SUMIF($AO$11:$AO$1309,AO749,$BB$11:$BB$1309)=COUNTIF($AO$11:$AO$1309,AO749),SUMIF($AO$11:$AO$1309,AO749,$AS$11:$AS$1309),"")</f>
        <v>1.2063042155814396</v>
      </c>
      <c r="BD749" s="11" t="n">
        <f>IF(SUMIF($AO$11:$AO$1309,AO749,$BB$11:$BB$1309)=COUNTIF($AO$11:$AO$1309,AO749),SUMIF($AO$11:$AO$1309,AO749,$AW$11:$AW$1309),"")</f>
        <v>1.386363636363636</v>
      </c>
      <c r="BE749" s="11" t="n">
        <f>IF(SUMIF($AO$11:$AO$1309,AO749,$BB$11:$BB$1309)=COUNTIF($AO$11:$AO$1309,AO749),SUMIF($AO$11:$AO$1309,AO749,$BA$11:$BA$1309),"")</f>
        <v>1.0617977528089888</v>
      </c>
      <c r="BF749" s="12" t="n">
        <f>IF(COUNT(BD749:BE749)&lt;&gt;2,"",IF(AND(BD749&gt;0,BE749&gt;0),0.7*AW749/BD749+0.3*BA749/BE749,IF(BD749&gt;0,AW749/BD749,IF(BE749&gt;0,BA749/BE749,IF(AND(ISNUMBER(BH749),BH749=0),0,"")))))</f>
        <v>0.05921155347384856</v>
      </c>
      <c r="BG749" s="11" t="n">
        <f>IF(AND(COUNT(BN749:BU749)=8,MIN(BN749:BU749)&gt;=0),SUMPRODUCT(BN749:BQ749,BR749:BU749),"")</f>
        <v>88.27281580841549</v>
      </c>
      <c r="BH749" s="11" t="n">
        <f>IF(COUNT(BC749,BG749)=2,BC749*BG749,"")</f>
        <v>106.48386983093555</v>
      </c>
      <c r="BI749" s="11" t="n">
        <f>IF(ISNUMBER(CI749),CI749,"")</f>
        <v>6.30507535259677</v>
      </c>
      <c r="BJ749" s="8" t="str"/>
      <c r="BK749" s="8" t="str">
        <v>90天：2026-07-20 至 2026-10-17；180天：2026-04-21 至 2026-10-17</v>
      </c>
      <c r="BL749" s="8" t="str">
        <v>90天：2026-10-06、2026-10-07；180天：2026-10-06、2026-10-07</v>
      </c>
      <c r="BM749" s="8" t="str">
        <v>2026-10：12天 × 1.0395067087630607；2026-11：30天 × 0.9890368360033146；2026-12：31天 × 0.7800796503018808；2027-01：17天 × 1.2908918272824135</v>
      </c>
      <c r="BN749" s="11" t="n">
        <v>1.0395067087630607</v>
      </c>
      <c r="BO749" s="11" t="n">
        <v>0.9890368360033146</v>
      </c>
      <c r="BP749" s="11" t="n">
        <v>0.7800796503018808</v>
      </c>
      <c r="BQ749" s="11" t="n">
        <v>1.2908918272824135</v>
      </c>
      <c r="BR749" s="8" t="n">
        <v>12</v>
      </c>
      <c r="BS749" s="8" t="n">
        <v>30</v>
      </c>
      <c r="BT749" s="8" t="n">
        <v>31</v>
      </c>
      <c r="BU749" s="8" t="n">
        <v>17</v>
      </c>
      <c r="BV749" s="11" t="n">
        <f>IF(COUNT(BC749,BF749)=2,BC749*BF749,"")</f>
        <v>0.07142714656662935</v>
      </c>
      <c r="BW749" s="11" t="n">
        <f>IF(ISNUMBER(BN749),BN749,"")</f>
        <v>1.0395067087630607</v>
      </c>
      <c r="BX749" s="14" t="n">
        <f>IF(ISNUMBER(BR749),BR749,"")</f>
        <v>12</v>
      </c>
      <c r="BY749" s="13" t="n">
        <f>IF(AND(COUNT(BV749,BW749,BX749)=3,MIN(BV749,BW749,BX749)&gt;=0),BV749*BW749*BX749,"")</f>
        <v>0.8909879765257636</v>
      </c>
      <c r="BZ749" s="11" t="n">
        <f>IF(ISNUMBER(BO749),BO749,"")</f>
        <v>0.9890368360033146</v>
      </c>
      <c r="CA749" s="14" t="n">
        <f>IF(ISNUMBER(BS749),BS749,"")</f>
        <v>30</v>
      </c>
      <c r="CB749" s="13" t="n">
        <f>IF(AND(COUNT(BV749,BZ749,CA749)=3,MIN(BV749,BZ749,CA749)&gt;=0),BV749*BZ749*CA749,"")</f>
        <v>2.1193223713501235</v>
      </c>
      <c r="CC749" s="11" t="n">
        <f>IF(ISNUMBER(BP749),BP749,"")</f>
        <v>0.7800796503018808</v>
      </c>
      <c r="CD749" s="14" t="n">
        <f>IF(ISNUMBER(BT749),BT749,"")</f>
        <v>31</v>
      </c>
      <c r="CE749" s="13" t="n">
        <f>IF(AND(COUNT(BV749,CC749,CD749)=3,MIN(BV749,CC749,CD749)&gt;=0),BV749*CC749*CD749,"")</f>
        <v>1.7272847689884796</v>
      </c>
      <c r="CF749" s="11" t="n">
        <f>IF(ISNUMBER(BQ749),BQ749,"")</f>
        <v>1.2908918272824135</v>
      </c>
      <c r="CG749" s="14" t="n">
        <f>IF(ISNUMBER(BU749),BU749,"")</f>
        <v>17</v>
      </c>
      <c r="CH749" s="13" t="n">
        <f>IF(AND(COUNT(BV749,CF749,CG749)=3,MIN(BV749,CF749,CG749)&gt;=0),BV749*CF749*CG749,"")</f>
        <v>1.567480235732404</v>
      </c>
      <c r="CI749" s="13" t="n">
        <f>IF(COUNT(BY749,CB749,CE749,CH749)=4,SUM(BY749,CB749,CE749,CH749),"")</f>
        <v>6.30507535259677</v>
      </c>
    </row>
    <row r="750" ht="72" customHeight="1">
      <c r="A750" s="16" t="str">
        <v>32582-TN-38.5</v>
      </c>
      <c r="B750" s="16" t="str">
        <v>3店-SANDIEX-US</v>
      </c>
      <c r="C750" s="16" t="str">
        <v>徐新怡</v>
      </c>
      <c r="D750" s="26" t="n">
        <f>IF(NOT(ISNUMBER(E750)),"",IF(OR(E750&lt;=0,L750=0),0,IF(OR(NOT(ISNUMBER(F750)),F750&lt;0),"",MIN(E750,INT(F750)))))</f>
        <v>0</v>
      </c>
      <c r="E750" s="27" t="n">
        <f>IF(OR(NOT(ISNUMBER(L750)),COUNT(M750:O750)&lt;&gt;3,MIN(M750:O750)&lt;0),"",ROUNDUP(ROUND(BI750-SUM(M750:O750),10),0))</f>
        <v>-8</v>
      </c>
      <c r="F750" s="28" t="n">
        <v>277</v>
      </c>
      <c r="G750" s="28" t="n">
        <f>IF(AND(ISNUMBER(D750),ISNUMBER(E750)),IF(OR(E750&lt;=0,L750=0),0,E750-D750),"")</f>
        <v>0</v>
      </c>
      <c r="H750" s="16" t="str">
        <f>IF(NOT(ISNUMBER(E750)),"销量或海外库存待补",IF(OR(E750&lt;=0,L750=0),IF(L750=0,"零日销，本批不发","本批无需补货"),IF(NOT(ISNUMBER(D750)),"国内库存待补",IF(D750=0,"国内无可用库存",IF(G750&gt;0,"先发国内现货","按建议量发货")))))</f>
        <v>本批无需补货</v>
      </c>
      <c r="I750" s="28" t="n">
        <f>IF(AND(COUNT(Z750,AA750,AB750)=3,Z750&gt;=AA750,AA750&gt;=0,AB750=7),Z750-AA750,"")</f>
        <v>0</v>
      </c>
      <c r="J750" s="28" t="n">
        <f>IF(AND(COUNT(AF750,AG750,AH750)=3,AF750&gt;=AG750,AG750&gt;=0,AH750=14),AF750-AG750,"")</f>
        <v>3</v>
      </c>
      <c r="K750" s="28" t="n">
        <f>IF(AND(COUNT(AL750,AM750,AN750)=3,AL750&gt;=AM750,AM750&gt;=0,AN750=30),AL750-AM750,"")</f>
        <v>5</v>
      </c>
      <c r="L750" s="29" t="n">
        <f>IF(ISNUMBER(BI750),BI750/90,"")</f>
        <v>0.12696662884401028</v>
      </c>
      <c r="M750" s="28" t="n">
        <v>19</v>
      </c>
      <c r="N750" s="28" t="n">
        <v>0</v>
      </c>
      <c r="O750" s="28" t="n">
        <v>0</v>
      </c>
      <c r="P750" s="30" t="n">
        <f>IF(AND(ISNUMBER(L750),L750&gt;0,COUNT(M750:O750)=3,MIN(M750:O750)&gt;=0),SUM(M750:O750)/L750,"")</f>
        <v>149.64562084532605</v>
      </c>
      <c r="Q750" s="16" t="str">
        <v>沿用原计划SKU店铺</v>
      </c>
      <c r="R750" s="16" t="str">
        <v>已匹配</v>
      </c>
      <c r="S750" s="16" t="str">
        <v>在售</v>
      </c>
      <c r="T750" s="16" t="str">
        <v>32582</v>
      </c>
      <c r="U750" s="16" t="str">
        <v>驼色</v>
      </c>
      <c r="V750" s="16" t="n">
        <v>7.5</v>
      </c>
      <c r="W750" s="8" t="str">
        <v>2026-10-11 至 2026-10-17</v>
      </c>
      <c r="X750" s="8" t="str">
        <v>2026-10-11、2026-10-12、2026-10-13、2026-10-14、2026-10-15、2026-10-16、2026-10-17</v>
      </c>
      <c r="Y750" s="8" t="str">
        <v>无</v>
      </c>
      <c r="Z750" s="8" t="n">
        <v>0</v>
      </c>
      <c r="AA750" s="8" t="n">
        <v>0</v>
      </c>
      <c r="AB750" s="8" t="n">
        <v>7</v>
      </c>
      <c r="AC750" s="8" t="str">
        <v>2026-10-02 至 2026-10-17</v>
      </c>
      <c r="AD750" s="8" t="str">
        <v>2026-10-02、2026-10-03、2026-10-04、2026-10-05、2026-10-08、2026-10-09、2026-10-10、2026-10-11、2026-10-12、2026-10-13、2026-10-14、2026-10-15、2026-10-16、2026-10-17</v>
      </c>
      <c r="AE750" s="8" t="str">
        <v>2026-10-06 大促；2026-10-07 大促</v>
      </c>
      <c r="AF750" s="8" t="n">
        <v>5</v>
      </c>
      <c r="AG750" s="8" t="n">
        <v>2</v>
      </c>
      <c r="AH750" s="8" t="n">
        <v>14</v>
      </c>
      <c r="AI750" s="8" t="str">
        <v>2026-09-16 至 2026-10-17</v>
      </c>
      <c r="AJ7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0" s="8" t="str">
        <v>2026-10-06 大促；2026-10-07 大促</v>
      </c>
      <c r="AL750" s="8" t="n">
        <v>7</v>
      </c>
      <c r="AM750" s="8" t="n">
        <v>2</v>
      </c>
      <c r="AN750" s="8" t="n">
        <v>30</v>
      </c>
      <c r="AO750" s="8" t="str">
        <v>32582 / 驼色羊京绒 / 6574</v>
      </c>
      <c r="AP750" s="11" t="n">
        <v>1.0395067087630607</v>
      </c>
      <c r="AQ750" s="11" t="n">
        <v>1.0395067087630607</v>
      </c>
      <c r="AR750" s="11" t="n">
        <v>1.0707336504782758</v>
      </c>
      <c r="AS750" s="11" t="n">
        <f>IF(AND(COUNT(I750:K750,AP750:AR750)=6,MIN(AP750:AR750)&gt;0),I750/7/AP750*0.5+J750/14/AQ750*0.3+K750/30/AR750*0.2,"")</f>
        <v>0.09297382251683586</v>
      </c>
      <c r="AT750" s="8" t="n">
        <v>16</v>
      </c>
      <c r="AU750" s="8" t="n">
        <v>2</v>
      </c>
      <c r="AV750" s="8" t="n">
        <v>88</v>
      </c>
      <c r="AW750" s="11" t="n">
        <f>IF(AND(COUNT(AT750:AV750)=3,AT750&gt;=AU750,AU750&gt;=0,AV750&gt;0),(AT750-AU750)/AV750,"")</f>
        <v>0.1590909090909091</v>
      </c>
      <c r="AX750" s="8" t="n">
        <v>19</v>
      </c>
      <c r="AY750" s="8" t="n">
        <v>2</v>
      </c>
      <c r="AZ750" s="8" t="n">
        <v>178</v>
      </c>
      <c r="BA750" s="11" t="n">
        <f>IF(AND(COUNT(AX750:AZ750)=3,AX750&gt;=AY750,AY750&gt;=0,AZ750&gt;0),(AX750-AY750)/AZ750,"")</f>
        <v>0.09550561797752809</v>
      </c>
      <c r="BB750" s="8" t="n">
        <f>IF(COUNT(AS750,AW750,BA750)=3,1,0)</f>
        <v>1</v>
      </c>
      <c r="BC750" s="11" t="n">
        <f>IF(SUMIF($AO$11:$AO$1309,AO750,$BB$11:$BB$1309)=COUNTIF($AO$11:$AO$1309,AO750),SUMIF($AO$11:$AO$1309,AO750,$AS$11:$AS$1309),"")</f>
        <v>1.2063042155814396</v>
      </c>
      <c r="BD750" s="11" t="n">
        <f>IF(SUMIF($AO$11:$AO$1309,AO750,$BB$11:$BB$1309)=COUNTIF($AO$11:$AO$1309,AO750),SUMIF($AO$11:$AO$1309,AO750,$AW$11:$AW$1309),"")</f>
        <v>1.386363636363636</v>
      </c>
      <c r="BE750" s="11" t="n">
        <f>IF(SUMIF($AO$11:$AO$1309,AO750,$BB$11:$BB$1309)=COUNTIF($AO$11:$AO$1309,AO750),SUMIF($AO$11:$AO$1309,AO750,$BA$11:$BA$1309),"")</f>
        <v>1.0617977528089888</v>
      </c>
      <c r="BF750" s="12" t="n">
        <f>IF(COUNT(BD750:BE750)&lt;&gt;2,"",IF(AND(BD750&gt;0,BE750&gt;0),0.7*AW750/BD750+0.3*BA750/BE750,IF(BD750&gt;0,AW750/BD750,IF(BE750&gt;0,BA750/BE750,IF(AND(ISNUMBER(BH750),BH750=0),0,"")))))</f>
        <v>0.10731199583658602</v>
      </c>
      <c r="BG750" s="11" t="n">
        <f>IF(AND(COUNT(BN750:BU750)=8,MIN(BN750:BU750)&gt;=0),SUMPRODUCT(BN750:BQ750,BR750:BU750),"")</f>
        <v>88.27281580841549</v>
      </c>
      <c r="BH750" s="11" t="n">
        <f>IF(COUNT(BC750,BG750)=2,BC750*BG750,"")</f>
        <v>106.48386983093555</v>
      </c>
      <c r="BI750" s="11" t="n">
        <f>IF(ISNUMBER(CI750),CI750,"")</f>
        <v>11.426996595960926</v>
      </c>
      <c r="BJ750" s="8" t="str"/>
      <c r="BK750" s="8" t="str">
        <v>90天：2026-07-20 至 2026-10-17；180天：2026-04-21 至 2026-10-17</v>
      </c>
      <c r="BL750" s="8" t="str">
        <v>90天：2026-10-06、2026-10-07；180天：2026-10-06、2026-10-07</v>
      </c>
      <c r="BM750" s="8" t="str">
        <v>2026-10：12天 × 1.0395067087630607；2026-11：30天 × 0.9890368360033146；2026-12：31天 × 0.7800796503018808；2027-01：17天 × 1.2908918272824135</v>
      </c>
      <c r="BN750" s="11" t="n">
        <v>1.0395067087630607</v>
      </c>
      <c r="BO750" s="11" t="n">
        <v>0.9890368360033146</v>
      </c>
      <c r="BP750" s="11" t="n">
        <v>0.7800796503018808</v>
      </c>
      <c r="BQ750" s="11" t="n">
        <v>1.2908918272824135</v>
      </c>
      <c r="BR750" s="8" t="n">
        <v>12</v>
      </c>
      <c r="BS750" s="8" t="n">
        <v>30</v>
      </c>
      <c r="BT750" s="8" t="n">
        <v>31</v>
      </c>
      <c r="BU750" s="8" t="n">
        <v>17</v>
      </c>
      <c r="BV750" s="11" t="n">
        <f>IF(COUNT(BC750,BF750)=2,BC750*BF750,"")</f>
        <v>0.12945091296013161</v>
      </c>
      <c r="BW750" s="11" t="n">
        <f>IF(ISNUMBER(BN750),BN750,"")</f>
        <v>1.0395067087630607</v>
      </c>
      <c r="BX750" s="14" t="n">
        <f>IF(ISNUMBER(BR750),BR750,"")</f>
        <v>12</v>
      </c>
      <c r="BY750" s="13" t="n">
        <f>IF(AND(COUNT(BV750,BW750,BX750)=3,MIN(BV750,BW750,BX750)&gt;=0),BV750*BW750*BX750,"")</f>
        <v>1.614781109730718</v>
      </c>
      <c r="BZ750" s="11" t="n">
        <f>IF(ISNUMBER(BO750),BO750,"")</f>
        <v>0.9890368360033146</v>
      </c>
      <c r="CA750" s="14" t="n">
        <f>IF(ISNUMBER(BS750),BS750,"")</f>
        <v>30</v>
      </c>
      <c r="CB750" s="13" t="n">
        <f>IF(AND(COUNT(BV750,BZ750,CA750)=3,MIN(BV750,BZ750,CA750)&gt;=0),BV750*BZ750*CA750,"")</f>
        <v>3.840951641154872</v>
      </c>
      <c r="CC750" s="11" t="n">
        <f>IF(ISNUMBER(BP750),BP750,"")</f>
        <v>0.7800796503018808</v>
      </c>
      <c r="CD750" s="14" t="n">
        <f>IF(ISNUMBER(BT750),BT750,"")</f>
        <v>31</v>
      </c>
      <c r="CE750" s="13" t="n">
        <f>IF(AND(COUNT(BV750,CC750,CD750)=3,MIN(BV750,CC750,CD750)&gt;=0),BV750*CC750*CD750,"")</f>
        <v>3.130442710309159</v>
      </c>
      <c r="CF750" s="11" t="n">
        <f>IF(ISNUMBER(BQ750),BQ750,"")</f>
        <v>1.2908918272824135</v>
      </c>
      <c r="CG750" s="14" t="n">
        <f>IF(ISNUMBER(BU750),BU750,"")</f>
        <v>17</v>
      </c>
      <c r="CH750" s="13" t="n">
        <f>IF(AND(COUNT(BV750,CF750,CG750)=3,MIN(BV750,CF750,CG750)&gt;=0),BV750*CF750*CG750,"")</f>
        <v>2.8408211347661765</v>
      </c>
      <c r="CI750" s="13" t="n">
        <f>IF(COUNT(BY750,CB750,CE750,CH750)=4,SUM(BY750,CB750,CE750,CH750),"")</f>
        <v>11.426996595960926</v>
      </c>
    </row>
    <row r="751" ht="72" customHeight="1">
      <c r="A751" s="16" t="str">
        <v>32582-TN-39</v>
      </c>
      <c r="B751" s="16" t="str">
        <v>3店-SANDIEX-US</v>
      </c>
      <c r="C751" s="16" t="str">
        <v>徐新怡</v>
      </c>
      <c r="D751" s="26" t="n">
        <f>IF(NOT(ISNUMBER(E751)),"",IF(OR(E751&lt;=0,L751=0),0,IF(OR(NOT(ISNUMBER(F751)),F751&lt;0),"",MIN(E751,INT(F751)))))</f>
        <v>0</v>
      </c>
      <c r="E751" s="27" t="n">
        <f>IF(OR(NOT(ISNUMBER(L751)),COUNT(M751:O751)&lt;&gt;3,MIN(M751:O751)&lt;0),"",ROUNDUP(ROUND(BI751-SUM(M751:O751),10),0))</f>
        <v>-1</v>
      </c>
      <c r="F751" s="28" t="n">
        <v>275</v>
      </c>
      <c r="G751" s="28" t="n">
        <f>IF(AND(ISNUMBER(D751),ISNUMBER(E751)),IF(OR(E751&lt;=0,L751=0),0,E751-D751),"")</f>
        <v>0</v>
      </c>
      <c r="H751" s="16" t="str">
        <f>IF(NOT(ISNUMBER(E751)),"销量或海外库存待补",IF(OR(E751&lt;=0,L751=0),IF(L751=0,"零日销，本批不发","本批无需补货"),IF(NOT(ISNUMBER(D751)),"国内库存待补",IF(D751=0,"国内无可用库存",IF(G751&gt;0,"先发国内现货","按建议量发货")))))</f>
        <v>本批无需补货</v>
      </c>
      <c r="I751" s="28" t="n">
        <f>IF(AND(COUNT(Z751,AA751,AB751)=3,Z751&gt;=AA751,AA751&gt;=0,AB751=7),Z751-AA751,"")</f>
        <v>0</v>
      </c>
      <c r="J751" s="28" t="n">
        <f>IF(AND(COUNT(AF751,AG751,AH751)=3,AF751&gt;=AG751,AG751&gt;=0,AH751=14),AF751-AG751,"")</f>
        <v>3</v>
      </c>
      <c r="K751" s="28" t="n">
        <f>IF(AND(COUNT(AL751,AM751,AN751)=3,AL751&gt;=AM751,AM751&gt;=0,AN751=30),AL751-AM751,"")</f>
        <v>7</v>
      </c>
      <c r="L751" s="29" t="n">
        <f>IF(ISNUMBER(BI751),BI751/90,"")</f>
        <v>0.19399047729052102</v>
      </c>
      <c r="M751" s="28" t="n">
        <v>18</v>
      </c>
      <c r="N751" s="28" t="n">
        <v>0</v>
      </c>
      <c r="O751" s="28" t="n">
        <v>0</v>
      </c>
      <c r="P751" s="30" t="n">
        <f>IF(AND(ISNUMBER(L751),L751&gt;0,COUNT(M751:O751)=3,MIN(M751:O751)&gt;=0),SUM(M751:O751)/L751,"")</f>
        <v>92.78805976152695</v>
      </c>
      <c r="Q751" s="16" t="str">
        <v>沿用原计划SKU店铺</v>
      </c>
      <c r="R751" s="16" t="str">
        <v>已匹配</v>
      </c>
      <c r="S751" s="16" t="str">
        <v>在售</v>
      </c>
      <c r="T751" s="16" t="str">
        <v>32582</v>
      </c>
      <c r="U751" s="16" t="str">
        <v>驼色</v>
      </c>
      <c r="V751" s="16" t="n">
        <v>8</v>
      </c>
      <c r="W751" s="8" t="str">
        <v>2026-10-11 至 2026-10-17</v>
      </c>
      <c r="X751" s="8" t="str">
        <v>2026-10-11、2026-10-12、2026-10-13、2026-10-14、2026-10-15、2026-10-16、2026-10-17</v>
      </c>
      <c r="Y751" s="8" t="str">
        <v>无</v>
      </c>
      <c r="Z751" s="8" t="n">
        <v>0</v>
      </c>
      <c r="AA751" s="8" t="n">
        <v>0</v>
      </c>
      <c r="AB751" s="8" t="n">
        <v>7</v>
      </c>
      <c r="AC751" s="8" t="str">
        <v>2026-10-02 至 2026-10-17</v>
      </c>
      <c r="AD751" s="8" t="str">
        <v>2026-10-02、2026-10-03、2026-10-04、2026-10-05、2026-10-08、2026-10-09、2026-10-10、2026-10-11、2026-10-12、2026-10-13、2026-10-14、2026-10-15、2026-10-16、2026-10-17</v>
      </c>
      <c r="AE751" s="8" t="str">
        <v>2026-10-06 大促；2026-10-07 大促</v>
      </c>
      <c r="AF751" s="8" t="n">
        <v>7</v>
      </c>
      <c r="AG751" s="8" t="n">
        <v>4</v>
      </c>
      <c r="AH751" s="8" t="n">
        <v>14</v>
      </c>
      <c r="AI751" s="8" t="str">
        <v>2026-09-16 至 2026-10-17</v>
      </c>
      <c r="AJ7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1" s="8" t="str">
        <v>2026-10-06 大促；2026-10-07 大促</v>
      </c>
      <c r="AL751" s="8" t="n">
        <v>11</v>
      </c>
      <c r="AM751" s="8" t="n">
        <v>4</v>
      </c>
      <c r="AN751" s="8" t="n">
        <v>30</v>
      </c>
      <c r="AO751" s="8" t="str">
        <v>32582 / 驼色羊京绒 / 6574</v>
      </c>
      <c r="AP751" s="11" t="n">
        <v>1.0395067087630607</v>
      </c>
      <c r="AQ751" s="11" t="n">
        <v>1.0395067087630607</v>
      </c>
      <c r="AR751" s="11" t="n">
        <v>1.0707336504782758</v>
      </c>
      <c r="AS751" s="11" t="n">
        <f>IF(AND(COUNT(I751:K751,AP751:AR751)=6,MIN(AP751:AR751)&gt;0),I751/7/AP751*0.5+J751/14/AQ751*0.3+K751/30/AR751*0.2,"")</f>
        <v>0.105426343577865</v>
      </c>
      <c r="AT751" s="8" t="n">
        <v>24</v>
      </c>
      <c r="AU751" s="8" t="n">
        <v>4</v>
      </c>
      <c r="AV751" s="8" t="n">
        <v>88</v>
      </c>
      <c r="AW751" s="11" t="n">
        <f>IF(AND(COUNT(AT751:AV751)=3,AT751&gt;=AU751,AU751&gt;=0,AV751&gt;0),(AT751-AU751)/AV751,"")</f>
        <v>0.22727272727272727</v>
      </c>
      <c r="AX751" s="8" t="n">
        <v>35</v>
      </c>
      <c r="AY751" s="8" t="n">
        <v>4</v>
      </c>
      <c r="AZ751" s="8" t="n">
        <v>178</v>
      </c>
      <c r="BA751" s="11" t="n">
        <f>IF(AND(COUNT(AX751:AZ751)=3,AX751&gt;=AY751,AY751&gt;=0,AZ751&gt;0),(AX751-AY751)/AZ751,"")</f>
        <v>0.17415730337078653</v>
      </c>
      <c r="BB751" s="8" t="n">
        <f>IF(COUNT(AS751,AW751,BA751)=3,1,0)</f>
        <v>1</v>
      </c>
      <c r="BC751" s="11" t="n">
        <f>IF(SUMIF($AO$11:$AO$1309,AO751,$BB$11:$BB$1309)=COUNTIF($AO$11:$AO$1309,AO751),SUMIF($AO$11:$AO$1309,AO751,$AS$11:$AS$1309),"")</f>
        <v>1.2063042155814396</v>
      </c>
      <c r="BD751" s="11" t="n">
        <f>IF(SUMIF($AO$11:$AO$1309,AO751,$BB$11:$BB$1309)=COUNTIF($AO$11:$AO$1309,AO751),SUMIF($AO$11:$AO$1309,AO751,$AW$11:$AW$1309),"")</f>
        <v>1.386363636363636</v>
      </c>
      <c r="BE751" s="11" t="n">
        <f>IF(SUMIF($AO$11:$AO$1309,AO751,$BB$11:$BB$1309)=COUNTIF($AO$11:$AO$1309,AO751),SUMIF($AO$11:$AO$1309,AO751,$BA$11:$BA$1309),"")</f>
        <v>1.0617977528089888</v>
      </c>
      <c r="BF751" s="12" t="n">
        <f>IF(COUNT(BD751:BE751)&lt;&gt;2,"",IF(AND(BD751&gt;0,BE751&gt;0),0.7*AW751/BD751+0.3*BA751/BE751,IF(BD751&gt;0,AW751/BD751,IF(BE751&gt;0,BA751/BE751,IF(AND(ISNUMBER(BH751),BH751=0),0,"")))))</f>
        <v>0.16396044756700498</v>
      </c>
      <c r="BG751" s="11" t="n">
        <f>IF(AND(COUNT(BN751:BU751)=8,MIN(BN751:BU751)&gt;=0),SUMPRODUCT(BN751:BQ751,BR751:BU751),"")</f>
        <v>88.27281580841549</v>
      </c>
      <c r="BH751" s="11" t="n">
        <f>IF(COUNT(BC751,BG751)=2,BC751*BG751,"")</f>
        <v>106.48386983093555</v>
      </c>
      <c r="BI751" s="11" t="n">
        <f>IF(ISNUMBER(CI751),CI751,"")</f>
        <v>17.45914295614689</v>
      </c>
      <c r="BJ751" s="8" t="str"/>
      <c r="BK751" s="8" t="str">
        <v>90天：2026-07-20 至 2026-10-17；180天：2026-04-21 至 2026-10-17</v>
      </c>
      <c r="BL751" s="8" t="str">
        <v>90天：2026-10-06、2026-10-07；180天：2026-10-06、2026-10-07</v>
      </c>
      <c r="BM751" s="8" t="str">
        <v>2026-10：12天 × 1.0395067087630607；2026-11：30天 × 0.9890368360033146；2026-12：31天 × 0.7800796503018808；2027-01：17天 × 1.2908918272824135</v>
      </c>
      <c r="BN751" s="11" t="n">
        <v>1.0395067087630607</v>
      </c>
      <c r="BO751" s="11" t="n">
        <v>0.9890368360033146</v>
      </c>
      <c r="BP751" s="11" t="n">
        <v>0.7800796503018808</v>
      </c>
      <c r="BQ751" s="11" t="n">
        <v>1.2908918272824135</v>
      </c>
      <c r="BR751" s="8" t="n">
        <v>12</v>
      </c>
      <c r="BS751" s="8" t="n">
        <v>30</v>
      </c>
      <c r="BT751" s="8" t="n">
        <v>31</v>
      </c>
      <c r="BU751" s="8" t="n">
        <v>17</v>
      </c>
      <c r="BV751" s="11" t="n">
        <f>IF(COUNT(BC751,BF751)=2,BC751*BF751,"")</f>
        <v>0.1977861790886977</v>
      </c>
      <c r="BW751" s="11" t="n">
        <f>IF(ISNUMBER(BN751),BN751,"")</f>
        <v>1.0395067087630607</v>
      </c>
      <c r="BX751" s="14" t="n">
        <f>IF(ISNUMBER(BR751),BR751,"")</f>
        <v>12</v>
      </c>
      <c r="BY751" s="13" t="n">
        <f>IF(AND(COUNT(BV751,BW751,BX751)=3,MIN(BV751,BW751,BX751)&gt;=0),BV751*BW751*BX751,"")</f>
        <v>2.4672007207597613</v>
      </c>
      <c r="BZ751" s="11" t="n">
        <f>IF(ISNUMBER(BO751),BO751,"")</f>
        <v>0.9890368360033146</v>
      </c>
      <c r="CA751" s="14" t="n">
        <f>IF(ISNUMBER(BS751),BS751,"")</f>
        <v>30</v>
      </c>
      <c r="CB751" s="13" t="n">
        <f>IF(AND(COUNT(BV751,BZ751,CA751)=3,MIN(BV751,BZ751,CA751)&gt;=0),BV751*BZ751*CA751,"")</f>
        <v>5.868534503132115</v>
      </c>
      <c r="CC751" s="11" t="n">
        <f>IF(ISNUMBER(BP751),BP751,"")</f>
        <v>0.7800796503018808</v>
      </c>
      <c r="CD751" s="14" t="n">
        <f>IF(ISNUMBER(BT751),BT751,"")</f>
        <v>31</v>
      </c>
      <c r="CE751" s="13" t="n">
        <f>IF(AND(COUNT(BV751,CC751,CD751)=3,MIN(BV751,CC751,CD751)&gt;=0),BV751*CC751*CD751,"")</f>
        <v>4.78295817595975</v>
      </c>
      <c r="CF751" s="11" t="n">
        <f>IF(ISNUMBER(BQ751),BQ751,"")</f>
        <v>1.2908918272824135</v>
      </c>
      <c r="CG751" s="14" t="n">
        <f>IF(ISNUMBER(BU751),BU751,"")</f>
        <v>17</v>
      </c>
      <c r="CH751" s="13" t="n">
        <f>IF(AND(COUNT(BV751,CF751,CG751)=3,MIN(BV751,CF751,CG751)&gt;=0),BV751*CF751*CG751,"")</f>
        <v>4.340449556295265</v>
      </c>
      <c r="CI751" s="13" t="n">
        <f>IF(COUNT(BY751,CB751,CE751,CH751)=4,SUM(BY751,CB751,CE751,CH751),"")</f>
        <v>17.45914295614689</v>
      </c>
    </row>
    <row r="752" ht="72" customHeight="1">
      <c r="A752" s="16" t="str">
        <v>32582-TN-39.5</v>
      </c>
      <c r="B752" s="16" t="str">
        <v>3店-SANDIEX-US</v>
      </c>
      <c r="C752" s="16" t="str">
        <v>徐新怡</v>
      </c>
      <c r="D752" s="26" t="n">
        <f>IF(NOT(ISNUMBER(E752)),"",IF(OR(E752&lt;=0,L752=0),0,IF(OR(NOT(ISNUMBER(F752)),F752&lt;0),"",MIN(E752,INT(F752)))))</f>
        <v>0</v>
      </c>
      <c r="E752" s="27" t="n">
        <f>IF(OR(NOT(ISNUMBER(L752)),COUNT(M752:O752)&lt;&gt;3,MIN(M752:O752)&lt;0),"",ROUNDUP(ROUND(BI752-SUM(M752:O752),10),0))</f>
        <v>-8</v>
      </c>
      <c r="F752" s="28" t="n">
        <v>341</v>
      </c>
      <c r="G752" s="28" t="n">
        <f>IF(AND(ISNUMBER(D752),ISNUMBER(E752)),IF(OR(E752&lt;=0,L752=0),0,E752-D752),"")</f>
        <v>0</v>
      </c>
      <c r="H752" s="16" t="str">
        <f>IF(NOT(ISNUMBER(E752)),"销量或海外库存待补",IF(OR(E752&lt;=0,L752=0),IF(L752=0,"零日销，本批不发","本批无需补货"),IF(NOT(ISNUMBER(D752)),"国内库存待补",IF(D752=0,"国内无可用库存",IF(G752&gt;0,"先发国内现货","按建议量发货")))))</f>
        <v>本批无需补货</v>
      </c>
      <c r="I752" s="28" t="n">
        <f>IF(AND(COUNT(Z752,AA752,AB752)=3,Z752&gt;=AA752,AA752&gt;=0,AB752=7),Z752-AA752,"")</f>
        <v>1</v>
      </c>
      <c r="J752" s="28" t="n">
        <f>IF(AND(COUNT(AF752,AG752,AH752)=3,AF752&gt;=AG752,AG752&gt;=0,AH752=14),AF752-AG752,"")</f>
        <v>4</v>
      </c>
      <c r="K752" s="28" t="n">
        <f>IF(AND(COUNT(AL752,AM752,AN752)=3,AL752&gt;=AM752,AM752&gt;=0,AN752=30),AL752-AM752,"")</f>
        <v>11</v>
      </c>
      <c r="L752" s="29" t="n">
        <f>IF(ISNUMBER(BI752),BI752/90,"")</f>
        <v>0.22793342304719447</v>
      </c>
      <c r="M752" s="28" t="n">
        <v>18</v>
      </c>
      <c r="N752" s="28" t="n">
        <v>0</v>
      </c>
      <c r="O752" s="28" t="n">
        <v>10</v>
      </c>
      <c r="P752" s="30" t="n">
        <f>IF(AND(ISNUMBER(L752),L752&gt;0,COUNT(M752:O752)=3,MIN(M752:O752)&gt;=0),SUM(M752:O752)/L752,"")</f>
        <v>122.84288818056532</v>
      </c>
      <c r="Q752" s="16" t="str">
        <v>沿用原计划SKU店铺</v>
      </c>
      <c r="R752" s="16" t="str">
        <v>已匹配</v>
      </c>
      <c r="S752" s="16" t="str">
        <v>在售</v>
      </c>
      <c r="T752" s="16" t="str">
        <v>32582</v>
      </c>
      <c r="U752" s="16" t="str">
        <v>驼色</v>
      </c>
      <c r="V752" s="16" t="n">
        <v>8.5</v>
      </c>
      <c r="W752" s="8" t="str">
        <v>2026-10-11 至 2026-10-17</v>
      </c>
      <c r="X752" s="8" t="str">
        <v>2026-10-11、2026-10-12、2026-10-13、2026-10-14、2026-10-15、2026-10-16、2026-10-17</v>
      </c>
      <c r="Y752" s="8" t="str">
        <v>无</v>
      </c>
      <c r="Z752" s="8" t="n">
        <v>1</v>
      </c>
      <c r="AA752" s="8" t="n">
        <v>0</v>
      </c>
      <c r="AB752" s="8" t="n">
        <v>7</v>
      </c>
      <c r="AC752" s="8" t="str">
        <v>2026-10-02 至 2026-10-17</v>
      </c>
      <c r="AD752" s="8" t="str">
        <v>2026-10-02、2026-10-03、2026-10-04、2026-10-05、2026-10-08、2026-10-09、2026-10-10、2026-10-11、2026-10-12、2026-10-13、2026-10-14、2026-10-15、2026-10-16、2026-10-17</v>
      </c>
      <c r="AE752" s="8" t="str">
        <v>2026-10-06 大促；2026-10-07 大促</v>
      </c>
      <c r="AF752" s="8" t="n">
        <v>6</v>
      </c>
      <c r="AG752" s="8" t="n">
        <v>2</v>
      </c>
      <c r="AH752" s="8" t="n">
        <v>14</v>
      </c>
      <c r="AI752" s="8" t="str">
        <v>2026-09-16 至 2026-10-17</v>
      </c>
      <c r="AJ7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2" s="8" t="str">
        <v>2026-10-06 大促；2026-10-07 大促</v>
      </c>
      <c r="AL752" s="8" t="n">
        <v>13</v>
      </c>
      <c r="AM752" s="8" t="n">
        <v>2</v>
      </c>
      <c r="AN752" s="8" t="n">
        <v>30</v>
      </c>
      <c r="AO752" s="8" t="str">
        <v>32582 / 驼色羊京绒 / 6574</v>
      </c>
      <c r="AP752" s="11" t="n">
        <v>1.0395067087630607</v>
      </c>
      <c r="AQ752" s="11" t="n">
        <v>1.0395067087630607</v>
      </c>
      <c r="AR752" s="11" t="n">
        <v>1.0707336504782758</v>
      </c>
      <c r="AS752" s="11" t="n">
        <f>IF(AND(COUNT(I752:K752,AP752:AR752)=6,MIN(AP752:AR752)&gt;0),I752/7/AP752*0.5+J752/14/AQ752*0.3+K752/30/AR752*0.2,"")</f>
        <v>0.2196594699483032</v>
      </c>
      <c r="AT752" s="8" t="n">
        <v>27</v>
      </c>
      <c r="AU752" s="8" t="n">
        <v>2</v>
      </c>
      <c r="AV752" s="8" t="n">
        <v>88</v>
      </c>
      <c r="AW752" s="11" t="n">
        <f>IF(AND(COUNT(AT752:AV752)=3,AT752&gt;=AU752,AU752&gt;=0,AV752&gt;0),(AT752-AU752)/AV752,"")</f>
        <v>0.2840909090909091</v>
      </c>
      <c r="AX752" s="8" t="n">
        <v>33</v>
      </c>
      <c r="AY752" s="8" t="n">
        <v>2</v>
      </c>
      <c r="AZ752" s="8" t="n">
        <v>178</v>
      </c>
      <c r="BA752" s="11" t="n">
        <f>IF(AND(COUNT(AX752:AZ752)=3,AX752&gt;=AY752,AY752&gt;=0,AZ752&gt;0),(AX752-AY752)/AZ752,"")</f>
        <v>0.17415730337078653</v>
      </c>
      <c r="BB752" s="8" t="n">
        <f>IF(COUNT(AS752,AW752,BA752)=3,1,0)</f>
        <v>1</v>
      </c>
      <c r="BC752" s="11" t="n">
        <f>IF(SUMIF($AO$11:$AO$1309,AO752,$BB$11:$BB$1309)=COUNTIF($AO$11:$AO$1309,AO752),SUMIF($AO$11:$AO$1309,AO752,$AS$11:$AS$1309),"")</f>
        <v>1.2063042155814396</v>
      </c>
      <c r="BD752" s="11" t="n">
        <f>IF(SUMIF($AO$11:$AO$1309,AO752,$BB$11:$BB$1309)=COUNTIF($AO$11:$AO$1309,AO752),SUMIF($AO$11:$AO$1309,AO752,$AW$11:$AW$1309),"")</f>
        <v>1.386363636363636</v>
      </c>
      <c r="BE752" s="11" t="n">
        <f>IF(SUMIF($AO$11:$AO$1309,AO752,$BB$11:$BB$1309)=COUNTIF($AO$11:$AO$1309,AO752),SUMIF($AO$11:$AO$1309,AO752,$BA$11:$BA$1309),"")</f>
        <v>1.0617977528089888</v>
      </c>
      <c r="BF752" s="12" t="n">
        <f>IF(COUNT(BD752:BE752)&lt;&gt;2,"",IF(AND(BD752&gt;0,BE752&gt;0),0.7*AW752/BD752+0.3*BA752/BE752,IF(BD752&gt;0,AW752/BD752,IF(BE752&gt;0,BA752/BE752,IF(AND(ISNUMBER(BH752),BH752=0),0,"")))))</f>
        <v>0.19264897215716892</v>
      </c>
      <c r="BG752" s="11" t="n">
        <f>IF(AND(COUNT(BN752:BU752)=8,MIN(BN752:BU752)&gt;=0),SUMPRODUCT(BN752:BQ752,BR752:BU752),"")</f>
        <v>88.27281580841549</v>
      </c>
      <c r="BH752" s="11" t="n">
        <f>IF(COUNT(BC752,BG752)=2,BC752*BG752,"")</f>
        <v>106.48386983093555</v>
      </c>
      <c r="BI752" s="11" t="n">
        <f>IF(ISNUMBER(CI752),CI752,"")</f>
        <v>20.514008074247503</v>
      </c>
      <c r="BJ752" s="8" t="str"/>
      <c r="BK752" s="8" t="str">
        <v>90天：2026-07-20 至 2026-10-17；180天：2026-04-21 至 2026-10-17</v>
      </c>
      <c r="BL752" s="8" t="str">
        <v>90天：2026-10-06、2026-10-07；180天：2026-10-06、2026-10-07</v>
      </c>
      <c r="BM752" s="8" t="str">
        <v>2026-10：12天 × 1.0395067087630607；2026-11：30天 × 0.9890368360033146；2026-12：31天 × 0.7800796503018808；2027-01：17天 × 1.2908918272824135</v>
      </c>
      <c r="BN752" s="11" t="n">
        <v>1.0395067087630607</v>
      </c>
      <c r="BO752" s="11" t="n">
        <v>0.9890368360033146</v>
      </c>
      <c r="BP752" s="11" t="n">
        <v>0.7800796503018808</v>
      </c>
      <c r="BQ752" s="11" t="n">
        <v>1.2908918272824135</v>
      </c>
      <c r="BR752" s="8" t="n">
        <v>12</v>
      </c>
      <c r="BS752" s="8" t="n">
        <v>30</v>
      </c>
      <c r="BT752" s="8" t="n">
        <v>31</v>
      </c>
      <c r="BU752" s="8" t="n">
        <v>17</v>
      </c>
      <c r="BV752" s="11" t="n">
        <f>IF(COUNT(BC752,BF752)=2,BC752*BF752,"")</f>
        <v>0.23239326724062426</v>
      </c>
      <c r="BW752" s="11" t="n">
        <f>IF(ISNUMBER(BN752),BN752,"")</f>
        <v>1.0395067087630607</v>
      </c>
      <c r="BX752" s="14" t="n">
        <f>IF(ISNUMBER(BR752),BR752,"")</f>
        <v>12</v>
      </c>
      <c r="BY752" s="13" t="n">
        <f>IF(AND(COUNT(BV752,BW752,BX752)=3,MIN(BV752,BW752,BX752)&gt;=0),BV752*BW752*BX752,"")</f>
        <v>2.898892324415949</v>
      </c>
      <c r="BZ752" s="11" t="n">
        <f>IF(ISNUMBER(BO752),BO752,"")</f>
        <v>0.9890368360033146</v>
      </c>
      <c r="CA752" s="14" t="n">
        <f>IF(ISNUMBER(BS752),BS752,"")</f>
        <v>30</v>
      </c>
      <c r="CB752" s="13" t="n">
        <f>IF(AND(COUNT(BV752,BZ752,CA752)=3,MIN(BV752,BZ752,CA752)&gt;=0),BV752*BZ752*CA752,"")</f>
        <v>6.895365052204193</v>
      </c>
      <c r="CC752" s="11" t="n">
        <f>IF(ISNUMBER(BP752),BP752,"")</f>
        <v>0.7800796503018808</v>
      </c>
      <c r="CD752" s="14" t="n">
        <f>IF(ISNUMBER(BT752),BT752,"")</f>
        <v>31</v>
      </c>
      <c r="CE752" s="13" t="n">
        <f>IF(AND(COUNT(BV752,CC752,CD752)=3,MIN(BV752,CC752,CD752)&gt;=0),BV752*CC752*CD752,"")</f>
        <v>5.6198430178889085</v>
      </c>
      <c r="CF752" s="11" t="n">
        <f>IF(ISNUMBER(BQ752),BQ752,"")</f>
        <v>1.2908918272824135</v>
      </c>
      <c r="CG752" s="14" t="n">
        <f>IF(ISNUMBER(BU752),BU752,"")</f>
        <v>17</v>
      </c>
      <c r="CH752" s="13" t="n">
        <f>IF(AND(COUNT(BV752,CF752,CG752)=3,MIN(BV752,CF752,CG752)&gt;=0),BV752*CF752*CG752,"")</f>
        <v>5.099907679738455</v>
      </c>
      <c r="CI752" s="13" t="n">
        <f>IF(COUNT(BY752,CB752,CE752,CH752)=4,SUM(BY752,CB752,CE752,CH752),"")</f>
        <v>20.514008074247503</v>
      </c>
    </row>
    <row r="753" ht="72" customHeight="1">
      <c r="A753" s="16" t="str">
        <v>32582-TN-40</v>
      </c>
      <c r="B753" s="16" t="str">
        <v>3店-SANDIEX-US</v>
      </c>
      <c r="C753" s="16" t="str">
        <v>徐新怡</v>
      </c>
      <c r="D753" s="26" t="n">
        <f>IF(NOT(ISNUMBER(E753)),"",IF(OR(E753&lt;=0,L753=0),0,IF(OR(NOT(ISNUMBER(F753)),F753&lt;0),"",MIN(E753,INT(F753)))))</f>
        <v>0</v>
      </c>
      <c r="E753" s="27" t="n">
        <f>IF(OR(NOT(ISNUMBER(L753)),COUNT(M753:O753)&lt;&gt;3,MIN(M753:O753)&lt;0),"",ROUNDUP(ROUND(BI753-SUM(M753:O753),10),0))</f>
        <v>-8</v>
      </c>
      <c r="F753" s="28" t="n">
        <v>131</v>
      </c>
      <c r="G753" s="28" t="n">
        <f>IF(AND(ISNUMBER(D753),ISNUMBER(E753)),IF(OR(E753&lt;=0,L753=0),0,E753-D753),"")</f>
        <v>0</v>
      </c>
      <c r="H753" s="16" t="str">
        <f>IF(NOT(ISNUMBER(E753)),"销量或海外库存待补",IF(OR(E753&lt;=0,L753=0),IF(L753=0,"零日销，本批不发","本批无需补货"),IF(NOT(ISNUMBER(D753)),"国内库存待补",IF(D753=0,"国内无可用库存",IF(G753&gt;0,"先发国内现货","按建议量发货")))))</f>
        <v>本批无需补货</v>
      </c>
      <c r="I753" s="28" t="n">
        <f>IF(AND(COUNT(Z753,AA753,AB753)=3,Z753&gt;=AA753,AA753&gt;=0,AB753=7),Z753-AA753,"")</f>
        <v>0</v>
      </c>
      <c r="J753" s="28" t="n">
        <f>IF(AND(COUNT(AF753,AG753,AH753)=3,AF753&gt;=AG753,AG753&gt;=0,AH753=14),AF753-AG753,"")</f>
        <v>3</v>
      </c>
      <c r="K753" s="28" t="n">
        <f>IF(AND(COUNT(AL753,AM753,AN753)=3,AL753&gt;=AM753,AM753&gt;=0,AN753=30),AL753-AM753,"")</f>
        <v>7</v>
      </c>
      <c r="L753" s="29" t="n">
        <f>IF(ISNUMBER(BI753),BI753/90,"")</f>
        <v>0.0930236830873368</v>
      </c>
      <c r="M753" s="28" t="n">
        <v>16</v>
      </c>
      <c r="N753" s="28" t="n">
        <v>0</v>
      </c>
      <c r="O753" s="28" t="n">
        <v>0</v>
      </c>
      <c r="P753" s="30" t="n">
        <f>IF(AND(ISNUMBER(L753),L753&gt;0,COUNT(M753:O753)=3,MIN(M753:O753)&gt;=0),SUM(M753:O753)/L753,"")</f>
        <v>171.999209975143</v>
      </c>
      <c r="Q753" s="16" t="str">
        <v>沿用原计划SKU店铺</v>
      </c>
      <c r="R753" s="16" t="str">
        <v>已匹配</v>
      </c>
      <c r="S753" s="16" t="str">
        <v>在售</v>
      </c>
      <c r="T753" s="16" t="str">
        <v>32582</v>
      </c>
      <c r="U753" s="16" t="str">
        <v>驼色</v>
      </c>
      <c r="V753" s="16" t="n">
        <v>9</v>
      </c>
      <c r="W753" s="8" t="str">
        <v>2026-10-11 至 2026-10-17</v>
      </c>
      <c r="X753" s="8" t="str">
        <v>2026-10-11、2026-10-12、2026-10-13、2026-10-14、2026-10-15、2026-10-16、2026-10-17</v>
      </c>
      <c r="Y753" s="8" t="str">
        <v>无</v>
      </c>
      <c r="Z753" s="8" t="n">
        <v>0</v>
      </c>
      <c r="AA753" s="8" t="n">
        <v>0</v>
      </c>
      <c r="AB753" s="8" t="n">
        <v>7</v>
      </c>
      <c r="AC753" s="8" t="str">
        <v>2026-10-02 至 2026-10-17</v>
      </c>
      <c r="AD753" s="8" t="str">
        <v>2026-10-02、2026-10-03、2026-10-04、2026-10-05、2026-10-08、2026-10-09、2026-10-10、2026-10-11、2026-10-12、2026-10-13、2026-10-14、2026-10-15、2026-10-16、2026-10-17</v>
      </c>
      <c r="AE753" s="8" t="str">
        <v>2026-10-06 大促；2026-10-07 大促</v>
      </c>
      <c r="AF753" s="8" t="n">
        <v>4</v>
      </c>
      <c r="AG753" s="8" t="n">
        <v>1</v>
      </c>
      <c r="AH753" s="8" t="n">
        <v>14</v>
      </c>
      <c r="AI753" s="8" t="str">
        <v>2026-09-16 至 2026-10-17</v>
      </c>
      <c r="AJ7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3" s="8" t="str">
        <v>2026-10-06 大促；2026-10-07 大促</v>
      </c>
      <c r="AL753" s="8" t="n">
        <v>8</v>
      </c>
      <c r="AM753" s="8" t="n">
        <v>1</v>
      </c>
      <c r="AN753" s="8" t="n">
        <v>30</v>
      </c>
      <c r="AO753" s="8" t="str">
        <v>32582 / 驼色羊京绒 / 6574</v>
      </c>
      <c r="AP753" s="11" t="n">
        <v>1.0395067087630607</v>
      </c>
      <c r="AQ753" s="11" t="n">
        <v>1.0395067087630607</v>
      </c>
      <c r="AR753" s="11" t="n">
        <v>1.0707336504782758</v>
      </c>
      <c r="AS753" s="11" t="n">
        <f>IF(AND(COUNT(I753:K753,AP753:AR753)=6,MIN(AP753:AR753)&gt;0),I753/7/AP753*0.5+J753/14/AQ753*0.3+K753/30/AR753*0.2,"")</f>
        <v>0.105426343577865</v>
      </c>
      <c r="AT753" s="8" t="n">
        <v>10</v>
      </c>
      <c r="AU753" s="8" t="n">
        <v>1</v>
      </c>
      <c r="AV753" s="8" t="n">
        <v>88</v>
      </c>
      <c r="AW753" s="11" t="n">
        <f>IF(AND(COUNT(AT753:AV753)=3,AT753&gt;=AU753,AU753&gt;=0,AV753&gt;0),(AT753-AU753)/AV753,"")</f>
        <v>0.10227272727272728</v>
      </c>
      <c r="AX753" s="8" t="n">
        <v>18</v>
      </c>
      <c r="AY753" s="8" t="n">
        <v>1</v>
      </c>
      <c r="AZ753" s="8" t="n">
        <v>178</v>
      </c>
      <c r="BA753" s="11" t="n">
        <f>IF(AND(COUNT(AX753:AZ753)=3,AX753&gt;=AY753,AY753&gt;=0,AZ753&gt;0),(AX753-AY753)/AZ753,"")</f>
        <v>0.09550561797752809</v>
      </c>
      <c r="BB753" s="8" t="n">
        <f>IF(COUNT(AS753,AW753,BA753)=3,1,0)</f>
        <v>1</v>
      </c>
      <c r="BC753" s="11" t="n">
        <f>IF(SUMIF($AO$11:$AO$1309,AO753,$BB$11:$BB$1309)=COUNTIF($AO$11:$AO$1309,AO753),SUMIF($AO$11:$AO$1309,AO753,$AS$11:$AS$1309),"")</f>
        <v>1.2063042155814396</v>
      </c>
      <c r="BD753" s="11" t="n">
        <f>IF(SUMIF($AO$11:$AO$1309,AO753,$BB$11:$BB$1309)=COUNTIF($AO$11:$AO$1309,AO753),SUMIF($AO$11:$AO$1309,AO753,$AW$11:$AW$1309),"")</f>
        <v>1.386363636363636</v>
      </c>
      <c r="BE753" s="11" t="n">
        <f>IF(SUMIF($AO$11:$AO$1309,AO753,$BB$11:$BB$1309)=COUNTIF($AO$11:$AO$1309,AO753),SUMIF($AO$11:$AO$1309,AO753,$BA$11:$BA$1309),"")</f>
        <v>1.0617977528089888</v>
      </c>
      <c r="BF753" s="12" t="n">
        <f>IF(COUNT(BD753:BE753)&lt;&gt;2,"",IF(AND(BD753&gt;0,BE753&gt;0),0.7*AW753/BD753+0.3*BA753/BE753,IF(BD753&gt;0,AW753/BD753,IF(BE753&gt;0,BA753/BE753,IF(AND(ISNUMBER(BH753),BH753=0),0,"")))))</f>
        <v>0.07862347124642208</v>
      </c>
      <c r="BG753" s="11" t="n">
        <f>IF(AND(COUNT(BN753:BU753)=8,MIN(BN753:BU753)&gt;=0),SUMPRODUCT(BN753:BQ753,BR753:BU753),"")</f>
        <v>88.27281580841549</v>
      </c>
      <c r="BH753" s="11" t="n">
        <f>IF(COUNT(BC753,BG753)=2,BC753*BG753,"")</f>
        <v>106.48386983093555</v>
      </c>
      <c r="BI753" s="11" t="n">
        <f>IF(ISNUMBER(CI753),CI753,"")</f>
        <v>8.372131477860313</v>
      </c>
      <c r="BJ753" s="8" t="str"/>
      <c r="BK753" s="8" t="str">
        <v>90天：2026-07-20 至 2026-10-17；180天：2026-04-21 至 2026-10-17</v>
      </c>
      <c r="BL753" s="8" t="str">
        <v>90天：2026-10-06、2026-10-07；180天：2026-10-06、2026-10-07</v>
      </c>
      <c r="BM753" s="8" t="str">
        <v>2026-10：12天 × 1.0395067087630607；2026-11：30天 × 0.9890368360033146；2026-12：31天 × 0.7800796503018808；2027-01：17天 × 1.2908918272824135</v>
      </c>
      <c r="BN753" s="11" t="n">
        <v>1.0395067087630607</v>
      </c>
      <c r="BO753" s="11" t="n">
        <v>0.9890368360033146</v>
      </c>
      <c r="BP753" s="11" t="n">
        <v>0.7800796503018808</v>
      </c>
      <c r="BQ753" s="11" t="n">
        <v>1.2908918272824135</v>
      </c>
      <c r="BR753" s="8" t="n">
        <v>12</v>
      </c>
      <c r="BS753" s="8" t="n">
        <v>30</v>
      </c>
      <c r="BT753" s="8" t="n">
        <v>31</v>
      </c>
      <c r="BU753" s="8" t="n">
        <v>17</v>
      </c>
      <c r="BV753" s="11" t="n">
        <f>IF(COUNT(BC753,BF753)=2,BC753*BF753,"")</f>
        <v>0.09484382480820505</v>
      </c>
      <c r="BW753" s="11" t="n">
        <f>IF(ISNUMBER(BN753),BN753,"")</f>
        <v>1.0395067087630607</v>
      </c>
      <c r="BX753" s="14" t="n">
        <f>IF(ISNUMBER(BR753),BR753,"")</f>
        <v>12</v>
      </c>
      <c r="BY753" s="13" t="n">
        <f>IF(AND(COUNT(BV753,BW753,BX753)=3,MIN(BV753,BW753,BX753)&gt;=0),BV753*BW753*BX753,"")</f>
        <v>1.1830895060745306</v>
      </c>
      <c r="BZ753" s="11" t="n">
        <f>IF(ISNUMBER(BO753),BO753,"")</f>
        <v>0.9890368360033146</v>
      </c>
      <c r="CA753" s="14" t="n">
        <f>IF(ISNUMBER(BS753),BS753,"")</f>
        <v>30</v>
      </c>
      <c r="CB753" s="13" t="n">
        <f>IF(AND(COUNT(BV753,BZ753,CA753)=3,MIN(BV753,BZ753,CA753)&gt;=0),BV753*BZ753*CA753,"")</f>
        <v>2.814121092082794</v>
      </c>
      <c r="CC753" s="11" t="n">
        <f>IF(ISNUMBER(BP753),BP753,"")</f>
        <v>0.7800796503018808</v>
      </c>
      <c r="CD753" s="14" t="n">
        <f>IF(ISNUMBER(BT753),BT753,"")</f>
        <v>31</v>
      </c>
      <c r="CE753" s="13" t="n">
        <f>IF(AND(COUNT(BV753,CC753,CD753)=3,MIN(BV753,CC753,CD753)&gt;=0),BV753*CC753*CD753,"")</f>
        <v>2.2935578683800006</v>
      </c>
      <c r="CF753" s="11" t="n">
        <f>IF(ISNUMBER(BQ753),BQ753,"")</f>
        <v>1.2908918272824135</v>
      </c>
      <c r="CG753" s="14" t="n">
        <f>IF(ISNUMBER(BU753),BU753,"")</f>
        <v>17</v>
      </c>
      <c r="CH753" s="13" t="n">
        <f>IF(AND(COUNT(BV753,CF753,CG753)=3,MIN(BV753,CF753,CG753)&gt;=0),BV753*CF753*CG753,"")</f>
        <v>2.0813630113229875</v>
      </c>
      <c r="CI753" s="13" t="n">
        <f>IF(COUNT(BY753,CB753,CE753,CH753)=4,SUM(BY753,CB753,CE753,CH753),"")</f>
        <v>8.372131477860313</v>
      </c>
    </row>
    <row r="754" ht="72" customHeight="1">
      <c r="A754" s="16" t="str">
        <v>32582-TN-40.5</v>
      </c>
      <c r="B754" s="16" t="str">
        <v>3店-SANDIEX-US</v>
      </c>
      <c r="C754" s="16" t="str">
        <v>徐新怡</v>
      </c>
      <c r="D754" s="26" t="n">
        <f>IF(NOT(ISNUMBER(E754)),"",IF(OR(E754&lt;=0,L754=0),0,IF(OR(NOT(ISNUMBER(F754)),F754&lt;0),"",MIN(E754,INT(F754)))))</f>
        <v>0</v>
      </c>
      <c r="E754" s="27" t="n">
        <f>IF(OR(NOT(ISNUMBER(L754)),COUNT(M754:O754)&lt;&gt;3,MIN(M754:O754)&lt;0),"",ROUNDUP(ROUND(BI754-SUM(M754:O754),10),0))</f>
        <v>-13</v>
      </c>
      <c r="F754" s="28" t="n">
        <v>18</v>
      </c>
      <c r="G754" s="28" t="n">
        <f>IF(AND(ISNUMBER(D754),ISNUMBER(E754)),IF(OR(E754&lt;=0,L754=0),0,E754-D754),"")</f>
        <v>0</v>
      </c>
      <c r="H754" s="16" t="str">
        <f>IF(NOT(ISNUMBER(E754)),"销量或海外库存待补",IF(OR(E754&lt;=0,L754=0),IF(L754=0,"零日销，本批不发","本批无需补货"),IF(NOT(ISNUMBER(D754)),"国内库存待补",IF(D754=0,"国内无可用库存",IF(G754&gt;0,"先发国内现货","按建议量发货")))))</f>
        <v>本批无需补货</v>
      </c>
      <c r="I754" s="28" t="n">
        <f>IF(AND(COUNT(Z754,AA754,AB754)=3,Z754&gt;=AA754,AA754&gt;=0,AB754=7),Z754-AA754,"")</f>
        <v>0</v>
      </c>
      <c r="J754" s="28" t="n">
        <f>IF(AND(COUNT(AF754,AG754,AH754)=3,AF754&gt;=AG754,AG754&gt;=0,AH754=14),AF754-AG754,"")</f>
        <v>4</v>
      </c>
      <c r="K754" s="28" t="n">
        <f>IF(AND(COUNT(AL754,AM754,AN754)=3,AL754&gt;=AM754,AM754&gt;=0,AN754=30),AL754-AM754,"")</f>
        <v>5</v>
      </c>
      <c r="L754" s="29" t="n">
        <f>IF(ISNUMBER(BI754),BI754/90,"")</f>
        <v>0.12653560731059216</v>
      </c>
      <c r="M754" s="28" t="n">
        <v>24</v>
      </c>
      <c r="N754" s="28" t="n">
        <v>0</v>
      </c>
      <c r="O754" s="28" t="n">
        <v>0</v>
      </c>
      <c r="P754" s="30" t="n">
        <f>IF(AND(ISNUMBER(L754),L754&gt;0,COUNT(M754:O754)=3,MIN(M754:O754)&gt;=0),SUM(M754:O754)/L754,"")</f>
        <v>189.66993172988853</v>
      </c>
      <c r="Q754" s="16" t="str">
        <v>沿用原计划SKU店铺</v>
      </c>
      <c r="R754" s="16" t="str">
        <v>已匹配</v>
      </c>
      <c r="S754" s="16" t="str">
        <v>在售</v>
      </c>
      <c r="T754" s="16" t="str">
        <v>32582</v>
      </c>
      <c r="U754" s="16" t="str">
        <v>驼色</v>
      </c>
      <c r="V754" s="16" t="n">
        <v>9.5</v>
      </c>
      <c r="W754" s="8" t="str">
        <v>2026-10-11 至 2026-10-17</v>
      </c>
      <c r="X754" s="8" t="str">
        <v>2026-10-11、2026-10-12、2026-10-13、2026-10-14、2026-10-15、2026-10-16、2026-10-17</v>
      </c>
      <c r="Y754" s="8" t="str">
        <v>无</v>
      </c>
      <c r="Z754" s="8" t="n">
        <v>0</v>
      </c>
      <c r="AA754" s="8" t="n">
        <v>0</v>
      </c>
      <c r="AB754" s="8" t="n">
        <v>7</v>
      </c>
      <c r="AC754" s="8" t="str">
        <v>2026-10-02 至 2026-10-17</v>
      </c>
      <c r="AD754" s="8" t="str">
        <v>2026-10-02、2026-10-03、2026-10-04、2026-10-05、2026-10-08、2026-10-09、2026-10-10、2026-10-11、2026-10-12、2026-10-13、2026-10-14、2026-10-15、2026-10-16、2026-10-17</v>
      </c>
      <c r="AE754" s="8" t="str">
        <v>2026-10-06 大促；2026-10-07 大促</v>
      </c>
      <c r="AF754" s="8" t="n">
        <v>7</v>
      </c>
      <c r="AG754" s="8" t="n">
        <v>3</v>
      </c>
      <c r="AH754" s="8" t="n">
        <v>14</v>
      </c>
      <c r="AI754" s="8" t="str">
        <v>2026-09-16 至 2026-10-17</v>
      </c>
      <c r="AJ7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4" s="8" t="str">
        <v>2026-10-06 大促；2026-10-07 大促</v>
      </c>
      <c r="AL754" s="8" t="n">
        <v>8</v>
      </c>
      <c r="AM754" s="8" t="n">
        <v>3</v>
      </c>
      <c r="AN754" s="8" t="n">
        <v>30</v>
      </c>
      <c r="AO754" s="8" t="str">
        <v>32582 / 驼色羊京绒 / 6574</v>
      </c>
      <c r="AP754" s="11" t="n">
        <v>1.0395067087630607</v>
      </c>
      <c r="AQ754" s="11" t="n">
        <v>1.0395067087630607</v>
      </c>
      <c r="AR754" s="11" t="n">
        <v>1.0707336504782758</v>
      </c>
      <c r="AS754" s="11" t="n">
        <f>IF(AND(COUNT(I754:K754,AP754:AR754)=6,MIN(AP754:AR754)&gt;0),I754/7/AP754*0.5+J754/14/AQ754*0.3+K754/30/AR754*0.2,"")</f>
        <v>0.11358799580492354</v>
      </c>
      <c r="AT754" s="8" t="n">
        <v>15</v>
      </c>
      <c r="AU754" s="8" t="n">
        <v>3</v>
      </c>
      <c r="AV754" s="8" t="n">
        <v>88</v>
      </c>
      <c r="AW754" s="11" t="n">
        <f>IF(AND(COUNT(AT754:AV754)=3,AT754&gt;=AU754,AU754&gt;=0,AV754&gt;0),(AT754-AU754)/AV754,"")</f>
        <v>0.13636363636363635</v>
      </c>
      <c r="AX754" s="8" t="n">
        <v>27</v>
      </c>
      <c r="AY754" s="8" t="n">
        <v>3</v>
      </c>
      <c r="AZ754" s="8" t="n">
        <v>178</v>
      </c>
      <c r="BA754" s="11" t="n">
        <f>IF(AND(COUNT(AX754:AZ754)=3,AX754&gt;=AY754,AY754&gt;=0,AZ754&gt;0),(AX754-AY754)/AZ754,"")</f>
        <v>0.1348314606741573</v>
      </c>
      <c r="BB754" s="8" t="n">
        <f>IF(COUNT(AS754,AW754,BA754)=3,1,0)</f>
        <v>1</v>
      </c>
      <c r="BC754" s="11" t="n">
        <f>IF(SUMIF($AO$11:$AO$1309,AO754,$BB$11:$BB$1309)=COUNTIF($AO$11:$AO$1309,AO754),SUMIF($AO$11:$AO$1309,AO754,$AS$11:$AS$1309),"")</f>
        <v>1.2063042155814396</v>
      </c>
      <c r="BD754" s="11" t="n">
        <f>IF(SUMIF($AO$11:$AO$1309,AO754,$BB$11:$BB$1309)=COUNTIF($AO$11:$AO$1309,AO754),SUMIF($AO$11:$AO$1309,AO754,$AW$11:$AW$1309),"")</f>
        <v>1.386363636363636</v>
      </c>
      <c r="BE754" s="11" t="n">
        <f>IF(SUMIF($AO$11:$AO$1309,AO754,$BB$11:$BB$1309)=COUNTIF($AO$11:$AO$1309,AO754),SUMIF($AO$11:$AO$1309,AO754,$BA$11:$BA$1309),"")</f>
        <v>1.0617977528089888</v>
      </c>
      <c r="BF754" s="12" t="n">
        <f>IF(COUNT(BD754:BE754)&lt;&gt;2,"",IF(AND(BD754&gt;0,BE754&gt;0),0.7*AW754/BD754+0.3*BA754/BE754,IF(BD754&gt;0,AW754/BD754,IF(BE754&gt;0,BA754/BE754,IF(AND(ISNUMBER(BH754),BH754=0),0,"")))))</f>
        <v>0.10694769711163155</v>
      </c>
      <c r="BG754" s="11" t="n">
        <f>IF(AND(COUNT(BN754:BU754)=8,MIN(BN754:BU754)&gt;=0),SUMPRODUCT(BN754:BQ754,BR754:BU754),"")</f>
        <v>88.27281580841549</v>
      </c>
      <c r="BH754" s="11" t="n">
        <f>IF(COUNT(BC754,BG754)=2,BC754*BG754,"")</f>
        <v>106.48386983093555</v>
      </c>
      <c r="BI754" s="11" t="n">
        <f>IF(ISNUMBER(CI754),CI754,"")</f>
        <v>11.388204657953295</v>
      </c>
      <c r="BJ754" s="8" t="str"/>
      <c r="BK754" s="8" t="str">
        <v>90天：2026-07-20 至 2026-10-17；180天：2026-04-21 至 2026-10-17</v>
      </c>
      <c r="BL754" s="8" t="str">
        <v>90天：2026-10-06、2026-10-07；180天：2026-10-06、2026-10-07</v>
      </c>
      <c r="BM754" s="8" t="str">
        <v>2026-10：12天 × 1.0395067087630607；2026-11：30天 × 0.9890368360033146；2026-12：31天 × 0.7800796503018808；2027-01：17天 × 1.2908918272824135</v>
      </c>
      <c r="BN754" s="11" t="n">
        <v>1.0395067087630607</v>
      </c>
      <c r="BO754" s="11" t="n">
        <v>0.9890368360033146</v>
      </c>
      <c r="BP754" s="11" t="n">
        <v>0.7800796503018808</v>
      </c>
      <c r="BQ754" s="11" t="n">
        <v>1.2908918272824135</v>
      </c>
      <c r="BR754" s="8" t="n">
        <v>12</v>
      </c>
      <c r="BS754" s="8" t="n">
        <v>30</v>
      </c>
      <c r="BT754" s="8" t="n">
        <v>31</v>
      </c>
      <c r="BU754" s="8" t="n">
        <v>17</v>
      </c>
      <c r="BV754" s="11" t="n">
        <f>IF(COUNT(BC754,BF754)=2,BC754*BF754,"")</f>
        <v>0.12901145787248808</v>
      </c>
      <c r="BW754" s="11" t="n">
        <f>IF(ISNUMBER(BN754),BN754,"")</f>
        <v>1.0395067087630607</v>
      </c>
      <c r="BX754" s="14" t="n">
        <f>IF(ISNUMBER(BR754),BR754,"")</f>
        <v>12</v>
      </c>
      <c r="BY754" s="13" t="n">
        <f>IF(AND(COUNT(BV754,BW754,BX754)=3,MIN(BV754,BW754,BX754)&gt;=0),BV754*BW754*BX754,"")</f>
        <v>1.609299311589052</v>
      </c>
      <c r="BZ754" s="11" t="n">
        <f>IF(ISNUMBER(BO754),BO754,"")</f>
        <v>0.9890368360033146</v>
      </c>
      <c r="CA754" s="14" t="n">
        <f>IF(ISNUMBER(BS754),BS754,"")</f>
        <v>30</v>
      </c>
      <c r="CB754" s="13" t="n">
        <f>IF(AND(COUNT(BV754,BZ754,CA754)=3,MIN(BV754,BZ754,CA754)&gt;=0),BV754*BZ754*CA754,"")</f>
        <v>3.8279125230714155</v>
      </c>
      <c r="CC754" s="11" t="n">
        <f>IF(ISNUMBER(BP754),BP754,"")</f>
        <v>0.7800796503018808</v>
      </c>
      <c r="CD754" s="14" t="n">
        <f>IF(ISNUMBER(BT754),BT754,"")</f>
        <v>31</v>
      </c>
      <c r="CE754" s="13" t="n">
        <f>IF(AND(COUNT(BV754,CC754,CD754)=3,MIN(BV754,CC754,CD754)&gt;=0),BV754*CC754*CD754,"")</f>
        <v>3.1198156012052958</v>
      </c>
      <c r="CF754" s="11" t="n">
        <f>IF(ISNUMBER(BQ754),BQ754,"")</f>
        <v>1.2908918272824135</v>
      </c>
      <c r="CG754" s="14" t="n">
        <f>IF(ISNUMBER(BU754),BU754,"")</f>
        <v>17</v>
      </c>
      <c r="CH754" s="13" t="n">
        <f>IF(AND(COUNT(BV754,CF754,CG754)=3,MIN(BV754,CF754,CG754)&gt;=0),BV754*CF754*CG754,"")</f>
        <v>2.831177222087532</v>
      </c>
      <c r="CI754" s="13" t="n">
        <f>IF(COUNT(BY754,CB754,CE754,CH754)=4,SUM(BY754,CB754,CE754,CH754),"")</f>
        <v>11.388204657953295</v>
      </c>
    </row>
    <row r="755" ht="72" customHeight="1">
      <c r="A755" s="16" t="str">
        <v>32582-TN-41</v>
      </c>
      <c r="B755" s="16" t="str">
        <v>3店-SANDIEX-US</v>
      </c>
      <c r="C755" s="16" t="str">
        <v>徐新怡</v>
      </c>
      <c r="D755" s="26" t="n">
        <f>IF(NOT(ISNUMBER(E755)),"",IF(OR(E755&lt;=0,L755=0),0,IF(OR(NOT(ISNUMBER(F755)),F755&lt;0),"",MIN(E755,INT(F755)))))</f>
        <v>0</v>
      </c>
      <c r="E755" s="27" t="n">
        <f>IF(OR(NOT(ISNUMBER(L755)),COUNT(M755:O755)&lt;&gt;3,MIN(M755:O755)&lt;0),"",ROUNDUP(ROUND(BI755-SUM(M755:O755),10),0))</f>
        <v>-23</v>
      </c>
      <c r="F755" s="28" t="n">
        <v>8</v>
      </c>
      <c r="G755" s="28" t="n">
        <f>IF(AND(ISNUMBER(D755),ISNUMBER(E755)),IF(OR(E755&lt;=0,L755=0),0,E755-D755),"")</f>
        <v>0</v>
      </c>
      <c r="H755" s="16" t="str">
        <f>IF(NOT(ISNUMBER(E755)),"销量或海外库存待补",IF(OR(E755&lt;=0,L755=0),IF(L755=0,"零日销，本批不发","本批无需补货"),IF(NOT(ISNUMBER(D755)),"国内库存待补",IF(D755=0,"国内无可用库存",IF(G755&gt;0,"先发国内现货","按建议量发货")))))</f>
        <v>本批无需补货</v>
      </c>
      <c r="I755" s="28" t="n">
        <f>IF(AND(COUNT(Z755,AA755,AB755)=3,Z755&gt;=AA755,AA755&gt;=0,AB755=7),Z755-AA755,"")</f>
        <v>1</v>
      </c>
      <c r="J755" s="28" t="n">
        <f>IF(AND(COUNT(AF755,AG755,AH755)=3,AF755&gt;=AG755,AG755&gt;=0,AH755=14),AF755-AG755,"")</f>
        <v>6</v>
      </c>
      <c r="K755" s="28" t="n">
        <f>IF(AND(COUNT(AL755,AM755,AN755)=3,AL755&gt;=AM755,AM755&gt;=0,AN755=30),AL755-AM755,"")</f>
        <v>10</v>
      </c>
      <c r="L755" s="29" t="n">
        <f>IF(ISNUMBER(BI755),BI755/90,"")</f>
        <v>0.12653560731059216</v>
      </c>
      <c r="M755" s="28" t="n">
        <v>34</v>
      </c>
      <c r="N755" s="28" t="n">
        <v>0</v>
      </c>
      <c r="O755" s="28" t="n">
        <v>0</v>
      </c>
      <c r="P755" s="30" t="n">
        <f>IF(AND(ISNUMBER(L755),L755&gt;0,COUNT(M755:O755)=3,MIN(M755:O755)&gt;=0),SUM(M755:O755)/L755,"")</f>
        <v>268.69906995067544</v>
      </c>
      <c r="Q755" s="16" t="str">
        <v>沿用原计划SKU店铺</v>
      </c>
      <c r="R755" s="16" t="str">
        <v>已匹配</v>
      </c>
      <c r="S755" s="16" t="str">
        <v>在售</v>
      </c>
      <c r="T755" s="16" t="str">
        <v>32582</v>
      </c>
      <c r="U755" s="16" t="str">
        <v>驼色</v>
      </c>
      <c r="V755" s="16" t="n">
        <v>10</v>
      </c>
      <c r="W755" s="8" t="str">
        <v>2026-10-11 至 2026-10-17</v>
      </c>
      <c r="X755" s="8" t="str">
        <v>2026-10-11、2026-10-12、2026-10-13、2026-10-14、2026-10-15、2026-10-16、2026-10-17</v>
      </c>
      <c r="Y755" s="8" t="str">
        <v>无</v>
      </c>
      <c r="Z755" s="8" t="n">
        <v>1</v>
      </c>
      <c r="AA755" s="8" t="n">
        <v>0</v>
      </c>
      <c r="AB755" s="8" t="n">
        <v>7</v>
      </c>
      <c r="AC755" s="8" t="str">
        <v>2026-10-02 至 2026-10-17</v>
      </c>
      <c r="AD755" s="8" t="str">
        <v>2026-10-02、2026-10-03、2026-10-04、2026-10-05、2026-10-08、2026-10-09、2026-10-10、2026-10-11、2026-10-12、2026-10-13、2026-10-14、2026-10-15、2026-10-16、2026-10-17</v>
      </c>
      <c r="AE755" s="8" t="str">
        <v>2026-10-06 大促；2026-10-07 大促</v>
      </c>
      <c r="AF755" s="8" t="n">
        <v>10</v>
      </c>
      <c r="AG755" s="8" t="n">
        <v>4</v>
      </c>
      <c r="AH755" s="8" t="n">
        <v>14</v>
      </c>
      <c r="AI755" s="8" t="str">
        <v>2026-09-16 至 2026-10-17</v>
      </c>
      <c r="AJ7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5" s="8" t="str">
        <v>2026-10-06 大促；2026-10-07 大促</v>
      </c>
      <c r="AL755" s="8" t="n">
        <v>14</v>
      </c>
      <c r="AM755" s="8" t="n">
        <v>4</v>
      </c>
      <c r="AN755" s="8" t="n">
        <v>30</v>
      </c>
      <c r="AO755" s="8" t="str">
        <v>32582 / 驼色羊京绒 / 6574</v>
      </c>
      <c r="AP755" s="11" t="n">
        <v>1.0395067087630607</v>
      </c>
      <c r="AQ755" s="11" t="n">
        <v>1.0395067087630607</v>
      </c>
      <c r="AR755" s="11" t="n">
        <v>1.0707336504782758</v>
      </c>
      <c r="AS755" s="11" t="n">
        <f>IF(AND(COUNT(I755:K755,AP755:AR755)=6,MIN(AP755:AR755)&gt;0),I755/7/AP755*0.5+J755/14/AQ755*0.3+K755/30/AR755*0.2,"")</f>
        <v>0.254661555993964</v>
      </c>
      <c r="AT755" s="8" t="n">
        <v>16</v>
      </c>
      <c r="AU755" s="8" t="n">
        <v>4</v>
      </c>
      <c r="AV755" s="8" t="n">
        <v>88</v>
      </c>
      <c r="AW755" s="11" t="n">
        <f>IF(AND(COUNT(AT755:AV755)=3,AT755&gt;=AU755,AU755&gt;=0,AV755&gt;0),(AT755-AU755)/AV755,"")</f>
        <v>0.13636363636363635</v>
      </c>
      <c r="AX755" s="8" t="n">
        <v>28</v>
      </c>
      <c r="AY755" s="8" t="n">
        <v>4</v>
      </c>
      <c r="AZ755" s="8" t="n">
        <v>178</v>
      </c>
      <c r="BA755" s="11" t="n">
        <f>IF(AND(COUNT(AX755:AZ755)=3,AX755&gt;=AY755,AY755&gt;=0,AZ755&gt;0),(AX755-AY755)/AZ755,"")</f>
        <v>0.1348314606741573</v>
      </c>
      <c r="BB755" s="8" t="n">
        <f>IF(COUNT(AS755,AW755,BA755)=3,1,0)</f>
        <v>1</v>
      </c>
      <c r="BC755" s="11" t="n">
        <f>IF(SUMIF($AO$11:$AO$1309,AO755,$BB$11:$BB$1309)=COUNTIF($AO$11:$AO$1309,AO755),SUMIF($AO$11:$AO$1309,AO755,$AS$11:$AS$1309),"")</f>
        <v>1.2063042155814396</v>
      </c>
      <c r="BD755" s="11" t="n">
        <f>IF(SUMIF($AO$11:$AO$1309,AO755,$BB$11:$BB$1309)=COUNTIF($AO$11:$AO$1309,AO755),SUMIF($AO$11:$AO$1309,AO755,$AW$11:$AW$1309),"")</f>
        <v>1.386363636363636</v>
      </c>
      <c r="BE755" s="11" t="n">
        <f>IF(SUMIF($AO$11:$AO$1309,AO755,$BB$11:$BB$1309)=COUNTIF($AO$11:$AO$1309,AO755),SUMIF($AO$11:$AO$1309,AO755,$BA$11:$BA$1309),"")</f>
        <v>1.0617977528089888</v>
      </c>
      <c r="BF755" s="12" t="n">
        <f>IF(COUNT(BD755:BE755)&lt;&gt;2,"",IF(AND(BD755&gt;0,BE755&gt;0),0.7*AW755/BD755+0.3*BA755/BE755,IF(BD755&gt;0,AW755/BD755,IF(BE755&gt;0,BA755/BE755,IF(AND(ISNUMBER(BH755),BH755=0),0,"")))))</f>
        <v>0.10694769711163155</v>
      </c>
      <c r="BG755" s="11" t="n">
        <f>IF(AND(COUNT(BN755:BU755)=8,MIN(BN755:BU755)&gt;=0),SUMPRODUCT(BN755:BQ755,BR755:BU755),"")</f>
        <v>88.27281580841549</v>
      </c>
      <c r="BH755" s="11" t="n">
        <f>IF(COUNT(BC755,BG755)=2,BC755*BG755,"")</f>
        <v>106.48386983093555</v>
      </c>
      <c r="BI755" s="11" t="n">
        <f>IF(ISNUMBER(CI755),CI755,"")</f>
        <v>11.388204657953295</v>
      </c>
      <c r="BJ755" s="8" t="str"/>
      <c r="BK755" s="8" t="str">
        <v>90天：2026-07-20 至 2026-10-17；180天：2026-04-21 至 2026-10-17</v>
      </c>
      <c r="BL755" s="8" t="str">
        <v>90天：2026-10-06、2026-10-07；180天：2026-10-06、2026-10-07</v>
      </c>
      <c r="BM755" s="8" t="str">
        <v>2026-10：12天 × 1.0395067087630607；2026-11：30天 × 0.9890368360033146；2026-12：31天 × 0.7800796503018808；2027-01：17天 × 1.2908918272824135</v>
      </c>
      <c r="BN755" s="11" t="n">
        <v>1.0395067087630607</v>
      </c>
      <c r="BO755" s="11" t="n">
        <v>0.9890368360033146</v>
      </c>
      <c r="BP755" s="11" t="n">
        <v>0.7800796503018808</v>
      </c>
      <c r="BQ755" s="11" t="n">
        <v>1.2908918272824135</v>
      </c>
      <c r="BR755" s="8" t="n">
        <v>12</v>
      </c>
      <c r="BS755" s="8" t="n">
        <v>30</v>
      </c>
      <c r="BT755" s="8" t="n">
        <v>31</v>
      </c>
      <c r="BU755" s="8" t="n">
        <v>17</v>
      </c>
      <c r="BV755" s="11" t="n">
        <f>IF(COUNT(BC755,BF755)=2,BC755*BF755,"")</f>
        <v>0.12901145787248808</v>
      </c>
      <c r="BW755" s="11" t="n">
        <f>IF(ISNUMBER(BN755),BN755,"")</f>
        <v>1.0395067087630607</v>
      </c>
      <c r="BX755" s="14" t="n">
        <f>IF(ISNUMBER(BR755),BR755,"")</f>
        <v>12</v>
      </c>
      <c r="BY755" s="13" t="n">
        <f>IF(AND(COUNT(BV755,BW755,BX755)=3,MIN(BV755,BW755,BX755)&gt;=0),BV755*BW755*BX755,"")</f>
        <v>1.609299311589052</v>
      </c>
      <c r="BZ755" s="11" t="n">
        <f>IF(ISNUMBER(BO755),BO755,"")</f>
        <v>0.9890368360033146</v>
      </c>
      <c r="CA755" s="14" t="n">
        <f>IF(ISNUMBER(BS755),BS755,"")</f>
        <v>30</v>
      </c>
      <c r="CB755" s="13" t="n">
        <f>IF(AND(COUNT(BV755,BZ755,CA755)=3,MIN(BV755,BZ755,CA755)&gt;=0),BV755*BZ755*CA755,"")</f>
        <v>3.8279125230714155</v>
      </c>
      <c r="CC755" s="11" t="n">
        <f>IF(ISNUMBER(BP755),BP755,"")</f>
        <v>0.7800796503018808</v>
      </c>
      <c r="CD755" s="14" t="n">
        <f>IF(ISNUMBER(BT755),BT755,"")</f>
        <v>31</v>
      </c>
      <c r="CE755" s="13" t="n">
        <f>IF(AND(COUNT(BV755,CC755,CD755)=3,MIN(BV755,CC755,CD755)&gt;=0),BV755*CC755*CD755,"")</f>
        <v>3.1198156012052958</v>
      </c>
      <c r="CF755" s="11" t="n">
        <f>IF(ISNUMBER(BQ755),BQ755,"")</f>
        <v>1.2908918272824135</v>
      </c>
      <c r="CG755" s="14" t="n">
        <f>IF(ISNUMBER(BU755),BU755,"")</f>
        <v>17</v>
      </c>
      <c r="CH755" s="13" t="n">
        <f>IF(AND(COUNT(BV755,CF755,CG755)=3,MIN(BV755,CF755,CG755)&gt;=0),BV755*CF755*CG755,"")</f>
        <v>2.831177222087532</v>
      </c>
      <c r="CI755" s="13" t="n">
        <f>IF(COUNT(BY755,CB755,CE755,CH755)=4,SUM(BY755,CB755,CE755,CH755),"")</f>
        <v>11.388204657953295</v>
      </c>
    </row>
    <row r="756" ht="72" customHeight="1">
      <c r="A756" s="16" t="str">
        <v>32582-TN-41.5</v>
      </c>
      <c r="B756" s="16" t="str">
        <v>3店-SANDIEX-US</v>
      </c>
      <c r="C756" s="16" t="str">
        <v>徐新怡</v>
      </c>
      <c r="D756" s="26" t="n">
        <f>IF(NOT(ISNUMBER(E756)),"",IF(OR(E756&lt;=0,L756=0),0,IF(OR(NOT(ISNUMBER(F756)),F756&lt;0),"",MIN(E756,INT(F756)))))</f>
        <v>0</v>
      </c>
      <c r="E756" s="27" t="n">
        <f>IF(OR(NOT(ISNUMBER(L756)),COUNT(M756:O756)&lt;&gt;3,MIN(M756:O756)&lt;0),"",ROUNDUP(ROUND(BI756-SUM(M756:O756),10),0))</f>
        <v>0</v>
      </c>
      <c r="F756" s="28"/>
      <c r="G756" s="28" t="n">
        <f>IF(AND(ISNUMBER(D756),ISNUMBER(E756)),IF(OR(E756&lt;=0,L756=0),0,E756-D756),"")</f>
        <v>0</v>
      </c>
      <c r="H756" s="16" t="str">
        <f>IF(NOT(ISNUMBER(E756)),"销量或海外库存待补",IF(OR(E756&lt;=0,L756=0),IF(L756=0,"零日销，本批不发","本批无需补货"),IF(NOT(ISNUMBER(D756)),"国内库存待补",IF(D756=0,"国内无可用库存",IF(G756&gt;0,"先发国内现货","按建议量发货")))))</f>
        <v>零日销，本批不发</v>
      </c>
      <c r="I756" s="28" t="n">
        <f>IF(AND(COUNT(Z756,AA756,AB756)=3,Z756&gt;=AA756,AA756&gt;=0,AB756=7),Z756-AA756,"")</f>
        <v>0</v>
      </c>
      <c r="J756" s="28" t="n">
        <f>IF(AND(COUNT(AF756,AG756,AH756)=3,AF756&gt;=AG756,AG756&gt;=0,AH756=14),AF756-AG756,"")</f>
        <v>0</v>
      </c>
      <c r="K756" s="28" t="n">
        <f>IF(AND(COUNT(AL756,AM756,AN756)=3,AL756&gt;=AM756,AM756&gt;=0,AN756=30),AL756-AM756,"")</f>
        <v>0</v>
      </c>
      <c r="L756" s="29" t="n">
        <f>IF(ISNUMBER(BI756),BI756/90,"")</f>
        <v>0</v>
      </c>
      <c r="M756" s="28" t="n">
        <v>0</v>
      </c>
      <c r="N756" s="28" t="n">
        <v>0</v>
      </c>
      <c r="O756" s="28" t="n">
        <v>0</v>
      </c>
      <c r="P756" s="30" t="str">
        <f>IF(AND(ISNUMBER(L756),L756&gt;0,COUNT(M756:O756)=3,MIN(M756:O756)&gt;=0),SUM(M756:O756)/L756,"")</f>
      </c>
      <c r="Q756" s="16" t="str">
        <v>沿用原计划SKU店铺</v>
      </c>
      <c r="R756" s="16" t="str">
        <v>未匹配</v>
      </c>
      <c r="S756" s="16" t="str">
        <v>停售</v>
      </c>
      <c r="T756" s="16" t="str">
        <v>32582</v>
      </c>
      <c r="U756" s="16" t="str">
        <v>驼色</v>
      </c>
      <c r="V756" s="16" t="n">
        <v>10.5</v>
      </c>
      <c r="W756" s="8" t="str">
        <v>2026-10-08 至 2026-10-17</v>
      </c>
      <c r="X756" s="8" t="str">
        <v>2026-10-08、2026-10-09、2026-10-10、2026-10-11、2026-10-14、2026-10-15、2026-10-17</v>
      </c>
      <c r="Y756" s="8" t="str">
        <v>2026-10-12 有记录的停售日；2026-10-13 有记录的停售日；2026-10-16 有记录的停售日</v>
      </c>
      <c r="Z756" s="8" t="n">
        <v>0</v>
      </c>
      <c r="AA756" s="8" t="n">
        <v>0</v>
      </c>
      <c r="AB756" s="8" t="n">
        <v>7</v>
      </c>
      <c r="AC756" s="8" t="str">
        <v>2026-09-29 至 2026-10-17</v>
      </c>
      <c r="AD756" s="8" t="str">
        <v>2026-09-29、2026-09-30、2026-10-01、2026-10-02、2026-10-03、2026-10-04、2026-10-05、2026-10-08、2026-10-09、2026-10-10、2026-10-11、2026-10-14、2026-10-15、2026-10-17</v>
      </c>
      <c r="AE756" s="8" t="str">
        <v>2026-10-06 大促；2026-10-07 大促；2026-10-12 有记录的停售日；2026-10-13 有记录的停售日；2026-10-16 有记录的停售日</v>
      </c>
      <c r="AF756" s="8" t="n">
        <v>0</v>
      </c>
      <c r="AG756" s="8" t="n">
        <v>0</v>
      </c>
      <c r="AH756" s="8" t="n">
        <v>14</v>
      </c>
      <c r="AI756" s="8" t="str">
        <v>2026-09-13 至 2026-10-17</v>
      </c>
      <c r="AJ75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56" s="8" t="str">
        <v>2026-10-06 大促；2026-10-07 大促；2026-10-12 有记录的停售日；2026-10-13 有记录的停售日；2026-10-16 有记录的停售日</v>
      </c>
      <c r="AL756" s="8" t="n">
        <v>0</v>
      </c>
      <c r="AM756" s="8" t="n">
        <v>0</v>
      </c>
      <c r="AN756" s="8" t="n">
        <v>30</v>
      </c>
      <c r="AO756" s="8" t="str">
        <v>32582 / 驼色羊京绒 / 6574</v>
      </c>
      <c r="AP756" s="11" t="n">
        <v>1.0395067087630607</v>
      </c>
      <c r="AQ756" s="11" t="n">
        <v>1.048428692110265</v>
      </c>
      <c r="AR756" s="11" t="n">
        <v>1.076979038821319</v>
      </c>
      <c r="AS756" s="11" t="n">
        <f>IF(AND(COUNT(I756:K756,AP756:AR756)=6,MIN(AP756:AR756)&gt;0),I756/7/AP756*0.5+J756/14/AQ756*0.3+K756/30/AR756*0.2,"")</f>
        <v>0</v>
      </c>
      <c r="AT756" s="8" t="n">
        <v>0</v>
      </c>
      <c r="AU756" s="8" t="n">
        <v>0</v>
      </c>
      <c r="AV756" s="8" t="n">
        <v>85</v>
      </c>
      <c r="AW756" s="11" t="n">
        <f>IF(AND(COUNT(AT756:AV756)=3,AT756&gt;=AU756,AU756&gt;=0,AV756&gt;0),(AT756-AU756)/AV756,"")</f>
        <v>0</v>
      </c>
      <c r="AX756" s="8" t="n">
        <v>0</v>
      </c>
      <c r="AY756" s="8" t="n">
        <v>0</v>
      </c>
      <c r="AZ756" s="8" t="n">
        <v>175</v>
      </c>
      <c r="BA756" s="11" t="n">
        <f>IF(AND(COUNT(AX756:AZ756)=3,AX756&gt;=AY756,AY756&gt;=0,AZ756&gt;0),(AX756-AY756)/AZ756,"")</f>
        <v>0</v>
      </c>
      <c r="BB756" s="8" t="n">
        <f>IF(COUNT(AS756,AW756,BA756)=3,1,0)</f>
        <v>1</v>
      </c>
      <c r="BC756" s="11" t="n">
        <f>IF(SUMIF($AO$11:$AO$1309,AO756,$BB$11:$BB$1309)=COUNTIF($AO$11:$AO$1309,AO756),SUMIF($AO$11:$AO$1309,AO756,$AS$11:$AS$1309),"")</f>
        <v>1.2063042155814396</v>
      </c>
      <c r="BD756" s="11" t="n">
        <f>IF(SUMIF($AO$11:$AO$1309,AO756,$BB$11:$BB$1309)=COUNTIF($AO$11:$AO$1309,AO756),SUMIF($AO$11:$AO$1309,AO756,$AW$11:$AW$1309),"")</f>
        <v>1.386363636363636</v>
      </c>
      <c r="BE756" s="11" t="n">
        <f>IF(SUMIF($AO$11:$AO$1309,AO756,$BB$11:$BB$1309)=COUNTIF($AO$11:$AO$1309,AO756),SUMIF($AO$11:$AO$1309,AO756,$BA$11:$BA$1309),"")</f>
        <v>1.0617977528089888</v>
      </c>
      <c r="BF756" s="12" t="n">
        <f>IF(COUNT(BD756:BE756)&lt;&gt;2,"",IF(AND(BD756&gt;0,BE756&gt;0),0.7*AW756/BD756+0.3*BA756/BE756,IF(BD756&gt;0,AW756/BD756,IF(BE756&gt;0,BA756/BE756,IF(AND(ISNUMBER(BH756),BH756=0),0,"")))))</f>
        <v>0</v>
      </c>
      <c r="BG756" s="11" t="n">
        <f>IF(AND(COUNT(BN756:BU756)=8,MIN(BN756:BU756)&gt;=0),SUMPRODUCT(BN756:BQ756,BR756:BU756),"")</f>
        <v>88.27281580841549</v>
      </c>
      <c r="BH756" s="11" t="n">
        <f>IF(COUNT(BC756,BG756)=2,BC756*BG756,"")</f>
        <v>106.48386983093555</v>
      </c>
      <c r="BI756" s="11" t="n">
        <f>IF(ISNUMBER(CI756),CI756,"")</f>
        <v>0</v>
      </c>
      <c r="BJ756" s="8" t="str"/>
      <c r="BK756" s="8" t="str">
        <v>90天：2026-07-20 至 2026-10-17；180天：2026-04-21 至 2026-10-17</v>
      </c>
      <c r="BL756" s="8" t="str">
        <v>90天：2026-10-06、2026-10-07、2026-10-12、2026-10-13、2026-10-16；180天：2026-10-06、2026-10-07、2026-10-12、2026-10-13、2026-10-16</v>
      </c>
      <c r="BM756" s="8" t="str">
        <v>2026-10：12天 × 1.0395067087630607；2026-11：30天 × 0.9890368360033146；2026-12：31天 × 0.7800796503018808；2027-01：17天 × 1.2908918272824135</v>
      </c>
      <c r="BN756" s="11" t="n">
        <v>1.0395067087630607</v>
      </c>
      <c r="BO756" s="11" t="n">
        <v>0.9890368360033146</v>
      </c>
      <c r="BP756" s="11" t="n">
        <v>0.7800796503018808</v>
      </c>
      <c r="BQ756" s="11" t="n">
        <v>1.2908918272824135</v>
      </c>
      <c r="BR756" s="8" t="n">
        <v>12</v>
      </c>
      <c r="BS756" s="8" t="n">
        <v>30</v>
      </c>
      <c r="BT756" s="8" t="n">
        <v>31</v>
      </c>
      <c r="BU756" s="8" t="n">
        <v>17</v>
      </c>
      <c r="BV756" s="11" t="n">
        <f>IF(COUNT(BC756,BF756)=2,BC756*BF756,"")</f>
        <v>0</v>
      </c>
      <c r="BW756" s="11" t="n">
        <f>IF(ISNUMBER(BN756),BN756,"")</f>
        <v>1.0395067087630607</v>
      </c>
      <c r="BX756" s="14" t="n">
        <f>IF(ISNUMBER(BR756),BR756,"")</f>
        <v>12</v>
      </c>
      <c r="BY756" s="13" t="n">
        <f>IF(AND(COUNT(BV756,BW756,BX756)=3,MIN(BV756,BW756,BX756)&gt;=0),BV756*BW756*BX756,"")</f>
        <v>0</v>
      </c>
      <c r="BZ756" s="11" t="n">
        <f>IF(ISNUMBER(BO756),BO756,"")</f>
        <v>0.9890368360033146</v>
      </c>
      <c r="CA756" s="14" t="n">
        <f>IF(ISNUMBER(BS756),BS756,"")</f>
        <v>30</v>
      </c>
      <c r="CB756" s="13" t="n">
        <f>IF(AND(COUNT(BV756,BZ756,CA756)=3,MIN(BV756,BZ756,CA756)&gt;=0),BV756*BZ756*CA756,"")</f>
        <v>0</v>
      </c>
      <c r="CC756" s="11" t="n">
        <f>IF(ISNUMBER(BP756),BP756,"")</f>
        <v>0.7800796503018808</v>
      </c>
      <c r="CD756" s="14" t="n">
        <f>IF(ISNUMBER(BT756),BT756,"")</f>
        <v>31</v>
      </c>
      <c r="CE756" s="13" t="n">
        <f>IF(AND(COUNT(BV756,CC756,CD756)=3,MIN(BV756,CC756,CD756)&gt;=0),BV756*CC756*CD756,"")</f>
        <v>0</v>
      </c>
      <c r="CF756" s="11" t="n">
        <f>IF(ISNUMBER(BQ756),BQ756,"")</f>
        <v>1.2908918272824135</v>
      </c>
      <c r="CG756" s="14" t="n">
        <f>IF(ISNUMBER(BU756),BU756,"")</f>
        <v>17</v>
      </c>
      <c r="CH756" s="13" t="n">
        <f>IF(AND(COUNT(BV756,CF756,CG756)=3,MIN(BV756,CF756,CG756)&gt;=0),BV756*CF756*CG756,"")</f>
        <v>0</v>
      </c>
      <c r="CI756" s="13" t="n">
        <f>IF(COUNT(BY756,CB756,CE756,CH756)=4,SUM(BY756,CB756,CE756,CH756),"")</f>
        <v>0</v>
      </c>
    </row>
    <row r="757" ht="72" customHeight="1">
      <c r="A757" s="16" t="str">
        <v>32582-TN-42</v>
      </c>
      <c r="B757" s="16" t="str">
        <v>3店-SANDIEX-US</v>
      </c>
      <c r="C757" s="16" t="str">
        <v>徐新怡</v>
      </c>
      <c r="D757" s="26" t="n">
        <f>IF(NOT(ISNUMBER(E757)),"",IF(OR(E757&lt;=0,L757=0),0,IF(OR(NOT(ISNUMBER(F757)),F757&lt;0),"",MIN(E757,INT(F757)))))</f>
        <v>0</v>
      </c>
      <c r="E757" s="27" t="n">
        <f>IF(OR(NOT(ISNUMBER(L757)),COUNT(M757:O757)&lt;&gt;3,MIN(M757:O757)&lt;0),"",ROUNDUP(ROUND(BI757-SUM(M757:O757),10),0))</f>
        <v>-17</v>
      </c>
      <c r="F757" s="28" t="n">
        <v>12</v>
      </c>
      <c r="G757" s="28" t="n">
        <f>IF(AND(ISNUMBER(D757),ISNUMBER(E757)),IF(OR(E757&lt;=0,L757=0),0,E757-D757),"")</f>
        <v>0</v>
      </c>
      <c r="H757" s="16" t="str">
        <f>IF(NOT(ISNUMBER(E757)),"销量或海外库存待补",IF(OR(E757&lt;=0,L757=0),IF(L757=0,"零日销，本批不发","本批无需补货"),IF(NOT(ISNUMBER(D757)),"国内库存待补",IF(D757=0,"国内无可用库存",IF(G757&gt;0,"先发国内现货","按建议量发货")))))</f>
        <v>本批无需补货</v>
      </c>
      <c r="I757" s="28" t="n">
        <f>IF(AND(COUNT(Z757,AA757,AB757)=3,Z757&gt;=AA757,AA757&gt;=0,AB757=7),Z757-AA757,"")</f>
        <v>0</v>
      </c>
      <c r="J757" s="28" t="n">
        <f>IF(AND(COUNT(AF757,AG757,AH757)=3,AF757&gt;=AG757,AG757&gt;=0,AH757=14),AF757-AG757,"")</f>
        <v>2</v>
      </c>
      <c r="K757" s="28" t="n">
        <f>IF(AND(COUNT(AL757,AM757,AN757)=3,AL757&gt;=AM757,AM757&gt;=0,AN757=30),AL757-AM757,"")</f>
        <v>3</v>
      </c>
      <c r="L757" s="29" t="n">
        <f>IF(ISNUMBER(BI757),BI757/90,"")</f>
        <v>0.05575571407286677</v>
      </c>
      <c r="M757" s="28" t="n">
        <v>22</v>
      </c>
      <c r="N757" s="28" t="n">
        <v>0</v>
      </c>
      <c r="O757" s="28" t="n">
        <v>0</v>
      </c>
      <c r="P757" s="30" t="n">
        <f>IF(AND(ISNUMBER(L757),L757&gt;0,COUNT(M757:O757)=3,MIN(M757:O757)&gt;=0),SUM(M757:O757)/L757,"")</f>
        <v>394.57839193393426</v>
      </c>
      <c r="Q757" s="16" t="str">
        <v>沿用原计划SKU店铺</v>
      </c>
      <c r="R757" s="16" t="str">
        <v>已匹配</v>
      </c>
      <c r="S757" s="16" t="str">
        <v>在售</v>
      </c>
      <c r="T757" s="16" t="str">
        <v>32582</v>
      </c>
      <c r="U757" s="16" t="str">
        <v>驼色</v>
      </c>
      <c r="V757" s="16" t="n">
        <v>11</v>
      </c>
      <c r="W757" s="8" t="str">
        <v>2026-10-11 至 2026-10-17</v>
      </c>
      <c r="X757" s="8" t="str">
        <v>2026-10-11、2026-10-12、2026-10-13、2026-10-14、2026-10-15、2026-10-16、2026-10-17</v>
      </c>
      <c r="Y757" s="8" t="str">
        <v>无</v>
      </c>
      <c r="Z757" s="8" t="n">
        <v>0</v>
      </c>
      <c r="AA757" s="8" t="n">
        <v>0</v>
      </c>
      <c r="AB757" s="8" t="n">
        <v>7</v>
      </c>
      <c r="AC757" s="8" t="str">
        <v>2026-10-02 至 2026-10-17</v>
      </c>
      <c r="AD757" s="8" t="str">
        <v>2026-10-02、2026-10-03、2026-10-04、2026-10-05、2026-10-08、2026-10-09、2026-10-10、2026-10-11、2026-10-12、2026-10-13、2026-10-14、2026-10-15、2026-10-16、2026-10-17</v>
      </c>
      <c r="AE757" s="8" t="str">
        <v>2026-10-06 大促；2026-10-07 大促</v>
      </c>
      <c r="AF757" s="8" t="n">
        <v>3</v>
      </c>
      <c r="AG757" s="8" t="n">
        <v>1</v>
      </c>
      <c r="AH757" s="8" t="n">
        <v>14</v>
      </c>
      <c r="AI757" s="8" t="str">
        <v>2026-09-16 至 2026-10-17</v>
      </c>
      <c r="AJ7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7" s="8" t="str">
        <v>2026-10-06 大促；2026-10-07 大促</v>
      </c>
      <c r="AL757" s="8" t="n">
        <v>4</v>
      </c>
      <c r="AM757" s="8" t="n">
        <v>1</v>
      </c>
      <c r="AN757" s="8" t="n">
        <v>30</v>
      </c>
      <c r="AO757" s="8" t="str">
        <v>32582 / 驼色羊京绒 / 6574</v>
      </c>
      <c r="AP757" s="11" t="n">
        <v>1.0395067087630607</v>
      </c>
      <c r="AQ757" s="11" t="n">
        <v>1.0395067087630607</v>
      </c>
      <c r="AR757" s="11" t="n">
        <v>1.0707336504782758</v>
      </c>
      <c r="AS757" s="11" t="n">
        <f>IF(AND(COUNT(I757:K757,AP757:AR757)=6,MIN(AP757:AR757)&gt;0),I757/7/AP757*0.5+J757/14/AQ757*0.3+K757/30/AR757*0.2,"")</f>
        <v>0.05990712816771905</v>
      </c>
      <c r="AT757" s="8" t="n">
        <v>7</v>
      </c>
      <c r="AU757" s="8" t="n">
        <v>1</v>
      </c>
      <c r="AV757" s="8" t="n">
        <v>88</v>
      </c>
      <c r="AW757" s="11" t="n">
        <f>IF(AND(COUNT(AT757:AV757)=3,AT757&gt;=AU757,AU757&gt;=0,AV757&gt;0),(AT757-AU757)/AV757,"")</f>
        <v>0.06818181818181818</v>
      </c>
      <c r="AX757" s="8" t="n">
        <v>9</v>
      </c>
      <c r="AY757" s="8" t="n">
        <v>1</v>
      </c>
      <c r="AZ757" s="8" t="n">
        <v>178</v>
      </c>
      <c r="BA757" s="11" t="n">
        <f>IF(AND(COUNT(AX757:AZ757)=3,AX757&gt;=AY757,AY757&gt;=0,AZ757&gt;0),(AX757-AY757)/AZ757,"")</f>
        <v>0.0449438202247191</v>
      </c>
      <c r="BB757" s="8" t="n">
        <f>IF(COUNT(AS757,AW757,BA757)=3,1,0)</f>
        <v>1</v>
      </c>
      <c r="BC757" s="11" t="n">
        <f>IF(SUMIF($AO$11:$AO$1309,AO757,$BB$11:$BB$1309)=COUNTIF($AO$11:$AO$1309,AO757),SUMIF($AO$11:$AO$1309,AO757,$AS$11:$AS$1309),"")</f>
        <v>1.2063042155814396</v>
      </c>
      <c r="BD757" s="11" t="n">
        <f>IF(SUMIF($AO$11:$AO$1309,AO757,$BB$11:$BB$1309)=COUNTIF($AO$11:$AO$1309,AO757),SUMIF($AO$11:$AO$1309,AO757,$AW$11:$AW$1309),"")</f>
        <v>1.386363636363636</v>
      </c>
      <c r="BE757" s="11" t="n">
        <f>IF(SUMIF($AO$11:$AO$1309,AO757,$BB$11:$BB$1309)=COUNTIF($AO$11:$AO$1309,AO757),SUMIF($AO$11:$AO$1309,AO757,$BA$11:$BA$1309),"")</f>
        <v>1.0617977528089888</v>
      </c>
      <c r="BF757" s="12" t="n">
        <f>IF(COUNT(BD757:BE757)&lt;&gt;2,"",IF(AND(BD757&gt;0,BE757&gt;0),0.7*AW757/BD757+0.3*BA757/BE757,IF(BD757&gt;0,AW757/BD757,IF(BE757&gt;0,BA757/BE757,IF(AND(ISNUMBER(BH757),BH757=0),0,"")))))</f>
        <v>0.04712464220660942</v>
      </c>
      <c r="BG757" s="11" t="n">
        <f>IF(AND(COUNT(BN757:BU757)=8,MIN(BN757:BU757)&gt;=0),SUMPRODUCT(BN757:BQ757,BR757:BU757),"")</f>
        <v>88.27281580841549</v>
      </c>
      <c r="BH757" s="11" t="n">
        <f>IF(COUNT(BC757,BG757)=2,BC757*BG757,"")</f>
        <v>106.48386983093555</v>
      </c>
      <c r="BI757" s="11" t="n">
        <f>IF(ISNUMBER(CI757),CI757,"")</f>
        <v>5.018014266558009</v>
      </c>
      <c r="BJ757" s="8" t="str"/>
      <c r="BK757" s="8" t="str">
        <v>90天：2026-07-20 至 2026-10-17；180天：2026-04-21 至 2026-10-17</v>
      </c>
      <c r="BL757" s="8" t="str">
        <v>90天：2026-10-06、2026-10-07；180天：2026-10-06、2026-10-07</v>
      </c>
      <c r="BM757" s="8" t="str">
        <v>2026-10：12天 × 1.0395067087630607；2026-11：30天 × 0.9890368360033146；2026-12：31天 × 0.7800796503018808；2027-01：17天 × 1.2908918272824135</v>
      </c>
      <c r="BN757" s="11" t="n">
        <v>1.0395067087630607</v>
      </c>
      <c r="BO757" s="11" t="n">
        <v>0.9890368360033146</v>
      </c>
      <c r="BP757" s="11" t="n">
        <v>0.7800796503018808</v>
      </c>
      <c r="BQ757" s="11" t="n">
        <v>1.2908918272824135</v>
      </c>
      <c r="BR757" s="8" t="n">
        <v>12</v>
      </c>
      <c r="BS757" s="8" t="n">
        <v>30</v>
      </c>
      <c r="BT757" s="8" t="n">
        <v>31</v>
      </c>
      <c r="BU757" s="8" t="n">
        <v>17</v>
      </c>
      <c r="BV757" s="11" t="n">
        <f>IF(COUNT(BC757,BF757)=2,BC757*BF757,"")</f>
        <v>0.05684665455159998</v>
      </c>
      <c r="BW757" s="11" t="n">
        <f>IF(ISNUMBER(BN757),BN757,"")</f>
        <v>1.0395067087630607</v>
      </c>
      <c r="BX757" s="14" t="n">
        <f>IF(ISNUMBER(BR757),BR757,"")</f>
        <v>12</v>
      </c>
      <c r="BY757" s="13" t="n">
        <f>IF(AND(COUNT(BV757,BW757,BX757)=3,MIN(BV757,BW757,BX757)&gt;=0),BV757*BW757*BX757,"")</f>
        <v>0.7091097453254922</v>
      </c>
      <c r="BZ757" s="11" t="n">
        <f>IF(ISNUMBER(BO757),BO757,"")</f>
        <v>0.9890368360033146</v>
      </c>
      <c r="CA757" s="14" t="n">
        <f>IF(ISNUMBER(BS757),BS757,"")</f>
        <v>30</v>
      </c>
      <c r="CB757" s="13" t="n">
        <f>IF(AND(COUNT(BV757,BZ757,CA757)=3,MIN(BV757,BZ757,CA757)&gt;=0),BV757*BZ757*CA757,"")</f>
        <v>1.6867030606526359</v>
      </c>
      <c r="CC757" s="11" t="n">
        <f>IF(ISNUMBER(BP757),BP757,"")</f>
        <v>0.7800796503018808</v>
      </c>
      <c r="CD757" s="14" t="n">
        <f>IF(ISNUMBER(BT757),BT757,"")</f>
        <v>31</v>
      </c>
      <c r="CE757" s="13" t="n">
        <f>IF(AND(COUNT(BV757,CC757,CD757)=3,MIN(BV757,CC757,CD757)&gt;=0),BV757*CC757*CD757,"")</f>
        <v>1.3746924705067618</v>
      </c>
      <c r="CF757" s="11" t="n">
        <f>IF(ISNUMBER(BQ757),BQ757,"")</f>
        <v>1.2908918272824135</v>
      </c>
      <c r="CG757" s="14" t="n">
        <f>IF(ISNUMBER(BU757),BU757,"")</f>
        <v>17</v>
      </c>
      <c r="CH757" s="13" t="n">
        <f>IF(AND(COUNT(BV757,CF757,CG757)=3,MIN(BV757,CF757,CG757)&gt;=0),BV757*CF757*CG757,"")</f>
        <v>1.2475089900731193</v>
      </c>
      <c r="CI757" s="13" t="n">
        <f>IF(COUNT(BY757,CB757,CE757,CH757)=4,SUM(BY757,CB757,CE757,CH757),"")</f>
        <v>5.018014266558009</v>
      </c>
    </row>
    <row r="758" ht="72" customHeight="1">
      <c r="A758" s="16" t="str">
        <v>32582-WT0P-37</v>
      </c>
      <c r="B758" s="16" t="str">
        <v>3店-SANDIEX-US</v>
      </c>
      <c r="C758" s="16" t="str">
        <v>徐新怡</v>
      </c>
      <c r="D758" s="26" t="n">
        <f>IF(NOT(ISNUMBER(E758)),"",IF(OR(E758&lt;=0,L758=0),0,IF(OR(NOT(ISNUMBER(F758)),F758&lt;0),"",MIN(E758,INT(F758)))))</f>
        <v>0</v>
      </c>
      <c r="E758" s="27" t="n">
        <f>IF(OR(NOT(ISNUMBER(L758)),COUNT(M758:O758)&lt;&gt;3,MIN(M758:O758)&lt;0),"",ROUNDUP(ROUND(BI758-SUM(M758:O758),10),0))</f>
        <v>-18</v>
      </c>
      <c r="F758" s="28" t="n">
        <v>0</v>
      </c>
      <c r="G758" s="28" t="n">
        <f>IF(AND(ISNUMBER(D758),ISNUMBER(E758)),IF(OR(E758&lt;=0,L758=0),0,E758-D758),"")</f>
        <v>0</v>
      </c>
      <c r="H758" s="16" t="str">
        <f>IF(NOT(ISNUMBER(E758)),"销量或海外库存待补",IF(OR(E758&lt;=0,L758=0),IF(L758=0,"零日销，本批不发","本批无需补货"),IF(NOT(ISNUMBER(D758)),"国内库存待补",IF(D758=0,"国内无可用库存",IF(G758&gt;0,"先发国内现货","按建议量发货")))))</f>
        <v>本批无需补货</v>
      </c>
      <c r="I758" s="28" t="n">
        <f>IF(AND(COUNT(Z758,AA758,AB758)=3,Z758&gt;=AA758,AA758&gt;=0,AB758=7),Z758-AA758,"")</f>
        <v>0</v>
      </c>
      <c r="J758" s="28" t="n">
        <f>IF(AND(COUNT(AF758,AG758,AH758)=3,AF758&gt;=AG758,AG758&gt;=0,AH758=14),AF758-AG758,"")</f>
        <v>0</v>
      </c>
      <c r="K758" s="28" t="n">
        <f>IF(AND(COUNT(AL758,AM758,AN758)=3,AL758&gt;=AM758,AM758&gt;=0,AN758=30),AL758-AM758,"")</f>
        <v>0</v>
      </c>
      <c r="L758" s="29" t="n">
        <f>IF(ISNUMBER(BI758),BI758/90,"")</f>
        <v>0.006059362478537733</v>
      </c>
      <c r="M758" s="28" t="n">
        <v>18</v>
      </c>
      <c r="N758" s="28" t="n">
        <v>0</v>
      </c>
      <c r="O758" s="28" t="n">
        <v>0</v>
      </c>
      <c r="P758" s="30" t="n">
        <f>IF(AND(ISNUMBER(L758),L758&gt;0,COUNT(M758:O758)=3,MIN(M758:O758)&gt;=0),SUM(M758:O758)/L758,"")</f>
        <v>2970.609542465237</v>
      </c>
      <c r="Q758" s="16" t="str">
        <v>沿用原计划SKU店铺</v>
      </c>
      <c r="R758" s="16" t="str">
        <v>已匹配</v>
      </c>
      <c r="S758" s="16" t="str">
        <v>在售</v>
      </c>
      <c r="T758" s="16" t="str">
        <v>32582</v>
      </c>
      <c r="U758" s="16" t="str">
        <v>白色</v>
      </c>
      <c r="V758" s="16" t="n">
        <v>6</v>
      </c>
      <c r="W758" s="8" t="str">
        <v>2026-10-11 至 2026-10-17</v>
      </c>
      <c r="X758" s="8" t="str">
        <v>2026-10-11、2026-10-12、2026-10-13、2026-10-14、2026-10-15、2026-10-16、2026-10-17</v>
      </c>
      <c r="Y758" s="8" t="str">
        <v>无</v>
      </c>
      <c r="Z758" s="8" t="n">
        <v>0</v>
      </c>
      <c r="AA758" s="8" t="n">
        <v>0</v>
      </c>
      <c r="AB758" s="8" t="n">
        <v>7</v>
      </c>
      <c r="AC758" s="8" t="str">
        <v>2026-10-02 至 2026-10-17</v>
      </c>
      <c r="AD758" s="8" t="str">
        <v>2026-10-02、2026-10-03、2026-10-04、2026-10-05、2026-10-08、2026-10-09、2026-10-10、2026-10-11、2026-10-12、2026-10-13、2026-10-14、2026-10-15、2026-10-16、2026-10-17</v>
      </c>
      <c r="AE758" s="8" t="str">
        <v>2026-10-06 大促；2026-10-07 大促</v>
      </c>
      <c r="AF758" s="8" t="n">
        <v>0</v>
      </c>
      <c r="AG758" s="8" t="n">
        <v>0</v>
      </c>
      <c r="AH758" s="8" t="n">
        <v>14</v>
      </c>
      <c r="AI758" s="8" t="str">
        <v>2026-09-16 至 2026-10-17</v>
      </c>
      <c r="AJ7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8" s="8" t="str">
        <v>2026-10-06 大促；2026-10-07 大促</v>
      </c>
      <c r="AL758" s="8" t="n">
        <v>0</v>
      </c>
      <c r="AM758" s="8" t="n">
        <v>0</v>
      </c>
      <c r="AN758" s="8" t="n">
        <v>30</v>
      </c>
      <c r="AO758" s="8" t="str">
        <v>32582 / 白色PU / 6574</v>
      </c>
      <c r="AP758" s="11" t="n">
        <v>1.0395067087630607</v>
      </c>
      <c r="AQ758" s="11" t="n">
        <v>1.0395067087630607</v>
      </c>
      <c r="AR758" s="11" t="n">
        <v>1.0707336504782758</v>
      </c>
      <c r="AS758" s="11" t="n">
        <f>IF(AND(COUNT(I758:K758,AP758:AR758)=6,MIN(AP758:AR758)&gt;0),I758/7/AP758*0.5+J758/14/AQ758*0.3+K758/30/AR758*0.2,"")</f>
        <v>0</v>
      </c>
      <c r="AT758" s="8" t="n">
        <v>1</v>
      </c>
      <c r="AU758" s="8" t="n">
        <v>0</v>
      </c>
      <c r="AV758" s="8" t="n">
        <v>88</v>
      </c>
      <c r="AW758" s="11" t="n">
        <f>IF(AND(COUNT(AT758:AV758)=3,AT758&gt;=AU758,AU758&gt;=0,AV758&gt;0),(AT758-AU758)/AV758,"")</f>
        <v>0.011363636363636364</v>
      </c>
      <c r="AX758" s="8" t="n">
        <v>1</v>
      </c>
      <c r="AY758" s="8" t="n">
        <v>0</v>
      </c>
      <c r="AZ758" s="8" t="n">
        <v>178</v>
      </c>
      <c r="BA758" s="11" t="n">
        <f>IF(AND(COUNT(AX758:AZ758)=3,AX758&gt;=AY758,AY758&gt;=0,AZ758&gt;0),(AX758-AY758)/AZ758,"")</f>
        <v>0.0056179775280898875</v>
      </c>
      <c r="BB758" s="8" t="n">
        <f>IF(COUNT(AS758,AW758,BA758)=3,1,0)</f>
        <v>1</v>
      </c>
      <c r="BC758" s="11" t="n">
        <f>IF(SUMIF($AO$11:$AO$1309,AO758,$BB$11:$BB$1309)=COUNTIF($AO$11:$AO$1309,AO758),SUMIF($AO$11:$AO$1309,AO758,$AS$11:$AS$1309),"")</f>
        <v>0.2196594699483032</v>
      </c>
      <c r="BD758" s="11" t="n">
        <f>IF(SUMIF($AO$11:$AO$1309,AO758,$BB$11:$BB$1309)=COUNTIF($AO$11:$AO$1309,AO758),SUMIF($AO$11:$AO$1309,AO758,$AW$11:$AW$1309),"")</f>
        <v>0.36363636363636365</v>
      </c>
      <c r="BE758" s="11" t="n">
        <f>IF(SUMIF($AO$11:$AO$1309,AO758,$BB$11:$BB$1309)=COUNTIF($AO$11:$AO$1309,AO758),SUMIF($AO$11:$AO$1309,AO758,$BA$11:$BA$1309),"")</f>
        <v>0.2696629213483146</v>
      </c>
      <c r="BF758" s="12" t="n">
        <f>IF(COUNT(BD758:BE758)&lt;&gt;2,"",IF(AND(BD758&gt;0,BE758&gt;0),0.7*AW758/BD758+0.3*BA758/BE758,IF(BD758&gt;0,AW758/BD758,IF(BE758&gt;0,BA758/BE758,IF(AND(ISNUMBER(BH758),BH758=0),0,"")))))</f>
        <v>0.028124999999999997</v>
      </c>
      <c r="BG758" s="11" t="n">
        <f>IF(AND(COUNT(BN758:BU758)=8,MIN(BN758:BU758)&gt;=0),SUMPRODUCT(BN758:BQ758,BR758:BU758),"")</f>
        <v>88.27281580841549</v>
      </c>
      <c r="BH758" s="11" t="n">
        <f>IF(COUNT(BC758,BG758)=2,BC758*BG758,"")</f>
        <v>19.389959931320746</v>
      </c>
      <c r="BI758" s="11" t="n">
        <f>IF(ISNUMBER(CI758),CI758,"")</f>
        <v>0.545342623068396</v>
      </c>
      <c r="BJ758" s="8" t="str">
        <v>近180天本色销量49双（＜90），无有效新采购，请运营判断</v>
      </c>
      <c r="BK758" s="8" t="str">
        <v>90天：2026-07-20 至 2026-10-17；180天：2026-04-21 至 2026-10-17</v>
      </c>
      <c r="BL758" s="8" t="str">
        <v>90天：2026-10-06、2026-10-07；180天：2026-10-06、2026-10-07</v>
      </c>
      <c r="BM758" s="8" t="str">
        <v>2026-10：12天 × 1.0395067087630607；2026-11：30天 × 0.9890368360033146；2026-12：31天 × 0.7800796503018808；2027-01：17天 × 1.2908918272824135</v>
      </c>
      <c r="BN758" s="11" t="n">
        <v>1.0395067087630607</v>
      </c>
      <c r="BO758" s="11" t="n">
        <v>0.9890368360033146</v>
      </c>
      <c r="BP758" s="11" t="n">
        <v>0.7800796503018808</v>
      </c>
      <c r="BQ758" s="11" t="n">
        <v>1.2908918272824135</v>
      </c>
      <c r="BR758" s="8" t="n">
        <v>12</v>
      </c>
      <c r="BS758" s="8" t="n">
        <v>30</v>
      </c>
      <c r="BT758" s="8" t="n">
        <v>31</v>
      </c>
      <c r="BU758" s="8" t="n">
        <v>17</v>
      </c>
      <c r="BV758" s="11" t="n">
        <f>IF(COUNT(BC758,BF758)=2,BC758*BF758,"")</f>
        <v>0.006177922592296027</v>
      </c>
      <c r="BW758" s="11" t="n">
        <f>IF(ISNUMBER(BN758),BN758,"")</f>
        <v>1.0395067087630607</v>
      </c>
      <c r="BX758" s="14" t="n">
        <f>IF(ISNUMBER(BR758),BR758,"")</f>
        <v>12</v>
      </c>
      <c r="BY758" s="13" t="n">
        <f>IF(AND(COUNT(BV758,BW758,BX758)=3,MIN(BV758,BW758,BX758)&gt;=0),BV758*BW758*BX758,"")</f>
        <v>0.0770639037709272</v>
      </c>
      <c r="BZ758" s="11" t="n">
        <f>IF(ISNUMBER(BO758),BO758,"")</f>
        <v>0.9890368360033146</v>
      </c>
      <c r="CA758" s="14" t="n">
        <f>IF(ISNUMBER(BS758),BS758,"")</f>
        <v>30</v>
      </c>
      <c r="CB758" s="13" t="n">
        <f>IF(AND(COUNT(BV758,BZ758,CA758)=3,MIN(BV758,BZ758,CA758)&gt;=0),BV758*BZ758*CA758,"")</f>
        <v>0.18330579041273573</v>
      </c>
      <c r="CC758" s="11" t="n">
        <f>IF(ISNUMBER(BP758),BP758,"")</f>
        <v>0.7800796503018808</v>
      </c>
      <c r="CD758" s="14" t="n">
        <f>IF(ISNUMBER(BT758),BT758,"")</f>
        <v>31</v>
      </c>
      <c r="CE758" s="13" t="n">
        <f>IF(AND(COUNT(BV758,CC758,CD758)=3,MIN(BV758,CC758,CD758)&gt;=0),BV758*CC758*CD758,"")</f>
        <v>0.1493974225571016</v>
      </c>
      <c r="CF758" s="11" t="n">
        <f>IF(ISNUMBER(BQ758),BQ758,"")</f>
        <v>1.2908918272824135</v>
      </c>
      <c r="CG758" s="14" t="n">
        <f>IF(ISNUMBER(BU758),BU758,"")</f>
        <v>17</v>
      </c>
      <c r="CH758" s="13" t="n">
        <f>IF(AND(COUNT(BV758,CF758,CG758)=3,MIN(BV758,CF758,CG758)&gt;=0),BV758*CF758*CG758,"")</f>
        <v>0.1355755063276315</v>
      </c>
      <c r="CI758" s="13" t="n">
        <f>IF(COUNT(BY758,CB758,CE758,CH758)=4,SUM(BY758,CB758,CE758,CH758),"")</f>
        <v>0.545342623068396</v>
      </c>
    </row>
    <row r="759" ht="72" customHeight="1">
      <c r="A759" s="16" t="str">
        <v>32582-WT0P-37.5</v>
      </c>
      <c r="B759" s="16" t="str">
        <v>3店-SANDIEX-US</v>
      </c>
      <c r="C759" s="16" t="str">
        <v>徐新怡</v>
      </c>
      <c r="D759" s="26" t="n">
        <f>IF(NOT(ISNUMBER(E759)),"",IF(OR(E759&lt;=0,L759=0),0,IF(OR(NOT(ISNUMBER(F759)),F759&lt;0),"",MIN(E759,INT(F759)))))</f>
        <v>0</v>
      </c>
      <c r="E759" s="27" t="n">
        <f>IF(OR(NOT(ISNUMBER(L759)),COUNT(M759:O759)&lt;&gt;3,MIN(M759:O759)&lt;0),"",ROUNDUP(ROUND(BI759-SUM(M759:O759),10),0))</f>
        <v>-14</v>
      </c>
      <c r="F759" s="28" t="n">
        <v>0</v>
      </c>
      <c r="G759" s="28" t="n">
        <f>IF(AND(ISNUMBER(D759),ISNUMBER(E759)),IF(OR(E759&lt;=0,L759=0),0,E759-D759),"")</f>
        <v>0</v>
      </c>
      <c r="H759" s="16" t="str">
        <f>IF(NOT(ISNUMBER(E759)),"销量或海外库存待补",IF(OR(E759&lt;=0,L759=0),IF(L759=0,"零日销，本批不发","本批无需补货"),IF(NOT(ISNUMBER(D759)),"国内库存待补",IF(D759=0,"国内无可用库存",IF(G759&gt;0,"先发国内现货","按建议量发货")))))</f>
        <v>本批无需补货</v>
      </c>
      <c r="I759" s="28" t="n">
        <f>IF(AND(COUNT(Z759,AA759,AB759)=3,Z759&gt;=AA759,AA759&gt;=0,AB759=7),Z759-AA759,"")</f>
        <v>0</v>
      </c>
      <c r="J759" s="28" t="n">
        <f>IF(AND(COUNT(AF759,AG759,AH759)=3,AF759&gt;=AG759,AG759&gt;=0,AH759=14),AF759-AG759,"")</f>
        <v>0</v>
      </c>
      <c r="K759" s="28" t="n">
        <f>IF(AND(COUNT(AL759,AM759,AN759)=3,AL759&gt;=AM759,AM759&gt;=0,AN759=30),AL759-AM759,"")</f>
        <v>0</v>
      </c>
      <c r="L759" s="29" t="n">
        <f>IF(ISNUMBER(BI759),BI759/90,"")</f>
        <v>0.03029681239268867</v>
      </c>
      <c r="M759" s="28" t="n">
        <v>16</v>
      </c>
      <c r="N759" s="28" t="n">
        <v>0</v>
      </c>
      <c r="O759" s="28" t="n">
        <v>0</v>
      </c>
      <c r="P759" s="30" t="n">
        <f>IF(AND(ISNUMBER(L759),L759&gt;0,COUNT(M759:O759)=3,MIN(M759:O759)&gt;=0),SUM(M759:O759)/L759,"")</f>
        <v>528.108363104931</v>
      </c>
      <c r="Q759" s="16" t="str">
        <v>沿用原计划SKU店铺</v>
      </c>
      <c r="R759" s="16" t="str">
        <v>已匹配</v>
      </c>
      <c r="S759" s="16" t="str">
        <v>在售</v>
      </c>
      <c r="T759" s="16" t="str">
        <v>32582</v>
      </c>
      <c r="U759" s="16" t="str">
        <v>白色</v>
      </c>
      <c r="V759" s="16" t="n">
        <v>6.5</v>
      </c>
      <c r="W759" s="8" t="str">
        <v>2026-10-11 至 2026-10-17</v>
      </c>
      <c r="X759" s="8" t="str">
        <v>2026-10-11、2026-10-12、2026-10-13、2026-10-14、2026-10-15、2026-10-16、2026-10-17</v>
      </c>
      <c r="Y759" s="8" t="str">
        <v>无</v>
      </c>
      <c r="Z759" s="8" t="n">
        <v>0</v>
      </c>
      <c r="AA759" s="8" t="n">
        <v>0</v>
      </c>
      <c r="AB759" s="8" t="n">
        <v>7</v>
      </c>
      <c r="AC759" s="8" t="str">
        <v>2026-10-02 至 2026-10-17</v>
      </c>
      <c r="AD759" s="8" t="str">
        <v>2026-10-02、2026-10-03、2026-10-04、2026-10-05、2026-10-08、2026-10-09、2026-10-10、2026-10-11、2026-10-12、2026-10-13、2026-10-14、2026-10-15、2026-10-16、2026-10-17</v>
      </c>
      <c r="AE759" s="8" t="str">
        <v>2026-10-06 大促；2026-10-07 大促</v>
      </c>
      <c r="AF759" s="8" t="n">
        <v>0</v>
      </c>
      <c r="AG759" s="8" t="n">
        <v>0</v>
      </c>
      <c r="AH759" s="8" t="n">
        <v>14</v>
      </c>
      <c r="AI759" s="8" t="str">
        <v>2026-09-16 至 2026-10-17</v>
      </c>
      <c r="AJ7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59" s="8" t="str">
        <v>2026-10-06 大促；2026-10-07 大促</v>
      </c>
      <c r="AL759" s="8" t="n">
        <v>0</v>
      </c>
      <c r="AM759" s="8" t="n">
        <v>0</v>
      </c>
      <c r="AN759" s="8" t="n">
        <v>30</v>
      </c>
      <c r="AO759" s="8" t="str">
        <v>32582 / 白色PU / 6574</v>
      </c>
      <c r="AP759" s="11" t="n">
        <v>1.0395067087630607</v>
      </c>
      <c r="AQ759" s="11" t="n">
        <v>1.0395067087630607</v>
      </c>
      <c r="AR759" s="11" t="n">
        <v>1.0707336504782758</v>
      </c>
      <c r="AS759" s="11" t="n">
        <f>IF(AND(COUNT(I759:K759,AP759:AR759)=6,MIN(AP759:AR759)&gt;0),I759/7/AP759*0.5+J759/14/AQ759*0.3+K759/30/AR759*0.2,"")</f>
        <v>0</v>
      </c>
      <c r="AT759" s="8" t="n">
        <v>5</v>
      </c>
      <c r="AU759" s="8" t="n">
        <v>0</v>
      </c>
      <c r="AV759" s="8" t="n">
        <v>88</v>
      </c>
      <c r="AW759" s="11" t="n">
        <f>IF(AND(COUNT(AT759:AV759)=3,AT759&gt;=AU759,AU759&gt;=0,AV759&gt;0),(AT759-AU759)/AV759,"")</f>
        <v>0.056818181818181816</v>
      </c>
      <c r="AX759" s="8" t="n">
        <v>5</v>
      </c>
      <c r="AY759" s="8" t="n">
        <v>0</v>
      </c>
      <c r="AZ759" s="8" t="n">
        <v>178</v>
      </c>
      <c r="BA759" s="11" t="n">
        <f>IF(AND(COUNT(AX759:AZ759)=3,AX759&gt;=AY759,AY759&gt;=0,AZ759&gt;0),(AX759-AY759)/AZ759,"")</f>
        <v>0.028089887640449437</v>
      </c>
      <c r="BB759" s="8" t="n">
        <f>IF(COUNT(AS759,AW759,BA759)=3,1,0)</f>
        <v>1</v>
      </c>
      <c r="BC759" s="11" t="n">
        <f>IF(SUMIF($AO$11:$AO$1309,AO759,$BB$11:$BB$1309)=COUNTIF($AO$11:$AO$1309,AO759),SUMIF($AO$11:$AO$1309,AO759,$AS$11:$AS$1309),"")</f>
        <v>0.2196594699483032</v>
      </c>
      <c r="BD759" s="11" t="n">
        <f>IF(SUMIF($AO$11:$AO$1309,AO759,$BB$11:$BB$1309)=COUNTIF($AO$11:$AO$1309,AO759),SUMIF($AO$11:$AO$1309,AO759,$AW$11:$AW$1309),"")</f>
        <v>0.36363636363636365</v>
      </c>
      <c r="BE759" s="11" t="n">
        <f>IF(SUMIF($AO$11:$AO$1309,AO759,$BB$11:$BB$1309)=COUNTIF($AO$11:$AO$1309,AO759),SUMIF($AO$11:$AO$1309,AO759,$BA$11:$BA$1309),"")</f>
        <v>0.2696629213483146</v>
      </c>
      <c r="BF759" s="12" t="n">
        <f>IF(COUNT(BD759:BE759)&lt;&gt;2,"",IF(AND(BD759&gt;0,BE759&gt;0),0.7*AW759/BD759+0.3*BA759/BE759,IF(BD759&gt;0,AW759/BD759,IF(BE759&gt;0,BA759/BE759,IF(AND(ISNUMBER(BH759),BH759=0),0,"")))))</f>
        <v>0.140625</v>
      </c>
      <c r="BG759" s="11" t="n">
        <f>IF(AND(COUNT(BN759:BU759)=8,MIN(BN759:BU759)&gt;=0),SUMPRODUCT(BN759:BQ759,BR759:BU759),"")</f>
        <v>88.27281580841549</v>
      </c>
      <c r="BH759" s="11" t="n">
        <f>IF(COUNT(BC759,BG759)=2,BC759*BG759,"")</f>
        <v>19.389959931320746</v>
      </c>
      <c r="BI759" s="11" t="n">
        <f>IF(ISNUMBER(CI759),CI759,"")</f>
        <v>2.72671311534198</v>
      </c>
      <c r="BJ759" s="8" t="str">
        <v>近180天本色销量49双（＜90），无有效新采购，请运营判断</v>
      </c>
      <c r="BK759" s="8" t="str">
        <v>90天：2026-07-20 至 2026-10-17；180天：2026-04-21 至 2026-10-17</v>
      </c>
      <c r="BL759" s="8" t="str">
        <v>90天：2026-10-06、2026-10-07；180天：2026-10-06、2026-10-07</v>
      </c>
      <c r="BM759" s="8" t="str">
        <v>2026-10：12天 × 1.0395067087630607；2026-11：30天 × 0.9890368360033146；2026-12：31天 × 0.7800796503018808；2027-01：17天 × 1.2908918272824135</v>
      </c>
      <c r="BN759" s="11" t="n">
        <v>1.0395067087630607</v>
      </c>
      <c r="BO759" s="11" t="n">
        <v>0.9890368360033146</v>
      </c>
      <c r="BP759" s="11" t="n">
        <v>0.7800796503018808</v>
      </c>
      <c r="BQ759" s="11" t="n">
        <v>1.2908918272824135</v>
      </c>
      <c r="BR759" s="8" t="n">
        <v>12</v>
      </c>
      <c r="BS759" s="8" t="n">
        <v>30</v>
      </c>
      <c r="BT759" s="8" t="n">
        <v>31</v>
      </c>
      <c r="BU759" s="8" t="n">
        <v>17</v>
      </c>
      <c r="BV759" s="11" t="n">
        <f>IF(COUNT(BC759,BF759)=2,BC759*BF759,"")</f>
        <v>0.03088961296148014</v>
      </c>
      <c r="BW759" s="11" t="n">
        <f>IF(ISNUMBER(BN759),BN759,"")</f>
        <v>1.0395067087630607</v>
      </c>
      <c r="BX759" s="14" t="n">
        <f>IF(ISNUMBER(BR759),BR759,"")</f>
        <v>12</v>
      </c>
      <c r="BY759" s="13" t="n">
        <f>IF(AND(COUNT(BV759,BW759,BX759)=3,MIN(BV759,BW759,BX759)&gt;=0),BV759*BW759*BX759,"")</f>
        <v>0.385319518854636</v>
      </c>
      <c r="BZ759" s="11" t="n">
        <f>IF(ISNUMBER(BO759),BO759,"")</f>
        <v>0.9890368360033146</v>
      </c>
      <c r="CA759" s="14" t="n">
        <f>IF(ISNUMBER(BS759),BS759,"")</f>
        <v>30</v>
      </c>
      <c r="CB759" s="13" t="n">
        <f>IF(AND(COUNT(BV759,BZ759,CA759)=3,MIN(BV759,BZ759,CA759)&gt;=0),BV759*BZ759*CA759,"")</f>
        <v>0.9165289520636788</v>
      </c>
      <c r="CC759" s="11" t="n">
        <f>IF(ISNUMBER(BP759),BP759,"")</f>
        <v>0.7800796503018808</v>
      </c>
      <c r="CD759" s="14" t="n">
        <f>IF(ISNUMBER(BT759),BT759,"")</f>
        <v>31</v>
      </c>
      <c r="CE759" s="13" t="n">
        <f>IF(AND(COUNT(BV759,CC759,CD759)=3,MIN(BV759,CC759,CD759)&gt;=0),BV759*CC759*CD759,"")</f>
        <v>0.7469871127855079</v>
      </c>
      <c r="CF759" s="11" t="n">
        <f>IF(ISNUMBER(BQ759),BQ759,"")</f>
        <v>1.2908918272824135</v>
      </c>
      <c r="CG759" s="14" t="n">
        <f>IF(ISNUMBER(BU759),BU759,"")</f>
        <v>17</v>
      </c>
      <c r="CH759" s="13" t="n">
        <f>IF(AND(COUNT(BV759,CF759,CG759)=3,MIN(BV759,CF759,CG759)&gt;=0),BV759*CF759*CG759,"")</f>
        <v>0.6778775316381576</v>
      </c>
      <c r="CI759" s="13" t="n">
        <f>IF(COUNT(BY759,CB759,CE759,CH759)=4,SUM(BY759,CB759,CE759,CH759),"")</f>
        <v>2.72671311534198</v>
      </c>
    </row>
    <row r="760" ht="72" customHeight="1">
      <c r="A760" s="16" t="str">
        <v>32582-WT0P-38</v>
      </c>
      <c r="B760" s="16" t="str">
        <v>3店-SANDIEX-US</v>
      </c>
      <c r="C760" s="16" t="str">
        <v>徐新怡</v>
      </c>
      <c r="D760" s="26" t="n">
        <f>IF(NOT(ISNUMBER(E760)),"",IF(OR(E760&lt;=0,L760=0),0,IF(OR(NOT(ISNUMBER(F760)),F760&lt;0),"",MIN(E760,INT(F760)))))</f>
        <v>0</v>
      </c>
      <c r="E760" s="27" t="n">
        <f>IF(OR(NOT(ISNUMBER(L760)),COUNT(M760:O760)&lt;&gt;3,MIN(M760:O760)&lt;0),"",ROUNDUP(ROUND(BI760-SUM(M760:O760),10),0))</f>
        <v>-16</v>
      </c>
      <c r="F760" s="28" t="n">
        <v>15</v>
      </c>
      <c r="G760" s="28" t="n">
        <f>IF(AND(ISNUMBER(D760),ISNUMBER(E760)),IF(OR(E760&lt;=0,L760=0),0,E760-D760),"")</f>
        <v>0</v>
      </c>
      <c r="H760" s="16" t="str">
        <f>IF(NOT(ISNUMBER(E760)),"销量或海外库存待补",IF(OR(E760&lt;=0,L760=0),IF(L760=0,"零日销，本批不发","本批无需补货"),IF(NOT(ISNUMBER(D760)),"国内库存待补",IF(D760=0,"国内无可用库存",IF(G760&gt;0,"先发国内现货","按建议量发货")))))</f>
        <v>本批无需补货</v>
      </c>
      <c r="I760" s="28" t="n">
        <f>IF(AND(COUNT(Z760,AA760,AB760)=3,Z760&gt;=AA760,AA760&gt;=0,AB760=7),Z760-AA760,"")</f>
        <v>0</v>
      </c>
      <c r="J760" s="28" t="n">
        <f>IF(AND(COUNT(AF760,AG760,AH760)=3,AF760&gt;=AG760,AG760&gt;=0,AH760=14),AF760-AG760,"")</f>
        <v>0</v>
      </c>
      <c r="K760" s="28" t="n">
        <f>IF(AND(COUNT(AL760,AM760,AN760)=3,AL760&gt;=AM760,AM760&gt;=0,AN760=30),AL760-AM760,"")</f>
        <v>0</v>
      </c>
      <c r="L760" s="29" t="n">
        <f>IF(ISNUMBER(BI760),BI760/90,"")</f>
        <v>0.00740588747376834</v>
      </c>
      <c r="M760" s="28" t="n">
        <v>16</v>
      </c>
      <c r="N760" s="28" t="n">
        <v>0</v>
      </c>
      <c r="O760" s="28" t="n">
        <v>0</v>
      </c>
      <c r="P760" s="30" t="n">
        <f>IF(AND(ISNUMBER(L760),L760&gt;0,COUNT(M760:O760)=3,MIN(M760:O760)&gt;=0),SUM(M760:O760)/L760,"")</f>
        <v>2160.4433036110813</v>
      </c>
      <c r="Q760" s="16" t="str">
        <v>沿用原计划SKU店铺</v>
      </c>
      <c r="R760" s="16" t="str">
        <v>已匹配</v>
      </c>
      <c r="S760" s="16" t="str">
        <v>在售</v>
      </c>
      <c r="T760" s="16" t="str">
        <v>32582</v>
      </c>
      <c r="U760" s="16" t="str">
        <v>白色</v>
      </c>
      <c r="V760" s="16" t="n">
        <v>7</v>
      </c>
      <c r="W760" s="8" t="str">
        <v>2026-10-11 至 2026-10-17</v>
      </c>
      <c r="X760" s="8" t="str">
        <v>2026-10-11、2026-10-12、2026-10-13、2026-10-14、2026-10-15、2026-10-16、2026-10-17</v>
      </c>
      <c r="Y760" s="8" t="str">
        <v>无</v>
      </c>
      <c r="Z760" s="8" t="n">
        <v>0</v>
      </c>
      <c r="AA760" s="8" t="n">
        <v>0</v>
      </c>
      <c r="AB760" s="8" t="n">
        <v>7</v>
      </c>
      <c r="AC760" s="8" t="str">
        <v>2026-10-02 至 2026-10-17</v>
      </c>
      <c r="AD760" s="8" t="str">
        <v>2026-10-02、2026-10-03、2026-10-04、2026-10-05、2026-10-08、2026-10-09、2026-10-10、2026-10-11、2026-10-12、2026-10-13、2026-10-14、2026-10-15、2026-10-16、2026-10-17</v>
      </c>
      <c r="AE760" s="8" t="str">
        <v>2026-10-06 大促；2026-10-07 大促</v>
      </c>
      <c r="AF760" s="8" t="n">
        <v>0</v>
      </c>
      <c r="AG760" s="8" t="n">
        <v>0</v>
      </c>
      <c r="AH760" s="8" t="n">
        <v>14</v>
      </c>
      <c r="AI760" s="8" t="str">
        <v>2026-09-16 至 2026-10-17</v>
      </c>
      <c r="AJ7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0" s="8" t="str">
        <v>2026-10-06 大促；2026-10-07 大促</v>
      </c>
      <c r="AL760" s="8" t="n">
        <v>0</v>
      </c>
      <c r="AM760" s="8" t="n">
        <v>0</v>
      </c>
      <c r="AN760" s="8" t="n">
        <v>30</v>
      </c>
      <c r="AO760" s="8" t="str">
        <v>32582 / 白色PU / 6574</v>
      </c>
      <c r="AP760" s="11" t="n">
        <v>1.0395067087630607</v>
      </c>
      <c r="AQ760" s="11" t="n">
        <v>1.0395067087630607</v>
      </c>
      <c r="AR760" s="11" t="n">
        <v>1.0707336504782758</v>
      </c>
      <c r="AS760" s="11" t="n">
        <f>IF(AND(COUNT(I760:K760,AP760:AR760)=6,MIN(AP760:AR760)&gt;0),I760/7/AP760*0.5+J760/14/AQ760*0.3+K760/30/AR760*0.2,"")</f>
        <v>0</v>
      </c>
      <c r="AT760" s="8" t="n">
        <v>1</v>
      </c>
      <c r="AU760" s="8" t="n">
        <v>0</v>
      </c>
      <c r="AV760" s="8" t="n">
        <v>88</v>
      </c>
      <c r="AW760" s="11" t="n">
        <f>IF(AND(COUNT(AT760:AV760)=3,AT760&gt;=AU760,AU760&gt;=0,AV760&gt;0),(AT760-AU760)/AV760,"")</f>
        <v>0.011363636363636364</v>
      </c>
      <c r="AX760" s="8" t="n">
        <v>2</v>
      </c>
      <c r="AY760" s="8" t="n">
        <v>0</v>
      </c>
      <c r="AZ760" s="8" t="n">
        <v>178</v>
      </c>
      <c r="BA760" s="11" t="n">
        <f>IF(AND(COUNT(AX760:AZ760)=3,AX760&gt;=AY760,AY760&gt;=0,AZ760&gt;0),(AX760-AY760)/AZ760,"")</f>
        <v>0.011235955056179775</v>
      </c>
      <c r="BB760" s="8" t="n">
        <f>IF(COUNT(AS760,AW760,BA760)=3,1,0)</f>
        <v>1</v>
      </c>
      <c r="BC760" s="11" t="n">
        <f>IF(SUMIF($AO$11:$AO$1309,AO760,$BB$11:$BB$1309)=COUNTIF($AO$11:$AO$1309,AO760),SUMIF($AO$11:$AO$1309,AO760,$AS$11:$AS$1309),"")</f>
        <v>0.2196594699483032</v>
      </c>
      <c r="BD760" s="11" t="n">
        <f>IF(SUMIF($AO$11:$AO$1309,AO760,$BB$11:$BB$1309)=COUNTIF($AO$11:$AO$1309,AO760),SUMIF($AO$11:$AO$1309,AO760,$AW$11:$AW$1309),"")</f>
        <v>0.36363636363636365</v>
      </c>
      <c r="BE760" s="11" t="n">
        <f>IF(SUMIF($AO$11:$AO$1309,AO760,$BB$11:$BB$1309)=COUNTIF($AO$11:$AO$1309,AO760),SUMIF($AO$11:$AO$1309,AO760,$BA$11:$BA$1309),"")</f>
        <v>0.2696629213483146</v>
      </c>
      <c r="BF760" s="12" t="n">
        <f>IF(COUNT(BD760:BE760)&lt;&gt;2,"",IF(AND(BD760&gt;0,BE760&gt;0),0.7*AW760/BD760+0.3*BA760/BE760,IF(BD760&gt;0,AW760/BD760,IF(BE760&gt;0,BA760/BE760,IF(AND(ISNUMBER(BH760),BH760=0),0,"")))))</f>
        <v>0.034374999999999996</v>
      </c>
      <c r="BG760" s="11" t="n">
        <f>IF(AND(COUNT(BN760:BU760)=8,MIN(BN760:BU760)&gt;=0),SUMPRODUCT(BN760:BQ760,BR760:BU760),"")</f>
        <v>88.27281580841549</v>
      </c>
      <c r="BH760" s="11" t="n">
        <f>IF(COUNT(BC760,BG760)=2,BC760*BG760,"")</f>
        <v>19.389959931320746</v>
      </c>
      <c r="BI760" s="11" t="n">
        <f>IF(ISNUMBER(CI760),CI760,"")</f>
        <v>0.6665298726391506</v>
      </c>
      <c r="BJ760" s="8" t="str">
        <v>近180天本色销量49双（＜90），无有效新采购，请运营判断</v>
      </c>
      <c r="BK760" s="8" t="str">
        <v>90天：2026-07-20 至 2026-10-17；180天：2026-04-21 至 2026-10-17</v>
      </c>
      <c r="BL760" s="8" t="str">
        <v>90天：2026-10-06、2026-10-07；180天：2026-10-06、2026-10-07</v>
      </c>
      <c r="BM760" s="8" t="str">
        <v>2026-10：12天 × 1.0395067087630607；2026-11：30天 × 0.9890368360033146；2026-12：31天 × 0.7800796503018808；2027-01：17天 × 1.2908918272824135</v>
      </c>
      <c r="BN760" s="11" t="n">
        <v>1.0395067087630607</v>
      </c>
      <c r="BO760" s="11" t="n">
        <v>0.9890368360033146</v>
      </c>
      <c r="BP760" s="11" t="n">
        <v>0.7800796503018808</v>
      </c>
      <c r="BQ760" s="11" t="n">
        <v>1.2908918272824135</v>
      </c>
      <c r="BR760" s="8" t="n">
        <v>12</v>
      </c>
      <c r="BS760" s="8" t="n">
        <v>30</v>
      </c>
      <c r="BT760" s="8" t="n">
        <v>31</v>
      </c>
      <c r="BU760" s="8" t="n">
        <v>17</v>
      </c>
      <c r="BV760" s="11" t="n">
        <f>IF(COUNT(BC760,BF760)=2,BC760*BF760,"")</f>
        <v>0.007550794279472922</v>
      </c>
      <c r="BW760" s="11" t="n">
        <f>IF(ISNUMBER(BN760),BN760,"")</f>
        <v>1.0395067087630607</v>
      </c>
      <c r="BX760" s="14" t="n">
        <f>IF(ISNUMBER(BR760),BR760,"")</f>
        <v>12</v>
      </c>
      <c r="BY760" s="13" t="n">
        <f>IF(AND(COUNT(BV760,BW760,BX760)=3,MIN(BV760,BW760,BX760)&gt;=0),BV760*BW760*BX760,"")</f>
        <v>0.09418921572002213</v>
      </c>
      <c r="BZ760" s="11" t="n">
        <f>IF(ISNUMBER(BO760),BO760,"")</f>
        <v>0.9890368360033146</v>
      </c>
      <c r="CA760" s="14" t="n">
        <f>IF(ISNUMBER(BS760),BS760,"")</f>
        <v>30</v>
      </c>
      <c r="CB760" s="13" t="n">
        <f>IF(AND(COUNT(BV760,BZ760,CA760)=3,MIN(BV760,BZ760,CA760)&gt;=0),BV760*BZ760*CA760,"")</f>
        <v>0.2240404105044548</v>
      </c>
      <c r="CC760" s="11" t="n">
        <f>IF(ISNUMBER(BP760),BP760,"")</f>
        <v>0.7800796503018808</v>
      </c>
      <c r="CD760" s="14" t="n">
        <f>IF(ISNUMBER(BT760),BT760,"")</f>
        <v>31</v>
      </c>
      <c r="CE760" s="13" t="n">
        <f>IF(AND(COUNT(BV760,CC760,CD760)=3,MIN(BV760,CC760,CD760)&gt;=0),BV760*CC760*CD760,"")</f>
        <v>0.18259684979201304</v>
      </c>
      <c r="CF760" s="11" t="n">
        <f>IF(ISNUMBER(BQ760),BQ760,"")</f>
        <v>1.2908918272824135</v>
      </c>
      <c r="CG760" s="14" t="n">
        <f>IF(ISNUMBER(BU760),BU760,"")</f>
        <v>17</v>
      </c>
      <c r="CH760" s="13" t="n">
        <f>IF(AND(COUNT(BV760,CF760,CG760)=3,MIN(BV760,CF760,CG760)&gt;=0),BV760*CF760*CG760,"")</f>
        <v>0.1657033966226607</v>
      </c>
      <c r="CI760" s="13" t="n">
        <f>IF(COUNT(BY760,CB760,CE760,CH760)=4,SUM(BY760,CB760,CE760,CH760),"")</f>
        <v>0.6665298726391506</v>
      </c>
    </row>
    <row r="761" ht="72" customHeight="1">
      <c r="A761" s="16" t="str">
        <v>32582-WT0P-38.5</v>
      </c>
      <c r="B761" s="16" t="str">
        <v>3店-SANDIEX-US</v>
      </c>
      <c r="C761" s="16" t="str">
        <v>徐新怡</v>
      </c>
      <c r="D761" s="26" t="n">
        <f>IF(NOT(ISNUMBER(E761)),"",IF(OR(E761&lt;=0,L761=0),0,IF(OR(NOT(ISNUMBER(F761)),F761&lt;0),"",MIN(E761,INT(F761)))))</f>
        <v>0</v>
      </c>
      <c r="E761" s="27" t="n">
        <f>IF(OR(NOT(ISNUMBER(L761)),COUNT(M761:O761)&lt;&gt;3,MIN(M761:O761)&lt;0),"",ROUNDUP(ROUND(BI761-SUM(M761:O761),10),0))</f>
        <v>-10</v>
      </c>
      <c r="F761" s="28" t="n">
        <v>20</v>
      </c>
      <c r="G761" s="28" t="n">
        <f>IF(AND(ISNUMBER(D761),ISNUMBER(E761)),IF(OR(E761&lt;=0,L761=0),0,E761-D761),"")</f>
        <v>0</v>
      </c>
      <c r="H761" s="16" t="str">
        <f>IF(NOT(ISNUMBER(E761)),"销量或海外库存待补",IF(OR(E761&lt;=0,L761=0),IF(L761=0,"零日销，本批不发","本批无需补货"),IF(NOT(ISNUMBER(D761)),"国内库存待补",IF(D761=0,"国内无可用库存",IF(G761&gt;0,"先发国内现货","按建议量发货")))))</f>
        <v>本批无需补货</v>
      </c>
      <c r="I761" s="28" t="n">
        <f>IF(AND(COUNT(Z761,AA761,AB761)=3,Z761&gt;=AA761,AA761&gt;=0,AB761=7),Z761-AA761,"")</f>
        <v>0</v>
      </c>
      <c r="J761" s="28" t="n">
        <f>IF(AND(COUNT(AF761,AG761,AH761)=3,AF761&gt;=AG761,AG761&gt;=0,AH761=14),AF761-AG761,"")</f>
        <v>1</v>
      </c>
      <c r="K761" s="28" t="n">
        <f>IF(AND(COUNT(AL761,AM761,AN761)=3,AL761&gt;=AM761,AM761&gt;=0,AN761=30),AL761-AM761,"")</f>
        <v>3</v>
      </c>
      <c r="L761" s="29" t="n">
        <f>IF(ISNUMBER(BI761),BI761/90,"")</f>
        <v>0.031643337387919274</v>
      </c>
      <c r="M761" s="28" t="n">
        <v>12</v>
      </c>
      <c r="N761" s="28" t="n">
        <v>0</v>
      </c>
      <c r="O761" s="28" t="n">
        <v>0</v>
      </c>
      <c r="P761" s="30" t="n">
        <f>IF(AND(ISNUMBER(L761),L761&gt;0,COUNT(M761:O761)=3,MIN(M761:O761)&gt;=0),SUM(M761:O761)/L761,"")</f>
        <v>379.22675010194513</v>
      </c>
      <c r="Q761" s="16" t="str">
        <v>沿用原计划SKU店铺</v>
      </c>
      <c r="R761" s="16" t="str">
        <v>已匹配</v>
      </c>
      <c r="S761" s="16" t="str">
        <v>在售</v>
      </c>
      <c r="T761" s="16" t="str">
        <v>32582</v>
      </c>
      <c r="U761" s="16" t="str">
        <v>白色</v>
      </c>
      <c r="V761" s="16" t="n">
        <v>7.5</v>
      </c>
      <c r="W761" s="8" t="str">
        <v>2026-10-11 至 2026-10-17</v>
      </c>
      <c r="X761" s="8" t="str">
        <v>2026-10-11、2026-10-12、2026-10-13、2026-10-14、2026-10-15、2026-10-16、2026-10-17</v>
      </c>
      <c r="Y761" s="8" t="str">
        <v>无</v>
      </c>
      <c r="Z761" s="8" t="n">
        <v>0</v>
      </c>
      <c r="AA761" s="8" t="n">
        <v>0</v>
      </c>
      <c r="AB761" s="8" t="n">
        <v>7</v>
      </c>
      <c r="AC761" s="8" t="str">
        <v>2026-10-02 至 2026-10-17</v>
      </c>
      <c r="AD761" s="8" t="str">
        <v>2026-10-02、2026-10-03、2026-10-04、2026-10-05、2026-10-08、2026-10-09、2026-10-10、2026-10-11、2026-10-12、2026-10-13、2026-10-14、2026-10-15、2026-10-16、2026-10-17</v>
      </c>
      <c r="AE761" s="8" t="str">
        <v>2026-10-06 大促；2026-10-07 大促</v>
      </c>
      <c r="AF761" s="8" t="n">
        <v>1</v>
      </c>
      <c r="AG761" s="8" t="n">
        <v>0</v>
      </c>
      <c r="AH761" s="8" t="n">
        <v>14</v>
      </c>
      <c r="AI761" s="8" t="str">
        <v>2026-09-16 至 2026-10-17</v>
      </c>
      <c r="AJ7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1" s="8" t="str">
        <v>2026-10-06 大促；2026-10-07 大促</v>
      </c>
      <c r="AL761" s="8" t="n">
        <v>3</v>
      </c>
      <c r="AM761" s="8" t="n">
        <v>0</v>
      </c>
      <c r="AN761" s="8" t="n">
        <v>30</v>
      </c>
      <c r="AO761" s="8" t="str">
        <v>32582 / 白色PU / 6574</v>
      </c>
      <c r="AP761" s="11" t="n">
        <v>1.0395067087630607</v>
      </c>
      <c r="AQ761" s="11" t="n">
        <v>1.0395067087630607</v>
      </c>
      <c r="AR761" s="11" t="n">
        <v>1.0707336504782758</v>
      </c>
      <c r="AS761" s="11" t="n">
        <f>IF(AND(COUNT(I761:K761,AP761:AR761)=6,MIN(AP761:AR761)&gt;0),I761/7/AP761*0.5+J761/14/AQ761*0.3+K761/30/AR761*0.2,"")</f>
        <v>0.03929295487963137</v>
      </c>
      <c r="AT761" s="8" t="n">
        <v>5</v>
      </c>
      <c r="AU761" s="8" t="n">
        <v>0</v>
      </c>
      <c r="AV761" s="8" t="n">
        <v>88</v>
      </c>
      <c r="AW761" s="11" t="n">
        <f>IF(AND(COUNT(AT761:AV761)=3,AT761&gt;=AU761,AU761&gt;=0,AV761&gt;0),(AT761-AU761)/AV761,"")</f>
        <v>0.056818181818181816</v>
      </c>
      <c r="AX761" s="8" t="n">
        <v>6</v>
      </c>
      <c r="AY761" s="8" t="n">
        <v>0</v>
      </c>
      <c r="AZ761" s="8" t="n">
        <v>178</v>
      </c>
      <c r="BA761" s="11" t="n">
        <f>IF(AND(COUNT(AX761:AZ761)=3,AX761&gt;=AY761,AY761&gt;=0,AZ761&gt;0),(AX761-AY761)/AZ761,"")</f>
        <v>0.033707865168539325</v>
      </c>
      <c r="BB761" s="8" t="n">
        <f>IF(COUNT(AS761,AW761,BA761)=3,1,0)</f>
        <v>1</v>
      </c>
      <c r="BC761" s="11" t="n">
        <f>IF(SUMIF($AO$11:$AO$1309,AO761,$BB$11:$BB$1309)=COUNTIF($AO$11:$AO$1309,AO761),SUMIF($AO$11:$AO$1309,AO761,$AS$11:$AS$1309),"")</f>
        <v>0.2196594699483032</v>
      </c>
      <c r="BD761" s="11" t="n">
        <f>IF(SUMIF($AO$11:$AO$1309,AO761,$BB$11:$BB$1309)=COUNTIF($AO$11:$AO$1309,AO761),SUMIF($AO$11:$AO$1309,AO761,$AW$11:$AW$1309),"")</f>
        <v>0.36363636363636365</v>
      </c>
      <c r="BE761" s="11" t="n">
        <f>IF(SUMIF($AO$11:$AO$1309,AO761,$BB$11:$BB$1309)=COUNTIF($AO$11:$AO$1309,AO761),SUMIF($AO$11:$AO$1309,AO761,$BA$11:$BA$1309),"")</f>
        <v>0.2696629213483146</v>
      </c>
      <c r="BF761" s="12" t="n">
        <f>IF(COUNT(BD761:BE761)&lt;&gt;2,"",IF(AND(BD761&gt;0,BE761&gt;0),0.7*AW761/BD761+0.3*BA761/BE761,IF(BD761&gt;0,AW761/BD761,IF(BE761&gt;0,BA761/BE761,IF(AND(ISNUMBER(BH761),BH761=0),0,"")))))</f>
        <v>0.146875</v>
      </c>
      <c r="BG761" s="11" t="n">
        <f>IF(AND(COUNT(BN761:BU761)=8,MIN(BN761:BU761)&gt;=0),SUMPRODUCT(BN761:BQ761,BR761:BU761),"")</f>
        <v>88.27281580841549</v>
      </c>
      <c r="BH761" s="11" t="n">
        <f>IF(COUNT(BC761,BG761)=2,BC761*BG761,"")</f>
        <v>19.389959931320746</v>
      </c>
      <c r="BI761" s="11" t="n">
        <f>IF(ISNUMBER(CI761),CI761,"")</f>
        <v>2.847900364912735</v>
      </c>
      <c r="BJ761" s="8" t="str">
        <v>近180天本色销量49双（＜90），无有效新采购，请运营判断</v>
      </c>
      <c r="BK761" s="8" t="str">
        <v>90天：2026-07-20 至 2026-10-17；180天：2026-04-21 至 2026-10-17</v>
      </c>
      <c r="BL761" s="8" t="str">
        <v>90天：2026-10-06、2026-10-07；180天：2026-10-06、2026-10-07</v>
      </c>
      <c r="BM761" s="8" t="str">
        <v>2026-10：12天 × 1.0395067087630607；2026-11：30天 × 0.9890368360033146；2026-12：31天 × 0.7800796503018808；2027-01：17天 × 1.2908918272824135</v>
      </c>
      <c r="BN761" s="11" t="n">
        <v>1.0395067087630607</v>
      </c>
      <c r="BO761" s="11" t="n">
        <v>0.9890368360033146</v>
      </c>
      <c r="BP761" s="11" t="n">
        <v>0.7800796503018808</v>
      </c>
      <c r="BQ761" s="11" t="n">
        <v>1.2908918272824135</v>
      </c>
      <c r="BR761" s="8" t="n">
        <v>12</v>
      </c>
      <c r="BS761" s="8" t="n">
        <v>30</v>
      </c>
      <c r="BT761" s="8" t="n">
        <v>31</v>
      </c>
      <c r="BU761" s="8" t="n">
        <v>17</v>
      </c>
      <c r="BV761" s="11" t="n">
        <f>IF(COUNT(BC761,BF761)=2,BC761*BF761,"")</f>
        <v>0.03226248464865703</v>
      </c>
      <c r="BW761" s="11" t="n">
        <f>IF(ISNUMBER(BN761),BN761,"")</f>
        <v>1.0395067087630607</v>
      </c>
      <c r="BX761" s="14" t="n">
        <f>IF(ISNUMBER(BR761),BR761,"")</f>
        <v>12</v>
      </c>
      <c r="BY761" s="13" t="n">
        <f>IF(AND(COUNT(BV761,BW761,BX761)=3,MIN(BV761,BW761,BX761)&gt;=0),BV761*BW761*BX761,"")</f>
        <v>0.40244483080373095</v>
      </c>
      <c r="BZ761" s="11" t="n">
        <f>IF(ISNUMBER(BO761),BO761,"")</f>
        <v>0.9890368360033146</v>
      </c>
      <c r="CA761" s="14" t="n">
        <f>IF(ISNUMBER(BS761),BS761,"")</f>
        <v>30</v>
      </c>
      <c r="CB761" s="13" t="n">
        <f>IF(AND(COUNT(BV761,BZ761,CA761)=3,MIN(BV761,BZ761,CA761)&gt;=0),BV761*BZ761*CA761,"")</f>
        <v>0.9572635721553978</v>
      </c>
      <c r="CC761" s="11" t="n">
        <f>IF(ISNUMBER(BP761),BP761,"")</f>
        <v>0.7800796503018808</v>
      </c>
      <c r="CD761" s="14" t="n">
        <f>IF(ISNUMBER(BT761),BT761,"")</f>
        <v>31</v>
      </c>
      <c r="CE761" s="13" t="n">
        <f>IF(AND(COUNT(BV761,CC761,CD761)=3,MIN(BV761,CC761,CD761)&gt;=0),BV761*CC761*CD761,"")</f>
        <v>0.7801865400204194</v>
      </c>
      <c r="CF761" s="11" t="n">
        <f>IF(ISNUMBER(BQ761),BQ761,"")</f>
        <v>1.2908918272824135</v>
      </c>
      <c r="CG761" s="14" t="n">
        <f>IF(ISNUMBER(BU761),BU761,"")</f>
        <v>17</v>
      </c>
      <c r="CH761" s="13" t="n">
        <f>IF(AND(COUNT(BV761,CF761,CG761)=3,MIN(BV761,CF761,CG761)&gt;=0),BV761*CF761*CG761,"")</f>
        <v>0.7080054219331867</v>
      </c>
      <c r="CI761" s="13" t="n">
        <f>IF(COUNT(BY761,CB761,CE761,CH761)=4,SUM(BY761,CB761,CE761,CH761),"")</f>
        <v>2.847900364912735</v>
      </c>
    </row>
    <row r="762" ht="72" customHeight="1">
      <c r="A762" s="16" t="str">
        <v>32582-WT0P-39</v>
      </c>
      <c r="B762" s="16" t="str">
        <v>3店-SANDIEX-US</v>
      </c>
      <c r="C762" s="16" t="str">
        <v>徐新怡</v>
      </c>
      <c r="D762" s="26" t="n">
        <f>IF(NOT(ISNUMBER(E762)),"",IF(OR(E762&lt;=0,L762=0),0,IF(OR(NOT(ISNUMBER(F762)),F762&lt;0),"",MIN(E762,INT(F762)))))</f>
        <v>0</v>
      </c>
      <c r="E762" s="27" t="n">
        <f>IF(OR(NOT(ISNUMBER(L762)),COUNT(M762:O762)&lt;&gt;3,MIN(M762:O762)&lt;0),"",ROUNDUP(ROUND(BI762-SUM(M762:O762),10),0))</f>
        <v>-34</v>
      </c>
      <c r="F762" s="28" t="n">
        <v>17</v>
      </c>
      <c r="G762" s="28" t="n">
        <f>IF(AND(ISNUMBER(D762),ISNUMBER(E762)),IF(OR(E762&lt;=0,L762=0),0,E762-D762),"")</f>
        <v>0</v>
      </c>
      <c r="H762" s="16" t="str">
        <f>IF(NOT(ISNUMBER(E762)),"销量或海外库存待补",IF(OR(E762&lt;=0,L762=0),IF(L762=0,"零日销，本批不发","本批无需补货"),IF(NOT(ISNUMBER(D762)),"国内库存待补",IF(D762=0,"国内无可用库存",IF(G762&gt;0,"先发国内现货","按建议量发货")))))</f>
        <v>本批无需补货</v>
      </c>
      <c r="I762" s="28" t="n">
        <f>IF(AND(COUNT(Z762,AA762,AB762)=3,Z762&gt;=AA762,AA762&gt;=0,AB762=7),Z762-AA762,"")</f>
        <v>0</v>
      </c>
      <c r="J762" s="28" t="n">
        <f>IF(AND(COUNT(AF762,AG762,AH762)=3,AF762&gt;=AG762,AG762&gt;=0,AH762=14),AF762-AG762,"")</f>
        <v>1</v>
      </c>
      <c r="K762" s="28" t="n">
        <f>IF(AND(COUNT(AL762,AM762,AN762)=3,AL762&gt;=AM762,AM762&gt;=0,AN762=30),AL762-AM762,"")</f>
        <v>1</v>
      </c>
      <c r="L762" s="29" t="n">
        <f>IF(ISNUMBER(BI762),BI762/90,"")</f>
        <v>0.01481177494753668</v>
      </c>
      <c r="M762" s="28" t="n">
        <v>35</v>
      </c>
      <c r="N762" s="28" t="n">
        <v>0</v>
      </c>
      <c r="O762" s="28" t="n">
        <v>0</v>
      </c>
      <c r="P762" s="30" t="n">
        <f>IF(AND(ISNUMBER(L762),L762&gt;0,COUNT(M762:O762)=3,MIN(M762:O762)&gt;=0),SUM(M762:O762)/L762,"")</f>
        <v>2362.98486332462</v>
      </c>
      <c r="Q762" s="16" t="str">
        <v>沿用原计划SKU店铺</v>
      </c>
      <c r="R762" s="16" t="str">
        <v>已匹配</v>
      </c>
      <c r="S762" s="16" t="str">
        <v>在售</v>
      </c>
      <c r="T762" s="16" t="str">
        <v>32582</v>
      </c>
      <c r="U762" s="16" t="str">
        <v>白色</v>
      </c>
      <c r="V762" s="16" t="n">
        <v>8</v>
      </c>
      <c r="W762" s="8" t="str">
        <v>2026-10-11 至 2026-10-17</v>
      </c>
      <c r="X762" s="8" t="str">
        <v>2026-10-11、2026-10-12、2026-10-13、2026-10-14、2026-10-15、2026-10-16、2026-10-17</v>
      </c>
      <c r="Y762" s="8" t="str">
        <v>无</v>
      </c>
      <c r="Z762" s="8" t="n">
        <v>0</v>
      </c>
      <c r="AA762" s="8" t="n">
        <v>0</v>
      </c>
      <c r="AB762" s="8" t="n">
        <v>7</v>
      </c>
      <c r="AC762" s="8" t="str">
        <v>2026-10-02 至 2026-10-17</v>
      </c>
      <c r="AD762" s="8" t="str">
        <v>2026-10-02、2026-10-03、2026-10-04、2026-10-05、2026-10-08、2026-10-09、2026-10-10、2026-10-11、2026-10-12、2026-10-13、2026-10-14、2026-10-15、2026-10-16、2026-10-17</v>
      </c>
      <c r="AE762" s="8" t="str">
        <v>2026-10-06 大促；2026-10-07 大促</v>
      </c>
      <c r="AF762" s="8" t="n">
        <v>2</v>
      </c>
      <c r="AG762" s="8" t="n">
        <v>1</v>
      </c>
      <c r="AH762" s="8" t="n">
        <v>14</v>
      </c>
      <c r="AI762" s="8" t="str">
        <v>2026-09-16 至 2026-10-17</v>
      </c>
      <c r="AJ7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2" s="8" t="str">
        <v>2026-10-06 大促；2026-10-07 大促</v>
      </c>
      <c r="AL762" s="8" t="n">
        <v>2</v>
      </c>
      <c r="AM762" s="8" t="n">
        <v>1</v>
      </c>
      <c r="AN762" s="8" t="n">
        <v>30</v>
      </c>
      <c r="AO762" s="8" t="str">
        <v>32582 / 白色PU / 6574</v>
      </c>
      <c r="AP762" s="11" t="n">
        <v>1.0395067087630607</v>
      </c>
      <c r="AQ762" s="11" t="n">
        <v>1.0395067087630607</v>
      </c>
      <c r="AR762" s="11" t="n">
        <v>1.0707336504782758</v>
      </c>
      <c r="AS762" s="11" t="n">
        <f>IF(AND(COUNT(I762:K762,AP762:AR762)=6,MIN(AP762:AR762)&gt;0),I762/7/AP762*0.5+J762/14/AQ762*0.3+K762/30/AR762*0.2,"")</f>
        <v>0.026840433818602245</v>
      </c>
      <c r="AT762" s="8" t="n">
        <v>3</v>
      </c>
      <c r="AU762" s="8" t="n">
        <v>1</v>
      </c>
      <c r="AV762" s="8" t="n">
        <v>88</v>
      </c>
      <c r="AW762" s="11" t="n">
        <f>IF(AND(COUNT(AT762:AV762)=3,AT762&gt;=AU762,AU762&gt;=0,AV762&gt;0),(AT762-AU762)/AV762,"")</f>
        <v>0.022727272727272728</v>
      </c>
      <c r="AX762" s="8" t="n">
        <v>5</v>
      </c>
      <c r="AY762" s="8" t="n">
        <v>1</v>
      </c>
      <c r="AZ762" s="8" t="n">
        <v>178</v>
      </c>
      <c r="BA762" s="11" t="n">
        <f>IF(AND(COUNT(AX762:AZ762)=3,AX762&gt;=AY762,AY762&gt;=0,AZ762&gt;0),(AX762-AY762)/AZ762,"")</f>
        <v>0.02247191011235955</v>
      </c>
      <c r="BB762" s="8" t="n">
        <f>IF(COUNT(AS762,AW762,BA762)=3,1,0)</f>
        <v>1</v>
      </c>
      <c r="BC762" s="11" t="n">
        <f>IF(SUMIF($AO$11:$AO$1309,AO762,$BB$11:$BB$1309)=COUNTIF($AO$11:$AO$1309,AO762),SUMIF($AO$11:$AO$1309,AO762,$AS$11:$AS$1309),"")</f>
        <v>0.2196594699483032</v>
      </c>
      <c r="BD762" s="11" t="n">
        <f>IF(SUMIF($AO$11:$AO$1309,AO762,$BB$11:$BB$1309)=COUNTIF($AO$11:$AO$1309,AO762),SUMIF($AO$11:$AO$1309,AO762,$AW$11:$AW$1309),"")</f>
        <v>0.36363636363636365</v>
      </c>
      <c r="BE762" s="11" t="n">
        <f>IF(SUMIF($AO$11:$AO$1309,AO762,$BB$11:$BB$1309)=COUNTIF($AO$11:$AO$1309,AO762),SUMIF($AO$11:$AO$1309,AO762,$BA$11:$BA$1309),"")</f>
        <v>0.2696629213483146</v>
      </c>
      <c r="BF762" s="12" t="n">
        <f>IF(COUNT(BD762:BE762)&lt;&gt;2,"",IF(AND(BD762&gt;0,BE762&gt;0),0.7*AW762/BD762+0.3*BA762/BE762,IF(BD762&gt;0,AW762/BD762,IF(BE762&gt;0,BA762/BE762,IF(AND(ISNUMBER(BH762),BH762=0),0,"")))))</f>
        <v>0.06874999999999999</v>
      </c>
      <c r="BG762" s="11" t="n">
        <f>IF(AND(COUNT(BN762:BU762)=8,MIN(BN762:BU762)&gt;=0),SUMPRODUCT(BN762:BQ762,BR762:BU762),"")</f>
        <v>88.27281580841549</v>
      </c>
      <c r="BH762" s="11" t="n">
        <f>IF(COUNT(BC762,BG762)=2,BC762*BG762,"")</f>
        <v>19.389959931320746</v>
      </c>
      <c r="BI762" s="11" t="n">
        <f>IF(ISNUMBER(CI762),CI762,"")</f>
        <v>1.3330597452783013</v>
      </c>
      <c r="BJ762" s="8" t="str">
        <v>近180天本色销量49双（＜90），无有效新采购，请运营判断</v>
      </c>
      <c r="BK762" s="8" t="str">
        <v>90天：2026-07-20 至 2026-10-17；180天：2026-04-21 至 2026-10-17</v>
      </c>
      <c r="BL762" s="8" t="str">
        <v>90天：2026-10-06、2026-10-07；180天：2026-10-06、2026-10-07</v>
      </c>
      <c r="BM762" s="8" t="str">
        <v>2026-10：12天 × 1.0395067087630607；2026-11：30天 × 0.9890368360033146；2026-12：31天 × 0.7800796503018808；2027-01：17天 × 1.2908918272824135</v>
      </c>
      <c r="BN762" s="11" t="n">
        <v>1.0395067087630607</v>
      </c>
      <c r="BO762" s="11" t="n">
        <v>0.9890368360033146</v>
      </c>
      <c r="BP762" s="11" t="n">
        <v>0.7800796503018808</v>
      </c>
      <c r="BQ762" s="11" t="n">
        <v>1.2908918272824135</v>
      </c>
      <c r="BR762" s="8" t="n">
        <v>12</v>
      </c>
      <c r="BS762" s="8" t="n">
        <v>30</v>
      </c>
      <c r="BT762" s="8" t="n">
        <v>31</v>
      </c>
      <c r="BU762" s="8" t="n">
        <v>17</v>
      </c>
      <c r="BV762" s="11" t="n">
        <f>IF(COUNT(BC762,BF762)=2,BC762*BF762,"")</f>
        <v>0.015101588558945844</v>
      </c>
      <c r="BW762" s="11" t="n">
        <f>IF(ISNUMBER(BN762),BN762,"")</f>
        <v>1.0395067087630607</v>
      </c>
      <c r="BX762" s="14" t="n">
        <f>IF(ISNUMBER(BR762),BR762,"")</f>
        <v>12</v>
      </c>
      <c r="BY762" s="13" t="n">
        <f>IF(AND(COUNT(BV762,BW762,BX762)=3,MIN(BV762,BW762,BX762)&gt;=0),BV762*BW762*BX762,"")</f>
        <v>0.18837843144004426</v>
      </c>
      <c r="BZ762" s="11" t="n">
        <f>IF(ISNUMBER(BO762),BO762,"")</f>
        <v>0.9890368360033146</v>
      </c>
      <c r="CA762" s="14" t="n">
        <f>IF(ISNUMBER(BS762),BS762,"")</f>
        <v>30</v>
      </c>
      <c r="CB762" s="13" t="n">
        <f>IF(AND(COUNT(BV762,BZ762,CA762)=3,MIN(BV762,BZ762,CA762)&gt;=0),BV762*BZ762*CA762,"")</f>
        <v>0.4480808210089096</v>
      </c>
      <c r="CC762" s="11" t="n">
        <f>IF(ISNUMBER(BP762),BP762,"")</f>
        <v>0.7800796503018808</v>
      </c>
      <c r="CD762" s="14" t="n">
        <f>IF(ISNUMBER(BT762),BT762,"")</f>
        <v>31</v>
      </c>
      <c r="CE762" s="13" t="n">
        <f>IF(AND(COUNT(BV762,CC762,CD762)=3,MIN(BV762,CC762,CD762)&gt;=0),BV762*CC762*CD762,"")</f>
        <v>0.3651936995840261</v>
      </c>
      <c r="CF762" s="11" t="n">
        <f>IF(ISNUMBER(BQ762),BQ762,"")</f>
        <v>1.2908918272824135</v>
      </c>
      <c r="CG762" s="14" t="n">
        <f>IF(ISNUMBER(BU762),BU762,"")</f>
        <v>17</v>
      </c>
      <c r="CH762" s="13" t="n">
        <f>IF(AND(COUNT(BV762,CF762,CG762)=3,MIN(BV762,CF762,CG762)&gt;=0),BV762*CF762*CG762,"")</f>
        <v>0.3314067932453214</v>
      </c>
      <c r="CI762" s="13" t="n">
        <f>IF(COUNT(BY762,CB762,CE762,CH762)=4,SUM(BY762,CB762,CE762,CH762),"")</f>
        <v>1.3330597452783013</v>
      </c>
    </row>
    <row r="763" ht="72" customHeight="1">
      <c r="A763" s="16" t="str">
        <v>32582-WT0P-39.5</v>
      </c>
      <c r="B763" s="16" t="str">
        <v>3店-SANDIEX-US</v>
      </c>
      <c r="C763" s="16" t="str">
        <v>徐新怡</v>
      </c>
      <c r="D763" s="26" t="n">
        <f>IF(NOT(ISNUMBER(E763)),"",IF(OR(E763&lt;=0,L763=0),0,IF(OR(NOT(ISNUMBER(F763)),F763&lt;0),"",MIN(E763,INT(F763)))))</f>
        <v>0</v>
      </c>
      <c r="E763" s="27" t="n">
        <f>IF(OR(NOT(ISNUMBER(L763)),COUNT(M763:O763)&lt;&gt;3,MIN(M763:O763)&lt;0),"",ROUNDUP(ROUND(BI763-SUM(M763:O763),10),0))</f>
        <v>-34</v>
      </c>
      <c r="F763" s="28" t="n">
        <v>20</v>
      </c>
      <c r="G763" s="28" t="n">
        <f>IF(AND(ISNUMBER(D763),ISNUMBER(E763)),IF(OR(E763&lt;=0,L763=0),0,E763-D763),"")</f>
        <v>0</v>
      </c>
      <c r="H763" s="16" t="str">
        <f>IF(NOT(ISNUMBER(E763)),"销量或海外库存待补",IF(OR(E763&lt;=0,L763=0),IF(L763=0,"零日销，本批不发","本批无需补货"),IF(NOT(ISNUMBER(D763)),"国内库存待补",IF(D763=0,"国内无可用库存",IF(G763&gt;0,"先发国内现货","按建议量发货")))))</f>
        <v>本批无需补货</v>
      </c>
      <c r="I763" s="28" t="n">
        <f>IF(AND(COUNT(Z763,AA763,AB763)=3,Z763&gt;=AA763,AA763&gt;=0,AB763=7),Z763-AA763,"")</f>
        <v>0</v>
      </c>
      <c r="J763" s="28" t="n">
        <f>IF(AND(COUNT(AF763,AG763,AH763)=3,AF763&gt;=AG763,AG763&gt;=0,AH763=14),AF763-AG763,"")</f>
        <v>0</v>
      </c>
      <c r="K763" s="28" t="n">
        <f>IF(AND(COUNT(AL763,AM763,AN763)=3,AL763&gt;=AM763,AM763&gt;=0,AN763=30),AL763-AM763,"")</f>
        <v>0</v>
      </c>
      <c r="L763" s="29" t="n">
        <f>IF(ISNUMBER(BI763),BI763/90,"")</f>
        <v>0.01615829994276729</v>
      </c>
      <c r="M763" s="28" t="n">
        <v>35</v>
      </c>
      <c r="N763" s="28" t="n">
        <v>0</v>
      </c>
      <c r="O763" s="28" t="n">
        <v>0</v>
      </c>
      <c r="P763" s="30" t="n">
        <f>IF(AND(ISNUMBER(L763),L763&gt;0,COUNT(M763:O763)=3,MIN(M763:O763)&gt;=0),SUM(M763:O763)/L763,"")</f>
        <v>2166.069458047569</v>
      </c>
      <c r="Q763" s="16" t="str">
        <v>沿用原计划SKU店铺</v>
      </c>
      <c r="R763" s="16" t="str">
        <v>已匹配</v>
      </c>
      <c r="S763" s="16" t="str">
        <v>在售</v>
      </c>
      <c r="T763" s="16" t="str">
        <v>32582</v>
      </c>
      <c r="U763" s="16" t="str">
        <v>白色</v>
      </c>
      <c r="V763" s="16" t="n">
        <v>8.5</v>
      </c>
      <c r="W763" s="8" t="str">
        <v>2026-10-11 至 2026-10-17</v>
      </c>
      <c r="X763" s="8" t="str">
        <v>2026-10-11、2026-10-12、2026-10-13、2026-10-14、2026-10-15、2026-10-16、2026-10-17</v>
      </c>
      <c r="Y763" s="8" t="str">
        <v>无</v>
      </c>
      <c r="Z763" s="8" t="n">
        <v>0</v>
      </c>
      <c r="AA763" s="8" t="n">
        <v>0</v>
      </c>
      <c r="AB763" s="8" t="n">
        <v>7</v>
      </c>
      <c r="AC763" s="8" t="str">
        <v>2026-10-02 至 2026-10-17</v>
      </c>
      <c r="AD763" s="8" t="str">
        <v>2026-10-02、2026-10-03、2026-10-04、2026-10-05、2026-10-08、2026-10-09、2026-10-10、2026-10-11、2026-10-12、2026-10-13、2026-10-14、2026-10-15、2026-10-16、2026-10-17</v>
      </c>
      <c r="AE763" s="8" t="str">
        <v>2026-10-06 大促；2026-10-07 大促</v>
      </c>
      <c r="AF763" s="8" t="n">
        <v>0</v>
      </c>
      <c r="AG763" s="8" t="n">
        <v>0</v>
      </c>
      <c r="AH763" s="8" t="n">
        <v>14</v>
      </c>
      <c r="AI763" s="8" t="str">
        <v>2026-09-16 至 2026-10-17</v>
      </c>
      <c r="AJ7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3" s="8" t="str">
        <v>2026-10-06 大促；2026-10-07 大促</v>
      </c>
      <c r="AL763" s="8" t="n">
        <v>0</v>
      </c>
      <c r="AM763" s="8" t="n">
        <v>0</v>
      </c>
      <c r="AN763" s="8" t="n">
        <v>30</v>
      </c>
      <c r="AO763" s="8" t="str">
        <v>32582 / 白色PU / 6574</v>
      </c>
      <c r="AP763" s="11" t="n">
        <v>1.0395067087630607</v>
      </c>
      <c r="AQ763" s="11" t="n">
        <v>1.0395067087630607</v>
      </c>
      <c r="AR763" s="11" t="n">
        <v>1.0707336504782758</v>
      </c>
      <c r="AS763" s="11" t="n">
        <f>IF(AND(COUNT(I763:K763,AP763:AR763)=6,MIN(AP763:AR763)&gt;0),I763/7/AP763*0.5+J763/14/AQ763*0.3+K763/30/AR763*0.2,"")</f>
        <v>0</v>
      </c>
      <c r="AT763" s="8" t="n">
        <v>2</v>
      </c>
      <c r="AU763" s="8" t="n">
        <v>0</v>
      </c>
      <c r="AV763" s="8" t="n">
        <v>88</v>
      </c>
      <c r="AW763" s="11" t="n">
        <f>IF(AND(COUNT(AT763:AV763)=3,AT763&gt;=AU763,AU763&gt;=0,AV763&gt;0),(AT763-AU763)/AV763,"")</f>
        <v>0.022727272727272728</v>
      </c>
      <c r="AX763" s="8" t="n">
        <v>5</v>
      </c>
      <c r="AY763" s="8" t="n">
        <v>0</v>
      </c>
      <c r="AZ763" s="8" t="n">
        <v>178</v>
      </c>
      <c r="BA763" s="11" t="n">
        <f>IF(AND(COUNT(AX763:AZ763)=3,AX763&gt;=AY763,AY763&gt;=0,AZ763&gt;0),(AX763-AY763)/AZ763,"")</f>
        <v>0.028089887640449437</v>
      </c>
      <c r="BB763" s="8" t="n">
        <f>IF(COUNT(AS763,AW763,BA763)=3,1,0)</f>
        <v>1</v>
      </c>
      <c r="BC763" s="11" t="n">
        <f>IF(SUMIF($AO$11:$AO$1309,AO763,$BB$11:$BB$1309)=COUNTIF($AO$11:$AO$1309,AO763),SUMIF($AO$11:$AO$1309,AO763,$AS$11:$AS$1309),"")</f>
        <v>0.2196594699483032</v>
      </c>
      <c r="BD763" s="11" t="n">
        <f>IF(SUMIF($AO$11:$AO$1309,AO763,$BB$11:$BB$1309)=COUNTIF($AO$11:$AO$1309,AO763),SUMIF($AO$11:$AO$1309,AO763,$AW$11:$AW$1309),"")</f>
        <v>0.36363636363636365</v>
      </c>
      <c r="BE763" s="11" t="n">
        <f>IF(SUMIF($AO$11:$AO$1309,AO763,$BB$11:$BB$1309)=COUNTIF($AO$11:$AO$1309,AO763),SUMIF($AO$11:$AO$1309,AO763,$BA$11:$BA$1309),"")</f>
        <v>0.2696629213483146</v>
      </c>
      <c r="BF763" s="12" t="n">
        <f>IF(COUNT(BD763:BE763)&lt;&gt;2,"",IF(AND(BD763&gt;0,BE763&gt;0),0.7*AW763/BD763+0.3*BA763/BE763,IF(BD763&gt;0,AW763/BD763,IF(BE763&gt;0,BA763/BE763,IF(AND(ISNUMBER(BH763),BH763=0),0,"")))))</f>
        <v>0.075</v>
      </c>
      <c r="BG763" s="11" t="n">
        <f>IF(AND(COUNT(BN763:BU763)=8,MIN(BN763:BU763)&gt;=0),SUMPRODUCT(BN763:BQ763,BR763:BU763),"")</f>
        <v>88.27281580841549</v>
      </c>
      <c r="BH763" s="11" t="n">
        <f>IF(COUNT(BC763,BG763)=2,BC763*BG763,"")</f>
        <v>19.389959931320746</v>
      </c>
      <c r="BI763" s="11" t="n">
        <f>IF(ISNUMBER(CI763),CI763,"")</f>
        <v>1.454246994849056</v>
      </c>
      <c r="BJ763" s="8" t="str">
        <v>近180天本色销量49双（＜90），无有效新采购，请运营判断</v>
      </c>
      <c r="BK763" s="8" t="str">
        <v>90天：2026-07-20 至 2026-10-17；180天：2026-04-21 至 2026-10-17</v>
      </c>
      <c r="BL763" s="8" t="str">
        <v>90天：2026-10-06、2026-10-07；180天：2026-10-06、2026-10-07</v>
      </c>
      <c r="BM763" s="8" t="str">
        <v>2026-10：12天 × 1.0395067087630607；2026-11：30天 × 0.9890368360033146；2026-12：31天 × 0.7800796503018808；2027-01：17天 × 1.2908918272824135</v>
      </c>
      <c r="BN763" s="11" t="n">
        <v>1.0395067087630607</v>
      </c>
      <c r="BO763" s="11" t="n">
        <v>0.9890368360033146</v>
      </c>
      <c r="BP763" s="11" t="n">
        <v>0.7800796503018808</v>
      </c>
      <c r="BQ763" s="11" t="n">
        <v>1.2908918272824135</v>
      </c>
      <c r="BR763" s="8" t="n">
        <v>12</v>
      </c>
      <c r="BS763" s="8" t="n">
        <v>30</v>
      </c>
      <c r="BT763" s="8" t="n">
        <v>31</v>
      </c>
      <c r="BU763" s="8" t="n">
        <v>17</v>
      </c>
      <c r="BV763" s="11" t="n">
        <f>IF(COUNT(BC763,BF763)=2,BC763*BF763,"")</f>
        <v>0.01647446024612274</v>
      </c>
      <c r="BW763" s="11" t="n">
        <f>IF(ISNUMBER(BN763),BN763,"")</f>
        <v>1.0395067087630607</v>
      </c>
      <c r="BX763" s="14" t="n">
        <f>IF(ISNUMBER(BR763),BR763,"")</f>
        <v>12</v>
      </c>
      <c r="BY763" s="13" t="n">
        <f>IF(AND(COUNT(BV763,BW763,BX763)=3,MIN(BV763,BW763,BX763)&gt;=0),BV763*BW763*BX763,"")</f>
        <v>0.20550374338913918</v>
      </c>
      <c r="BZ763" s="11" t="n">
        <f>IF(ISNUMBER(BO763),BO763,"")</f>
        <v>0.9890368360033146</v>
      </c>
      <c r="CA763" s="14" t="n">
        <f>IF(ISNUMBER(BS763),BS763,"")</f>
        <v>30</v>
      </c>
      <c r="CB763" s="13" t="n">
        <f>IF(AND(COUNT(BV763,BZ763,CA763)=3,MIN(BV763,BZ763,CA763)&gt;=0),BV763*BZ763*CA763,"")</f>
        <v>0.48881544110062863</v>
      </c>
      <c r="CC763" s="11" t="n">
        <f>IF(ISNUMBER(BP763),BP763,"")</f>
        <v>0.7800796503018808</v>
      </c>
      <c r="CD763" s="14" t="n">
        <f>IF(ISNUMBER(BT763),BT763,"")</f>
        <v>31</v>
      </c>
      <c r="CE763" s="13" t="n">
        <f>IF(AND(COUNT(BV763,CC763,CD763)=3,MIN(BV763,CC763,CD763)&gt;=0),BV763*CC763*CD763,"")</f>
        <v>0.39839312681893757</v>
      </c>
      <c r="CF763" s="11" t="n">
        <f>IF(ISNUMBER(BQ763),BQ763,"")</f>
        <v>1.2908918272824135</v>
      </c>
      <c r="CG763" s="14" t="n">
        <f>IF(ISNUMBER(BU763),BU763,"")</f>
        <v>17</v>
      </c>
      <c r="CH763" s="13" t="n">
        <f>IF(AND(COUNT(BV763,CF763,CG763)=3,MIN(BV763,CF763,CG763)&gt;=0),BV763*CF763*CG763,"")</f>
        <v>0.3615346835403507</v>
      </c>
      <c r="CI763" s="13" t="n">
        <f>IF(COUNT(BY763,CB763,CE763,CH763)=4,SUM(BY763,CB763,CE763,CH763),"")</f>
        <v>1.454246994849056</v>
      </c>
    </row>
    <row r="764" ht="72" customHeight="1">
      <c r="A764" s="16" t="str">
        <v>32582-WT0P-40</v>
      </c>
      <c r="B764" s="16" t="str">
        <v>3店-SANDIEX-US</v>
      </c>
      <c r="C764" s="16" t="str">
        <v>徐新怡</v>
      </c>
      <c r="D764" s="26" t="n">
        <f>IF(NOT(ISNUMBER(E764)),"",IF(OR(E764&lt;=0,L764=0),0,IF(OR(NOT(ISNUMBER(F764)),F764&lt;0),"",MIN(E764,INT(F764)))))</f>
        <v>0</v>
      </c>
      <c r="E764" s="27" t="n">
        <f>IF(OR(NOT(ISNUMBER(L764)),COUNT(M764:O764)&lt;&gt;3,MIN(M764:O764)&lt;0),"",ROUNDUP(ROUND(BI764-SUM(M764:O764),10),0))</f>
        <v>-30</v>
      </c>
      <c r="F764" s="28" t="n">
        <v>15</v>
      </c>
      <c r="G764" s="28" t="n">
        <f>IF(AND(ISNUMBER(D764),ISNUMBER(E764)),IF(OR(E764&lt;=0,L764=0),0,E764-D764),"")</f>
        <v>0</v>
      </c>
      <c r="H764" s="16" t="str">
        <f>IF(NOT(ISNUMBER(E764)),"销量或海外库存待补",IF(OR(E764&lt;=0,L764=0),IF(L764=0,"零日销，本批不发","本批无需补货"),IF(NOT(ISNUMBER(D764)),"国内库存待补",IF(D764=0,"国内无可用库存",IF(G764&gt;0,"先发国内现货","按建议量发货")))))</f>
        <v>本批无需补货</v>
      </c>
      <c r="I764" s="28" t="n">
        <f>IF(AND(COUNT(Z764,AA764,AB764)=3,Z764&gt;=AA764,AA764&gt;=0,AB764=7),Z764-AA764,"")</f>
        <v>0</v>
      </c>
      <c r="J764" s="28" t="n">
        <f>IF(AND(COUNT(AF764,AG764,AH764)=3,AF764&gt;=AG764,AG764&gt;=0,AH764=14),AF764-AG764,"")</f>
        <v>0</v>
      </c>
      <c r="K764" s="28" t="n">
        <f>IF(AND(COUNT(AL764,AM764,AN764)=3,AL764&gt;=AM764,AM764&gt;=0,AN764=30),AL764-AM764,"")</f>
        <v>1</v>
      </c>
      <c r="L764" s="29" t="n">
        <f>IF(ISNUMBER(BI764),BI764/90,"")</f>
        <v>0.022217662421305025</v>
      </c>
      <c r="M764" s="28" t="n">
        <v>31</v>
      </c>
      <c r="N764" s="28" t="n">
        <v>0</v>
      </c>
      <c r="O764" s="28" t="n">
        <v>0</v>
      </c>
      <c r="P764" s="30" t="n">
        <f>IF(AND(ISNUMBER(L764),L764&gt;0,COUNT(M764:O764)=3,MIN(M764:O764)&gt;=0),SUM(M764:O764)/L764,"")</f>
        <v>1395.2863002488232</v>
      </c>
      <c r="Q764" s="16" t="str">
        <v>沿用原计划SKU店铺</v>
      </c>
      <c r="R764" s="16" t="str">
        <v>已匹配</v>
      </c>
      <c r="S764" s="16" t="str">
        <v>在售</v>
      </c>
      <c r="T764" s="16" t="str">
        <v>32582</v>
      </c>
      <c r="U764" s="16" t="str">
        <v>白色</v>
      </c>
      <c r="V764" s="16" t="n">
        <v>9</v>
      </c>
      <c r="W764" s="8" t="str">
        <v>2026-10-11 至 2026-10-17</v>
      </c>
      <c r="X764" s="8" t="str">
        <v>2026-10-11、2026-10-12、2026-10-13、2026-10-14、2026-10-15、2026-10-16、2026-10-17</v>
      </c>
      <c r="Y764" s="8" t="str">
        <v>无</v>
      </c>
      <c r="Z764" s="8" t="n">
        <v>0</v>
      </c>
      <c r="AA764" s="8" t="n">
        <v>0</v>
      </c>
      <c r="AB764" s="8" t="n">
        <v>7</v>
      </c>
      <c r="AC764" s="8" t="str">
        <v>2026-10-02 至 2026-10-17</v>
      </c>
      <c r="AD764" s="8" t="str">
        <v>2026-10-02、2026-10-03、2026-10-04、2026-10-05、2026-10-08、2026-10-09、2026-10-10、2026-10-11、2026-10-12、2026-10-13、2026-10-14、2026-10-15、2026-10-16、2026-10-17</v>
      </c>
      <c r="AE764" s="8" t="str">
        <v>2026-10-06 大促；2026-10-07 大促</v>
      </c>
      <c r="AF764" s="8" t="n">
        <v>0</v>
      </c>
      <c r="AG764" s="8" t="n">
        <v>0</v>
      </c>
      <c r="AH764" s="8" t="n">
        <v>14</v>
      </c>
      <c r="AI764" s="8" t="str">
        <v>2026-09-16 至 2026-10-17</v>
      </c>
      <c r="AJ7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4" s="8" t="str">
        <v>2026-10-06 大促；2026-10-07 大促</v>
      </c>
      <c r="AL764" s="8" t="n">
        <v>1</v>
      </c>
      <c r="AM764" s="8" t="n">
        <v>0</v>
      </c>
      <c r="AN764" s="8" t="n">
        <v>30</v>
      </c>
      <c r="AO764" s="8" t="str">
        <v>32582 / 白色PU / 6574</v>
      </c>
      <c r="AP764" s="11" t="n">
        <v>1.0395067087630607</v>
      </c>
      <c r="AQ764" s="11" t="n">
        <v>1.0395067087630607</v>
      </c>
      <c r="AR764" s="11" t="n">
        <v>1.0707336504782758</v>
      </c>
      <c r="AS764" s="11" t="n">
        <f>IF(AND(COUNT(I764:K764,AP764:AR764)=6,MIN(AP764:AR764)&gt;0),I764/7/AP764*0.5+J764/14/AQ764*0.3+K764/30/AR764*0.2,"")</f>
        <v>0.006226260530514565</v>
      </c>
      <c r="AT764" s="8" t="n">
        <v>3</v>
      </c>
      <c r="AU764" s="8" t="n">
        <v>0</v>
      </c>
      <c r="AV764" s="8" t="n">
        <v>88</v>
      </c>
      <c r="AW764" s="11" t="n">
        <f>IF(AND(COUNT(AT764:AV764)=3,AT764&gt;=AU764,AU764&gt;=0,AV764&gt;0),(AT764-AU764)/AV764,"")</f>
        <v>0.03409090909090909</v>
      </c>
      <c r="AX764" s="8" t="n">
        <v>6</v>
      </c>
      <c r="AY764" s="8" t="n">
        <v>0</v>
      </c>
      <c r="AZ764" s="8" t="n">
        <v>178</v>
      </c>
      <c r="BA764" s="11" t="n">
        <f>IF(AND(COUNT(AX764:AZ764)=3,AX764&gt;=AY764,AY764&gt;=0,AZ764&gt;0),(AX764-AY764)/AZ764,"")</f>
        <v>0.033707865168539325</v>
      </c>
      <c r="BB764" s="8" t="n">
        <f>IF(COUNT(AS764,AW764,BA764)=3,1,0)</f>
        <v>1</v>
      </c>
      <c r="BC764" s="11" t="n">
        <f>IF(SUMIF($AO$11:$AO$1309,AO764,$BB$11:$BB$1309)=COUNTIF($AO$11:$AO$1309,AO764),SUMIF($AO$11:$AO$1309,AO764,$AS$11:$AS$1309),"")</f>
        <v>0.2196594699483032</v>
      </c>
      <c r="BD764" s="11" t="n">
        <f>IF(SUMIF($AO$11:$AO$1309,AO764,$BB$11:$BB$1309)=COUNTIF($AO$11:$AO$1309,AO764),SUMIF($AO$11:$AO$1309,AO764,$AW$11:$AW$1309),"")</f>
        <v>0.36363636363636365</v>
      </c>
      <c r="BE764" s="11" t="n">
        <f>IF(SUMIF($AO$11:$AO$1309,AO764,$BB$11:$BB$1309)=COUNTIF($AO$11:$AO$1309,AO764),SUMIF($AO$11:$AO$1309,AO764,$BA$11:$BA$1309),"")</f>
        <v>0.2696629213483146</v>
      </c>
      <c r="BF764" s="12" t="n">
        <f>IF(COUNT(BD764:BE764)&lt;&gt;2,"",IF(AND(BD764&gt;0,BE764&gt;0),0.7*AW764/BD764+0.3*BA764/BE764,IF(BD764&gt;0,AW764/BD764,IF(BE764&gt;0,BA764/BE764,IF(AND(ISNUMBER(BH764),BH764=0),0,"")))))</f>
        <v>0.103125</v>
      </c>
      <c r="BG764" s="11" t="n">
        <f>IF(AND(COUNT(BN764:BU764)=8,MIN(BN764:BU764)&gt;=0),SUMPRODUCT(BN764:BQ764,BR764:BU764),"")</f>
        <v>88.27281580841549</v>
      </c>
      <c r="BH764" s="11" t="n">
        <f>IF(COUNT(BC764,BG764)=2,BC764*BG764,"")</f>
        <v>19.389959931320746</v>
      </c>
      <c r="BI764" s="11" t="n">
        <f>IF(ISNUMBER(CI764),CI764,"")</f>
        <v>1.9995896179174522</v>
      </c>
      <c r="BJ764" s="8" t="str">
        <v>近180天本色销量49双（＜90），无有效新采购，请运营判断</v>
      </c>
      <c r="BK764" s="8" t="str">
        <v>90天：2026-07-20 至 2026-10-17；180天：2026-04-21 至 2026-10-17</v>
      </c>
      <c r="BL764" s="8" t="str">
        <v>90天：2026-10-06、2026-10-07；180天：2026-10-06、2026-10-07</v>
      </c>
      <c r="BM764" s="8" t="str">
        <v>2026-10：12天 × 1.0395067087630607；2026-11：30天 × 0.9890368360033146；2026-12：31天 × 0.7800796503018808；2027-01：17天 × 1.2908918272824135</v>
      </c>
      <c r="BN764" s="11" t="n">
        <v>1.0395067087630607</v>
      </c>
      <c r="BO764" s="11" t="n">
        <v>0.9890368360033146</v>
      </c>
      <c r="BP764" s="11" t="n">
        <v>0.7800796503018808</v>
      </c>
      <c r="BQ764" s="11" t="n">
        <v>1.2908918272824135</v>
      </c>
      <c r="BR764" s="8" t="n">
        <v>12</v>
      </c>
      <c r="BS764" s="8" t="n">
        <v>30</v>
      </c>
      <c r="BT764" s="8" t="n">
        <v>31</v>
      </c>
      <c r="BU764" s="8" t="n">
        <v>17</v>
      </c>
      <c r="BV764" s="11" t="n">
        <f>IF(COUNT(BC764,BF764)=2,BC764*BF764,"")</f>
        <v>0.022652382838418767</v>
      </c>
      <c r="BW764" s="11" t="n">
        <f>IF(ISNUMBER(BN764),BN764,"")</f>
        <v>1.0395067087630607</v>
      </c>
      <c r="BX764" s="14" t="n">
        <f>IF(ISNUMBER(BR764),BR764,"")</f>
        <v>12</v>
      </c>
      <c r="BY764" s="13" t="n">
        <f>IF(AND(COUNT(BV764,BW764,BX764)=3,MIN(BV764,BW764,BX764)&gt;=0),BV764*BW764*BX764,"")</f>
        <v>0.2825676471600664</v>
      </c>
      <c r="BZ764" s="11" t="n">
        <f>IF(ISNUMBER(BO764),BO764,"")</f>
        <v>0.9890368360033146</v>
      </c>
      <c r="CA764" s="14" t="n">
        <f>IF(ISNUMBER(BS764),BS764,"")</f>
        <v>30</v>
      </c>
      <c r="CB764" s="13" t="n">
        <f>IF(AND(COUNT(BV764,BZ764,CA764)=3,MIN(BV764,BZ764,CA764)&gt;=0),BV764*BZ764*CA764,"")</f>
        <v>0.6721212315133644</v>
      </c>
      <c r="CC764" s="11" t="n">
        <f>IF(ISNUMBER(BP764),BP764,"")</f>
        <v>0.7800796503018808</v>
      </c>
      <c r="CD764" s="14" t="n">
        <f>IF(ISNUMBER(BT764),BT764,"")</f>
        <v>31</v>
      </c>
      <c r="CE764" s="13" t="n">
        <f>IF(AND(COUNT(BV764,CC764,CD764)=3,MIN(BV764,CC764,CD764)&gt;=0),BV764*CC764*CD764,"")</f>
        <v>0.5477905493760391</v>
      </c>
      <c r="CF764" s="11" t="n">
        <f>IF(ISNUMBER(BQ764),BQ764,"")</f>
        <v>1.2908918272824135</v>
      </c>
      <c r="CG764" s="14" t="n">
        <f>IF(ISNUMBER(BU764),BU764,"")</f>
        <v>17</v>
      </c>
      <c r="CH764" s="13" t="n">
        <f>IF(AND(COUNT(BV764,CF764,CG764)=3,MIN(BV764,CF764,CG764)&gt;=0),BV764*CF764*CG764,"")</f>
        <v>0.49711018986798217</v>
      </c>
      <c r="CI764" s="13" t="n">
        <f>IF(COUNT(BY764,CB764,CE764,CH764)=4,SUM(BY764,CB764,CE764,CH764),"")</f>
        <v>1.9995896179174522</v>
      </c>
    </row>
    <row r="765" ht="72" customHeight="1">
      <c r="A765" s="16" t="str">
        <v>32582-WT0P-40.5</v>
      </c>
      <c r="B765" s="16" t="str">
        <v>3店-SANDIEX-US</v>
      </c>
      <c r="C765" s="16" t="str">
        <v>徐新怡</v>
      </c>
      <c r="D765" s="26" t="n">
        <f>IF(NOT(ISNUMBER(E765)),"",IF(OR(E765&lt;=0,L765=0),0,IF(OR(NOT(ISNUMBER(F765)),F765&lt;0),"",MIN(E765,INT(F765)))))</f>
        <v>0</v>
      </c>
      <c r="E765" s="27" t="n">
        <f>IF(OR(NOT(ISNUMBER(L765)),COUNT(M765:O765)&lt;&gt;3,MIN(M765:O765)&lt;0),"",ROUNDUP(ROUND(BI765-SUM(M765:O765),10),0))</f>
        <v>-10</v>
      </c>
      <c r="F765" s="28" t="n">
        <v>40</v>
      </c>
      <c r="G765" s="28" t="n">
        <f>IF(AND(ISNUMBER(D765),ISNUMBER(E765)),IF(OR(E765&lt;=0,L765=0),0,E765-D765),"")</f>
        <v>0</v>
      </c>
      <c r="H765" s="16" t="str">
        <f>IF(NOT(ISNUMBER(E765)),"销量或海外库存待补",IF(OR(E765&lt;=0,L765=0),IF(L765=0,"零日销，本批不发","本批无需补货"),IF(NOT(ISNUMBER(D765)),"国内库存待补",IF(D765=0,"国内无可用库存",IF(G765&gt;0,"先发国内现货","按建议量发货")))))</f>
        <v>本批无需补货</v>
      </c>
      <c r="I765" s="28" t="n">
        <f>IF(AND(COUNT(Z765,AA765,AB765)=3,Z765&gt;=AA765,AA765&gt;=0,AB765=7),Z765-AA765,"")</f>
        <v>0</v>
      </c>
      <c r="J765" s="28" t="n">
        <f>IF(AND(COUNT(AF765,AG765,AH765)=3,AF765&gt;=AG765,AG765&gt;=0,AH765=14),AF765-AG765,"")</f>
        <v>0</v>
      </c>
      <c r="K765" s="28" t="n">
        <f>IF(AND(COUNT(AL765,AM765,AN765)=3,AL765&gt;=AM765,AM765&gt;=0,AN765=30),AL765-AM765,"")</f>
        <v>1</v>
      </c>
      <c r="L765" s="29" t="n">
        <f>IF(ISNUMBER(BI765),BI765/90,"")</f>
        <v>0.023564187416535626</v>
      </c>
      <c r="M765" s="28" t="n">
        <v>12</v>
      </c>
      <c r="N765" s="28" t="n">
        <v>0</v>
      </c>
      <c r="O765" s="28" t="n">
        <v>0</v>
      </c>
      <c r="P765" s="30" t="n">
        <f>IF(AND(ISNUMBER(L765),L765&gt;0,COUNT(M765:O765)=3,MIN(M765:O765)&gt;=0),SUM(M765:O765)/L765,"")</f>
        <v>509.24735013689786</v>
      </c>
      <c r="Q765" s="16" t="str">
        <v>沿用原计划SKU店铺</v>
      </c>
      <c r="R765" s="16" t="str">
        <v>已匹配</v>
      </c>
      <c r="S765" s="16" t="str">
        <v>在售</v>
      </c>
      <c r="T765" s="16" t="str">
        <v>32582</v>
      </c>
      <c r="U765" s="16" t="str">
        <v>白色</v>
      </c>
      <c r="V765" s="16" t="n">
        <v>9.5</v>
      </c>
      <c r="W765" s="8" t="str">
        <v>2026-10-11 至 2026-10-17</v>
      </c>
      <c r="X765" s="8" t="str">
        <v>2026-10-11、2026-10-12、2026-10-13、2026-10-14、2026-10-15、2026-10-16、2026-10-17</v>
      </c>
      <c r="Y765" s="8" t="str">
        <v>无</v>
      </c>
      <c r="Z765" s="8" t="n">
        <v>0</v>
      </c>
      <c r="AA765" s="8" t="n">
        <v>0</v>
      </c>
      <c r="AB765" s="8" t="n">
        <v>7</v>
      </c>
      <c r="AC765" s="8" t="str">
        <v>2026-10-02 至 2026-10-17</v>
      </c>
      <c r="AD765" s="8" t="str">
        <v>2026-10-02、2026-10-03、2026-10-04、2026-10-05、2026-10-08、2026-10-09、2026-10-10、2026-10-11、2026-10-12、2026-10-13、2026-10-14、2026-10-15、2026-10-16、2026-10-17</v>
      </c>
      <c r="AE765" s="8" t="str">
        <v>2026-10-06 大促；2026-10-07 大促</v>
      </c>
      <c r="AF765" s="8" t="n">
        <v>0</v>
      </c>
      <c r="AG765" s="8" t="n">
        <v>0</v>
      </c>
      <c r="AH765" s="8" t="n">
        <v>14</v>
      </c>
      <c r="AI765" s="8" t="str">
        <v>2026-09-16 至 2026-10-17</v>
      </c>
      <c r="AJ7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5" s="8" t="str">
        <v>2026-10-06 大促；2026-10-07 大促</v>
      </c>
      <c r="AL765" s="8" t="n">
        <v>1</v>
      </c>
      <c r="AM765" s="8" t="n">
        <v>0</v>
      </c>
      <c r="AN765" s="8" t="n">
        <v>30</v>
      </c>
      <c r="AO765" s="8" t="str">
        <v>32582 / 白色PU / 6574</v>
      </c>
      <c r="AP765" s="11" t="n">
        <v>1.0395067087630607</v>
      </c>
      <c r="AQ765" s="11" t="n">
        <v>1.0395067087630607</v>
      </c>
      <c r="AR765" s="11" t="n">
        <v>1.0707336504782758</v>
      </c>
      <c r="AS765" s="11" t="n">
        <f>IF(AND(COUNT(I765:K765,AP765:AR765)=6,MIN(AP765:AR765)&gt;0),I765/7/AP765*0.5+J765/14/AQ765*0.3+K765/30/AR765*0.2,"")</f>
        <v>0.006226260530514565</v>
      </c>
      <c r="AT765" s="8" t="n">
        <v>3</v>
      </c>
      <c r="AU765" s="8" t="n">
        <v>0</v>
      </c>
      <c r="AV765" s="8" t="n">
        <v>88</v>
      </c>
      <c r="AW765" s="11" t="n">
        <f>IF(AND(COUNT(AT765:AV765)=3,AT765&gt;=AU765,AU765&gt;=0,AV765&gt;0),(AT765-AU765)/AV765,"")</f>
        <v>0.03409090909090909</v>
      </c>
      <c r="AX765" s="8" t="n">
        <v>7</v>
      </c>
      <c r="AY765" s="8" t="n">
        <v>0</v>
      </c>
      <c r="AZ765" s="8" t="n">
        <v>178</v>
      </c>
      <c r="BA765" s="11" t="n">
        <f>IF(AND(COUNT(AX765:AZ765)=3,AX765&gt;=AY765,AY765&gt;=0,AZ765&gt;0),(AX765-AY765)/AZ765,"")</f>
        <v>0.03932584269662921</v>
      </c>
      <c r="BB765" s="8" t="n">
        <f>IF(COUNT(AS765,AW765,BA765)=3,1,0)</f>
        <v>1</v>
      </c>
      <c r="BC765" s="11" t="n">
        <f>IF(SUMIF($AO$11:$AO$1309,AO765,$BB$11:$BB$1309)=COUNTIF($AO$11:$AO$1309,AO765),SUMIF($AO$11:$AO$1309,AO765,$AS$11:$AS$1309),"")</f>
        <v>0.2196594699483032</v>
      </c>
      <c r="BD765" s="11" t="n">
        <f>IF(SUMIF($AO$11:$AO$1309,AO765,$BB$11:$BB$1309)=COUNTIF($AO$11:$AO$1309,AO765),SUMIF($AO$11:$AO$1309,AO765,$AW$11:$AW$1309),"")</f>
        <v>0.36363636363636365</v>
      </c>
      <c r="BE765" s="11" t="n">
        <f>IF(SUMIF($AO$11:$AO$1309,AO765,$BB$11:$BB$1309)=COUNTIF($AO$11:$AO$1309,AO765),SUMIF($AO$11:$AO$1309,AO765,$BA$11:$BA$1309),"")</f>
        <v>0.2696629213483146</v>
      </c>
      <c r="BF765" s="12" t="n">
        <f>IF(COUNT(BD765:BE765)&lt;&gt;2,"",IF(AND(BD765&gt;0,BE765&gt;0),0.7*AW765/BD765+0.3*BA765/BE765,IF(BD765&gt;0,AW765/BD765,IF(BE765&gt;0,BA765/BE765,IF(AND(ISNUMBER(BH765),BH765=0),0,"")))))</f>
        <v>0.10937499999999999</v>
      </c>
      <c r="BG765" s="11" t="n">
        <f>IF(AND(COUNT(BN765:BU765)=8,MIN(BN765:BU765)&gt;=0),SUMPRODUCT(BN765:BQ765,BR765:BU765),"")</f>
        <v>88.27281580841549</v>
      </c>
      <c r="BH765" s="11" t="n">
        <f>IF(COUNT(BC765,BG765)=2,BC765*BG765,"")</f>
        <v>19.389959931320746</v>
      </c>
      <c r="BI765" s="11" t="n">
        <f>IF(ISNUMBER(CI765),CI765,"")</f>
        <v>2.1207768674882064</v>
      </c>
      <c r="BJ765" s="8" t="str">
        <v>近180天本色销量49双（＜90），无有效新采购，请运营判断</v>
      </c>
      <c r="BK765" s="8" t="str">
        <v>90天：2026-07-20 至 2026-10-17；180天：2026-04-21 至 2026-10-17</v>
      </c>
      <c r="BL765" s="8" t="str">
        <v>90天：2026-10-06、2026-10-07；180天：2026-10-06、2026-10-07</v>
      </c>
      <c r="BM765" s="8" t="str">
        <v>2026-10：12天 × 1.0395067087630607；2026-11：30天 × 0.9890368360033146；2026-12：31天 × 0.7800796503018808；2027-01：17天 × 1.2908918272824135</v>
      </c>
      <c r="BN765" s="11" t="n">
        <v>1.0395067087630607</v>
      </c>
      <c r="BO765" s="11" t="n">
        <v>0.9890368360033146</v>
      </c>
      <c r="BP765" s="11" t="n">
        <v>0.7800796503018808</v>
      </c>
      <c r="BQ765" s="11" t="n">
        <v>1.2908918272824135</v>
      </c>
      <c r="BR765" s="8" t="n">
        <v>12</v>
      </c>
      <c r="BS765" s="8" t="n">
        <v>30</v>
      </c>
      <c r="BT765" s="8" t="n">
        <v>31</v>
      </c>
      <c r="BU765" s="8" t="n">
        <v>17</v>
      </c>
      <c r="BV765" s="11" t="n">
        <f>IF(COUNT(BC765,BF765)=2,BC765*BF765,"")</f>
        <v>0.02402525452559566</v>
      </c>
      <c r="BW765" s="11" t="n">
        <f>IF(ISNUMBER(BN765),BN765,"")</f>
        <v>1.0395067087630607</v>
      </c>
      <c r="BX765" s="14" t="n">
        <f>IF(ISNUMBER(BR765),BR765,"")</f>
        <v>12</v>
      </c>
      <c r="BY765" s="13" t="n">
        <f>IF(AND(COUNT(BV765,BW765,BX765)=3,MIN(BV765,BW765,BX765)&gt;=0),BV765*BW765*BX765,"")</f>
        <v>0.2996929591091613</v>
      </c>
      <c r="BZ765" s="11" t="n">
        <f>IF(ISNUMBER(BO765),BO765,"")</f>
        <v>0.9890368360033146</v>
      </c>
      <c r="CA765" s="14" t="n">
        <f>IF(ISNUMBER(BS765),BS765,"")</f>
        <v>30</v>
      </c>
      <c r="CB765" s="13" t="n">
        <f>IF(AND(COUNT(BV765,BZ765,CA765)=3,MIN(BV765,BZ765,CA765)&gt;=0),BV765*BZ765*CA765,"")</f>
        <v>0.7128558516050834</v>
      </c>
      <c r="CC765" s="11" t="n">
        <f>IF(ISNUMBER(BP765),BP765,"")</f>
        <v>0.7800796503018808</v>
      </c>
      <c r="CD765" s="14" t="n">
        <f>IF(ISNUMBER(BT765),BT765,"")</f>
        <v>31</v>
      </c>
      <c r="CE765" s="13" t="n">
        <f>IF(AND(COUNT(BV765,CC765,CD765)=3,MIN(BV765,CC765,CD765)&gt;=0),BV765*CC765*CD765,"")</f>
        <v>0.5809899766109505</v>
      </c>
      <c r="CF765" s="11" t="n">
        <f>IF(ISNUMBER(BQ765),BQ765,"")</f>
        <v>1.2908918272824135</v>
      </c>
      <c r="CG765" s="14" t="n">
        <f>IF(ISNUMBER(BU765),BU765,"")</f>
        <v>17</v>
      </c>
      <c r="CH765" s="13" t="n">
        <f>IF(AND(COUNT(BV765,CF765,CG765)=3,MIN(BV765,CF765,CG765)&gt;=0),BV765*CF765*CG765,"")</f>
        <v>0.5272380801630113</v>
      </c>
      <c r="CI765" s="13" t="n">
        <f>IF(COUNT(BY765,CB765,CE765,CH765)=4,SUM(BY765,CB765,CE765,CH765),"")</f>
        <v>2.1207768674882064</v>
      </c>
    </row>
    <row r="766" ht="72" customHeight="1">
      <c r="A766" s="16" t="str">
        <v>32582-WT0P-41</v>
      </c>
      <c r="B766" s="16" t="str">
        <v>3店-SANDIEX-US</v>
      </c>
      <c r="C766" s="16" t="str">
        <v>徐新怡</v>
      </c>
      <c r="D766" s="26" t="n">
        <f>IF(NOT(ISNUMBER(E766)),"",IF(OR(E766&lt;=0,L766=0),0,IF(OR(NOT(ISNUMBER(F766)),F766&lt;0),"",MIN(E766,INT(F766)))))</f>
        <v>0</v>
      </c>
      <c r="E766" s="27" t="n">
        <f>IF(OR(NOT(ISNUMBER(L766)),COUNT(M766:O766)&lt;&gt;3,MIN(M766:O766)&lt;0),"",ROUNDUP(ROUND(BI766-SUM(M766:O766),10),0))</f>
        <v>-9</v>
      </c>
      <c r="F766" s="28" t="n">
        <v>15</v>
      </c>
      <c r="G766" s="28" t="n">
        <f>IF(AND(ISNUMBER(D766),ISNUMBER(E766)),IF(OR(E766&lt;=0,L766=0),0,E766-D766),"")</f>
        <v>0</v>
      </c>
      <c r="H766" s="16" t="str">
        <f>IF(NOT(ISNUMBER(E766)),"销量或海外库存待补",IF(OR(E766&lt;=0,L766=0),IF(L766=0,"零日销，本批不发","本批无需补货"),IF(NOT(ISNUMBER(D766)),"国内库存待补",IF(D766=0,"国内无可用库存",IF(G766&gt;0,"先发国内现货","按建议量发货")))))</f>
        <v>本批无需补货</v>
      </c>
      <c r="I766" s="28" t="n">
        <f>IF(AND(COUNT(Z766,AA766,AB766)=3,Z766&gt;=AA766,AA766&gt;=0,AB766=7),Z766-AA766,"")</f>
        <v>0</v>
      </c>
      <c r="J766" s="28" t="n">
        <f>IF(AND(COUNT(AF766,AG766,AH766)=3,AF766&gt;=AG766,AG766&gt;=0,AH766=14),AF766-AG766,"")</f>
        <v>0</v>
      </c>
      <c r="K766" s="28" t="n">
        <f>IF(AND(COUNT(AL766,AM766,AN766)=3,AL766&gt;=AM766,AM766&gt;=0,AN766=30),AL766-AM766,"")</f>
        <v>2</v>
      </c>
      <c r="L766" s="29" t="n">
        <f>IF(ISNUMBER(BI766),BI766/90,"")</f>
        <v>0.043762062344994745</v>
      </c>
      <c r="M766" s="28" t="n">
        <v>12</v>
      </c>
      <c r="N766" s="28" t="n">
        <v>0</v>
      </c>
      <c r="O766" s="28" t="n">
        <v>0</v>
      </c>
      <c r="P766" s="30" t="n">
        <f>IF(AND(ISNUMBER(L766),L766&gt;0,COUNT(M766:O766)=3,MIN(M766:O766)&gt;=0),SUM(M766:O766)/L766,"")</f>
        <v>274.2101116121757</v>
      </c>
      <c r="Q766" s="16" t="str">
        <v>沿用原计划SKU店铺</v>
      </c>
      <c r="R766" s="16" t="str">
        <v>已匹配</v>
      </c>
      <c r="S766" s="16" t="str">
        <v>在售</v>
      </c>
      <c r="T766" s="16" t="str">
        <v>32582</v>
      </c>
      <c r="U766" s="16" t="str">
        <v>白色</v>
      </c>
      <c r="V766" s="16" t="n">
        <v>10</v>
      </c>
      <c r="W766" s="8" t="str">
        <v>2026-10-11 至 2026-10-17</v>
      </c>
      <c r="X766" s="8" t="str">
        <v>2026-10-11、2026-10-12、2026-10-13、2026-10-14、2026-10-15、2026-10-16、2026-10-17</v>
      </c>
      <c r="Y766" s="8" t="str">
        <v>无</v>
      </c>
      <c r="Z766" s="8" t="n">
        <v>0</v>
      </c>
      <c r="AA766" s="8" t="n">
        <v>0</v>
      </c>
      <c r="AB766" s="8" t="n">
        <v>7</v>
      </c>
      <c r="AC766" s="8" t="str">
        <v>2026-10-02 至 2026-10-17</v>
      </c>
      <c r="AD766" s="8" t="str">
        <v>2026-10-02、2026-10-03、2026-10-04、2026-10-05、2026-10-08、2026-10-09、2026-10-10、2026-10-11、2026-10-12、2026-10-13、2026-10-14、2026-10-15、2026-10-16、2026-10-17</v>
      </c>
      <c r="AE766" s="8" t="str">
        <v>2026-10-06 大促；2026-10-07 大促</v>
      </c>
      <c r="AF766" s="8" t="n">
        <v>0</v>
      </c>
      <c r="AG766" s="8" t="n">
        <v>0</v>
      </c>
      <c r="AH766" s="8" t="n">
        <v>14</v>
      </c>
      <c r="AI766" s="8" t="str">
        <v>2026-09-16 至 2026-10-17</v>
      </c>
      <c r="AJ7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6" s="8" t="str">
        <v>2026-10-06 大促；2026-10-07 大促</v>
      </c>
      <c r="AL766" s="8" t="n">
        <v>2</v>
      </c>
      <c r="AM766" s="8" t="n">
        <v>0</v>
      </c>
      <c r="AN766" s="8" t="n">
        <v>30</v>
      </c>
      <c r="AO766" s="8" t="str">
        <v>32582 / 白色PU / 6574</v>
      </c>
      <c r="AP766" s="11" t="n">
        <v>1.0395067087630607</v>
      </c>
      <c r="AQ766" s="11" t="n">
        <v>1.0395067087630607</v>
      </c>
      <c r="AR766" s="11" t="n">
        <v>1.0707336504782758</v>
      </c>
      <c r="AS766" s="11" t="n">
        <f>IF(AND(COUNT(I766:K766,AP766:AR766)=6,MIN(AP766:AR766)&gt;0),I766/7/AP766*0.5+J766/14/AQ766*0.3+K766/30/AR766*0.2,"")</f>
        <v>0.01245252106102913</v>
      </c>
      <c r="AT766" s="8" t="n">
        <v>7</v>
      </c>
      <c r="AU766" s="8" t="n">
        <v>0</v>
      </c>
      <c r="AV766" s="8" t="n">
        <v>88</v>
      </c>
      <c r="AW766" s="11" t="n">
        <f>IF(AND(COUNT(AT766:AV766)=3,AT766&gt;=AU766,AU766&gt;=0,AV766&gt;0),(AT766-AU766)/AV766,"")</f>
        <v>0.07954545454545454</v>
      </c>
      <c r="AX766" s="8" t="n">
        <v>8</v>
      </c>
      <c r="AY766" s="8" t="n">
        <v>0</v>
      </c>
      <c r="AZ766" s="8" t="n">
        <v>178</v>
      </c>
      <c r="BA766" s="11" t="n">
        <f>IF(AND(COUNT(AX766:AZ766)=3,AX766&gt;=AY766,AY766&gt;=0,AZ766&gt;0),(AX766-AY766)/AZ766,"")</f>
        <v>0.0449438202247191</v>
      </c>
      <c r="BB766" s="8" t="n">
        <f>IF(COUNT(AS766,AW766,BA766)=3,1,0)</f>
        <v>1</v>
      </c>
      <c r="BC766" s="11" t="n">
        <f>IF(SUMIF($AO$11:$AO$1309,AO766,$BB$11:$BB$1309)=COUNTIF($AO$11:$AO$1309,AO766),SUMIF($AO$11:$AO$1309,AO766,$AS$11:$AS$1309),"")</f>
        <v>0.2196594699483032</v>
      </c>
      <c r="BD766" s="11" t="n">
        <f>IF(SUMIF($AO$11:$AO$1309,AO766,$BB$11:$BB$1309)=COUNTIF($AO$11:$AO$1309,AO766),SUMIF($AO$11:$AO$1309,AO766,$AW$11:$AW$1309),"")</f>
        <v>0.36363636363636365</v>
      </c>
      <c r="BE766" s="11" t="n">
        <f>IF(SUMIF($AO$11:$AO$1309,AO766,$BB$11:$BB$1309)=COUNTIF($AO$11:$AO$1309,AO766),SUMIF($AO$11:$AO$1309,AO766,$BA$11:$BA$1309),"")</f>
        <v>0.2696629213483146</v>
      </c>
      <c r="BF766" s="12" t="n">
        <f>IF(COUNT(BD766:BE766)&lt;&gt;2,"",IF(AND(BD766&gt;0,BE766&gt;0),0.7*AW766/BD766+0.3*BA766/BE766,IF(BD766&gt;0,AW766/BD766,IF(BE766&gt;0,BA766/BE766,IF(AND(ISNUMBER(BH766),BH766=0),0,"")))))</f>
        <v>0.20312499999999997</v>
      </c>
      <c r="BG766" s="11" t="n">
        <f>IF(AND(COUNT(BN766:BU766)=8,MIN(BN766:BU766)&gt;=0),SUMPRODUCT(BN766:BQ766,BR766:BU766),"")</f>
        <v>88.27281580841549</v>
      </c>
      <c r="BH766" s="11" t="n">
        <f>IF(COUNT(BC766,BG766)=2,BC766*BG766,"")</f>
        <v>19.389959931320746</v>
      </c>
      <c r="BI766" s="11" t="n">
        <f>IF(ISNUMBER(CI766),CI766,"")</f>
        <v>3.938585611049527</v>
      </c>
      <c r="BJ766" s="8" t="str">
        <v>近180天本色销量49双（＜90），无有效新采购，请运营判断</v>
      </c>
      <c r="BK766" s="8" t="str">
        <v>90天：2026-07-20 至 2026-10-17；180天：2026-04-21 至 2026-10-17</v>
      </c>
      <c r="BL766" s="8" t="str">
        <v>90天：2026-10-06、2026-10-07；180天：2026-10-06、2026-10-07</v>
      </c>
      <c r="BM766" s="8" t="str">
        <v>2026-10：12天 × 1.0395067087630607；2026-11：30天 × 0.9890368360033146；2026-12：31天 × 0.7800796503018808；2027-01：17天 × 1.2908918272824135</v>
      </c>
      <c r="BN766" s="11" t="n">
        <v>1.0395067087630607</v>
      </c>
      <c r="BO766" s="11" t="n">
        <v>0.9890368360033146</v>
      </c>
      <c r="BP766" s="11" t="n">
        <v>0.7800796503018808</v>
      </c>
      <c r="BQ766" s="11" t="n">
        <v>1.2908918272824135</v>
      </c>
      <c r="BR766" s="8" t="n">
        <v>12</v>
      </c>
      <c r="BS766" s="8" t="n">
        <v>30</v>
      </c>
      <c r="BT766" s="8" t="n">
        <v>31</v>
      </c>
      <c r="BU766" s="8" t="n">
        <v>17</v>
      </c>
      <c r="BV766" s="11" t="n">
        <f>IF(COUNT(BC766,BF766)=2,BC766*BF766,"")</f>
        <v>0.044618329833249086</v>
      </c>
      <c r="BW766" s="11" t="n">
        <f>IF(ISNUMBER(BN766),BN766,"")</f>
        <v>1.0395067087630607</v>
      </c>
      <c r="BX766" s="14" t="n">
        <f>IF(ISNUMBER(BR766),BR766,"")</f>
        <v>12</v>
      </c>
      <c r="BY766" s="13" t="n">
        <f>IF(AND(COUNT(BV766,BW766,BX766)=3,MIN(BV766,BW766,BX766)&gt;=0),BV766*BW766*BX766,"")</f>
        <v>0.5565726383455853</v>
      </c>
      <c r="BZ766" s="11" t="n">
        <f>IF(ISNUMBER(BO766),BO766,"")</f>
        <v>0.9890368360033146</v>
      </c>
      <c r="CA766" s="14" t="n">
        <f>IF(ISNUMBER(BS766),BS766,"")</f>
        <v>30</v>
      </c>
      <c r="CB766" s="13" t="n">
        <f>IF(AND(COUNT(BV766,BZ766,CA766)=3,MIN(BV766,BZ766,CA766)&gt;=0),BV766*BZ766*CA766,"")</f>
        <v>1.3238751529808694</v>
      </c>
      <c r="CC766" s="11" t="n">
        <f>IF(ISNUMBER(BP766),BP766,"")</f>
        <v>0.7800796503018808</v>
      </c>
      <c r="CD766" s="14" t="n">
        <f>IF(ISNUMBER(BT766),BT766,"")</f>
        <v>31</v>
      </c>
      <c r="CE766" s="13" t="n">
        <f>IF(AND(COUNT(BV766,CC766,CD766)=3,MIN(BV766,CC766,CD766)&gt;=0),BV766*CC766*CD766,"")</f>
        <v>1.0789813851346226</v>
      </c>
      <c r="CF766" s="11" t="n">
        <f>IF(ISNUMBER(BQ766),BQ766,"")</f>
        <v>1.2908918272824135</v>
      </c>
      <c r="CG766" s="14" t="n">
        <f>IF(ISNUMBER(BU766),BU766,"")</f>
        <v>17</v>
      </c>
      <c r="CH766" s="13" t="n">
        <f>IF(AND(COUNT(BV766,CF766,CG766)=3,MIN(BV766,CF766,CG766)&gt;=0),BV766*CF766*CG766,"")</f>
        <v>0.9791564345884497</v>
      </c>
      <c r="CI766" s="13" t="n">
        <f>IF(COUNT(BY766,CB766,CE766,CH766)=4,SUM(BY766,CB766,CE766,CH766),"")</f>
        <v>3.938585611049527</v>
      </c>
    </row>
    <row r="767" ht="72" customHeight="1">
      <c r="A767" s="16" t="str">
        <v>32582-WT0P-42</v>
      </c>
      <c r="B767" s="16" t="str">
        <v>3店-SANDIEX-US</v>
      </c>
      <c r="C767" s="16" t="str">
        <v>徐新怡</v>
      </c>
      <c r="D767" s="26" t="n">
        <f>IF(NOT(ISNUMBER(E767)),"",IF(OR(E767&lt;=0,L767=0),0,IF(OR(NOT(ISNUMBER(F767)),F767&lt;0),"",MIN(E767,INT(F767)))))</f>
        <v>0</v>
      </c>
      <c r="E767" s="27" t="n">
        <f>IF(OR(NOT(ISNUMBER(L767)),COUNT(M767:O767)&lt;&gt;3,MIN(M767:O767)&lt;0),"",ROUNDUP(ROUND(BI767-SUM(M767:O767),10),0))</f>
        <v>-5</v>
      </c>
      <c r="F767" s="28" t="n">
        <v>7</v>
      </c>
      <c r="G767" s="28" t="n">
        <f>IF(AND(ISNUMBER(D767),ISNUMBER(E767)),IF(OR(E767&lt;=0,L767=0),0,E767-D767),"")</f>
        <v>0</v>
      </c>
      <c r="H767" s="16" t="str">
        <f>IF(NOT(ISNUMBER(E767)),"销量或海外库存待补",IF(OR(E767&lt;=0,L767=0),IF(L767=0,"零日销，本批不发","本批无需补货"),IF(NOT(ISNUMBER(D767)),"国内库存待补",IF(D767=0,"国内无可用库存",IF(G767&gt;0,"先发国内现货","按建议量发货")))))</f>
        <v>本批无需补货</v>
      </c>
      <c r="I767" s="28" t="n">
        <f>IF(AND(COUNT(Z767,AA767,AB767)=3,Z767&gt;=AA767,AA767&gt;=0,AB767=7),Z767-AA767,"")</f>
        <v>1</v>
      </c>
      <c r="J767" s="28" t="n">
        <f>IF(AND(COUNT(AF767,AG767,AH767)=3,AF767&gt;=AG767,AG767&gt;=0,AH767=14),AF767-AG767,"")</f>
        <v>2</v>
      </c>
      <c r="K767" s="28" t="n">
        <f>IF(AND(COUNT(AL767,AM767,AN767)=3,AL767&gt;=AM767,AM767&gt;=0,AN767=30),AL767-AM767,"")</f>
        <v>3</v>
      </c>
      <c r="L767" s="29" t="n">
        <f>IF(ISNUMBER(BI767),BI767/90,"")</f>
        <v>0.019524612430843805</v>
      </c>
      <c r="M767" s="28" t="n">
        <v>6</v>
      </c>
      <c r="N767" s="28" t="n">
        <v>0</v>
      </c>
      <c r="O767" s="28" t="n">
        <v>0</v>
      </c>
      <c r="P767" s="30" t="n">
        <f>IF(AND(ISNUMBER(L767),L767&gt;0,COUNT(M767:O767)=3,MIN(M767:O767)&gt;=0),SUM(M767:O767)/L767,"")</f>
        <v>307.30443542743836</v>
      </c>
      <c r="Q767" s="16" t="str">
        <v>沿用原计划SKU店铺</v>
      </c>
      <c r="R767" s="16" t="str">
        <v>已匹配</v>
      </c>
      <c r="S767" s="16" t="str">
        <v>在售</v>
      </c>
      <c r="T767" s="16" t="str">
        <v>32582</v>
      </c>
      <c r="U767" s="16" t="str">
        <v>白色</v>
      </c>
      <c r="V767" s="16" t="n">
        <v>11</v>
      </c>
      <c r="W767" s="8" t="str">
        <v>2026-10-11 至 2026-10-17</v>
      </c>
      <c r="X767" s="8" t="str">
        <v>2026-10-11、2026-10-12、2026-10-13、2026-10-14、2026-10-15、2026-10-16、2026-10-17</v>
      </c>
      <c r="Y767" s="8" t="str">
        <v>无</v>
      </c>
      <c r="Z767" s="8" t="n">
        <v>1</v>
      </c>
      <c r="AA767" s="8" t="n">
        <v>0</v>
      </c>
      <c r="AB767" s="8" t="n">
        <v>7</v>
      </c>
      <c r="AC767" s="8" t="str">
        <v>2026-10-02 至 2026-10-17</v>
      </c>
      <c r="AD767" s="8" t="str">
        <v>2026-10-02、2026-10-03、2026-10-04、2026-10-05、2026-10-08、2026-10-09、2026-10-10、2026-10-11、2026-10-12、2026-10-13、2026-10-14、2026-10-15、2026-10-16、2026-10-17</v>
      </c>
      <c r="AE767" s="8" t="str">
        <v>2026-10-06 大促；2026-10-07 大促</v>
      </c>
      <c r="AF767" s="8" t="n">
        <v>2</v>
      </c>
      <c r="AG767" s="8" t="n">
        <v>0</v>
      </c>
      <c r="AH767" s="8" t="n">
        <v>14</v>
      </c>
      <c r="AI767" s="8" t="str">
        <v>2026-09-16 至 2026-10-17</v>
      </c>
      <c r="AJ7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7" s="8" t="str">
        <v>2026-10-06 大促；2026-10-07 大促</v>
      </c>
      <c r="AL767" s="8" t="n">
        <v>3</v>
      </c>
      <c r="AM767" s="8" t="n">
        <v>0</v>
      </c>
      <c r="AN767" s="8" t="n">
        <v>30</v>
      </c>
      <c r="AO767" s="8" t="str">
        <v>32582 / 白色PU / 6574</v>
      </c>
      <c r="AP767" s="11" t="n">
        <v>1.0395067087630607</v>
      </c>
      <c r="AQ767" s="11" t="n">
        <v>1.0395067087630607</v>
      </c>
      <c r="AR767" s="11" t="n">
        <v>1.0707336504782758</v>
      </c>
      <c r="AS767" s="11" t="n">
        <f>IF(AND(COUNT(I767:K767,AP767:AR767)=6,MIN(AP767:AR767)&gt;0),I767/7/AP767*0.5+J767/14/AQ767*0.3+K767/30/AR767*0.2,"")</f>
        <v>0.12862103912801132</v>
      </c>
      <c r="AT767" s="8" t="n">
        <v>3</v>
      </c>
      <c r="AU767" s="8" t="n">
        <v>0</v>
      </c>
      <c r="AV767" s="8" t="n">
        <v>88</v>
      </c>
      <c r="AW767" s="11" t="n">
        <f>IF(AND(COUNT(AT767:AV767)=3,AT767&gt;=AU767,AU767&gt;=0,AV767&gt;0),(AT767-AU767)/AV767,"")</f>
        <v>0.03409090909090909</v>
      </c>
      <c r="AX767" s="8" t="n">
        <v>4</v>
      </c>
      <c r="AY767" s="8" t="n">
        <v>0</v>
      </c>
      <c r="AZ767" s="8" t="n">
        <v>178</v>
      </c>
      <c r="BA767" s="11" t="n">
        <f>IF(AND(COUNT(AX767:AZ767)=3,AX767&gt;=AY767,AY767&gt;=0,AZ767&gt;0),(AX767-AY767)/AZ767,"")</f>
        <v>0.02247191011235955</v>
      </c>
      <c r="BB767" s="8" t="n">
        <f>IF(COUNT(AS767,AW767,BA767)=3,1,0)</f>
        <v>1</v>
      </c>
      <c r="BC767" s="11" t="n">
        <f>IF(SUMIF($AO$11:$AO$1309,AO767,$BB$11:$BB$1309)=COUNTIF($AO$11:$AO$1309,AO767),SUMIF($AO$11:$AO$1309,AO767,$AS$11:$AS$1309),"")</f>
        <v>0.2196594699483032</v>
      </c>
      <c r="BD767" s="11" t="n">
        <f>IF(SUMIF($AO$11:$AO$1309,AO767,$BB$11:$BB$1309)=COUNTIF($AO$11:$AO$1309,AO767),SUMIF($AO$11:$AO$1309,AO767,$AW$11:$AW$1309),"")</f>
        <v>0.36363636363636365</v>
      </c>
      <c r="BE767" s="11" t="n">
        <f>IF(SUMIF($AO$11:$AO$1309,AO767,$BB$11:$BB$1309)=COUNTIF($AO$11:$AO$1309,AO767),SUMIF($AO$11:$AO$1309,AO767,$BA$11:$BA$1309),"")</f>
        <v>0.2696629213483146</v>
      </c>
      <c r="BF767" s="12" t="n">
        <f>IF(COUNT(BD767:BE767)&lt;&gt;2,"",IF(AND(BD767&gt;0,BE767&gt;0),0.7*AW767/BD767+0.3*BA767/BE767,IF(BD767&gt;0,AW767/BD767,IF(BE767&gt;0,BA767/BE767,IF(AND(ISNUMBER(BH767),BH767=0),0,"")))))</f>
        <v>0.09062499999999998</v>
      </c>
      <c r="BG767" s="11" t="n">
        <f>IF(AND(COUNT(BN767:BU767)=8,MIN(BN767:BU767)&gt;=0),SUMPRODUCT(BN767:BQ767,BR767:BU767),"")</f>
        <v>88.27281580841549</v>
      </c>
      <c r="BH767" s="11" t="n">
        <f>IF(COUNT(BC767,BG767)=2,BC767*BG767,"")</f>
        <v>19.389959931320746</v>
      </c>
      <c r="BI767" s="11" t="n">
        <f>IF(ISNUMBER(CI767),CI767,"")</f>
        <v>1.7572151187759426</v>
      </c>
      <c r="BJ767" s="8" t="str">
        <v>近180天本色销量49双（＜90），无有效新采购，请运营判断</v>
      </c>
      <c r="BK767" s="8" t="str">
        <v>90天：2026-07-20 至 2026-10-17；180天：2026-04-21 至 2026-10-17</v>
      </c>
      <c r="BL767" s="8" t="str">
        <v>90天：2026-10-06、2026-10-07；180天：2026-10-06、2026-10-07</v>
      </c>
      <c r="BM767" s="8" t="str">
        <v>2026-10：12天 × 1.0395067087630607；2026-11：30天 × 0.9890368360033146；2026-12：31天 × 0.7800796503018808；2027-01：17天 × 1.2908918272824135</v>
      </c>
      <c r="BN767" s="11" t="n">
        <v>1.0395067087630607</v>
      </c>
      <c r="BO767" s="11" t="n">
        <v>0.9890368360033146</v>
      </c>
      <c r="BP767" s="11" t="n">
        <v>0.7800796503018808</v>
      </c>
      <c r="BQ767" s="11" t="n">
        <v>1.2908918272824135</v>
      </c>
      <c r="BR767" s="8" t="n">
        <v>12</v>
      </c>
      <c r="BS767" s="8" t="n">
        <v>30</v>
      </c>
      <c r="BT767" s="8" t="n">
        <v>31</v>
      </c>
      <c r="BU767" s="8" t="n">
        <v>17</v>
      </c>
      <c r="BV767" s="11" t="n">
        <f>IF(COUNT(BC767,BF767)=2,BC767*BF767,"")</f>
        <v>0.019906639464064974</v>
      </c>
      <c r="BW767" s="11" t="n">
        <f>IF(ISNUMBER(BN767),BN767,"")</f>
        <v>1.0395067087630607</v>
      </c>
      <c r="BX767" s="14" t="n">
        <f>IF(ISNUMBER(BR767),BR767,"")</f>
        <v>12</v>
      </c>
      <c r="BY767" s="13" t="n">
        <f>IF(AND(COUNT(BV767,BW767,BX767)=3,MIN(BV767,BW767,BX767)&gt;=0),BV767*BW767*BX767,"")</f>
        <v>0.2483170232618765</v>
      </c>
      <c r="BZ767" s="11" t="n">
        <f>IF(ISNUMBER(BO767),BO767,"")</f>
        <v>0.9890368360033146</v>
      </c>
      <c r="CA767" s="14" t="n">
        <f>IF(ISNUMBER(BS767),BS767,"")</f>
        <v>30</v>
      </c>
      <c r="CB767" s="13" t="n">
        <f>IF(AND(COUNT(BV767,BZ767,CA767)=3,MIN(BV767,BZ767,CA767)&gt;=0),BV767*BZ767*CA767,"")</f>
        <v>0.5906519913299262</v>
      </c>
      <c r="CC767" s="11" t="n">
        <f>IF(ISNUMBER(BP767),BP767,"")</f>
        <v>0.7800796503018808</v>
      </c>
      <c r="CD767" s="14" t="n">
        <f>IF(ISNUMBER(BT767),BT767,"")</f>
        <v>31</v>
      </c>
      <c r="CE767" s="13" t="n">
        <f>IF(AND(COUNT(BV767,CC767,CD767)=3,MIN(BV767,CC767,CD767)&gt;=0),BV767*CC767*CD767,"")</f>
        <v>0.48139169490621614</v>
      </c>
      <c r="CF767" s="11" t="n">
        <f>IF(ISNUMBER(BQ767),BQ767,"")</f>
        <v>1.2908918272824135</v>
      </c>
      <c r="CG767" s="14" t="n">
        <f>IF(ISNUMBER(BU767),BU767,"")</f>
        <v>17</v>
      </c>
      <c r="CH767" s="13" t="n">
        <f>IF(AND(COUNT(BV767,CF767,CG767)=3,MIN(BV767,CF767,CG767)&gt;=0),BV767*CF767*CG767,"")</f>
        <v>0.4368544092779237</v>
      </c>
      <c r="CI767" s="13" t="n">
        <f>IF(COUNT(BY767,CB767,CE767,CH767)=4,SUM(BY767,CB767,CE767,CH767),"")</f>
        <v>1.7572151187759426</v>
      </c>
    </row>
    <row r="768" ht="72" customHeight="1">
      <c r="A768" s="16" t="str">
        <v>60516-BK-S-K-10.5</v>
      </c>
      <c r="B768" s="16" t="str">
        <v>3店-SANDIEX-US</v>
      </c>
      <c r="C768" s="16" t="str">
        <v>徐新怡</v>
      </c>
      <c r="D768" s="26" t="n">
        <f>IF(NOT(ISNUMBER(E768)),"",IF(OR(E768&lt;=0,L768=0),0,IF(OR(NOT(ISNUMBER(F768)),F768&lt;0),"",MIN(E768,INT(F768)))))</f>
        <v>0</v>
      </c>
      <c r="E768" s="27" t="n">
        <f>IF(OR(NOT(ISNUMBER(L768)),COUNT(M768:O768)&lt;&gt;3,MIN(M768:O768)&lt;0),"",ROUNDUP(ROUND(BI768-SUM(M768:O768),10),0))</f>
        <v>0</v>
      </c>
      <c r="F768" s="28" t="n">
        <v>0</v>
      </c>
      <c r="G768" s="28" t="n">
        <f>IF(AND(ISNUMBER(D768),ISNUMBER(E768)),IF(OR(E768&lt;=0,L768=0),0,E768-D768),"")</f>
        <v>0</v>
      </c>
      <c r="H768" s="16" t="str">
        <f>IF(NOT(ISNUMBER(E768)),"销量或海外库存待补",IF(OR(E768&lt;=0,L768=0),IF(L768=0,"零日销，本批不发","本批无需补货"),IF(NOT(ISNUMBER(D768)),"国内库存待补",IF(D768=0,"国内无可用库存",IF(G768&gt;0,"先发国内现货","按建议量发货")))))</f>
        <v>零日销，本批不发</v>
      </c>
      <c r="I768" s="28" t="n">
        <f>IF(AND(COUNT(Z768,AA768,AB768)=3,Z768&gt;=AA768,AA768&gt;=0,AB768=7),Z768-AA768,"")</f>
        <v>0</v>
      </c>
      <c r="J768" s="28" t="n">
        <f>IF(AND(COUNT(AF768,AG768,AH768)=3,AF768&gt;=AG768,AG768&gt;=0,AH768=14),AF768-AG768,"")</f>
        <v>0</v>
      </c>
      <c r="K768" s="28" t="n">
        <f>IF(AND(COUNT(AL768,AM768,AN768)=3,AL768&gt;=AM768,AM768&gt;=0,AN768=30),AL768-AM768,"")</f>
        <v>0</v>
      </c>
      <c r="L768" s="29" t="n">
        <f>IF(ISNUMBER(BI768),BI768/90,"")</f>
        <v>0</v>
      </c>
      <c r="M768" s="28" t="n">
        <v>0</v>
      </c>
      <c r="N768" s="28" t="n">
        <v>0</v>
      </c>
      <c r="O768" s="28" t="n">
        <v>0</v>
      </c>
      <c r="P768" s="30" t="str">
        <f>IF(AND(ISNUMBER(L768),L768&gt;0,COUNT(M768:O768)=3,MIN(M768:O768)&gt;=0),SUM(M768:O768)/L768,"")</f>
      </c>
      <c r="Q768" s="16" t="str">
        <v>按本SKU唯一未删除Listing店铺核实</v>
      </c>
      <c r="R768" s="16" t="str">
        <v>已匹配</v>
      </c>
      <c r="S768" s="16" t="str">
        <v>停售</v>
      </c>
      <c r="T768" s="16" t="str">
        <v>60516</v>
      </c>
      <c r="U768" s="16" t="str">
        <v>黑色</v>
      </c>
      <c r="V768" s="16" t="n">
        <v>10.5</v>
      </c>
      <c r="W768" s="8" t="str">
        <v>2026-10-08 至 2026-10-17</v>
      </c>
      <c r="X768" s="8" t="str">
        <v>2026-10-08、2026-10-09、2026-10-10、2026-10-11、2026-10-14、2026-10-15、2026-10-17</v>
      </c>
      <c r="Y768" s="8" t="str">
        <v>2026-10-12 有记录的停售日；2026-10-13 有记录的停售日；2026-10-16 有记录的停售日</v>
      </c>
      <c r="Z768" s="8" t="n">
        <v>0</v>
      </c>
      <c r="AA768" s="8" t="n">
        <v>0</v>
      </c>
      <c r="AB768" s="8" t="n">
        <v>7</v>
      </c>
      <c r="AC768" s="8" t="str">
        <v>2026-09-29 至 2026-10-17</v>
      </c>
      <c r="AD768" s="8" t="str">
        <v>2026-09-29、2026-09-30、2026-10-01、2026-10-02、2026-10-03、2026-10-04、2026-10-05、2026-10-08、2026-10-09、2026-10-10、2026-10-11、2026-10-14、2026-10-15、2026-10-17</v>
      </c>
      <c r="AE768" s="8" t="str">
        <v>2026-10-06 大促；2026-10-07 大促；2026-10-12 有记录的停售日；2026-10-13 有记录的停售日；2026-10-16 有记录的停售日</v>
      </c>
      <c r="AF768" s="8" t="n">
        <v>0</v>
      </c>
      <c r="AG768" s="8" t="n">
        <v>0</v>
      </c>
      <c r="AH768" s="8" t="n">
        <v>14</v>
      </c>
      <c r="AI768" s="8" t="str">
        <v>2026-09-13 至 2026-10-17</v>
      </c>
      <c r="AJ76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68" s="8" t="str">
        <v>2026-10-06 大促；2026-10-07 大促；2026-10-12 有记录的停售日；2026-10-13 有记录的停售日；2026-10-16 有记录的停售日</v>
      </c>
      <c r="AL768" s="8" t="n">
        <v>0</v>
      </c>
      <c r="AM768" s="8" t="n">
        <v>0</v>
      </c>
      <c r="AN768" s="8" t="n">
        <v>30</v>
      </c>
      <c r="AO768" s="8" t="str">
        <v>60516 / 黑色羊京绒 / 6574</v>
      </c>
      <c r="AP768" s="11" t="n">
        <v>1.8609238953732312</v>
      </c>
      <c r="AQ768" s="11" t="n">
        <v>1.832044958686392</v>
      </c>
      <c r="AR768" s="11" t="n">
        <v>1.7396323612885067</v>
      </c>
      <c r="AS768" s="11" t="n">
        <f>IF(AND(COUNT(I768:K768,AP768:AR768)=6,MIN(AP768:AR768)&gt;0),I768/7/AP768*0.5+J768/14/AQ768*0.3+K768/30/AR768*0.2,"")</f>
        <v>0</v>
      </c>
      <c r="AT768" s="8" t="n">
        <v>0</v>
      </c>
      <c r="AU768" s="8" t="n">
        <v>0</v>
      </c>
      <c r="AV768" s="8" t="n">
        <v>85</v>
      </c>
      <c r="AW768" s="11" t="n">
        <f>IF(AND(COUNT(AT768:AV768)=3,AT768&gt;=AU768,AU768&gt;=0,AV768&gt;0),(AT768-AU768)/AV768,"")</f>
        <v>0</v>
      </c>
      <c r="AX768" s="8" t="n">
        <v>0</v>
      </c>
      <c r="AY768" s="8" t="n">
        <v>0</v>
      </c>
      <c r="AZ768" s="8" t="n">
        <v>175</v>
      </c>
      <c r="BA768" s="11" t="n">
        <f>IF(AND(COUNT(AX768:AZ768)=3,AX768&gt;=AY768,AY768&gt;=0,AZ768&gt;0),(AX768-AY768)/AZ768,"")</f>
        <v>0</v>
      </c>
      <c r="BB768" s="8" t="n">
        <f>IF(COUNT(AS768,AW768,BA768)=3,1,0)</f>
        <v>1</v>
      </c>
      <c r="BC768" s="11" t="n">
        <f>IF(SUMIF($AO$11:$AO$1309,AO768,$BB$11:$BB$1309)=COUNTIF($AO$11:$AO$1309,AO768),SUMIF($AO$11:$AO$1309,AO768,$AS$11:$AS$1309),"")</f>
        <v>3.0362329919441002</v>
      </c>
      <c r="BD768" s="11" t="n">
        <f>IF(SUMIF($AO$11:$AO$1309,AO768,$BB$11:$BB$1309)=COUNTIF($AO$11:$AO$1309,AO768),SUMIF($AO$11:$AO$1309,AO768,$AW$11:$AW$1309),"")</f>
        <v>2.9545454545454546</v>
      </c>
      <c r="BE768" s="11" t="n">
        <f>IF(SUMIF($AO$11:$AO$1309,AO768,$BB$11:$BB$1309)=COUNTIF($AO$11:$AO$1309,AO768),SUMIF($AO$11:$AO$1309,AO768,$BA$11:$BA$1309),"")</f>
        <v>2.169502407704655</v>
      </c>
      <c r="BF768" s="12" t="n">
        <f>IF(COUNT(BD768:BE768)&lt;&gt;2,"",IF(AND(BD768&gt;0,BE768&gt;0),0.7*AW768/BD768+0.3*BA768/BE768,IF(BD768&gt;0,AW768/BD768,IF(BE768&gt;0,BA768/BE768,IF(AND(ISNUMBER(BH768),BH768=0),0,"")))))</f>
        <v>0</v>
      </c>
      <c r="BG768" s="11" t="n">
        <f>IF(AND(COUNT(BN768:BU768)=8,MIN(BN768:BU768)&gt;=0),SUMPRODUCT(BN768:BQ768,BR768:BU768),"")</f>
        <v>109.73769409574882</v>
      </c>
      <c r="BH768" s="11" t="n">
        <f>IF(COUNT(BC768,BG768)=2,BC768*BG768,"")</f>
        <v>333.18920727338184</v>
      </c>
      <c r="BI768" s="11" t="n">
        <f>IF(ISNUMBER(CI768),CI768,"")</f>
        <v>0</v>
      </c>
      <c r="BJ768" s="8" t="str"/>
      <c r="BK768" s="8" t="str">
        <v>90天：2026-07-20 至 2026-10-17；180天：2026-04-21 至 2026-10-17</v>
      </c>
      <c r="BL768" s="8" t="str">
        <v>90天：2026-10-06、2026-10-07、2026-10-12、2026-10-13、2026-10-16；180天：2026-10-06、2026-10-07、2026-10-12、2026-10-13、2026-10-16</v>
      </c>
      <c r="BM768" s="8" t="str">
        <v>2026-10：12天 × 1.8609238953732312；2026-11：30天 × 1.438375649833085；2026-12：31天 × 0.9519742599124907；2027-01：17天 × 0.8673021058229575</v>
      </c>
      <c r="BN768" s="11" t="n">
        <v>1.8609238953732312</v>
      </c>
      <c r="BO768" s="11" t="n">
        <v>1.438375649833085</v>
      </c>
      <c r="BP768" s="11" t="n">
        <v>0.9519742599124907</v>
      </c>
      <c r="BQ768" s="11" t="n">
        <v>0.8673021058229575</v>
      </c>
      <c r="BR768" s="8" t="n">
        <v>12</v>
      </c>
      <c r="BS768" s="8" t="n">
        <v>30</v>
      </c>
      <c r="BT768" s="8" t="n">
        <v>31</v>
      </c>
      <c r="BU768" s="8" t="n">
        <v>17</v>
      </c>
      <c r="BV768" s="11" t="n">
        <f>IF(COUNT(BC768,BF768)=2,BC768*BF768,"")</f>
        <v>0</v>
      </c>
      <c r="BW768" s="11" t="n">
        <f>IF(ISNUMBER(BN768),BN768,"")</f>
        <v>1.8609238953732312</v>
      </c>
      <c r="BX768" s="14" t="n">
        <f>IF(ISNUMBER(BR768),BR768,"")</f>
        <v>12</v>
      </c>
      <c r="BY768" s="13" t="n">
        <f>IF(AND(COUNT(BV768,BW768,BX768)=3,MIN(BV768,BW768,BX768)&gt;=0),BV768*BW768*BX768,"")</f>
        <v>0</v>
      </c>
      <c r="BZ768" s="11" t="n">
        <f>IF(ISNUMBER(BO768),BO768,"")</f>
        <v>1.438375649833085</v>
      </c>
      <c r="CA768" s="14" t="n">
        <f>IF(ISNUMBER(BS768),BS768,"")</f>
        <v>30</v>
      </c>
      <c r="CB768" s="13" t="n">
        <f>IF(AND(COUNT(BV768,BZ768,CA768)=3,MIN(BV768,BZ768,CA768)&gt;=0),BV768*BZ768*CA768,"")</f>
        <v>0</v>
      </c>
      <c r="CC768" s="11" t="n">
        <f>IF(ISNUMBER(BP768),BP768,"")</f>
        <v>0.9519742599124907</v>
      </c>
      <c r="CD768" s="14" t="n">
        <f>IF(ISNUMBER(BT768),BT768,"")</f>
        <v>31</v>
      </c>
      <c r="CE768" s="13" t="n">
        <f>IF(AND(COUNT(BV768,CC768,CD768)=3,MIN(BV768,CC768,CD768)&gt;=0),BV768*CC768*CD768,"")</f>
        <v>0</v>
      </c>
      <c r="CF768" s="11" t="n">
        <f>IF(ISNUMBER(BQ768),BQ768,"")</f>
        <v>0.8673021058229575</v>
      </c>
      <c r="CG768" s="14" t="n">
        <f>IF(ISNUMBER(BU768),BU768,"")</f>
        <v>17</v>
      </c>
      <c r="CH768" s="13" t="n">
        <f>IF(AND(COUNT(BV768,CF768,CG768)=3,MIN(BV768,CF768,CG768)&gt;=0),BV768*CF768*CG768,"")</f>
        <v>0</v>
      </c>
      <c r="CI768" s="13" t="n">
        <f>IF(COUNT(BY768,CB768,CE768,CH768)=4,SUM(BY768,CB768,CE768,CH768),"")</f>
        <v>0</v>
      </c>
    </row>
    <row r="769" ht="72" customHeight="1">
      <c r="A769" s="16" t="str">
        <v>60516-BK-S-K-6</v>
      </c>
      <c r="B769" s="16" t="str">
        <v>3店-SANDIEX-US</v>
      </c>
      <c r="C769" s="16" t="str">
        <v>徐新怡</v>
      </c>
      <c r="D769" s="26" t="n">
        <f>IF(NOT(ISNUMBER(E769)),"",IF(OR(E769&lt;=0,L769=0),0,IF(OR(NOT(ISNUMBER(F769)),F769&lt;0),"",MIN(E769,INT(F769)))))</f>
        <v>0</v>
      </c>
      <c r="E769" s="27" t="n">
        <f>IF(OR(NOT(ISNUMBER(L769)),COUNT(M769:O769)&lt;&gt;3,MIN(M769:O769)&lt;0),"",ROUNDUP(ROUND(BI769-SUM(M769:O769),10),0))</f>
        <v>-37</v>
      </c>
      <c r="F769" s="28" t="n">
        <v>40</v>
      </c>
      <c r="G769" s="28" t="n">
        <f>IF(AND(ISNUMBER(D769),ISNUMBER(E769)),IF(OR(E769&lt;=0,L769=0),0,E769-D769),"")</f>
        <v>0</v>
      </c>
      <c r="H769" s="16" t="str">
        <f>IF(NOT(ISNUMBER(E769)),"销量或海外库存待补",IF(OR(E769&lt;=0,L769=0),IF(L769=0,"零日销，本批不发","本批无需补货"),IF(NOT(ISNUMBER(D769)),"国内库存待补",IF(D769=0,"国内无可用库存",IF(G769&gt;0,"先发国内现货","按建议量发货")))))</f>
        <v>本批无需补货</v>
      </c>
      <c r="I769" s="28" t="n">
        <f>IF(AND(COUNT(Z769,AA769,AB769)=3,Z769&gt;=AA769,AA769&gt;=0,AB769=7),Z769-AA769,"")</f>
        <v>0</v>
      </c>
      <c r="J769" s="28" t="n">
        <f>IF(AND(COUNT(AF769,AG769,AH769)=3,AF769&gt;=AG769,AG769&gt;=0,AH769=14),AF769-AG769,"")</f>
        <v>2</v>
      </c>
      <c r="K769" s="28" t="n">
        <f>IF(AND(COUNT(AL769,AM769,AN769)=3,AL769&gt;=AM769,AM769&gt;=0,AN769=30),AL769-AM769,"")</f>
        <v>5</v>
      </c>
      <c r="L769" s="29" t="n">
        <f>IF(ISNUMBER(BI769),BI769/90,"")</f>
        <v>0.10562162680743796</v>
      </c>
      <c r="M769" s="28" t="n">
        <v>46</v>
      </c>
      <c r="N769" s="28" t="n">
        <v>0</v>
      </c>
      <c r="O769" s="28" t="n">
        <v>0</v>
      </c>
      <c r="P769" s="30" t="n">
        <f>IF(AND(ISNUMBER(L769),L769&gt;0,COUNT(M769:O769)=3,MIN(M769:O769)&gt;=0),SUM(M769:O769)/L769,"")</f>
        <v>435.5168670509499</v>
      </c>
      <c r="Q769" s="16" t="str">
        <v>沿用原计划SKU店铺</v>
      </c>
      <c r="R769" s="16" t="str">
        <v>已匹配</v>
      </c>
      <c r="S769" s="16" t="str">
        <v>在售</v>
      </c>
      <c r="T769" s="16" t="str">
        <v>60516</v>
      </c>
      <c r="U769" s="16" t="str">
        <v>黑色</v>
      </c>
      <c r="V769" s="16" t="n">
        <v>6</v>
      </c>
      <c r="W769" s="8" t="str">
        <v>2026-10-11 至 2026-10-17</v>
      </c>
      <c r="X769" s="8" t="str">
        <v>2026-10-11、2026-10-12、2026-10-13、2026-10-14、2026-10-15、2026-10-16、2026-10-17</v>
      </c>
      <c r="Y769" s="8" t="str">
        <v>无</v>
      </c>
      <c r="Z769" s="8" t="n">
        <v>0</v>
      </c>
      <c r="AA769" s="8" t="n">
        <v>0</v>
      </c>
      <c r="AB769" s="8" t="n">
        <v>7</v>
      </c>
      <c r="AC769" s="8" t="str">
        <v>2026-10-02 至 2026-10-17</v>
      </c>
      <c r="AD769" s="8" t="str">
        <v>2026-10-02、2026-10-03、2026-10-04、2026-10-05、2026-10-08、2026-10-09、2026-10-10、2026-10-11、2026-10-12、2026-10-13、2026-10-14、2026-10-15、2026-10-16、2026-10-17</v>
      </c>
      <c r="AE769" s="8" t="str">
        <v>2026-10-06 大促；2026-10-07 大促</v>
      </c>
      <c r="AF769" s="8" t="n">
        <v>2</v>
      </c>
      <c r="AG769" s="8" t="n">
        <v>0</v>
      </c>
      <c r="AH769" s="8" t="n">
        <v>14</v>
      </c>
      <c r="AI769" s="8" t="str">
        <v>2026-09-16 至 2026-10-17</v>
      </c>
      <c r="AJ7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69" s="8" t="str">
        <v>2026-10-06 大促；2026-10-07 大促</v>
      </c>
      <c r="AL769" s="8" t="n">
        <v>5</v>
      </c>
      <c r="AM769" s="8" t="n">
        <v>0</v>
      </c>
      <c r="AN769" s="8" t="n">
        <v>30</v>
      </c>
      <c r="AO769" s="8" t="str">
        <v>60516 / 黑色羊京绒 / 6574</v>
      </c>
      <c r="AP769" s="11" t="n">
        <v>1.8609238953732312</v>
      </c>
      <c r="AQ769" s="11" t="n">
        <v>1.8609238953732312</v>
      </c>
      <c r="AR769" s="11" t="n">
        <v>1.7598476169692943</v>
      </c>
      <c r="AS769" s="11" t="n">
        <f>IF(AND(COUNT(I769:K769,AP769:AR769)=6,MIN(AP769:AR769)&gt;0),I769/7/AP769*0.5+J769/14/AQ769*0.3+K769/30/AR769*0.2,"")</f>
        <v>0.04197106910077798</v>
      </c>
      <c r="AT769" s="8" t="n">
        <v>8</v>
      </c>
      <c r="AU769" s="8" t="n">
        <v>0</v>
      </c>
      <c r="AV769" s="8" t="n">
        <v>88</v>
      </c>
      <c r="AW769" s="11" t="n">
        <f>IF(AND(COUNT(AT769:AV769)=3,AT769&gt;=AU769,AU769&gt;=0,AV769&gt;0),(AT769-AU769)/AV769,"")</f>
        <v>0.09090909090909091</v>
      </c>
      <c r="AX769" s="8" t="n">
        <v>9</v>
      </c>
      <c r="AY769" s="8" t="n">
        <v>0</v>
      </c>
      <c r="AZ769" s="8" t="n">
        <v>178</v>
      </c>
      <c r="BA769" s="11" t="n">
        <f>IF(AND(COUNT(AX769:AZ769)=3,AX769&gt;=AY769,AY769&gt;=0,AZ769&gt;0),(AX769-AY769)/AZ769,"")</f>
        <v>0.05056179775280899</v>
      </c>
      <c r="BB769" s="8" t="n">
        <f>IF(COUNT(AS769,AW769,BA769)=3,1,0)</f>
        <v>1</v>
      </c>
      <c r="BC769" s="11" t="n">
        <f>IF(SUMIF($AO$11:$AO$1309,AO769,$BB$11:$BB$1309)=COUNTIF($AO$11:$AO$1309,AO769),SUMIF($AO$11:$AO$1309,AO769,$AS$11:$AS$1309),"")</f>
        <v>3.0362329919441002</v>
      </c>
      <c r="BD769" s="11" t="n">
        <f>IF(SUMIF($AO$11:$AO$1309,AO769,$BB$11:$BB$1309)=COUNTIF($AO$11:$AO$1309,AO769),SUMIF($AO$11:$AO$1309,AO769,$AW$11:$AW$1309),"")</f>
        <v>2.9545454545454546</v>
      </c>
      <c r="BE769" s="11" t="n">
        <f>IF(SUMIF($AO$11:$AO$1309,AO769,$BB$11:$BB$1309)=COUNTIF($AO$11:$AO$1309,AO769),SUMIF($AO$11:$AO$1309,AO769,$BA$11:$BA$1309),"")</f>
        <v>2.169502407704655</v>
      </c>
      <c r="BF769" s="12" t="n">
        <f>IF(COUNT(BD769:BE769)&lt;&gt;2,"",IF(AND(BD769&gt;0,BE769&gt;0),0.7*AW769/BD769+0.3*BA769/BE769,IF(BD769&gt;0,AW769/BD769,IF(BE769&gt;0,BA769/BE769,IF(AND(ISNUMBER(BH769),BH769=0),0,"")))))</f>
        <v>0.02853017506317299</v>
      </c>
      <c r="BG769" s="11" t="n">
        <f>IF(AND(COUNT(BN769:BU769)=8,MIN(BN769:BU769)&gt;=0),SUMPRODUCT(BN769:BQ769,BR769:BU769),"")</f>
        <v>109.73769409574882</v>
      </c>
      <c r="BH769" s="11" t="n">
        <f>IF(COUNT(BC769,BG769)=2,BC769*BG769,"")</f>
        <v>333.18920727338184</v>
      </c>
      <c r="BI769" s="11" t="n">
        <f>IF(ISNUMBER(CI769),CI769,"")</f>
        <v>9.505946412669417</v>
      </c>
      <c r="BJ769" s="8" t="str"/>
      <c r="BK769" s="8" t="str">
        <v>90天：2026-07-20 至 2026-10-17；180天：2026-04-21 至 2026-10-17</v>
      </c>
      <c r="BL769" s="8" t="str">
        <v>90天：2026-10-06、2026-10-07；180天：2026-10-06、2026-10-07</v>
      </c>
      <c r="BM769" s="8" t="str">
        <v>2026-10：12天 × 1.8609238953732312；2026-11：30天 × 1.438375649833085；2026-12：31天 × 0.9519742599124907；2027-01：17天 × 0.8673021058229575</v>
      </c>
      <c r="BN769" s="11" t="n">
        <v>1.8609238953732312</v>
      </c>
      <c r="BO769" s="11" t="n">
        <v>1.438375649833085</v>
      </c>
      <c r="BP769" s="11" t="n">
        <v>0.9519742599124907</v>
      </c>
      <c r="BQ769" s="11" t="n">
        <v>0.8673021058229575</v>
      </c>
      <c r="BR769" s="8" t="n">
        <v>12</v>
      </c>
      <c r="BS769" s="8" t="n">
        <v>30</v>
      </c>
      <c r="BT769" s="8" t="n">
        <v>31</v>
      </c>
      <c r="BU769" s="8" t="n">
        <v>17</v>
      </c>
      <c r="BV769" s="11" t="n">
        <f>IF(COUNT(BC769,BF769)=2,BC769*BF769,"")</f>
        <v>0.08662425879274668</v>
      </c>
      <c r="BW769" s="11" t="n">
        <f>IF(ISNUMBER(BN769),BN769,"")</f>
        <v>1.8609238953732312</v>
      </c>
      <c r="BX769" s="14" t="n">
        <f>IF(ISNUMBER(BR769),BR769,"")</f>
        <v>12</v>
      </c>
      <c r="BY769" s="13" t="n">
        <f>IF(AND(COUNT(BV769,BW769,BX769)=3,MIN(BV769,BW769,BX769)&gt;=0),BV769*BW769*BX769,"")</f>
        <v>1.9344138372770043</v>
      </c>
      <c r="BZ769" s="11" t="n">
        <f>IF(ISNUMBER(BO769),BO769,"")</f>
        <v>1.438375649833085</v>
      </c>
      <c r="CA769" s="14" t="n">
        <f>IF(ISNUMBER(BS769),BS769,"")</f>
        <v>30</v>
      </c>
      <c r="CB769" s="13" t="n">
        <f>IF(AND(COUNT(BV769,BZ769,CA769)=3,MIN(BV769,BZ769,CA769)&gt;=0),BV769*BZ769*CA769,"")</f>
        <v>3.7379467359697904</v>
      </c>
      <c r="CC769" s="11" t="n">
        <f>IF(ISNUMBER(BP769),BP769,"")</f>
        <v>0.9519742599124907</v>
      </c>
      <c r="CD769" s="14" t="n">
        <f>IF(ISNUMBER(BT769),BT769,"")</f>
        <v>31</v>
      </c>
      <c r="CE769" s="13" t="n">
        <f>IF(AND(COUNT(BV769,CC769,CD769)=3,MIN(BV769,CC769,CD769)&gt;=0),BV769*CC769*CD769,"")</f>
        <v>2.556386004295486</v>
      </c>
      <c r="CF769" s="11" t="n">
        <f>IF(ISNUMBER(BQ769),BQ769,"")</f>
        <v>0.8673021058229575</v>
      </c>
      <c r="CG769" s="14" t="n">
        <f>IF(ISNUMBER(BU769),BU769,"")</f>
        <v>17</v>
      </c>
      <c r="CH769" s="13" t="n">
        <f>IF(AND(COUNT(BV769,CF769,CG769)=3,MIN(BV769,CF769,CG769)&gt;=0),BV769*CF769*CG769,"")</f>
        <v>1.2771998351271348</v>
      </c>
      <c r="CI769" s="13" t="n">
        <f>IF(COUNT(BY769,CB769,CE769,CH769)=4,SUM(BY769,CB769,CE769,CH769),"")</f>
        <v>9.505946412669417</v>
      </c>
    </row>
    <row r="770" ht="72" customHeight="1">
      <c r="A770" s="16" t="str">
        <v>60516-BK-S-K-6.5</v>
      </c>
      <c r="B770" s="16" t="str">
        <v>3店-SANDIEX-US</v>
      </c>
      <c r="C770" s="16" t="str">
        <v>徐新怡</v>
      </c>
      <c r="D770" s="26" t="n">
        <f>IF(NOT(ISNUMBER(E770)),"",IF(OR(E770&lt;=0,L770=0),0,IF(OR(NOT(ISNUMBER(F770)),F770&lt;0),"",MIN(E770,INT(F770)))))</f>
        <v>0</v>
      </c>
      <c r="E770" s="27" t="n">
        <f>IF(OR(NOT(ISNUMBER(L770)),COUNT(M770:O770)&lt;&gt;3,MIN(M770:O770)&lt;0),"",ROUNDUP(ROUND(BI770-SUM(M770:O770),10),0))</f>
        <v>-2</v>
      </c>
      <c r="F770" s="28" t="n">
        <v>0</v>
      </c>
      <c r="G770" s="28" t="n">
        <f>IF(AND(ISNUMBER(D770),ISNUMBER(E770)),IF(OR(E770&lt;=0,L770=0),0,E770-D770),"")</f>
        <v>0</v>
      </c>
      <c r="H770" s="16" t="str">
        <f>IF(NOT(ISNUMBER(E770)),"销量或海外库存待补",IF(OR(E770&lt;=0,L770=0),IF(L770=0,"零日销，本批不发","本批无需补货"),IF(NOT(ISNUMBER(D770)),"国内库存待补",IF(D770=0,"国内无可用库存",IF(G770&gt;0,"先发国内现货","按建议量发货")))))</f>
        <v>本批无需补货</v>
      </c>
      <c r="I770" s="28" t="n">
        <f>IF(AND(COUNT(Z770,AA770,AB770)=3,Z770&gt;=AA770,AA770&gt;=0,AB770=7),Z770-AA770,"")</f>
        <v>0</v>
      </c>
      <c r="J770" s="28" t="n">
        <f>IF(AND(COUNT(AF770,AG770,AH770)=3,AF770&gt;=AG770,AG770&gt;=0,AH770=14),AF770-AG770,"")</f>
        <v>0</v>
      </c>
      <c r="K770" s="28" t="n">
        <f>IF(AND(COUNT(AL770,AM770,AN770)=3,AL770&gt;=AM770,AM770&gt;=0,AN770=30),AL770-AM770,"")</f>
        <v>1</v>
      </c>
      <c r="L770" s="29" t="n">
        <f>IF(ISNUMBER(BI770),BI770/90,"")</f>
        <v>0.03143841423502873</v>
      </c>
      <c r="M770" s="28" t="n">
        <v>4</v>
      </c>
      <c r="N770" s="28" t="n">
        <v>0</v>
      </c>
      <c r="O770" s="28" t="n">
        <v>0</v>
      </c>
      <c r="P770" s="30" t="n">
        <f>IF(AND(ISNUMBER(L770),L770&gt;0,COUNT(M770:O770)=3,MIN(M770:O770)&gt;=0),SUM(M770:O770)/L770,"")</f>
        <v>127.23288045308576</v>
      </c>
      <c r="Q770" s="16" t="str">
        <v>沿用原计划SKU店铺</v>
      </c>
      <c r="R770" s="16" t="str">
        <v>已匹配</v>
      </c>
      <c r="S770" s="16" t="str">
        <v>在售</v>
      </c>
      <c r="T770" s="16" t="str">
        <v>60516</v>
      </c>
      <c r="U770" s="16" t="str">
        <v>黑色</v>
      </c>
      <c r="V770" s="16" t="n">
        <v>6.5</v>
      </c>
      <c r="W770" s="8" t="str">
        <v>2026-10-11 至 2026-10-17</v>
      </c>
      <c r="X770" s="8" t="str">
        <v>2026-10-11、2026-10-12、2026-10-13、2026-10-14、2026-10-15、2026-10-16、2026-10-17</v>
      </c>
      <c r="Y770" s="8" t="str">
        <v>无</v>
      </c>
      <c r="Z770" s="8" t="n">
        <v>0</v>
      </c>
      <c r="AA770" s="8" t="n">
        <v>0</v>
      </c>
      <c r="AB770" s="8" t="n">
        <v>7</v>
      </c>
      <c r="AC770" s="8" t="str">
        <v>2026-10-02 至 2026-10-17</v>
      </c>
      <c r="AD770" s="8" t="str">
        <v>2026-10-02、2026-10-03、2026-10-04、2026-10-05、2026-10-08、2026-10-09、2026-10-10、2026-10-11、2026-10-12、2026-10-13、2026-10-14、2026-10-15、2026-10-16、2026-10-17</v>
      </c>
      <c r="AE770" s="8" t="str">
        <v>2026-10-06 大促；2026-10-07 大促</v>
      </c>
      <c r="AF770" s="8" t="n">
        <v>0</v>
      </c>
      <c r="AG770" s="8" t="n">
        <v>0</v>
      </c>
      <c r="AH770" s="8" t="n">
        <v>14</v>
      </c>
      <c r="AI770" s="8" t="str">
        <v>2026-09-16 至 2026-10-17</v>
      </c>
      <c r="AJ7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0" s="8" t="str">
        <v>2026-10-06 大促；2026-10-07 大促</v>
      </c>
      <c r="AL770" s="8" t="n">
        <v>1</v>
      </c>
      <c r="AM770" s="8" t="n">
        <v>0</v>
      </c>
      <c r="AN770" s="8" t="n">
        <v>30</v>
      </c>
      <c r="AO770" s="8" t="str">
        <v>60516 / 黑色羊京绒 / 6574</v>
      </c>
      <c r="AP770" s="11" t="n">
        <v>1.8609238953732312</v>
      </c>
      <c r="AQ770" s="11" t="n">
        <v>1.8609238953732312</v>
      </c>
      <c r="AR770" s="11" t="n">
        <v>1.7598476169692943</v>
      </c>
      <c r="AS770" s="11" t="n">
        <f>IF(AND(COUNT(I770:K770,AP770:AR770)=6,MIN(AP770:AR770)&gt;0),I770/7/AP770*0.5+J770/14/AQ770*0.3+K770/30/AR770*0.2,"")</f>
        <v>0.0037882067756227706</v>
      </c>
      <c r="AT770" s="8" t="n">
        <v>2</v>
      </c>
      <c r="AU770" s="8" t="n">
        <v>0</v>
      </c>
      <c r="AV770" s="8" t="n">
        <v>88</v>
      </c>
      <c r="AW770" s="11" t="n">
        <f>IF(AND(COUNT(AT770:AV770)=3,AT770&gt;=AU770,AU770&gt;=0,AV770&gt;0),(AT770-AU770)/AV770,"")</f>
        <v>0.022727272727272728</v>
      </c>
      <c r="AX770" s="8" t="n">
        <v>4</v>
      </c>
      <c r="AY770" s="8" t="n">
        <v>0</v>
      </c>
      <c r="AZ770" s="8" t="n">
        <v>178</v>
      </c>
      <c r="BA770" s="11" t="n">
        <f>IF(AND(COUNT(AX770:AZ770)=3,AX770&gt;=AY770,AY770&gt;=0,AZ770&gt;0),(AX770-AY770)/AZ770,"")</f>
        <v>0.02247191011235955</v>
      </c>
      <c r="BB770" s="8" t="n">
        <f>IF(COUNT(AS770,AW770,BA770)=3,1,0)</f>
        <v>1</v>
      </c>
      <c r="BC770" s="11" t="n">
        <f>IF(SUMIF($AO$11:$AO$1309,AO770,$BB$11:$BB$1309)=COUNTIF($AO$11:$AO$1309,AO770),SUMIF($AO$11:$AO$1309,AO770,$AS$11:$AS$1309),"")</f>
        <v>3.0362329919441002</v>
      </c>
      <c r="BD770" s="11" t="n">
        <f>IF(SUMIF($AO$11:$AO$1309,AO770,$BB$11:$BB$1309)=COUNTIF($AO$11:$AO$1309,AO770),SUMIF($AO$11:$AO$1309,AO770,$AW$11:$AW$1309),"")</f>
        <v>2.9545454545454546</v>
      </c>
      <c r="BE770" s="11" t="n">
        <f>IF(SUMIF($AO$11:$AO$1309,AO770,$BB$11:$BB$1309)=COUNTIF($AO$11:$AO$1309,AO770),SUMIF($AO$11:$AO$1309,AO770,$BA$11:$BA$1309),"")</f>
        <v>2.169502407704655</v>
      </c>
      <c r="BF770" s="12" t="n">
        <f>IF(COUNT(BD770:BE770)&lt;&gt;2,"",IF(AND(BD770&gt;0,BE770&gt;0),0.7*AW770/BD770+0.3*BA770/BE770,IF(BD770&gt;0,AW770/BD770,IF(BE770&gt;0,BA770/BE770,IF(AND(ISNUMBER(BH770),BH770=0),0,"")))))</f>
        <v>0.008492043617820475</v>
      </c>
      <c r="BG770" s="11" t="n">
        <f>IF(AND(COUNT(BN770:BU770)=8,MIN(BN770:BU770)&gt;=0),SUMPRODUCT(BN770:BQ770,BR770:BU770),"")</f>
        <v>109.73769409574882</v>
      </c>
      <c r="BH770" s="11" t="n">
        <f>IF(COUNT(BC770,BG770)=2,BC770*BG770,"")</f>
        <v>333.18920727338184</v>
      </c>
      <c r="BI770" s="11" t="n">
        <f>IF(ISNUMBER(CI770),CI770,"")</f>
        <v>2.8294572811525858</v>
      </c>
      <c r="BJ770" s="8" t="str"/>
      <c r="BK770" s="8" t="str">
        <v>90天：2026-07-20 至 2026-10-17；180天：2026-04-21 至 2026-10-17</v>
      </c>
      <c r="BL770" s="8" t="str">
        <v>90天：2026-10-06、2026-10-07；180天：2026-10-06、2026-10-07</v>
      </c>
      <c r="BM770" s="8" t="str">
        <v>2026-10：12天 × 1.8609238953732312；2026-11：30天 × 1.438375649833085；2026-12：31天 × 0.9519742599124907；2027-01：17天 × 0.8673021058229575</v>
      </c>
      <c r="BN770" s="11" t="n">
        <v>1.8609238953732312</v>
      </c>
      <c r="BO770" s="11" t="n">
        <v>1.438375649833085</v>
      </c>
      <c r="BP770" s="11" t="n">
        <v>0.9519742599124907</v>
      </c>
      <c r="BQ770" s="11" t="n">
        <v>0.8673021058229575</v>
      </c>
      <c r="BR770" s="8" t="n">
        <v>12</v>
      </c>
      <c r="BS770" s="8" t="n">
        <v>30</v>
      </c>
      <c r="BT770" s="8" t="n">
        <v>31</v>
      </c>
      <c r="BU770" s="8" t="n">
        <v>17</v>
      </c>
      <c r="BV770" s="11" t="n">
        <f>IF(COUNT(BC770,BF770)=2,BC770*BF770,"")</f>
        <v>0.02578382300145486</v>
      </c>
      <c r="BW770" s="11" t="n">
        <f>IF(ISNUMBER(BN770),BN770,"")</f>
        <v>1.8609238953732312</v>
      </c>
      <c r="BX770" s="14" t="n">
        <f>IF(ISNUMBER(BR770),BR770,"")</f>
        <v>12</v>
      </c>
      <c r="BY770" s="13" t="n">
        <f>IF(AND(COUNT(BV770,BW770,BX770)=3,MIN(BV770,BW770,BX770)&gt;=0),BV770*BW770*BX770,"")</f>
        <v>0.5757807880497756</v>
      </c>
      <c r="BZ770" s="11" t="n">
        <f>IF(ISNUMBER(BO770),BO770,"")</f>
        <v>1.438375649833085</v>
      </c>
      <c r="CA770" s="14" t="n">
        <f>IF(ISNUMBER(BS770),BS770,"")</f>
        <v>30</v>
      </c>
      <c r="CB770" s="13" t="n">
        <f>IF(AND(COUNT(BV770,BZ770,CA770)=3,MIN(BV770,BZ770,CA770)&gt;=0),BV770*BZ770*CA770,"")</f>
        <v>1.1126046949469666</v>
      </c>
      <c r="CC770" s="11" t="n">
        <f>IF(ISNUMBER(BP770),BP770,"")</f>
        <v>0.9519742599124907</v>
      </c>
      <c r="CD770" s="14" t="n">
        <f>IF(ISNUMBER(BT770),BT770,"")</f>
        <v>31</v>
      </c>
      <c r="CE770" s="13" t="n">
        <f>IF(AND(COUNT(BV770,CC770,CD770)=3,MIN(BV770,CC770,CD770)&gt;=0),BV770*CC770*CD770,"")</f>
        <v>0.760911610405264</v>
      </c>
      <c r="CF770" s="11" t="n">
        <f>IF(ISNUMBER(BQ770),BQ770,"")</f>
        <v>0.8673021058229575</v>
      </c>
      <c r="CG770" s="14" t="n">
        <f>IF(ISNUMBER(BU770),BU770,"")</f>
        <v>17</v>
      </c>
      <c r="CH770" s="13" t="n">
        <f>IF(AND(COUNT(BV770,CF770,CG770)=3,MIN(BV770,CF770,CG770)&gt;=0),BV770*CF770*CG770,"")</f>
        <v>0.3801601877505796</v>
      </c>
      <c r="CI770" s="13" t="n">
        <f>IF(COUNT(BY770,CB770,CE770,CH770)=4,SUM(BY770,CB770,CE770,CH770),"")</f>
        <v>2.8294572811525858</v>
      </c>
    </row>
    <row r="771" ht="72" customHeight="1">
      <c r="A771" s="16" t="str">
        <v>60516-BK-S-K-7</v>
      </c>
      <c r="B771" s="16" t="str">
        <v>3店-SANDIEX-US</v>
      </c>
      <c r="C771" s="16" t="str">
        <v>徐新怡</v>
      </c>
      <c r="D771" s="26" t="n">
        <f>IF(NOT(ISNUMBER(E771)),"",IF(OR(E771&lt;=0,L771=0),0,IF(OR(NOT(ISNUMBER(F771)),F771&lt;0),"",MIN(E771,INT(F771)))))</f>
        <v>0</v>
      </c>
      <c r="E771" s="27" t="n">
        <f>IF(OR(NOT(ISNUMBER(L771)),COUNT(M771:O771)&lt;&gt;3,MIN(M771:O771)&lt;0),"",ROUNDUP(ROUND(BI771-SUM(M771:O771),10),0))</f>
        <v>-26</v>
      </c>
      <c r="F771" s="28" t="n">
        <v>127</v>
      </c>
      <c r="G771" s="28" t="n">
        <f>IF(AND(ISNUMBER(D771),ISNUMBER(E771)),IF(OR(E771&lt;=0,L771=0),0,E771-D771),"")</f>
        <v>0</v>
      </c>
      <c r="H771" s="16" t="str">
        <f>IF(NOT(ISNUMBER(E771)),"销量或海外库存待补",IF(OR(E771&lt;=0,L771=0),IF(L771=0,"零日销，本批不发","本批无需补货"),IF(NOT(ISNUMBER(D771)),"国内库存待补",IF(D771=0,"国内无可用库存",IF(G771&gt;0,"先发国内现货","按建议量发货")))))</f>
        <v>本批无需补货</v>
      </c>
      <c r="I771" s="28" t="n">
        <f>IF(AND(COUNT(Z771,AA771,AB771)=3,Z771&gt;=AA771,AA771&gt;=0,AB771=7),Z771-AA771,"")</f>
        <v>1</v>
      </c>
      <c r="J771" s="28" t="n">
        <f>IF(AND(COUNT(AF771,AG771,AH771)=3,AF771&gt;=AG771,AG771&gt;=0,AH771=14),AF771-AG771,"")</f>
        <v>7</v>
      </c>
      <c r="K771" s="28" t="n">
        <f>IF(AND(COUNT(AL771,AM771,AN771)=3,AL771&gt;=AM771,AM771&gt;=0,AN771=30),AL771-AM771,"")</f>
        <v>18</v>
      </c>
      <c r="L771" s="29" t="n">
        <f>IF(ISNUMBER(BI771),BI771/90,"")</f>
        <v>0.41980813604140443</v>
      </c>
      <c r="M771" s="28" t="n">
        <v>57</v>
      </c>
      <c r="N771" s="28" t="n">
        <v>3</v>
      </c>
      <c r="O771" s="28" t="n">
        <v>3</v>
      </c>
      <c r="P771" s="30" t="n">
        <f>IF(AND(ISNUMBER(L771),L771&gt;0,COUNT(M771:O771)=3,MIN(M771:O771)&gt;=0),SUM(M771:O771)/L771,"")</f>
        <v>150.06855415919452</v>
      </c>
      <c r="Q771" s="16" t="str">
        <v>沿用原计划SKU店铺</v>
      </c>
      <c r="R771" s="16" t="str">
        <v>已匹配</v>
      </c>
      <c r="S771" s="16" t="str">
        <v>在售</v>
      </c>
      <c r="T771" s="16" t="str">
        <v>60516</v>
      </c>
      <c r="U771" s="16" t="str">
        <v>黑色</v>
      </c>
      <c r="V771" s="16" t="n">
        <v>7</v>
      </c>
      <c r="W771" s="8" t="str">
        <v>2026-10-11 至 2026-10-17</v>
      </c>
      <c r="X771" s="8" t="str">
        <v>2026-10-11、2026-10-12、2026-10-13、2026-10-14、2026-10-15、2026-10-16、2026-10-17</v>
      </c>
      <c r="Y771" s="8" t="str">
        <v>无</v>
      </c>
      <c r="Z771" s="8" t="n">
        <v>1</v>
      </c>
      <c r="AA771" s="8" t="n">
        <v>0</v>
      </c>
      <c r="AB771" s="8" t="n">
        <v>7</v>
      </c>
      <c r="AC771" s="8" t="str">
        <v>2026-10-02 至 2026-10-17</v>
      </c>
      <c r="AD771" s="8" t="str">
        <v>2026-10-02、2026-10-03、2026-10-04、2026-10-05、2026-10-08、2026-10-09、2026-10-10、2026-10-11、2026-10-12、2026-10-13、2026-10-14、2026-10-15、2026-10-16、2026-10-17</v>
      </c>
      <c r="AE771" s="8" t="str">
        <v>2026-10-06 大促；2026-10-07 大促</v>
      </c>
      <c r="AF771" s="8" t="n">
        <v>10</v>
      </c>
      <c r="AG771" s="8" t="n">
        <v>3</v>
      </c>
      <c r="AH771" s="8" t="n">
        <v>14</v>
      </c>
      <c r="AI771" s="8" t="str">
        <v>2026-09-16 至 2026-10-17</v>
      </c>
      <c r="AJ7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1" s="8" t="str">
        <v>2026-10-06 大促；2026-10-07 大促</v>
      </c>
      <c r="AL771" s="8" t="n">
        <v>21</v>
      </c>
      <c r="AM771" s="8" t="n">
        <v>3</v>
      </c>
      <c r="AN771" s="8" t="n">
        <v>30</v>
      </c>
      <c r="AO771" s="8" t="str">
        <v>60516 / 黑色羊京绒 / 6574</v>
      </c>
      <c r="AP771" s="11" t="n">
        <v>1.8609238953732312</v>
      </c>
      <c r="AQ771" s="11" t="n">
        <v>1.8609238953732312</v>
      </c>
      <c r="AR771" s="11" t="n">
        <v>1.7598476169692943</v>
      </c>
      <c r="AS771" s="11" t="n">
        <f>IF(AND(COUNT(I771:K771,AP771:AR771)=6,MIN(AP771:AR771)&gt;0),I771/7/AP771*0.5+J771/14/AQ771*0.3+K771/30/AR771*0.2,"")</f>
        <v>0.1871762372783079</v>
      </c>
      <c r="AT771" s="8" t="n">
        <v>33</v>
      </c>
      <c r="AU771" s="8" t="n">
        <v>3</v>
      </c>
      <c r="AV771" s="8" t="n">
        <v>88</v>
      </c>
      <c r="AW771" s="11" t="n">
        <f>IF(AND(COUNT(AT771:AV771)=3,AT771&gt;=AU771,AU771&gt;=0,AV771&gt;0),(AT771-AU771)/AV771,"")</f>
        <v>0.3409090909090909</v>
      </c>
      <c r="AX771" s="8" t="n">
        <v>45</v>
      </c>
      <c r="AY771" s="8" t="n">
        <v>3</v>
      </c>
      <c r="AZ771" s="8" t="n">
        <v>178</v>
      </c>
      <c r="BA771" s="11" t="n">
        <f>IF(AND(COUNT(AX771:AZ771)=3,AX771&gt;=AY771,AY771&gt;=0,AZ771&gt;0),(AX771-AY771)/AZ771,"")</f>
        <v>0.23595505617977527</v>
      </c>
      <c r="BB771" s="8" t="n">
        <f>IF(COUNT(AS771,AW771,BA771)=3,1,0)</f>
        <v>1</v>
      </c>
      <c r="BC771" s="11" t="n">
        <f>IF(SUMIF($AO$11:$AO$1309,AO771,$BB$11:$BB$1309)=COUNTIF($AO$11:$AO$1309,AO771),SUMIF($AO$11:$AO$1309,AO771,$AS$11:$AS$1309),"")</f>
        <v>3.0362329919441002</v>
      </c>
      <c r="BD771" s="11" t="n">
        <f>IF(SUMIF($AO$11:$AO$1309,AO771,$BB$11:$BB$1309)=COUNTIF($AO$11:$AO$1309,AO771),SUMIF($AO$11:$AO$1309,AO771,$AW$11:$AW$1309),"")</f>
        <v>2.9545454545454546</v>
      </c>
      <c r="BE771" s="11" t="n">
        <f>IF(SUMIF($AO$11:$AO$1309,AO771,$BB$11:$BB$1309)=COUNTIF($AO$11:$AO$1309,AO771),SUMIF($AO$11:$AO$1309,AO771,$BA$11:$BA$1309),"")</f>
        <v>2.169502407704655</v>
      </c>
      <c r="BF771" s="12" t="n">
        <f>IF(COUNT(BD771:BE771)&lt;&gt;2,"",IF(AND(BD771&gt;0,BE771&gt;0),0.7*AW771/BD771+0.3*BA771/BE771,IF(BD771&gt;0,AW771/BD771,IF(BE771&gt;0,BA771/BE771,IF(AND(ISNUMBER(BH771),BH771=0),0,"")))))</f>
        <v>0.1133972272178842</v>
      </c>
      <c r="BG771" s="11" t="n">
        <f>IF(AND(COUNT(BN771:BU771)=8,MIN(BN771:BU771)&gt;=0),SUMPRODUCT(BN771:BQ771,BR771:BU771),"")</f>
        <v>109.73769409574882</v>
      </c>
      <c r="BH771" s="11" t="n">
        <f>IF(COUNT(BC771,BG771)=2,BC771*BG771,"")</f>
        <v>333.18920727338184</v>
      </c>
      <c r="BI771" s="11" t="n">
        <f>IF(ISNUMBER(CI771),CI771,"")</f>
        <v>37.7827322437264</v>
      </c>
      <c r="BJ771" s="8" t="str"/>
      <c r="BK771" s="8" t="str">
        <v>90天：2026-07-20 至 2026-10-17；180天：2026-04-21 至 2026-10-17</v>
      </c>
      <c r="BL771" s="8" t="str">
        <v>90天：2026-10-06、2026-10-07；180天：2026-10-06、2026-10-07</v>
      </c>
      <c r="BM771" s="8" t="str">
        <v>2026-10：12天 × 1.8609238953732312；2026-11：30天 × 1.438375649833085；2026-12：31天 × 0.9519742599124907；2027-01：17天 × 0.8673021058229575</v>
      </c>
      <c r="BN771" s="11" t="n">
        <v>1.8609238953732312</v>
      </c>
      <c r="BO771" s="11" t="n">
        <v>1.438375649833085</v>
      </c>
      <c r="BP771" s="11" t="n">
        <v>0.9519742599124907</v>
      </c>
      <c r="BQ771" s="11" t="n">
        <v>0.8673021058229575</v>
      </c>
      <c r="BR771" s="8" t="n">
        <v>12</v>
      </c>
      <c r="BS771" s="8" t="n">
        <v>30</v>
      </c>
      <c r="BT771" s="8" t="n">
        <v>31</v>
      </c>
      <c r="BU771" s="8" t="n">
        <v>17</v>
      </c>
      <c r="BV771" s="11" t="n">
        <f>IF(COUNT(BC771,BF771)=2,BC771*BF771,"")</f>
        <v>0.3443004024739215</v>
      </c>
      <c r="BW771" s="11" t="n">
        <f>IF(ISNUMBER(BN771),BN771,"")</f>
        <v>1.8609238953732312</v>
      </c>
      <c r="BX771" s="14" t="n">
        <f>IF(ISNUMBER(BR771),BR771,"")</f>
        <v>12</v>
      </c>
      <c r="BY771" s="13" t="n">
        <f>IF(AND(COUNT(BV771,BW771,BX771)=3,MIN(BV771,BW771,BX771)&gt;=0),BV771*BW771*BX771,"")</f>
        <v>7.688602153804096</v>
      </c>
      <c r="BZ771" s="11" t="n">
        <f>IF(ISNUMBER(BO771),BO771,"")</f>
        <v>1.438375649833085</v>
      </c>
      <c r="CA771" s="14" t="n">
        <f>IF(ISNUMBER(BS771),BS771,"")</f>
        <v>30</v>
      </c>
      <c r="CB771" s="13" t="n">
        <f>IF(AND(COUNT(BV771,BZ771,CA771)=3,MIN(BV771,BZ771,CA771)&gt;=0),BV771*BZ771*CA771,"")</f>
        <v>14.856999454386589</v>
      </c>
      <c r="CC771" s="11" t="n">
        <f>IF(ISNUMBER(BP771),BP771,"")</f>
        <v>0.9519742599124907</v>
      </c>
      <c r="CD771" s="14" t="n">
        <f>IF(ISNUMBER(BT771),BT771,"")</f>
        <v>31</v>
      </c>
      <c r="CE771" s="13" t="n">
        <f>IF(AND(COUNT(BV771,CC771,CD771)=3,MIN(BV771,CC771,CD771)&gt;=0),BV771*CC771*CD771,"")</f>
        <v>10.160718745813208</v>
      </c>
      <c r="CF771" s="11" t="n">
        <f>IF(ISNUMBER(BQ771),BQ771,"")</f>
        <v>0.8673021058229575</v>
      </c>
      <c r="CG771" s="14" t="n">
        <f>IF(ISNUMBER(BU771),BU771,"")</f>
        <v>17</v>
      </c>
      <c r="CH771" s="13" t="n">
        <f>IF(AND(COUNT(BV771,CF771,CG771)=3,MIN(BV771,CF771,CG771)&gt;=0),BV771*CF771*CG771,"")</f>
        <v>5.0764118897225075</v>
      </c>
      <c r="CI771" s="13" t="n">
        <f>IF(COUNT(BY771,CB771,CE771,CH771)=4,SUM(BY771,CB771,CE771,CH771),"")</f>
        <v>37.7827322437264</v>
      </c>
    </row>
    <row r="772" ht="72" customHeight="1">
      <c r="A772" s="16" t="str">
        <v>60516-BK-S-K-7.5</v>
      </c>
      <c r="B772" s="16" t="str">
        <v>3店-SANDIEX-US</v>
      </c>
      <c r="C772" s="16" t="str">
        <v>徐新怡</v>
      </c>
      <c r="D772" s="26" t="n">
        <f>IF(NOT(ISNUMBER(E772)),"",IF(OR(E772&lt;=0,L772=0),0,IF(OR(NOT(ISNUMBER(F772)),F772&lt;0),"",MIN(E772,INT(F772)))))</f>
        <v>0</v>
      </c>
      <c r="E772" s="27" t="n">
        <f>IF(OR(NOT(ISNUMBER(L772)),COUNT(M772:O772)&lt;&gt;3,MIN(M772:O772)&lt;0),"",ROUNDUP(ROUND(BI772-SUM(M772:O772),10),0))</f>
        <v>-13</v>
      </c>
      <c r="F772" s="28" t="n">
        <v>0</v>
      </c>
      <c r="G772" s="28" t="n">
        <f>IF(AND(ISNUMBER(D772),ISNUMBER(E772)),IF(OR(E772&lt;=0,L772=0),0,E772-D772),"")</f>
        <v>0</v>
      </c>
      <c r="H772" s="16" t="str">
        <f>IF(NOT(ISNUMBER(E772)),"销量或海外库存待补",IF(OR(E772&lt;=0,L772=0),IF(L772=0,"零日销，本批不发","本批无需补货"),IF(NOT(ISNUMBER(D772)),"国内库存待补",IF(D772=0,"国内无可用库存",IF(G772&gt;0,"先发国内现货","按建议量发货")))))</f>
        <v>本批无需补货</v>
      </c>
      <c r="I772" s="28" t="n">
        <f>IF(AND(COUNT(Z772,AA772,AB772)=3,Z772&gt;=AA772,AA772&gt;=0,AB772=7),Z772-AA772,"")</f>
        <v>6</v>
      </c>
      <c r="J772" s="28" t="n">
        <f>IF(AND(COUNT(AF772,AG772,AH772)=3,AF772&gt;=AG772,AG772&gt;=0,AH772=14),AF772-AG772,"")</f>
        <v>8</v>
      </c>
      <c r="K772" s="28" t="n">
        <f>IF(AND(COUNT(AL772,AM772,AN772)=3,AL772&gt;=AM772,AM772&gt;=0,AN772=30),AL772-AM772,"")</f>
        <v>13</v>
      </c>
      <c r="L772" s="29" t="n">
        <f>IF(ISNUMBER(BI772),BI772/90,"")</f>
        <v>0.3228145221479709</v>
      </c>
      <c r="M772" s="28" t="n">
        <v>42</v>
      </c>
      <c r="N772" s="28" t="n">
        <v>0</v>
      </c>
      <c r="O772" s="28" t="n">
        <v>0</v>
      </c>
      <c r="P772" s="30" t="n">
        <f>IF(AND(ISNUMBER(L772),L772&gt;0,COUNT(M772:O772)=3,MIN(M772:O772)&gt;=0),SUM(M772:O772)/L772,"")</f>
        <v>130.10567096094934</v>
      </c>
      <c r="Q772" s="16" t="str">
        <v>沿用原计划SKU店铺</v>
      </c>
      <c r="R772" s="16" t="str">
        <v>已匹配</v>
      </c>
      <c r="S772" s="16" t="str">
        <v>在售</v>
      </c>
      <c r="T772" s="16" t="str">
        <v>60516</v>
      </c>
      <c r="U772" s="16" t="str">
        <v>黑色</v>
      </c>
      <c r="V772" s="16" t="n">
        <v>7.5</v>
      </c>
      <c r="W772" s="8" t="str">
        <v>2026-10-11 至 2026-10-17</v>
      </c>
      <c r="X772" s="8" t="str">
        <v>2026-10-11、2026-10-12、2026-10-13、2026-10-14、2026-10-15、2026-10-16、2026-10-17</v>
      </c>
      <c r="Y772" s="8" t="str">
        <v>无</v>
      </c>
      <c r="Z772" s="8" t="n">
        <v>6</v>
      </c>
      <c r="AA772" s="8" t="n">
        <v>0</v>
      </c>
      <c r="AB772" s="8" t="n">
        <v>7</v>
      </c>
      <c r="AC772" s="8" t="str">
        <v>2026-10-02 至 2026-10-17</v>
      </c>
      <c r="AD772" s="8" t="str">
        <v>2026-10-02、2026-10-03、2026-10-04、2026-10-05、2026-10-08、2026-10-09、2026-10-10、2026-10-11、2026-10-12、2026-10-13、2026-10-14、2026-10-15、2026-10-16、2026-10-17</v>
      </c>
      <c r="AE772" s="8" t="str">
        <v>2026-10-06 大促；2026-10-07 大促</v>
      </c>
      <c r="AF772" s="8" t="n">
        <v>10</v>
      </c>
      <c r="AG772" s="8" t="n">
        <v>2</v>
      </c>
      <c r="AH772" s="8" t="n">
        <v>14</v>
      </c>
      <c r="AI772" s="8" t="str">
        <v>2026-09-16 至 2026-10-17</v>
      </c>
      <c r="AJ7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2" s="8" t="str">
        <v>2026-10-06 大促；2026-10-07 大促</v>
      </c>
      <c r="AL772" s="8" t="n">
        <v>15</v>
      </c>
      <c r="AM772" s="8" t="n">
        <v>2</v>
      </c>
      <c r="AN772" s="8" t="n">
        <v>30</v>
      </c>
      <c r="AO772" s="8" t="str">
        <v>60516 / 黑色羊京绒 / 6574</v>
      </c>
      <c r="AP772" s="11" t="n">
        <v>1.8609238953732312</v>
      </c>
      <c r="AQ772" s="11" t="n">
        <v>1.8609238953732312</v>
      </c>
      <c r="AR772" s="11" t="n">
        <v>1.7598476169692943</v>
      </c>
      <c r="AS772" s="11" t="n">
        <f>IF(AND(COUNT(I772:K772,AP772:AR772)=6,MIN(AP772:AR772)&gt;0),I772/7/AP772*0.5+J772/14/AQ772*0.3+K772/30/AR772*0.2,"")</f>
        <v>0.3716671812003938</v>
      </c>
      <c r="AT772" s="8" t="n">
        <v>24</v>
      </c>
      <c r="AU772" s="8" t="n">
        <v>2</v>
      </c>
      <c r="AV772" s="8" t="n">
        <v>88</v>
      </c>
      <c r="AW772" s="11" t="n">
        <f>IF(AND(COUNT(AT772:AV772)=3,AT772&gt;=AU772,AU772&gt;=0,AV772&gt;0),(AT772-AU772)/AV772,"")</f>
        <v>0.25</v>
      </c>
      <c r="AX772" s="8" t="n">
        <v>38</v>
      </c>
      <c r="AY772" s="8" t="n">
        <v>2</v>
      </c>
      <c r="AZ772" s="8" t="n">
        <v>178</v>
      </c>
      <c r="BA772" s="11" t="n">
        <f>IF(AND(COUNT(AX772:AZ772)=3,AX772&gt;=AY772,AY772&gt;=0,AZ772&gt;0),(AX772-AY772)/AZ772,"")</f>
        <v>0.20224719101123595</v>
      </c>
      <c r="BB772" s="8" t="n">
        <f>IF(COUNT(AS772,AW772,BA772)=3,1,0)</f>
        <v>1</v>
      </c>
      <c r="BC772" s="11" t="n">
        <f>IF(SUMIF($AO$11:$AO$1309,AO772,$BB$11:$BB$1309)=COUNTIF($AO$11:$AO$1309,AO772),SUMIF($AO$11:$AO$1309,AO772,$AS$11:$AS$1309),"")</f>
        <v>3.0362329919441002</v>
      </c>
      <c r="BD772" s="11" t="n">
        <f>IF(SUMIF($AO$11:$AO$1309,AO772,$BB$11:$BB$1309)=COUNTIF($AO$11:$AO$1309,AO772),SUMIF($AO$11:$AO$1309,AO772,$AW$11:$AW$1309),"")</f>
        <v>2.9545454545454546</v>
      </c>
      <c r="BE772" s="11" t="n">
        <f>IF(SUMIF($AO$11:$AO$1309,AO772,$BB$11:$BB$1309)=COUNTIF($AO$11:$AO$1309,AO772),SUMIF($AO$11:$AO$1309,AO772,$BA$11:$BA$1309),"")</f>
        <v>2.169502407704655</v>
      </c>
      <c r="BF772" s="12" t="n">
        <f>IF(COUNT(BD772:BE772)&lt;&gt;2,"",IF(AND(BD772&gt;0,BE772&gt;0),0.7*AW772/BD772+0.3*BA772/BE772,IF(BD772&gt;0,AW772/BD772,IF(BE772&gt;0,BA772/BE772,IF(AND(ISNUMBER(BH772),BH772=0),0,"")))))</f>
        <v>0.08719762332961503</v>
      </c>
      <c r="BG772" s="11" t="n">
        <f>IF(AND(COUNT(BN772:BU772)=8,MIN(BN772:BU772)&gt;=0),SUMPRODUCT(BN772:BQ772,BR772:BU772),"")</f>
        <v>109.73769409574882</v>
      </c>
      <c r="BH772" s="11" t="n">
        <f>IF(COUNT(BC772,BG772)=2,BC772*BG772,"")</f>
        <v>333.18920727338184</v>
      </c>
      <c r="BI772" s="11" t="n">
        <f>IF(ISNUMBER(CI772),CI772,"")</f>
        <v>29.05330699331738</v>
      </c>
      <c r="BJ772" s="8" t="str"/>
      <c r="BK772" s="8" t="str">
        <v>90天：2026-07-20 至 2026-10-17；180天：2026-04-21 至 2026-10-17</v>
      </c>
      <c r="BL772" s="8" t="str">
        <v>90天：2026-10-06、2026-10-07；180天：2026-10-06、2026-10-07</v>
      </c>
      <c r="BM772" s="8" t="str">
        <v>2026-10：12天 × 1.8609238953732312；2026-11：30天 × 1.438375649833085；2026-12：31天 × 0.9519742599124907；2027-01：17天 × 0.8673021058229575</v>
      </c>
      <c r="BN772" s="11" t="n">
        <v>1.8609238953732312</v>
      </c>
      <c r="BO772" s="11" t="n">
        <v>1.438375649833085</v>
      </c>
      <c r="BP772" s="11" t="n">
        <v>0.9519742599124907</v>
      </c>
      <c r="BQ772" s="11" t="n">
        <v>0.8673021058229575</v>
      </c>
      <c r="BR772" s="8" t="n">
        <v>12</v>
      </c>
      <c r="BS772" s="8" t="n">
        <v>30</v>
      </c>
      <c r="BT772" s="8" t="n">
        <v>31</v>
      </c>
      <c r="BU772" s="8" t="n">
        <v>17</v>
      </c>
      <c r="BV772" s="11" t="n">
        <f>IF(COUNT(BC772,BF772)=2,BC772*BF772,"")</f>
        <v>0.26475230077249173</v>
      </c>
      <c r="BW772" s="11" t="n">
        <f>IF(ISNUMBER(BN772),BN772,"")</f>
        <v>1.8609238953732312</v>
      </c>
      <c r="BX772" s="14" t="n">
        <f>IF(ISNUMBER(BR772),BR772,"")</f>
        <v>12</v>
      </c>
      <c r="BY772" s="13" t="n">
        <f>IF(AND(COUNT(BV772,BW772,BX772)=3,MIN(BV772,BW772,BX772)&gt;=0),BV772*BW772*BX772,"")</f>
        <v>5.912206594350848</v>
      </c>
      <c r="BZ772" s="11" t="n">
        <f>IF(ISNUMBER(BO772),BO772,"")</f>
        <v>1.438375649833085</v>
      </c>
      <c r="CA772" s="14" t="n">
        <f>IF(ISNUMBER(BS772),BS772,"")</f>
        <v>30</v>
      </c>
      <c r="CB772" s="13" t="n">
        <f>IF(AND(COUNT(BV772,BZ772,CA772)=3,MIN(BV772,BZ772,CA772)&gt;=0),BV772*BZ772*CA772,"")</f>
        <v>11.424397880053116</v>
      </c>
      <c r="CC772" s="11" t="n">
        <f>IF(ISNUMBER(BP772),BP772,"")</f>
        <v>0.9519742599124907</v>
      </c>
      <c r="CD772" s="14" t="n">
        <f>IF(ISNUMBER(BT772),BT772,"")</f>
        <v>31</v>
      </c>
      <c r="CE772" s="13" t="n">
        <f>IF(AND(COUNT(BV772,CC772,CD772)=3,MIN(BV772,CC772,CD772)&gt;=0),BV772*CC772*CD772,"")</f>
        <v>7.8131586432286815</v>
      </c>
      <c r="CF772" s="11" t="n">
        <f>IF(ISNUMBER(BQ772),BQ772,"")</f>
        <v>0.8673021058229575</v>
      </c>
      <c r="CG772" s="14" t="n">
        <f>IF(ISNUMBER(BU772),BU772,"")</f>
        <v>17</v>
      </c>
      <c r="CH772" s="13" t="n">
        <f>IF(AND(COUNT(BV772,CF772,CG772)=3,MIN(BV772,CF772,CG772)&gt;=0),BV772*CF772*CG772,"")</f>
        <v>3.9035438756847367</v>
      </c>
      <c r="CI772" s="13" t="n">
        <f>IF(COUNT(BY772,CB772,CE772,CH772)=4,SUM(BY772,CB772,CE772,CH772),"")</f>
        <v>29.05330699331738</v>
      </c>
    </row>
    <row r="773" ht="72" customHeight="1">
      <c r="A773" s="16" t="str">
        <v>60516-BK-S-K-8</v>
      </c>
      <c r="B773" s="16" t="str">
        <v>3店-SANDIEX-US</v>
      </c>
      <c r="C773" s="16" t="str">
        <v>徐新怡</v>
      </c>
      <c r="D773" s="26" t="n">
        <f>IF(NOT(ISNUMBER(E773)),"",IF(OR(E773&lt;=0,L773=0),0,IF(OR(NOT(ISNUMBER(F773)),F773&lt;0),"",MIN(E773,INT(F773)))))</f>
        <v>0</v>
      </c>
      <c r="E773" s="27" t="n">
        <f>IF(OR(NOT(ISNUMBER(L773)),COUNT(M773:O773)&lt;&gt;3,MIN(M773:O773)&lt;0),"",ROUNDUP(ROUND(BI773-SUM(M773:O773),10),0))</f>
        <v>-65</v>
      </c>
      <c r="F773" s="28" t="n">
        <v>464</v>
      </c>
      <c r="G773" s="28" t="n">
        <f>IF(AND(ISNUMBER(D773),ISNUMBER(E773)),IF(OR(E773&lt;=0,L773=0),0,E773-D773),"")</f>
        <v>0</v>
      </c>
      <c r="H773" s="16" t="str">
        <f>IF(NOT(ISNUMBER(E773)),"销量或海外库存待补",IF(OR(E773&lt;=0,L773=0),IF(L773=0,"零日销，本批不发","本批无需补货"),IF(NOT(ISNUMBER(D773)),"国内库存待补",IF(D773=0,"国内无可用库存",IF(G773&gt;0,"先发国内现货","按建议量发货")))))</f>
        <v>本批无需补货</v>
      </c>
      <c r="I773" s="28" t="n">
        <f>IF(AND(COUNT(Z773,AA773,AB773)=3,Z773&gt;=AA773,AA773&gt;=0,AB773=7),Z773-AA773,"")</f>
        <v>13</v>
      </c>
      <c r="J773" s="28" t="n">
        <f>IF(AND(COUNT(AF773,AG773,AH773)=3,AF773&gt;=AG773,AG773&gt;=0,AH773=14),AF773-AG773,"")</f>
        <v>19</v>
      </c>
      <c r="K773" s="28" t="n">
        <f>IF(AND(COUNT(AL773,AM773,AN773)=3,AL773&gt;=AM773,AM773&gt;=0,AN773=30),AL773-AM773,"")</f>
        <v>39</v>
      </c>
      <c r="L773" s="29" t="n">
        <f>IF(ISNUMBER(BI773),BI773/90,"")</f>
        <v>0.9509899074995832</v>
      </c>
      <c r="M773" s="28" t="n">
        <v>130</v>
      </c>
      <c r="N773" s="28" t="n">
        <v>0</v>
      </c>
      <c r="O773" s="28" t="n">
        <v>20</v>
      </c>
      <c r="P773" s="30" t="n">
        <f>IF(AND(ISNUMBER(L773),L773&gt;0,COUNT(M773:O773)=3,MIN(M773:O773)&gt;=0),SUM(M773:O773)/L773,"")</f>
        <v>157.73038054041152</v>
      </c>
      <c r="Q773" s="16" t="str">
        <v>沿用原计划SKU店铺</v>
      </c>
      <c r="R773" s="16" t="str">
        <v>已匹配</v>
      </c>
      <c r="S773" s="16" t="str">
        <v>在售</v>
      </c>
      <c r="T773" s="16" t="str">
        <v>60516</v>
      </c>
      <c r="U773" s="16" t="str">
        <v>黑色</v>
      </c>
      <c r="V773" s="16" t="n">
        <v>8</v>
      </c>
      <c r="W773" s="8" t="str">
        <v>2026-10-11 至 2026-10-17</v>
      </c>
      <c r="X773" s="8" t="str">
        <v>2026-10-11、2026-10-12、2026-10-13、2026-10-14、2026-10-15、2026-10-16、2026-10-17</v>
      </c>
      <c r="Y773" s="8" t="str">
        <v>无</v>
      </c>
      <c r="Z773" s="8" t="n">
        <v>13</v>
      </c>
      <c r="AA773" s="8" t="n">
        <v>0</v>
      </c>
      <c r="AB773" s="8" t="n">
        <v>7</v>
      </c>
      <c r="AC773" s="8" t="str">
        <v>2026-10-02 至 2026-10-17</v>
      </c>
      <c r="AD773" s="8" t="str">
        <v>2026-10-02、2026-10-03、2026-10-04、2026-10-05、2026-10-08、2026-10-09、2026-10-10、2026-10-11、2026-10-12、2026-10-13、2026-10-14、2026-10-15、2026-10-16、2026-10-17</v>
      </c>
      <c r="AE773" s="8" t="str">
        <v>2026-10-06 大促；2026-10-07 大促</v>
      </c>
      <c r="AF773" s="8" t="n">
        <v>27</v>
      </c>
      <c r="AG773" s="8" t="n">
        <v>8</v>
      </c>
      <c r="AH773" s="8" t="n">
        <v>14</v>
      </c>
      <c r="AI773" s="8" t="str">
        <v>2026-09-16 至 2026-10-17</v>
      </c>
      <c r="AJ7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3" s="8" t="str">
        <v>2026-10-06 大促；2026-10-07 大促</v>
      </c>
      <c r="AL773" s="8" t="n">
        <v>47</v>
      </c>
      <c r="AM773" s="8" t="n">
        <v>8</v>
      </c>
      <c r="AN773" s="8" t="n">
        <v>30</v>
      </c>
      <c r="AO773" s="8" t="str">
        <v>60516 / 黑色羊京绒 / 6574</v>
      </c>
      <c r="AP773" s="11" t="n">
        <v>1.8609238953732312</v>
      </c>
      <c r="AQ773" s="11" t="n">
        <v>1.8609238953732312</v>
      </c>
      <c r="AR773" s="11" t="n">
        <v>1.7598476169692943</v>
      </c>
      <c r="AS773" s="11" t="n">
        <f>IF(AND(COUNT(I773:K773,AP773:AR773)=6,MIN(AP773:AR773)&gt;0),I773/7/AP773*0.5+J773/14/AQ773*0.3+K773/30/AR773*0.2,"")</f>
        <v>0.8655094953556536</v>
      </c>
      <c r="AT773" s="8" t="n">
        <v>76</v>
      </c>
      <c r="AU773" s="8" t="n">
        <v>8</v>
      </c>
      <c r="AV773" s="8" t="n">
        <v>88</v>
      </c>
      <c r="AW773" s="11" t="n">
        <f>IF(AND(COUNT(AT773:AV773)=3,AT773&gt;=AU773,AU773&gt;=0,AV773&gt;0),(AT773-AU773)/AV773,"")</f>
        <v>0.7727272727272727</v>
      </c>
      <c r="AX773" s="8" t="n">
        <v>103</v>
      </c>
      <c r="AY773" s="8" t="n">
        <v>8</v>
      </c>
      <c r="AZ773" s="8" t="n">
        <v>178</v>
      </c>
      <c r="BA773" s="11" t="n">
        <f>IF(AND(COUNT(AX773:AZ773)=3,AX773&gt;=AY773,AY773&gt;=0,AZ773&gt;0),(AX773-AY773)/AZ773,"")</f>
        <v>0.5337078651685393</v>
      </c>
      <c r="BB773" s="8" t="n">
        <f>IF(COUNT(AS773,AW773,BA773)=3,1,0)</f>
        <v>1</v>
      </c>
      <c r="BC773" s="11" t="n">
        <f>IF(SUMIF($AO$11:$AO$1309,AO773,$BB$11:$BB$1309)=COUNTIF($AO$11:$AO$1309,AO773),SUMIF($AO$11:$AO$1309,AO773,$AS$11:$AS$1309),"")</f>
        <v>3.0362329919441002</v>
      </c>
      <c r="BD773" s="11" t="n">
        <f>IF(SUMIF($AO$11:$AO$1309,AO773,$BB$11:$BB$1309)=COUNTIF($AO$11:$AO$1309,AO773),SUMIF($AO$11:$AO$1309,AO773,$AW$11:$AW$1309),"")</f>
        <v>2.9545454545454546</v>
      </c>
      <c r="BE773" s="11" t="n">
        <f>IF(SUMIF($AO$11:$AO$1309,AO773,$BB$11:$BB$1309)=COUNTIF($AO$11:$AO$1309,AO773),SUMIF($AO$11:$AO$1309,AO773,$BA$11:$BA$1309),"")</f>
        <v>2.169502407704655</v>
      </c>
      <c r="BF773" s="12" t="n">
        <f>IF(COUNT(BD773:BE773)&lt;&gt;2,"",IF(AND(BD773&gt;0,BE773&gt;0),0.7*AW773/BD773+0.3*BA773/BE773,IF(BD773&gt;0,AW773/BD773,IF(BE773&gt;0,BA773/BE773,IF(AND(ISNUMBER(BH773),BH773=0),0,"")))))</f>
        <v>0.25687834361554396</v>
      </c>
      <c r="BG773" s="11" t="n">
        <f>IF(AND(COUNT(BN773:BU773)=8,MIN(BN773:BU773)&gt;=0),SUMPRODUCT(BN773:BQ773,BR773:BU773),"")</f>
        <v>109.73769409574882</v>
      </c>
      <c r="BH773" s="11" t="n">
        <f>IF(COUNT(BC773,BG773)=2,BC773*BG773,"")</f>
        <v>333.18920727338184</v>
      </c>
      <c r="BI773" s="11" t="n">
        <f>IF(ISNUMBER(CI773),CI773,"")</f>
        <v>85.58909167496249</v>
      </c>
      <c r="BJ773" s="8" t="str"/>
      <c r="BK773" s="8" t="str">
        <v>90天：2026-07-20 至 2026-10-17；180天：2026-04-21 至 2026-10-17</v>
      </c>
      <c r="BL773" s="8" t="str">
        <v>90天：2026-10-06、2026-10-07；180天：2026-10-06、2026-10-07</v>
      </c>
      <c r="BM773" s="8" t="str">
        <v>2026-10：12天 × 1.8609238953732312；2026-11：30天 × 1.438375649833085；2026-12：31天 × 0.9519742599124907；2027-01：17天 × 0.8673021058229575</v>
      </c>
      <c r="BN773" s="11" t="n">
        <v>1.8609238953732312</v>
      </c>
      <c r="BO773" s="11" t="n">
        <v>1.438375649833085</v>
      </c>
      <c r="BP773" s="11" t="n">
        <v>0.9519742599124907</v>
      </c>
      <c r="BQ773" s="11" t="n">
        <v>0.8673021058229575</v>
      </c>
      <c r="BR773" s="8" t="n">
        <v>12</v>
      </c>
      <c r="BS773" s="8" t="n">
        <v>30</v>
      </c>
      <c r="BT773" s="8" t="n">
        <v>31</v>
      </c>
      <c r="BU773" s="8" t="n">
        <v>17</v>
      </c>
      <c r="BV773" s="11" t="n">
        <f>IF(COUNT(BC773,BF773)=2,BC773*BF773,"")</f>
        <v>0.7799425018014677</v>
      </c>
      <c r="BW773" s="11" t="n">
        <f>IF(ISNUMBER(BN773),BN773,"")</f>
        <v>1.8609238953732312</v>
      </c>
      <c r="BX773" s="14" t="n">
        <f>IF(ISNUMBER(BR773),BR773,"")</f>
        <v>12</v>
      </c>
      <c r="BY773" s="13" t="n">
        <f>IF(AND(COUNT(BV773,BW773,BX773)=3,MIN(BV773,BW773,BX773)&gt;=0),BV773*BW773*BX773,"")</f>
        <v>17.416963663434366</v>
      </c>
      <c r="BZ773" s="11" t="n">
        <f>IF(ISNUMBER(BO773),BO773,"")</f>
        <v>1.438375649833085</v>
      </c>
      <c r="CA773" s="14" t="n">
        <f>IF(ISNUMBER(BS773),BS773,"")</f>
        <v>30</v>
      </c>
      <c r="CB773" s="13" t="n">
        <f>IF(AND(COUNT(BV773,BZ773,CA773)=3,MIN(BV773,BZ773,CA773)&gt;=0),BV773*BZ773*CA773,"")</f>
        <v>33.65550908583385</v>
      </c>
      <c r="CC773" s="11" t="n">
        <f>IF(ISNUMBER(BP773),BP773,"")</f>
        <v>0.9519742599124907</v>
      </c>
      <c r="CD773" s="14" t="n">
        <f>IF(ISNUMBER(BT773),BT773,"")</f>
        <v>31</v>
      </c>
      <c r="CE773" s="13" t="n">
        <f>IF(AND(COUNT(BV773,CC773,CD773)=3,MIN(BV773,CC773,CD773)&gt;=0),BV773*CC773*CD773,"")</f>
        <v>23.01704076372921</v>
      </c>
      <c r="CF773" s="11" t="n">
        <f>IF(ISNUMBER(BQ773),BQ773,"")</f>
        <v>0.8673021058229575</v>
      </c>
      <c r="CG773" s="14" t="n">
        <f>IF(ISNUMBER(BU773),BU773,"")</f>
        <v>17</v>
      </c>
      <c r="CH773" s="13" t="n">
        <f>IF(AND(COUNT(BV773,CF773,CG773)=3,MIN(BV773,CF773,CG773)&gt;=0),BV773*CF773*CG773,"")</f>
        <v>11.49957816196506</v>
      </c>
      <c r="CI773" s="13" t="n">
        <f>IF(COUNT(BY773,CB773,CE773,CH773)=4,SUM(BY773,CB773,CE773,CH773),"")</f>
        <v>85.58909167496249</v>
      </c>
    </row>
    <row r="774" ht="72" customHeight="1">
      <c r="A774" s="16" t="str">
        <v>60516-BK-S-K-8.5</v>
      </c>
      <c r="B774" s="16" t="str">
        <v>3店-SANDIEX-US</v>
      </c>
      <c r="C774" s="16" t="str">
        <v>徐新怡</v>
      </c>
      <c r="D774" s="26" t="n">
        <f>IF(NOT(ISNUMBER(E774)),"",IF(OR(E774&lt;=0,L774=0),0,IF(OR(NOT(ISNUMBER(F774)),F774&lt;0),"",MIN(E774,INT(F774)))))</f>
        <v>0</v>
      </c>
      <c r="E774" s="27" t="n">
        <f>IF(OR(NOT(ISNUMBER(L774)),COUNT(M774:O774)&lt;&gt;3,MIN(M774:O774)&lt;0),"",ROUNDUP(ROUND(BI774-SUM(M774:O774),10),0))</f>
        <v>0</v>
      </c>
      <c r="F774" s="28" t="n">
        <v>0</v>
      </c>
      <c r="G774" s="28" t="n">
        <f>IF(AND(ISNUMBER(D774),ISNUMBER(E774)),IF(OR(E774&lt;=0,L774=0),0,E774-D774),"")</f>
        <v>0</v>
      </c>
      <c r="H774" s="16" t="str">
        <f>IF(NOT(ISNUMBER(E774)),"销量或海外库存待补",IF(OR(E774&lt;=0,L774=0),IF(L774=0,"零日销，本批不发","本批无需补货"),IF(NOT(ISNUMBER(D774)),"国内库存待补",IF(D774=0,"国内无可用库存",IF(G774&gt;0,"先发国内现货","按建议量发货")))))</f>
        <v>零日销，本批不发</v>
      </c>
      <c r="I774" s="28" t="n">
        <f>IF(AND(COUNT(Z774,AA774,AB774)=3,Z774&gt;=AA774,AA774&gt;=0,AB774=7),Z774-AA774,"")</f>
        <v>0</v>
      </c>
      <c r="J774" s="28" t="n">
        <f>IF(AND(COUNT(AF774,AG774,AH774)=3,AF774&gt;=AG774,AG774&gt;=0,AH774=14),AF774-AG774,"")</f>
        <v>0</v>
      </c>
      <c r="K774" s="28" t="n">
        <f>IF(AND(COUNT(AL774,AM774,AN774)=3,AL774&gt;=AM774,AM774&gt;=0,AN774=30),AL774-AM774,"")</f>
        <v>0</v>
      </c>
      <c r="L774" s="29" t="n">
        <f>IF(ISNUMBER(BI774),BI774/90,"")</f>
        <v>0</v>
      </c>
      <c r="M774" s="28" t="n">
        <v>0</v>
      </c>
      <c r="N774" s="28" t="n">
        <v>0</v>
      </c>
      <c r="O774" s="28" t="n">
        <v>0</v>
      </c>
      <c r="P774" s="30" t="str">
        <f>IF(AND(ISNUMBER(L774),L774&gt;0,COUNT(M774:O774)=3,MIN(M774:O774)&gt;=0),SUM(M774:O774)/L774,"")</f>
      </c>
      <c r="Q774" s="16" t="str">
        <v>按本SKU唯一未删除Listing店铺核实</v>
      </c>
      <c r="R774" s="16" t="str">
        <v>已匹配</v>
      </c>
      <c r="S774" s="16" t="str">
        <v>停售</v>
      </c>
      <c r="T774" s="16" t="str">
        <v>60516</v>
      </c>
      <c r="U774" s="16" t="str">
        <v>黑色</v>
      </c>
      <c r="V774" s="16" t="n">
        <v>8.5</v>
      </c>
      <c r="W774" s="8" t="str">
        <v>2026-10-08 至 2026-10-17</v>
      </c>
      <c r="X774" s="8" t="str">
        <v>2026-10-08、2026-10-09、2026-10-10、2026-10-11、2026-10-14、2026-10-15、2026-10-17</v>
      </c>
      <c r="Y774" s="8" t="str">
        <v>2026-10-12 有记录的停售日；2026-10-13 有记录的停售日；2026-10-16 有记录的停售日</v>
      </c>
      <c r="Z774" s="8" t="n">
        <v>0</v>
      </c>
      <c r="AA774" s="8" t="n">
        <v>0</v>
      </c>
      <c r="AB774" s="8" t="n">
        <v>7</v>
      </c>
      <c r="AC774" s="8" t="str">
        <v>2026-09-29 至 2026-10-17</v>
      </c>
      <c r="AD774" s="8" t="str">
        <v>2026-09-29、2026-09-30、2026-10-01、2026-10-02、2026-10-03、2026-10-04、2026-10-05、2026-10-08、2026-10-09、2026-10-10、2026-10-11、2026-10-14、2026-10-15、2026-10-17</v>
      </c>
      <c r="AE774" s="8" t="str">
        <v>2026-10-06 大促；2026-10-07 大促；2026-10-12 有记录的停售日；2026-10-13 有记录的停售日；2026-10-16 有记录的停售日</v>
      </c>
      <c r="AF774" s="8" t="n">
        <v>0</v>
      </c>
      <c r="AG774" s="8" t="n">
        <v>0</v>
      </c>
      <c r="AH774" s="8" t="n">
        <v>14</v>
      </c>
      <c r="AI774" s="8" t="str">
        <v>2026-09-13 至 2026-10-17</v>
      </c>
      <c r="AJ77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74" s="8" t="str">
        <v>2026-10-06 大促；2026-10-07 大促；2026-10-12 有记录的停售日；2026-10-13 有记录的停售日；2026-10-16 有记录的停售日</v>
      </c>
      <c r="AL774" s="8" t="n">
        <v>0</v>
      </c>
      <c r="AM774" s="8" t="n">
        <v>0</v>
      </c>
      <c r="AN774" s="8" t="n">
        <v>30</v>
      </c>
      <c r="AO774" s="8" t="str">
        <v>60516 / 黑色羊京绒 / 6574</v>
      </c>
      <c r="AP774" s="11" t="n">
        <v>1.8609238953732312</v>
      </c>
      <c r="AQ774" s="11" t="n">
        <v>1.832044958686392</v>
      </c>
      <c r="AR774" s="11" t="n">
        <v>1.7396323612885067</v>
      </c>
      <c r="AS774" s="11" t="n">
        <f>IF(AND(COUNT(I774:K774,AP774:AR774)=6,MIN(AP774:AR774)&gt;0),I774/7/AP774*0.5+J774/14/AQ774*0.3+K774/30/AR774*0.2,"")</f>
        <v>0</v>
      </c>
      <c r="AT774" s="8" t="n">
        <v>0</v>
      </c>
      <c r="AU774" s="8" t="n">
        <v>0</v>
      </c>
      <c r="AV774" s="8" t="n">
        <v>85</v>
      </c>
      <c r="AW774" s="11" t="n">
        <f>IF(AND(COUNT(AT774:AV774)=3,AT774&gt;=AU774,AU774&gt;=0,AV774&gt;0),(AT774-AU774)/AV774,"")</f>
        <v>0</v>
      </c>
      <c r="AX774" s="8" t="n">
        <v>0</v>
      </c>
      <c r="AY774" s="8" t="n">
        <v>0</v>
      </c>
      <c r="AZ774" s="8" t="n">
        <v>175</v>
      </c>
      <c r="BA774" s="11" t="n">
        <f>IF(AND(COUNT(AX774:AZ774)=3,AX774&gt;=AY774,AY774&gt;=0,AZ774&gt;0),(AX774-AY774)/AZ774,"")</f>
        <v>0</v>
      </c>
      <c r="BB774" s="8" t="n">
        <f>IF(COUNT(AS774,AW774,BA774)=3,1,0)</f>
        <v>1</v>
      </c>
      <c r="BC774" s="11" t="n">
        <f>IF(SUMIF($AO$11:$AO$1309,AO774,$BB$11:$BB$1309)=COUNTIF($AO$11:$AO$1309,AO774),SUMIF($AO$11:$AO$1309,AO774,$AS$11:$AS$1309),"")</f>
        <v>3.0362329919441002</v>
      </c>
      <c r="BD774" s="11" t="n">
        <f>IF(SUMIF($AO$11:$AO$1309,AO774,$BB$11:$BB$1309)=COUNTIF($AO$11:$AO$1309,AO774),SUMIF($AO$11:$AO$1309,AO774,$AW$11:$AW$1309),"")</f>
        <v>2.9545454545454546</v>
      </c>
      <c r="BE774" s="11" t="n">
        <f>IF(SUMIF($AO$11:$AO$1309,AO774,$BB$11:$BB$1309)=COUNTIF($AO$11:$AO$1309,AO774),SUMIF($AO$11:$AO$1309,AO774,$BA$11:$BA$1309),"")</f>
        <v>2.169502407704655</v>
      </c>
      <c r="BF774" s="12" t="n">
        <f>IF(COUNT(BD774:BE774)&lt;&gt;2,"",IF(AND(BD774&gt;0,BE774&gt;0),0.7*AW774/BD774+0.3*BA774/BE774,IF(BD774&gt;0,AW774/BD774,IF(BE774&gt;0,BA774/BE774,IF(AND(ISNUMBER(BH774),BH774=0),0,"")))))</f>
        <v>0</v>
      </c>
      <c r="BG774" s="11" t="n">
        <f>IF(AND(COUNT(BN774:BU774)=8,MIN(BN774:BU774)&gt;=0),SUMPRODUCT(BN774:BQ774,BR774:BU774),"")</f>
        <v>109.73769409574882</v>
      </c>
      <c r="BH774" s="11" t="n">
        <f>IF(COUNT(BC774,BG774)=2,BC774*BG774,"")</f>
        <v>333.18920727338184</v>
      </c>
      <c r="BI774" s="11" t="n">
        <f>IF(ISNUMBER(CI774),CI774,"")</f>
        <v>0</v>
      </c>
      <c r="BJ774" s="8" t="str"/>
      <c r="BK774" s="8" t="str">
        <v>90天：2026-07-20 至 2026-10-17；180天：2026-04-21 至 2026-10-17</v>
      </c>
      <c r="BL774" s="8" t="str">
        <v>90天：2026-10-06、2026-10-07、2026-10-12、2026-10-13、2026-10-16；180天：2026-10-06、2026-10-07、2026-10-12、2026-10-13、2026-10-16</v>
      </c>
      <c r="BM774" s="8" t="str">
        <v>2026-10：12天 × 1.8609238953732312；2026-11：30天 × 1.438375649833085；2026-12：31天 × 0.9519742599124907；2027-01：17天 × 0.8673021058229575</v>
      </c>
      <c r="BN774" s="11" t="n">
        <v>1.8609238953732312</v>
      </c>
      <c r="BO774" s="11" t="n">
        <v>1.438375649833085</v>
      </c>
      <c r="BP774" s="11" t="n">
        <v>0.9519742599124907</v>
      </c>
      <c r="BQ774" s="11" t="n">
        <v>0.8673021058229575</v>
      </c>
      <c r="BR774" s="8" t="n">
        <v>12</v>
      </c>
      <c r="BS774" s="8" t="n">
        <v>30</v>
      </c>
      <c r="BT774" s="8" t="n">
        <v>31</v>
      </c>
      <c r="BU774" s="8" t="n">
        <v>17</v>
      </c>
      <c r="BV774" s="11" t="n">
        <f>IF(COUNT(BC774,BF774)=2,BC774*BF774,"")</f>
        <v>0</v>
      </c>
      <c r="BW774" s="11" t="n">
        <f>IF(ISNUMBER(BN774),BN774,"")</f>
        <v>1.8609238953732312</v>
      </c>
      <c r="BX774" s="14" t="n">
        <f>IF(ISNUMBER(BR774),BR774,"")</f>
        <v>12</v>
      </c>
      <c r="BY774" s="13" t="n">
        <f>IF(AND(COUNT(BV774,BW774,BX774)=3,MIN(BV774,BW774,BX774)&gt;=0),BV774*BW774*BX774,"")</f>
        <v>0</v>
      </c>
      <c r="BZ774" s="11" t="n">
        <f>IF(ISNUMBER(BO774),BO774,"")</f>
        <v>1.438375649833085</v>
      </c>
      <c r="CA774" s="14" t="n">
        <f>IF(ISNUMBER(BS774),BS774,"")</f>
        <v>30</v>
      </c>
      <c r="CB774" s="13" t="n">
        <f>IF(AND(COUNT(BV774,BZ774,CA774)=3,MIN(BV774,BZ774,CA774)&gt;=0),BV774*BZ774*CA774,"")</f>
        <v>0</v>
      </c>
      <c r="CC774" s="11" t="n">
        <f>IF(ISNUMBER(BP774),BP774,"")</f>
        <v>0.9519742599124907</v>
      </c>
      <c r="CD774" s="14" t="n">
        <f>IF(ISNUMBER(BT774),BT774,"")</f>
        <v>31</v>
      </c>
      <c r="CE774" s="13" t="n">
        <f>IF(AND(COUNT(BV774,CC774,CD774)=3,MIN(BV774,CC774,CD774)&gt;=0),BV774*CC774*CD774,"")</f>
        <v>0</v>
      </c>
      <c r="CF774" s="11" t="n">
        <f>IF(ISNUMBER(BQ774),BQ774,"")</f>
        <v>0.8673021058229575</v>
      </c>
      <c r="CG774" s="14" t="n">
        <f>IF(ISNUMBER(BU774),BU774,"")</f>
        <v>17</v>
      </c>
      <c r="CH774" s="13" t="n">
        <f>IF(AND(COUNT(BV774,CF774,CG774)=3,MIN(BV774,CF774,CG774)&gt;=0),BV774*CF774*CG774,"")</f>
        <v>0</v>
      </c>
      <c r="CI774" s="13" t="n">
        <f>IF(COUNT(BY774,CB774,CE774,CH774)=4,SUM(BY774,CB774,CE774,CH774),"")</f>
        <v>0</v>
      </c>
    </row>
    <row r="775" ht="72" customHeight="1">
      <c r="A775" s="16" t="str">
        <v>60516-BK-S-K-9</v>
      </c>
      <c r="B775" s="16" t="str">
        <v>3店-SANDIEX-US</v>
      </c>
      <c r="C775" s="16" t="str">
        <v>徐新怡</v>
      </c>
      <c r="D775" s="26" t="n">
        <f>IF(NOT(ISNUMBER(E775)),"",IF(OR(E775&lt;=0,L775=0),0,IF(OR(NOT(ISNUMBER(F775)),F775&lt;0),"",MIN(E775,INT(F775)))))</f>
        <v>0</v>
      </c>
      <c r="E775" s="27" t="n">
        <f>IF(OR(NOT(ISNUMBER(L775)),COUNT(M775:O775)&lt;&gt;3,MIN(M775:O775)&lt;0),"",ROUNDUP(ROUND(BI775-SUM(M775:O775),10),0))</f>
        <v>-28</v>
      </c>
      <c r="F775" s="28" t="n">
        <v>210</v>
      </c>
      <c r="G775" s="28" t="n">
        <f>IF(AND(ISNUMBER(D775),ISNUMBER(E775)),IF(OR(E775&lt;=0,L775=0),0,E775-D775),"")</f>
        <v>0</v>
      </c>
      <c r="H775" s="16" t="str">
        <f>IF(NOT(ISNUMBER(E775)),"销量或海外库存待补",IF(OR(E775&lt;=0,L775=0),IF(L775=0,"零日销，本批不发","本批无需补货"),IF(NOT(ISNUMBER(D775)),"国内库存待补",IF(D775=0,"国内无可用库存",IF(G775&gt;0,"先发国内现货","按建议量发货")))))</f>
        <v>本批无需补货</v>
      </c>
      <c r="I775" s="28" t="n">
        <f>IF(AND(COUNT(Z775,AA775,AB775)=3,Z775&gt;=AA775,AA775&gt;=0,AB775=7),Z775-AA775,"")</f>
        <v>12</v>
      </c>
      <c r="J775" s="28" t="n">
        <f>IF(AND(COUNT(AF775,AG775,AH775)=3,AF775&gt;=AG775,AG775&gt;=0,AH775=14),AF775-AG775,"")</f>
        <v>18</v>
      </c>
      <c r="K775" s="28" t="n">
        <f>IF(AND(COUNT(AL775,AM775,AN775)=3,AL775&gt;=AM775,AM775&gt;=0,AN775=30),AL775-AM775,"")</f>
        <v>37</v>
      </c>
      <c r="L775" s="29" t="n">
        <f>IF(ISNUMBER(BI775),BI775/90,"")</f>
        <v>0.8467074662863188</v>
      </c>
      <c r="M775" s="28" t="n">
        <v>84</v>
      </c>
      <c r="N775" s="28" t="n">
        <v>0</v>
      </c>
      <c r="O775" s="28" t="n">
        <v>20</v>
      </c>
      <c r="P775" s="30" t="n">
        <f>IF(AND(ISNUMBER(L775),L775&gt;0,COUNT(M775:O775)=3,MIN(M775:O775)&gt;=0),SUM(M775:O775)/L775,"")</f>
        <v>122.82872673385855</v>
      </c>
      <c r="Q775" s="16" t="str">
        <v>沿用原计划SKU店铺</v>
      </c>
      <c r="R775" s="16" t="str">
        <v>已匹配</v>
      </c>
      <c r="S775" s="16" t="str">
        <v>在售</v>
      </c>
      <c r="T775" s="16" t="str">
        <v>60516</v>
      </c>
      <c r="U775" s="16" t="str">
        <v>黑色</v>
      </c>
      <c r="V775" s="16" t="n">
        <v>9</v>
      </c>
      <c r="W775" s="8" t="str">
        <v>2026-10-11 至 2026-10-17</v>
      </c>
      <c r="X775" s="8" t="str">
        <v>2026-10-11、2026-10-12、2026-10-13、2026-10-14、2026-10-15、2026-10-16、2026-10-17</v>
      </c>
      <c r="Y775" s="8" t="str">
        <v>无</v>
      </c>
      <c r="Z775" s="8" t="n">
        <v>12</v>
      </c>
      <c r="AA775" s="8" t="n">
        <v>0</v>
      </c>
      <c r="AB775" s="8" t="n">
        <v>7</v>
      </c>
      <c r="AC775" s="8" t="str">
        <v>2026-10-02 至 2026-10-17</v>
      </c>
      <c r="AD775" s="8" t="str">
        <v>2026-10-02、2026-10-03、2026-10-04、2026-10-05、2026-10-08、2026-10-09、2026-10-10、2026-10-11、2026-10-12、2026-10-13、2026-10-14、2026-10-15、2026-10-16、2026-10-17</v>
      </c>
      <c r="AE775" s="8" t="str">
        <v>2026-10-06 大促；2026-10-07 大促</v>
      </c>
      <c r="AF775" s="8" t="n">
        <v>22</v>
      </c>
      <c r="AG775" s="8" t="n">
        <v>4</v>
      </c>
      <c r="AH775" s="8" t="n">
        <v>14</v>
      </c>
      <c r="AI775" s="8" t="str">
        <v>2026-09-16 至 2026-10-17</v>
      </c>
      <c r="AJ7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5" s="8" t="str">
        <v>2026-10-06 大促；2026-10-07 大促</v>
      </c>
      <c r="AL775" s="8" t="n">
        <v>41</v>
      </c>
      <c r="AM775" s="8" t="n">
        <v>4</v>
      </c>
      <c r="AN775" s="8" t="n">
        <v>30</v>
      </c>
      <c r="AO775" s="8" t="str">
        <v>60516 / 黑色羊京绒 / 6574</v>
      </c>
      <c r="AP775" s="11" t="n">
        <v>1.8609238953732312</v>
      </c>
      <c r="AQ775" s="11" t="n">
        <v>1.8609238953732312</v>
      </c>
      <c r="AR775" s="11" t="n">
        <v>1.7598476169692943</v>
      </c>
      <c r="AS775" s="11" t="n">
        <f>IF(AND(COUNT(I775:K775,AP775:AR775)=6,MIN(AP775:AR775)&gt;0),I775/7/AP775*0.5+J775/14/AQ775*0.3+K775/30/AR775*0.2,"")</f>
        <v>0.8080346721553023</v>
      </c>
      <c r="AT775" s="8" t="n">
        <v>65</v>
      </c>
      <c r="AU775" s="8" t="n">
        <v>4</v>
      </c>
      <c r="AV775" s="8" t="n">
        <v>88</v>
      </c>
      <c r="AW775" s="11" t="n">
        <f>IF(AND(COUNT(AT775:AV775)=3,AT775&gt;=AU775,AU775&gt;=0,AV775&gt;0),(AT775-AU775)/AV775,"")</f>
        <v>0.6931818181818182</v>
      </c>
      <c r="AX775" s="8" t="n">
        <v>87</v>
      </c>
      <c r="AY775" s="8" t="n">
        <v>4</v>
      </c>
      <c r="AZ775" s="8" t="n">
        <v>178</v>
      </c>
      <c r="BA775" s="11" t="n">
        <f>IF(AND(COUNT(AX775:AZ775)=3,AX775&gt;=AY775,AY775&gt;=0,AZ775&gt;0),(AX775-AY775)/AZ775,"")</f>
        <v>0.46629213483146065</v>
      </c>
      <c r="BB775" s="8" t="n">
        <f>IF(COUNT(AS775,AW775,BA775)=3,1,0)</f>
        <v>1</v>
      </c>
      <c r="BC775" s="11" t="n">
        <f>IF(SUMIF($AO$11:$AO$1309,AO775,$BB$11:$BB$1309)=COUNTIF($AO$11:$AO$1309,AO775),SUMIF($AO$11:$AO$1309,AO775,$AS$11:$AS$1309),"")</f>
        <v>3.0362329919441002</v>
      </c>
      <c r="BD775" s="11" t="n">
        <f>IF(SUMIF($AO$11:$AO$1309,AO775,$BB$11:$BB$1309)=COUNTIF($AO$11:$AO$1309,AO775),SUMIF($AO$11:$AO$1309,AO775,$AW$11:$AW$1309),"")</f>
        <v>2.9545454545454546</v>
      </c>
      <c r="BE775" s="11" t="n">
        <f>IF(SUMIF($AO$11:$AO$1309,AO775,$BB$11:$BB$1309)=COUNTIF($AO$11:$AO$1309,AO775),SUMIF($AO$11:$AO$1309,AO775,$BA$11:$BA$1309),"")</f>
        <v>2.169502407704655</v>
      </c>
      <c r="BF775" s="12" t="n">
        <f>IF(COUNT(BD775:BE775)&lt;&gt;2,"",IF(AND(BD775&gt;0,BE775&gt;0),0.7*AW775/BD775+0.3*BA775/BE775,IF(BD775&gt;0,AW775/BD775,IF(BE775&gt;0,BA775/BE775,IF(AND(ISNUMBER(BH775),BH775=0),0,"")))))</f>
        <v>0.22870990506977484</v>
      </c>
      <c r="BG775" s="11" t="n">
        <f>IF(AND(COUNT(BN775:BU775)=8,MIN(BN775:BU775)&gt;=0),SUMPRODUCT(BN775:BQ775,BR775:BU775),"")</f>
        <v>109.73769409574882</v>
      </c>
      <c r="BH775" s="11" t="n">
        <f>IF(COUNT(BC775,BG775)=2,BC775*BG775,"")</f>
        <v>333.18920727338184</v>
      </c>
      <c r="BI775" s="11" t="n">
        <f>IF(ISNUMBER(CI775),CI775,"")</f>
        <v>76.20367196576869</v>
      </c>
      <c r="BJ775" s="8" t="str"/>
      <c r="BK775" s="8" t="str">
        <v>90天：2026-07-20 至 2026-10-17；180天：2026-04-21 至 2026-10-17</v>
      </c>
      <c r="BL775" s="8" t="str">
        <v>90天：2026-10-06、2026-10-07；180天：2026-10-06、2026-10-07</v>
      </c>
      <c r="BM775" s="8" t="str">
        <v>2026-10：12天 × 1.8609238953732312；2026-11：30天 × 1.438375649833085；2026-12：31天 × 0.9519742599124907；2027-01：17天 × 0.8673021058229575</v>
      </c>
      <c r="BN775" s="11" t="n">
        <v>1.8609238953732312</v>
      </c>
      <c r="BO775" s="11" t="n">
        <v>1.438375649833085</v>
      </c>
      <c r="BP775" s="11" t="n">
        <v>0.9519742599124907</v>
      </c>
      <c r="BQ775" s="11" t="n">
        <v>0.8673021058229575</v>
      </c>
      <c r="BR775" s="8" t="n">
        <v>12</v>
      </c>
      <c r="BS775" s="8" t="n">
        <v>30</v>
      </c>
      <c r="BT775" s="8" t="n">
        <v>31</v>
      </c>
      <c r="BU775" s="8" t="n">
        <v>17</v>
      </c>
      <c r="BV775" s="11" t="n">
        <f>IF(COUNT(BC775,BF775)=2,BC775*BF775,"")</f>
        <v>0.6944165593572537</v>
      </c>
      <c r="BW775" s="11" t="n">
        <f>IF(ISNUMBER(BN775),BN775,"")</f>
        <v>1.8609238953732312</v>
      </c>
      <c r="BX775" s="14" t="n">
        <f>IF(ISNUMBER(BR775),BR775,"")</f>
        <v>12</v>
      </c>
      <c r="BY775" s="13" t="n">
        <f>IF(AND(COUNT(BV775,BW775,BX775)=3,MIN(BV775,BW775,BX775)&gt;=0),BV775*BW775*BX775,"")</f>
        <v>15.507076423809325</v>
      </c>
      <c r="BZ775" s="11" t="n">
        <f>IF(ISNUMBER(BO775),BO775,"")</f>
        <v>1.438375649833085</v>
      </c>
      <c r="CA775" s="14" t="n">
        <f>IF(ISNUMBER(BS775),BS775,"")</f>
        <v>30</v>
      </c>
      <c r="CB775" s="13" t="n">
        <f>IF(AND(COUNT(BV775,BZ775,CA775)=3,MIN(BV775,BZ775,CA775)&gt;=0),BV775*BZ775*CA775,"")</f>
        <v>29.964956094610343</v>
      </c>
      <c r="CC775" s="11" t="n">
        <f>IF(ISNUMBER(BP775),BP775,"")</f>
        <v>0.9519742599124907</v>
      </c>
      <c r="CD775" s="14" t="n">
        <f>IF(ISNUMBER(BT775),BT775,"")</f>
        <v>31</v>
      </c>
      <c r="CE775" s="13" t="n">
        <f>IF(AND(COUNT(BV775,CC775,CD775)=3,MIN(BV775,CC775,CD775)&gt;=0),BV775*CC775*CD775,"")</f>
        <v>20.493067395118093</v>
      </c>
      <c r="CF775" s="11" t="n">
        <f>IF(ISNUMBER(BQ775),BQ775,"")</f>
        <v>0.8673021058229575</v>
      </c>
      <c r="CG775" s="14" t="n">
        <f>IF(ISNUMBER(BU775),BU775,"")</f>
        <v>17</v>
      </c>
      <c r="CH775" s="13" t="n">
        <f>IF(AND(COUNT(BV775,CF775,CG775)=3,MIN(BV775,CF775,CG775)&gt;=0),BV775*CF775*CG775,"")</f>
        <v>10.238572052230941</v>
      </c>
      <c r="CI775" s="13" t="n">
        <f>IF(COUNT(BY775,CB775,CE775,CH775)=4,SUM(BY775,CB775,CE775,CH775),"")</f>
        <v>76.20367196576869</v>
      </c>
    </row>
    <row r="776" ht="72" customHeight="1">
      <c r="A776" s="16" t="str">
        <v>60516-LP-S-K-6</v>
      </c>
      <c r="B776" s="16" t="str">
        <v>3店-SANDIEX-US</v>
      </c>
      <c r="C776" s="16" t="str">
        <v>徐新怡</v>
      </c>
      <c r="D776" s="26" t="n">
        <f>IF(NOT(ISNUMBER(E776)),"",IF(OR(E776&lt;=0,L776=0),0,IF(OR(NOT(ISNUMBER(F776)),F776&lt;0),"",MIN(E776,INT(F776)))))</f>
        <v>0</v>
      </c>
      <c r="E776" s="27" t="n">
        <f>IF(OR(NOT(ISNUMBER(L776)),COUNT(M776:O776)&lt;&gt;3,MIN(M776:O776)&lt;0),"",ROUNDUP(ROUND(BI776-SUM(M776:O776),10),0))</f>
        <v>-10</v>
      </c>
      <c r="F776" s="28" t="n">
        <v>15</v>
      </c>
      <c r="G776" s="28" t="n">
        <f>IF(AND(ISNUMBER(D776),ISNUMBER(E776)),IF(OR(E776&lt;=0,L776=0),0,E776-D776),"")</f>
        <v>0</v>
      </c>
      <c r="H776" s="16" t="str">
        <f>IF(NOT(ISNUMBER(E776)),"销量或海外库存待补",IF(OR(E776&lt;=0,L776=0),IF(L776=0,"零日销，本批不发","本批无需补货"),IF(NOT(ISNUMBER(D776)),"国内库存待补",IF(D776=0,"国内无可用库存",IF(G776&gt;0,"先发国内现货","按建议量发货")))))</f>
        <v>本批无需补货</v>
      </c>
      <c r="I776" s="28" t="n">
        <f>IF(AND(COUNT(Z776,AA776,AB776)=3,Z776&gt;=AA776,AA776&gt;=0,AB776=7),Z776-AA776,"")</f>
        <v>3</v>
      </c>
      <c r="J776" s="28" t="n">
        <f>IF(AND(COUNT(AF776,AG776,AH776)=3,AF776&gt;=AG776,AG776&gt;=0,AH776=14),AF776-AG776,"")</f>
        <v>5</v>
      </c>
      <c r="K776" s="28" t="n">
        <f>IF(AND(COUNT(AL776,AM776,AN776)=3,AL776&gt;=AM776,AM776&gt;=0,AN776=30),AL776-AM776,"")</f>
        <v>6</v>
      </c>
      <c r="L776" s="29" t="n">
        <f>IF(ISNUMBER(BI776),BI776/90,"")</f>
        <v>0.19911343283211377</v>
      </c>
      <c r="M776" s="28" t="n">
        <v>27</v>
      </c>
      <c r="N776" s="28" t="n">
        <v>0</v>
      </c>
      <c r="O776" s="28" t="n">
        <v>0</v>
      </c>
      <c r="P776" s="30" t="n">
        <f>IF(AND(ISNUMBER(L776),L776&gt;0,COUNT(M776:O776)=3,MIN(M776:O776)&gt;=0),SUM(M776:O776)/L776,"")</f>
        <v>135.6010974044406</v>
      </c>
      <c r="Q776" s="16" t="str">
        <v>沿用原计划SKU店铺</v>
      </c>
      <c r="R776" s="16" t="str">
        <v>已匹配</v>
      </c>
      <c r="S776" s="16" t="str">
        <v>在售</v>
      </c>
      <c r="T776" s="16" t="str">
        <v>60516</v>
      </c>
      <c r="U776" s="16" t="str">
        <v>豹纹</v>
      </c>
      <c r="V776" s="16" t="n">
        <v>6</v>
      </c>
      <c r="W776" s="8" t="str">
        <v>2026-10-11 至 2026-10-17</v>
      </c>
      <c r="X776" s="8" t="str">
        <v>2026-10-11、2026-10-12、2026-10-13、2026-10-14、2026-10-15、2026-10-16、2026-10-17</v>
      </c>
      <c r="Y776" s="8" t="str">
        <v>无</v>
      </c>
      <c r="Z776" s="8" t="n">
        <v>3</v>
      </c>
      <c r="AA776" s="8" t="n">
        <v>0</v>
      </c>
      <c r="AB776" s="8" t="n">
        <v>7</v>
      </c>
      <c r="AC776" s="8" t="str">
        <v>2026-10-02 至 2026-10-17</v>
      </c>
      <c r="AD776" s="8" t="str">
        <v>2026-10-02、2026-10-03、2026-10-04、2026-10-05、2026-10-08、2026-10-09、2026-10-10、2026-10-11、2026-10-12、2026-10-13、2026-10-14、2026-10-15、2026-10-16、2026-10-17</v>
      </c>
      <c r="AE776" s="8" t="str">
        <v>2026-10-06 大促；2026-10-07 大促</v>
      </c>
      <c r="AF776" s="8" t="n">
        <v>6</v>
      </c>
      <c r="AG776" s="8" t="n">
        <v>1</v>
      </c>
      <c r="AH776" s="8" t="n">
        <v>14</v>
      </c>
      <c r="AI776" s="8" t="str">
        <v>2026-09-16 至 2026-10-17</v>
      </c>
      <c r="AJ7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6" s="8" t="str">
        <v>2026-10-06 大促；2026-10-07 大促</v>
      </c>
      <c r="AL776" s="8" t="n">
        <v>7</v>
      </c>
      <c r="AM776" s="8" t="n">
        <v>1</v>
      </c>
      <c r="AN776" s="8" t="n">
        <v>30</v>
      </c>
      <c r="AO776" s="8" t="str">
        <v>60516 / 豹纹羊京绒 / 6574</v>
      </c>
      <c r="AP776" s="11" t="n">
        <v>1.8609238953732312</v>
      </c>
      <c r="AQ776" s="11" t="n">
        <v>1.8609238953732312</v>
      </c>
      <c r="AR776" s="11" t="n">
        <v>1.7598476169692943</v>
      </c>
      <c r="AS776" s="11" t="n">
        <f>IF(AND(COUNT(I776:K776,AP776:AR776)=6,MIN(AP776:AR776)&gt;0),I776/7/AP776*0.5+J776/14/AQ776*0.3+K776/30/AR776*0.2,"")</f>
        <v>0.19545450482371762</v>
      </c>
      <c r="AT776" s="8" t="n">
        <v>12</v>
      </c>
      <c r="AU776" s="8" t="n">
        <v>1</v>
      </c>
      <c r="AV776" s="8" t="n">
        <v>88</v>
      </c>
      <c r="AW776" s="11" t="n">
        <f>IF(AND(COUNT(AT776:AV776)=3,AT776&gt;=AU776,AU776&gt;=0,AV776&gt;0),(AT776-AU776)/AV776,"")</f>
        <v>0.125</v>
      </c>
      <c r="AX776" s="8" t="n">
        <v>21</v>
      </c>
      <c r="AY776" s="8" t="n">
        <v>1</v>
      </c>
      <c r="AZ776" s="8" t="n">
        <v>178</v>
      </c>
      <c r="BA776" s="11" t="n">
        <f>IF(AND(COUNT(AX776:AZ776)=3,AX776&gt;=AY776,AY776&gt;=0,AZ776&gt;0),(AX776-AY776)/AZ776,"")</f>
        <v>0.11235955056179775</v>
      </c>
      <c r="BB776" s="8" t="n">
        <f>IF(COUNT(AS776,AW776,BA776)=3,1,0)</f>
        <v>1</v>
      </c>
      <c r="BC776" s="11" t="n">
        <f>IF(SUMIF($AO$11:$AO$1309,AO776,$BB$11:$BB$1309)=COUNTIF($AO$11:$AO$1309,AO776),SUMIF($AO$11:$AO$1309,AO776,$AS$11:$AS$1309),"")</f>
        <v>4.8489600193541325</v>
      </c>
      <c r="BD776" s="11" t="n">
        <f>IF(SUMIF($AO$11:$AO$1309,AO776,$BB$11:$BB$1309)=COUNTIF($AO$11:$AO$1309,AO776),SUMIF($AO$11:$AO$1309,AO776,$AW$11:$AW$1309),"")</f>
        <v>4.045454545454545</v>
      </c>
      <c r="BE776" s="11" t="n">
        <f>IF(SUMIF($AO$11:$AO$1309,AO776,$BB$11:$BB$1309)=COUNTIF($AO$11:$AO$1309,AO776),SUMIF($AO$11:$AO$1309,AO776,$BA$11:$BA$1309),"")</f>
        <v>2.7977528089887636</v>
      </c>
      <c r="BF776" s="12" t="n">
        <f>IF(COUNT(BD776:BE776)&lt;&gt;2,"",IF(AND(BD776&gt;0,BE776&gt;0),0.7*AW776/BD776+0.3*BA776/BE776,IF(BD776&gt;0,AW776/BD776,IF(BE776&gt;0,BA776/BE776,IF(AND(ISNUMBER(BH776),BH776=0),0,"")))))</f>
        <v>0.03367740625423041</v>
      </c>
      <c r="BG776" s="11" t="n">
        <f>IF(AND(COUNT(BN776:BU776)=8,MIN(BN776:BU776)&gt;=0),SUMPRODUCT(BN776:BQ776,BR776:BU776),"")</f>
        <v>109.73769409574882</v>
      </c>
      <c r="BH776" s="11" t="n">
        <f>IF(COUNT(BC776,BG776)=2,BC776*BG776,"")</f>
        <v>532.1136912864001</v>
      </c>
      <c r="BI776" s="11" t="n">
        <f>IF(ISNUMBER(CI776),CI776,"")</f>
        <v>17.92020895489024</v>
      </c>
      <c r="BJ776" s="8" t="str"/>
      <c r="BK776" s="8" t="str">
        <v>90天：2026-07-20 至 2026-10-17；180天：2026-04-21 至 2026-10-17</v>
      </c>
      <c r="BL776" s="8" t="str">
        <v>90天：2026-10-06、2026-10-07；180天：2026-10-06、2026-10-07</v>
      </c>
      <c r="BM776" s="8" t="str">
        <v>2026-10：12天 × 1.8609238953732312；2026-11：30天 × 1.438375649833085；2026-12：31天 × 0.9519742599124907；2027-01：17天 × 0.8673021058229575</v>
      </c>
      <c r="BN776" s="11" t="n">
        <v>1.8609238953732312</v>
      </c>
      <c r="BO776" s="11" t="n">
        <v>1.438375649833085</v>
      </c>
      <c r="BP776" s="11" t="n">
        <v>0.9519742599124907</v>
      </c>
      <c r="BQ776" s="11" t="n">
        <v>0.8673021058229575</v>
      </c>
      <c r="BR776" s="8" t="n">
        <v>12</v>
      </c>
      <c r="BS776" s="8" t="n">
        <v>30</v>
      </c>
      <c r="BT776" s="8" t="n">
        <v>31</v>
      </c>
      <c r="BU776" s="8" t="n">
        <v>17</v>
      </c>
      <c r="BV776" s="11" t="n">
        <f>IF(COUNT(BC776,BF776)=2,BC776*BF776,"")</f>
        <v>0.16330039648231007</v>
      </c>
      <c r="BW776" s="11" t="n">
        <f>IF(ISNUMBER(BN776),BN776,"")</f>
        <v>1.8609238953732312</v>
      </c>
      <c r="BX776" s="14" t="n">
        <f>IF(ISNUMBER(BR776),BR776,"")</f>
        <v>12</v>
      </c>
      <c r="BY776" s="13" t="n">
        <f>IF(AND(COUNT(BV776,BW776,BX776)=3,MIN(BV776,BW776,BX776)&gt;=0),BV776*BW776*BX776,"")</f>
        <v>3.6466753192542427</v>
      </c>
      <c r="BZ776" s="11" t="n">
        <f>IF(ISNUMBER(BO776),BO776,"")</f>
        <v>1.438375649833085</v>
      </c>
      <c r="CA776" s="14" t="n">
        <f>IF(ISNUMBER(BS776),BS776,"")</f>
        <v>30</v>
      </c>
      <c r="CB776" s="13" t="n">
        <f>IF(AND(COUNT(BV776,BZ776,CA776)=3,MIN(BV776,BZ776,CA776)&gt;=0),BV776*BZ776*CA776,"")</f>
        <v>7.046619417247296</v>
      </c>
      <c r="CC776" s="11" t="n">
        <f>IF(ISNUMBER(BP776),BP776,"")</f>
        <v>0.9519742599124907</v>
      </c>
      <c r="CD776" s="14" t="n">
        <f>IF(ISNUMBER(BT776),BT776,"")</f>
        <v>31</v>
      </c>
      <c r="CE776" s="13" t="n">
        <f>IF(AND(COUNT(BV776,CC776,CD776)=3,MIN(BV776,CC776,CD776)&gt;=0),BV776*CC776*CD776,"")</f>
        <v>4.819190996624567</v>
      </c>
      <c r="CF776" s="11" t="n">
        <f>IF(ISNUMBER(BQ776),BQ776,"")</f>
        <v>0.8673021058229575</v>
      </c>
      <c r="CG776" s="14" t="n">
        <f>IF(ISNUMBER(BU776),BU776,"")</f>
        <v>17</v>
      </c>
      <c r="CH776" s="13" t="n">
        <f>IF(AND(COUNT(BV776,CF776,CG776)=3,MIN(BV776,CF776,CG776)&gt;=0),BV776*CF776*CG776,"")</f>
        <v>2.407723221764134</v>
      </c>
      <c r="CI776" s="13" t="n">
        <f>IF(COUNT(BY776,CB776,CE776,CH776)=4,SUM(BY776,CB776,CE776,CH776),"")</f>
        <v>17.92020895489024</v>
      </c>
    </row>
    <row r="777" ht="72" customHeight="1">
      <c r="A777" s="16" t="str">
        <v>60516-LP-S-K-6.5</v>
      </c>
      <c r="B777" s="16" t="str">
        <v>3店-SANDIEX-US</v>
      </c>
      <c r="C777" s="16" t="str">
        <v>徐新怡</v>
      </c>
      <c r="D777" s="26" t="n">
        <f>IF(NOT(ISNUMBER(E777)),"",IF(OR(E777&lt;=0,L777=0),0,IF(OR(NOT(ISNUMBER(F777)),F777&lt;0),"",MIN(E777,INT(F777)))))</f>
        <v>0</v>
      </c>
      <c r="E777" s="27" t="n">
        <f>IF(OR(NOT(ISNUMBER(L777)),COUNT(M777:O777)&lt;&gt;3,MIN(M777:O777)&lt;0),"",ROUNDUP(ROUND(BI777-SUM(M777:O777),10),0))</f>
        <v>0</v>
      </c>
      <c r="F777" s="28" t="n">
        <v>0</v>
      </c>
      <c r="G777" s="28" t="n">
        <f>IF(AND(ISNUMBER(D777),ISNUMBER(E777)),IF(OR(E777&lt;=0,L777=0),0,E777-D777),"")</f>
        <v>0</v>
      </c>
      <c r="H777" s="16" t="str">
        <f>IF(NOT(ISNUMBER(E777)),"销量或海外库存待补",IF(OR(E777&lt;=0,L777=0),IF(L777=0,"零日销，本批不发","本批无需补货"),IF(NOT(ISNUMBER(D777)),"国内库存待补",IF(D777=0,"国内无可用库存",IF(G777&gt;0,"先发国内现货","按建议量发货")))))</f>
        <v>零日销，本批不发</v>
      </c>
      <c r="I777" s="28" t="n">
        <f>IF(AND(COUNT(Z777,AA777,AB777)=3,Z777&gt;=AA777,AA777&gt;=0,AB777=7),Z777-AA777,"")</f>
        <v>0</v>
      </c>
      <c r="J777" s="28" t="n">
        <f>IF(AND(COUNT(AF777,AG777,AH777)=3,AF777&gt;=AG777,AG777&gt;=0,AH777=14),AF777-AG777,"")</f>
        <v>0</v>
      </c>
      <c r="K777" s="28" t="n">
        <f>IF(AND(COUNT(AL777,AM777,AN777)=3,AL777&gt;=AM777,AM777&gt;=0,AN777=30),AL777-AM777,"")</f>
        <v>0</v>
      </c>
      <c r="L777" s="29" t="n">
        <f>IF(ISNUMBER(BI777),BI777/90,"")</f>
        <v>0</v>
      </c>
      <c r="M777" s="28" t="n">
        <v>0</v>
      </c>
      <c r="N777" s="28" t="n">
        <v>0</v>
      </c>
      <c r="O777" s="28" t="n">
        <v>0</v>
      </c>
      <c r="P777" s="30" t="str">
        <f>IF(AND(ISNUMBER(L777),L777&gt;0,COUNT(M777:O777)=3,MIN(M777:O777)&gt;=0),SUM(M777:O777)/L777,"")</f>
      </c>
      <c r="Q777" s="16" t="str">
        <v>按本SKU唯一未删除Listing店铺核实</v>
      </c>
      <c r="R777" s="16" t="str">
        <v>已匹配</v>
      </c>
      <c r="S777" s="16" t="str">
        <v>停售</v>
      </c>
      <c r="T777" s="16" t="str">
        <v>60516</v>
      </c>
      <c r="U777" s="16" t="str">
        <v>豹纹</v>
      </c>
      <c r="V777" s="16" t="n">
        <v>6.5</v>
      </c>
      <c r="W777" s="8" t="str">
        <v>2026-10-08 至 2026-10-17</v>
      </c>
      <c r="X777" s="8" t="str">
        <v>2026-10-08、2026-10-09、2026-10-10、2026-10-11、2026-10-14、2026-10-15、2026-10-17</v>
      </c>
      <c r="Y777" s="8" t="str">
        <v>2026-10-12 有记录的停售日；2026-10-13 有记录的停售日；2026-10-16 有记录的停售日</v>
      </c>
      <c r="Z777" s="8" t="n">
        <v>0</v>
      </c>
      <c r="AA777" s="8" t="n">
        <v>0</v>
      </c>
      <c r="AB777" s="8" t="n">
        <v>7</v>
      </c>
      <c r="AC777" s="8" t="str">
        <v>2026-09-29 至 2026-10-17</v>
      </c>
      <c r="AD777" s="8" t="str">
        <v>2026-09-29、2026-09-30、2026-10-01、2026-10-02、2026-10-03、2026-10-04、2026-10-05、2026-10-08、2026-10-09、2026-10-10、2026-10-11、2026-10-14、2026-10-15、2026-10-17</v>
      </c>
      <c r="AE777" s="8" t="str">
        <v>2026-10-06 大促；2026-10-07 大促；2026-10-12 有记录的停售日；2026-10-13 有记录的停售日；2026-10-16 有记录的停售日</v>
      </c>
      <c r="AF777" s="8" t="n">
        <v>0</v>
      </c>
      <c r="AG777" s="8" t="n">
        <v>0</v>
      </c>
      <c r="AH777" s="8" t="n">
        <v>14</v>
      </c>
      <c r="AI777" s="8" t="str">
        <v>2026-09-13 至 2026-10-17</v>
      </c>
      <c r="AJ77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77" s="8" t="str">
        <v>2026-10-06 大促；2026-10-07 大促；2026-10-12 有记录的停售日；2026-10-13 有记录的停售日；2026-10-16 有记录的停售日</v>
      </c>
      <c r="AL777" s="8" t="n">
        <v>0</v>
      </c>
      <c r="AM777" s="8" t="n">
        <v>0</v>
      </c>
      <c r="AN777" s="8" t="n">
        <v>30</v>
      </c>
      <c r="AO777" s="8" t="str">
        <v>60516 / 豹纹羊京绒 / 6574</v>
      </c>
      <c r="AP777" s="11" t="n">
        <v>1.8609238953732312</v>
      </c>
      <c r="AQ777" s="11" t="n">
        <v>1.832044958686392</v>
      </c>
      <c r="AR777" s="11" t="n">
        <v>1.7396323612885067</v>
      </c>
      <c r="AS777" s="11" t="n">
        <f>IF(AND(COUNT(I777:K777,AP777:AR777)=6,MIN(AP777:AR777)&gt;0),I777/7/AP777*0.5+J777/14/AQ777*0.3+K777/30/AR777*0.2,"")</f>
        <v>0</v>
      </c>
      <c r="AT777" s="8" t="n">
        <v>0</v>
      </c>
      <c r="AU777" s="8" t="n">
        <v>0</v>
      </c>
      <c r="AV777" s="8" t="n">
        <v>85</v>
      </c>
      <c r="AW777" s="11" t="n">
        <f>IF(AND(COUNT(AT777:AV777)=3,AT777&gt;=AU777,AU777&gt;=0,AV777&gt;0),(AT777-AU777)/AV777,"")</f>
        <v>0</v>
      </c>
      <c r="AX777" s="8" t="n">
        <v>0</v>
      </c>
      <c r="AY777" s="8" t="n">
        <v>0</v>
      </c>
      <c r="AZ777" s="8" t="n">
        <v>175</v>
      </c>
      <c r="BA777" s="11" t="n">
        <f>IF(AND(COUNT(AX777:AZ777)=3,AX777&gt;=AY777,AY777&gt;=0,AZ777&gt;0),(AX777-AY777)/AZ777,"")</f>
        <v>0</v>
      </c>
      <c r="BB777" s="8" t="n">
        <f>IF(COUNT(AS777,AW777,BA777)=3,1,0)</f>
        <v>1</v>
      </c>
      <c r="BC777" s="11" t="n">
        <f>IF(SUMIF($AO$11:$AO$1309,AO777,$BB$11:$BB$1309)=COUNTIF($AO$11:$AO$1309,AO777),SUMIF($AO$11:$AO$1309,AO777,$AS$11:$AS$1309),"")</f>
        <v>4.8489600193541325</v>
      </c>
      <c r="BD777" s="11" t="n">
        <f>IF(SUMIF($AO$11:$AO$1309,AO777,$BB$11:$BB$1309)=COUNTIF($AO$11:$AO$1309,AO777),SUMIF($AO$11:$AO$1309,AO777,$AW$11:$AW$1309),"")</f>
        <v>4.045454545454545</v>
      </c>
      <c r="BE777" s="11" t="n">
        <f>IF(SUMIF($AO$11:$AO$1309,AO777,$BB$11:$BB$1309)=COUNTIF($AO$11:$AO$1309,AO777),SUMIF($AO$11:$AO$1309,AO777,$BA$11:$BA$1309),"")</f>
        <v>2.7977528089887636</v>
      </c>
      <c r="BF777" s="12" t="n">
        <f>IF(COUNT(BD777:BE777)&lt;&gt;2,"",IF(AND(BD777&gt;0,BE777&gt;0),0.7*AW777/BD777+0.3*BA777/BE777,IF(BD777&gt;0,AW777/BD777,IF(BE777&gt;0,BA777/BE777,IF(AND(ISNUMBER(BH777),BH777=0),0,"")))))</f>
        <v>0</v>
      </c>
      <c r="BG777" s="11" t="n">
        <f>IF(AND(COUNT(BN777:BU777)=8,MIN(BN777:BU777)&gt;=0),SUMPRODUCT(BN777:BQ777,BR777:BU777),"")</f>
        <v>109.73769409574882</v>
      </c>
      <c r="BH777" s="11" t="n">
        <f>IF(COUNT(BC777,BG777)=2,BC777*BG777,"")</f>
        <v>532.1136912864001</v>
      </c>
      <c r="BI777" s="11" t="n">
        <f>IF(ISNUMBER(CI777),CI777,"")</f>
        <v>0</v>
      </c>
      <c r="BJ777" s="8" t="str"/>
      <c r="BK777" s="8" t="str">
        <v>90天：2026-07-20 至 2026-10-17；180天：2026-04-21 至 2026-10-17</v>
      </c>
      <c r="BL777" s="8" t="str">
        <v>90天：2026-10-06、2026-10-07、2026-10-12、2026-10-13、2026-10-16；180天：2026-10-06、2026-10-07、2026-10-12、2026-10-13、2026-10-16</v>
      </c>
      <c r="BM777" s="8" t="str">
        <v>2026-10：12天 × 1.8609238953732312；2026-11：30天 × 1.438375649833085；2026-12：31天 × 0.9519742599124907；2027-01：17天 × 0.8673021058229575</v>
      </c>
      <c r="BN777" s="11" t="n">
        <v>1.8609238953732312</v>
      </c>
      <c r="BO777" s="11" t="n">
        <v>1.438375649833085</v>
      </c>
      <c r="BP777" s="11" t="n">
        <v>0.9519742599124907</v>
      </c>
      <c r="BQ777" s="11" t="n">
        <v>0.8673021058229575</v>
      </c>
      <c r="BR777" s="8" t="n">
        <v>12</v>
      </c>
      <c r="BS777" s="8" t="n">
        <v>30</v>
      </c>
      <c r="BT777" s="8" t="n">
        <v>31</v>
      </c>
      <c r="BU777" s="8" t="n">
        <v>17</v>
      </c>
      <c r="BV777" s="11" t="n">
        <f>IF(COUNT(BC777,BF777)=2,BC777*BF777,"")</f>
        <v>0</v>
      </c>
      <c r="BW777" s="11" t="n">
        <f>IF(ISNUMBER(BN777),BN777,"")</f>
        <v>1.8609238953732312</v>
      </c>
      <c r="BX777" s="14" t="n">
        <f>IF(ISNUMBER(BR777),BR777,"")</f>
        <v>12</v>
      </c>
      <c r="BY777" s="13" t="n">
        <f>IF(AND(COUNT(BV777,BW777,BX777)=3,MIN(BV777,BW777,BX777)&gt;=0),BV777*BW777*BX777,"")</f>
        <v>0</v>
      </c>
      <c r="BZ777" s="11" t="n">
        <f>IF(ISNUMBER(BO777),BO777,"")</f>
        <v>1.438375649833085</v>
      </c>
      <c r="CA777" s="14" t="n">
        <f>IF(ISNUMBER(BS777),BS777,"")</f>
        <v>30</v>
      </c>
      <c r="CB777" s="13" t="n">
        <f>IF(AND(COUNT(BV777,BZ777,CA777)=3,MIN(BV777,BZ777,CA777)&gt;=0),BV777*BZ777*CA777,"")</f>
        <v>0</v>
      </c>
      <c r="CC777" s="11" t="n">
        <f>IF(ISNUMBER(BP777),BP777,"")</f>
        <v>0.9519742599124907</v>
      </c>
      <c r="CD777" s="14" t="n">
        <f>IF(ISNUMBER(BT777),BT777,"")</f>
        <v>31</v>
      </c>
      <c r="CE777" s="13" t="n">
        <f>IF(AND(COUNT(BV777,CC777,CD777)=3,MIN(BV777,CC777,CD777)&gt;=0),BV777*CC777*CD777,"")</f>
        <v>0</v>
      </c>
      <c r="CF777" s="11" t="n">
        <f>IF(ISNUMBER(BQ777),BQ777,"")</f>
        <v>0.8673021058229575</v>
      </c>
      <c r="CG777" s="14" t="n">
        <f>IF(ISNUMBER(BU777),BU777,"")</f>
        <v>17</v>
      </c>
      <c r="CH777" s="13" t="n">
        <f>IF(AND(COUNT(BV777,CF777,CG777)=3,MIN(BV777,CF777,CG777)&gt;=0),BV777*CF777*CG777,"")</f>
        <v>0</v>
      </c>
      <c r="CI777" s="13" t="n">
        <f>IF(COUNT(BY777,CB777,CE777,CH777)=4,SUM(BY777,CB777,CE777,CH777),"")</f>
        <v>0</v>
      </c>
    </row>
    <row r="778" ht="72" customHeight="1">
      <c r="A778" s="16" t="str">
        <v>60516-LP-S-K-7</v>
      </c>
      <c r="B778" s="16" t="str">
        <v>3店-SANDIEX-US</v>
      </c>
      <c r="C778" s="16" t="str">
        <v>徐新怡</v>
      </c>
      <c r="D778" s="26" t="n">
        <f>IF(NOT(ISNUMBER(E778)),"",IF(OR(E778&lt;=0,L778=0),0,IF(OR(NOT(ISNUMBER(F778)),F778&lt;0),"",MIN(E778,INT(F778)))))</f>
        <v>0</v>
      </c>
      <c r="E778" s="27" t="n">
        <f>IF(OR(NOT(ISNUMBER(L778)),COUNT(M778:O778)&lt;&gt;3,MIN(M778:O778)&lt;0),"",ROUNDUP(ROUND(BI778-SUM(M778:O778),10),0))</f>
        <v>-6</v>
      </c>
      <c r="F778" s="28" t="n">
        <v>40</v>
      </c>
      <c r="G778" s="28" t="n">
        <f>IF(AND(ISNUMBER(D778),ISNUMBER(E778)),IF(OR(E778&lt;=0,L778=0),0,E778-D778),"")</f>
        <v>0</v>
      </c>
      <c r="H778" s="16" t="str">
        <f>IF(NOT(ISNUMBER(E778)),"销量或海外库存待补",IF(OR(E778&lt;=0,L778=0),IF(L778=0,"零日销，本批不发","本批无需补货"),IF(NOT(ISNUMBER(D778)),"国内库存待补",IF(D778=0,"国内无可用库存",IF(G778&gt;0,"先发国内现货","按建议量发货")))))</f>
        <v>本批无需补货</v>
      </c>
      <c r="I778" s="28" t="n">
        <f>IF(AND(COUNT(Z778,AA778,AB778)=3,Z778&gt;=AA778,AA778&gt;=0,AB778=7),Z778-AA778,"")</f>
        <v>8</v>
      </c>
      <c r="J778" s="28" t="n">
        <f>IF(AND(COUNT(AF778,AG778,AH778)=3,AF778&gt;=AG778,AG778&gt;=0,AH778=14),AF778-AG778,"")</f>
        <v>13</v>
      </c>
      <c r="K778" s="28" t="n">
        <f>IF(AND(COUNT(AL778,AM778,AN778)=3,AL778&gt;=AM778,AM778&gt;=0,AN778=30),AL778-AM778,"")</f>
        <v>22</v>
      </c>
      <c r="L778" s="29" t="n">
        <f>IF(ISNUMBER(BI778),BI778/90,"")</f>
        <v>0.603723293680086</v>
      </c>
      <c r="M778" s="28" t="n">
        <v>60</v>
      </c>
      <c r="N778" s="28" t="n">
        <v>0</v>
      </c>
      <c r="O778" s="28" t="n">
        <v>0</v>
      </c>
      <c r="P778" s="30" t="n">
        <f>IF(AND(ISNUMBER(L778),L778&gt;0,COUNT(M778:O778)=3,MIN(M778:O778)&gt;=0),SUM(M778:O778)/L778,"")</f>
        <v>99.38327811448352</v>
      </c>
      <c r="Q778" s="16" t="str">
        <v>沿用原计划SKU店铺</v>
      </c>
      <c r="R778" s="16" t="str">
        <v>已匹配</v>
      </c>
      <c r="S778" s="16" t="str">
        <v>在售</v>
      </c>
      <c r="T778" s="16" t="str">
        <v>60516</v>
      </c>
      <c r="U778" s="16" t="str">
        <v>豹纹</v>
      </c>
      <c r="V778" s="16" t="n">
        <v>7</v>
      </c>
      <c r="W778" s="8" t="str">
        <v>2026-10-11 至 2026-10-17</v>
      </c>
      <c r="X778" s="8" t="str">
        <v>2026-10-11、2026-10-12、2026-10-13、2026-10-14、2026-10-15、2026-10-16、2026-10-17</v>
      </c>
      <c r="Y778" s="8" t="str">
        <v>无</v>
      </c>
      <c r="Z778" s="8" t="n">
        <v>8</v>
      </c>
      <c r="AA778" s="8" t="n">
        <v>0</v>
      </c>
      <c r="AB778" s="8" t="n">
        <v>7</v>
      </c>
      <c r="AC778" s="8" t="str">
        <v>2026-10-02 至 2026-10-17</v>
      </c>
      <c r="AD778" s="8" t="str">
        <v>2026-10-02、2026-10-03、2026-10-04、2026-10-05、2026-10-08、2026-10-09、2026-10-10、2026-10-11、2026-10-12、2026-10-13、2026-10-14、2026-10-15、2026-10-16、2026-10-17</v>
      </c>
      <c r="AE778" s="8" t="str">
        <v>2026-10-06 大促；2026-10-07 大促</v>
      </c>
      <c r="AF778" s="8" t="n">
        <v>15</v>
      </c>
      <c r="AG778" s="8" t="n">
        <v>2</v>
      </c>
      <c r="AH778" s="8" t="n">
        <v>14</v>
      </c>
      <c r="AI778" s="8" t="str">
        <v>2026-09-16 至 2026-10-17</v>
      </c>
      <c r="AJ7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78" s="8" t="str">
        <v>2026-10-06 大促；2026-10-07 大促</v>
      </c>
      <c r="AL778" s="8" t="n">
        <v>24</v>
      </c>
      <c r="AM778" s="8" t="n">
        <v>2</v>
      </c>
      <c r="AN778" s="8" t="n">
        <v>30</v>
      </c>
      <c r="AO778" s="8" t="str">
        <v>60516 / 豹纹羊京绒 / 6574</v>
      </c>
      <c r="AP778" s="11" t="n">
        <v>1.8609238953732312</v>
      </c>
      <c r="AQ778" s="11" t="n">
        <v>1.8609238953732312</v>
      </c>
      <c r="AR778" s="11" t="n">
        <v>1.7598476169692943</v>
      </c>
      <c r="AS778" s="11" t="n">
        <f>IF(AND(COUNT(I778:K778,AP778:AR778)=6,MIN(AP778:AR778)&gt;0),I778/7/AP778*0.5+J778/14/AQ778*0.3+K778/30/AR778*0.2,"")</f>
        <v>0.5401029143132062</v>
      </c>
      <c r="AT778" s="8" t="n">
        <v>38</v>
      </c>
      <c r="AU778" s="8" t="n">
        <v>2</v>
      </c>
      <c r="AV778" s="8" t="n">
        <v>88</v>
      </c>
      <c r="AW778" s="11" t="n">
        <f>IF(AND(COUNT(AT778:AV778)=3,AT778&gt;=AU778,AU778&gt;=0,AV778&gt;0),(AT778-AU778)/AV778,"")</f>
        <v>0.4090909090909091</v>
      </c>
      <c r="AX778" s="8" t="n">
        <v>54</v>
      </c>
      <c r="AY778" s="8" t="n">
        <v>2</v>
      </c>
      <c r="AZ778" s="8" t="n">
        <v>178</v>
      </c>
      <c r="BA778" s="11" t="n">
        <f>IF(AND(COUNT(AX778:AZ778)=3,AX778&gt;=AY778,AY778&gt;=0,AZ778&gt;0),(AX778-AY778)/AZ778,"")</f>
        <v>0.29213483146067415</v>
      </c>
      <c r="BB778" s="8" t="n">
        <f>IF(COUNT(AS778,AW778,BA778)=3,1,0)</f>
        <v>1</v>
      </c>
      <c r="BC778" s="11" t="n">
        <f>IF(SUMIF($AO$11:$AO$1309,AO778,$BB$11:$BB$1309)=COUNTIF($AO$11:$AO$1309,AO778),SUMIF($AO$11:$AO$1309,AO778,$AS$11:$AS$1309),"")</f>
        <v>4.8489600193541325</v>
      </c>
      <c r="BD778" s="11" t="n">
        <f>IF(SUMIF($AO$11:$AO$1309,AO778,$BB$11:$BB$1309)=COUNTIF($AO$11:$AO$1309,AO778),SUMIF($AO$11:$AO$1309,AO778,$AW$11:$AW$1309),"")</f>
        <v>4.045454545454545</v>
      </c>
      <c r="BE778" s="11" t="n">
        <f>IF(SUMIF($AO$11:$AO$1309,AO778,$BB$11:$BB$1309)=COUNTIF($AO$11:$AO$1309,AO778),SUMIF($AO$11:$AO$1309,AO778,$BA$11:$BA$1309),"")</f>
        <v>2.7977528089887636</v>
      </c>
      <c r="BF778" s="12" t="n">
        <f>IF(COUNT(BD778:BE778)&lt;&gt;2,"",IF(AND(BD778&gt;0,BE778&gt;0),0.7*AW778/BD778+0.3*BA778/BE778,IF(BD778&gt;0,AW778/BD778,IF(BE778&gt;0,BA778/BE778,IF(AND(ISNUMBER(BH778),BH778=0),0,"")))))</f>
        <v>0.10211181805875189</v>
      </c>
      <c r="BG778" s="11" t="n">
        <f>IF(AND(COUNT(BN778:BU778)=8,MIN(BN778:BU778)&gt;=0),SUMPRODUCT(BN778:BQ778,BR778:BU778),"")</f>
        <v>109.73769409574882</v>
      </c>
      <c r="BH778" s="11" t="n">
        <f>IF(COUNT(BC778,BG778)=2,BC778*BG778,"")</f>
        <v>532.1136912864001</v>
      </c>
      <c r="BI778" s="11" t="n">
        <f>IF(ISNUMBER(CI778),CI778,"")</f>
        <v>54.335096431207745</v>
      </c>
      <c r="BJ778" s="8" t="str"/>
      <c r="BK778" s="8" t="str">
        <v>90天：2026-07-20 至 2026-10-17；180天：2026-04-21 至 2026-10-17</v>
      </c>
      <c r="BL778" s="8" t="str">
        <v>90天：2026-10-06、2026-10-07；180天：2026-10-06、2026-10-07</v>
      </c>
      <c r="BM778" s="8" t="str">
        <v>2026-10：12天 × 1.8609238953732312；2026-11：30天 × 1.438375649833085；2026-12：31天 × 0.9519742599124907；2027-01：17天 × 0.8673021058229575</v>
      </c>
      <c r="BN778" s="11" t="n">
        <v>1.8609238953732312</v>
      </c>
      <c r="BO778" s="11" t="n">
        <v>1.438375649833085</v>
      </c>
      <c r="BP778" s="11" t="n">
        <v>0.9519742599124907</v>
      </c>
      <c r="BQ778" s="11" t="n">
        <v>0.8673021058229575</v>
      </c>
      <c r="BR778" s="8" t="n">
        <v>12</v>
      </c>
      <c r="BS778" s="8" t="n">
        <v>30</v>
      </c>
      <c r="BT778" s="8" t="n">
        <v>31</v>
      </c>
      <c r="BU778" s="8" t="n">
        <v>17</v>
      </c>
      <c r="BV778" s="11" t="n">
        <f>IF(COUNT(BC778,BF778)=2,BC778*BF778,"")</f>
        <v>0.4951361232704512</v>
      </c>
      <c r="BW778" s="11" t="n">
        <f>IF(ISNUMBER(BN778),BN778,"")</f>
        <v>1.8609238953732312</v>
      </c>
      <c r="BX778" s="14" t="n">
        <f>IF(ISNUMBER(BR778),BR778,"")</f>
        <v>12</v>
      </c>
      <c r="BY778" s="13" t="n">
        <f>IF(AND(COUNT(BV778,BW778,BX778)=3,MIN(BV778,BW778,BX778)&gt;=0),BV778*BW778*BX778,"")</f>
        <v>11.05692771907738</v>
      </c>
      <c r="BZ778" s="11" t="n">
        <f>IF(ISNUMBER(BO778),BO778,"")</f>
        <v>1.438375649833085</v>
      </c>
      <c r="CA778" s="14" t="n">
        <f>IF(ISNUMBER(BS778),BS778,"")</f>
        <v>30</v>
      </c>
      <c r="CB778" s="13" t="n">
        <f>IF(AND(COUNT(BV778,BZ778,CA778)=3,MIN(BV778,BZ778,CA778)&gt;=0),BV778*BZ778*CA778,"")</f>
        <v>21.365752291949093</v>
      </c>
      <c r="CC778" s="11" t="n">
        <f>IF(ISNUMBER(BP778),BP778,"")</f>
        <v>0.9519742599124907</v>
      </c>
      <c r="CD778" s="14" t="n">
        <f>IF(ISNUMBER(BT778),BT778,"")</f>
        <v>31</v>
      </c>
      <c r="CE778" s="13" t="n">
        <f>IF(AND(COUNT(BV778,CC778,CD778)=3,MIN(BV778,CC778,CD778)&gt;=0),BV778*CC778*CD778,"")</f>
        <v>14.612062179696155</v>
      </c>
      <c r="CF778" s="11" t="n">
        <f>IF(ISNUMBER(BQ778),BQ778,"")</f>
        <v>0.8673021058229575</v>
      </c>
      <c r="CG778" s="14" t="n">
        <f>IF(ISNUMBER(BU778),BU778,"")</f>
        <v>17</v>
      </c>
      <c r="CH778" s="13" t="n">
        <f>IF(AND(COUNT(BV778,CF778,CG778)=3,MIN(BV778,CF778,CG778)&gt;=0),BV778*CF778*CG778,"")</f>
        <v>7.300354240485122</v>
      </c>
      <c r="CI778" s="13" t="n">
        <f>IF(COUNT(BY778,CB778,CE778,CH778)=4,SUM(BY778,CB778,CE778,CH778),"")</f>
        <v>54.335096431207745</v>
      </c>
    </row>
    <row r="779" ht="72" customHeight="1">
      <c r="A779" s="16" t="str">
        <v>60516-ND-S-K-10.5</v>
      </c>
      <c r="B779" s="16" t="str">
        <v>3店-SANDIEX-US</v>
      </c>
      <c r="C779" s="16" t="str">
        <v>徐新怡</v>
      </c>
      <c r="D779" s="26" t="n">
        <f>IF(NOT(ISNUMBER(E779)),"",IF(OR(E779&lt;=0,L779=0),0,IF(OR(NOT(ISNUMBER(F779)),F779&lt;0),"",MIN(E779,INT(F779)))))</f>
        <v>0</v>
      </c>
      <c r="E779" s="27" t="n">
        <f>IF(OR(NOT(ISNUMBER(L779)),COUNT(M779:O779)&lt;&gt;3,MIN(M779:O779)&lt;0),"",ROUNDUP(ROUND(BI779-SUM(M779:O779),10),0))</f>
        <v>0</v>
      </c>
      <c r="F779" s="28" t="n">
        <v>1</v>
      </c>
      <c r="G779" s="28" t="n">
        <f>IF(AND(ISNUMBER(D779),ISNUMBER(E779)),IF(OR(E779&lt;=0,L779=0),0,E779-D779),"")</f>
        <v>0</v>
      </c>
      <c r="H779" s="16" t="str">
        <f>IF(NOT(ISNUMBER(E779)),"销量或海外库存待补",IF(OR(E779&lt;=0,L779=0),IF(L779=0,"零日销，本批不发","本批无需补货"),IF(NOT(ISNUMBER(D779)),"国内库存待补",IF(D779=0,"国内无可用库存",IF(G779&gt;0,"先发国内现货","按建议量发货")))))</f>
        <v>零日销，本批不发</v>
      </c>
      <c r="I779" s="28" t="n">
        <f>IF(AND(COUNT(Z779,AA779,AB779)=3,Z779&gt;=AA779,AA779&gt;=0,AB779=7),Z779-AA779,"")</f>
        <v>0</v>
      </c>
      <c r="J779" s="28" t="n">
        <f>IF(AND(COUNT(AF779,AG779,AH779)=3,AF779&gt;=AG779,AG779&gt;=0,AH779=14),AF779-AG779,"")</f>
        <v>0</v>
      </c>
      <c r="K779" s="28" t="n">
        <f>IF(AND(COUNT(AL779,AM779,AN779)=3,AL779&gt;=AM779,AM779&gt;=0,AN779=30),AL779-AM779,"")</f>
        <v>0</v>
      </c>
      <c r="L779" s="29" t="n">
        <f>IF(ISNUMBER(BI779),BI779/90,"")</f>
        <v>0</v>
      </c>
      <c r="M779" s="28" t="n">
        <v>0</v>
      </c>
      <c r="N779" s="28" t="n">
        <v>0</v>
      </c>
      <c r="O779" s="28" t="n">
        <v>0</v>
      </c>
      <c r="P779" s="30" t="str">
        <f>IF(AND(ISNUMBER(L779),L779&gt;0,COUNT(M779:O779)=3,MIN(M779:O779)&gt;=0),SUM(M779:O779)/L779,"")</f>
      </c>
      <c r="Q779" s="16" t="str">
        <v>按本SKU唯一未删除Listing店铺核实</v>
      </c>
      <c r="R779" s="16" t="str">
        <v>已匹配</v>
      </c>
      <c r="S779" s="16" t="str">
        <v>停售</v>
      </c>
      <c r="T779" s="16" t="str">
        <v>60516</v>
      </c>
      <c r="U779" s="16" t="str">
        <v>裸色</v>
      </c>
      <c r="V779" s="16" t="n">
        <v>10.5</v>
      </c>
      <c r="W779" s="8" t="str">
        <v>2026-10-08 至 2026-10-17</v>
      </c>
      <c r="X779" s="8" t="str">
        <v>2026-10-08、2026-10-09、2026-10-10、2026-10-11、2026-10-14、2026-10-15、2026-10-17</v>
      </c>
      <c r="Y779" s="8" t="str">
        <v>2026-10-12 有记录的停售日；2026-10-13 有记录的停售日；2026-10-16 有记录的停售日</v>
      </c>
      <c r="Z779" s="8" t="n">
        <v>0</v>
      </c>
      <c r="AA779" s="8" t="n">
        <v>0</v>
      </c>
      <c r="AB779" s="8" t="n">
        <v>7</v>
      </c>
      <c r="AC779" s="8" t="str">
        <v>2026-09-29 至 2026-10-17</v>
      </c>
      <c r="AD779" s="8" t="str">
        <v>2026-09-29、2026-09-30、2026-10-01、2026-10-02、2026-10-03、2026-10-04、2026-10-05、2026-10-08、2026-10-09、2026-10-10、2026-10-11、2026-10-14、2026-10-15、2026-10-17</v>
      </c>
      <c r="AE779" s="8" t="str">
        <v>2026-10-06 大促；2026-10-07 大促；2026-10-12 有记录的停售日；2026-10-13 有记录的停售日；2026-10-16 有记录的停售日</v>
      </c>
      <c r="AF779" s="8" t="n">
        <v>0</v>
      </c>
      <c r="AG779" s="8" t="n">
        <v>0</v>
      </c>
      <c r="AH779" s="8" t="n">
        <v>14</v>
      </c>
      <c r="AI779" s="8" t="str">
        <v>2026-09-13 至 2026-10-17</v>
      </c>
      <c r="AJ77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79" s="8" t="str">
        <v>2026-10-06 大促；2026-10-07 大促；2026-10-12 有记录的停售日；2026-10-13 有记录的停售日；2026-10-16 有记录的停售日</v>
      </c>
      <c r="AL779" s="8" t="n">
        <v>0</v>
      </c>
      <c r="AM779" s="8" t="n">
        <v>0</v>
      </c>
      <c r="AN779" s="8" t="n">
        <v>30</v>
      </c>
      <c r="AO779" s="8" t="str">
        <v>60516 / 裸色羊京绒 / 6574</v>
      </c>
      <c r="AP779" s="11" t="n">
        <v>1.8609238953732312</v>
      </c>
      <c r="AQ779" s="11" t="n">
        <v>1.832044958686392</v>
      </c>
      <c r="AR779" s="11" t="n">
        <v>1.7396323612885067</v>
      </c>
      <c r="AS779" s="11" t="n">
        <f>IF(AND(COUNT(I779:K779,AP779:AR779)=6,MIN(AP779:AR779)&gt;0),I779/7/AP779*0.5+J779/14/AQ779*0.3+K779/30/AR779*0.2,"")</f>
        <v>0</v>
      </c>
      <c r="AT779" s="8" t="n">
        <v>0</v>
      </c>
      <c r="AU779" s="8" t="n">
        <v>0</v>
      </c>
      <c r="AV779" s="8" t="n">
        <v>85</v>
      </c>
      <c r="AW779" s="11" t="n">
        <f>IF(AND(COUNT(AT779:AV779)=3,AT779&gt;=AU779,AU779&gt;=0,AV779&gt;0),(AT779-AU779)/AV779,"")</f>
        <v>0</v>
      </c>
      <c r="AX779" s="8" t="n">
        <v>0</v>
      </c>
      <c r="AY779" s="8" t="n">
        <v>0</v>
      </c>
      <c r="AZ779" s="8" t="n">
        <v>175</v>
      </c>
      <c r="BA779" s="11" t="n">
        <f>IF(AND(COUNT(AX779:AZ779)=3,AX779&gt;=AY779,AY779&gt;=0,AZ779&gt;0),(AX779-AY779)/AZ779,"")</f>
        <v>0</v>
      </c>
      <c r="BB779" s="8" t="n">
        <f>IF(COUNT(AS779,AW779,BA779)=3,1,0)</f>
        <v>1</v>
      </c>
      <c r="BC779" s="11" t="n">
        <f>IF(SUMIF($AO$11:$AO$1309,AO779,$BB$11:$BB$1309)=COUNTIF($AO$11:$AO$1309,AO779),SUMIF($AO$11:$AO$1309,AO779,$AS$11:$AS$1309),"")</f>
        <v>0.8385909885010574</v>
      </c>
      <c r="BD779" s="11" t="n">
        <f>IF(SUMIF($AO$11:$AO$1309,AO779,$BB$11:$BB$1309)=COUNTIF($AO$11:$AO$1309,AO779),SUMIF($AO$11:$AO$1309,AO779,$AW$11:$AW$1309),"")</f>
        <v>0.8766042780748663</v>
      </c>
      <c r="BE779" s="11" t="n">
        <f>IF(SUMIF($AO$11:$AO$1309,AO779,$BB$11:$BB$1309)=COUNTIF($AO$11:$AO$1309,AO779),SUMIF($AO$11:$AO$1309,AO779,$BA$11:$BA$1309),"")</f>
        <v>0.7203531300160514</v>
      </c>
      <c r="BF779" s="12" t="n">
        <f>IF(COUNT(BD779:BE779)&lt;&gt;2,"",IF(AND(BD779&gt;0,BE779&gt;0),0.7*AW779/BD779+0.3*BA779/BE779,IF(BD779&gt;0,AW779/BD779,IF(BE779&gt;0,BA779/BE779,IF(AND(ISNUMBER(BH779),BH779=0),0,"")))))</f>
        <v>0</v>
      </c>
      <c r="BG779" s="11" t="n">
        <f>IF(AND(COUNT(BN779:BU779)=8,MIN(BN779:BU779)&gt;=0),SUMPRODUCT(BN779:BQ779,BR779:BU779),"")</f>
        <v>109.73769409574882</v>
      </c>
      <c r="BH779" s="11" t="n">
        <f>IF(COUNT(BC779,BG779)=2,BC779*BG779,"")</f>
        <v>92.02504136758066</v>
      </c>
      <c r="BI779" s="11" t="n">
        <f>IF(ISNUMBER(CI779),CI779,"")</f>
        <v>0</v>
      </c>
      <c r="BJ779" s="8" t="str"/>
      <c r="BK779" s="8" t="str">
        <v>90天：2026-07-20 至 2026-10-17；180天：2026-04-21 至 2026-10-17</v>
      </c>
      <c r="BL779" s="8" t="str">
        <v>90天：2026-10-06、2026-10-07、2026-10-12、2026-10-13、2026-10-16；180天：2026-10-06、2026-10-07、2026-10-12、2026-10-13、2026-10-16</v>
      </c>
      <c r="BM779" s="8" t="str">
        <v>2026-10：12天 × 1.8609238953732312；2026-11：30天 × 1.438375649833085；2026-12：31天 × 0.9519742599124907；2027-01：17天 × 0.8673021058229575</v>
      </c>
      <c r="BN779" s="11" t="n">
        <v>1.8609238953732312</v>
      </c>
      <c r="BO779" s="11" t="n">
        <v>1.438375649833085</v>
      </c>
      <c r="BP779" s="11" t="n">
        <v>0.9519742599124907</v>
      </c>
      <c r="BQ779" s="11" t="n">
        <v>0.8673021058229575</v>
      </c>
      <c r="BR779" s="8" t="n">
        <v>12</v>
      </c>
      <c r="BS779" s="8" t="n">
        <v>30</v>
      </c>
      <c r="BT779" s="8" t="n">
        <v>31</v>
      </c>
      <c r="BU779" s="8" t="n">
        <v>17</v>
      </c>
      <c r="BV779" s="11" t="n">
        <f>IF(COUNT(BC779,BF779)=2,BC779*BF779,"")</f>
        <v>0</v>
      </c>
      <c r="BW779" s="11" t="n">
        <f>IF(ISNUMBER(BN779),BN779,"")</f>
        <v>1.8609238953732312</v>
      </c>
      <c r="BX779" s="14" t="n">
        <f>IF(ISNUMBER(BR779),BR779,"")</f>
        <v>12</v>
      </c>
      <c r="BY779" s="13" t="n">
        <f>IF(AND(COUNT(BV779,BW779,BX779)=3,MIN(BV779,BW779,BX779)&gt;=0),BV779*BW779*BX779,"")</f>
        <v>0</v>
      </c>
      <c r="BZ779" s="11" t="n">
        <f>IF(ISNUMBER(BO779),BO779,"")</f>
        <v>1.438375649833085</v>
      </c>
      <c r="CA779" s="14" t="n">
        <f>IF(ISNUMBER(BS779),BS779,"")</f>
        <v>30</v>
      </c>
      <c r="CB779" s="13" t="n">
        <f>IF(AND(COUNT(BV779,BZ779,CA779)=3,MIN(BV779,BZ779,CA779)&gt;=0),BV779*BZ779*CA779,"")</f>
        <v>0</v>
      </c>
      <c r="CC779" s="11" t="n">
        <f>IF(ISNUMBER(BP779),BP779,"")</f>
        <v>0.9519742599124907</v>
      </c>
      <c r="CD779" s="14" t="n">
        <f>IF(ISNUMBER(BT779),BT779,"")</f>
        <v>31</v>
      </c>
      <c r="CE779" s="13" t="n">
        <f>IF(AND(COUNT(BV779,CC779,CD779)=3,MIN(BV779,CC779,CD779)&gt;=0),BV779*CC779*CD779,"")</f>
        <v>0</v>
      </c>
      <c r="CF779" s="11" t="n">
        <f>IF(ISNUMBER(BQ779),BQ779,"")</f>
        <v>0.8673021058229575</v>
      </c>
      <c r="CG779" s="14" t="n">
        <f>IF(ISNUMBER(BU779),BU779,"")</f>
        <v>17</v>
      </c>
      <c r="CH779" s="13" t="n">
        <f>IF(AND(COUNT(BV779,CF779,CG779)=3,MIN(BV779,CF779,CG779)&gt;=0),BV779*CF779*CG779,"")</f>
        <v>0</v>
      </c>
      <c r="CI779" s="13" t="n">
        <f>IF(COUNT(BY779,CB779,CE779,CH779)=4,SUM(BY779,CB779,CE779,CH779),"")</f>
        <v>0</v>
      </c>
    </row>
    <row r="780" ht="72" customHeight="1">
      <c r="A780" s="16" t="str">
        <v>60516-ND-S-K-6</v>
      </c>
      <c r="B780" s="16" t="str">
        <v>3店-SANDIEX-US</v>
      </c>
      <c r="C780" s="16" t="str">
        <v>徐新怡</v>
      </c>
      <c r="D780" s="26" t="n">
        <f>IF(NOT(ISNUMBER(E780)),"",IF(OR(E780&lt;=0,L780=0),0,IF(OR(NOT(ISNUMBER(F780)),F780&lt;0),"",MIN(E780,INT(F780)))))</f>
        <v>0</v>
      </c>
      <c r="E780" s="27" t="n">
        <f>IF(OR(NOT(ISNUMBER(L780)),COUNT(M780:O780)&lt;&gt;3,MIN(M780:O780)&lt;0),"",ROUNDUP(ROUND(BI780-SUM(M780:O780),10),0))</f>
        <v>-24</v>
      </c>
      <c r="F780" s="28" t="n">
        <v>0</v>
      </c>
      <c r="G780" s="28" t="n">
        <f>IF(AND(ISNUMBER(D780),ISNUMBER(E780)),IF(OR(E780&lt;=0,L780=0),0,E780-D780),"")</f>
        <v>0</v>
      </c>
      <c r="H780" s="16" t="str">
        <f>IF(NOT(ISNUMBER(E780)),"销量或海外库存待补",IF(OR(E780&lt;=0,L780=0),IF(L780=0,"零日销，本批不发","本批无需补货"),IF(NOT(ISNUMBER(D780)),"国内库存待补",IF(D780=0,"国内无可用库存",IF(G780&gt;0,"先发国内现货","按建议量发货")))))</f>
        <v>本批无需补货</v>
      </c>
      <c r="I780" s="28" t="n">
        <f>IF(AND(COUNT(Z780,AA780,AB780)=3,Z780&gt;=AA780,AA780&gt;=0,AB780=7),Z780-AA780,"")</f>
        <v>1</v>
      </c>
      <c r="J780" s="28" t="n">
        <f>IF(AND(COUNT(AF780,AG780,AH780)=3,AF780&gt;=AG780,AG780&gt;=0,AH780=14),AF780-AG780,"")</f>
        <v>2</v>
      </c>
      <c r="K780" s="28" t="n">
        <f>IF(AND(COUNT(AL780,AM780,AN780)=3,AL780&gt;=AM780,AM780&gt;=0,AN780=30),AL780-AM780,"")</f>
        <v>3</v>
      </c>
      <c r="L780" s="29" t="n">
        <f>IF(ISNUMBER(BI780),BI780/90,"")</f>
        <v>0.07002460384922707</v>
      </c>
      <c r="M780" s="28" t="n">
        <v>30</v>
      </c>
      <c r="N780" s="28" t="n">
        <v>0</v>
      </c>
      <c r="O780" s="28" t="n">
        <v>0</v>
      </c>
      <c r="P780" s="30" t="n">
        <f>IF(AND(ISNUMBER(L780),L780&gt;0,COUNT(M780:O780)=3,MIN(M780:O780)&gt;=0),SUM(M780:O780)/L780,"")</f>
        <v>428.42084568724255</v>
      </c>
      <c r="Q780" s="16" t="str">
        <v>沿用原计划SKU店铺</v>
      </c>
      <c r="R780" s="16" t="str">
        <v>已匹配</v>
      </c>
      <c r="S780" s="16" t="str">
        <v>在售</v>
      </c>
      <c r="T780" s="16" t="str">
        <v>60516</v>
      </c>
      <c r="U780" s="16" t="str">
        <v>裸色</v>
      </c>
      <c r="V780" s="16" t="n">
        <v>6</v>
      </c>
      <c r="W780" s="8" t="str">
        <v>2026-10-11 至 2026-10-17</v>
      </c>
      <c r="X780" s="8" t="str">
        <v>2026-10-11、2026-10-12、2026-10-13、2026-10-14、2026-10-15、2026-10-16、2026-10-17</v>
      </c>
      <c r="Y780" s="8" t="str">
        <v>无</v>
      </c>
      <c r="Z780" s="8" t="n">
        <v>1</v>
      </c>
      <c r="AA780" s="8" t="n">
        <v>0</v>
      </c>
      <c r="AB780" s="8" t="n">
        <v>7</v>
      </c>
      <c r="AC780" s="8" t="str">
        <v>2026-10-02 至 2026-10-17</v>
      </c>
      <c r="AD780" s="8" t="str">
        <v>2026-10-02、2026-10-03、2026-10-04、2026-10-05、2026-10-08、2026-10-09、2026-10-10、2026-10-11、2026-10-12、2026-10-13、2026-10-14、2026-10-15、2026-10-16、2026-10-17</v>
      </c>
      <c r="AE780" s="8" t="str">
        <v>2026-10-06 大促；2026-10-07 大促</v>
      </c>
      <c r="AF780" s="8" t="n">
        <v>3</v>
      </c>
      <c r="AG780" s="8" t="n">
        <v>1</v>
      </c>
      <c r="AH780" s="8" t="n">
        <v>14</v>
      </c>
      <c r="AI780" s="8" t="str">
        <v>2026-09-16 至 2026-10-17</v>
      </c>
      <c r="AJ7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0" s="8" t="str">
        <v>2026-10-06 大促；2026-10-07 大促</v>
      </c>
      <c r="AL780" s="8" t="n">
        <v>4</v>
      </c>
      <c r="AM780" s="8" t="n">
        <v>1</v>
      </c>
      <c r="AN780" s="8" t="n">
        <v>30</v>
      </c>
      <c r="AO780" s="8" t="str">
        <v>60516 / 裸色羊京绒 / 6574</v>
      </c>
      <c r="AP780" s="11" t="n">
        <v>1.8609238953732312</v>
      </c>
      <c r="AQ780" s="11" t="n">
        <v>1.8609238953732312</v>
      </c>
      <c r="AR780" s="11" t="n">
        <v>1.7598476169692943</v>
      </c>
      <c r="AS780" s="11" t="n">
        <f>IF(AND(COUNT(I780:K780,AP780:AR780)=6,MIN(AP780:AR780)&gt;0),I780/7/AP780*0.5+J780/14/AQ780*0.3+K780/30/AR780*0.2,"")</f>
        <v>0.072778047587306</v>
      </c>
      <c r="AT780" s="8" t="n">
        <v>7</v>
      </c>
      <c r="AU780" s="8" t="n">
        <v>1</v>
      </c>
      <c r="AV780" s="8" t="n">
        <v>88</v>
      </c>
      <c r="AW780" s="11" t="n">
        <f>IF(AND(COUNT(AT780:AV780)=3,AT780&gt;=AU780,AU780&gt;=0,AV780&gt;0),(AT780-AU780)/AV780,"")</f>
        <v>0.06818181818181818</v>
      </c>
      <c r="AX780" s="8" t="n">
        <v>7</v>
      </c>
      <c r="AY780" s="8" t="n">
        <v>1</v>
      </c>
      <c r="AZ780" s="8" t="n">
        <v>178</v>
      </c>
      <c r="BA780" s="11" t="n">
        <f>IF(AND(COUNT(AX780:AZ780)=3,AX780&gt;=AY780,AY780&gt;=0,AZ780&gt;0),(AX780-AY780)/AZ780,"")</f>
        <v>0.033707865168539325</v>
      </c>
      <c r="BB780" s="8" t="n">
        <f>IF(COUNT(AS780,AW780,BA780)=3,1,0)</f>
        <v>1</v>
      </c>
      <c r="BC780" s="11" t="n">
        <f>IF(SUMIF($AO$11:$AO$1309,AO780,$BB$11:$BB$1309)=COUNTIF($AO$11:$AO$1309,AO780),SUMIF($AO$11:$AO$1309,AO780,$AS$11:$AS$1309),"")</f>
        <v>0.8385909885010574</v>
      </c>
      <c r="BD780" s="11" t="n">
        <f>IF(SUMIF($AO$11:$AO$1309,AO780,$BB$11:$BB$1309)=COUNTIF($AO$11:$AO$1309,AO780),SUMIF($AO$11:$AO$1309,AO780,$AW$11:$AW$1309),"")</f>
        <v>0.8766042780748663</v>
      </c>
      <c r="BE780" s="11" t="n">
        <f>IF(SUMIF($AO$11:$AO$1309,AO780,$BB$11:$BB$1309)=COUNTIF($AO$11:$AO$1309,AO780),SUMIF($AO$11:$AO$1309,AO780,$BA$11:$BA$1309),"")</f>
        <v>0.7203531300160514</v>
      </c>
      <c r="BF780" s="12" t="n">
        <f>IF(COUNT(BD780:BE780)&lt;&gt;2,"",IF(AND(BD780&gt;0,BE780&gt;0),0.7*AW780/BD780+0.3*BA780/BE780,IF(BD780&gt;0,AW780/BD780,IF(BE780&gt;0,BA780/BE780,IF(AND(ISNUMBER(BH780),BH780=0),0,"")))))</f>
        <v>0.06848368936078122</v>
      </c>
      <c r="BG780" s="11" t="n">
        <f>IF(AND(COUNT(BN780:BU780)=8,MIN(BN780:BU780)&gt;=0),SUMPRODUCT(BN780:BQ780,BR780:BU780),"")</f>
        <v>109.73769409574882</v>
      </c>
      <c r="BH780" s="11" t="n">
        <f>IF(COUNT(BC780,BG780)=2,BC780*BG780,"")</f>
        <v>92.02504136758066</v>
      </c>
      <c r="BI780" s="11" t="n">
        <f>IF(ISNUMBER(CI780),CI780,"")</f>
        <v>6.302214346430436</v>
      </c>
      <c r="BJ780" s="8" t="str"/>
      <c r="BK780" s="8" t="str">
        <v>90天：2026-07-20 至 2026-10-17；180天：2026-04-21 至 2026-10-17</v>
      </c>
      <c r="BL780" s="8" t="str">
        <v>90天：2026-10-06、2026-10-07；180天：2026-10-06、2026-10-07</v>
      </c>
      <c r="BM780" s="8" t="str">
        <v>2026-10：12天 × 1.8609238953732312；2026-11：30天 × 1.438375649833085；2026-12：31天 × 0.9519742599124907；2027-01：17天 × 0.8673021058229575</v>
      </c>
      <c r="BN780" s="11" t="n">
        <v>1.8609238953732312</v>
      </c>
      <c r="BO780" s="11" t="n">
        <v>1.438375649833085</v>
      </c>
      <c r="BP780" s="11" t="n">
        <v>0.9519742599124907</v>
      </c>
      <c r="BQ780" s="11" t="n">
        <v>0.8673021058229575</v>
      </c>
      <c r="BR780" s="8" t="n">
        <v>12</v>
      </c>
      <c r="BS780" s="8" t="n">
        <v>30</v>
      </c>
      <c r="BT780" s="8" t="n">
        <v>31</v>
      </c>
      <c r="BU780" s="8" t="n">
        <v>17</v>
      </c>
      <c r="BV780" s="11" t="n">
        <f>IF(COUNT(BC780,BF780)=2,BC780*BF780,"")</f>
        <v>0.057429804757256876</v>
      </c>
      <c r="BW780" s="11" t="n">
        <f>IF(ISNUMBER(BN780),BN780,"")</f>
        <v>1.8609238953732312</v>
      </c>
      <c r="BX780" s="14" t="n">
        <f>IF(ISNUMBER(BR780),BR780,"")</f>
        <v>12</v>
      </c>
      <c r="BY780" s="13" t="n">
        <f>IF(AND(COUNT(BV780,BW780,BX780)=3,MIN(BV780,BW780,BX780)&gt;=0),BV780*BW780*BX780,"")</f>
        <v>1.282469951752783</v>
      </c>
      <c r="BZ780" s="11" t="n">
        <f>IF(ISNUMBER(BO780),BO780,"")</f>
        <v>1.438375649833085</v>
      </c>
      <c r="CA780" s="14" t="n">
        <f>IF(ISNUMBER(BS780),BS780,"")</f>
        <v>30</v>
      </c>
      <c r="CB780" s="13" t="n">
        <f>IF(AND(COUNT(BV780,BZ780,CA780)=3,MIN(BV780,BZ780,CA780)&gt;=0),BV780*BZ780*CA780,"")</f>
        <v>2.4781689821251964</v>
      </c>
      <c r="CC780" s="11" t="n">
        <f>IF(ISNUMBER(BP780),BP780,"")</f>
        <v>0.9519742599124907</v>
      </c>
      <c r="CD780" s="14" t="n">
        <f>IF(ISNUMBER(BT780),BT780,"")</f>
        <v>31</v>
      </c>
      <c r="CE780" s="13" t="n">
        <f>IF(AND(COUNT(BV780,CC780,CD780)=3,MIN(BV780,CC780,CD780)&gt;=0),BV780*CC780*CD780,"")</f>
        <v>1.694822572301962</v>
      </c>
      <c r="CF780" s="11" t="n">
        <f>IF(ISNUMBER(BQ780),BQ780,"")</f>
        <v>0.8673021058229575</v>
      </c>
      <c r="CG780" s="14" t="n">
        <f>IF(ISNUMBER(BU780),BU780,"")</f>
        <v>17</v>
      </c>
      <c r="CH780" s="13" t="n">
        <f>IF(AND(COUNT(BV780,CF780,CG780)=3,MIN(BV780,CF780,CG780)&gt;=0),BV780*CF780*CG780,"")</f>
        <v>0.8467528402504932</v>
      </c>
      <c r="CI780" s="13" t="n">
        <f>IF(COUNT(BY780,CB780,CE780,CH780)=4,SUM(BY780,CB780,CE780,CH780),"")</f>
        <v>6.302214346430436</v>
      </c>
    </row>
    <row r="781" ht="72" customHeight="1">
      <c r="A781" s="16" t="str">
        <v>60516-ND-S-K-6.5</v>
      </c>
      <c r="B781" s="16" t="str">
        <v>3店-SANDIEX-US</v>
      </c>
      <c r="C781" s="16" t="str">
        <v>徐新怡</v>
      </c>
      <c r="D781" s="26" t="n">
        <f>IF(NOT(ISNUMBER(E781)),"",IF(OR(E781&lt;=0,L781=0),0,IF(OR(NOT(ISNUMBER(F781)),F781&lt;0),"",MIN(E781,INT(F781)))))</f>
        <v>0</v>
      </c>
      <c r="E781" s="27" t="n">
        <f>IF(OR(NOT(ISNUMBER(L781)),COUNT(M781:O781)&lt;&gt;3,MIN(M781:O781)&lt;0),"",ROUNDUP(ROUND(BI781-SUM(M781:O781),10),0))</f>
        <v>-17</v>
      </c>
      <c r="F781" s="28" t="n">
        <v>0</v>
      </c>
      <c r="G781" s="28" t="n">
        <f>IF(AND(ISNUMBER(D781),ISNUMBER(E781)),IF(OR(E781&lt;=0,L781=0),0,E781-D781),"")</f>
        <v>0</v>
      </c>
      <c r="H781" s="16" t="str">
        <f>IF(NOT(ISNUMBER(E781)),"销量或海外库存待补",IF(OR(E781&lt;=0,L781=0),IF(L781=0,"零日销，本批不发","本批无需补货"),IF(NOT(ISNUMBER(D781)),"国内库存待补",IF(D781=0,"国内无可用库存",IF(G781&gt;0,"先发国内现货","按建议量发货")))))</f>
        <v>本批无需补货</v>
      </c>
      <c r="I781" s="28" t="n">
        <f>IF(AND(COUNT(Z781,AA781,AB781)=3,Z781&gt;=AA781,AA781&gt;=0,AB781=7),Z781-AA781,"")</f>
        <v>1</v>
      </c>
      <c r="J781" s="28" t="n">
        <f>IF(AND(COUNT(AF781,AG781,AH781)=3,AF781&gt;=AG781,AG781&gt;=0,AH781=14),AF781-AG781,"")</f>
        <v>1</v>
      </c>
      <c r="K781" s="28" t="n">
        <f>IF(AND(COUNT(AL781,AM781,AN781)=3,AL781&gt;=AM781,AM781&gt;=0,AN781=30),AL781-AM781,"")</f>
        <v>3</v>
      </c>
      <c r="L781" s="29" t="n">
        <f>IF(ISNUMBER(BI781),BI781/90,"")</f>
        <v>0.04697390318382488</v>
      </c>
      <c r="M781" s="28" t="n">
        <v>21</v>
      </c>
      <c r="N781" s="28" t="n">
        <v>0</v>
      </c>
      <c r="O781" s="28" t="n">
        <v>0</v>
      </c>
      <c r="P781" s="30" t="n">
        <f>IF(AND(ISNUMBER(L781),L781&gt;0,COUNT(M781:O781)=3,MIN(M781:O781)&gt;=0),SUM(M781:O781)/L781,"")</f>
        <v>447.05673952236515</v>
      </c>
      <c r="Q781" s="16" t="str">
        <v>按本SKU唯一未删除Listing店铺核实</v>
      </c>
      <c r="R781" s="16" t="str">
        <v>已匹配</v>
      </c>
      <c r="S781" s="16" t="str">
        <v>在售</v>
      </c>
      <c r="T781" s="16" t="str">
        <v>60516</v>
      </c>
      <c r="U781" s="16" t="str">
        <v>裸色</v>
      </c>
      <c r="V781" s="16" t="n">
        <v>6.5</v>
      </c>
      <c r="W781" s="8" t="str">
        <v>2026-10-11 至 2026-10-17</v>
      </c>
      <c r="X781" s="8" t="str">
        <v>2026-10-11、2026-10-12、2026-10-13、2026-10-14、2026-10-15、2026-10-16、2026-10-17</v>
      </c>
      <c r="Y781" s="8" t="str">
        <v>无</v>
      </c>
      <c r="Z781" s="8" t="n">
        <v>1</v>
      </c>
      <c r="AA781" s="8" t="n">
        <v>0</v>
      </c>
      <c r="AB781" s="8" t="n">
        <v>7</v>
      </c>
      <c r="AC781" s="8" t="str">
        <v>2026-10-02 至 2026-10-17</v>
      </c>
      <c r="AD781" s="8" t="str">
        <v>2026-10-02、2026-10-03、2026-10-04、2026-10-05、2026-10-08、2026-10-09、2026-10-10、2026-10-11、2026-10-12、2026-10-13、2026-10-14、2026-10-15、2026-10-16、2026-10-17</v>
      </c>
      <c r="AE781" s="8" t="str">
        <v>2026-10-06 大促；2026-10-07 大促</v>
      </c>
      <c r="AF781" s="8" t="n">
        <v>1</v>
      </c>
      <c r="AG781" s="8" t="n">
        <v>0</v>
      </c>
      <c r="AH781" s="8" t="n">
        <v>14</v>
      </c>
      <c r="AI781" s="8" t="str">
        <v>2026-09-16 至 2026-10-17</v>
      </c>
      <c r="AJ7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1" s="8" t="str">
        <v>2026-10-06 大促；2026-10-07 大促</v>
      </c>
      <c r="AL781" s="8" t="n">
        <v>3</v>
      </c>
      <c r="AM781" s="8" t="n">
        <v>0</v>
      </c>
      <c r="AN781" s="8" t="n">
        <v>30</v>
      </c>
      <c r="AO781" s="8" t="str">
        <v>60516 / 裸色羊京绒 / 6574</v>
      </c>
      <c r="AP781" s="11" t="n">
        <v>1.8609238953732312</v>
      </c>
      <c r="AQ781" s="11" t="n">
        <v>1.8609238953732312</v>
      </c>
      <c r="AR781" s="11" t="n">
        <v>1.7598476169692943</v>
      </c>
      <c r="AS781" s="11" t="n">
        <f>IF(AND(COUNT(I781:K781,AP781:AR781)=6,MIN(AP781:AR781)&gt;0),I781/7/AP781*0.5+J781/14/AQ781*0.3+K781/30/AR781*0.2,"")</f>
        <v>0.06126302997597392</v>
      </c>
      <c r="AT781" s="8" t="n">
        <v>3</v>
      </c>
      <c r="AU781" s="8" t="n">
        <v>0</v>
      </c>
      <c r="AV781" s="8" t="n">
        <v>88</v>
      </c>
      <c r="AW781" s="11" t="n">
        <f>IF(AND(COUNT(AT781:AV781)=3,AT781&gt;=AU781,AU781&gt;=0,AV781&gt;0),(AT781-AU781)/AV781,"")</f>
        <v>0.03409090909090909</v>
      </c>
      <c r="AX781" s="8" t="n">
        <v>8</v>
      </c>
      <c r="AY781" s="8" t="n">
        <v>0</v>
      </c>
      <c r="AZ781" s="8" t="n">
        <v>178</v>
      </c>
      <c r="BA781" s="11" t="n">
        <f>IF(AND(COUNT(AX781:AZ781)=3,AX781&gt;=AY781,AY781&gt;=0,AZ781&gt;0),(AX781-AY781)/AZ781,"")</f>
        <v>0.0449438202247191</v>
      </c>
      <c r="BB781" s="8" t="n">
        <f>IF(COUNT(AS781,AW781,BA781)=3,1,0)</f>
        <v>1</v>
      </c>
      <c r="BC781" s="11" t="n">
        <f>IF(SUMIF($AO$11:$AO$1309,AO781,$BB$11:$BB$1309)=COUNTIF($AO$11:$AO$1309,AO781),SUMIF($AO$11:$AO$1309,AO781,$AS$11:$AS$1309),"")</f>
        <v>0.8385909885010574</v>
      </c>
      <c r="BD781" s="11" t="n">
        <f>IF(SUMIF($AO$11:$AO$1309,AO781,$BB$11:$BB$1309)=COUNTIF($AO$11:$AO$1309,AO781),SUMIF($AO$11:$AO$1309,AO781,$AW$11:$AW$1309),"")</f>
        <v>0.8766042780748663</v>
      </c>
      <c r="BE781" s="11" t="n">
        <f>IF(SUMIF($AO$11:$AO$1309,AO781,$BB$11:$BB$1309)=COUNTIF($AO$11:$AO$1309,AO781),SUMIF($AO$11:$AO$1309,AO781,$BA$11:$BA$1309),"")</f>
        <v>0.7203531300160514</v>
      </c>
      <c r="BF781" s="12" t="n">
        <f>IF(COUNT(BD781:BE781)&lt;&gt;2,"",IF(AND(BD781&gt;0,BE781&gt;0),0.7*AW781/BD781+0.3*BA781/BE781,IF(BD781&gt;0,AW781/BD781,IF(BE781&gt;0,BA781/BE781,IF(AND(ISNUMBER(BH781),BH781=0),0,"")))))</f>
        <v>0.04594022696124092</v>
      </c>
      <c r="BG781" s="11" t="n">
        <f>IF(AND(COUNT(BN781:BU781)=8,MIN(BN781:BU781)&gt;=0),SUMPRODUCT(BN781:BQ781,BR781:BU781),"")</f>
        <v>109.73769409574882</v>
      </c>
      <c r="BH781" s="11" t="n">
        <f>IF(COUNT(BC781,BG781)=2,BC781*BG781,"")</f>
        <v>92.02504136758066</v>
      </c>
      <c r="BI781" s="11" t="n">
        <f>IF(ISNUMBER(CI781),CI781,"")</f>
        <v>4.22765128654424</v>
      </c>
      <c r="BJ781" s="8" t="str"/>
      <c r="BK781" s="8" t="str">
        <v>90天：2026-07-20 至 2026-10-17；180天：2026-04-21 至 2026-10-17</v>
      </c>
      <c r="BL781" s="8" t="str">
        <v>90天：2026-10-06、2026-10-07；180天：2026-10-06、2026-10-07</v>
      </c>
      <c r="BM781" s="8" t="str">
        <v>2026-10：12天 × 1.8609238953732312；2026-11：30天 × 1.438375649833085；2026-12：31天 × 0.9519742599124907；2027-01：17天 × 0.8673021058229575</v>
      </c>
      <c r="BN781" s="11" t="n">
        <v>1.8609238953732312</v>
      </c>
      <c r="BO781" s="11" t="n">
        <v>1.438375649833085</v>
      </c>
      <c r="BP781" s="11" t="n">
        <v>0.9519742599124907</v>
      </c>
      <c r="BQ781" s="11" t="n">
        <v>0.8673021058229575</v>
      </c>
      <c r="BR781" s="8" t="n">
        <v>12</v>
      </c>
      <c r="BS781" s="8" t="n">
        <v>30</v>
      </c>
      <c r="BT781" s="8" t="n">
        <v>31</v>
      </c>
      <c r="BU781" s="8" t="n">
        <v>17</v>
      </c>
      <c r="BV781" s="11" t="n">
        <f>IF(COUNT(BC781,BF781)=2,BC781*BF781,"")</f>
        <v>0.038525060339389954</v>
      </c>
      <c r="BW781" s="11" t="n">
        <f>IF(ISNUMBER(BN781),BN781,"")</f>
        <v>1.8609238953732312</v>
      </c>
      <c r="BX781" s="14" t="n">
        <f>IF(ISNUMBER(BR781),BR781,"")</f>
        <v>12</v>
      </c>
      <c r="BY781" s="13" t="n">
        <f>IF(AND(COUNT(BV781,BW781,BX781)=3,MIN(BV781,BW781,BX781)&gt;=0),BV781*BW781*BX781,"")</f>
        <v>0.860306464275196</v>
      </c>
      <c r="BZ781" s="11" t="n">
        <f>IF(ISNUMBER(BO781),BO781,"")</f>
        <v>1.438375649833085</v>
      </c>
      <c r="CA781" s="14" t="n">
        <f>IF(ISNUMBER(BS781),BS781,"")</f>
        <v>30</v>
      </c>
      <c r="CB781" s="13" t="n">
        <f>IF(AND(COUNT(BV781,BZ781,CA781)=3,MIN(BV781,BZ781,CA781)&gt;=0),BV781*BZ781*CA781,"")</f>
        <v>1.662405261015865</v>
      </c>
      <c r="CC781" s="11" t="n">
        <f>IF(ISNUMBER(BP781),BP781,"")</f>
        <v>0.9519742599124907</v>
      </c>
      <c r="CD781" s="14" t="n">
        <f>IF(ISNUMBER(BT781),BT781,"")</f>
        <v>31</v>
      </c>
      <c r="CE781" s="13" t="n">
        <f>IF(AND(COUNT(BV781,CC781,CD781)=3,MIN(BV781,CC781,CD781)&gt;=0),BV781*CC781*CD781,"")</f>
        <v>1.1369208399449189</v>
      </c>
      <c r="CF781" s="11" t="n">
        <f>IF(ISNUMBER(BQ781),BQ781,"")</f>
        <v>0.8673021058229575</v>
      </c>
      <c r="CG781" s="14" t="n">
        <f>IF(ISNUMBER(BU781),BU781,"")</f>
        <v>17</v>
      </c>
      <c r="CH781" s="13" t="n">
        <f>IF(AND(COUNT(BV781,CF781,CG781)=3,MIN(BV781,CF781,CG781)&gt;=0),BV781*CF781*CG781,"")</f>
        <v>0.5680187213082599</v>
      </c>
      <c r="CI781" s="13" t="n">
        <f>IF(COUNT(BY781,CB781,CE781,CH781)=4,SUM(BY781,CB781,CE781,CH781),"")</f>
        <v>4.22765128654424</v>
      </c>
    </row>
    <row r="782" ht="72" customHeight="1">
      <c r="A782" s="16" t="str">
        <v>60516-ND-S-K-7</v>
      </c>
      <c r="B782" s="16" t="str">
        <v>3店-SANDIEX-US</v>
      </c>
      <c r="C782" s="16" t="str">
        <v>徐新怡</v>
      </c>
      <c r="D782" s="26" t="n">
        <f>IF(NOT(ISNUMBER(E782)),"",IF(OR(E782&lt;=0,L782=0),0,IF(OR(NOT(ISNUMBER(F782)),F782&lt;0),"",MIN(E782,INT(F782)))))</f>
        <v>0</v>
      </c>
      <c r="E782" s="27" t="n">
        <f>IF(OR(NOT(ISNUMBER(L782)),COUNT(M782:O782)&lt;&gt;3,MIN(M782:O782)&lt;0),"",ROUNDUP(ROUND(BI782-SUM(M782:O782),10),0))</f>
        <v>-42</v>
      </c>
      <c r="F782" s="28" t="n">
        <v>3</v>
      </c>
      <c r="G782" s="28" t="n">
        <f>IF(AND(ISNUMBER(D782),ISNUMBER(E782)),IF(OR(E782&lt;=0,L782=0),0,E782-D782),"")</f>
        <v>0</v>
      </c>
      <c r="H782" s="16" t="str">
        <f>IF(NOT(ISNUMBER(E782)),"销量或海外库存待补",IF(OR(E782&lt;=0,L782=0),IF(L782=0,"零日销，本批不发","本批无需补货"),IF(NOT(ISNUMBER(D782)),"国内库存待补",IF(D782=0,"国内无可用库存",IF(G782&gt;0,"先发国内现货","按建议量发货")))))</f>
        <v>本批无需补货</v>
      </c>
      <c r="I782" s="28" t="n">
        <f>IF(AND(COUNT(Z782,AA782,AB782)=3,Z782&gt;=AA782,AA782&gt;=0,AB782=7),Z782-AA782,"")</f>
        <v>2</v>
      </c>
      <c r="J782" s="28" t="n">
        <f>IF(AND(COUNT(AF782,AG782,AH782)=3,AF782&gt;=AG782,AG782&gt;=0,AH782=14),AF782-AG782,"")</f>
        <v>7</v>
      </c>
      <c r="K782" s="28" t="n">
        <f>IF(AND(COUNT(AL782,AM782,AN782)=3,AL782&gt;=AM782,AM782&gt;=0,AN782=30),AL782-AM782,"")</f>
        <v>9</v>
      </c>
      <c r="L782" s="29" t="n">
        <f>IF(ISNUMBER(BI782),BI782/90,"")</f>
        <v>0.20587083894601033</v>
      </c>
      <c r="M782" s="28" t="n">
        <v>60</v>
      </c>
      <c r="N782" s="28" t="n">
        <v>0</v>
      </c>
      <c r="O782" s="28" t="n">
        <v>0</v>
      </c>
      <c r="P782" s="30" t="n">
        <f>IF(AND(ISNUMBER(L782),L782&gt;0,COUNT(M782:O782)=3,MIN(M782:O782)&gt;=0),SUM(M782:O782)/L782,"")</f>
        <v>291.44487051774735</v>
      </c>
      <c r="Q782" s="16" t="str">
        <v>沿用原计划SKU店铺</v>
      </c>
      <c r="R782" s="16" t="str">
        <v>已匹配</v>
      </c>
      <c r="S782" s="16" t="str">
        <v>在售</v>
      </c>
      <c r="T782" s="16" t="str">
        <v>60516</v>
      </c>
      <c r="U782" s="16" t="str">
        <v>裸色</v>
      </c>
      <c r="V782" s="16" t="n">
        <v>7</v>
      </c>
      <c r="W782" s="8" t="str">
        <v>2026-10-11 至 2026-10-17</v>
      </c>
      <c r="X782" s="8" t="str">
        <v>2026-10-11、2026-10-12、2026-10-13、2026-10-14、2026-10-15、2026-10-16、2026-10-17</v>
      </c>
      <c r="Y782" s="8" t="str">
        <v>无</v>
      </c>
      <c r="Z782" s="8" t="n">
        <v>2</v>
      </c>
      <c r="AA782" s="8" t="n">
        <v>0</v>
      </c>
      <c r="AB782" s="8" t="n">
        <v>7</v>
      </c>
      <c r="AC782" s="8" t="str">
        <v>2026-10-02 至 2026-10-17</v>
      </c>
      <c r="AD782" s="8" t="str">
        <v>2026-10-02、2026-10-03、2026-10-04、2026-10-05、2026-10-08、2026-10-09、2026-10-10、2026-10-11、2026-10-12、2026-10-13、2026-10-14、2026-10-15、2026-10-16、2026-10-17</v>
      </c>
      <c r="AE782" s="8" t="str">
        <v>2026-10-06 大促；2026-10-07 大促</v>
      </c>
      <c r="AF782" s="8" t="n">
        <v>9</v>
      </c>
      <c r="AG782" s="8" t="n">
        <v>2</v>
      </c>
      <c r="AH782" s="8" t="n">
        <v>14</v>
      </c>
      <c r="AI782" s="8" t="str">
        <v>2026-09-16 至 2026-10-17</v>
      </c>
      <c r="AJ7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2" s="8" t="str">
        <v>2026-10-06 大促；2026-10-07 大促</v>
      </c>
      <c r="AL782" s="8" t="n">
        <v>11</v>
      </c>
      <c r="AM782" s="8" t="n">
        <v>2</v>
      </c>
      <c r="AN782" s="8" t="n">
        <v>30</v>
      </c>
      <c r="AO782" s="8" t="str">
        <v>60516 / 裸色羊京绒 / 6574</v>
      </c>
      <c r="AP782" s="11" t="n">
        <v>1.8609238953732312</v>
      </c>
      <c r="AQ782" s="11" t="n">
        <v>1.8609238953732312</v>
      </c>
      <c r="AR782" s="11" t="n">
        <v>1.7598476169692943</v>
      </c>
      <c r="AS782" s="11" t="n">
        <f>IF(AND(COUNT(I782:K782,AP782:AR782)=6,MIN(AP782:AR782)&gt;0),I782/7/AP782*0.5+J782/14/AQ782*0.3+K782/30/AR782*0.2,"")</f>
        <v>0.1914657683354765</v>
      </c>
      <c r="AT782" s="8" t="n">
        <v>18</v>
      </c>
      <c r="AU782" s="8" t="n">
        <v>2</v>
      </c>
      <c r="AV782" s="8" t="n">
        <v>88</v>
      </c>
      <c r="AW782" s="11" t="n">
        <f>IF(AND(COUNT(AT782:AV782)=3,AT782&gt;=AU782,AU782&gt;=0,AV782&gt;0),(AT782-AU782)/AV782,"")</f>
        <v>0.18181818181818182</v>
      </c>
      <c r="AX782" s="8" t="n">
        <v>26</v>
      </c>
      <c r="AY782" s="8" t="n">
        <v>2</v>
      </c>
      <c r="AZ782" s="8" t="n">
        <v>178</v>
      </c>
      <c r="BA782" s="11" t="n">
        <f>IF(AND(COUNT(AX782:AZ782)=3,AX782&gt;=AY782,AY782&gt;=0,AZ782&gt;0),(AX782-AY782)/AZ782,"")</f>
        <v>0.1348314606741573</v>
      </c>
      <c r="BB782" s="8" t="n">
        <f>IF(COUNT(AS782,AW782,BA782)=3,1,0)</f>
        <v>1</v>
      </c>
      <c r="BC782" s="11" t="n">
        <f>IF(SUMIF($AO$11:$AO$1309,AO782,$BB$11:$BB$1309)=COUNTIF($AO$11:$AO$1309,AO782),SUMIF($AO$11:$AO$1309,AO782,$AS$11:$AS$1309),"")</f>
        <v>0.8385909885010574</v>
      </c>
      <c r="BD782" s="11" t="n">
        <f>IF(SUMIF($AO$11:$AO$1309,AO782,$BB$11:$BB$1309)=COUNTIF($AO$11:$AO$1309,AO782),SUMIF($AO$11:$AO$1309,AO782,$AW$11:$AW$1309),"")</f>
        <v>0.8766042780748663</v>
      </c>
      <c r="BE782" s="11" t="n">
        <f>IF(SUMIF($AO$11:$AO$1309,AO782,$BB$11:$BB$1309)=COUNTIF($AO$11:$AO$1309,AO782),SUMIF($AO$11:$AO$1309,AO782,$BA$11:$BA$1309),"")</f>
        <v>0.7203531300160514</v>
      </c>
      <c r="BF782" s="12" t="n">
        <f>IF(COUNT(BD782:BE782)&lt;&gt;2,"",IF(AND(BD782&gt;0,BE782&gt;0),0.7*AW782/BD782+0.3*BA782/BE782,IF(BD782&gt;0,AW782/BD782,IF(BE782&gt;0,BA782/BE782,IF(AND(ISNUMBER(BH782),BH782=0),0,"")))))</f>
        <v>0.20134058327811044</v>
      </c>
      <c r="BG782" s="11" t="n">
        <f>IF(AND(COUNT(BN782:BU782)=8,MIN(BN782:BU782)&gt;=0),SUMPRODUCT(BN782:BQ782,BR782:BU782),"")</f>
        <v>109.73769409574882</v>
      </c>
      <c r="BH782" s="11" t="n">
        <f>IF(COUNT(BC782,BG782)=2,BC782*BG782,"")</f>
        <v>92.02504136758066</v>
      </c>
      <c r="BI782" s="11" t="n">
        <f>IF(ISNUMBER(CI782),CI782,"")</f>
        <v>18.52837550514093</v>
      </c>
      <c r="BJ782" s="8" t="str"/>
      <c r="BK782" s="8" t="str">
        <v>90天：2026-07-20 至 2026-10-17；180天：2026-04-21 至 2026-10-17</v>
      </c>
      <c r="BL782" s="8" t="str">
        <v>90天：2026-10-06、2026-10-07；180天：2026-10-06、2026-10-07</v>
      </c>
      <c r="BM782" s="8" t="str">
        <v>2026-10：12天 × 1.8609238953732312；2026-11：30天 × 1.438375649833085；2026-12：31天 × 0.9519742599124907；2027-01：17天 × 0.8673021058229575</v>
      </c>
      <c r="BN782" s="11" t="n">
        <v>1.8609238953732312</v>
      </c>
      <c r="BO782" s="11" t="n">
        <v>1.438375649833085</v>
      </c>
      <c r="BP782" s="11" t="n">
        <v>0.9519742599124907</v>
      </c>
      <c r="BQ782" s="11" t="n">
        <v>0.8673021058229575</v>
      </c>
      <c r="BR782" s="8" t="n">
        <v>12</v>
      </c>
      <c r="BS782" s="8" t="n">
        <v>30</v>
      </c>
      <c r="BT782" s="8" t="n">
        <v>31</v>
      </c>
      <c r="BU782" s="8" t="n">
        <v>17</v>
      </c>
      <c r="BV782" s="11" t="n">
        <f>IF(COUNT(BC782,BF782)=2,BC782*BF782,"")</f>
        <v>0.1688423987565701</v>
      </c>
      <c r="BW782" s="11" t="n">
        <f>IF(ISNUMBER(BN782),BN782,"")</f>
        <v>1.8609238953732312</v>
      </c>
      <c r="BX782" s="14" t="n">
        <f>IF(ISNUMBER(BR782),BR782,"")</f>
        <v>12</v>
      </c>
      <c r="BY782" s="13" t="n">
        <f>IF(AND(COUNT(BV782,BW782,BX782)=3,MIN(BV782,BW782,BX782)&gt;=0),BV782*BW782*BX782,"")</f>
        <v>3.7704342527788417</v>
      </c>
      <c r="BZ782" s="11" t="n">
        <f>IF(ISNUMBER(BO782),BO782,"")</f>
        <v>1.438375649833085</v>
      </c>
      <c r="CA782" s="14" t="n">
        <f>IF(ISNUMBER(BS782),BS782,"")</f>
        <v>30</v>
      </c>
      <c r="CB782" s="13" t="n">
        <f>IF(AND(COUNT(BV782,BZ782,CA782)=3,MIN(BV782,BZ782,CA782)&gt;=0),BV782*BZ782*CA782,"")</f>
        <v>7.285763850925751</v>
      </c>
      <c r="CC782" s="11" t="n">
        <f>IF(ISNUMBER(BP782),BP782,"")</f>
        <v>0.9519742599124907</v>
      </c>
      <c r="CD782" s="14" t="n">
        <f>IF(ISNUMBER(BT782),BT782,"")</f>
        <v>31</v>
      </c>
      <c r="CE782" s="13" t="n">
        <f>IF(AND(COUNT(BV782,CC782,CD782)=3,MIN(BV782,CC782,CD782)&gt;=0),BV782*CC782*CD782,"")</f>
        <v>4.982742145542199</v>
      </c>
      <c r="CF782" s="11" t="n">
        <f>IF(ISNUMBER(BQ782),BQ782,"")</f>
        <v>0.8673021058229575</v>
      </c>
      <c r="CG782" s="14" t="n">
        <f>IF(ISNUMBER(BU782),BU782,"")</f>
        <v>17</v>
      </c>
      <c r="CH782" s="13" t="n">
        <f>IF(AND(COUNT(BV782,CF782,CG782)=3,MIN(BV782,CF782,CG782)&gt;=0),BV782*CF782*CG782,"")</f>
        <v>2.489435255894137</v>
      </c>
      <c r="CI782" s="13" t="n">
        <f>IF(COUNT(BY782,CB782,CE782,CH782)=4,SUM(BY782,CB782,CE782,CH782),"")</f>
        <v>18.52837550514093</v>
      </c>
    </row>
    <row r="783" ht="72" customHeight="1">
      <c r="A783" s="16" t="str">
        <v>60516-ND-S-K-7.5</v>
      </c>
      <c r="B783" s="16" t="str">
        <v>3店-SANDIEX-US</v>
      </c>
      <c r="C783" s="16" t="str">
        <v>徐新怡</v>
      </c>
      <c r="D783" s="26" t="n">
        <f>IF(NOT(ISNUMBER(E783)),"",IF(OR(E783&lt;=0,L783=0),0,IF(OR(NOT(ISNUMBER(F783)),F783&lt;0),"",MIN(E783,INT(F783)))))</f>
        <v>0</v>
      </c>
      <c r="E783" s="27" t="n">
        <f>IF(OR(NOT(ISNUMBER(L783)),COUNT(M783:O783)&lt;&gt;3,MIN(M783:O783)&lt;0),"",ROUNDUP(ROUND(BI783-SUM(M783:O783),10),0))</f>
        <v>-8</v>
      </c>
      <c r="F783" s="28" t="n">
        <v>0</v>
      </c>
      <c r="G783" s="28" t="n">
        <f>IF(AND(ISNUMBER(D783),ISNUMBER(E783)),IF(OR(E783&lt;=0,L783=0),0,E783-D783),"")</f>
        <v>0</v>
      </c>
      <c r="H783" s="16" t="str">
        <f>IF(NOT(ISNUMBER(E783)),"销量或海外库存待补",IF(OR(E783&lt;=0,L783=0),IF(L783=0,"零日销，本批不发","本批无需补货"),IF(NOT(ISNUMBER(D783)),"国内库存待补",IF(D783=0,"国内无可用库存",IF(G783&gt;0,"先发国内现货","按建议量发货")))))</f>
        <v>本批无需补货</v>
      </c>
      <c r="I783" s="28" t="n">
        <f>IF(AND(COUNT(Z783,AA783,AB783)=3,Z783&gt;=AA783,AA783&gt;=0,AB783=7),Z783-AA783,"")</f>
        <v>0</v>
      </c>
      <c r="J783" s="28" t="n">
        <f>IF(AND(COUNT(AF783,AG783,AH783)=3,AF783&gt;=AG783,AG783&gt;=0,AH783=14),AF783-AG783,"")</f>
        <v>1</v>
      </c>
      <c r="K783" s="28" t="n">
        <f>IF(AND(COUNT(AL783,AM783,AN783)=3,AL783&gt;=AM783,AM783&gt;=0,AN783=30),AL783-AM783,"")</f>
        <v>1</v>
      </c>
      <c r="L783" s="29" t="n">
        <f>IF(ISNUMBER(BI783),BI783/90,"")</f>
        <v>0.0703154378002339</v>
      </c>
      <c r="M783" s="28" t="n">
        <v>14</v>
      </c>
      <c r="N783" s="28" t="n">
        <v>0</v>
      </c>
      <c r="O783" s="28" t="n">
        <v>0</v>
      </c>
      <c r="P783" s="30" t="n">
        <f>IF(AND(ISNUMBER(L783),L783&gt;0,COUNT(M783:O783)=3,MIN(M783:O783)&gt;=0),SUM(M783:O783)/L783,"")</f>
        <v>199.10279218873654</v>
      </c>
      <c r="Q783" s="16" t="str">
        <v>按本SKU唯一未删除Listing店铺核实</v>
      </c>
      <c r="R783" s="16" t="str">
        <v>已匹配</v>
      </c>
      <c r="S783" s="16" t="str">
        <v>在售</v>
      </c>
      <c r="T783" s="16" t="str">
        <v>60516</v>
      </c>
      <c r="U783" s="16" t="str">
        <v>裸色</v>
      </c>
      <c r="V783" s="16" t="n">
        <v>7.5</v>
      </c>
      <c r="W783" s="8" t="str">
        <v>2026-10-11 至 2026-10-17</v>
      </c>
      <c r="X783" s="8" t="str">
        <v>2026-10-11、2026-10-12、2026-10-13、2026-10-14、2026-10-15、2026-10-16、2026-10-17</v>
      </c>
      <c r="Y783" s="8" t="str">
        <v>无</v>
      </c>
      <c r="Z783" s="8" t="n">
        <v>0</v>
      </c>
      <c r="AA783" s="8" t="n">
        <v>0</v>
      </c>
      <c r="AB783" s="8" t="n">
        <v>7</v>
      </c>
      <c r="AC783" s="8" t="str">
        <v>2026-10-02 至 2026-10-17</v>
      </c>
      <c r="AD783" s="8" t="str">
        <v>2026-10-02、2026-10-03、2026-10-04、2026-10-05、2026-10-08、2026-10-09、2026-10-10、2026-10-11、2026-10-12、2026-10-13、2026-10-14、2026-10-15、2026-10-16、2026-10-17</v>
      </c>
      <c r="AE783" s="8" t="str">
        <v>2026-10-06 大促；2026-10-07 大促</v>
      </c>
      <c r="AF783" s="8" t="n">
        <v>3</v>
      </c>
      <c r="AG783" s="8" t="n">
        <v>2</v>
      </c>
      <c r="AH783" s="8" t="n">
        <v>14</v>
      </c>
      <c r="AI783" s="8" t="str">
        <v>2026-09-16 至 2026-10-17</v>
      </c>
      <c r="AJ7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3" s="8" t="str">
        <v>2026-10-06 大促；2026-10-07 大促</v>
      </c>
      <c r="AL783" s="8" t="n">
        <v>3</v>
      </c>
      <c r="AM783" s="8" t="n">
        <v>2</v>
      </c>
      <c r="AN783" s="8" t="n">
        <v>30</v>
      </c>
      <c r="AO783" s="8" t="str">
        <v>60516 / 裸色羊京绒 / 6574</v>
      </c>
      <c r="AP783" s="11" t="n">
        <v>1.8609238953732312</v>
      </c>
      <c r="AQ783" s="11" t="n">
        <v>1.8609238953732312</v>
      </c>
      <c r="AR783" s="11" t="n">
        <v>1.7598476169692943</v>
      </c>
      <c r="AS783" s="11" t="n">
        <f>IF(AND(COUNT(I783:K783,AP783:AR783)=6,MIN(AP783:AR783)&gt;0),I783/7/AP783*0.5+J783/14/AQ783*0.3+K783/30/AR783*0.2,"")</f>
        <v>0.015303224386954837</v>
      </c>
      <c r="AT783" s="8" t="n">
        <v>7</v>
      </c>
      <c r="AU783" s="8" t="n">
        <v>2</v>
      </c>
      <c r="AV783" s="8" t="n">
        <v>88</v>
      </c>
      <c r="AW783" s="11" t="n">
        <f>IF(AND(COUNT(AT783:AV783)=3,AT783&gt;=AU783,AU783&gt;=0,AV783&gt;0),(AT783-AU783)/AV783,"")</f>
        <v>0.056818181818181816</v>
      </c>
      <c r="AX783" s="8" t="n">
        <v>12</v>
      </c>
      <c r="AY783" s="8" t="n">
        <v>2</v>
      </c>
      <c r="AZ783" s="8" t="n">
        <v>178</v>
      </c>
      <c r="BA783" s="11" t="n">
        <f>IF(AND(COUNT(AX783:AZ783)=3,AX783&gt;=AY783,AY783&gt;=0,AZ783&gt;0),(AX783-AY783)/AZ783,"")</f>
        <v>0.056179775280898875</v>
      </c>
      <c r="BB783" s="8" t="n">
        <f>IF(COUNT(AS783,AW783,BA783)=3,1,0)</f>
        <v>1</v>
      </c>
      <c r="BC783" s="11" t="n">
        <f>IF(SUMIF($AO$11:$AO$1309,AO783,$BB$11:$BB$1309)=COUNTIF($AO$11:$AO$1309,AO783),SUMIF($AO$11:$AO$1309,AO783,$AS$11:$AS$1309),"")</f>
        <v>0.8385909885010574</v>
      </c>
      <c r="BD783" s="11" t="n">
        <f>IF(SUMIF($AO$11:$AO$1309,AO783,$BB$11:$BB$1309)=COUNTIF($AO$11:$AO$1309,AO783),SUMIF($AO$11:$AO$1309,AO783,$AW$11:$AW$1309),"")</f>
        <v>0.8766042780748663</v>
      </c>
      <c r="BE783" s="11" t="n">
        <f>IF(SUMIF($AO$11:$AO$1309,AO783,$BB$11:$BB$1309)=COUNTIF($AO$11:$AO$1309,AO783),SUMIF($AO$11:$AO$1309,AO783,$BA$11:$BA$1309),"")</f>
        <v>0.7203531300160514</v>
      </c>
      <c r="BF783" s="12" t="n">
        <f>IF(COUNT(BD783:BE783)&lt;&gt;2,"",IF(AND(BD783&gt;0,BE783&gt;0),0.7*AW783/BD783+0.3*BA783/BE783,IF(BD783&gt;0,AW783/BD783,IF(BE783&gt;0,BA783/BE783,IF(AND(ISNUMBER(BH783),BH783=0),0,"")))))</f>
        <v>0.06876812341483467</v>
      </c>
      <c r="BG783" s="11" t="n">
        <f>IF(AND(COUNT(BN783:BU783)=8,MIN(BN783:BU783)&gt;=0),SUMPRODUCT(BN783:BQ783,BR783:BU783),"")</f>
        <v>109.73769409574882</v>
      </c>
      <c r="BH783" s="11" t="n">
        <f>IF(COUNT(BC783,BG783)=2,BC783*BG783,"")</f>
        <v>92.02504136758066</v>
      </c>
      <c r="BI783" s="11" t="n">
        <f>IF(ISNUMBER(CI783),CI783,"")</f>
        <v>6.328389402021052</v>
      </c>
      <c r="BJ783" s="8" t="str"/>
      <c r="BK783" s="8" t="str">
        <v>90天：2026-07-20 至 2026-10-17；180天：2026-04-21 至 2026-10-17</v>
      </c>
      <c r="BL783" s="8" t="str">
        <v>90天：2026-10-06、2026-10-07；180天：2026-10-06、2026-10-07</v>
      </c>
      <c r="BM783" s="8" t="str">
        <v>2026-10：12天 × 1.8609238953732312；2026-11：30天 × 1.438375649833085；2026-12：31天 × 0.9519742599124907；2027-01：17天 × 0.8673021058229575</v>
      </c>
      <c r="BN783" s="11" t="n">
        <v>1.8609238953732312</v>
      </c>
      <c r="BO783" s="11" t="n">
        <v>1.438375649833085</v>
      </c>
      <c r="BP783" s="11" t="n">
        <v>0.9519742599124907</v>
      </c>
      <c r="BQ783" s="11" t="n">
        <v>0.8673021058229575</v>
      </c>
      <c r="BR783" s="8" t="n">
        <v>12</v>
      </c>
      <c r="BS783" s="8" t="n">
        <v>30</v>
      </c>
      <c r="BT783" s="8" t="n">
        <v>31</v>
      </c>
      <c r="BU783" s="8" t="n">
        <v>17</v>
      </c>
      <c r="BV783" s="11" t="n">
        <f>IF(COUNT(BC783,BF783)=2,BC783*BF783,"")</f>
        <v>0.05766832859180891</v>
      </c>
      <c r="BW783" s="11" t="n">
        <f>IF(ISNUMBER(BN783),BN783,"")</f>
        <v>1.8609238953732312</v>
      </c>
      <c r="BX783" s="14" t="n">
        <f>IF(ISNUMBER(BR783),BR783,"")</f>
        <v>12</v>
      </c>
      <c r="BY783" s="13" t="n">
        <f>IF(AND(COUNT(BV783,BW783,BX783)=3,MIN(BV783,BW783,BX783)&gt;=0),BV783*BW783*BX783,"")</f>
        <v>1.2877964481927904</v>
      </c>
      <c r="BZ783" s="11" t="n">
        <f>IF(ISNUMBER(BO783),BO783,"")</f>
        <v>1.438375649833085</v>
      </c>
      <c r="CA783" s="14" t="n">
        <f>IF(ISNUMBER(BS783),BS783,"")</f>
        <v>30</v>
      </c>
      <c r="CB783" s="13" t="n">
        <f>IF(AND(COUNT(BV783,BZ783,CA783)=3,MIN(BV783,BZ783,CA783)&gt;=0),BV783*BZ783*CA783,"")</f>
        <v>2.4884615883909307</v>
      </c>
      <c r="CC783" s="11" t="n">
        <f>IF(ISNUMBER(BP783),BP783,"")</f>
        <v>0.9519742599124907</v>
      </c>
      <c r="CD783" s="14" t="n">
        <f>IF(ISNUMBER(BT783),BT783,"")</f>
        <v>31</v>
      </c>
      <c r="CE783" s="13" t="n">
        <f>IF(AND(COUNT(BV783,CC783,CD783)=3,MIN(BV783,CC783,CD783)&gt;=0),BV783*CC783*CD783,"")</f>
        <v>1.701861697378906</v>
      </c>
      <c r="CF783" s="11" t="n">
        <f>IF(ISNUMBER(BQ783),BQ783,"")</f>
        <v>0.8673021058229575</v>
      </c>
      <c r="CG783" s="14" t="n">
        <f>IF(ISNUMBER(BU783),BU783,"")</f>
        <v>17</v>
      </c>
      <c r="CH783" s="13" t="n">
        <f>IF(AND(COUNT(BV783,CF783,CG783)=3,MIN(BV783,CF783,CG783)&gt;=0),BV783*CF783*CG783,"")</f>
        <v>0.8502696680584244</v>
      </c>
      <c r="CI783" s="13" t="n">
        <f>IF(COUNT(BY783,CB783,CE783,CH783)=4,SUM(BY783,CB783,CE783,CH783),"")</f>
        <v>6.328389402021052</v>
      </c>
    </row>
    <row r="784" ht="72" customHeight="1">
      <c r="A784" s="16" t="str">
        <v>60516-ND-S-K-8</v>
      </c>
      <c r="B784" s="16" t="str">
        <v>3店-SANDIEX-US</v>
      </c>
      <c r="C784" s="16" t="str">
        <v>徐新怡</v>
      </c>
      <c r="D784" s="26" t="n">
        <f>IF(NOT(ISNUMBER(E784)),"",IF(OR(E784&lt;=0,L784=0),0,IF(OR(NOT(ISNUMBER(F784)),F784&lt;0),"",MIN(E784,INT(F784)))))</f>
        <v>0</v>
      </c>
      <c r="E784" s="27" t="n">
        <f>IF(OR(NOT(ISNUMBER(L784)),COUNT(M784:O784)&lt;&gt;3,MIN(M784:O784)&lt;0),"",ROUNDUP(ROUND(BI784-SUM(M784:O784),10),0))</f>
        <v>-36</v>
      </c>
      <c r="F784" s="28" t="n">
        <v>97</v>
      </c>
      <c r="G784" s="28" t="n">
        <f>IF(AND(ISNUMBER(D784),ISNUMBER(E784)),IF(OR(E784&lt;=0,L784=0),0,E784-D784),"")</f>
        <v>0</v>
      </c>
      <c r="H784" s="16" t="str">
        <f>IF(NOT(ISNUMBER(E784)),"销量或海外库存待补",IF(OR(E784&lt;=0,L784=0),IF(L784=0,"零日销，本批不发","本批无需补货"),IF(NOT(ISNUMBER(D784)),"国内库存待补",IF(D784=0,"国内无可用库存",IF(G784&gt;0,"先发国内现货","按建议量发货")))))</f>
        <v>本批无需补货</v>
      </c>
      <c r="I784" s="28" t="n">
        <f>IF(AND(COUNT(Z784,AA784,AB784)=3,Z784&gt;=AA784,AA784&gt;=0,AB784=7),Z784-AA784,"")</f>
        <v>6</v>
      </c>
      <c r="J784" s="28" t="n">
        <f>IF(AND(COUNT(AF784,AG784,AH784)=3,AF784&gt;=AG784,AG784&gt;=0,AH784=14),AF784-AG784,"")</f>
        <v>10</v>
      </c>
      <c r="K784" s="28" t="n">
        <f>IF(AND(COUNT(AL784,AM784,AN784)=3,AL784&gt;=AM784,AM784&gt;=0,AN784=30),AL784-AM784,"")</f>
        <v>16</v>
      </c>
      <c r="L784" s="29" t="n">
        <f>IF(ISNUMBER(BI784),BI784/90,"")</f>
        <v>0.2992369774116464</v>
      </c>
      <c r="M784" s="28" t="n">
        <v>62</v>
      </c>
      <c r="N784" s="28" t="n">
        <v>0</v>
      </c>
      <c r="O784" s="28" t="n">
        <v>0</v>
      </c>
      <c r="P784" s="30" t="n">
        <f>IF(AND(ISNUMBER(L784),L784&gt;0,COUNT(M784:O784)=3,MIN(M784:O784)&gt;=0),SUM(M784:O784)/L784,"")</f>
        <v>207.19364477041046</v>
      </c>
      <c r="Q784" s="16" t="str">
        <v>沿用原计划SKU店铺</v>
      </c>
      <c r="R784" s="16" t="str">
        <v>已匹配</v>
      </c>
      <c r="S784" s="16" t="str">
        <v>在售</v>
      </c>
      <c r="T784" s="16" t="str">
        <v>60516</v>
      </c>
      <c r="U784" s="16" t="str">
        <v>裸色</v>
      </c>
      <c r="V784" s="16" t="n">
        <v>8</v>
      </c>
      <c r="W784" s="8" t="str">
        <v>2026-10-11 至 2026-10-17</v>
      </c>
      <c r="X784" s="8" t="str">
        <v>2026-10-11、2026-10-12、2026-10-13、2026-10-14、2026-10-15、2026-10-16、2026-10-17</v>
      </c>
      <c r="Y784" s="8" t="str">
        <v>无</v>
      </c>
      <c r="Z784" s="8" t="n">
        <v>6</v>
      </c>
      <c r="AA784" s="8" t="n">
        <v>0</v>
      </c>
      <c r="AB784" s="8" t="n">
        <v>7</v>
      </c>
      <c r="AC784" s="8" t="str">
        <v>2026-10-02 至 2026-10-17</v>
      </c>
      <c r="AD784" s="8" t="str">
        <v>2026-10-02、2026-10-03、2026-10-04、2026-10-05、2026-10-08、2026-10-09、2026-10-10、2026-10-11、2026-10-12、2026-10-13、2026-10-14、2026-10-15、2026-10-16、2026-10-17</v>
      </c>
      <c r="AE784" s="8" t="str">
        <v>2026-10-06 大促；2026-10-07 大促</v>
      </c>
      <c r="AF784" s="8" t="n">
        <v>12</v>
      </c>
      <c r="AG784" s="8" t="n">
        <v>2</v>
      </c>
      <c r="AH784" s="8" t="n">
        <v>14</v>
      </c>
      <c r="AI784" s="8" t="str">
        <v>2026-09-16 至 2026-10-17</v>
      </c>
      <c r="AJ7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4" s="8" t="str">
        <v>2026-10-06 大促；2026-10-07 大促</v>
      </c>
      <c r="AL784" s="8" t="n">
        <v>18</v>
      </c>
      <c r="AM784" s="8" t="n">
        <v>2</v>
      </c>
      <c r="AN784" s="8" t="n">
        <v>30</v>
      </c>
      <c r="AO784" s="8" t="str">
        <v>60516 / 裸色羊京绒 / 6574</v>
      </c>
      <c r="AP784" s="11" t="n">
        <v>1.8609238953732312</v>
      </c>
      <c r="AQ784" s="11" t="n">
        <v>1.8609238953732312</v>
      </c>
      <c r="AR784" s="11" t="n">
        <v>1.7598476169692943</v>
      </c>
      <c r="AS784" s="11" t="n">
        <f>IF(AND(COUNT(I784:K784,AP784:AR784)=6,MIN(AP784:AR784)&gt;0),I784/7/AP784*0.5+J784/14/AQ784*0.3+K784/30/AR784*0.2,"")</f>
        <v>0.4060618367499263</v>
      </c>
      <c r="AT784" s="8" t="n">
        <v>26</v>
      </c>
      <c r="AU784" s="8" t="n">
        <v>2</v>
      </c>
      <c r="AV784" s="8" t="n">
        <v>88</v>
      </c>
      <c r="AW784" s="11" t="n">
        <f>IF(AND(COUNT(AT784:AV784)=3,AT784&gt;=AU784,AU784&gt;=0,AV784&gt;0),(AT784-AU784)/AV784,"")</f>
        <v>0.2727272727272727</v>
      </c>
      <c r="AX784" s="8" t="n">
        <v>34</v>
      </c>
      <c r="AY784" s="8" t="n">
        <v>2</v>
      </c>
      <c r="AZ784" s="8" t="n">
        <v>178</v>
      </c>
      <c r="BA784" s="11" t="n">
        <f>IF(AND(COUNT(AX784:AZ784)=3,AX784&gt;=AY784,AY784&gt;=0,AZ784&gt;0),(AX784-AY784)/AZ784,"")</f>
        <v>0.1797752808988764</v>
      </c>
      <c r="BB784" s="8" t="n">
        <f>IF(COUNT(AS784,AW784,BA784)=3,1,0)</f>
        <v>1</v>
      </c>
      <c r="BC784" s="11" t="n">
        <f>IF(SUMIF($AO$11:$AO$1309,AO784,$BB$11:$BB$1309)=COUNTIF($AO$11:$AO$1309,AO784),SUMIF($AO$11:$AO$1309,AO784,$AS$11:$AS$1309),"")</f>
        <v>0.8385909885010574</v>
      </c>
      <c r="BD784" s="11" t="n">
        <f>IF(SUMIF($AO$11:$AO$1309,AO784,$BB$11:$BB$1309)=COUNTIF($AO$11:$AO$1309,AO784),SUMIF($AO$11:$AO$1309,AO784,$AW$11:$AW$1309),"")</f>
        <v>0.8766042780748663</v>
      </c>
      <c r="BE784" s="11" t="n">
        <f>IF(SUMIF($AO$11:$AO$1309,AO784,$BB$11:$BB$1309)=COUNTIF($AO$11:$AO$1309,AO784),SUMIF($AO$11:$AO$1309,AO784,$BA$11:$BA$1309),"")</f>
        <v>0.7203531300160514</v>
      </c>
      <c r="BF784" s="12" t="n">
        <f>IF(COUNT(BD784:BE784)&lt;&gt;2,"",IF(AND(BD784&gt;0,BE784&gt;0),0.7*AW784/BD784+0.3*BA784/BE784,IF(BD784&gt;0,AW784/BD784,IF(BE784&gt;0,BA784/BE784,IF(AND(ISNUMBER(BH784),BH784=0),0,"")))))</f>
        <v>0.29265216909248537</v>
      </c>
      <c r="BG784" s="11" t="n">
        <f>IF(AND(COUNT(BN784:BU784)=8,MIN(BN784:BU784)&gt;=0),SUMPRODUCT(BN784:BQ784,BR784:BU784),"")</f>
        <v>109.73769409574882</v>
      </c>
      <c r="BH784" s="11" t="n">
        <f>IF(COUNT(BC784,BG784)=2,BC784*BG784,"")</f>
        <v>92.02504136758066</v>
      </c>
      <c r="BI784" s="11" t="n">
        <f>IF(ISNUMBER(CI784),CI784,"")</f>
        <v>26.931327967048176</v>
      </c>
      <c r="BJ784" s="8" t="str"/>
      <c r="BK784" s="8" t="str">
        <v>90天：2026-07-20 至 2026-10-17；180天：2026-04-21 至 2026-10-17</v>
      </c>
      <c r="BL784" s="8" t="str">
        <v>90天：2026-10-06、2026-10-07；180天：2026-10-06、2026-10-07</v>
      </c>
      <c r="BM784" s="8" t="str">
        <v>2026-10：12天 × 1.8609238953732312；2026-11：30天 × 1.438375649833085；2026-12：31天 × 0.9519742599124907；2027-01：17天 × 0.8673021058229575</v>
      </c>
      <c r="BN784" s="11" t="n">
        <v>1.8609238953732312</v>
      </c>
      <c r="BO784" s="11" t="n">
        <v>1.438375649833085</v>
      </c>
      <c r="BP784" s="11" t="n">
        <v>0.9519742599124907</v>
      </c>
      <c r="BQ784" s="11" t="n">
        <v>0.8673021058229575</v>
      </c>
      <c r="BR784" s="8" t="n">
        <v>12</v>
      </c>
      <c r="BS784" s="8" t="n">
        <v>30</v>
      </c>
      <c r="BT784" s="8" t="n">
        <v>31</v>
      </c>
      <c r="BU784" s="8" t="n">
        <v>17</v>
      </c>
      <c r="BV784" s="11" t="n">
        <f>IF(COUNT(BC784,BF784)=2,BC784*BF784,"")</f>
        <v>0.2454154717662459</v>
      </c>
      <c r="BW784" s="11" t="n">
        <f>IF(ISNUMBER(BN784),BN784,"")</f>
        <v>1.8609238953732312</v>
      </c>
      <c r="BX784" s="14" t="n">
        <f>IF(ISNUMBER(BR784),BR784,"")</f>
        <v>12</v>
      </c>
      <c r="BY784" s="13" t="n">
        <f>IF(AND(COUNT(BV784,BW784,BX784)=3,MIN(BV784,BW784,BX784)&gt;=0),BV784*BW784*BX784,"")</f>
        <v>5.480394188449218</v>
      </c>
      <c r="BZ784" s="11" t="n">
        <f>IF(ISNUMBER(BO784),BO784,"")</f>
        <v>1.438375649833085</v>
      </c>
      <c r="CA784" s="14" t="n">
        <f>IF(ISNUMBER(BS784),BS784,"")</f>
        <v>30</v>
      </c>
      <c r="CB784" s="13" t="n">
        <f>IF(AND(COUNT(BV784,BZ784,CA784)=3,MIN(BV784,BZ784,CA784)&gt;=0),BV784*BZ784*CA784,"")</f>
        <v>10.589989160426013</v>
      </c>
      <c r="CC784" s="11" t="n">
        <f>IF(ISNUMBER(BP784),BP784,"")</f>
        <v>0.9519742599124907</v>
      </c>
      <c r="CD784" s="14" t="n">
        <f>IF(ISNUMBER(BT784),BT784,"")</f>
        <v>31</v>
      </c>
      <c r="CE784" s="13" t="n">
        <f>IF(AND(COUNT(BV784,CC784,CD784)=3,MIN(BV784,CC784,CD784)&gt;=0),BV784*CC784*CD784,"")</f>
        <v>7.242505575278147</v>
      </c>
      <c r="CF784" s="11" t="n">
        <f>IF(ISNUMBER(BQ784),BQ784,"")</f>
        <v>0.8673021058229575</v>
      </c>
      <c r="CG784" s="14" t="n">
        <f>IF(ISNUMBER(BU784),BU784,"")</f>
        <v>17</v>
      </c>
      <c r="CH784" s="13" t="n">
        <f>IF(AND(COUNT(BV784,CF784,CG784)=3,MIN(BV784,CF784,CG784)&gt;=0),BV784*CF784*CG784,"")</f>
        <v>3.618439042894794</v>
      </c>
      <c r="CI784" s="13" t="n">
        <f>IF(COUNT(BY784,CB784,CE784,CH784)=4,SUM(BY784,CB784,CE784,CH784),"")</f>
        <v>26.931327967048176</v>
      </c>
    </row>
    <row r="785" ht="72" customHeight="1">
      <c r="A785" s="16" t="str">
        <v>60516-ND-S-K-9</v>
      </c>
      <c r="B785" s="16" t="str">
        <v>3店-SANDIEX-US</v>
      </c>
      <c r="C785" s="16" t="str">
        <v>徐新怡</v>
      </c>
      <c r="D785" s="26" t="n">
        <f>IF(NOT(ISNUMBER(E785)),"",IF(OR(E785&lt;=0,L785=0),0,IF(OR(NOT(ISNUMBER(F785)),F785&lt;0),"",MIN(E785,INT(F785)))))</f>
        <v>0</v>
      </c>
      <c r="E785" s="27" t="n">
        <f>IF(OR(NOT(ISNUMBER(L785)),COUNT(M785:O785)&lt;&gt;3,MIN(M785:O785)&lt;0),"",ROUNDUP(ROUND(BI785-SUM(M785:O785),10),0))</f>
        <v>-28</v>
      </c>
      <c r="F785" s="28" t="n">
        <v>19</v>
      </c>
      <c r="G785" s="28" t="n">
        <f>IF(AND(ISNUMBER(D785),ISNUMBER(E785)),IF(OR(E785&lt;=0,L785=0),0,E785-D785),"")</f>
        <v>0</v>
      </c>
      <c r="H785" s="16" t="str">
        <f>IF(NOT(ISNUMBER(E785)),"销量或海外库存待补",IF(OR(E785&lt;=0,L785=0),IF(L785=0,"零日销，本批不发","本批无需补货"),IF(NOT(ISNUMBER(D785)),"国内库存待补",IF(D785=0,"国内无可用库存",IF(G785&gt;0,"先发国内现货","按建议量发货")))))</f>
        <v>本批无需补货</v>
      </c>
      <c r="I785" s="28" t="n">
        <f>IF(AND(COUNT(Z785,AA785,AB785)=3,Z785&gt;=AA785,AA785&gt;=0,AB785=7),Z785-AA785,"")</f>
        <v>1</v>
      </c>
      <c r="J785" s="28" t="n">
        <f>IF(AND(COUNT(AF785,AG785,AH785)=3,AF785&gt;=AG785,AG785&gt;=0,AH785=14),AF785-AG785,"")</f>
        <v>2</v>
      </c>
      <c r="K785" s="28" t="n">
        <f>IF(AND(COUNT(AL785,AM785,AN785)=3,AL785&gt;=AM785,AM785&gt;=0,AN785=30),AL785-AM785,"")</f>
        <v>8</v>
      </c>
      <c r="L785" s="29" t="n">
        <f>IF(ISNUMBER(BI785),BI785/90,"")</f>
        <v>0.260021702885362</v>
      </c>
      <c r="M785" s="28" t="n">
        <v>51</v>
      </c>
      <c r="N785" s="28" t="n">
        <v>0</v>
      </c>
      <c r="O785" s="28" t="n">
        <v>0</v>
      </c>
      <c r="P785" s="30" t="n">
        <f>IF(AND(ISNUMBER(L785),L785&gt;0,COUNT(M785:O785)=3,MIN(M785:O785)&gt;=0),SUM(M785:O785)/L785,"")</f>
        <v>196.13747404186796</v>
      </c>
      <c r="Q785" s="16" t="str">
        <v>沿用原计划SKU店铺</v>
      </c>
      <c r="R785" s="16" t="str">
        <v>已匹配</v>
      </c>
      <c r="S785" s="16" t="str">
        <v>在售</v>
      </c>
      <c r="T785" s="16" t="str">
        <v>60516</v>
      </c>
      <c r="U785" s="16" t="str">
        <v>裸色</v>
      </c>
      <c r="V785" s="16" t="n">
        <v>9</v>
      </c>
      <c r="W785" s="8" t="str">
        <v>2026-10-11 至 2026-10-17</v>
      </c>
      <c r="X785" s="8" t="str">
        <v>2026-10-11、2026-10-12、2026-10-13、2026-10-14、2026-10-15、2026-10-16、2026-10-17</v>
      </c>
      <c r="Y785" s="8" t="str">
        <v>无</v>
      </c>
      <c r="Z785" s="8" t="n">
        <v>1</v>
      </c>
      <c r="AA785" s="8" t="n">
        <v>0</v>
      </c>
      <c r="AB785" s="8" t="n">
        <v>7</v>
      </c>
      <c r="AC785" s="8" t="str">
        <v>2026-10-02 至 2026-10-17</v>
      </c>
      <c r="AD785" s="8" t="str">
        <v>2026-10-02、2026-10-03、2026-10-04、2026-10-05、2026-10-08、2026-10-09、2026-10-10、2026-10-11、2026-10-12、2026-10-13、2026-10-14、2026-10-15、2026-10-16、2026-10-17</v>
      </c>
      <c r="AE785" s="8" t="str">
        <v>2026-10-06 大促；2026-10-07 大促</v>
      </c>
      <c r="AF785" s="8" t="n">
        <v>6</v>
      </c>
      <c r="AG785" s="8" t="n">
        <v>4</v>
      </c>
      <c r="AH785" s="8" t="n">
        <v>14</v>
      </c>
      <c r="AI785" s="8" t="str">
        <v>2026-09-16 至 2026-10-17</v>
      </c>
      <c r="AJ7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85" s="8" t="str">
        <v>2026-10-06 大促；2026-10-07 大促</v>
      </c>
      <c r="AL785" s="8" t="n">
        <v>12</v>
      </c>
      <c r="AM785" s="8" t="n">
        <v>4</v>
      </c>
      <c r="AN785" s="8" t="n">
        <v>30</v>
      </c>
      <c r="AO785" s="8" t="str">
        <v>60516 / 裸色羊京绒 / 6574</v>
      </c>
      <c r="AP785" s="11" t="n">
        <v>1.8609238953732312</v>
      </c>
      <c r="AQ785" s="11" t="n">
        <v>1.8609238953732312</v>
      </c>
      <c r="AR785" s="11" t="n">
        <v>1.7598476169692943</v>
      </c>
      <c r="AS785" s="11" t="n">
        <f>IF(AND(COUNT(I785:K785,AP785:AR785)=6,MIN(AP785:AR785)&gt;0),I785/7/AP785*0.5+J785/14/AQ785*0.3+K785/30/AR785*0.2,"")</f>
        <v>0.09171908146541985</v>
      </c>
      <c r="AT785" s="8" t="n">
        <v>23</v>
      </c>
      <c r="AU785" s="8" t="n">
        <v>4</v>
      </c>
      <c r="AV785" s="8" t="n">
        <v>88</v>
      </c>
      <c r="AW785" s="11" t="n">
        <f>IF(AND(COUNT(AT785:AV785)=3,AT785&gt;=AU785,AU785&gt;=0,AV785&gt;0),(AT785-AU785)/AV785,"")</f>
        <v>0.2159090909090909</v>
      </c>
      <c r="AX785" s="8" t="n">
        <v>39</v>
      </c>
      <c r="AY785" s="8" t="n">
        <v>4</v>
      </c>
      <c r="AZ785" s="8" t="n">
        <v>178</v>
      </c>
      <c r="BA785" s="11" t="n">
        <f>IF(AND(COUNT(AX785:AZ785)=3,AX785&gt;=AY785,AY785&gt;=0,AZ785&gt;0),(AX785-AY785)/AZ785,"")</f>
        <v>0.19662921348314608</v>
      </c>
      <c r="BB785" s="8" t="n">
        <f>IF(COUNT(AS785,AW785,BA785)=3,1,0)</f>
        <v>1</v>
      </c>
      <c r="BC785" s="11" t="n">
        <f>IF(SUMIF($AO$11:$AO$1309,AO785,$BB$11:$BB$1309)=COUNTIF($AO$11:$AO$1309,AO785),SUMIF($AO$11:$AO$1309,AO785,$AS$11:$AS$1309),"")</f>
        <v>0.8385909885010574</v>
      </c>
      <c r="BD785" s="11" t="n">
        <f>IF(SUMIF($AO$11:$AO$1309,AO785,$BB$11:$BB$1309)=COUNTIF($AO$11:$AO$1309,AO785),SUMIF($AO$11:$AO$1309,AO785,$AW$11:$AW$1309),"")</f>
        <v>0.8766042780748663</v>
      </c>
      <c r="BE785" s="11" t="n">
        <f>IF(SUMIF($AO$11:$AO$1309,AO785,$BB$11:$BB$1309)=COUNTIF($AO$11:$AO$1309,AO785),SUMIF($AO$11:$AO$1309,AO785,$BA$11:$BA$1309),"")</f>
        <v>0.7203531300160514</v>
      </c>
      <c r="BF785" s="12" t="n">
        <f>IF(COUNT(BD785:BE785)&lt;&gt;2,"",IF(AND(BD785&gt;0,BE785&gt;0),0.7*AW785/BD785+0.3*BA785/BE785,IF(BD785&gt;0,AW785/BD785,IF(BE785&gt;0,BA785/BE785,IF(AND(ISNUMBER(BH785),BH785=0),0,"")))))</f>
        <v>0.2542998396078615</v>
      </c>
      <c r="BG785" s="11" t="n">
        <f>IF(AND(COUNT(BN785:BU785)=8,MIN(BN785:BU785)&gt;=0),SUMPRODUCT(BN785:BQ785,BR785:BU785),"")</f>
        <v>109.73769409574882</v>
      </c>
      <c r="BH785" s="11" t="n">
        <f>IF(COUNT(BC785,BG785)=2,BC785*BG785,"")</f>
        <v>92.02504136758066</v>
      </c>
      <c r="BI785" s="11" t="n">
        <f>IF(ISNUMBER(CI785),CI785,"")</f>
        <v>23.401953259682582</v>
      </c>
      <c r="BJ785" s="8" t="str"/>
      <c r="BK785" s="8" t="str">
        <v>90天：2026-07-20 至 2026-10-17；180天：2026-04-21 至 2026-10-17</v>
      </c>
      <c r="BL785" s="8" t="str">
        <v>90天：2026-10-06、2026-10-07；180天：2026-10-06、2026-10-07</v>
      </c>
      <c r="BM785" s="8" t="str">
        <v>2026-10：12天 × 1.8609238953732312；2026-11：30天 × 1.438375649833085；2026-12：31天 × 0.9519742599124907；2027-01：17天 × 0.8673021058229575</v>
      </c>
      <c r="BN785" s="11" t="n">
        <v>1.8609238953732312</v>
      </c>
      <c r="BO785" s="11" t="n">
        <v>1.438375649833085</v>
      </c>
      <c r="BP785" s="11" t="n">
        <v>0.9519742599124907</v>
      </c>
      <c r="BQ785" s="11" t="n">
        <v>0.8673021058229575</v>
      </c>
      <c r="BR785" s="8" t="n">
        <v>12</v>
      </c>
      <c r="BS785" s="8" t="n">
        <v>30</v>
      </c>
      <c r="BT785" s="8" t="n">
        <v>31</v>
      </c>
      <c r="BU785" s="8" t="n">
        <v>17</v>
      </c>
      <c r="BV785" s="11" t="n">
        <f>IF(COUNT(BC785,BF785)=2,BC785*BF785,"")</f>
        <v>0.21325355387241693</v>
      </c>
      <c r="BW785" s="11" t="n">
        <f>IF(ISNUMBER(BN785),BN785,"")</f>
        <v>1.8609238953732312</v>
      </c>
      <c r="BX785" s="14" t="n">
        <f>IF(ISNUMBER(BR785),BR785,"")</f>
        <v>12</v>
      </c>
      <c r="BY785" s="13" t="n">
        <f>IF(AND(COUNT(BV785,BW785,BX785)=3,MIN(BV785,BW785,BX785)&gt;=0),BV785*BW785*BX785,"")</f>
        <v>4.76218361009332</v>
      </c>
      <c r="BZ785" s="11" t="n">
        <f>IF(ISNUMBER(BO785),BO785,"")</f>
        <v>1.438375649833085</v>
      </c>
      <c r="CA785" s="14" t="n">
        <f>IF(ISNUMBER(BS785),BS785,"")</f>
        <v>30</v>
      </c>
      <c r="CB785" s="13" t="n">
        <f>IF(AND(COUNT(BV785,BZ785,CA785)=3,MIN(BV785,BZ785,CA785)&gt;=0),BV785*BZ785*CA785,"")</f>
        <v>9.202161573913576</v>
      </c>
      <c r="CC785" s="11" t="n">
        <f>IF(ISNUMBER(BP785),BP785,"")</f>
        <v>0.9519742599124907</v>
      </c>
      <c r="CD785" s="14" t="n">
        <f>IF(ISNUMBER(BT785),BT785,"")</f>
        <v>31</v>
      </c>
      <c r="CE785" s="13" t="n">
        <f>IF(AND(COUNT(BV785,CC785,CD785)=3,MIN(BV785,CC785,CD785)&gt;=0),BV785*CC785*CD785,"")</f>
        <v>6.29336871776348</v>
      </c>
      <c r="CF785" s="11" t="n">
        <f>IF(ISNUMBER(BQ785),BQ785,"")</f>
        <v>0.8673021058229575</v>
      </c>
      <c r="CG785" s="14" t="n">
        <f>IF(ISNUMBER(BU785),BU785,"")</f>
        <v>17</v>
      </c>
      <c r="CH785" s="13" t="n">
        <f>IF(AND(COUNT(BV785,CF785,CG785)=3,MIN(BV785,CF785,CG785)&gt;=0),BV785*CF785*CG785,"")</f>
        <v>3.144239357912204</v>
      </c>
      <c r="CI785" s="13" t="n">
        <f>IF(COUNT(BY785,CB785,CE785,CH785)=4,SUM(BY785,CB785,CE785,CH785),"")</f>
        <v>23.401953259682582</v>
      </c>
    </row>
    <row r="786" ht="72" customHeight="1">
      <c r="A786" s="16" t="str">
        <v>60516-ND-S-K-9.5</v>
      </c>
      <c r="B786" s="16" t="str">
        <v>3店-SANDIEX-US</v>
      </c>
      <c r="C786" s="16" t="str">
        <v>徐新怡</v>
      </c>
      <c r="D786" s="26" t="n">
        <f>IF(NOT(ISNUMBER(E786)),"",IF(OR(E786&lt;=0,L786=0),0,IF(OR(NOT(ISNUMBER(F786)),F786&lt;0),"",MIN(E786,INT(F786)))))</f>
        <v>0</v>
      </c>
      <c r="E786" s="27" t="n">
        <f>IF(OR(NOT(ISNUMBER(L786)),COUNT(M786:O786)&lt;&gt;3,MIN(M786:O786)&lt;0),"",ROUNDUP(ROUND(BI786-SUM(M786:O786),10),0))</f>
        <v>0</v>
      </c>
      <c r="F786" s="28" t="n">
        <v>0</v>
      </c>
      <c r="G786" s="28" t="n">
        <f>IF(AND(ISNUMBER(D786),ISNUMBER(E786)),IF(OR(E786&lt;=0,L786=0),0,E786-D786),"")</f>
        <v>0</v>
      </c>
      <c r="H786" s="16" t="str">
        <f>IF(NOT(ISNUMBER(E786)),"销量或海外库存待补",IF(OR(E786&lt;=0,L786=0),IF(L786=0,"零日销，本批不发","本批无需补货"),IF(NOT(ISNUMBER(D786)),"国内库存待补",IF(D786=0,"国内无可用库存",IF(G786&gt;0,"先发国内现货","按建议量发货")))))</f>
        <v>零日销，本批不发</v>
      </c>
      <c r="I786" s="28" t="n">
        <f>IF(AND(COUNT(Z786,AA786,AB786)=3,Z786&gt;=AA786,AA786&gt;=0,AB786=7),Z786-AA786,"")</f>
        <v>0</v>
      </c>
      <c r="J786" s="28" t="n">
        <f>IF(AND(COUNT(AF786,AG786,AH786)=3,AF786&gt;=AG786,AG786&gt;=0,AH786=14),AF786-AG786,"")</f>
        <v>0</v>
      </c>
      <c r="K786" s="28" t="n">
        <f>IF(AND(COUNT(AL786,AM786,AN786)=3,AL786&gt;=AM786,AM786&gt;=0,AN786=30),AL786-AM786,"")</f>
        <v>0</v>
      </c>
      <c r="L786" s="29" t="n">
        <f>IF(ISNUMBER(BI786),BI786/90,"")</f>
        <v>0</v>
      </c>
      <c r="M786" s="28" t="n">
        <v>0</v>
      </c>
      <c r="N786" s="28" t="n">
        <v>0</v>
      </c>
      <c r="O786" s="28" t="n">
        <v>0</v>
      </c>
      <c r="P786" s="30" t="str">
        <f>IF(AND(ISNUMBER(L786),L786&gt;0,COUNT(M786:O786)=3,MIN(M786:O786)&gt;=0),SUM(M786:O786)/L786,"")</f>
      </c>
      <c r="Q786" s="16" t="str">
        <v>按本SKU唯一未删除Listing店铺核实</v>
      </c>
      <c r="R786" s="16" t="str">
        <v>已匹配</v>
      </c>
      <c r="S786" s="16" t="str">
        <v>停售</v>
      </c>
      <c r="T786" s="16" t="str">
        <v>60516</v>
      </c>
      <c r="U786" s="16" t="str">
        <v>裸色</v>
      </c>
      <c r="V786" s="16" t="n">
        <v>9.5</v>
      </c>
      <c r="W786" s="8" t="str">
        <v>2026-10-08 至 2026-10-17</v>
      </c>
      <c r="X786" s="8" t="str">
        <v>2026-10-08、2026-10-09、2026-10-10、2026-10-11、2026-10-14、2026-10-15、2026-10-17</v>
      </c>
      <c r="Y786" s="8" t="str">
        <v>2026-10-12 有记录的停售日；2026-10-13 有记录的停售日；2026-10-16 有记录的停售日</v>
      </c>
      <c r="Z786" s="8" t="n">
        <v>0</v>
      </c>
      <c r="AA786" s="8" t="n">
        <v>0</v>
      </c>
      <c r="AB786" s="8" t="n">
        <v>7</v>
      </c>
      <c r="AC786" s="8" t="str">
        <v>2026-09-29 至 2026-10-17</v>
      </c>
      <c r="AD786" s="8" t="str">
        <v>2026-09-29、2026-09-30、2026-10-01、2026-10-02、2026-10-03、2026-10-04、2026-10-05、2026-10-08、2026-10-09、2026-10-10、2026-10-11、2026-10-14、2026-10-15、2026-10-17</v>
      </c>
      <c r="AE786" s="8" t="str">
        <v>2026-10-06 大促；2026-10-07 大促；2026-10-12 有记录的停售日；2026-10-13 有记录的停售日；2026-10-16 有记录的停售日</v>
      </c>
      <c r="AF786" s="8" t="n">
        <v>0</v>
      </c>
      <c r="AG786" s="8" t="n">
        <v>0</v>
      </c>
      <c r="AH786" s="8" t="n">
        <v>14</v>
      </c>
      <c r="AI786" s="8" t="str">
        <v>2026-09-13 至 2026-10-17</v>
      </c>
      <c r="AJ78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86" s="8" t="str">
        <v>2026-10-06 大促；2026-10-07 大促；2026-10-12 有记录的停售日；2026-10-13 有记录的停售日；2026-10-16 有记录的停售日</v>
      </c>
      <c r="AL786" s="8" t="n">
        <v>0</v>
      </c>
      <c r="AM786" s="8" t="n">
        <v>0</v>
      </c>
      <c r="AN786" s="8" t="n">
        <v>30</v>
      </c>
      <c r="AO786" s="8" t="str">
        <v>60516 / 裸色羊京绒 / 6574</v>
      </c>
      <c r="AP786" s="11" t="n">
        <v>1.8609238953732312</v>
      </c>
      <c r="AQ786" s="11" t="n">
        <v>1.832044958686392</v>
      </c>
      <c r="AR786" s="11" t="n">
        <v>1.7396323612885067</v>
      </c>
      <c r="AS786" s="11" t="n">
        <f>IF(AND(COUNT(I786:K786,AP786:AR786)=6,MIN(AP786:AR786)&gt;0),I786/7/AP786*0.5+J786/14/AQ786*0.3+K786/30/AR786*0.2,"")</f>
        <v>0</v>
      </c>
      <c r="AT786" s="8" t="n">
        <v>0</v>
      </c>
      <c r="AU786" s="8" t="n">
        <v>0</v>
      </c>
      <c r="AV786" s="8" t="n">
        <v>85</v>
      </c>
      <c r="AW786" s="11" t="n">
        <f>IF(AND(COUNT(AT786:AV786)=3,AT786&gt;=AU786,AU786&gt;=0,AV786&gt;0),(AT786-AU786)/AV786,"")</f>
        <v>0</v>
      </c>
      <c r="AX786" s="8" t="n">
        <v>0</v>
      </c>
      <c r="AY786" s="8" t="n">
        <v>0</v>
      </c>
      <c r="AZ786" s="8" t="n">
        <v>175</v>
      </c>
      <c r="BA786" s="11" t="n">
        <f>IF(AND(COUNT(AX786:AZ786)=3,AX786&gt;=AY786,AY786&gt;=0,AZ786&gt;0),(AX786-AY786)/AZ786,"")</f>
        <v>0</v>
      </c>
      <c r="BB786" s="8" t="n">
        <f>IF(COUNT(AS786,AW786,BA786)=3,1,0)</f>
        <v>1</v>
      </c>
      <c r="BC786" s="11" t="n">
        <f>IF(SUMIF($AO$11:$AO$1309,AO786,$BB$11:$BB$1309)=COUNTIF($AO$11:$AO$1309,AO786),SUMIF($AO$11:$AO$1309,AO786,$AS$11:$AS$1309),"")</f>
        <v>0.8385909885010574</v>
      </c>
      <c r="BD786" s="11" t="n">
        <f>IF(SUMIF($AO$11:$AO$1309,AO786,$BB$11:$BB$1309)=COUNTIF($AO$11:$AO$1309,AO786),SUMIF($AO$11:$AO$1309,AO786,$AW$11:$AW$1309),"")</f>
        <v>0.8766042780748663</v>
      </c>
      <c r="BE786" s="11" t="n">
        <f>IF(SUMIF($AO$11:$AO$1309,AO786,$BB$11:$BB$1309)=COUNTIF($AO$11:$AO$1309,AO786),SUMIF($AO$11:$AO$1309,AO786,$BA$11:$BA$1309),"")</f>
        <v>0.7203531300160514</v>
      </c>
      <c r="BF786" s="12" t="n">
        <f>IF(COUNT(BD786:BE786)&lt;&gt;2,"",IF(AND(BD786&gt;0,BE786&gt;0),0.7*AW786/BD786+0.3*BA786/BE786,IF(BD786&gt;0,AW786/BD786,IF(BE786&gt;0,BA786/BE786,IF(AND(ISNUMBER(BH786),BH786=0),0,"")))))</f>
        <v>0</v>
      </c>
      <c r="BG786" s="11" t="n">
        <f>IF(AND(COUNT(BN786:BU786)=8,MIN(BN786:BU786)&gt;=0),SUMPRODUCT(BN786:BQ786,BR786:BU786),"")</f>
        <v>109.73769409574882</v>
      </c>
      <c r="BH786" s="11" t="n">
        <f>IF(COUNT(BC786,BG786)=2,BC786*BG786,"")</f>
        <v>92.02504136758066</v>
      </c>
      <c r="BI786" s="11" t="n">
        <f>IF(ISNUMBER(CI786),CI786,"")</f>
        <v>0</v>
      </c>
      <c r="BJ786" s="8" t="str"/>
      <c r="BK786" s="8" t="str">
        <v>90天：2026-07-20 至 2026-10-17；180天：2026-04-21 至 2026-10-17</v>
      </c>
      <c r="BL786" s="8" t="str">
        <v>90天：2026-10-06、2026-10-07、2026-10-12、2026-10-13、2026-10-16；180天：2026-10-06、2026-10-07、2026-10-12、2026-10-13、2026-10-16</v>
      </c>
      <c r="BM786" s="8" t="str">
        <v>2026-10：12天 × 1.8609238953732312；2026-11：30天 × 1.438375649833085；2026-12：31天 × 0.9519742599124907；2027-01：17天 × 0.8673021058229575</v>
      </c>
      <c r="BN786" s="11" t="n">
        <v>1.8609238953732312</v>
      </c>
      <c r="BO786" s="11" t="n">
        <v>1.438375649833085</v>
      </c>
      <c r="BP786" s="11" t="n">
        <v>0.9519742599124907</v>
      </c>
      <c r="BQ786" s="11" t="n">
        <v>0.8673021058229575</v>
      </c>
      <c r="BR786" s="8" t="n">
        <v>12</v>
      </c>
      <c r="BS786" s="8" t="n">
        <v>30</v>
      </c>
      <c r="BT786" s="8" t="n">
        <v>31</v>
      </c>
      <c r="BU786" s="8" t="n">
        <v>17</v>
      </c>
      <c r="BV786" s="11" t="n">
        <f>IF(COUNT(BC786,BF786)=2,BC786*BF786,"")</f>
        <v>0</v>
      </c>
      <c r="BW786" s="11" t="n">
        <f>IF(ISNUMBER(BN786),BN786,"")</f>
        <v>1.8609238953732312</v>
      </c>
      <c r="BX786" s="14" t="n">
        <f>IF(ISNUMBER(BR786),BR786,"")</f>
        <v>12</v>
      </c>
      <c r="BY786" s="13" t="n">
        <f>IF(AND(COUNT(BV786,BW786,BX786)=3,MIN(BV786,BW786,BX786)&gt;=0),BV786*BW786*BX786,"")</f>
        <v>0</v>
      </c>
      <c r="BZ786" s="11" t="n">
        <f>IF(ISNUMBER(BO786),BO786,"")</f>
        <v>1.438375649833085</v>
      </c>
      <c r="CA786" s="14" t="n">
        <f>IF(ISNUMBER(BS786),BS786,"")</f>
        <v>30</v>
      </c>
      <c r="CB786" s="13" t="n">
        <f>IF(AND(COUNT(BV786,BZ786,CA786)=3,MIN(BV786,BZ786,CA786)&gt;=0),BV786*BZ786*CA786,"")</f>
        <v>0</v>
      </c>
      <c r="CC786" s="11" t="n">
        <f>IF(ISNUMBER(BP786),BP786,"")</f>
        <v>0.9519742599124907</v>
      </c>
      <c r="CD786" s="14" t="n">
        <f>IF(ISNUMBER(BT786),BT786,"")</f>
        <v>31</v>
      </c>
      <c r="CE786" s="13" t="n">
        <f>IF(AND(COUNT(BV786,CC786,CD786)=3,MIN(BV786,CC786,CD786)&gt;=0),BV786*CC786*CD786,"")</f>
        <v>0</v>
      </c>
      <c r="CF786" s="11" t="n">
        <f>IF(ISNUMBER(BQ786),BQ786,"")</f>
        <v>0.8673021058229575</v>
      </c>
      <c r="CG786" s="14" t="n">
        <f>IF(ISNUMBER(BU786),BU786,"")</f>
        <v>17</v>
      </c>
      <c r="CH786" s="13" t="n">
        <f>IF(AND(COUNT(BV786,CF786,CG786)=3,MIN(BV786,CF786,CG786)&gt;=0),BV786*CF786*CG786,"")</f>
        <v>0</v>
      </c>
      <c r="CI786" s="13" t="n">
        <f>IF(COUNT(BY786,CB786,CE786,CH786)=4,SUM(BY786,CB786,CE786,CH786),"")</f>
        <v>0</v>
      </c>
    </row>
    <row r="787" ht="72" customHeight="1">
      <c r="A787" s="16" t="str">
        <v>60516-NY-S-K-10.5</v>
      </c>
      <c r="B787" s="16" t="str">
        <v>3店-SANDIEX-US</v>
      </c>
      <c r="C787" s="16" t="str">
        <v>徐新怡</v>
      </c>
      <c r="D787" s="26" t="n">
        <f>IF(NOT(ISNUMBER(E787)),"",IF(OR(E787&lt;=0,L787=0),0,IF(OR(NOT(ISNUMBER(F787)),F787&lt;0),"",MIN(E787,INT(F787)))))</f>
        <v>0</v>
      </c>
      <c r="E787" s="27" t="n">
        <f>IF(OR(NOT(ISNUMBER(L787)),COUNT(M787:O787)&lt;&gt;3,MIN(M787:O787)&lt;0),"",ROUNDUP(ROUND(BI787-SUM(M787:O787),10),0))</f>
        <v>0</v>
      </c>
      <c r="F787" s="28" t="n">
        <v>2</v>
      </c>
      <c r="G787" s="28" t="n">
        <f>IF(AND(ISNUMBER(D787),ISNUMBER(E787)),IF(OR(E787&lt;=0,L787=0),0,E787-D787),"")</f>
        <v>0</v>
      </c>
      <c r="H787" s="16" t="str">
        <f>IF(NOT(ISNUMBER(E787)),"销量或海外库存待补",IF(OR(E787&lt;=0,L787=0),IF(L787=0,"零日销，本批不发","本批无需补货"),IF(NOT(ISNUMBER(D787)),"国内库存待补",IF(D787=0,"国内无可用库存",IF(G787&gt;0,"先发国内现货","按建议量发货")))))</f>
        <v>零日销，本批不发</v>
      </c>
      <c r="I787" s="28" t="n">
        <f>IF(AND(COUNT(Z787,AA787,AB787)=3,Z787&gt;=AA787,AA787&gt;=0,AB787=7),Z787-AA787,"")</f>
        <v>0</v>
      </c>
      <c r="J787" s="28" t="n">
        <f>IF(AND(COUNT(AF787,AG787,AH787)=3,AF787&gt;=AG787,AG787&gt;=0,AH787=14),AF787-AG787,"")</f>
        <v>0</v>
      </c>
      <c r="K787" s="28" t="n">
        <f>IF(AND(COUNT(AL787,AM787,AN787)=3,AL787&gt;=AM787,AM787&gt;=0,AN787=30),AL787-AM787,"")</f>
        <v>0</v>
      </c>
      <c r="L787" s="29" t="n">
        <f>IF(ISNUMBER(BI787),BI787/90,"")</f>
        <v>0</v>
      </c>
      <c r="M787" s="28" t="n">
        <v>0</v>
      </c>
      <c r="N787" s="28" t="n">
        <v>0</v>
      </c>
      <c r="O787" s="28" t="n">
        <v>0</v>
      </c>
      <c r="P787" s="30" t="str">
        <f>IF(AND(ISNUMBER(L787),L787&gt;0,COUNT(M787:O787)=3,MIN(M787:O787)&gt;=0),SUM(M787:O787)/L787,"")</f>
      </c>
      <c r="Q787" s="16" t="str">
        <v>按本SKU唯一未删除Listing店铺核实</v>
      </c>
      <c r="R787" s="16" t="str">
        <v>已匹配</v>
      </c>
      <c r="S787" s="16" t="str">
        <v>停售</v>
      </c>
      <c r="T787" s="16" t="str">
        <v>60516</v>
      </c>
      <c r="U787" s="16" t="str">
        <v>藏青色</v>
      </c>
      <c r="V787" s="16" t="n">
        <v>10.5</v>
      </c>
      <c r="W787" s="8" t="str">
        <v>2026-10-08 至 2026-10-17</v>
      </c>
      <c r="X787" s="8" t="str">
        <v>2026-10-08、2026-10-09、2026-10-10、2026-10-11、2026-10-14、2026-10-15、2026-10-17</v>
      </c>
      <c r="Y787" s="8" t="str">
        <v>2026-10-12 有记录的停售日；2026-10-13 有记录的停售日；2026-10-16 有记录的停售日</v>
      </c>
      <c r="Z787" s="8" t="n">
        <v>0</v>
      </c>
      <c r="AA787" s="8" t="n">
        <v>0</v>
      </c>
      <c r="AB787" s="8" t="n">
        <v>7</v>
      </c>
      <c r="AC787" s="8" t="str">
        <v>2026-09-29 至 2026-10-17</v>
      </c>
      <c r="AD787" s="8" t="str">
        <v>2026-09-29、2026-09-30、2026-10-01、2026-10-02、2026-10-03、2026-10-04、2026-10-05、2026-10-08、2026-10-09、2026-10-10、2026-10-11、2026-10-14、2026-10-15、2026-10-17</v>
      </c>
      <c r="AE787" s="8" t="str">
        <v>2026-10-06 大促；2026-10-07 大促；2026-10-12 有记录的停售日；2026-10-13 有记录的停售日；2026-10-16 有记录的停售日</v>
      </c>
      <c r="AF787" s="8" t="n">
        <v>0</v>
      </c>
      <c r="AG787" s="8" t="n">
        <v>0</v>
      </c>
      <c r="AH787" s="8" t="n">
        <v>14</v>
      </c>
      <c r="AI787" s="8" t="str">
        <v>2026-09-13 至 2026-10-17</v>
      </c>
      <c r="AJ7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87" s="8" t="str">
        <v>2026-10-06 大促；2026-10-07 大促；2026-10-12 有记录的停售日；2026-10-13 有记录的停售日；2026-10-16 有记录的停售日</v>
      </c>
      <c r="AL787" s="8" t="n">
        <v>0</v>
      </c>
      <c r="AM787" s="8" t="n">
        <v>0</v>
      </c>
      <c r="AN787" s="8" t="n">
        <v>30</v>
      </c>
      <c r="AO787" s="8" t="str">
        <v>60516 / 藏青色羊京绒 / 6574</v>
      </c>
      <c r="AP787" s="11" t="n">
        <v>1.8609238953732312</v>
      </c>
      <c r="AQ787" s="11" t="n">
        <v>1.832044958686392</v>
      </c>
      <c r="AR787" s="11" t="n">
        <v>1.7396323612885067</v>
      </c>
      <c r="AS787" s="11" t="n">
        <f>IF(AND(COUNT(I787:K787,AP787:AR787)=6,MIN(AP787:AR787)&gt;0),I787/7/AP787*0.5+J787/14/AQ787*0.3+K787/30/AR787*0.2,"")</f>
        <v>0</v>
      </c>
      <c r="AT787" s="8" t="n">
        <v>0</v>
      </c>
      <c r="AU787" s="8" t="n">
        <v>0</v>
      </c>
      <c r="AV787" s="8" t="n">
        <v>85</v>
      </c>
      <c r="AW787" s="11" t="n">
        <f>IF(AND(COUNT(AT787:AV787)=3,AT787&gt;=AU787,AU787&gt;=0,AV787&gt;0),(AT787-AU787)/AV787,"")</f>
        <v>0</v>
      </c>
      <c r="AX787" s="8" t="n">
        <v>0</v>
      </c>
      <c r="AY787" s="8" t="n">
        <v>0</v>
      </c>
      <c r="AZ787" s="8" t="n">
        <v>175</v>
      </c>
      <c r="BA787" s="11" t="n">
        <f>IF(AND(COUNT(AX787:AZ787)=3,AX787&gt;=AY787,AY787&gt;=0,AZ787&gt;0),(AX787-AY787)/AZ787,"")</f>
        <v>0</v>
      </c>
      <c r="BB787" s="8" t="n">
        <f>IF(COUNT(AS787,AW787,BA787)=3,1,0)</f>
        <v>1</v>
      </c>
      <c r="BC787" s="11" t="n">
        <f>IF(SUMIF($AO$11:$AO$1309,AO787,$BB$11:$BB$1309)=COUNTIF($AO$11:$AO$1309,AO787),SUMIF($AO$11:$AO$1309,AO787,$AS$11:$AS$1309),"")</f>
        <v>0.40586130703730794</v>
      </c>
      <c r="BD787" s="11" t="n">
        <f>IF(SUMIF($AO$11:$AO$1309,AO787,$BB$11:$BB$1309)=COUNTIF($AO$11:$AO$1309,AO787),SUMIF($AO$11:$AO$1309,AO787,$AW$11:$AW$1309),"")</f>
        <v>0.5125668449197861</v>
      </c>
      <c r="BE787" s="11" t="n">
        <f>IF(SUMIF($AO$11:$AO$1309,AO787,$BB$11:$BB$1309)=COUNTIF($AO$11:$AO$1309,AO787),SUMIF($AO$11:$AO$1309,AO787,$BA$11:$BA$1309),"")</f>
        <v>0.38879614767255216</v>
      </c>
      <c r="BF787" s="12" t="n">
        <f>IF(COUNT(BD787:BE787)&lt;&gt;2,"",IF(AND(BD787&gt;0,BE787&gt;0),0.7*AW787/BD787+0.3*BA787/BE787,IF(BD787&gt;0,AW787/BD787,IF(BE787&gt;0,BA787/BE787,IF(AND(ISNUMBER(BH787),BH787=0),0,"")))))</f>
        <v>0</v>
      </c>
      <c r="BG787" s="11" t="n">
        <f>IF(AND(COUNT(BN787:BU787)=8,MIN(BN787:BU787)&gt;=0),SUMPRODUCT(BN787:BQ787,BR787:BU787),"")</f>
        <v>109.73769409574882</v>
      </c>
      <c r="BH787" s="11" t="n">
        <f>IF(COUNT(BC787,BG787)=2,BC787*BG787,"")</f>
        <v>44.53828395696089</v>
      </c>
      <c r="BI787" s="11" t="n">
        <f>IF(ISNUMBER(CI787),CI787,"")</f>
        <v>0</v>
      </c>
      <c r="BJ787" s="8" t="str">
        <v>近180天本色销量75双（＜90），无有效新采购，请运营判断</v>
      </c>
      <c r="BK787" s="8" t="str">
        <v>90天：2026-07-20 至 2026-10-17；180天：2026-04-21 至 2026-10-17</v>
      </c>
      <c r="BL787" s="8" t="str">
        <v>90天：2026-10-06、2026-10-07、2026-10-12、2026-10-13、2026-10-16；180天：2026-10-06、2026-10-07、2026-10-12、2026-10-13、2026-10-16</v>
      </c>
      <c r="BM787" s="8" t="str">
        <v>2026-10：12天 × 1.8609238953732312；2026-11：30天 × 1.438375649833085；2026-12：31天 × 0.9519742599124907；2027-01：17天 × 0.8673021058229575</v>
      </c>
      <c r="BN787" s="11" t="n">
        <v>1.8609238953732312</v>
      </c>
      <c r="BO787" s="11" t="n">
        <v>1.438375649833085</v>
      </c>
      <c r="BP787" s="11" t="n">
        <v>0.9519742599124907</v>
      </c>
      <c r="BQ787" s="11" t="n">
        <v>0.8673021058229575</v>
      </c>
      <c r="BR787" s="8" t="n">
        <v>12</v>
      </c>
      <c r="BS787" s="8" t="n">
        <v>30</v>
      </c>
      <c r="BT787" s="8" t="n">
        <v>31</v>
      </c>
      <c r="BU787" s="8" t="n">
        <v>17</v>
      </c>
      <c r="BV787" s="11" t="n">
        <f>IF(COUNT(BC787,BF787)=2,BC787*BF787,"")</f>
        <v>0</v>
      </c>
      <c r="BW787" s="11" t="n">
        <f>IF(ISNUMBER(BN787),BN787,"")</f>
        <v>1.8609238953732312</v>
      </c>
      <c r="BX787" s="14" t="n">
        <f>IF(ISNUMBER(BR787),BR787,"")</f>
        <v>12</v>
      </c>
      <c r="BY787" s="13" t="n">
        <f>IF(AND(COUNT(BV787,BW787,BX787)=3,MIN(BV787,BW787,BX787)&gt;=0),BV787*BW787*BX787,"")</f>
        <v>0</v>
      </c>
      <c r="BZ787" s="11" t="n">
        <f>IF(ISNUMBER(BO787),BO787,"")</f>
        <v>1.438375649833085</v>
      </c>
      <c r="CA787" s="14" t="n">
        <f>IF(ISNUMBER(BS787),BS787,"")</f>
        <v>30</v>
      </c>
      <c r="CB787" s="13" t="n">
        <f>IF(AND(COUNT(BV787,BZ787,CA787)=3,MIN(BV787,BZ787,CA787)&gt;=0),BV787*BZ787*CA787,"")</f>
        <v>0</v>
      </c>
      <c r="CC787" s="11" t="n">
        <f>IF(ISNUMBER(BP787),BP787,"")</f>
        <v>0.9519742599124907</v>
      </c>
      <c r="CD787" s="14" t="n">
        <f>IF(ISNUMBER(BT787),BT787,"")</f>
        <v>31</v>
      </c>
      <c r="CE787" s="13" t="n">
        <f>IF(AND(COUNT(BV787,CC787,CD787)=3,MIN(BV787,CC787,CD787)&gt;=0),BV787*CC787*CD787,"")</f>
        <v>0</v>
      </c>
      <c r="CF787" s="11" t="n">
        <f>IF(ISNUMBER(BQ787),BQ787,"")</f>
        <v>0.8673021058229575</v>
      </c>
      <c r="CG787" s="14" t="n">
        <f>IF(ISNUMBER(BU787),BU787,"")</f>
        <v>17</v>
      </c>
      <c r="CH787" s="13" t="n">
        <f>IF(AND(COUNT(BV787,CF787,CG787)=3,MIN(BV787,CF787,CG787)&gt;=0),BV787*CF787*CG787,"")</f>
        <v>0</v>
      </c>
      <c r="CI787" s="13" t="n">
        <f>IF(COUNT(BY787,CB787,CE787,CH787)=4,SUM(BY787,CB787,CE787,CH787),"")</f>
        <v>0</v>
      </c>
    </row>
    <row r="788" ht="72" customHeight="1">
      <c r="A788" s="16" t="str">
        <v>60516-NY-S-K-11</v>
      </c>
      <c r="B788" s="16" t="str">
        <v>3店-SANDIEX-US</v>
      </c>
      <c r="C788" s="16" t="str">
        <v>徐新怡</v>
      </c>
      <c r="D788" s="26" t="n">
        <f>IF(NOT(ISNUMBER(E788)),"",IF(OR(E788&lt;=0,L788=0),0,IF(OR(NOT(ISNUMBER(F788)),F788&lt;0),"",MIN(E788,INT(F788)))))</f>
        <v>0</v>
      </c>
      <c r="E788" s="27" t="n">
        <f>IF(OR(NOT(ISNUMBER(L788)),COUNT(M788:O788)&lt;&gt;3,MIN(M788:O788)&lt;0),"",ROUNDUP(ROUND(BI788-SUM(M788:O788),10),0))</f>
        <v>0</v>
      </c>
      <c r="F788" s="28" t="n">
        <v>0</v>
      </c>
      <c r="G788" s="28" t="n">
        <f>IF(AND(ISNUMBER(D788),ISNUMBER(E788)),IF(OR(E788&lt;=0,L788=0),0,E788-D788),"")</f>
        <v>0</v>
      </c>
      <c r="H788" s="16" t="str">
        <f>IF(NOT(ISNUMBER(E788)),"销量或海外库存待补",IF(OR(E788&lt;=0,L788=0),IF(L788=0,"零日销，本批不发","本批无需补货"),IF(NOT(ISNUMBER(D788)),"国内库存待补",IF(D788=0,"国内无可用库存",IF(G788&gt;0,"先发国内现货","按建议量发货")))))</f>
        <v>零日销，本批不发</v>
      </c>
      <c r="I788" s="28" t="n">
        <f>IF(AND(COUNT(Z788,AA788,AB788)=3,Z788&gt;=AA788,AA788&gt;=0,AB788=7),Z788-AA788,"")</f>
        <v>0</v>
      </c>
      <c r="J788" s="28" t="n">
        <f>IF(AND(COUNT(AF788,AG788,AH788)=3,AF788&gt;=AG788,AG788&gt;=0,AH788=14),AF788-AG788,"")</f>
        <v>0</v>
      </c>
      <c r="K788" s="28" t="n">
        <f>IF(AND(COUNT(AL788,AM788,AN788)=3,AL788&gt;=AM788,AM788&gt;=0,AN788=30),AL788-AM788,"")</f>
        <v>0</v>
      </c>
      <c r="L788" s="29" t="n">
        <f>IF(ISNUMBER(BI788),BI788/90,"")</f>
        <v>0</v>
      </c>
      <c r="M788" s="28" t="n">
        <v>0</v>
      </c>
      <c r="N788" s="28" t="n">
        <v>0</v>
      </c>
      <c r="O788" s="28" t="n">
        <v>0</v>
      </c>
      <c r="P788" s="30" t="str">
        <f>IF(AND(ISNUMBER(L788),L788&gt;0,COUNT(M788:O788)=3,MIN(M788:O788)&gt;=0),SUM(M788:O788)/L788,"")</f>
      </c>
      <c r="Q788" s="16" t="str">
        <v>沿用原计划SKU店铺</v>
      </c>
      <c r="R788" s="16" t="str">
        <v>已匹配</v>
      </c>
      <c r="S788" s="16" t="str">
        <v>停售</v>
      </c>
      <c r="T788" s="16" t="str">
        <v>60516</v>
      </c>
      <c r="U788" s="16" t="str">
        <v>藏青色</v>
      </c>
      <c r="V788" s="16" t="n">
        <v>11</v>
      </c>
      <c r="W788" s="8" t="str">
        <v>2026-10-08 至 2026-10-17</v>
      </c>
      <c r="X788" s="8" t="str">
        <v>2026-10-08、2026-10-09、2026-10-10、2026-10-11、2026-10-14、2026-10-15、2026-10-17</v>
      </c>
      <c r="Y788" s="8" t="str">
        <v>2026-10-12 有记录的停售日；2026-10-13 有记录的停售日；2026-10-16 有记录的停售日</v>
      </c>
      <c r="Z788" s="8" t="n">
        <v>0</v>
      </c>
      <c r="AA788" s="8" t="n">
        <v>0</v>
      </c>
      <c r="AB788" s="8" t="n">
        <v>7</v>
      </c>
      <c r="AC788" s="8" t="str">
        <v>2026-09-29 至 2026-10-17</v>
      </c>
      <c r="AD788" s="8" t="str">
        <v>2026-09-29、2026-09-30、2026-10-01、2026-10-02、2026-10-03、2026-10-04、2026-10-05、2026-10-08、2026-10-09、2026-10-10、2026-10-11、2026-10-14、2026-10-15、2026-10-17</v>
      </c>
      <c r="AE788" s="8" t="str">
        <v>2026-10-06 大促；2026-10-07 大促；2026-10-12 有记录的停售日；2026-10-13 有记录的停售日；2026-10-16 有记录的停售日</v>
      </c>
      <c r="AF788" s="8" t="n">
        <v>0</v>
      </c>
      <c r="AG788" s="8" t="n">
        <v>0</v>
      </c>
      <c r="AH788" s="8" t="n">
        <v>14</v>
      </c>
      <c r="AI788" s="8" t="str">
        <v>2026-09-13 至 2026-10-17</v>
      </c>
      <c r="AJ78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88" s="8" t="str">
        <v>2026-10-06 大促；2026-10-07 大促；2026-10-12 有记录的停售日；2026-10-13 有记录的停售日；2026-10-16 有记录的停售日</v>
      </c>
      <c r="AL788" s="8" t="n">
        <v>0</v>
      </c>
      <c r="AM788" s="8" t="n">
        <v>0</v>
      </c>
      <c r="AN788" s="8" t="n">
        <v>30</v>
      </c>
      <c r="AO788" s="8" t="str">
        <v>60516 / 藏青色羊京绒 / 6574</v>
      </c>
      <c r="AP788" s="11" t="n">
        <v>1.8609238953732312</v>
      </c>
      <c r="AQ788" s="11" t="n">
        <v>1.832044958686392</v>
      </c>
      <c r="AR788" s="11" t="n">
        <v>1.7396323612885067</v>
      </c>
      <c r="AS788" s="11" t="n">
        <f>IF(AND(COUNT(I788:K788,AP788:AR788)=6,MIN(AP788:AR788)&gt;0),I788/7/AP788*0.5+J788/14/AQ788*0.3+K788/30/AR788*0.2,"")</f>
        <v>0</v>
      </c>
      <c r="AT788" s="8" t="n">
        <v>0</v>
      </c>
      <c r="AU788" s="8" t="n">
        <v>0</v>
      </c>
      <c r="AV788" s="8" t="n">
        <v>85</v>
      </c>
      <c r="AW788" s="11" t="n">
        <f>IF(AND(COUNT(AT788:AV788)=3,AT788&gt;=AU788,AU788&gt;=0,AV788&gt;0),(AT788-AU788)/AV788,"")</f>
        <v>0</v>
      </c>
      <c r="AX788" s="8" t="n">
        <v>0</v>
      </c>
      <c r="AY788" s="8" t="n">
        <v>0</v>
      </c>
      <c r="AZ788" s="8" t="n">
        <v>175</v>
      </c>
      <c r="BA788" s="11" t="n">
        <f>IF(AND(COUNT(AX788:AZ788)=3,AX788&gt;=AY788,AY788&gt;=0,AZ788&gt;0),(AX788-AY788)/AZ788,"")</f>
        <v>0</v>
      </c>
      <c r="BB788" s="8" t="n">
        <f>IF(COUNT(AS788,AW788,BA788)=3,1,0)</f>
        <v>1</v>
      </c>
      <c r="BC788" s="11" t="n">
        <f>IF(SUMIF($AO$11:$AO$1309,AO788,$BB$11:$BB$1309)=COUNTIF($AO$11:$AO$1309,AO788),SUMIF($AO$11:$AO$1309,AO788,$AS$11:$AS$1309),"")</f>
        <v>0.40586130703730794</v>
      </c>
      <c r="BD788" s="11" t="n">
        <f>IF(SUMIF($AO$11:$AO$1309,AO788,$BB$11:$BB$1309)=COUNTIF($AO$11:$AO$1309,AO788),SUMIF($AO$11:$AO$1309,AO788,$AW$11:$AW$1309),"")</f>
        <v>0.5125668449197861</v>
      </c>
      <c r="BE788" s="11" t="n">
        <f>IF(SUMIF($AO$11:$AO$1309,AO788,$BB$11:$BB$1309)=COUNTIF($AO$11:$AO$1309,AO788),SUMIF($AO$11:$AO$1309,AO788,$BA$11:$BA$1309),"")</f>
        <v>0.38879614767255216</v>
      </c>
      <c r="BF788" s="12" t="n">
        <f>IF(COUNT(BD788:BE788)&lt;&gt;2,"",IF(AND(BD788&gt;0,BE788&gt;0),0.7*AW788/BD788+0.3*BA788/BE788,IF(BD788&gt;0,AW788/BD788,IF(BE788&gt;0,BA788/BE788,IF(AND(ISNUMBER(BH788),BH788=0),0,"")))))</f>
        <v>0</v>
      </c>
      <c r="BG788" s="11" t="n">
        <f>IF(AND(COUNT(BN788:BU788)=8,MIN(BN788:BU788)&gt;=0),SUMPRODUCT(BN788:BQ788,BR788:BU788),"")</f>
        <v>109.73769409574882</v>
      </c>
      <c r="BH788" s="11" t="n">
        <f>IF(COUNT(BC788,BG788)=2,BC788*BG788,"")</f>
        <v>44.53828395696089</v>
      </c>
      <c r="BI788" s="11" t="n">
        <f>IF(ISNUMBER(CI788),CI788,"")</f>
        <v>0</v>
      </c>
      <c r="BJ788" s="8" t="str">
        <v>近180天本色销量75双（＜90），无有效新采购，请运营判断</v>
      </c>
      <c r="BK788" s="8" t="str">
        <v>90天：2026-07-20 至 2026-10-17；180天：2026-04-21 至 2026-10-17</v>
      </c>
      <c r="BL788" s="8" t="str">
        <v>90天：2026-10-06、2026-10-07、2026-10-12、2026-10-13、2026-10-16；180天：2026-10-06、2026-10-07、2026-10-12、2026-10-13、2026-10-16</v>
      </c>
      <c r="BM788" s="8" t="str">
        <v>2026-10：12天 × 1.8609238953732312；2026-11：30天 × 1.438375649833085；2026-12：31天 × 0.9519742599124907；2027-01：17天 × 0.8673021058229575</v>
      </c>
      <c r="BN788" s="11" t="n">
        <v>1.8609238953732312</v>
      </c>
      <c r="BO788" s="11" t="n">
        <v>1.438375649833085</v>
      </c>
      <c r="BP788" s="11" t="n">
        <v>0.9519742599124907</v>
      </c>
      <c r="BQ788" s="11" t="n">
        <v>0.8673021058229575</v>
      </c>
      <c r="BR788" s="8" t="n">
        <v>12</v>
      </c>
      <c r="BS788" s="8" t="n">
        <v>30</v>
      </c>
      <c r="BT788" s="8" t="n">
        <v>31</v>
      </c>
      <c r="BU788" s="8" t="n">
        <v>17</v>
      </c>
      <c r="BV788" s="11" t="n">
        <f>IF(COUNT(BC788,BF788)=2,BC788*BF788,"")</f>
        <v>0</v>
      </c>
      <c r="BW788" s="11" t="n">
        <f>IF(ISNUMBER(BN788),BN788,"")</f>
        <v>1.8609238953732312</v>
      </c>
      <c r="BX788" s="14" t="n">
        <f>IF(ISNUMBER(BR788),BR788,"")</f>
        <v>12</v>
      </c>
      <c r="BY788" s="13" t="n">
        <f>IF(AND(COUNT(BV788,BW788,BX788)=3,MIN(BV788,BW788,BX788)&gt;=0),BV788*BW788*BX788,"")</f>
        <v>0</v>
      </c>
      <c r="BZ788" s="11" t="n">
        <f>IF(ISNUMBER(BO788),BO788,"")</f>
        <v>1.438375649833085</v>
      </c>
      <c r="CA788" s="14" t="n">
        <f>IF(ISNUMBER(BS788),BS788,"")</f>
        <v>30</v>
      </c>
      <c r="CB788" s="13" t="n">
        <f>IF(AND(COUNT(BV788,BZ788,CA788)=3,MIN(BV788,BZ788,CA788)&gt;=0),BV788*BZ788*CA788,"")</f>
        <v>0</v>
      </c>
      <c r="CC788" s="11" t="n">
        <f>IF(ISNUMBER(BP788),BP788,"")</f>
        <v>0.9519742599124907</v>
      </c>
      <c r="CD788" s="14" t="n">
        <f>IF(ISNUMBER(BT788),BT788,"")</f>
        <v>31</v>
      </c>
      <c r="CE788" s="13" t="n">
        <f>IF(AND(COUNT(BV788,CC788,CD788)=3,MIN(BV788,CC788,CD788)&gt;=0),BV788*CC788*CD788,"")</f>
        <v>0</v>
      </c>
      <c r="CF788" s="11" t="n">
        <f>IF(ISNUMBER(BQ788),BQ788,"")</f>
        <v>0.8673021058229575</v>
      </c>
      <c r="CG788" s="14" t="n">
        <f>IF(ISNUMBER(BU788),BU788,"")</f>
        <v>17</v>
      </c>
      <c r="CH788" s="13" t="n">
        <f>IF(AND(COUNT(BV788,CF788,CG788)=3,MIN(BV788,CF788,CG788)&gt;=0),BV788*CF788*CG788,"")</f>
        <v>0</v>
      </c>
      <c r="CI788" s="13" t="n">
        <f>IF(COUNT(BY788,CB788,CE788,CH788)=4,SUM(BY788,CB788,CE788,CH788),"")</f>
        <v>0</v>
      </c>
    </row>
    <row r="789" ht="72" customHeight="1">
      <c r="A789" s="16" t="str">
        <v>60516-NY-S-K-6</v>
      </c>
      <c r="B789" s="16" t="str">
        <v>3店-SANDIEX-US</v>
      </c>
      <c r="C789" s="16" t="str">
        <v>徐新怡</v>
      </c>
      <c r="D789" s="26" t="n">
        <f>IF(NOT(ISNUMBER(E789)),"",IF(OR(E789&lt;=0,L789=0),0,IF(OR(NOT(ISNUMBER(F789)),F789&lt;0),"",MIN(E789,INT(F789)))))</f>
        <v>0</v>
      </c>
      <c r="E789" s="27" t="n">
        <f>IF(OR(NOT(ISNUMBER(L789)),COUNT(M789:O789)&lt;&gt;3,MIN(M789:O789)&lt;0),"",ROUNDUP(ROUND(BI789-SUM(M789:O789),10),0))</f>
        <v>0</v>
      </c>
      <c r="F789" s="28" t="n">
        <v>0</v>
      </c>
      <c r="G789" s="28" t="n">
        <f>IF(AND(ISNUMBER(D789),ISNUMBER(E789)),IF(OR(E789&lt;=0,L789=0),0,E789-D789),"")</f>
        <v>0</v>
      </c>
      <c r="H789" s="16" t="str">
        <f>IF(NOT(ISNUMBER(E789)),"销量或海外库存待补",IF(OR(E789&lt;=0,L789=0),IF(L789=0,"零日销，本批不发","本批无需补货"),IF(NOT(ISNUMBER(D789)),"国内库存待补",IF(D789=0,"国内无可用库存",IF(G789&gt;0,"先发国内现货","按建议量发货")))))</f>
        <v>零日销，本批不发</v>
      </c>
      <c r="I789" s="28" t="n">
        <f>IF(AND(COUNT(Z789,AA789,AB789)=3,Z789&gt;=AA789,AA789&gt;=0,AB789=7),Z789-AA789,"")</f>
        <v>0</v>
      </c>
      <c r="J789" s="28" t="n">
        <f>IF(AND(COUNT(AF789,AG789,AH789)=3,AF789&gt;=AG789,AG789&gt;=0,AH789=14),AF789-AG789,"")</f>
        <v>0</v>
      </c>
      <c r="K789" s="28" t="n">
        <f>IF(AND(COUNT(AL789,AM789,AN789)=3,AL789&gt;=AM789,AM789&gt;=0,AN789=30),AL789-AM789,"")</f>
        <v>0</v>
      </c>
      <c r="L789" s="29" t="n">
        <f>IF(ISNUMBER(BI789),BI789/90,"")</f>
        <v>0</v>
      </c>
      <c r="M789" s="28" t="n">
        <v>0</v>
      </c>
      <c r="N789" s="28" t="n">
        <v>0</v>
      </c>
      <c r="O789" s="28" t="n">
        <v>0</v>
      </c>
      <c r="P789" s="30" t="str">
        <f>IF(AND(ISNUMBER(L789),L789&gt;0,COUNT(M789:O789)=3,MIN(M789:O789)&gt;=0),SUM(M789:O789)/L789,"")</f>
      </c>
      <c r="Q789" s="16" t="str">
        <v>沿用原计划SKU店铺</v>
      </c>
      <c r="R789" s="16" t="str">
        <v>已匹配</v>
      </c>
      <c r="S789" s="16" t="str">
        <v>停售</v>
      </c>
      <c r="T789" s="16" t="str">
        <v>60516</v>
      </c>
      <c r="U789" s="16" t="str">
        <v>藏青色</v>
      </c>
      <c r="V789" s="16" t="n">
        <v>6</v>
      </c>
      <c r="W789" s="8" t="str">
        <v>2026-10-08 至 2026-10-17</v>
      </c>
      <c r="X789" s="8" t="str">
        <v>2026-10-08、2026-10-09、2026-10-10、2026-10-11、2026-10-14、2026-10-15、2026-10-17</v>
      </c>
      <c r="Y789" s="8" t="str">
        <v>2026-10-12 有记录的停售日；2026-10-13 有记录的停售日；2026-10-16 有记录的停售日</v>
      </c>
      <c r="Z789" s="8" t="n">
        <v>0</v>
      </c>
      <c r="AA789" s="8" t="n">
        <v>0</v>
      </c>
      <c r="AB789" s="8" t="n">
        <v>7</v>
      </c>
      <c r="AC789" s="8" t="str">
        <v>2026-09-29 至 2026-10-17</v>
      </c>
      <c r="AD789" s="8" t="str">
        <v>2026-09-29、2026-09-30、2026-10-01、2026-10-02、2026-10-03、2026-10-04、2026-10-05、2026-10-08、2026-10-09、2026-10-10、2026-10-11、2026-10-14、2026-10-15、2026-10-17</v>
      </c>
      <c r="AE789" s="8" t="str">
        <v>2026-10-06 大促；2026-10-07 大促；2026-10-12 有记录的停售日；2026-10-13 有记录的停售日；2026-10-16 有记录的停售日</v>
      </c>
      <c r="AF789" s="8" t="n">
        <v>0</v>
      </c>
      <c r="AG789" s="8" t="n">
        <v>0</v>
      </c>
      <c r="AH789" s="8" t="n">
        <v>14</v>
      </c>
      <c r="AI789" s="8" t="str">
        <v>2026-09-13 至 2026-10-17</v>
      </c>
      <c r="AJ78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89" s="8" t="str">
        <v>2026-10-06 大促；2026-10-07 大促；2026-10-12 有记录的停售日；2026-10-13 有记录的停售日；2026-10-16 有记录的停售日</v>
      </c>
      <c r="AL789" s="8" t="n">
        <v>0</v>
      </c>
      <c r="AM789" s="8" t="n">
        <v>0</v>
      </c>
      <c r="AN789" s="8" t="n">
        <v>30</v>
      </c>
      <c r="AO789" s="8" t="str">
        <v>60516 / 藏青色羊京绒 / 6574</v>
      </c>
      <c r="AP789" s="11" t="n">
        <v>1.8609238953732312</v>
      </c>
      <c r="AQ789" s="11" t="n">
        <v>1.832044958686392</v>
      </c>
      <c r="AR789" s="11" t="n">
        <v>1.7396323612885067</v>
      </c>
      <c r="AS789" s="11" t="n">
        <f>IF(AND(COUNT(I789:K789,AP789:AR789)=6,MIN(AP789:AR789)&gt;0),I789/7/AP789*0.5+J789/14/AQ789*0.3+K789/30/AR789*0.2,"")</f>
        <v>0</v>
      </c>
      <c r="AT789" s="8" t="n">
        <v>0</v>
      </c>
      <c r="AU789" s="8" t="n">
        <v>0</v>
      </c>
      <c r="AV789" s="8" t="n">
        <v>85</v>
      </c>
      <c r="AW789" s="11" t="n">
        <f>IF(AND(COUNT(AT789:AV789)=3,AT789&gt;=AU789,AU789&gt;=0,AV789&gt;0),(AT789-AU789)/AV789,"")</f>
        <v>0</v>
      </c>
      <c r="AX789" s="8" t="n">
        <v>0</v>
      </c>
      <c r="AY789" s="8" t="n">
        <v>0</v>
      </c>
      <c r="AZ789" s="8" t="n">
        <v>175</v>
      </c>
      <c r="BA789" s="11" t="n">
        <f>IF(AND(COUNT(AX789:AZ789)=3,AX789&gt;=AY789,AY789&gt;=0,AZ789&gt;0),(AX789-AY789)/AZ789,"")</f>
        <v>0</v>
      </c>
      <c r="BB789" s="8" t="n">
        <f>IF(COUNT(AS789,AW789,BA789)=3,1,0)</f>
        <v>1</v>
      </c>
      <c r="BC789" s="11" t="n">
        <f>IF(SUMIF($AO$11:$AO$1309,AO789,$BB$11:$BB$1309)=COUNTIF($AO$11:$AO$1309,AO789),SUMIF($AO$11:$AO$1309,AO789,$AS$11:$AS$1309),"")</f>
        <v>0.40586130703730794</v>
      </c>
      <c r="BD789" s="11" t="n">
        <f>IF(SUMIF($AO$11:$AO$1309,AO789,$BB$11:$BB$1309)=COUNTIF($AO$11:$AO$1309,AO789),SUMIF($AO$11:$AO$1309,AO789,$AW$11:$AW$1309),"")</f>
        <v>0.5125668449197861</v>
      </c>
      <c r="BE789" s="11" t="n">
        <f>IF(SUMIF($AO$11:$AO$1309,AO789,$BB$11:$BB$1309)=COUNTIF($AO$11:$AO$1309,AO789),SUMIF($AO$11:$AO$1309,AO789,$BA$11:$BA$1309),"")</f>
        <v>0.38879614767255216</v>
      </c>
      <c r="BF789" s="12" t="n">
        <f>IF(COUNT(BD789:BE789)&lt;&gt;2,"",IF(AND(BD789&gt;0,BE789&gt;0),0.7*AW789/BD789+0.3*BA789/BE789,IF(BD789&gt;0,AW789/BD789,IF(BE789&gt;0,BA789/BE789,IF(AND(ISNUMBER(BH789),BH789=0),0,"")))))</f>
        <v>0</v>
      </c>
      <c r="BG789" s="11" t="n">
        <f>IF(AND(COUNT(BN789:BU789)=8,MIN(BN789:BU789)&gt;=0),SUMPRODUCT(BN789:BQ789,BR789:BU789),"")</f>
        <v>109.73769409574882</v>
      </c>
      <c r="BH789" s="11" t="n">
        <f>IF(COUNT(BC789,BG789)=2,BC789*BG789,"")</f>
        <v>44.53828395696089</v>
      </c>
      <c r="BI789" s="11" t="n">
        <f>IF(ISNUMBER(CI789),CI789,"")</f>
        <v>0</v>
      </c>
      <c r="BJ789" s="8" t="str">
        <v>近180天本色销量75双（＜90），无有效新采购，请运营判断</v>
      </c>
      <c r="BK789" s="8" t="str">
        <v>90天：2026-07-20 至 2026-10-17；180天：2026-04-21 至 2026-10-17</v>
      </c>
      <c r="BL789" s="8" t="str">
        <v>90天：2026-10-06、2026-10-07、2026-10-12、2026-10-13、2026-10-16；180天：2026-10-06、2026-10-07、2026-10-12、2026-10-13、2026-10-16</v>
      </c>
      <c r="BM789" s="8" t="str">
        <v>2026-10：12天 × 1.8609238953732312；2026-11：30天 × 1.438375649833085；2026-12：31天 × 0.9519742599124907；2027-01：17天 × 0.8673021058229575</v>
      </c>
      <c r="BN789" s="11" t="n">
        <v>1.8609238953732312</v>
      </c>
      <c r="BO789" s="11" t="n">
        <v>1.438375649833085</v>
      </c>
      <c r="BP789" s="11" t="n">
        <v>0.9519742599124907</v>
      </c>
      <c r="BQ789" s="11" t="n">
        <v>0.8673021058229575</v>
      </c>
      <c r="BR789" s="8" t="n">
        <v>12</v>
      </c>
      <c r="BS789" s="8" t="n">
        <v>30</v>
      </c>
      <c r="BT789" s="8" t="n">
        <v>31</v>
      </c>
      <c r="BU789" s="8" t="n">
        <v>17</v>
      </c>
      <c r="BV789" s="11" t="n">
        <f>IF(COUNT(BC789,BF789)=2,BC789*BF789,"")</f>
        <v>0</v>
      </c>
      <c r="BW789" s="11" t="n">
        <f>IF(ISNUMBER(BN789),BN789,"")</f>
        <v>1.8609238953732312</v>
      </c>
      <c r="BX789" s="14" t="n">
        <f>IF(ISNUMBER(BR789),BR789,"")</f>
        <v>12</v>
      </c>
      <c r="BY789" s="13" t="n">
        <f>IF(AND(COUNT(BV789,BW789,BX789)=3,MIN(BV789,BW789,BX789)&gt;=0),BV789*BW789*BX789,"")</f>
        <v>0</v>
      </c>
      <c r="BZ789" s="11" t="n">
        <f>IF(ISNUMBER(BO789),BO789,"")</f>
        <v>1.438375649833085</v>
      </c>
      <c r="CA789" s="14" t="n">
        <f>IF(ISNUMBER(BS789),BS789,"")</f>
        <v>30</v>
      </c>
      <c r="CB789" s="13" t="n">
        <f>IF(AND(COUNT(BV789,BZ789,CA789)=3,MIN(BV789,BZ789,CA789)&gt;=0),BV789*BZ789*CA789,"")</f>
        <v>0</v>
      </c>
      <c r="CC789" s="11" t="n">
        <f>IF(ISNUMBER(BP789),BP789,"")</f>
        <v>0.9519742599124907</v>
      </c>
      <c r="CD789" s="14" t="n">
        <f>IF(ISNUMBER(BT789),BT789,"")</f>
        <v>31</v>
      </c>
      <c r="CE789" s="13" t="n">
        <f>IF(AND(COUNT(BV789,CC789,CD789)=3,MIN(BV789,CC789,CD789)&gt;=0),BV789*CC789*CD789,"")</f>
        <v>0</v>
      </c>
      <c r="CF789" s="11" t="n">
        <f>IF(ISNUMBER(BQ789),BQ789,"")</f>
        <v>0.8673021058229575</v>
      </c>
      <c r="CG789" s="14" t="n">
        <f>IF(ISNUMBER(BU789),BU789,"")</f>
        <v>17</v>
      </c>
      <c r="CH789" s="13" t="n">
        <f>IF(AND(COUNT(BV789,CF789,CG789)=3,MIN(BV789,CF789,CG789)&gt;=0),BV789*CF789*CG789,"")</f>
        <v>0</v>
      </c>
      <c r="CI789" s="13" t="n">
        <f>IF(COUNT(BY789,CB789,CE789,CH789)=4,SUM(BY789,CB789,CE789,CH789),"")</f>
        <v>0</v>
      </c>
    </row>
    <row r="790" ht="72" customHeight="1">
      <c r="A790" s="16" t="str">
        <v>60516-NY-S-K-6.5</v>
      </c>
      <c r="B790" s="16" t="str">
        <v>3店-SANDIEX-US</v>
      </c>
      <c r="C790" s="16" t="str">
        <v>徐新怡</v>
      </c>
      <c r="D790" s="26" t="n">
        <f>IF(NOT(ISNUMBER(E790)),"",IF(OR(E790&lt;=0,L790=0),0,IF(OR(NOT(ISNUMBER(F790)),F790&lt;0),"",MIN(E790,INT(F790)))))</f>
        <v>0</v>
      </c>
      <c r="E790" s="27" t="n">
        <f>IF(OR(NOT(ISNUMBER(L790)),COUNT(M790:O790)&lt;&gt;3,MIN(M790:O790)&lt;0),"",ROUNDUP(ROUND(BI790-SUM(M790:O790),10),0))</f>
        <v>0</v>
      </c>
      <c r="F790" s="28" t="n">
        <v>0</v>
      </c>
      <c r="G790" s="28" t="n">
        <f>IF(AND(ISNUMBER(D790),ISNUMBER(E790)),IF(OR(E790&lt;=0,L790=0),0,E790-D790),"")</f>
        <v>0</v>
      </c>
      <c r="H790" s="16" t="str">
        <f>IF(NOT(ISNUMBER(E790)),"销量或海外库存待补",IF(OR(E790&lt;=0,L790=0),IF(L790=0,"零日销，本批不发","本批无需补货"),IF(NOT(ISNUMBER(D790)),"国内库存待补",IF(D790=0,"国内无可用库存",IF(G790&gt;0,"先发国内现货","按建议量发货")))))</f>
        <v>零日销，本批不发</v>
      </c>
      <c r="I790" s="28" t="n">
        <f>IF(AND(COUNT(Z790,AA790,AB790)=3,Z790&gt;=AA790,AA790&gt;=0,AB790=7),Z790-AA790,"")</f>
        <v>0</v>
      </c>
      <c r="J790" s="28" t="n">
        <f>IF(AND(COUNT(AF790,AG790,AH790)=3,AF790&gt;=AG790,AG790&gt;=0,AH790=14),AF790-AG790,"")</f>
        <v>0</v>
      </c>
      <c r="K790" s="28" t="n">
        <f>IF(AND(COUNT(AL790,AM790,AN790)=3,AL790&gt;=AM790,AM790&gt;=0,AN790=30),AL790-AM790,"")</f>
        <v>0</v>
      </c>
      <c r="L790" s="29" t="n">
        <f>IF(ISNUMBER(BI790),BI790/90,"")</f>
        <v>0</v>
      </c>
      <c r="M790" s="28" t="n">
        <v>0</v>
      </c>
      <c r="N790" s="28" t="n">
        <v>0</v>
      </c>
      <c r="O790" s="28" t="n">
        <v>0</v>
      </c>
      <c r="P790" s="30" t="str">
        <f>IF(AND(ISNUMBER(L790),L790&gt;0,COUNT(M790:O790)=3,MIN(M790:O790)&gt;=0),SUM(M790:O790)/L790,"")</f>
      </c>
      <c r="Q790" s="16" t="str">
        <v>按本SKU唯一未删除Listing店铺核实</v>
      </c>
      <c r="R790" s="16" t="str">
        <v>已匹配</v>
      </c>
      <c r="S790" s="16" t="str">
        <v>停售</v>
      </c>
      <c r="T790" s="16" t="str">
        <v>60516</v>
      </c>
      <c r="U790" s="16" t="str">
        <v>藏青色</v>
      </c>
      <c r="V790" s="16" t="n">
        <v>6.5</v>
      </c>
      <c r="W790" s="8" t="str">
        <v>2026-10-08 至 2026-10-17</v>
      </c>
      <c r="X790" s="8" t="str">
        <v>2026-10-08、2026-10-09、2026-10-10、2026-10-11、2026-10-14、2026-10-15、2026-10-17</v>
      </c>
      <c r="Y790" s="8" t="str">
        <v>2026-10-12 有记录的停售日；2026-10-13 有记录的停售日；2026-10-16 有记录的停售日</v>
      </c>
      <c r="Z790" s="8" t="n">
        <v>0</v>
      </c>
      <c r="AA790" s="8" t="n">
        <v>0</v>
      </c>
      <c r="AB790" s="8" t="n">
        <v>7</v>
      </c>
      <c r="AC790" s="8" t="str">
        <v>2026-09-29 至 2026-10-17</v>
      </c>
      <c r="AD790" s="8" t="str">
        <v>2026-09-29、2026-09-30、2026-10-01、2026-10-02、2026-10-03、2026-10-04、2026-10-05、2026-10-08、2026-10-09、2026-10-10、2026-10-11、2026-10-14、2026-10-15、2026-10-17</v>
      </c>
      <c r="AE790" s="8" t="str">
        <v>2026-10-06 大促；2026-10-07 大促；2026-10-12 有记录的停售日；2026-10-13 有记录的停售日；2026-10-16 有记录的停售日</v>
      </c>
      <c r="AF790" s="8" t="n">
        <v>0</v>
      </c>
      <c r="AG790" s="8" t="n">
        <v>0</v>
      </c>
      <c r="AH790" s="8" t="n">
        <v>14</v>
      </c>
      <c r="AI790" s="8" t="str">
        <v>2026-09-13 至 2026-10-17</v>
      </c>
      <c r="AJ79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0" s="8" t="str">
        <v>2026-10-06 大促；2026-10-07 大促；2026-10-12 有记录的停售日；2026-10-13 有记录的停售日；2026-10-16 有记录的停售日</v>
      </c>
      <c r="AL790" s="8" t="n">
        <v>0</v>
      </c>
      <c r="AM790" s="8" t="n">
        <v>0</v>
      </c>
      <c r="AN790" s="8" t="n">
        <v>30</v>
      </c>
      <c r="AO790" s="8" t="str">
        <v>60516 / 藏青色羊京绒 / 6574</v>
      </c>
      <c r="AP790" s="11" t="n">
        <v>1.8609238953732312</v>
      </c>
      <c r="AQ790" s="11" t="n">
        <v>1.832044958686392</v>
      </c>
      <c r="AR790" s="11" t="n">
        <v>1.7396323612885067</v>
      </c>
      <c r="AS790" s="11" t="n">
        <f>IF(AND(COUNT(I790:K790,AP790:AR790)=6,MIN(AP790:AR790)&gt;0),I790/7/AP790*0.5+J790/14/AQ790*0.3+K790/30/AR790*0.2,"")</f>
        <v>0</v>
      </c>
      <c r="AT790" s="8" t="n">
        <v>0</v>
      </c>
      <c r="AU790" s="8" t="n">
        <v>0</v>
      </c>
      <c r="AV790" s="8" t="n">
        <v>85</v>
      </c>
      <c r="AW790" s="11" t="n">
        <f>IF(AND(COUNT(AT790:AV790)=3,AT790&gt;=AU790,AU790&gt;=0,AV790&gt;0),(AT790-AU790)/AV790,"")</f>
        <v>0</v>
      </c>
      <c r="AX790" s="8" t="n">
        <v>0</v>
      </c>
      <c r="AY790" s="8" t="n">
        <v>0</v>
      </c>
      <c r="AZ790" s="8" t="n">
        <v>175</v>
      </c>
      <c r="BA790" s="11" t="n">
        <f>IF(AND(COUNT(AX790:AZ790)=3,AX790&gt;=AY790,AY790&gt;=0,AZ790&gt;0),(AX790-AY790)/AZ790,"")</f>
        <v>0</v>
      </c>
      <c r="BB790" s="8" t="n">
        <f>IF(COUNT(AS790,AW790,BA790)=3,1,0)</f>
        <v>1</v>
      </c>
      <c r="BC790" s="11" t="n">
        <f>IF(SUMIF($AO$11:$AO$1309,AO790,$BB$11:$BB$1309)=COUNTIF($AO$11:$AO$1309,AO790),SUMIF($AO$11:$AO$1309,AO790,$AS$11:$AS$1309),"")</f>
        <v>0.40586130703730794</v>
      </c>
      <c r="BD790" s="11" t="n">
        <f>IF(SUMIF($AO$11:$AO$1309,AO790,$BB$11:$BB$1309)=COUNTIF($AO$11:$AO$1309,AO790),SUMIF($AO$11:$AO$1309,AO790,$AW$11:$AW$1309),"")</f>
        <v>0.5125668449197861</v>
      </c>
      <c r="BE790" s="11" t="n">
        <f>IF(SUMIF($AO$11:$AO$1309,AO790,$BB$11:$BB$1309)=COUNTIF($AO$11:$AO$1309,AO790),SUMIF($AO$11:$AO$1309,AO790,$BA$11:$BA$1309),"")</f>
        <v>0.38879614767255216</v>
      </c>
      <c r="BF790" s="12" t="n">
        <f>IF(COUNT(BD790:BE790)&lt;&gt;2,"",IF(AND(BD790&gt;0,BE790&gt;0),0.7*AW790/BD790+0.3*BA790/BE790,IF(BD790&gt;0,AW790/BD790,IF(BE790&gt;0,BA790/BE790,IF(AND(ISNUMBER(BH790),BH790=0),0,"")))))</f>
        <v>0</v>
      </c>
      <c r="BG790" s="11" t="n">
        <f>IF(AND(COUNT(BN790:BU790)=8,MIN(BN790:BU790)&gt;=0),SUMPRODUCT(BN790:BQ790,BR790:BU790),"")</f>
        <v>109.73769409574882</v>
      </c>
      <c r="BH790" s="11" t="n">
        <f>IF(COUNT(BC790,BG790)=2,BC790*BG790,"")</f>
        <v>44.53828395696089</v>
      </c>
      <c r="BI790" s="11" t="n">
        <f>IF(ISNUMBER(CI790),CI790,"")</f>
        <v>0</v>
      </c>
      <c r="BJ790" s="8" t="str">
        <v>近180天本色销量75双（＜90），无有效新采购，请运营判断</v>
      </c>
      <c r="BK790" s="8" t="str">
        <v>90天：2026-07-20 至 2026-10-17；180天：2026-04-21 至 2026-10-17</v>
      </c>
      <c r="BL790" s="8" t="str">
        <v>90天：2026-10-06、2026-10-07、2026-10-12、2026-10-13、2026-10-16；180天：2026-10-06、2026-10-07、2026-10-12、2026-10-13、2026-10-16</v>
      </c>
      <c r="BM790" s="8" t="str">
        <v>2026-10：12天 × 1.8609238953732312；2026-11：30天 × 1.438375649833085；2026-12：31天 × 0.9519742599124907；2027-01：17天 × 0.8673021058229575</v>
      </c>
      <c r="BN790" s="11" t="n">
        <v>1.8609238953732312</v>
      </c>
      <c r="BO790" s="11" t="n">
        <v>1.438375649833085</v>
      </c>
      <c r="BP790" s="11" t="n">
        <v>0.9519742599124907</v>
      </c>
      <c r="BQ790" s="11" t="n">
        <v>0.8673021058229575</v>
      </c>
      <c r="BR790" s="8" t="n">
        <v>12</v>
      </c>
      <c r="BS790" s="8" t="n">
        <v>30</v>
      </c>
      <c r="BT790" s="8" t="n">
        <v>31</v>
      </c>
      <c r="BU790" s="8" t="n">
        <v>17</v>
      </c>
      <c r="BV790" s="11" t="n">
        <f>IF(COUNT(BC790,BF790)=2,BC790*BF790,"")</f>
        <v>0</v>
      </c>
      <c r="BW790" s="11" t="n">
        <f>IF(ISNUMBER(BN790),BN790,"")</f>
        <v>1.8609238953732312</v>
      </c>
      <c r="BX790" s="14" t="n">
        <f>IF(ISNUMBER(BR790),BR790,"")</f>
        <v>12</v>
      </c>
      <c r="BY790" s="13" t="n">
        <f>IF(AND(COUNT(BV790,BW790,BX790)=3,MIN(BV790,BW790,BX790)&gt;=0),BV790*BW790*BX790,"")</f>
        <v>0</v>
      </c>
      <c r="BZ790" s="11" t="n">
        <f>IF(ISNUMBER(BO790),BO790,"")</f>
        <v>1.438375649833085</v>
      </c>
      <c r="CA790" s="14" t="n">
        <f>IF(ISNUMBER(BS790),BS790,"")</f>
        <v>30</v>
      </c>
      <c r="CB790" s="13" t="n">
        <f>IF(AND(COUNT(BV790,BZ790,CA790)=3,MIN(BV790,BZ790,CA790)&gt;=0),BV790*BZ790*CA790,"")</f>
        <v>0</v>
      </c>
      <c r="CC790" s="11" t="n">
        <f>IF(ISNUMBER(BP790),BP790,"")</f>
        <v>0.9519742599124907</v>
      </c>
      <c r="CD790" s="14" t="n">
        <f>IF(ISNUMBER(BT790),BT790,"")</f>
        <v>31</v>
      </c>
      <c r="CE790" s="13" t="n">
        <f>IF(AND(COUNT(BV790,CC790,CD790)=3,MIN(BV790,CC790,CD790)&gt;=0),BV790*CC790*CD790,"")</f>
        <v>0</v>
      </c>
      <c r="CF790" s="11" t="n">
        <f>IF(ISNUMBER(BQ790),BQ790,"")</f>
        <v>0.8673021058229575</v>
      </c>
      <c r="CG790" s="14" t="n">
        <f>IF(ISNUMBER(BU790),BU790,"")</f>
        <v>17</v>
      </c>
      <c r="CH790" s="13" t="n">
        <f>IF(AND(COUNT(BV790,CF790,CG790)=3,MIN(BV790,CF790,CG790)&gt;=0),BV790*CF790*CG790,"")</f>
        <v>0</v>
      </c>
      <c r="CI790" s="13" t="n">
        <f>IF(COUNT(BY790,CB790,CE790,CH790)=4,SUM(BY790,CB790,CE790,CH790),"")</f>
        <v>0</v>
      </c>
    </row>
    <row r="791" ht="72" customHeight="1">
      <c r="A791" s="16" t="str">
        <v>60516-NY-S-K-8</v>
      </c>
      <c r="B791" s="16" t="str">
        <v>3店-SANDIEX-US</v>
      </c>
      <c r="C791" s="16" t="str">
        <v>徐新怡</v>
      </c>
      <c r="D791" s="26" t="n">
        <f>IF(NOT(ISNUMBER(E791)),"",IF(OR(E791&lt;=0,L791=0),0,IF(OR(NOT(ISNUMBER(F791)),F791&lt;0),"",MIN(E791,INT(F791)))))</f>
        <v>0</v>
      </c>
      <c r="E791" s="27" t="n">
        <f>IF(OR(NOT(ISNUMBER(L791)),COUNT(M791:O791)&lt;&gt;3,MIN(M791:O791)&lt;0),"",ROUNDUP(ROUND(BI791-SUM(M791:O791),10),0))</f>
        <v>-25</v>
      </c>
      <c r="F791" s="28" t="n">
        <v>0</v>
      </c>
      <c r="G791" s="28" t="n">
        <f>IF(AND(ISNUMBER(D791),ISNUMBER(E791)),IF(OR(E791&lt;=0,L791=0),0,E791-D791),"")</f>
        <v>0</v>
      </c>
      <c r="H791" s="16" t="str">
        <f>IF(NOT(ISNUMBER(E791)),"销量或海外库存待补",IF(OR(E791&lt;=0,L791=0),IF(L791=0,"零日销，本批不发","本批无需补货"),IF(NOT(ISNUMBER(D791)),"国内库存待补",IF(D791=0,"国内无可用库存",IF(G791&gt;0,"先发国内现货","按建议量发货")))))</f>
        <v>本批无需补货</v>
      </c>
      <c r="I791" s="28" t="n">
        <f>IF(AND(COUNT(Z791,AA791,AB791)=3,Z791&gt;=AA791,AA791&gt;=0,AB791=7),Z791-AA791,"")</f>
        <v>3</v>
      </c>
      <c r="J791" s="28" t="n">
        <f>IF(AND(COUNT(AF791,AG791,AH791)=3,AF791&gt;=AG791,AG791&gt;=0,AH791=14),AF791-AG791,"")</f>
        <v>8</v>
      </c>
      <c r="K791" s="28" t="n">
        <f>IF(AND(COUNT(AL791,AM791,AN791)=3,AL791&gt;=AM791,AM791&gt;=0,AN791=30),AL791-AM791,"")</f>
        <v>12</v>
      </c>
      <c r="L791" s="29" t="n">
        <f>IF(ISNUMBER(BI791),BI791/90,"")</f>
        <v>0.22687863303538838</v>
      </c>
      <c r="M791" s="28" t="n">
        <v>45</v>
      </c>
      <c r="N791" s="28" t="n">
        <v>0</v>
      </c>
      <c r="O791" s="28" t="n">
        <v>0</v>
      </c>
      <c r="P791" s="30" t="n">
        <f>IF(AND(ISNUMBER(L791),L791&gt;0,COUNT(M791:O791)=3,MIN(M791:O791)&gt;=0),SUM(M791:O791)/L791,"")</f>
        <v>198.3439312814483</v>
      </c>
      <c r="Q791" s="16" t="str">
        <v>沿用原计划SKU店铺</v>
      </c>
      <c r="R791" s="16" t="str">
        <v>已匹配</v>
      </c>
      <c r="S791" s="16" t="str">
        <v>在售</v>
      </c>
      <c r="T791" s="16" t="str">
        <v>60516</v>
      </c>
      <c r="U791" s="16" t="str">
        <v>藏青色</v>
      </c>
      <c r="V791" s="16" t="n">
        <v>8</v>
      </c>
      <c r="W791" s="8" t="str">
        <v>2026-10-11 至 2026-10-17</v>
      </c>
      <c r="X791" s="8" t="str">
        <v>2026-10-11、2026-10-12、2026-10-13、2026-10-14、2026-10-15、2026-10-16、2026-10-17</v>
      </c>
      <c r="Y791" s="8" t="str">
        <v>无</v>
      </c>
      <c r="Z791" s="8" t="n">
        <v>3</v>
      </c>
      <c r="AA791" s="8" t="n">
        <v>0</v>
      </c>
      <c r="AB791" s="8" t="n">
        <v>7</v>
      </c>
      <c r="AC791" s="8" t="str">
        <v>2026-10-02 至 2026-10-17</v>
      </c>
      <c r="AD791" s="8" t="str">
        <v>2026-10-02、2026-10-03、2026-10-04、2026-10-05、2026-10-08、2026-10-09、2026-10-10、2026-10-11、2026-10-12、2026-10-13、2026-10-14、2026-10-15、2026-10-16、2026-10-17</v>
      </c>
      <c r="AE791" s="8" t="str">
        <v>2026-10-06 大促；2026-10-07 大促</v>
      </c>
      <c r="AF791" s="8" t="n">
        <v>10</v>
      </c>
      <c r="AG791" s="8" t="n">
        <v>2</v>
      </c>
      <c r="AH791" s="8" t="n">
        <v>14</v>
      </c>
      <c r="AI791" s="8" t="str">
        <v>2026-09-16 至 2026-10-17</v>
      </c>
      <c r="AJ7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91" s="8" t="str">
        <v>2026-10-06 大促；2026-10-07 大促</v>
      </c>
      <c r="AL791" s="8" t="n">
        <v>14</v>
      </c>
      <c r="AM791" s="8" t="n">
        <v>2</v>
      </c>
      <c r="AN791" s="8" t="n">
        <v>30</v>
      </c>
      <c r="AO791" s="8" t="str">
        <v>60516 / 藏青色羊京绒 / 6574</v>
      </c>
      <c r="AP791" s="11" t="n">
        <v>1.8609238953732312</v>
      </c>
      <c r="AQ791" s="11" t="n">
        <v>1.8609238953732312</v>
      </c>
      <c r="AR791" s="11" t="n">
        <v>1.7598476169692943</v>
      </c>
      <c r="AS791" s="11" t="n">
        <f>IF(AND(COUNT(I791:K791,AP791:AR791)=6,MIN(AP791:AR791)&gt;0),I791/7/AP791*0.5+J791/14/AQ791*0.3+K791/30/AR791*0.2,"")</f>
        <v>0.25272879831145045</v>
      </c>
      <c r="AT791" s="8" t="n">
        <v>24</v>
      </c>
      <c r="AU791" s="8" t="n">
        <v>2</v>
      </c>
      <c r="AV791" s="8" t="n">
        <v>88</v>
      </c>
      <c r="AW791" s="11" t="n">
        <f>IF(AND(COUNT(AT791:AV791)=3,AT791&gt;=AU791,AU791&gt;=0,AV791&gt;0),(AT791-AU791)/AV791,"")</f>
        <v>0.25</v>
      </c>
      <c r="AX791" s="8" t="n">
        <v>29</v>
      </c>
      <c r="AY791" s="8" t="n">
        <v>2</v>
      </c>
      <c r="AZ791" s="8" t="n">
        <v>178</v>
      </c>
      <c r="BA791" s="11" t="n">
        <f>IF(AND(COUNT(AX791:AZ791)=3,AX791&gt;=AY791,AY791&gt;=0,AZ791&gt;0),(AX791-AY791)/AZ791,"")</f>
        <v>0.15168539325842698</v>
      </c>
      <c r="BB791" s="8" t="n">
        <f>IF(COUNT(AS791,AW791,BA791)=3,1,0)</f>
        <v>1</v>
      </c>
      <c r="BC791" s="11" t="n">
        <f>IF(SUMIF($AO$11:$AO$1309,AO791,$BB$11:$BB$1309)=COUNTIF($AO$11:$AO$1309,AO791),SUMIF($AO$11:$AO$1309,AO791,$AS$11:$AS$1309),"")</f>
        <v>0.40586130703730794</v>
      </c>
      <c r="BD791" s="11" t="n">
        <f>IF(SUMIF($AO$11:$AO$1309,AO791,$BB$11:$BB$1309)=COUNTIF($AO$11:$AO$1309,AO791),SUMIF($AO$11:$AO$1309,AO791,$AW$11:$AW$1309),"")</f>
        <v>0.5125668449197861</v>
      </c>
      <c r="BE791" s="11" t="n">
        <f>IF(SUMIF($AO$11:$AO$1309,AO791,$BB$11:$BB$1309)=COUNTIF($AO$11:$AO$1309,AO791),SUMIF($AO$11:$AO$1309,AO791,$BA$11:$BA$1309),"")</f>
        <v>0.38879614767255216</v>
      </c>
      <c r="BF791" s="12" t="n">
        <f>IF(COUNT(BD791:BE791)&lt;&gt;2,"",IF(AND(BD791&gt;0,BE791&gt;0),0.7*AW791/BD791+0.3*BA791/BE791,IF(BD791&gt;0,AW791/BD791,IF(BE791&gt;0,BA791/BE791,IF(AND(ISNUMBER(BH791),BH791=0),0,"")))))</f>
        <v>0.45846124185917714</v>
      </c>
      <c r="BG791" s="11" t="n">
        <f>IF(AND(COUNT(BN791:BU791)=8,MIN(BN791:BU791)&gt;=0),SUMPRODUCT(BN791:BQ791,BR791:BU791),"")</f>
        <v>109.73769409574882</v>
      </c>
      <c r="BH791" s="11" t="n">
        <f>IF(COUNT(BC791,BG791)=2,BC791*BG791,"")</f>
        <v>44.53828395696089</v>
      </c>
      <c r="BI791" s="11" t="n">
        <f>IF(ISNUMBER(CI791),CI791,"")</f>
        <v>20.419076973184954</v>
      </c>
      <c r="BJ791" s="8" t="str">
        <v>近180天本色销量75双（＜90），无有效新采购，请运营判断</v>
      </c>
      <c r="BK791" s="8" t="str">
        <v>90天：2026-07-20 至 2026-10-17；180天：2026-04-21 至 2026-10-17</v>
      </c>
      <c r="BL791" s="8" t="str">
        <v>90天：2026-10-06、2026-10-07；180天：2026-10-06、2026-10-07</v>
      </c>
      <c r="BM791" s="8" t="str">
        <v>2026-10：12天 × 1.8609238953732312；2026-11：30天 × 1.438375649833085；2026-12：31天 × 0.9519742599124907；2027-01：17天 × 0.8673021058229575</v>
      </c>
      <c r="BN791" s="11" t="n">
        <v>1.8609238953732312</v>
      </c>
      <c r="BO791" s="11" t="n">
        <v>1.438375649833085</v>
      </c>
      <c r="BP791" s="11" t="n">
        <v>0.9519742599124907</v>
      </c>
      <c r="BQ791" s="11" t="n">
        <v>0.8673021058229575</v>
      </c>
      <c r="BR791" s="8" t="n">
        <v>12</v>
      </c>
      <c r="BS791" s="8" t="n">
        <v>30</v>
      </c>
      <c r="BT791" s="8" t="n">
        <v>31</v>
      </c>
      <c r="BU791" s="8" t="n">
        <v>17</v>
      </c>
      <c r="BV791" s="11" t="n">
        <f>IF(COUNT(BC791,BF791)=2,BC791*BF791,"")</f>
        <v>0.18607167884691297</v>
      </c>
      <c r="BW791" s="11" t="n">
        <f>IF(ISNUMBER(BN791),BN791,"")</f>
        <v>1.8609238953732312</v>
      </c>
      <c r="BX791" s="14" t="n">
        <f>IF(ISNUMBER(BR791),BR791,"")</f>
        <v>12</v>
      </c>
      <c r="BY791" s="13" t="n">
        <f>IF(AND(COUNT(BV791,BW791,BX791)=3,MIN(BV791,BW791,BX791)&gt;=0),BV791*BW791*BX791,"")</f>
        <v>4.15518280102121</v>
      </c>
      <c r="BZ791" s="11" t="n">
        <f>IF(ISNUMBER(BO791),BO791,"")</f>
        <v>1.438375649833085</v>
      </c>
      <c r="CA791" s="14" t="n">
        <f>IF(ISNUMBER(BS791),BS791,"")</f>
        <v>30</v>
      </c>
      <c r="CB791" s="13" t="n">
        <f>IF(AND(COUNT(BV791,BZ791,CA791)=3,MIN(BV791,BZ791,CA791)&gt;=0),BV791*BZ791*CA791,"")</f>
        <v>8.029229159308848</v>
      </c>
      <c r="CC791" s="11" t="n">
        <f>IF(ISNUMBER(BP791),BP791,"")</f>
        <v>0.9519742599124907</v>
      </c>
      <c r="CD791" s="14" t="n">
        <f>IF(ISNUMBER(BT791),BT791,"")</f>
        <v>31</v>
      </c>
      <c r="CE791" s="13" t="n">
        <f>IF(AND(COUNT(BV791,CC791,CD791)=3,MIN(BV791,CC791,CD791)&gt;=0),BV791*CC791*CD791,"")</f>
        <v>5.491198911589904</v>
      </c>
      <c r="CF791" s="11" t="n">
        <f>IF(ISNUMBER(BQ791),BQ791,"")</f>
        <v>0.8673021058229575</v>
      </c>
      <c r="CG791" s="14" t="n">
        <f>IF(ISNUMBER(BU791),BU791,"")</f>
        <v>17</v>
      </c>
      <c r="CH791" s="13" t="n">
        <f>IF(AND(COUNT(BV791,CF791,CG791)=3,MIN(BV791,CF791,CG791)&gt;=0),BV791*CF791*CG791,"")</f>
        <v>2.7434661012649917</v>
      </c>
      <c r="CI791" s="13" t="n">
        <f>IF(COUNT(BY791,CB791,CE791,CH791)=4,SUM(BY791,CB791,CE791,CH791),"")</f>
        <v>20.419076973184954</v>
      </c>
    </row>
    <row r="792" ht="72" customHeight="1">
      <c r="A792" s="16" t="str">
        <v>60516-NY-S-K-8.5</v>
      </c>
      <c r="B792" s="16" t="str">
        <v>3店-SANDIEX-US</v>
      </c>
      <c r="C792" s="16" t="str">
        <v>徐新怡</v>
      </c>
      <c r="D792" s="26" t="n">
        <f>IF(NOT(ISNUMBER(E792)),"",IF(OR(E792&lt;=0,L792=0),0,IF(OR(NOT(ISNUMBER(F792)),F792&lt;0),"",MIN(E792,INT(F792)))))</f>
        <v>0</v>
      </c>
      <c r="E792" s="27" t="n">
        <f>IF(OR(NOT(ISNUMBER(L792)),COUNT(M792:O792)&lt;&gt;3,MIN(M792:O792)&lt;0),"",ROUNDUP(ROUND(BI792-SUM(M792:O792),10),0))</f>
        <v>0</v>
      </c>
      <c r="F792" s="28" t="n">
        <v>0</v>
      </c>
      <c r="G792" s="28" t="n">
        <f>IF(AND(ISNUMBER(D792),ISNUMBER(E792)),IF(OR(E792&lt;=0,L792=0),0,E792-D792),"")</f>
        <v>0</v>
      </c>
      <c r="H792" s="16" t="str">
        <f>IF(NOT(ISNUMBER(E792)),"销量或海外库存待补",IF(OR(E792&lt;=0,L792=0),IF(L792=0,"零日销，本批不发","本批无需补货"),IF(NOT(ISNUMBER(D792)),"国内库存待补",IF(D792=0,"国内无可用库存",IF(G792&gt;0,"先发国内现货","按建议量发货")))))</f>
        <v>零日销，本批不发</v>
      </c>
      <c r="I792" s="28" t="n">
        <f>IF(AND(COUNT(Z792,AA792,AB792)=3,Z792&gt;=AA792,AA792&gt;=0,AB792=7),Z792-AA792,"")</f>
        <v>0</v>
      </c>
      <c r="J792" s="28" t="n">
        <f>IF(AND(COUNT(AF792,AG792,AH792)=3,AF792&gt;=AG792,AG792&gt;=0,AH792=14),AF792-AG792,"")</f>
        <v>0</v>
      </c>
      <c r="K792" s="28" t="n">
        <f>IF(AND(COUNT(AL792,AM792,AN792)=3,AL792&gt;=AM792,AM792&gt;=0,AN792=30),AL792-AM792,"")</f>
        <v>0</v>
      </c>
      <c r="L792" s="29" t="n">
        <f>IF(ISNUMBER(BI792),BI792/90,"")</f>
        <v>0</v>
      </c>
      <c r="M792" s="28" t="n">
        <v>0</v>
      </c>
      <c r="N792" s="28" t="n">
        <v>0</v>
      </c>
      <c r="O792" s="28" t="n">
        <v>0</v>
      </c>
      <c r="P792" s="30" t="str">
        <f>IF(AND(ISNUMBER(L792),L792&gt;0,COUNT(M792:O792)=3,MIN(M792:O792)&gt;=0),SUM(M792:O792)/L792,"")</f>
      </c>
      <c r="Q792" s="16" t="str">
        <v>按本SKU唯一未删除Listing店铺核实</v>
      </c>
      <c r="R792" s="16" t="str">
        <v>已匹配</v>
      </c>
      <c r="S792" s="16" t="str">
        <v>停售</v>
      </c>
      <c r="T792" s="16" t="str">
        <v>60516</v>
      </c>
      <c r="U792" s="16" t="str">
        <v>藏青色</v>
      </c>
      <c r="V792" s="16" t="n">
        <v>8.5</v>
      </c>
      <c r="W792" s="8" t="str">
        <v>2026-10-08 至 2026-10-17</v>
      </c>
      <c r="X792" s="8" t="str">
        <v>2026-10-08、2026-10-09、2026-10-10、2026-10-11、2026-10-14、2026-10-15、2026-10-17</v>
      </c>
      <c r="Y792" s="8" t="str">
        <v>2026-10-12 有记录的停售日；2026-10-13 有记录的停售日；2026-10-16 有记录的停售日</v>
      </c>
      <c r="Z792" s="8" t="n">
        <v>0</v>
      </c>
      <c r="AA792" s="8" t="n">
        <v>0</v>
      </c>
      <c r="AB792" s="8" t="n">
        <v>7</v>
      </c>
      <c r="AC792" s="8" t="str">
        <v>2026-09-29 至 2026-10-17</v>
      </c>
      <c r="AD792" s="8" t="str">
        <v>2026-09-29、2026-09-30、2026-10-01、2026-10-02、2026-10-03、2026-10-04、2026-10-05、2026-10-08、2026-10-09、2026-10-10、2026-10-11、2026-10-14、2026-10-15、2026-10-17</v>
      </c>
      <c r="AE792" s="8" t="str">
        <v>2026-10-06 大促；2026-10-07 大促；2026-10-12 有记录的停售日；2026-10-13 有记录的停售日；2026-10-16 有记录的停售日</v>
      </c>
      <c r="AF792" s="8" t="n">
        <v>0</v>
      </c>
      <c r="AG792" s="8" t="n">
        <v>0</v>
      </c>
      <c r="AH792" s="8" t="n">
        <v>14</v>
      </c>
      <c r="AI792" s="8" t="str">
        <v>2026-09-13 至 2026-10-17</v>
      </c>
      <c r="AJ7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2" s="8" t="str">
        <v>2026-10-06 大促；2026-10-07 大促；2026-10-12 有记录的停售日；2026-10-13 有记录的停售日；2026-10-16 有记录的停售日</v>
      </c>
      <c r="AL792" s="8" t="n">
        <v>0</v>
      </c>
      <c r="AM792" s="8" t="n">
        <v>0</v>
      </c>
      <c r="AN792" s="8" t="n">
        <v>30</v>
      </c>
      <c r="AO792" s="8" t="str">
        <v>60516 / 藏青色羊京绒 / 6574</v>
      </c>
      <c r="AP792" s="11" t="n">
        <v>1.8609238953732312</v>
      </c>
      <c r="AQ792" s="11" t="n">
        <v>1.832044958686392</v>
      </c>
      <c r="AR792" s="11" t="n">
        <v>1.7396323612885067</v>
      </c>
      <c r="AS792" s="11" t="n">
        <f>IF(AND(COUNT(I792:K792,AP792:AR792)=6,MIN(AP792:AR792)&gt;0),I792/7/AP792*0.5+J792/14/AQ792*0.3+K792/30/AR792*0.2,"")</f>
        <v>0</v>
      </c>
      <c r="AT792" s="8" t="n">
        <v>0</v>
      </c>
      <c r="AU792" s="8" t="n">
        <v>0</v>
      </c>
      <c r="AV792" s="8" t="n">
        <v>85</v>
      </c>
      <c r="AW792" s="11" t="n">
        <f>IF(AND(COUNT(AT792:AV792)=3,AT792&gt;=AU792,AU792&gt;=0,AV792&gt;0),(AT792-AU792)/AV792,"")</f>
        <v>0</v>
      </c>
      <c r="AX792" s="8" t="n">
        <v>0</v>
      </c>
      <c r="AY792" s="8" t="n">
        <v>0</v>
      </c>
      <c r="AZ792" s="8" t="n">
        <v>175</v>
      </c>
      <c r="BA792" s="11" t="n">
        <f>IF(AND(COUNT(AX792:AZ792)=3,AX792&gt;=AY792,AY792&gt;=0,AZ792&gt;0),(AX792-AY792)/AZ792,"")</f>
        <v>0</v>
      </c>
      <c r="BB792" s="8" t="n">
        <f>IF(COUNT(AS792,AW792,BA792)=3,1,0)</f>
        <v>1</v>
      </c>
      <c r="BC792" s="11" t="n">
        <f>IF(SUMIF($AO$11:$AO$1309,AO792,$BB$11:$BB$1309)=COUNTIF($AO$11:$AO$1309,AO792),SUMIF($AO$11:$AO$1309,AO792,$AS$11:$AS$1309),"")</f>
        <v>0.40586130703730794</v>
      </c>
      <c r="BD792" s="11" t="n">
        <f>IF(SUMIF($AO$11:$AO$1309,AO792,$BB$11:$BB$1309)=COUNTIF($AO$11:$AO$1309,AO792),SUMIF($AO$11:$AO$1309,AO792,$AW$11:$AW$1309),"")</f>
        <v>0.5125668449197861</v>
      </c>
      <c r="BE792" s="11" t="n">
        <f>IF(SUMIF($AO$11:$AO$1309,AO792,$BB$11:$BB$1309)=COUNTIF($AO$11:$AO$1309,AO792),SUMIF($AO$11:$AO$1309,AO792,$BA$11:$BA$1309),"")</f>
        <v>0.38879614767255216</v>
      </c>
      <c r="BF792" s="12" t="n">
        <f>IF(COUNT(BD792:BE792)&lt;&gt;2,"",IF(AND(BD792&gt;0,BE792&gt;0),0.7*AW792/BD792+0.3*BA792/BE792,IF(BD792&gt;0,AW792/BD792,IF(BE792&gt;0,BA792/BE792,IF(AND(ISNUMBER(BH792),BH792=0),0,"")))))</f>
        <v>0</v>
      </c>
      <c r="BG792" s="11" t="n">
        <f>IF(AND(COUNT(BN792:BU792)=8,MIN(BN792:BU792)&gt;=0),SUMPRODUCT(BN792:BQ792,BR792:BU792),"")</f>
        <v>109.73769409574882</v>
      </c>
      <c r="BH792" s="11" t="n">
        <f>IF(COUNT(BC792,BG792)=2,BC792*BG792,"")</f>
        <v>44.53828395696089</v>
      </c>
      <c r="BI792" s="11" t="n">
        <f>IF(ISNUMBER(CI792),CI792,"")</f>
        <v>0</v>
      </c>
      <c r="BJ792" s="8" t="str">
        <v>近180天本色销量75双（＜90），无有效新采购，请运营判断</v>
      </c>
      <c r="BK792" s="8" t="str">
        <v>90天：2026-07-20 至 2026-10-17；180天：2026-04-21 至 2026-10-17</v>
      </c>
      <c r="BL792" s="8" t="str">
        <v>90天：2026-10-06、2026-10-07、2026-10-12、2026-10-13、2026-10-16；180天：2026-10-06、2026-10-07、2026-10-12、2026-10-13、2026-10-16</v>
      </c>
      <c r="BM792" s="8" t="str">
        <v>2026-10：12天 × 1.8609238953732312；2026-11：30天 × 1.438375649833085；2026-12：31天 × 0.9519742599124907；2027-01：17天 × 0.8673021058229575</v>
      </c>
      <c r="BN792" s="11" t="n">
        <v>1.8609238953732312</v>
      </c>
      <c r="BO792" s="11" t="n">
        <v>1.438375649833085</v>
      </c>
      <c r="BP792" s="11" t="n">
        <v>0.9519742599124907</v>
      </c>
      <c r="BQ792" s="11" t="n">
        <v>0.8673021058229575</v>
      </c>
      <c r="BR792" s="8" t="n">
        <v>12</v>
      </c>
      <c r="BS792" s="8" t="n">
        <v>30</v>
      </c>
      <c r="BT792" s="8" t="n">
        <v>31</v>
      </c>
      <c r="BU792" s="8" t="n">
        <v>17</v>
      </c>
      <c r="BV792" s="11" t="n">
        <f>IF(COUNT(BC792,BF792)=2,BC792*BF792,"")</f>
        <v>0</v>
      </c>
      <c r="BW792" s="11" t="n">
        <f>IF(ISNUMBER(BN792),BN792,"")</f>
        <v>1.8609238953732312</v>
      </c>
      <c r="BX792" s="14" t="n">
        <f>IF(ISNUMBER(BR792),BR792,"")</f>
        <v>12</v>
      </c>
      <c r="BY792" s="13" t="n">
        <f>IF(AND(COUNT(BV792,BW792,BX792)=3,MIN(BV792,BW792,BX792)&gt;=0),BV792*BW792*BX792,"")</f>
        <v>0</v>
      </c>
      <c r="BZ792" s="11" t="n">
        <f>IF(ISNUMBER(BO792),BO792,"")</f>
        <v>1.438375649833085</v>
      </c>
      <c r="CA792" s="14" t="n">
        <f>IF(ISNUMBER(BS792),BS792,"")</f>
        <v>30</v>
      </c>
      <c r="CB792" s="13" t="n">
        <f>IF(AND(COUNT(BV792,BZ792,CA792)=3,MIN(BV792,BZ792,CA792)&gt;=0),BV792*BZ792*CA792,"")</f>
        <v>0</v>
      </c>
      <c r="CC792" s="11" t="n">
        <f>IF(ISNUMBER(BP792),BP792,"")</f>
        <v>0.9519742599124907</v>
      </c>
      <c r="CD792" s="14" t="n">
        <f>IF(ISNUMBER(BT792),BT792,"")</f>
        <v>31</v>
      </c>
      <c r="CE792" s="13" t="n">
        <f>IF(AND(COUNT(BV792,CC792,CD792)=3,MIN(BV792,CC792,CD792)&gt;=0),BV792*CC792*CD792,"")</f>
        <v>0</v>
      </c>
      <c r="CF792" s="11" t="n">
        <f>IF(ISNUMBER(BQ792),BQ792,"")</f>
        <v>0.8673021058229575</v>
      </c>
      <c r="CG792" s="14" t="n">
        <f>IF(ISNUMBER(BU792),BU792,"")</f>
        <v>17</v>
      </c>
      <c r="CH792" s="13" t="n">
        <f>IF(AND(COUNT(BV792,CF792,CG792)=3,MIN(BV792,CF792,CG792)&gt;=0),BV792*CF792*CG792,"")</f>
        <v>0</v>
      </c>
      <c r="CI792" s="13" t="n">
        <f>IF(COUNT(BY792,CB792,CE792,CH792)=4,SUM(BY792,CB792,CE792,CH792),"")</f>
        <v>0</v>
      </c>
    </row>
    <row r="793" ht="72" customHeight="1">
      <c r="A793" s="16" t="str">
        <v>60516-NY-S-K-9</v>
      </c>
      <c r="B793" s="16" t="str">
        <v>3店-SANDIEX-US</v>
      </c>
      <c r="C793" s="16" t="str">
        <v>徐新怡</v>
      </c>
      <c r="D793" s="26" t="n">
        <f>IF(NOT(ISNUMBER(E793)),"",IF(OR(E793&lt;=0,L793=0),0,IF(OR(NOT(ISNUMBER(F793)),F793&lt;0),"",MIN(E793,INT(F793)))))</f>
        <v>0</v>
      </c>
      <c r="E793" s="27" t="n">
        <f>IF(OR(NOT(ISNUMBER(L793)),COUNT(M793:O793)&lt;&gt;3,MIN(M793:O793)&lt;0),"",ROUNDUP(ROUND(BI793-SUM(M793:O793),10),0))</f>
        <v>-2</v>
      </c>
      <c r="F793" s="28" t="n">
        <v>0</v>
      </c>
      <c r="G793" s="28" t="n">
        <f>IF(AND(ISNUMBER(D793),ISNUMBER(E793)),IF(OR(E793&lt;=0,L793=0),0,E793-D793),"")</f>
        <v>0</v>
      </c>
      <c r="H793" s="16" t="str">
        <f>IF(NOT(ISNUMBER(E793)),"销量或海外库存待补",IF(OR(E793&lt;=0,L793=0),IF(L793=0,"零日销，本批不发","本批无需补货"),IF(NOT(ISNUMBER(D793)),"国内库存待补",IF(D793=0,"国内无可用库存",IF(G793&gt;0,"先发国内现货","按建议量发货")))))</f>
        <v>本批无需补货</v>
      </c>
      <c r="I793" s="28" t="n">
        <f>IF(AND(COUNT(Z793,AA793,AB793)=3,Z793&gt;=AA793,AA793&gt;=0,AB793=7),Z793-AA793,"")</f>
        <v>2</v>
      </c>
      <c r="J793" s="28" t="n">
        <f>IF(AND(COUNT(AF793,AG793,AH793)=3,AF793&gt;=AG793,AG793&gt;=0,AH793=14),AF793-AG793,"")</f>
        <v>3</v>
      </c>
      <c r="K793" s="28" t="n">
        <f>IF(AND(COUNT(AL793,AM793,AN793)=3,AL793&gt;=AM793,AM793&gt;=0,AN793=30),AL793-AM793,"")</f>
        <v>5</v>
      </c>
      <c r="L793" s="29" t="n">
        <f>IF(ISNUMBER(BI793),BI793/90,"")</f>
        <v>0.14059779321193808</v>
      </c>
      <c r="M793" s="28" t="n">
        <v>14</v>
      </c>
      <c r="N793" s="28" t="n">
        <v>0</v>
      </c>
      <c r="O793" s="28" t="n">
        <v>0</v>
      </c>
      <c r="P793" s="30" t="n">
        <f>IF(AND(ISNUMBER(L793),L793&gt;0,COUNT(M793:O793)=3,MIN(M793:O793)&gt;=0),SUM(M793:O793)/L793,"")</f>
        <v>99.57482034512664</v>
      </c>
      <c r="Q793" s="16" t="str">
        <v>沿用原计划SKU店铺</v>
      </c>
      <c r="R793" s="16" t="str">
        <v>已匹配</v>
      </c>
      <c r="S793" s="16" t="str">
        <v>在售</v>
      </c>
      <c r="T793" s="16" t="str">
        <v>60516</v>
      </c>
      <c r="U793" s="16" t="str">
        <v>藏青色</v>
      </c>
      <c r="V793" s="16" t="n">
        <v>9</v>
      </c>
      <c r="W793" s="8" t="str">
        <v>2026-10-11 至 2026-10-17</v>
      </c>
      <c r="X793" s="8" t="str">
        <v>2026-10-11、2026-10-12、2026-10-13、2026-10-14、2026-10-15、2026-10-16、2026-10-17</v>
      </c>
      <c r="Y793" s="8" t="str">
        <v>无</v>
      </c>
      <c r="Z793" s="8" t="n">
        <v>2</v>
      </c>
      <c r="AA793" s="8" t="n">
        <v>0</v>
      </c>
      <c r="AB793" s="8" t="n">
        <v>7</v>
      </c>
      <c r="AC793" s="8" t="str">
        <v>2026-10-02 至 2026-10-17</v>
      </c>
      <c r="AD793" s="8" t="str">
        <v>2026-10-02、2026-10-03、2026-10-04、2026-10-05、2026-10-08、2026-10-09、2026-10-10、2026-10-11、2026-10-12、2026-10-13、2026-10-14、2026-10-15、2026-10-16、2026-10-17</v>
      </c>
      <c r="AE793" s="8" t="str">
        <v>2026-10-06 大促；2026-10-07 大促</v>
      </c>
      <c r="AF793" s="8" t="n">
        <v>6</v>
      </c>
      <c r="AG793" s="8" t="n">
        <v>3</v>
      </c>
      <c r="AH793" s="8" t="n">
        <v>14</v>
      </c>
      <c r="AI793" s="8" t="str">
        <v>2026-09-16 至 2026-10-17</v>
      </c>
      <c r="AJ7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93" s="8" t="str">
        <v>2026-10-06 大促；2026-10-07 大促</v>
      </c>
      <c r="AL793" s="8" t="n">
        <v>8</v>
      </c>
      <c r="AM793" s="8" t="n">
        <v>3</v>
      </c>
      <c r="AN793" s="8" t="n">
        <v>30</v>
      </c>
      <c r="AO793" s="8" t="str">
        <v>60516 / 藏青色羊京绒 / 6574</v>
      </c>
      <c r="AP793" s="11" t="n">
        <v>1.8609238953732312</v>
      </c>
      <c r="AQ793" s="11" t="n">
        <v>1.8609238953732312</v>
      </c>
      <c r="AR793" s="11" t="n">
        <v>1.7598476169692943</v>
      </c>
      <c r="AS793" s="11" t="n">
        <f>IF(AND(COUNT(I793:K793,AP793:AR793)=6,MIN(AP793:AR793)&gt;0),I793/7/AP793*0.5+J793/14/AQ793*0.3+K793/30/AR793*0.2,"")</f>
        <v>0.13025287078765715</v>
      </c>
      <c r="AT793" s="8" t="n">
        <v>16</v>
      </c>
      <c r="AU793" s="8" t="n">
        <v>3</v>
      </c>
      <c r="AV793" s="8" t="n">
        <v>88</v>
      </c>
      <c r="AW793" s="11" t="n">
        <f>IF(AND(COUNT(AT793:AV793)=3,AT793&gt;=AU793,AU793&gt;=0,AV793&gt;0),(AT793-AU793)/AV793,"")</f>
        <v>0.14772727272727273</v>
      </c>
      <c r="AX793" s="8" t="n">
        <v>22</v>
      </c>
      <c r="AY793" s="8" t="n">
        <v>3</v>
      </c>
      <c r="AZ793" s="8" t="n">
        <v>178</v>
      </c>
      <c r="BA793" s="11" t="n">
        <f>IF(AND(COUNT(AX793:AZ793)=3,AX793&gt;=AY793,AY793&gt;=0,AZ793&gt;0),(AX793-AY793)/AZ793,"")</f>
        <v>0.10674157303370786</v>
      </c>
      <c r="BB793" s="8" t="n">
        <f>IF(COUNT(AS793,AW793,BA793)=3,1,0)</f>
        <v>1</v>
      </c>
      <c r="BC793" s="11" t="n">
        <f>IF(SUMIF($AO$11:$AO$1309,AO793,$BB$11:$BB$1309)=COUNTIF($AO$11:$AO$1309,AO793),SUMIF($AO$11:$AO$1309,AO793,$AS$11:$AS$1309),"")</f>
        <v>0.40586130703730794</v>
      </c>
      <c r="BD793" s="11" t="n">
        <f>IF(SUMIF($AO$11:$AO$1309,AO793,$BB$11:$BB$1309)=COUNTIF($AO$11:$AO$1309,AO793),SUMIF($AO$11:$AO$1309,AO793,$AW$11:$AW$1309),"")</f>
        <v>0.5125668449197861</v>
      </c>
      <c r="BE793" s="11" t="n">
        <f>IF(SUMIF($AO$11:$AO$1309,AO793,$BB$11:$BB$1309)=COUNTIF($AO$11:$AO$1309,AO793),SUMIF($AO$11:$AO$1309,AO793,$BA$11:$BA$1309),"")</f>
        <v>0.38879614767255216</v>
      </c>
      <c r="BF793" s="12" t="n">
        <f>IF(COUNT(BD793:BE793)&lt;&gt;2,"",IF(AND(BD793&gt;0,BE793&gt;0),0.7*AW793/BD793+0.3*BA793/BE793,IF(BD793&gt;0,AW793/BD793,IF(BE793&gt;0,BA793/BE793,IF(AND(ISNUMBER(BH793),BH793=0),0,"")))))</f>
        <v>0.28411066311630456</v>
      </c>
      <c r="BG793" s="11" t="n">
        <f>IF(AND(COUNT(BN793:BU793)=8,MIN(BN793:BU793)&gt;=0),SUMPRODUCT(BN793:BQ793,BR793:BU793),"")</f>
        <v>109.73769409574882</v>
      </c>
      <c r="BH793" s="11" t="n">
        <f>IF(COUNT(BC793,BG793)=2,BC793*BG793,"")</f>
        <v>44.53828395696089</v>
      </c>
      <c r="BI793" s="11" t="n">
        <f>IF(ISNUMBER(CI793),CI793,"")</f>
        <v>12.653801389074427</v>
      </c>
      <c r="BJ793" s="8" t="str">
        <v>近180天本色销量75双（＜90），无有效新采购，请运营判断</v>
      </c>
      <c r="BK793" s="8" t="str">
        <v>90天：2026-07-20 至 2026-10-17；180天：2026-04-21 至 2026-10-17</v>
      </c>
      <c r="BL793" s="8" t="str">
        <v>90天：2026-10-06、2026-10-07；180天：2026-10-06、2026-10-07</v>
      </c>
      <c r="BM793" s="8" t="str">
        <v>2026-10：12天 × 1.8609238953732312；2026-11：30天 × 1.438375649833085；2026-12：31天 × 0.9519742599124907；2027-01：17天 × 0.8673021058229575</v>
      </c>
      <c r="BN793" s="11" t="n">
        <v>1.8609238953732312</v>
      </c>
      <c r="BO793" s="11" t="n">
        <v>1.438375649833085</v>
      </c>
      <c r="BP793" s="11" t="n">
        <v>0.9519742599124907</v>
      </c>
      <c r="BQ793" s="11" t="n">
        <v>0.8673021058229575</v>
      </c>
      <c r="BR793" s="8" t="n">
        <v>12</v>
      </c>
      <c r="BS793" s="8" t="n">
        <v>30</v>
      </c>
      <c r="BT793" s="8" t="n">
        <v>31</v>
      </c>
      <c r="BU793" s="8" t="n">
        <v>17</v>
      </c>
      <c r="BV793" s="11" t="n">
        <f>IF(COUNT(BC793,BF793)=2,BC793*BF793,"")</f>
        <v>0.11530952507561965</v>
      </c>
      <c r="BW793" s="11" t="n">
        <f>IF(ISNUMBER(BN793),BN793,"")</f>
        <v>1.8609238953732312</v>
      </c>
      <c r="BX793" s="14" t="n">
        <f>IF(ISNUMBER(BR793),BR793,"")</f>
        <v>12</v>
      </c>
      <c r="BY793" s="13" t="n">
        <f>IF(AND(COUNT(BV793,BW793,BX793)=3,MIN(BV793,BW793,BX793)&gt;=0),BV793*BW793*BX793,"")</f>
        <v>2.5749870069283127</v>
      </c>
      <c r="BZ793" s="11" t="n">
        <f>IF(ISNUMBER(BO793),BO793,"")</f>
        <v>1.438375649833085</v>
      </c>
      <c r="CA793" s="14" t="n">
        <f>IF(ISNUMBER(BS793),BS793,"")</f>
        <v>30</v>
      </c>
      <c r="CB793" s="13" t="n">
        <f>IF(AND(COUNT(BV793,BZ793,CA793)=3,MIN(BV793,BZ793,CA793)&gt;=0),BV793*BZ793*CA793,"")</f>
        <v>4.975752391877665</v>
      </c>
      <c r="CC793" s="11" t="n">
        <f>IF(ISNUMBER(BP793),BP793,"")</f>
        <v>0.9519742599124907</v>
      </c>
      <c r="CD793" s="14" t="n">
        <f>IF(ISNUMBER(BT793),BT793,"")</f>
        <v>31</v>
      </c>
      <c r="CE793" s="13" t="n">
        <f>IF(AND(COUNT(BV793,CC793,CD793)=3,MIN(BV793,CC793,CD793)&gt;=0),BV793*CC793*CD793,"")</f>
        <v>3.402922693636438</v>
      </c>
      <c r="CF793" s="11" t="n">
        <f>IF(ISNUMBER(BQ793),BQ793,"")</f>
        <v>0.8673021058229575</v>
      </c>
      <c r="CG793" s="14" t="n">
        <f>IF(ISNUMBER(BU793),BU793,"")</f>
        <v>17</v>
      </c>
      <c r="CH793" s="13" t="n">
        <f>IF(AND(COUNT(BV793,CF793,CG793)=3,MIN(BV793,CF793,CG793)&gt;=0),BV793*CF793*CG793,"")</f>
        <v>1.7001392966320108</v>
      </c>
      <c r="CI793" s="13" t="n">
        <f>IF(COUNT(BY793,CB793,CE793,CH793)=4,SUM(BY793,CB793,CE793,CH793),"")</f>
        <v>12.653801389074427</v>
      </c>
    </row>
    <row r="794" ht="72" customHeight="1">
      <c r="A794" s="16" t="str">
        <v>60516-NY-S-K-9.5</v>
      </c>
      <c r="B794" s="16" t="str">
        <v>3店-SANDIEX-US</v>
      </c>
      <c r="C794" s="16" t="str">
        <v>徐新怡</v>
      </c>
      <c r="D794" s="26" t="n">
        <f>IF(NOT(ISNUMBER(E794)),"",IF(OR(E794&lt;=0,L794=0),0,IF(OR(NOT(ISNUMBER(F794)),F794&lt;0),"",MIN(E794,INT(F794)))))</f>
        <v>0</v>
      </c>
      <c r="E794" s="27" t="n">
        <f>IF(OR(NOT(ISNUMBER(L794)),COUNT(M794:O794)&lt;&gt;3,MIN(M794:O794)&lt;0),"",ROUNDUP(ROUND(BI794-SUM(M794:O794),10),0))</f>
        <v>0</v>
      </c>
      <c r="F794" s="28" t="n">
        <v>0</v>
      </c>
      <c r="G794" s="28" t="n">
        <f>IF(AND(ISNUMBER(D794),ISNUMBER(E794)),IF(OR(E794&lt;=0,L794=0),0,E794-D794),"")</f>
        <v>0</v>
      </c>
      <c r="H794" s="16" t="str">
        <f>IF(NOT(ISNUMBER(E794)),"销量或海外库存待补",IF(OR(E794&lt;=0,L794=0),IF(L794=0,"零日销，本批不发","本批无需补货"),IF(NOT(ISNUMBER(D794)),"国内库存待补",IF(D794=0,"国内无可用库存",IF(G794&gt;0,"先发国内现货","按建议量发货")))))</f>
        <v>零日销，本批不发</v>
      </c>
      <c r="I794" s="28" t="n">
        <f>IF(AND(COUNT(Z794,AA794,AB794)=3,Z794&gt;=AA794,AA794&gt;=0,AB794=7),Z794-AA794,"")</f>
        <v>0</v>
      </c>
      <c r="J794" s="28" t="n">
        <f>IF(AND(COUNT(AF794,AG794,AH794)=3,AF794&gt;=AG794,AG794&gt;=0,AH794=14),AF794-AG794,"")</f>
        <v>0</v>
      </c>
      <c r="K794" s="28" t="n">
        <f>IF(AND(COUNT(AL794,AM794,AN794)=3,AL794&gt;=AM794,AM794&gt;=0,AN794=30),AL794-AM794,"")</f>
        <v>0</v>
      </c>
      <c r="L794" s="29" t="n">
        <f>IF(ISNUMBER(BI794),BI794/90,"")</f>
        <v>0</v>
      </c>
      <c r="M794" s="28" t="n">
        <v>0</v>
      </c>
      <c r="N794" s="28" t="n">
        <v>0</v>
      </c>
      <c r="O794" s="28" t="n">
        <v>0</v>
      </c>
      <c r="P794" s="30" t="str">
        <f>IF(AND(ISNUMBER(L794),L794&gt;0,COUNT(M794:O794)=3,MIN(M794:O794)&gt;=0),SUM(M794:O794)/L794,"")</f>
      </c>
      <c r="Q794" s="16" t="str">
        <v>沿用同SPU原计划店铺</v>
      </c>
      <c r="R794" s="16" t="str">
        <v>已匹配</v>
      </c>
      <c r="S794" s="16" t="str">
        <v>停售</v>
      </c>
      <c r="T794" s="16" t="str">
        <v>60516</v>
      </c>
      <c r="U794" s="16" t="str">
        <v>藏青色</v>
      </c>
      <c r="V794" s="16" t="n">
        <v>9.5</v>
      </c>
      <c r="W794" s="8" t="str">
        <v>2026-10-08 至 2026-10-17</v>
      </c>
      <c r="X794" s="8" t="str">
        <v>2026-10-08、2026-10-09、2026-10-10、2026-10-11、2026-10-14、2026-10-15、2026-10-17</v>
      </c>
      <c r="Y794" s="8" t="str">
        <v>2026-10-12 有记录的停售日；2026-10-13 有记录的停售日；2026-10-16 有记录的停售日</v>
      </c>
      <c r="Z794" s="8" t="n">
        <v>0</v>
      </c>
      <c r="AA794" s="8" t="n">
        <v>0</v>
      </c>
      <c r="AB794" s="8" t="n">
        <v>7</v>
      </c>
      <c r="AC794" s="8" t="str">
        <v>2026-09-29 至 2026-10-17</v>
      </c>
      <c r="AD794" s="8" t="str">
        <v>2026-09-29、2026-09-30、2026-10-01、2026-10-02、2026-10-03、2026-10-04、2026-10-05、2026-10-08、2026-10-09、2026-10-10、2026-10-11、2026-10-14、2026-10-15、2026-10-17</v>
      </c>
      <c r="AE794" s="8" t="str">
        <v>2026-10-06 大促；2026-10-07 大促；2026-10-12 有记录的停售日；2026-10-13 有记录的停售日；2026-10-16 有记录的停售日</v>
      </c>
      <c r="AF794" s="8" t="n">
        <v>0</v>
      </c>
      <c r="AG794" s="8" t="n">
        <v>0</v>
      </c>
      <c r="AH794" s="8" t="n">
        <v>14</v>
      </c>
      <c r="AI794" s="8" t="str">
        <v>2026-09-13 至 2026-10-17</v>
      </c>
      <c r="AJ79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4" s="8" t="str">
        <v>2026-10-06 大促；2026-10-07 大促；2026-10-12 有记录的停售日；2026-10-13 有记录的停售日；2026-10-16 有记录的停售日</v>
      </c>
      <c r="AL794" s="8" t="n">
        <v>0</v>
      </c>
      <c r="AM794" s="8" t="n">
        <v>0</v>
      </c>
      <c r="AN794" s="8" t="n">
        <v>30</v>
      </c>
      <c r="AO794" s="8" t="str">
        <v>60516 / 藏青色羊京绒 / 6574</v>
      </c>
      <c r="AP794" s="11" t="n">
        <v>1.8609238953732312</v>
      </c>
      <c r="AQ794" s="11" t="n">
        <v>1.832044958686392</v>
      </c>
      <c r="AR794" s="11" t="n">
        <v>1.7396323612885067</v>
      </c>
      <c r="AS794" s="11" t="n">
        <f>IF(AND(COUNT(I794:K794,AP794:AR794)=6,MIN(AP794:AR794)&gt;0),I794/7/AP794*0.5+J794/14/AQ794*0.3+K794/30/AR794*0.2,"")</f>
        <v>0</v>
      </c>
      <c r="AT794" s="8" t="n">
        <v>0</v>
      </c>
      <c r="AU794" s="8" t="n">
        <v>0</v>
      </c>
      <c r="AV794" s="8" t="n">
        <v>85</v>
      </c>
      <c r="AW794" s="11" t="n">
        <f>IF(AND(COUNT(AT794:AV794)=3,AT794&gt;=AU794,AU794&gt;=0,AV794&gt;0),(AT794-AU794)/AV794,"")</f>
        <v>0</v>
      </c>
      <c r="AX794" s="8" t="n">
        <v>0</v>
      </c>
      <c r="AY794" s="8" t="n">
        <v>0</v>
      </c>
      <c r="AZ794" s="8" t="n">
        <v>175</v>
      </c>
      <c r="BA794" s="11" t="n">
        <f>IF(AND(COUNT(AX794:AZ794)=3,AX794&gt;=AY794,AY794&gt;=0,AZ794&gt;0),(AX794-AY794)/AZ794,"")</f>
        <v>0</v>
      </c>
      <c r="BB794" s="8" t="n">
        <f>IF(COUNT(AS794,AW794,BA794)=3,1,0)</f>
        <v>1</v>
      </c>
      <c r="BC794" s="11" t="n">
        <f>IF(SUMIF($AO$11:$AO$1309,AO794,$BB$11:$BB$1309)=COUNTIF($AO$11:$AO$1309,AO794),SUMIF($AO$11:$AO$1309,AO794,$AS$11:$AS$1309),"")</f>
        <v>0.40586130703730794</v>
      </c>
      <c r="BD794" s="11" t="n">
        <f>IF(SUMIF($AO$11:$AO$1309,AO794,$BB$11:$BB$1309)=COUNTIF($AO$11:$AO$1309,AO794),SUMIF($AO$11:$AO$1309,AO794,$AW$11:$AW$1309),"")</f>
        <v>0.5125668449197861</v>
      </c>
      <c r="BE794" s="11" t="n">
        <f>IF(SUMIF($AO$11:$AO$1309,AO794,$BB$11:$BB$1309)=COUNTIF($AO$11:$AO$1309,AO794),SUMIF($AO$11:$AO$1309,AO794,$BA$11:$BA$1309),"")</f>
        <v>0.38879614767255216</v>
      </c>
      <c r="BF794" s="12" t="n">
        <f>IF(COUNT(BD794:BE794)&lt;&gt;2,"",IF(AND(BD794&gt;0,BE794&gt;0),0.7*AW794/BD794+0.3*BA794/BE794,IF(BD794&gt;0,AW794/BD794,IF(BE794&gt;0,BA794/BE794,IF(AND(ISNUMBER(BH794),BH794=0),0,"")))))</f>
        <v>0</v>
      </c>
      <c r="BG794" s="11" t="n">
        <f>IF(AND(COUNT(BN794:BU794)=8,MIN(BN794:BU794)&gt;=0),SUMPRODUCT(BN794:BQ794,BR794:BU794),"")</f>
        <v>109.73769409574882</v>
      </c>
      <c r="BH794" s="11" t="n">
        <f>IF(COUNT(BC794,BG794)=2,BC794*BG794,"")</f>
        <v>44.53828395696089</v>
      </c>
      <c r="BI794" s="11" t="n">
        <f>IF(ISNUMBER(CI794),CI794,"")</f>
        <v>0</v>
      </c>
      <c r="BJ794" s="8" t="str">
        <v>近180天本色销量75双（＜90），无有效新采购，请运营判断</v>
      </c>
      <c r="BK794" s="8" t="str">
        <v>90天：2026-07-20 至 2026-10-17；180天：2026-04-21 至 2026-10-17</v>
      </c>
      <c r="BL794" s="8" t="str">
        <v>90天：2026-10-06、2026-10-07、2026-10-12、2026-10-13、2026-10-16；180天：2026-10-06、2026-10-07、2026-10-12、2026-10-13、2026-10-16</v>
      </c>
      <c r="BM794" s="8" t="str">
        <v>2026-10：12天 × 1.8609238953732312；2026-11：30天 × 1.438375649833085；2026-12：31天 × 0.9519742599124907；2027-01：17天 × 0.8673021058229575</v>
      </c>
      <c r="BN794" s="11" t="n">
        <v>1.8609238953732312</v>
      </c>
      <c r="BO794" s="11" t="n">
        <v>1.438375649833085</v>
      </c>
      <c r="BP794" s="11" t="n">
        <v>0.9519742599124907</v>
      </c>
      <c r="BQ794" s="11" t="n">
        <v>0.8673021058229575</v>
      </c>
      <c r="BR794" s="8" t="n">
        <v>12</v>
      </c>
      <c r="BS794" s="8" t="n">
        <v>30</v>
      </c>
      <c r="BT794" s="8" t="n">
        <v>31</v>
      </c>
      <c r="BU794" s="8" t="n">
        <v>17</v>
      </c>
      <c r="BV794" s="11" t="n">
        <f>IF(COUNT(BC794,BF794)=2,BC794*BF794,"")</f>
        <v>0</v>
      </c>
      <c r="BW794" s="11" t="n">
        <f>IF(ISNUMBER(BN794),BN794,"")</f>
        <v>1.8609238953732312</v>
      </c>
      <c r="BX794" s="14" t="n">
        <f>IF(ISNUMBER(BR794),BR794,"")</f>
        <v>12</v>
      </c>
      <c r="BY794" s="13" t="n">
        <f>IF(AND(COUNT(BV794,BW794,BX794)=3,MIN(BV794,BW794,BX794)&gt;=0),BV794*BW794*BX794,"")</f>
        <v>0</v>
      </c>
      <c r="BZ794" s="11" t="n">
        <f>IF(ISNUMBER(BO794),BO794,"")</f>
        <v>1.438375649833085</v>
      </c>
      <c r="CA794" s="14" t="n">
        <f>IF(ISNUMBER(BS794),BS794,"")</f>
        <v>30</v>
      </c>
      <c r="CB794" s="13" t="n">
        <f>IF(AND(COUNT(BV794,BZ794,CA794)=3,MIN(BV794,BZ794,CA794)&gt;=0),BV794*BZ794*CA794,"")</f>
        <v>0</v>
      </c>
      <c r="CC794" s="11" t="n">
        <f>IF(ISNUMBER(BP794),BP794,"")</f>
        <v>0.9519742599124907</v>
      </c>
      <c r="CD794" s="14" t="n">
        <f>IF(ISNUMBER(BT794),BT794,"")</f>
        <v>31</v>
      </c>
      <c r="CE794" s="13" t="n">
        <f>IF(AND(COUNT(BV794,CC794,CD794)=3,MIN(BV794,CC794,CD794)&gt;=0),BV794*CC794*CD794,"")</f>
        <v>0</v>
      </c>
      <c r="CF794" s="11" t="n">
        <f>IF(ISNUMBER(BQ794),BQ794,"")</f>
        <v>0.8673021058229575</v>
      </c>
      <c r="CG794" s="14" t="n">
        <f>IF(ISNUMBER(BU794),BU794,"")</f>
        <v>17</v>
      </c>
      <c r="CH794" s="13" t="n">
        <f>IF(AND(COUNT(BV794,CF794,CG794)=3,MIN(BV794,CF794,CG794)&gt;=0),BV794*CF794*CG794,"")</f>
        <v>0</v>
      </c>
      <c r="CI794" s="13" t="n">
        <f>IF(COUNT(BY794,CB794,CE794,CH794)=4,SUM(BY794,CB794,CE794,CH794),"")</f>
        <v>0</v>
      </c>
    </row>
    <row r="795" ht="72" customHeight="1">
      <c r="A795" s="16" t="str">
        <v>60516-RD-S-K-11</v>
      </c>
      <c r="B795" s="16" t="str">
        <v>3店-SANDIEX-US</v>
      </c>
      <c r="C795" s="16" t="str">
        <v>徐新怡</v>
      </c>
      <c r="D795" s="26" t="n">
        <f>IF(NOT(ISNUMBER(E795)),"",IF(OR(E795&lt;=0,L795=0),0,IF(OR(NOT(ISNUMBER(F795)),F795&lt;0),"",MIN(E795,INT(F795)))))</f>
        <v>0</v>
      </c>
      <c r="E795" s="27" t="n">
        <f>IF(OR(NOT(ISNUMBER(L795)),COUNT(M795:O795)&lt;&gt;3,MIN(M795:O795)&lt;0),"",ROUNDUP(ROUND(BI795-SUM(M795:O795),10),0))</f>
        <v>0</v>
      </c>
      <c r="F795" s="28" t="n">
        <v>0</v>
      </c>
      <c r="G795" s="28" t="n">
        <f>IF(AND(ISNUMBER(D795),ISNUMBER(E795)),IF(OR(E795&lt;=0,L795=0),0,E795-D795),"")</f>
        <v>0</v>
      </c>
      <c r="H795" s="16" t="str">
        <f>IF(NOT(ISNUMBER(E795)),"销量或海外库存待补",IF(OR(E795&lt;=0,L795=0),IF(L795=0,"零日销，本批不发","本批无需补货"),IF(NOT(ISNUMBER(D795)),"国内库存待补",IF(D795=0,"国内无可用库存",IF(G795&gt;0,"先发国内现货","按建议量发货")))))</f>
        <v>零日销，本批不发</v>
      </c>
      <c r="I795" s="28" t="n">
        <f>IF(AND(COUNT(Z795,AA795,AB795)=3,Z795&gt;=AA795,AA795&gt;=0,AB795=7),Z795-AA795,"")</f>
        <v>0</v>
      </c>
      <c r="J795" s="28" t="n">
        <f>IF(AND(COUNT(AF795,AG795,AH795)=3,AF795&gt;=AG795,AG795&gt;=0,AH795=14),AF795-AG795,"")</f>
        <v>0</v>
      </c>
      <c r="K795" s="28" t="n">
        <f>IF(AND(COUNT(AL795,AM795,AN795)=3,AL795&gt;=AM795,AM795&gt;=0,AN795=30),AL795-AM795,"")</f>
        <v>0</v>
      </c>
      <c r="L795" s="29" t="n">
        <f>IF(ISNUMBER(BI795),BI795/90,"")</f>
        <v>0</v>
      </c>
      <c r="M795" s="28" t="n">
        <v>0</v>
      </c>
      <c r="N795" s="28" t="n">
        <v>0</v>
      </c>
      <c r="O795" s="28" t="n">
        <v>0</v>
      </c>
      <c r="P795" s="30" t="str">
        <f>IF(AND(ISNUMBER(L795),L795&gt;0,COUNT(M795:O795)=3,MIN(M795:O795)&gt;=0),SUM(M795:O795)/L795,"")</f>
      </c>
      <c r="Q795" s="16" t="str">
        <v>沿用原计划SKU店铺</v>
      </c>
      <c r="R795" s="16" t="str">
        <v>已匹配</v>
      </c>
      <c r="S795" s="16" t="str">
        <v>停售</v>
      </c>
      <c r="T795" s="16" t="str">
        <v>60516</v>
      </c>
      <c r="U795" s="16" t="str">
        <v>红色</v>
      </c>
      <c r="V795" s="16" t="n">
        <v>11</v>
      </c>
      <c r="W795" s="8" t="str">
        <v>2026-10-08 至 2026-10-17</v>
      </c>
      <c r="X795" s="8" t="str">
        <v>2026-10-08、2026-10-09、2026-10-10、2026-10-11、2026-10-14、2026-10-15、2026-10-17</v>
      </c>
      <c r="Y795" s="8" t="str">
        <v>2026-10-12 有记录的停售日；2026-10-13 有记录的停售日；2026-10-16 有记录的停售日</v>
      </c>
      <c r="Z795" s="8" t="n">
        <v>0</v>
      </c>
      <c r="AA795" s="8" t="n">
        <v>0</v>
      </c>
      <c r="AB795" s="8" t="n">
        <v>7</v>
      </c>
      <c r="AC795" s="8" t="str">
        <v>2026-09-29 至 2026-10-17</v>
      </c>
      <c r="AD795" s="8" t="str">
        <v>2026-09-29、2026-09-30、2026-10-01、2026-10-02、2026-10-03、2026-10-04、2026-10-05、2026-10-08、2026-10-09、2026-10-10、2026-10-11、2026-10-14、2026-10-15、2026-10-17</v>
      </c>
      <c r="AE795" s="8" t="str">
        <v>2026-10-06 大促；2026-10-07 大促；2026-10-12 有记录的停售日；2026-10-13 有记录的停售日；2026-10-16 有记录的停售日</v>
      </c>
      <c r="AF795" s="8" t="n">
        <v>0</v>
      </c>
      <c r="AG795" s="8" t="n">
        <v>0</v>
      </c>
      <c r="AH795" s="8" t="n">
        <v>14</v>
      </c>
      <c r="AI795" s="8" t="str">
        <v>2026-09-13 至 2026-10-17</v>
      </c>
      <c r="AJ79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5" s="8" t="str">
        <v>2026-10-06 大促；2026-10-07 大促；2026-10-12 有记录的停售日；2026-10-13 有记录的停售日；2026-10-16 有记录的停售日</v>
      </c>
      <c r="AL795" s="8" t="n">
        <v>0</v>
      </c>
      <c r="AM795" s="8" t="n">
        <v>0</v>
      </c>
      <c r="AN795" s="8" t="n">
        <v>30</v>
      </c>
      <c r="AO795" s="8" t="str">
        <v>60516 / 红色羊京绒 / 6574</v>
      </c>
      <c r="AP795" s="11" t="n">
        <v>1.8609238953732312</v>
      </c>
      <c r="AQ795" s="11" t="n">
        <v>1.832044958686392</v>
      </c>
      <c r="AR795" s="11" t="n">
        <v>1.7396323612885067</v>
      </c>
      <c r="AS795" s="11" t="n">
        <f>IF(AND(COUNT(I795:K795,AP795:AR795)=6,MIN(AP795:AR795)&gt;0),I795/7/AP795*0.5+J795/14/AQ795*0.3+K795/30/AR795*0.2,"")</f>
        <v>0</v>
      </c>
      <c r="AT795" s="8" t="n">
        <v>0</v>
      </c>
      <c r="AU795" s="8" t="n">
        <v>0</v>
      </c>
      <c r="AV795" s="8" t="n">
        <v>85</v>
      </c>
      <c r="AW795" s="11" t="n">
        <f>IF(AND(COUNT(AT795:AV795)=3,AT795&gt;=AU795,AU795&gt;=0,AV795&gt;0),(AT795-AU795)/AV795,"")</f>
        <v>0</v>
      </c>
      <c r="AX795" s="8" t="n">
        <v>0</v>
      </c>
      <c r="AY795" s="8" t="n">
        <v>0</v>
      </c>
      <c r="AZ795" s="8" t="n">
        <v>175</v>
      </c>
      <c r="BA795" s="11" t="n">
        <f>IF(AND(COUNT(AX795:AZ795)=3,AX795&gt;=AY795,AY795&gt;=0,AZ795&gt;0),(AX795-AY795)/AZ795,"")</f>
        <v>0</v>
      </c>
      <c r="BB795" s="8" t="n">
        <f>IF(COUNT(AS795,AW795,BA795)=3,1,0)</f>
        <v>1</v>
      </c>
      <c r="BC795" s="11" t="n">
        <f>IF(SUMIF($AO$11:$AO$1309,AO795,$BB$11:$BB$1309)=COUNTIF($AO$11:$AO$1309,AO795),SUMIF($AO$11:$AO$1309,AO795,$AS$11:$AS$1309),"")</f>
        <v>0.3946219562135558</v>
      </c>
      <c r="BD795" s="11" t="n">
        <f>IF(SUMIF($AO$11:$AO$1309,AO795,$BB$11:$BB$1309)=COUNTIF($AO$11:$AO$1309,AO795),SUMIF($AO$11:$AO$1309,AO795,$AW$11:$AW$1309),"")</f>
        <v>0.4780748663101604</v>
      </c>
      <c r="BE795" s="11" t="n">
        <f>IF(SUMIF($AO$11:$AO$1309,AO795,$BB$11:$BB$1309)=COUNTIF($AO$11:$AO$1309,AO795),SUMIF($AO$11:$AO$1309,AO795,$BA$11:$BA$1309),"")</f>
        <v>0.3713643659711075</v>
      </c>
      <c r="BF795" s="12" t="n">
        <f>IF(COUNT(BD795:BE795)&lt;&gt;2,"",IF(AND(BD795&gt;0,BE795&gt;0),0.7*AW795/BD795+0.3*BA795/BE795,IF(BD795&gt;0,AW795/BD795,IF(BE795&gt;0,BA795/BE795,IF(AND(ISNUMBER(BH795),BH795=0),0,"")))))</f>
        <v>0</v>
      </c>
      <c r="BG795" s="11" t="n">
        <f>IF(AND(COUNT(BN795:BU795)=8,MIN(BN795:BU795)&gt;=0),SUMPRODUCT(BN795:BQ795,BR795:BU795),"")</f>
        <v>109.73769409574882</v>
      </c>
      <c r="BH795" s="11" t="n">
        <f>IF(COUNT(BC795,BG795)=2,BC795*BG795,"")</f>
        <v>43.30490351442917</v>
      </c>
      <c r="BI795" s="11" t="n">
        <f>IF(ISNUMBER(CI795),CI795,"")</f>
        <v>0</v>
      </c>
      <c r="BJ795" s="8" t="str">
        <v>近180天本色销量78双（＜90），无有效新采购，请运营判断</v>
      </c>
      <c r="BK795" s="8" t="str">
        <v>90天：2026-07-20 至 2026-10-17；180天：2026-04-21 至 2026-10-17</v>
      </c>
      <c r="BL795" s="8" t="str">
        <v>90天：2026-10-06、2026-10-07、2026-10-12、2026-10-13、2026-10-16；180天：2026-10-06、2026-10-07、2026-10-12、2026-10-13、2026-10-16</v>
      </c>
      <c r="BM795" s="8" t="str">
        <v>2026-10：12天 × 1.8609238953732312；2026-11：30天 × 1.438375649833085；2026-12：31天 × 0.9519742599124907；2027-01：17天 × 0.8673021058229575</v>
      </c>
      <c r="BN795" s="11" t="n">
        <v>1.8609238953732312</v>
      </c>
      <c r="BO795" s="11" t="n">
        <v>1.438375649833085</v>
      </c>
      <c r="BP795" s="11" t="n">
        <v>0.9519742599124907</v>
      </c>
      <c r="BQ795" s="11" t="n">
        <v>0.8673021058229575</v>
      </c>
      <c r="BR795" s="8" t="n">
        <v>12</v>
      </c>
      <c r="BS795" s="8" t="n">
        <v>30</v>
      </c>
      <c r="BT795" s="8" t="n">
        <v>31</v>
      </c>
      <c r="BU795" s="8" t="n">
        <v>17</v>
      </c>
      <c r="BV795" s="11" t="n">
        <f>IF(COUNT(BC795,BF795)=2,BC795*BF795,"")</f>
        <v>0</v>
      </c>
      <c r="BW795" s="11" t="n">
        <f>IF(ISNUMBER(BN795),BN795,"")</f>
        <v>1.8609238953732312</v>
      </c>
      <c r="BX795" s="14" t="n">
        <f>IF(ISNUMBER(BR795),BR795,"")</f>
        <v>12</v>
      </c>
      <c r="BY795" s="13" t="n">
        <f>IF(AND(COUNT(BV795,BW795,BX795)=3,MIN(BV795,BW795,BX795)&gt;=0),BV795*BW795*BX795,"")</f>
        <v>0</v>
      </c>
      <c r="BZ795" s="11" t="n">
        <f>IF(ISNUMBER(BO795),BO795,"")</f>
        <v>1.438375649833085</v>
      </c>
      <c r="CA795" s="14" t="n">
        <f>IF(ISNUMBER(BS795),BS795,"")</f>
        <v>30</v>
      </c>
      <c r="CB795" s="13" t="n">
        <f>IF(AND(COUNT(BV795,BZ795,CA795)=3,MIN(BV795,BZ795,CA795)&gt;=0),BV795*BZ795*CA795,"")</f>
        <v>0</v>
      </c>
      <c r="CC795" s="11" t="n">
        <f>IF(ISNUMBER(BP795),BP795,"")</f>
        <v>0.9519742599124907</v>
      </c>
      <c r="CD795" s="14" t="n">
        <f>IF(ISNUMBER(BT795),BT795,"")</f>
        <v>31</v>
      </c>
      <c r="CE795" s="13" t="n">
        <f>IF(AND(COUNT(BV795,CC795,CD795)=3,MIN(BV795,CC795,CD795)&gt;=0),BV795*CC795*CD795,"")</f>
        <v>0</v>
      </c>
      <c r="CF795" s="11" t="n">
        <f>IF(ISNUMBER(BQ795),BQ795,"")</f>
        <v>0.8673021058229575</v>
      </c>
      <c r="CG795" s="14" t="n">
        <f>IF(ISNUMBER(BU795),BU795,"")</f>
        <v>17</v>
      </c>
      <c r="CH795" s="13" t="n">
        <f>IF(AND(COUNT(BV795,CF795,CG795)=3,MIN(BV795,CF795,CG795)&gt;=0),BV795*CF795*CG795,"")</f>
        <v>0</v>
      </c>
      <c r="CI795" s="13" t="n">
        <f>IF(COUNT(BY795,CB795,CE795,CH795)=4,SUM(BY795,CB795,CE795,CH795),"")</f>
        <v>0</v>
      </c>
    </row>
    <row r="796" ht="72" customHeight="1">
      <c r="A796" s="16" t="str">
        <v>60516-RD-S-K-6</v>
      </c>
      <c r="B796" s="16" t="str">
        <v>3店-SANDIEX-US</v>
      </c>
      <c r="C796" s="16" t="str">
        <v>徐新怡</v>
      </c>
      <c r="D796" s="26" t="n">
        <f>IF(NOT(ISNUMBER(E796)),"",IF(OR(E796&lt;=0,L796=0),0,IF(OR(NOT(ISNUMBER(F796)),F796&lt;0),"",MIN(E796,INT(F796)))))</f>
        <v>0</v>
      </c>
      <c r="E796" s="27" t="n">
        <f>IF(OR(NOT(ISNUMBER(L796)),COUNT(M796:O796)&lt;&gt;3,MIN(M796:O796)&lt;0),"",ROUNDUP(ROUND(BI796-SUM(M796:O796),10),0))</f>
        <v>-2</v>
      </c>
      <c r="F796" s="28" t="n">
        <v>20</v>
      </c>
      <c r="G796" s="28" t="n">
        <f>IF(AND(ISNUMBER(D796),ISNUMBER(E796)),IF(OR(E796&lt;=0,L796=0),0,E796-D796),"")</f>
        <v>0</v>
      </c>
      <c r="H796" s="16" t="str">
        <f>IF(NOT(ISNUMBER(E796)),"销量或海外库存待补",IF(OR(E796&lt;=0,L796=0),IF(L796=0,"零日销，本批不发","本批无需补货"),IF(NOT(ISNUMBER(D796)),"国内库存待补",IF(D796=0,"国内无可用库存",IF(G796&gt;0,"先发国内现货","按建议量发货")))))</f>
        <v>本批无需补货</v>
      </c>
      <c r="I796" s="28" t="n">
        <f>IF(AND(COUNT(Z796,AA796,AB796)=3,Z796&gt;=AA796,AA796&gt;=0,AB796=7),Z796-AA796,"")</f>
        <v>0</v>
      </c>
      <c r="J796" s="28" t="n">
        <f>IF(AND(COUNT(AF796,AG796,AH796)=3,AF796&gt;=AG796,AG796&gt;=0,AH796=14),AF796-AG796,"")</f>
        <v>0</v>
      </c>
      <c r="K796" s="28" t="n">
        <f>IF(AND(COUNT(AL796,AM796,AN796)=3,AL796&gt;=AM796,AM796&gt;=0,AN796=30),AL796-AM796,"")</f>
        <v>3</v>
      </c>
      <c r="L796" s="29" t="n">
        <f>IF(ISNUMBER(BI796),BI796/90,"")</f>
        <v>0.07569521648928154</v>
      </c>
      <c r="M796" s="28" t="n">
        <v>8</v>
      </c>
      <c r="N796" s="28" t="n">
        <v>0</v>
      </c>
      <c r="O796" s="28" t="n">
        <v>0</v>
      </c>
      <c r="P796" s="30" t="n">
        <f>IF(AND(ISNUMBER(L796),L796&gt;0,COUNT(M796:O796)=3,MIN(M796:O796)&gt;=0),SUM(M796:O796)/L796,"")</f>
        <v>105.6869954408916</v>
      </c>
      <c r="Q796" s="16" t="str">
        <v>沿用原计划SKU店铺</v>
      </c>
      <c r="R796" s="16" t="str">
        <v>已匹配</v>
      </c>
      <c r="S796" s="16" t="str">
        <v>在售</v>
      </c>
      <c r="T796" s="16" t="str">
        <v>60516</v>
      </c>
      <c r="U796" s="16" t="str">
        <v>红色</v>
      </c>
      <c r="V796" s="16" t="n">
        <v>6</v>
      </c>
      <c r="W796" s="8" t="str">
        <v>2026-10-11 至 2026-10-17</v>
      </c>
      <c r="X796" s="8" t="str">
        <v>2026-10-11、2026-10-12、2026-10-13、2026-10-14、2026-10-15、2026-10-16、2026-10-17</v>
      </c>
      <c r="Y796" s="8" t="str">
        <v>无</v>
      </c>
      <c r="Z796" s="8" t="n">
        <v>0</v>
      </c>
      <c r="AA796" s="8" t="n">
        <v>0</v>
      </c>
      <c r="AB796" s="8" t="n">
        <v>7</v>
      </c>
      <c r="AC796" s="8" t="str">
        <v>2026-10-02 至 2026-10-17</v>
      </c>
      <c r="AD796" s="8" t="str">
        <v>2026-10-02、2026-10-03、2026-10-04、2026-10-05、2026-10-08、2026-10-09、2026-10-10、2026-10-11、2026-10-12、2026-10-13、2026-10-14、2026-10-15、2026-10-16、2026-10-17</v>
      </c>
      <c r="AE796" s="8" t="str">
        <v>2026-10-06 大促；2026-10-07 大促</v>
      </c>
      <c r="AF796" s="8" t="n">
        <v>2</v>
      </c>
      <c r="AG796" s="8" t="n">
        <v>2</v>
      </c>
      <c r="AH796" s="8" t="n">
        <v>14</v>
      </c>
      <c r="AI796" s="8" t="str">
        <v>2026-09-16 至 2026-10-17</v>
      </c>
      <c r="AJ7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96" s="8" t="str">
        <v>2026-10-06 大促；2026-10-07 大促</v>
      </c>
      <c r="AL796" s="8" t="n">
        <v>5</v>
      </c>
      <c r="AM796" s="8" t="n">
        <v>2</v>
      </c>
      <c r="AN796" s="8" t="n">
        <v>30</v>
      </c>
      <c r="AO796" s="8" t="str">
        <v>60516 / 红色羊京绒 / 6574</v>
      </c>
      <c r="AP796" s="11" t="n">
        <v>1.8609238953732312</v>
      </c>
      <c r="AQ796" s="11" t="n">
        <v>1.8609238953732312</v>
      </c>
      <c r="AR796" s="11" t="n">
        <v>1.7598476169692943</v>
      </c>
      <c r="AS796" s="11" t="n">
        <f>IF(AND(COUNT(I796:K796,AP796:AR796)=6,MIN(AP796:AR796)&gt;0),I796/7/AP796*0.5+J796/14/AQ796*0.3+K796/30/AR796*0.2,"")</f>
        <v>0.011364620326868313</v>
      </c>
      <c r="AT796" s="8" t="n">
        <v>9</v>
      </c>
      <c r="AU796" s="8" t="n">
        <v>2</v>
      </c>
      <c r="AV796" s="8" t="n">
        <v>88</v>
      </c>
      <c r="AW796" s="11" t="n">
        <f>IF(AND(COUNT(AT796:AV796)=3,AT796&gt;=AU796,AU796&gt;=0,AV796&gt;0),(AT796-AU796)/AV796,"")</f>
        <v>0.07954545454545454</v>
      </c>
      <c r="AX796" s="8" t="n">
        <v>11</v>
      </c>
      <c r="AY796" s="8" t="n">
        <v>2</v>
      </c>
      <c r="AZ796" s="8" t="n">
        <v>178</v>
      </c>
      <c r="BA796" s="11" t="n">
        <f>IF(AND(COUNT(AX796:AZ796)=3,AX796&gt;=AY796,AY796&gt;=0,AZ796&gt;0),(AX796-AY796)/AZ796,"")</f>
        <v>0.05056179775280899</v>
      </c>
      <c r="BB796" s="8" t="n">
        <f>IF(COUNT(AS796,AW796,BA796)=3,1,0)</f>
        <v>1</v>
      </c>
      <c r="BC796" s="11" t="n">
        <f>IF(SUMIF($AO$11:$AO$1309,AO796,$BB$11:$BB$1309)=COUNTIF($AO$11:$AO$1309,AO796),SUMIF($AO$11:$AO$1309,AO796,$AS$11:$AS$1309),"")</f>
        <v>0.3946219562135558</v>
      </c>
      <c r="BD796" s="11" t="n">
        <f>IF(SUMIF($AO$11:$AO$1309,AO796,$BB$11:$BB$1309)=COUNTIF($AO$11:$AO$1309,AO796),SUMIF($AO$11:$AO$1309,AO796,$AW$11:$AW$1309),"")</f>
        <v>0.4780748663101604</v>
      </c>
      <c r="BE796" s="11" t="n">
        <f>IF(SUMIF($AO$11:$AO$1309,AO796,$BB$11:$BB$1309)=COUNTIF($AO$11:$AO$1309,AO796),SUMIF($AO$11:$AO$1309,AO796,$BA$11:$BA$1309),"")</f>
        <v>0.3713643659711075</v>
      </c>
      <c r="BF796" s="12" t="n">
        <f>IF(COUNT(BD796:BE796)&lt;&gt;2,"",IF(AND(BD796&gt;0,BE796&gt;0),0.7*AW796/BD796+0.3*BA796/BE796,IF(BD796&gt;0,AW796/BD796,IF(BE796&gt;0,BA796/BE796,IF(AND(ISNUMBER(BH796),BH796=0),0,"")))))</f>
        <v>0.1573163529105981</v>
      </c>
      <c r="BG796" s="11" t="n">
        <f>IF(AND(COUNT(BN796:BU796)=8,MIN(BN796:BU796)&gt;=0),SUMPRODUCT(BN796:BQ796,BR796:BU796),"")</f>
        <v>109.73769409574882</v>
      </c>
      <c r="BH796" s="11" t="n">
        <f>IF(COUNT(BC796,BG796)=2,BC796*BG796,"")</f>
        <v>43.30490351442917</v>
      </c>
      <c r="BI796" s="11" t="n">
        <f>IF(ISNUMBER(CI796),CI796,"")</f>
        <v>6.812569484035339</v>
      </c>
      <c r="BJ796" s="8" t="str">
        <v>近180天本色销量78双（＜90），无有效新采购，请运营判断</v>
      </c>
      <c r="BK796" s="8" t="str">
        <v>90天：2026-07-20 至 2026-10-17；180天：2026-04-21 至 2026-10-17</v>
      </c>
      <c r="BL796" s="8" t="str">
        <v>90天：2026-10-06、2026-10-07；180天：2026-10-06、2026-10-07</v>
      </c>
      <c r="BM796" s="8" t="str">
        <v>2026-10：12天 × 1.8609238953732312；2026-11：30天 × 1.438375649833085；2026-12：31天 × 0.9519742599124907；2027-01：17天 × 0.8673021058229575</v>
      </c>
      <c r="BN796" s="11" t="n">
        <v>1.8609238953732312</v>
      </c>
      <c r="BO796" s="11" t="n">
        <v>1.438375649833085</v>
      </c>
      <c r="BP796" s="11" t="n">
        <v>0.9519742599124907</v>
      </c>
      <c r="BQ796" s="11" t="n">
        <v>0.8673021058229575</v>
      </c>
      <c r="BR796" s="8" t="n">
        <v>12</v>
      </c>
      <c r="BS796" s="8" t="n">
        <v>30</v>
      </c>
      <c r="BT796" s="8" t="n">
        <v>31</v>
      </c>
      <c r="BU796" s="8" t="n">
        <v>17</v>
      </c>
      <c r="BV796" s="11" t="n">
        <f>IF(COUNT(BC796,BF796)=2,BC796*BF796,"")</f>
        <v>0.06208048692996233</v>
      </c>
      <c r="BW796" s="11" t="n">
        <f>IF(ISNUMBER(BN796),BN796,"")</f>
        <v>1.8609238953732312</v>
      </c>
      <c r="BX796" s="14" t="n">
        <f>IF(ISNUMBER(BR796),BR796,"")</f>
        <v>12</v>
      </c>
      <c r="BY796" s="13" t="n">
        <f>IF(AND(COUNT(BV796,BW796,BX796)=3,MIN(BV796,BW796,BX796)&gt;=0),BV796*BW796*BX796,"")</f>
        <v>1.3863247387724695</v>
      </c>
      <c r="BZ796" s="11" t="n">
        <f>IF(ISNUMBER(BO796),BO796,"")</f>
        <v>1.438375649833085</v>
      </c>
      <c r="CA796" s="14" t="n">
        <f>IF(ISNUMBER(BS796),BS796,"")</f>
        <v>30</v>
      </c>
      <c r="CB796" s="13" t="n">
        <f>IF(AND(COUNT(BV796,BZ796,CA796)=3,MIN(BV796,BZ796,CA796)&gt;=0),BV796*BZ796*CA796,"")</f>
        <v>2.6788518218951674</v>
      </c>
      <c r="CC796" s="11" t="n">
        <f>IF(ISNUMBER(BP796),BP796,"")</f>
        <v>0.9519742599124907</v>
      </c>
      <c r="CD796" s="14" t="n">
        <f>IF(ISNUMBER(BT796),BT796,"")</f>
        <v>31</v>
      </c>
      <c r="CE796" s="13" t="n">
        <f>IF(AND(COUNT(BV796,CC796,CD796)=3,MIN(BV796,CC796,CD796)&gt;=0),BV796*CC796*CD796,"")</f>
        <v>1.832069793604896</v>
      </c>
      <c r="CF796" s="11" t="n">
        <f>IF(ISNUMBER(BQ796),BQ796,"")</f>
        <v>0.8673021058229575</v>
      </c>
      <c r="CG796" s="14" t="n">
        <f>IF(ISNUMBER(BU796),BU796,"")</f>
        <v>17</v>
      </c>
      <c r="CH796" s="13" t="n">
        <f>IF(AND(COUNT(BV796,CF796,CG796)=3,MIN(BV796,CF796,CG796)&gt;=0),BV796*CF796*CG796,"")</f>
        <v>0.9153231297628056</v>
      </c>
      <c r="CI796" s="13" t="n">
        <f>IF(COUNT(BY796,CB796,CE796,CH796)=4,SUM(BY796,CB796,CE796,CH796),"")</f>
        <v>6.812569484035339</v>
      </c>
    </row>
    <row r="797" ht="72" customHeight="1">
      <c r="A797" s="16" t="str">
        <v>60516-RD-S-K-6.5</v>
      </c>
      <c r="B797" s="16" t="str">
        <v>3店-SANDIEX-US</v>
      </c>
      <c r="C797" s="16" t="str">
        <v>徐新怡</v>
      </c>
      <c r="D797" s="26" t="n">
        <f>IF(NOT(ISNUMBER(E797)),"",IF(OR(E797&lt;=0,L797=0),0,IF(OR(NOT(ISNUMBER(F797)),F797&lt;0),"",MIN(E797,INT(F797)))))</f>
        <v>0</v>
      </c>
      <c r="E797" s="27" t="n">
        <f>IF(OR(NOT(ISNUMBER(L797)),COUNT(M797:O797)&lt;&gt;3,MIN(M797:O797)&lt;0),"",ROUNDUP(ROUND(BI797-SUM(M797:O797),10),0))</f>
        <v>0</v>
      </c>
      <c r="F797" s="28" t="n">
        <v>0</v>
      </c>
      <c r="G797" s="28" t="n">
        <f>IF(AND(ISNUMBER(D797),ISNUMBER(E797)),IF(OR(E797&lt;=0,L797=0),0,E797-D797),"")</f>
        <v>0</v>
      </c>
      <c r="H797" s="16" t="str">
        <f>IF(NOT(ISNUMBER(E797)),"销量或海外库存待补",IF(OR(E797&lt;=0,L797=0),IF(L797=0,"零日销，本批不发","本批无需补货"),IF(NOT(ISNUMBER(D797)),"国内库存待补",IF(D797=0,"国内无可用库存",IF(G797&gt;0,"先发国内现货","按建议量发货")))))</f>
        <v>零日销，本批不发</v>
      </c>
      <c r="I797" s="28" t="n">
        <f>IF(AND(COUNT(Z797,AA797,AB797)=3,Z797&gt;=AA797,AA797&gt;=0,AB797=7),Z797-AA797,"")</f>
        <v>0</v>
      </c>
      <c r="J797" s="28" t="n">
        <f>IF(AND(COUNT(AF797,AG797,AH797)=3,AF797&gt;=AG797,AG797&gt;=0,AH797=14),AF797-AG797,"")</f>
        <v>0</v>
      </c>
      <c r="K797" s="28" t="n">
        <f>IF(AND(COUNT(AL797,AM797,AN797)=3,AL797&gt;=AM797,AM797&gt;=0,AN797=30),AL797-AM797,"")</f>
        <v>0</v>
      </c>
      <c r="L797" s="29" t="n">
        <f>IF(ISNUMBER(BI797),BI797/90,"")</f>
        <v>0</v>
      </c>
      <c r="M797" s="28" t="n">
        <v>0</v>
      </c>
      <c r="N797" s="28" t="n">
        <v>0</v>
      </c>
      <c r="O797" s="28" t="n">
        <v>0</v>
      </c>
      <c r="P797" s="30" t="str">
        <f>IF(AND(ISNUMBER(L797),L797&gt;0,COUNT(M797:O797)=3,MIN(M797:O797)&gt;=0),SUM(M797:O797)/L797,"")</f>
      </c>
      <c r="Q797" s="16" t="str">
        <v>按本SKU唯一未删除Listing店铺核实</v>
      </c>
      <c r="R797" s="16" t="str">
        <v>已匹配</v>
      </c>
      <c r="S797" s="16" t="str">
        <v>停售</v>
      </c>
      <c r="T797" s="16" t="str">
        <v>60516</v>
      </c>
      <c r="U797" s="16" t="str">
        <v>红色</v>
      </c>
      <c r="V797" s="16" t="n">
        <v>6.5</v>
      </c>
      <c r="W797" s="8" t="str">
        <v>2026-10-08 至 2026-10-17</v>
      </c>
      <c r="X797" s="8" t="str">
        <v>2026-10-08、2026-10-09、2026-10-10、2026-10-11、2026-10-14、2026-10-15、2026-10-17</v>
      </c>
      <c r="Y797" s="8" t="str">
        <v>2026-10-12 有记录的停售日；2026-10-13 有记录的停售日；2026-10-16 有记录的停售日</v>
      </c>
      <c r="Z797" s="8" t="n">
        <v>0</v>
      </c>
      <c r="AA797" s="8" t="n">
        <v>0</v>
      </c>
      <c r="AB797" s="8" t="n">
        <v>7</v>
      </c>
      <c r="AC797" s="8" t="str">
        <v>2026-09-29 至 2026-10-17</v>
      </c>
      <c r="AD797" s="8" t="str">
        <v>2026-09-29、2026-09-30、2026-10-01、2026-10-02、2026-10-03、2026-10-04、2026-10-05、2026-10-08、2026-10-09、2026-10-10、2026-10-11、2026-10-14、2026-10-15、2026-10-17</v>
      </c>
      <c r="AE797" s="8" t="str">
        <v>2026-10-06 大促；2026-10-07 大促；2026-10-12 有记录的停售日；2026-10-13 有记录的停售日；2026-10-16 有记录的停售日</v>
      </c>
      <c r="AF797" s="8" t="n">
        <v>0</v>
      </c>
      <c r="AG797" s="8" t="n">
        <v>0</v>
      </c>
      <c r="AH797" s="8" t="n">
        <v>14</v>
      </c>
      <c r="AI797" s="8" t="str">
        <v>2026-09-13 至 2026-10-17</v>
      </c>
      <c r="AJ79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7" s="8" t="str">
        <v>2026-10-06 大促；2026-10-07 大促；2026-10-12 有记录的停售日；2026-10-13 有记录的停售日；2026-10-16 有记录的停售日</v>
      </c>
      <c r="AL797" s="8" t="n">
        <v>0</v>
      </c>
      <c r="AM797" s="8" t="n">
        <v>0</v>
      </c>
      <c r="AN797" s="8" t="n">
        <v>30</v>
      </c>
      <c r="AO797" s="8" t="str">
        <v>60516 / 红色羊京绒 / 6574</v>
      </c>
      <c r="AP797" s="11" t="n">
        <v>1.8609238953732312</v>
      </c>
      <c r="AQ797" s="11" t="n">
        <v>1.832044958686392</v>
      </c>
      <c r="AR797" s="11" t="n">
        <v>1.7396323612885067</v>
      </c>
      <c r="AS797" s="11" t="n">
        <f>IF(AND(COUNT(I797:K797,AP797:AR797)=6,MIN(AP797:AR797)&gt;0),I797/7/AP797*0.5+J797/14/AQ797*0.3+K797/30/AR797*0.2,"")</f>
        <v>0</v>
      </c>
      <c r="AT797" s="8" t="n">
        <v>0</v>
      </c>
      <c r="AU797" s="8" t="n">
        <v>0</v>
      </c>
      <c r="AV797" s="8" t="n">
        <v>85</v>
      </c>
      <c r="AW797" s="11" t="n">
        <f>IF(AND(COUNT(AT797:AV797)=3,AT797&gt;=AU797,AU797&gt;=0,AV797&gt;0),(AT797-AU797)/AV797,"")</f>
        <v>0</v>
      </c>
      <c r="AX797" s="8" t="n">
        <v>0</v>
      </c>
      <c r="AY797" s="8" t="n">
        <v>0</v>
      </c>
      <c r="AZ797" s="8" t="n">
        <v>175</v>
      </c>
      <c r="BA797" s="11" t="n">
        <f>IF(AND(COUNT(AX797:AZ797)=3,AX797&gt;=AY797,AY797&gt;=0,AZ797&gt;0),(AX797-AY797)/AZ797,"")</f>
        <v>0</v>
      </c>
      <c r="BB797" s="8" t="n">
        <f>IF(COUNT(AS797,AW797,BA797)=3,1,0)</f>
        <v>1</v>
      </c>
      <c r="BC797" s="11" t="n">
        <f>IF(SUMIF($AO$11:$AO$1309,AO797,$BB$11:$BB$1309)=COUNTIF($AO$11:$AO$1309,AO797),SUMIF($AO$11:$AO$1309,AO797,$AS$11:$AS$1309),"")</f>
        <v>0.3946219562135558</v>
      </c>
      <c r="BD797" s="11" t="n">
        <f>IF(SUMIF($AO$11:$AO$1309,AO797,$BB$11:$BB$1309)=COUNTIF($AO$11:$AO$1309,AO797),SUMIF($AO$11:$AO$1309,AO797,$AW$11:$AW$1309),"")</f>
        <v>0.4780748663101604</v>
      </c>
      <c r="BE797" s="11" t="n">
        <f>IF(SUMIF($AO$11:$AO$1309,AO797,$BB$11:$BB$1309)=COUNTIF($AO$11:$AO$1309,AO797),SUMIF($AO$11:$AO$1309,AO797,$BA$11:$BA$1309),"")</f>
        <v>0.3713643659711075</v>
      </c>
      <c r="BF797" s="12" t="n">
        <f>IF(COUNT(BD797:BE797)&lt;&gt;2,"",IF(AND(BD797&gt;0,BE797&gt;0),0.7*AW797/BD797+0.3*BA797/BE797,IF(BD797&gt;0,AW797/BD797,IF(BE797&gt;0,BA797/BE797,IF(AND(ISNUMBER(BH797),BH797=0),0,"")))))</f>
        <v>0</v>
      </c>
      <c r="BG797" s="11" t="n">
        <f>IF(AND(COUNT(BN797:BU797)=8,MIN(BN797:BU797)&gt;=0),SUMPRODUCT(BN797:BQ797,BR797:BU797),"")</f>
        <v>109.73769409574882</v>
      </c>
      <c r="BH797" s="11" t="n">
        <f>IF(COUNT(BC797,BG797)=2,BC797*BG797,"")</f>
        <v>43.30490351442917</v>
      </c>
      <c r="BI797" s="11" t="n">
        <f>IF(ISNUMBER(CI797),CI797,"")</f>
        <v>0</v>
      </c>
      <c r="BJ797" s="8" t="str">
        <v>近180天本色销量78双（＜90），无有效新采购，请运营判断</v>
      </c>
      <c r="BK797" s="8" t="str">
        <v>90天：2026-07-20 至 2026-10-17；180天：2026-04-21 至 2026-10-17</v>
      </c>
      <c r="BL797" s="8" t="str">
        <v>90天：2026-10-06、2026-10-07、2026-10-12、2026-10-13、2026-10-16；180天：2026-10-06、2026-10-07、2026-10-12、2026-10-13、2026-10-16</v>
      </c>
      <c r="BM797" s="8" t="str">
        <v>2026-10：12天 × 1.8609238953732312；2026-11：30天 × 1.438375649833085；2026-12：31天 × 0.9519742599124907；2027-01：17天 × 0.8673021058229575</v>
      </c>
      <c r="BN797" s="11" t="n">
        <v>1.8609238953732312</v>
      </c>
      <c r="BO797" s="11" t="n">
        <v>1.438375649833085</v>
      </c>
      <c r="BP797" s="11" t="n">
        <v>0.9519742599124907</v>
      </c>
      <c r="BQ797" s="11" t="n">
        <v>0.8673021058229575</v>
      </c>
      <c r="BR797" s="8" t="n">
        <v>12</v>
      </c>
      <c r="BS797" s="8" t="n">
        <v>30</v>
      </c>
      <c r="BT797" s="8" t="n">
        <v>31</v>
      </c>
      <c r="BU797" s="8" t="n">
        <v>17</v>
      </c>
      <c r="BV797" s="11" t="n">
        <f>IF(COUNT(BC797,BF797)=2,BC797*BF797,"")</f>
        <v>0</v>
      </c>
      <c r="BW797" s="11" t="n">
        <f>IF(ISNUMBER(BN797),BN797,"")</f>
        <v>1.8609238953732312</v>
      </c>
      <c r="BX797" s="14" t="n">
        <f>IF(ISNUMBER(BR797),BR797,"")</f>
        <v>12</v>
      </c>
      <c r="BY797" s="13" t="n">
        <f>IF(AND(COUNT(BV797,BW797,BX797)=3,MIN(BV797,BW797,BX797)&gt;=0),BV797*BW797*BX797,"")</f>
        <v>0</v>
      </c>
      <c r="BZ797" s="11" t="n">
        <f>IF(ISNUMBER(BO797),BO797,"")</f>
        <v>1.438375649833085</v>
      </c>
      <c r="CA797" s="14" t="n">
        <f>IF(ISNUMBER(BS797),BS797,"")</f>
        <v>30</v>
      </c>
      <c r="CB797" s="13" t="n">
        <f>IF(AND(COUNT(BV797,BZ797,CA797)=3,MIN(BV797,BZ797,CA797)&gt;=0),BV797*BZ797*CA797,"")</f>
        <v>0</v>
      </c>
      <c r="CC797" s="11" t="n">
        <f>IF(ISNUMBER(BP797),BP797,"")</f>
        <v>0.9519742599124907</v>
      </c>
      <c r="CD797" s="14" t="n">
        <f>IF(ISNUMBER(BT797),BT797,"")</f>
        <v>31</v>
      </c>
      <c r="CE797" s="13" t="n">
        <f>IF(AND(COUNT(BV797,CC797,CD797)=3,MIN(BV797,CC797,CD797)&gt;=0),BV797*CC797*CD797,"")</f>
        <v>0</v>
      </c>
      <c r="CF797" s="11" t="n">
        <f>IF(ISNUMBER(BQ797),BQ797,"")</f>
        <v>0.8673021058229575</v>
      </c>
      <c r="CG797" s="14" t="n">
        <f>IF(ISNUMBER(BU797),BU797,"")</f>
        <v>17</v>
      </c>
      <c r="CH797" s="13" t="n">
        <f>IF(AND(COUNT(BV797,CF797,CG797)=3,MIN(BV797,CF797,CG797)&gt;=0),BV797*CF797*CG797,"")</f>
        <v>0</v>
      </c>
      <c r="CI797" s="13" t="n">
        <f>IF(COUNT(BY797,CB797,CE797,CH797)=4,SUM(BY797,CB797,CE797,CH797),"")</f>
        <v>0</v>
      </c>
    </row>
    <row r="798" ht="72" customHeight="1">
      <c r="A798" s="16" t="str">
        <v>60516-RD-S-K-7</v>
      </c>
      <c r="B798" s="16" t="str">
        <v>3店-SANDIEX-US</v>
      </c>
      <c r="C798" s="16" t="str">
        <v>徐新怡</v>
      </c>
      <c r="D798" s="26" t="n">
        <f>IF(NOT(ISNUMBER(E798)),"",IF(OR(E798&lt;=0,L798=0),0,IF(OR(NOT(ISNUMBER(F798)),F798&lt;0),"",MIN(E798,INT(F798)))))</f>
        <v>0</v>
      </c>
      <c r="E798" s="27" t="n">
        <f>IF(OR(NOT(ISNUMBER(L798)),COUNT(M798:O798)&lt;&gt;3,MIN(M798:O798)&lt;0),"",ROUNDUP(ROUND(BI798-SUM(M798:O798),10),0))</f>
        <v>-8</v>
      </c>
      <c r="F798" s="28" t="n">
        <v>77</v>
      </c>
      <c r="G798" s="28" t="n">
        <f>IF(AND(ISNUMBER(D798),ISNUMBER(E798)),IF(OR(E798&lt;=0,L798=0),0,E798-D798),"")</f>
        <v>0</v>
      </c>
      <c r="H798" s="16" t="str">
        <f>IF(NOT(ISNUMBER(E798)),"销量或海外库存待补",IF(OR(E798&lt;=0,L798=0),IF(L798=0,"零日销，本批不发","本批无需补货"),IF(NOT(ISNUMBER(D798)),"国内库存待补",IF(D798=0,"国内无可用库存",IF(G798&gt;0,"先发国内现货","按建议量发货")))))</f>
        <v>本批无需补货</v>
      </c>
      <c r="I798" s="28" t="n">
        <f>IF(AND(COUNT(Z798,AA798,AB798)=3,Z798&gt;=AA798,AA798&gt;=0,AB798=7),Z798-AA798,"")</f>
        <v>0</v>
      </c>
      <c r="J798" s="28" t="n">
        <f>IF(AND(COUNT(AF798,AG798,AH798)=3,AF798&gt;=AG798,AG798&gt;=0,AH798=14),AF798-AG798,"")</f>
        <v>0</v>
      </c>
      <c r="K798" s="28" t="n">
        <f>IF(AND(COUNT(AL798,AM798,AN798)=3,AL798&gt;=AM798,AM798&gt;=0,AN798=30),AL798-AM798,"")</f>
        <v>2</v>
      </c>
      <c r="L798" s="29" t="n">
        <f>IF(ISNUMBER(BI798),BI798/90,"")</f>
        <v>0.022563081775418256</v>
      </c>
      <c r="M798" s="28" t="n">
        <v>10</v>
      </c>
      <c r="N798" s="28" t="n">
        <v>0</v>
      </c>
      <c r="O798" s="28" t="n">
        <v>0</v>
      </c>
      <c r="P798" s="30" t="n">
        <f>IF(AND(ISNUMBER(L798),L798&gt;0,COUNT(M798:O798)=3,MIN(M798:O798)&gt;=0),SUM(M798:O798)/L798,"")</f>
        <v>443.20186841208346</v>
      </c>
      <c r="Q798" s="16" t="str">
        <v>沿用原计划SKU店铺</v>
      </c>
      <c r="R798" s="16" t="str">
        <v>已匹配</v>
      </c>
      <c r="S798" s="16" t="str">
        <v>在售</v>
      </c>
      <c r="T798" s="16" t="str">
        <v>60516</v>
      </c>
      <c r="U798" s="16" t="str">
        <v>红色</v>
      </c>
      <c r="V798" s="16" t="n">
        <v>7</v>
      </c>
      <c r="W798" s="8" t="str">
        <v>2026-10-11 至 2026-10-17</v>
      </c>
      <c r="X798" s="8" t="str">
        <v>2026-10-11、2026-10-12、2026-10-13、2026-10-14、2026-10-15、2026-10-16、2026-10-17</v>
      </c>
      <c r="Y798" s="8" t="str">
        <v>无</v>
      </c>
      <c r="Z798" s="8" t="n">
        <v>0</v>
      </c>
      <c r="AA798" s="8" t="n">
        <v>0</v>
      </c>
      <c r="AB798" s="8" t="n">
        <v>7</v>
      </c>
      <c r="AC798" s="8" t="str">
        <v>2026-10-02 至 2026-10-17</v>
      </c>
      <c r="AD798" s="8" t="str">
        <v>2026-10-02、2026-10-03、2026-10-04、2026-10-05、2026-10-08、2026-10-09、2026-10-10、2026-10-11、2026-10-12、2026-10-13、2026-10-14、2026-10-15、2026-10-16、2026-10-17</v>
      </c>
      <c r="AE798" s="8" t="str">
        <v>2026-10-06 大促；2026-10-07 大促</v>
      </c>
      <c r="AF798" s="8" t="n">
        <v>2</v>
      </c>
      <c r="AG798" s="8" t="n">
        <v>2</v>
      </c>
      <c r="AH798" s="8" t="n">
        <v>14</v>
      </c>
      <c r="AI798" s="8" t="str">
        <v>2026-09-16 至 2026-10-17</v>
      </c>
      <c r="AJ7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798" s="8" t="str">
        <v>2026-10-06 大促；2026-10-07 大促</v>
      </c>
      <c r="AL798" s="8" t="n">
        <v>4</v>
      </c>
      <c r="AM798" s="8" t="n">
        <v>2</v>
      </c>
      <c r="AN798" s="8" t="n">
        <v>30</v>
      </c>
      <c r="AO798" s="8" t="str">
        <v>60516 / 红色羊京绒 / 6574</v>
      </c>
      <c r="AP798" s="11" t="n">
        <v>1.8609238953732312</v>
      </c>
      <c r="AQ798" s="11" t="n">
        <v>1.8609238953732312</v>
      </c>
      <c r="AR798" s="11" t="n">
        <v>1.7598476169692943</v>
      </c>
      <c r="AS798" s="11" t="n">
        <f>IF(AND(COUNT(I798:K798,AP798:AR798)=6,MIN(AP798:AR798)&gt;0),I798/7/AP798*0.5+J798/14/AQ798*0.3+K798/30/AR798*0.2,"")</f>
        <v>0.007576413551245541</v>
      </c>
      <c r="AT798" s="8" t="n">
        <v>4</v>
      </c>
      <c r="AU798" s="8" t="n">
        <v>2</v>
      </c>
      <c r="AV798" s="8" t="n">
        <v>88</v>
      </c>
      <c r="AW798" s="11" t="n">
        <f>IF(AND(COUNT(AT798:AV798)=3,AT798&gt;=AU798,AU798&gt;=0,AV798&gt;0),(AT798-AU798)/AV798,"")</f>
        <v>0.022727272727272728</v>
      </c>
      <c r="AX798" s="8" t="n">
        <v>5</v>
      </c>
      <c r="AY798" s="8" t="n">
        <v>2</v>
      </c>
      <c r="AZ798" s="8" t="n">
        <v>178</v>
      </c>
      <c r="BA798" s="11" t="n">
        <f>IF(AND(COUNT(AX798:AZ798)=3,AX798&gt;=AY798,AY798&gt;=0,AZ798&gt;0),(AX798-AY798)/AZ798,"")</f>
        <v>0.016853932584269662</v>
      </c>
      <c r="BB798" s="8" t="n">
        <f>IF(COUNT(AS798,AW798,BA798)=3,1,0)</f>
        <v>1</v>
      </c>
      <c r="BC798" s="11" t="n">
        <f>IF(SUMIF($AO$11:$AO$1309,AO798,$BB$11:$BB$1309)=COUNTIF($AO$11:$AO$1309,AO798),SUMIF($AO$11:$AO$1309,AO798,$AS$11:$AS$1309),"")</f>
        <v>0.3946219562135558</v>
      </c>
      <c r="BD798" s="11" t="n">
        <f>IF(SUMIF($AO$11:$AO$1309,AO798,$BB$11:$BB$1309)=COUNTIF($AO$11:$AO$1309,AO798),SUMIF($AO$11:$AO$1309,AO798,$AW$11:$AW$1309),"")</f>
        <v>0.4780748663101604</v>
      </c>
      <c r="BE798" s="11" t="n">
        <f>IF(SUMIF($AO$11:$AO$1309,AO798,$BB$11:$BB$1309)=COUNTIF($AO$11:$AO$1309,AO798),SUMIF($AO$11:$AO$1309,AO798,$BA$11:$BA$1309),"")</f>
        <v>0.3713643659711075</v>
      </c>
      <c r="BF798" s="12" t="n">
        <f>IF(COUNT(BD798:BE798)&lt;&gt;2,"",IF(AND(BD798&gt;0,BE798&gt;0),0.7*AW798/BD798+0.3*BA798/BE798,IF(BD798&gt;0,AW798/BD798,IF(BE798&gt;0,BA798/BE798,IF(AND(ISNUMBER(BH798),BH798=0),0,"")))))</f>
        <v>0.046892550149915994</v>
      </c>
      <c r="BG798" s="11" t="n">
        <f>IF(AND(COUNT(BN798:BU798)=8,MIN(BN798:BU798)&gt;=0),SUMPRODUCT(BN798:BQ798,BR798:BU798),"")</f>
        <v>109.73769409574882</v>
      </c>
      <c r="BH798" s="11" t="n">
        <f>IF(COUNT(BC798,BG798)=2,BC798*BG798,"")</f>
        <v>43.30490351442917</v>
      </c>
      <c r="BI798" s="11" t="n">
        <f>IF(ISNUMBER(CI798),CI798,"")</f>
        <v>2.030677359787643</v>
      </c>
      <c r="BJ798" s="8" t="str">
        <v>近180天本色销量78双（＜90），无有效新采购，请运营判断</v>
      </c>
      <c r="BK798" s="8" t="str">
        <v>90天：2026-07-20 至 2026-10-17；180天：2026-04-21 至 2026-10-17</v>
      </c>
      <c r="BL798" s="8" t="str">
        <v>90天：2026-10-06、2026-10-07；180天：2026-10-06、2026-10-07</v>
      </c>
      <c r="BM798" s="8" t="str">
        <v>2026-10：12天 × 1.8609238953732312；2026-11：30天 × 1.438375649833085；2026-12：31天 × 0.9519742599124907；2027-01：17天 × 0.8673021058229575</v>
      </c>
      <c r="BN798" s="11" t="n">
        <v>1.8609238953732312</v>
      </c>
      <c r="BO798" s="11" t="n">
        <v>1.438375649833085</v>
      </c>
      <c r="BP798" s="11" t="n">
        <v>0.9519742599124907</v>
      </c>
      <c r="BQ798" s="11" t="n">
        <v>0.8673021058229575</v>
      </c>
      <c r="BR798" s="8" t="n">
        <v>12</v>
      </c>
      <c r="BS798" s="8" t="n">
        <v>30</v>
      </c>
      <c r="BT798" s="8" t="n">
        <v>31</v>
      </c>
      <c r="BU798" s="8" t="n">
        <v>17</v>
      </c>
      <c r="BV798" s="11" t="n">
        <f>IF(COUNT(BC798,BF798)=2,BC798*BF798,"")</f>
        <v>0.018504829872002117</v>
      </c>
      <c r="BW798" s="11" t="n">
        <f>IF(ISNUMBER(BN798),BN798,"")</f>
        <v>1.8609238953732312</v>
      </c>
      <c r="BX798" s="14" t="n">
        <f>IF(ISNUMBER(BR798),BR798,"")</f>
        <v>12</v>
      </c>
      <c r="BY798" s="13" t="n">
        <f>IF(AND(COUNT(BV798,BW798,BX798)=3,MIN(BV798,BW798,BX798)&gt;=0),BV798*BW798*BX798,"")</f>
        <v>0.41323296106350127</v>
      </c>
      <c r="BZ798" s="11" t="n">
        <f>IF(ISNUMBER(BO798),BO798,"")</f>
        <v>1.438375649833085</v>
      </c>
      <c r="CA798" s="14" t="n">
        <f>IF(ISNUMBER(BS798),BS798,"")</f>
        <v>30</v>
      </c>
      <c r="CB798" s="13" t="n">
        <f>IF(AND(COUNT(BV798,BZ798,CA798)=3,MIN(BV798,BZ798,CA798)&gt;=0),BV798*BZ798*CA798,"")</f>
        <v>0.7985069007657518</v>
      </c>
      <c r="CC798" s="11" t="n">
        <f>IF(ISNUMBER(BP798),BP798,"")</f>
        <v>0.9519742599124907</v>
      </c>
      <c r="CD798" s="14" t="n">
        <f>IF(ISNUMBER(BT798),BT798,"")</f>
        <v>31</v>
      </c>
      <c r="CE798" s="13" t="n">
        <f>IF(AND(COUNT(BV798,CC798,CD798)=3,MIN(BV798,CC798,CD798)&gt;=0),BV798*CC798*CD798,"")</f>
        <v>0.5460997733883788</v>
      </c>
      <c r="CF798" s="11" t="n">
        <f>IF(ISNUMBER(BQ798),BQ798,"")</f>
        <v>0.8673021058229575</v>
      </c>
      <c r="CG798" s="14" t="n">
        <f>IF(ISNUMBER(BU798),BU798,"")</f>
        <v>17</v>
      </c>
      <c r="CH798" s="13" t="n">
        <f>IF(AND(COUNT(BV798,CF798,CG798)=3,MIN(BV798,CF798,CG798)&gt;=0),BV798*CF798*CG798,"")</f>
        <v>0.2728377245700111</v>
      </c>
      <c r="CI798" s="13" t="n">
        <f>IF(COUNT(BY798,CB798,CE798,CH798)=4,SUM(BY798,CB798,CE798,CH798),"")</f>
        <v>2.030677359787643</v>
      </c>
    </row>
    <row r="799" ht="72" customHeight="1">
      <c r="A799" s="16" t="str">
        <v>60516-RD-S-K-7.5</v>
      </c>
      <c r="B799" s="16" t="str">
        <v>3店-SANDIEX-US</v>
      </c>
      <c r="C799" s="16" t="str">
        <v>徐新怡</v>
      </c>
      <c r="D799" s="26" t="n">
        <f>IF(NOT(ISNUMBER(E799)),"",IF(OR(E799&lt;=0,L799=0),0,IF(OR(NOT(ISNUMBER(F799)),F799&lt;0),"",MIN(E799,INT(F799)))))</f>
        <v>0</v>
      </c>
      <c r="E799" s="27" t="n">
        <f>IF(OR(NOT(ISNUMBER(L799)),COUNT(M799:O799)&lt;&gt;3,MIN(M799:O799)&lt;0),"",ROUNDUP(ROUND(BI799-SUM(M799:O799),10),0))</f>
        <v>0</v>
      </c>
      <c r="F799" s="28" t="n">
        <v>0</v>
      </c>
      <c r="G799" s="28" t="n">
        <f>IF(AND(ISNUMBER(D799),ISNUMBER(E799)),IF(OR(E799&lt;=0,L799=0),0,E799-D799),"")</f>
        <v>0</v>
      </c>
      <c r="H799" s="16" t="str">
        <f>IF(NOT(ISNUMBER(E799)),"销量或海外库存待补",IF(OR(E799&lt;=0,L799=0),IF(L799=0,"零日销，本批不发","本批无需补货"),IF(NOT(ISNUMBER(D799)),"国内库存待补",IF(D799=0,"国内无可用库存",IF(G799&gt;0,"先发国内现货","按建议量发货")))))</f>
        <v>零日销，本批不发</v>
      </c>
      <c r="I799" s="28" t="n">
        <f>IF(AND(COUNT(Z799,AA799,AB799)=3,Z799&gt;=AA799,AA799&gt;=0,AB799=7),Z799-AA799,"")</f>
        <v>0</v>
      </c>
      <c r="J799" s="28" t="n">
        <f>IF(AND(COUNT(AF799,AG799,AH799)=3,AF799&gt;=AG799,AG799&gt;=0,AH799=14),AF799-AG799,"")</f>
        <v>0</v>
      </c>
      <c r="K799" s="28" t="n">
        <f>IF(AND(COUNT(AL799,AM799,AN799)=3,AL799&gt;=AM799,AM799&gt;=0,AN799=30),AL799-AM799,"")</f>
        <v>0</v>
      </c>
      <c r="L799" s="29" t="n">
        <f>IF(ISNUMBER(BI799),BI799/90,"")</f>
        <v>0</v>
      </c>
      <c r="M799" s="28" t="n">
        <v>0</v>
      </c>
      <c r="N799" s="28" t="n">
        <v>0</v>
      </c>
      <c r="O799" s="28" t="n">
        <v>0</v>
      </c>
      <c r="P799" s="30" t="str">
        <f>IF(AND(ISNUMBER(L799),L799&gt;0,COUNT(M799:O799)=3,MIN(M799:O799)&gt;=0),SUM(M799:O799)/L799,"")</f>
      </c>
      <c r="Q799" s="16" t="str">
        <v>沿用原计划SKU店铺</v>
      </c>
      <c r="R799" s="16" t="str">
        <v>已匹配</v>
      </c>
      <c r="S799" s="16" t="str">
        <v>停售</v>
      </c>
      <c r="T799" s="16" t="str">
        <v>60516</v>
      </c>
      <c r="U799" s="16" t="str">
        <v>红色</v>
      </c>
      <c r="V799" s="16" t="n">
        <v>7.5</v>
      </c>
      <c r="W799" s="8" t="str">
        <v>2026-10-08 至 2026-10-17</v>
      </c>
      <c r="X799" s="8" t="str">
        <v>2026-10-08、2026-10-09、2026-10-10、2026-10-11、2026-10-14、2026-10-15、2026-10-17</v>
      </c>
      <c r="Y799" s="8" t="str">
        <v>2026-10-12 有记录的停售日；2026-10-13 有记录的停售日；2026-10-16 有记录的停售日</v>
      </c>
      <c r="Z799" s="8" t="n">
        <v>0</v>
      </c>
      <c r="AA799" s="8" t="n">
        <v>0</v>
      </c>
      <c r="AB799" s="8" t="n">
        <v>7</v>
      </c>
      <c r="AC799" s="8" t="str">
        <v>2026-09-29 至 2026-10-17</v>
      </c>
      <c r="AD799" s="8" t="str">
        <v>2026-09-29、2026-09-30、2026-10-01、2026-10-02、2026-10-03、2026-10-04、2026-10-05、2026-10-08、2026-10-09、2026-10-10、2026-10-11、2026-10-14、2026-10-15、2026-10-17</v>
      </c>
      <c r="AE799" s="8" t="str">
        <v>2026-10-06 大促；2026-10-07 大促；2026-10-12 有记录的停售日；2026-10-13 有记录的停售日；2026-10-16 有记录的停售日</v>
      </c>
      <c r="AF799" s="8" t="n">
        <v>0</v>
      </c>
      <c r="AG799" s="8" t="n">
        <v>0</v>
      </c>
      <c r="AH799" s="8" t="n">
        <v>14</v>
      </c>
      <c r="AI799" s="8" t="str">
        <v>2026-09-13 至 2026-10-17</v>
      </c>
      <c r="AJ79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799" s="8" t="str">
        <v>2026-10-06 大促；2026-10-07 大促；2026-10-12 有记录的停售日；2026-10-13 有记录的停售日；2026-10-16 有记录的停售日</v>
      </c>
      <c r="AL799" s="8" t="n">
        <v>0</v>
      </c>
      <c r="AM799" s="8" t="n">
        <v>0</v>
      </c>
      <c r="AN799" s="8" t="n">
        <v>30</v>
      </c>
      <c r="AO799" s="8" t="str">
        <v>60516 / 红色羊京绒 / 6574</v>
      </c>
      <c r="AP799" s="11" t="n">
        <v>1.8609238953732312</v>
      </c>
      <c r="AQ799" s="11" t="n">
        <v>1.832044958686392</v>
      </c>
      <c r="AR799" s="11" t="n">
        <v>1.7396323612885067</v>
      </c>
      <c r="AS799" s="11" t="n">
        <f>IF(AND(COUNT(I799:K799,AP799:AR799)=6,MIN(AP799:AR799)&gt;0),I799/7/AP799*0.5+J799/14/AQ799*0.3+K799/30/AR799*0.2,"")</f>
        <v>0</v>
      </c>
      <c r="AT799" s="8" t="n">
        <v>0</v>
      </c>
      <c r="AU799" s="8" t="n">
        <v>0</v>
      </c>
      <c r="AV799" s="8" t="n">
        <v>85</v>
      </c>
      <c r="AW799" s="11" t="n">
        <f>IF(AND(COUNT(AT799:AV799)=3,AT799&gt;=AU799,AU799&gt;=0,AV799&gt;0),(AT799-AU799)/AV799,"")</f>
        <v>0</v>
      </c>
      <c r="AX799" s="8" t="n">
        <v>0</v>
      </c>
      <c r="AY799" s="8" t="n">
        <v>0</v>
      </c>
      <c r="AZ799" s="8" t="n">
        <v>175</v>
      </c>
      <c r="BA799" s="11" t="n">
        <f>IF(AND(COUNT(AX799:AZ799)=3,AX799&gt;=AY799,AY799&gt;=0,AZ799&gt;0),(AX799-AY799)/AZ799,"")</f>
        <v>0</v>
      </c>
      <c r="BB799" s="8" t="n">
        <f>IF(COUNT(AS799,AW799,BA799)=3,1,0)</f>
        <v>1</v>
      </c>
      <c r="BC799" s="11" t="n">
        <f>IF(SUMIF($AO$11:$AO$1309,AO799,$BB$11:$BB$1309)=COUNTIF($AO$11:$AO$1309,AO799),SUMIF($AO$11:$AO$1309,AO799,$AS$11:$AS$1309),"")</f>
        <v>0.3946219562135558</v>
      </c>
      <c r="BD799" s="11" t="n">
        <f>IF(SUMIF($AO$11:$AO$1309,AO799,$BB$11:$BB$1309)=COUNTIF($AO$11:$AO$1309,AO799),SUMIF($AO$11:$AO$1309,AO799,$AW$11:$AW$1309),"")</f>
        <v>0.4780748663101604</v>
      </c>
      <c r="BE799" s="11" t="n">
        <f>IF(SUMIF($AO$11:$AO$1309,AO799,$BB$11:$BB$1309)=COUNTIF($AO$11:$AO$1309,AO799),SUMIF($AO$11:$AO$1309,AO799,$BA$11:$BA$1309),"")</f>
        <v>0.3713643659711075</v>
      </c>
      <c r="BF799" s="12" t="n">
        <f>IF(COUNT(BD799:BE799)&lt;&gt;2,"",IF(AND(BD799&gt;0,BE799&gt;0),0.7*AW799/BD799+0.3*BA799/BE799,IF(BD799&gt;0,AW799/BD799,IF(BE799&gt;0,BA799/BE799,IF(AND(ISNUMBER(BH799),BH799=0),0,"")))))</f>
        <v>0</v>
      </c>
      <c r="BG799" s="11" t="n">
        <f>IF(AND(COUNT(BN799:BU799)=8,MIN(BN799:BU799)&gt;=0),SUMPRODUCT(BN799:BQ799,BR799:BU799),"")</f>
        <v>109.73769409574882</v>
      </c>
      <c r="BH799" s="11" t="n">
        <f>IF(COUNT(BC799,BG799)=2,BC799*BG799,"")</f>
        <v>43.30490351442917</v>
      </c>
      <c r="BI799" s="11" t="n">
        <f>IF(ISNUMBER(CI799),CI799,"")</f>
        <v>0</v>
      </c>
      <c r="BJ799" s="8" t="str">
        <v>近180天本色销量78双（＜90），无有效新采购，请运营判断</v>
      </c>
      <c r="BK799" s="8" t="str">
        <v>90天：2026-07-20 至 2026-10-17；180天：2026-04-21 至 2026-10-17</v>
      </c>
      <c r="BL799" s="8" t="str">
        <v>90天：2026-10-06、2026-10-07、2026-10-12、2026-10-13、2026-10-16；180天：2026-10-06、2026-10-07、2026-10-12、2026-10-13、2026-10-16</v>
      </c>
      <c r="BM799" s="8" t="str">
        <v>2026-10：12天 × 1.8609238953732312；2026-11：30天 × 1.438375649833085；2026-12：31天 × 0.9519742599124907；2027-01：17天 × 0.8673021058229575</v>
      </c>
      <c r="BN799" s="11" t="n">
        <v>1.8609238953732312</v>
      </c>
      <c r="BO799" s="11" t="n">
        <v>1.438375649833085</v>
      </c>
      <c r="BP799" s="11" t="n">
        <v>0.9519742599124907</v>
      </c>
      <c r="BQ799" s="11" t="n">
        <v>0.8673021058229575</v>
      </c>
      <c r="BR799" s="8" t="n">
        <v>12</v>
      </c>
      <c r="BS799" s="8" t="n">
        <v>30</v>
      </c>
      <c r="BT799" s="8" t="n">
        <v>31</v>
      </c>
      <c r="BU799" s="8" t="n">
        <v>17</v>
      </c>
      <c r="BV799" s="11" t="n">
        <f>IF(COUNT(BC799,BF799)=2,BC799*BF799,"")</f>
        <v>0</v>
      </c>
      <c r="BW799" s="11" t="n">
        <f>IF(ISNUMBER(BN799),BN799,"")</f>
        <v>1.8609238953732312</v>
      </c>
      <c r="BX799" s="14" t="n">
        <f>IF(ISNUMBER(BR799),BR799,"")</f>
        <v>12</v>
      </c>
      <c r="BY799" s="13" t="n">
        <f>IF(AND(COUNT(BV799,BW799,BX799)=3,MIN(BV799,BW799,BX799)&gt;=0),BV799*BW799*BX799,"")</f>
        <v>0</v>
      </c>
      <c r="BZ799" s="11" t="n">
        <f>IF(ISNUMBER(BO799),BO799,"")</f>
        <v>1.438375649833085</v>
      </c>
      <c r="CA799" s="14" t="n">
        <f>IF(ISNUMBER(BS799),BS799,"")</f>
        <v>30</v>
      </c>
      <c r="CB799" s="13" t="n">
        <f>IF(AND(COUNT(BV799,BZ799,CA799)=3,MIN(BV799,BZ799,CA799)&gt;=0),BV799*BZ799*CA799,"")</f>
        <v>0</v>
      </c>
      <c r="CC799" s="11" t="n">
        <f>IF(ISNUMBER(BP799),BP799,"")</f>
        <v>0.9519742599124907</v>
      </c>
      <c r="CD799" s="14" t="n">
        <f>IF(ISNUMBER(BT799),BT799,"")</f>
        <v>31</v>
      </c>
      <c r="CE799" s="13" t="n">
        <f>IF(AND(COUNT(BV799,CC799,CD799)=3,MIN(BV799,CC799,CD799)&gt;=0),BV799*CC799*CD799,"")</f>
        <v>0</v>
      </c>
      <c r="CF799" s="11" t="n">
        <f>IF(ISNUMBER(BQ799),BQ799,"")</f>
        <v>0.8673021058229575</v>
      </c>
      <c r="CG799" s="14" t="n">
        <f>IF(ISNUMBER(BU799),BU799,"")</f>
        <v>17</v>
      </c>
      <c r="CH799" s="13" t="n">
        <f>IF(AND(COUNT(BV799,CF799,CG799)=3,MIN(BV799,CF799,CG799)&gt;=0),BV799*CF799*CG799,"")</f>
        <v>0</v>
      </c>
      <c r="CI799" s="13" t="n">
        <f>IF(COUNT(BY799,CB799,CE799,CH799)=4,SUM(BY799,CB799,CE799,CH799),"")</f>
        <v>0</v>
      </c>
    </row>
    <row r="800" ht="72" customHeight="1">
      <c r="A800" s="16" t="str">
        <v>60516-RD-S-K-8</v>
      </c>
      <c r="B800" s="16" t="str">
        <v>3店-SANDIEX-US</v>
      </c>
      <c r="C800" s="16" t="str">
        <v>徐新怡</v>
      </c>
      <c r="D800" s="26" t="n">
        <f>IF(NOT(ISNUMBER(E800)),"",IF(OR(E800&lt;=0,L800=0),0,IF(OR(NOT(ISNUMBER(F800)),F800&lt;0),"",MIN(E800,INT(F800)))))</f>
        <v>0</v>
      </c>
      <c r="E800" s="27" t="n">
        <f>IF(OR(NOT(ISNUMBER(L800)),COUNT(M800:O800)&lt;&gt;3,MIN(M800:O800)&lt;0),"",ROUNDUP(ROUND(BI800-SUM(M800:O800),10),0))</f>
        <v>-12</v>
      </c>
      <c r="F800" s="28" t="n">
        <v>20</v>
      </c>
      <c r="G800" s="28" t="n">
        <f>IF(AND(ISNUMBER(D800),ISNUMBER(E800)),IF(OR(E800&lt;=0,L800=0),0,E800-D800),"")</f>
        <v>0</v>
      </c>
      <c r="H800" s="16" t="str">
        <f>IF(NOT(ISNUMBER(E800)),"销量或海外库存待补",IF(OR(E800&lt;=0,L800=0),IF(L800=0,"零日销，本批不发","本批无需补货"),IF(NOT(ISNUMBER(D800)),"国内库存待补",IF(D800=0,"国内无可用库存",IF(G800&gt;0,"先发国内现货","按建议量发货")))))</f>
        <v>本批无需补货</v>
      </c>
      <c r="I800" s="28" t="n">
        <f>IF(AND(COUNT(Z800,AA800,AB800)=3,Z800&gt;=AA800,AA800&gt;=0,AB800=7),Z800-AA800,"")</f>
        <v>1</v>
      </c>
      <c r="J800" s="28" t="n">
        <f>IF(AND(COUNT(AF800,AG800,AH800)=3,AF800&gt;=AG800,AG800&gt;=0,AH800=14),AF800-AG800,"")</f>
        <v>1</v>
      </c>
      <c r="K800" s="28" t="n">
        <f>IF(AND(COUNT(AL800,AM800,AN800)=3,AL800&gt;=AM800,AM800&gt;=0,AN800=30),AL800-AM800,"")</f>
        <v>2</v>
      </c>
      <c r="L800" s="29" t="n">
        <f>IF(ISNUMBER(BI800),BI800/90,"")</f>
        <v>0.14993560126490105</v>
      </c>
      <c r="M800" s="28" t="n">
        <v>25</v>
      </c>
      <c r="N800" s="28" t="n">
        <v>0</v>
      </c>
      <c r="O800" s="28" t="n">
        <v>0</v>
      </c>
      <c r="P800" s="30" t="n">
        <f>IF(AND(ISNUMBER(L800),L800&gt;0,COUNT(M800:O800)=3,MIN(M800:O800)&gt;=0),SUM(M800:O800)/L800,"")</f>
        <v>166.73825154994952</v>
      </c>
      <c r="Q800" s="16" t="str">
        <v>沿用原计划SKU店铺</v>
      </c>
      <c r="R800" s="16" t="str">
        <v>已匹配</v>
      </c>
      <c r="S800" s="16" t="str">
        <v>在售</v>
      </c>
      <c r="T800" s="16" t="str">
        <v>60516</v>
      </c>
      <c r="U800" s="16" t="str">
        <v>红色</v>
      </c>
      <c r="V800" s="16" t="n">
        <v>8</v>
      </c>
      <c r="W800" s="8" t="str">
        <v>2026-10-11 至 2026-10-17</v>
      </c>
      <c r="X800" s="8" t="str">
        <v>2026-10-11、2026-10-12、2026-10-13、2026-10-14、2026-10-15、2026-10-16、2026-10-17</v>
      </c>
      <c r="Y800" s="8" t="str">
        <v>无</v>
      </c>
      <c r="Z800" s="8" t="n">
        <v>1</v>
      </c>
      <c r="AA800" s="8" t="n">
        <v>0</v>
      </c>
      <c r="AB800" s="8" t="n">
        <v>7</v>
      </c>
      <c r="AC800" s="8" t="str">
        <v>2026-10-02 至 2026-10-17</v>
      </c>
      <c r="AD800" s="8" t="str">
        <v>2026-10-02、2026-10-03、2026-10-04、2026-10-05、2026-10-08、2026-10-09、2026-10-10、2026-10-11、2026-10-12、2026-10-13、2026-10-14、2026-10-15、2026-10-16、2026-10-17</v>
      </c>
      <c r="AE800" s="8" t="str">
        <v>2026-10-06 大促；2026-10-07 大促</v>
      </c>
      <c r="AF800" s="8" t="n">
        <v>4</v>
      </c>
      <c r="AG800" s="8" t="n">
        <v>3</v>
      </c>
      <c r="AH800" s="8" t="n">
        <v>14</v>
      </c>
      <c r="AI800" s="8" t="str">
        <v>2026-09-16 至 2026-10-17</v>
      </c>
      <c r="AJ8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00" s="8" t="str">
        <v>2026-10-06 大促；2026-10-07 大促</v>
      </c>
      <c r="AL800" s="8" t="n">
        <v>5</v>
      </c>
      <c r="AM800" s="8" t="n">
        <v>3</v>
      </c>
      <c r="AN800" s="8" t="n">
        <v>30</v>
      </c>
      <c r="AO800" s="8" t="str">
        <v>60516 / 红色羊京绒 / 6574</v>
      </c>
      <c r="AP800" s="11" t="n">
        <v>1.8609238953732312</v>
      </c>
      <c r="AQ800" s="11" t="n">
        <v>1.8609238953732312</v>
      </c>
      <c r="AR800" s="11" t="n">
        <v>1.7598476169692943</v>
      </c>
      <c r="AS800" s="11" t="n">
        <f>IF(AND(COUNT(I800:K800,AP800:AR800)=6,MIN(AP800:AR800)&gt;0),I800/7/AP800*0.5+J800/14/AQ800*0.3+K800/30/AR800*0.2,"")</f>
        <v>0.057474823200351154</v>
      </c>
      <c r="AT800" s="8" t="n">
        <v>16</v>
      </c>
      <c r="AU800" s="8" t="n">
        <v>3</v>
      </c>
      <c r="AV800" s="8" t="n">
        <v>88</v>
      </c>
      <c r="AW800" s="11" t="n">
        <f>IF(AND(COUNT(AT800:AV800)=3,AT800&gt;=AU800,AU800&gt;=0,AV800&gt;0),(AT800-AU800)/AV800,"")</f>
        <v>0.14772727272727273</v>
      </c>
      <c r="AX800" s="8" t="n">
        <v>24</v>
      </c>
      <c r="AY800" s="8" t="n">
        <v>3</v>
      </c>
      <c r="AZ800" s="8" t="n">
        <v>178</v>
      </c>
      <c r="BA800" s="11" t="n">
        <f>IF(AND(COUNT(AX800:AZ800)=3,AX800&gt;=AY800,AY800&gt;=0,AZ800&gt;0),(AX800-AY800)/AZ800,"")</f>
        <v>0.11797752808988764</v>
      </c>
      <c r="BB800" s="8" t="n">
        <f>IF(COUNT(AS800,AW800,BA800)=3,1,0)</f>
        <v>1</v>
      </c>
      <c r="BC800" s="11" t="n">
        <f>IF(SUMIF($AO$11:$AO$1309,AO800,$BB$11:$BB$1309)=COUNTIF($AO$11:$AO$1309,AO800),SUMIF($AO$11:$AO$1309,AO800,$AS$11:$AS$1309),"")</f>
        <v>0.3946219562135558</v>
      </c>
      <c r="BD800" s="11" t="n">
        <f>IF(SUMIF($AO$11:$AO$1309,AO800,$BB$11:$BB$1309)=COUNTIF($AO$11:$AO$1309,AO800),SUMIF($AO$11:$AO$1309,AO800,$AW$11:$AW$1309),"")</f>
        <v>0.4780748663101604</v>
      </c>
      <c r="BE800" s="11" t="n">
        <f>IF(SUMIF($AO$11:$AO$1309,AO800,$BB$11:$BB$1309)=COUNTIF($AO$11:$AO$1309,AO800),SUMIF($AO$11:$AO$1309,AO800,$BA$11:$BA$1309),"")</f>
        <v>0.3713643659711075</v>
      </c>
      <c r="BF800" s="12" t="n">
        <f>IF(COUNT(BD800:BE800)&lt;&gt;2,"",IF(AND(BD800&gt;0,BE800&gt;0),0.7*AW800/BD800+0.3*BA800/BE800,IF(BD800&gt;0,AW800/BD800,IF(BE800&gt;0,BA800/BE800,IF(AND(ISNUMBER(BH800),BH800=0),0,"")))))</f>
        <v>0.31160914858856187</v>
      </c>
      <c r="BG800" s="11" t="n">
        <f>IF(AND(COUNT(BN800:BU800)=8,MIN(BN800:BU800)&gt;=0),SUMPRODUCT(BN800:BQ800,BR800:BU800),"")</f>
        <v>109.73769409574882</v>
      </c>
      <c r="BH800" s="11" t="n">
        <f>IF(COUNT(BC800,BG800)=2,BC800*BG800,"")</f>
        <v>43.30490351442917</v>
      </c>
      <c r="BI800" s="11" t="n">
        <f>IF(ISNUMBER(CI800),CI800,"")</f>
        <v>13.494204113841095</v>
      </c>
      <c r="BJ800" s="8" t="str">
        <v>近180天本色销量78双（＜90），无有效新采购，请运营判断</v>
      </c>
      <c r="BK800" s="8" t="str">
        <v>90天：2026-07-20 至 2026-10-17；180天：2026-04-21 至 2026-10-17</v>
      </c>
      <c r="BL800" s="8" t="str">
        <v>90天：2026-10-06、2026-10-07；180天：2026-10-06、2026-10-07</v>
      </c>
      <c r="BM800" s="8" t="str">
        <v>2026-10：12天 × 1.8609238953732312；2026-11：30天 × 1.438375649833085；2026-12：31天 × 0.9519742599124907；2027-01：17天 × 0.8673021058229575</v>
      </c>
      <c r="BN800" s="11" t="n">
        <v>1.8609238953732312</v>
      </c>
      <c r="BO800" s="11" t="n">
        <v>1.438375649833085</v>
      </c>
      <c r="BP800" s="11" t="n">
        <v>0.9519742599124907</v>
      </c>
      <c r="BQ800" s="11" t="n">
        <v>0.8673021058229575</v>
      </c>
      <c r="BR800" s="8" t="n">
        <v>12</v>
      </c>
      <c r="BS800" s="8" t="n">
        <v>30</v>
      </c>
      <c r="BT800" s="8" t="n">
        <v>31</v>
      </c>
      <c r="BU800" s="8" t="n">
        <v>17</v>
      </c>
      <c r="BV800" s="11" t="n">
        <f>IF(COUNT(BC800,BF800)=2,BC800*BF800,"")</f>
        <v>0.12296781179005886</v>
      </c>
      <c r="BW800" s="11" t="n">
        <f>IF(ISNUMBER(BN800),BN800,"")</f>
        <v>1.8609238953732312</v>
      </c>
      <c r="BX800" s="14" t="n">
        <f>IF(ISNUMBER(BR800),BR800,"")</f>
        <v>12</v>
      </c>
      <c r="BY800" s="13" t="n">
        <f>IF(AND(COUNT(BV800,BW800,BX800)=3,MIN(BV800,BW800,BX800)&gt;=0),BV800*BW800*BX800,"")</f>
        <v>2.7460048718625445</v>
      </c>
      <c r="BZ800" s="11" t="n">
        <f>IF(ISNUMBER(BO800),BO800,"")</f>
        <v>1.438375649833085</v>
      </c>
      <c r="CA800" s="14" t="n">
        <f>IF(ISNUMBER(BS800),BS800,"")</f>
        <v>30</v>
      </c>
      <c r="CB800" s="13" t="n">
        <f>IF(AND(COUNT(BV800,BZ800,CA800)=3,MIN(BV800,BZ800,CA800)&gt;=0),BV800*BZ800*CA800,"")</f>
        <v>5.306217185762352</v>
      </c>
      <c r="CC800" s="11" t="n">
        <f>IF(ISNUMBER(BP800),BP800,"")</f>
        <v>0.9519742599124907</v>
      </c>
      <c r="CD800" s="14" t="n">
        <f>IF(ISNUMBER(BT800),BT800,"")</f>
        <v>31</v>
      </c>
      <c r="CE800" s="13" t="n">
        <f>IF(AND(COUNT(BV800,CC800,CD800)=3,MIN(BV800,CC800,CD800)&gt;=0),BV800*CC800*CD800,"")</f>
        <v>3.6289279402788917</v>
      </c>
      <c r="CF800" s="11" t="n">
        <f>IF(ISNUMBER(BQ800),BQ800,"")</f>
        <v>0.8673021058229575</v>
      </c>
      <c r="CG800" s="14" t="n">
        <f>IF(ISNUMBER(BU800),BU800,"")</f>
        <v>17</v>
      </c>
      <c r="CH800" s="13" t="n">
        <f>IF(AND(COUNT(BV800,CF800,CG800)=3,MIN(BV800,CF800,CG800)&gt;=0),BV800*CF800*CG800,"")</f>
        <v>1.8130541159373057</v>
      </c>
      <c r="CI800" s="13" t="n">
        <f>IF(COUNT(BY800,CB800,CE800,CH800)=4,SUM(BY800,CB800,CE800,CH800),"")</f>
        <v>13.494204113841095</v>
      </c>
    </row>
    <row r="801" ht="72" customHeight="1">
      <c r="A801" s="16" t="str">
        <v>60516-RD-S-K-9.5</v>
      </c>
      <c r="B801" s="16" t="str">
        <v>3店-SANDIEX-US</v>
      </c>
      <c r="C801" s="16" t="str">
        <v>徐新怡</v>
      </c>
      <c r="D801" s="26" t="n">
        <f>IF(NOT(ISNUMBER(E801)),"",IF(OR(E801&lt;=0,L801=0),0,IF(OR(NOT(ISNUMBER(F801)),F801&lt;0),"",MIN(E801,INT(F801)))))</f>
        <v>0</v>
      </c>
      <c r="E801" s="27" t="n">
        <f>IF(OR(NOT(ISNUMBER(L801)),COUNT(M801:O801)&lt;&gt;3,MIN(M801:O801)&lt;0),"",ROUNDUP(ROUND(BI801-SUM(M801:O801),10),0))</f>
        <v>0</v>
      </c>
      <c r="F801" s="28" t="n">
        <v>0</v>
      </c>
      <c r="G801" s="28" t="n">
        <f>IF(AND(ISNUMBER(D801),ISNUMBER(E801)),IF(OR(E801&lt;=0,L801=0),0,E801-D801),"")</f>
        <v>0</v>
      </c>
      <c r="H801" s="16" t="str">
        <f>IF(NOT(ISNUMBER(E801)),"销量或海外库存待补",IF(OR(E801&lt;=0,L801=0),IF(L801=0,"零日销，本批不发","本批无需补货"),IF(NOT(ISNUMBER(D801)),"国内库存待补",IF(D801=0,"国内无可用库存",IF(G801&gt;0,"先发国内现货","按建议量发货")))))</f>
        <v>零日销，本批不发</v>
      </c>
      <c r="I801" s="28" t="n">
        <f>IF(AND(COUNT(Z801,AA801,AB801)=3,Z801&gt;=AA801,AA801&gt;=0,AB801=7),Z801-AA801,"")</f>
        <v>0</v>
      </c>
      <c r="J801" s="28" t="n">
        <f>IF(AND(COUNT(AF801,AG801,AH801)=3,AF801&gt;=AG801,AG801&gt;=0,AH801=14),AF801-AG801,"")</f>
        <v>0</v>
      </c>
      <c r="K801" s="28" t="n">
        <f>IF(AND(COUNT(AL801,AM801,AN801)=3,AL801&gt;=AM801,AM801&gt;=0,AN801=30),AL801-AM801,"")</f>
        <v>0</v>
      </c>
      <c r="L801" s="29" t="n">
        <f>IF(ISNUMBER(BI801),BI801/90,"")</f>
        <v>0</v>
      </c>
      <c r="M801" s="28" t="n">
        <v>0</v>
      </c>
      <c r="N801" s="28" t="n">
        <v>0</v>
      </c>
      <c r="O801" s="28" t="n">
        <v>0</v>
      </c>
      <c r="P801" s="30" t="str">
        <f>IF(AND(ISNUMBER(L801),L801&gt;0,COUNT(M801:O801)=3,MIN(M801:O801)&gt;=0),SUM(M801:O801)/L801,"")</f>
      </c>
      <c r="Q801" s="16" t="str">
        <v>按本SKU唯一未删除Listing店铺核实</v>
      </c>
      <c r="R801" s="16" t="str">
        <v>已匹配</v>
      </c>
      <c r="S801" s="16" t="str">
        <v>停售</v>
      </c>
      <c r="T801" s="16" t="str">
        <v>60516</v>
      </c>
      <c r="U801" s="16" t="str">
        <v>红色</v>
      </c>
      <c r="V801" s="16" t="n">
        <v>9.5</v>
      </c>
      <c r="W801" s="8" t="str">
        <v>2026-10-08 至 2026-10-17</v>
      </c>
      <c r="X801" s="8" t="str">
        <v>2026-10-08、2026-10-09、2026-10-10、2026-10-11、2026-10-14、2026-10-15、2026-10-17</v>
      </c>
      <c r="Y801" s="8" t="str">
        <v>2026-10-12 有记录的停售日；2026-10-13 有记录的停售日；2026-10-16 有记录的停售日</v>
      </c>
      <c r="Z801" s="8" t="n">
        <v>0</v>
      </c>
      <c r="AA801" s="8" t="n">
        <v>0</v>
      </c>
      <c r="AB801" s="8" t="n">
        <v>7</v>
      </c>
      <c r="AC801" s="8" t="str">
        <v>2026-09-29 至 2026-10-17</v>
      </c>
      <c r="AD801" s="8" t="str">
        <v>2026-09-29、2026-09-30、2026-10-01、2026-10-02、2026-10-03、2026-10-04、2026-10-05、2026-10-08、2026-10-09、2026-10-10、2026-10-11、2026-10-14、2026-10-15、2026-10-17</v>
      </c>
      <c r="AE801" s="8" t="str">
        <v>2026-10-06 大促；2026-10-07 大促；2026-10-12 有记录的停售日；2026-10-13 有记录的停售日；2026-10-16 有记录的停售日</v>
      </c>
      <c r="AF801" s="8" t="n">
        <v>0</v>
      </c>
      <c r="AG801" s="8" t="n">
        <v>0</v>
      </c>
      <c r="AH801" s="8" t="n">
        <v>14</v>
      </c>
      <c r="AI801" s="8" t="str">
        <v>2026-09-13 至 2026-10-17</v>
      </c>
      <c r="AJ8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1" s="8" t="str">
        <v>2026-10-06 大促；2026-10-07 大促；2026-10-12 有记录的停售日；2026-10-13 有记录的停售日；2026-10-16 有记录的停售日</v>
      </c>
      <c r="AL801" s="8" t="n">
        <v>0</v>
      </c>
      <c r="AM801" s="8" t="n">
        <v>0</v>
      </c>
      <c r="AN801" s="8" t="n">
        <v>30</v>
      </c>
      <c r="AO801" s="8" t="str">
        <v>60516 / 红色羊京绒 / 6574</v>
      </c>
      <c r="AP801" s="11" t="n">
        <v>1.8609238953732312</v>
      </c>
      <c r="AQ801" s="11" t="n">
        <v>1.832044958686392</v>
      </c>
      <c r="AR801" s="11" t="n">
        <v>1.7396323612885067</v>
      </c>
      <c r="AS801" s="11" t="n">
        <f>IF(AND(COUNT(I801:K801,AP801:AR801)=6,MIN(AP801:AR801)&gt;0),I801/7/AP801*0.5+J801/14/AQ801*0.3+K801/30/AR801*0.2,"")</f>
        <v>0</v>
      </c>
      <c r="AT801" s="8" t="n">
        <v>0</v>
      </c>
      <c r="AU801" s="8" t="n">
        <v>0</v>
      </c>
      <c r="AV801" s="8" t="n">
        <v>85</v>
      </c>
      <c r="AW801" s="11" t="n">
        <f>IF(AND(COUNT(AT801:AV801)=3,AT801&gt;=AU801,AU801&gt;=0,AV801&gt;0),(AT801-AU801)/AV801,"")</f>
        <v>0</v>
      </c>
      <c r="AX801" s="8" t="n">
        <v>0</v>
      </c>
      <c r="AY801" s="8" t="n">
        <v>0</v>
      </c>
      <c r="AZ801" s="8" t="n">
        <v>175</v>
      </c>
      <c r="BA801" s="11" t="n">
        <f>IF(AND(COUNT(AX801:AZ801)=3,AX801&gt;=AY801,AY801&gt;=0,AZ801&gt;0),(AX801-AY801)/AZ801,"")</f>
        <v>0</v>
      </c>
      <c r="BB801" s="8" t="n">
        <f>IF(COUNT(AS801,AW801,BA801)=3,1,0)</f>
        <v>1</v>
      </c>
      <c r="BC801" s="11" t="n">
        <f>IF(SUMIF($AO$11:$AO$1309,AO801,$BB$11:$BB$1309)=COUNTIF($AO$11:$AO$1309,AO801),SUMIF($AO$11:$AO$1309,AO801,$AS$11:$AS$1309),"")</f>
        <v>0.3946219562135558</v>
      </c>
      <c r="BD801" s="11" t="n">
        <f>IF(SUMIF($AO$11:$AO$1309,AO801,$BB$11:$BB$1309)=COUNTIF($AO$11:$AO$1309,AO801),SUMIF($AO$11:$AO$1309,AO801,$AW$11:$AW$1309),"")</f>
        <v>0.4780748663101604</v>
      </c>
      <c r="BE801" s="11" t="n">
        <f>IF(SUMIF($AO$11:$AO$1309,AO801,$BB$11:$BB$1309)=COUNTIF($AO$11:$AO$1309,AO801),SUMIF($AO$11:$AO$1309,AO801,$BA$11:$BA$1309),"")</f>
        <v>0.3713643659711075</v>
      </c>
      <c r="BF801" s="12" t="n">
        <f>IF(COUNT(BD801:BE801)&lt;&gt;2,"",IF(AND(BD801&gt;0,BE801&gt;0),0.7*AW801/BD801+0.3*BA801/BE801,IF(BD801&gt;0,AW801/BD801,IF(BE801&gt;0,BA801/BE801,IF(AND(ISNUMBER(BH801),BH801=0),0,"")))))</f>
        <v>0</v>
      </c>
      <c r="BG801" s="11" t="n">
        <f>IF(AND(COUNT(BN801:BU801)=8,MIN(BN801:BU801)&gt;=0),SUMPRODUCT(BN801:BQ801,BR801:BU801),"")</f>
        <v>109.73769409574882</v>
      </c>
      <c r="BH801" s="11" t="n">
        <f>IF(COUNT(BC801,BG801)=2,BC801*BG801,"")</f>
        <v>43.30490351442917</v>
      </c>
      <c r="BI801" s="11" t="n">
        <f>IF(ISNUMBER(CI801),CI801,"")</f>
        <v>0</v>
      </c>
      <c r="BJ801" s="8" t="str">
        <v>近180天本色销量78双（＜90），无有效新采购，请运营判断</v>
      </c>
      <c r="BK801" s="8" t="str">
        <v>90天：2026-07-20 至 2026-10-17；180天：2026-04-21 至 2026-10-17</v>
      </c>
      <c r="BL801" s="8" t="str">
        <v>90天：2026-10-06、2026-10-07、2026-10-12、2026-10-13、2026-10-16；180天：2026-10-06、2026-10-07、2026-10-12、2026-10-13、2026-10-16</v>
      </c>
      <c r="BM801" s="8" t="str">
        <v>2026-10：12天 × 1.8609238953732312；2026-11：30天 × 1.438375649833085；2026-12：31天 × 0.9519742599124907；2027-01：17天 × 0.8673021058229575</v>
      </c>
      <c r="BN801" s="11" t="n">
        <v>1.8609238953732312</v>
      </c>
      <c r="BO801" s="11" t="n">
        <v>1.438375649833085</v>
      </c>
      <c r="BP801" s="11" t="n">
        <v>0.9519742599124907</v>
      </c>
      <c r="BQ801" s="11" t="n">
        <v>0.8673021058229575</v>
      </c>
      <c r="BR801" s="8" t="n">
        <v>12</v>
      </c>
      <c r="BS801" s="8" t="n">
        <v>30</v>
      </c>
      <c r="BT801" s="8" t="n">
        <v>31</v>
      </c>
      <c r="BU801" s="8" t="n">
        <v>17</v>
      </c>
      <c r="BV801" s="11" t="n">
        <f>IF(COUNT(BC801,BF801)=2,BC801*BF801,"")</f>
        <v>0</v>
      </c>
      <c r="BW801" s="11" t="n">
        <f>IF(ISNUMBER(BN801),BN801,"")</f>
        <v>1.8609238953732312</v>
      </c>
      <c r="BX801" s="14" t="n">
        <f>IF(ISNUMBER(BR801),BR801,"")</f>
        <v>12</v>
      </c>
      <c r="BY801" s="13" t="n">
        <f>IF(AND(COUNT(BV801,BW801,BX801)=3,MIN(BV801,BW801,BX801)&gt;=0),BV801*BW801*BX801,"")</f>
        <v>0</v>
      </c>
      <c r="BZ801" s="11" t="n">
        <f>IF(ISNUMBER(BO801),BO801,"")</f>
        <v>1.438375649833085</v>
      </c>
      <c r="CA801" s="14" t="n">
        <f>IF(ISNUMBER(BS801),BS801,"")</f>
        <v>30</v>
      </c>
      <c r="CB801" s="13" t="n">
        <f>IF(AND(COUNT(BV801,BZ801,CA801)=3,MIN(BV801,BZ801,CA801)&gt;=0),BV801*BZ801*CA801,"")</f>
        <v>0</v>
      </c>
      <c r="CC801" s="11" t="n">
        <f>IF(ISNUMBER(BP801),BP801,"")</f>
        <v>0.9519742599124907</v>
      </c>
      <c r="CD801" s="14" t="n">
        <f>IF(ISNUMBER(BT801),BT801,"")</f>
        <v>31</v>
      </c>
      <c r="CE801" s="13" t="n">
        <f>IF(AND(COUNT(BV801,CC801,CD801)=3,MIN(BV801,CC801,CD801)&gt;=0),BV801*CC801*CD801,"")</f>
        <v>0</v>
      </c>
      <c r="CF801" s="11" t="n">
        <f>IF(ISNUMBER(BQ801),BQ801,"")</f>
        <v>0.8673021058229575</v>
      </c>
      <c r="CG801" s="14" t="n">
        <f>IF(ISNUMBER(BU801),BU801,"")</f>
        <v>17</v>
      </c>
      <c r="CH801" s="13" t="n">
        <f>IF(AND(COUNT(BV801,CF801,CG801)=3,MIN(BV801,CF801,CG801)&gt;=0),BV801*CF801*CG801,"")</f>
        <v>0</v>
      </c>
      <c r="CI801" s="13" t="n">
        <f>IF(COUNT(BY801,CB801,CE801,CH801)=4,SUM(BY801,CB801,CE801,CH801),"")</f>
        <v>0</v>
      </c>
    </row>
    <row r="802" ht="72" customHeight="1">
      <c r="A802" s="16" t="str">
        <v>60516-TN-S-K-10</v>
      </c>
      <c r="B802" s="16" t="str">
        <v>3店-SANDIEX-US</v>
      </c>
      <c r="C802" s="16" t="str">
        <v>徐新怡</v>
      </c>
      <c r="D802" s="26" t="n">
        <f>IF(NOT(ISNUMBER(E802)),"",IF(OR(E802&lt;=0,L802=0),0,IF(OR(NOT(ISNUMBER(F802)),F802&lt;0),"",MIN(E802,INT(F802)))))</f>
        <v>0</v>
      </c>
      <c r="E802" s="27" t="n">
        <f>IF(OR(NOT(ISNUMBER(L802)),COUNT(M802:O802)&lt;&gt;3,MIN(M802:O802)&lt;0),"",ROUNDUP(ROUND(BI802-SUM(M802:O802),10),0))</f>
        <v>0</v>
      </c>
      <c r="F802" s="28" t="n">
        <v>0</v>
      </c>
      <c r="G802" s="28" t="n">
        <f>IF(AND(ISNUMBER(D802),ISNUMBER(E802)),IF(OR(E802&lt;=0,L802=0),0,E802-D802),"")</f>
        <v>0</v>
      </c>
      <c r="H802" s="16" t="str">
        <f>IF(NOT(ISNUMBER(E802)),"销量或海外库存待补",IF(OR(E802&lt;=0,L802=0),IF(L802=0,"零日销，本批不发","本批无需补货"),IF(NOT(ISNUMBER(D802)),"国内库存待补",IF(D802=0,"国内无可用库存",IF(G802&gt;0,"先发国内现货","按建议量发货")))))</f>
        <v>零日销，本批不发</v>
      </c>
      <c r="I802" s="28" t="n">
        <f>IF(AND(COUNT(Z802,AA802,AB802)=3,Z802&gt;=AA802,AA802&gt;=0,AB802=7),Z802-AA802,"")</f>
        <v>0</v>
      </c>
      <c r="J802" s="28" t="n">
        <f>IF(AND(COUNT(AF802,AG802,AH802)=3,AF802&gt;=AG802,AG802&gt;=0,AH802=14),AF802-AG802,"")</f>
        <v>0</v>
      </c>
      <c r="K802" s="28" t="n">
        <f>IF(AND(COUNT(AL802,AM802,AN802)=3,AL802&gt;=AM802,AM802&gt;=0,AN802=30),AL802-AM802,"")</f>
        <v>0</v>
      </c>
      <c r="L802" s="29" t="n">
        <f>IF(ISNUMBER(BI802),BI802/90,"")</f>
        <v>0</v>
      </c>
      <c r="M802" s="28" t="n">
        <v>0</v>
      </c>
      <c r="N802" s="28" t="n">
        <v>0</v>
      </c>
      <c r="O802" s="28" t="n">
        <v>0</v>
      </c>
      <c r="P802" s="30" t="str">
        <f>IF(AND(ISNUMBER(L802),L802&gt;0,COUNT(M802:O802)=3,MIN(M802:O802)&gt;=0),SUM(M802:O802)/L802,"")</f>
      </c>
      <c r="Q802" s="16" t="str">
        <v>沿用原计划SKU店铺</v>
      </c>
      <c r="R802" s="16" t="str">
        <v>已匹配</v>
      </c>
      <c r="S802" s="16" t="str">
        <v>停售</v>
      </c>
      <c r="T802" s="16" t="str">
        <v>60516</v>
      </c>
      <c r="U802" s="16" t="str">
        <v>驼色</v>
      </c>
      <c r="V802" s="16" t="n">
        <v>10</v>
      </c>
      <c r="W802" s="8" t="str">
        <v>2026-10-08 至 2026-10-17</v>
      </c>
      <c r="X802" s="8" t="str">
        <v>2026-10-08、2026-10-09、2026-10-10、2026-10-11、2026-10-14、2026-10-15、2026-10-17</v>
      </c>
      <c r="Y802" s="8" t="str">
        <v>2026-10-12 有记录的停售日；2026-10-13 有记录的停售日；2026-10-16 有记录的停售日</v>
      </c>
      <c r="Z802" s="8" t="n">
        <v>0</v>
      </c>
      <c r="AA802" s="8" t="n">
        <v>0</v>
      </c>
      <c r="AB802" s="8" t="n">
        <v>7</v>
      </c>
      <c r="AC802" s="8" t="str">
        <v>2026-09-29 至 2026-10-17</v>
      </c>
      <c r="AD802" s="8" t="str">
        <v>2026-09-29、2026-09-30、2026-10-01、2026-10-02、2026-10-03、2026-10-04、2026-10-05、2026-10-08、2026-10-09、2026-10-10、2026-10-11、2026-10-14、2026-10-15、2026-10-17</v>
      </c>
      <c r="AE802" s="8" t="str">
        <v>2026-10-06 大促；2026-10-07 大促；2026-10-12 有记录的停售日；2026-10-13 有记录的停售日；2026-10-16 有记录的停售日</v>
      </c>
      <c r="AF802" s="8" t="n">
        <v>0</v>
      </c>
      <c r="AG802" s="8" t="n">
        <v>0</v>
      </c>
      <c r="AH802" s="8" t="n">
        <v>14</v>
      </c>
      <c r="AI802" s="8" t="str">
        <v>2026-09-13 至 2026-10-17</v>
      </c>
      <c r="AJ8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2" s="8" t="str">
        <v>2026-10-06 大促；2026-10-07 大促；2026-10-12 有记录的停售日；2026-10-13 有记录的停售日；2026-10-16 有记录的停售日</v>
      </c>
      <c r="AL802" s="8" t="n">
        <v>0</v>
      </c>
      <c r="AM802" s="8" t="n">
        <v>0</v>
      </c>
      <c r="AN802" s="8" t="n">
        <v>30</v>
      </c>
      <c r="AO802" s="8" t="str">
        <v>60516 / 驼色羊京绒 / 6574</v>
      </c>
      <c r="AP802" s="11" t="n">
        <v>1.8609238953732312</v>
      </c>
      <c r="AQ802" s="11" t="n">
        <v>1.832044958686392</v>
      </c>
      <c r="AR802" s="11" t="n">
        <v>1.7396323612885067</v>
      </c>
      <c r="AS802" s="11" t="n">
        <f>IF(AND(COUNT(I802:K802,AP802:AR802)=6,MIN(AP802:AR802)&gt;0),I802/7/AP802*0.5+J802/14/AQ802*0.3+K802/30/AR802*0.2,"")</f>
        <v>0</v>
      </c>
      <c r="AT802" s="8" t="n">
        <v>0</v>
      </c>
      <c r="AU802" s="8" t="n">
        <v>0</v>
      </c>
      <c r="AV802" s="8" t="n">
        <v>85</v>
      </c>
      <c r="AW802" s="11" t="n">
        <f>IF(AND(COUNT(AT802:AV802)=3,AT802&gt;=AU802,AU802&gt;=0,AV802&gt;0),(AT802-AU802)/AV802,"")</f>
        <v>0</v>
      </c>
      <c r="AX802" s="8" t="n">
        <v>0</v>
      </c>
      <c r="AY802" s="8" t="n">
        <v>0</v>
      </c>
      <c r="AZ802" s="8" t="n">
        <v>175</v>
      </c>
      <c r="BA802" s="11" t="n">
        <f>IF(AND(COUNT(AX802:AZ802)=3,AX802&gt;=AY802,AY802&gt;=0,AZ802&gt;0),(AX802-AY802)/AZ802,"")</f>
        <v>0</v>
      </c>
      <c r="BB802" s="8" t="n">
        <f>IF(COUNT(AS802,AW802,BA802)=3,1,0)</f>
        <v>1</v>
      </c>
      <c r="BC802" s="11" t="n">
        <f>IF(SUMIF($AO$11:$AO$1309,AO802,$BB$11:$BB$1309)=COUNTIF($AO$11:$AO$1309,AO802),SUMIF($AO$11:$AO$1309,AO802,$AS$11:$AS$1309),"")</f>
        <v>0</v>
      </c>
      <c r="BD802" s="11" t="n">
        <f>IF(SUMIF($AO$11:$AO$1309,AO802,$BB$11:$BB$1309)=COUNTIF($AO$11:$AO$1309,AO802),SUMIF($AO$11:$AO$1309,AO802,$AW$11:$AW$1309),"")</f>
        <v>0</v>
      </c>
      <c r="BE802" s="11" t="n">
        <f>IF(SUMIF($AO$11:$AO$1309,AO802,$BB$11:$BB$1309)=COUNTIF($AO$11:$AO$1309,AO802),SUMIF($AO$11:$AO$1309,AO802,$BA$11:$BA$1309),"")</f>
        <v>0</v>
      </c>
      <c r="BF802" s="12" t="n">
        <f>IF(COUNT(BD802:BE802)&lt;&gt;2,"",IF(AND(BD802&gt;0,BE802&gt;0),0.7*AW802/BD802+0.3*BA802/BE802,IF(BD802&gt;0,AW802/BD802,IF(BE802&gt;0,BA802/BE802,IF(AND(ISNUMBER(BH802),BH802=0),0,"")))))</f>
        <v>0</v>
      </c>
      <c r="BG802" s="11" t="n">
        <f>IF(AND(COUNT(BN802:BU802)=8,MIN(BN802:BU802)&gt;=0),SUMPRODUCT(BN802:BQ802,BR802:BU802),"")</f>
        <v>109.73769409574882</v>
      </c>
      <c r="BH802" s="11" t="n">
        <f>IF(COUNT(BC802,BG802)=2,BC802*BG802,"")</f>
        <v>0</v>
      </c>
      <c r="BI802" s="11" t="n">
        <f>IF(ISNUMBER(CI802),CI802,"")</f>
        <v>0</v>
      </c>
      <c r="BJ802" s="8" t="str">
        <v>近180天本色销量0双（＜90），无有效新采购，请运营判断</v>
      </c>
      <c r="BK802" s="8" t="str">
        <v>90天：2026-07-20 至 2026-10-17；180天：2026-04-21 至 2026-10-17</v>
      </c>
      <c r="BL802" s="8" t="str">
        <v>90天：2026-10-06、2026-10-07、2026-10-12、2026-10-13、2026-10-16；180天：2026-10-06、2026-10-07、2026-10-12、2026-10-13、2026-10-16</v>
      </c>
      <c r="BM802" s="8" t="str">
        <v>2026-10：12天 × 1.8609238953732312；2026-11：30天 × 1.438375649833085；2026-12：31天 × 0.9519742599124907；2027-01：17天 × 0.8673021058229575</v>
      </c>
      <c r="BN802" s="11" t="n">
        <v>1.8609238953732312</v>
      </c>
      <c r="BO802" s="11" t="n">
        <v>1.438375649833085</v>
      </c>
      <c r="BP802" s="11" t="n">
        <v>0.9519742599124907</v>
      </c>
      <c r="BQ802" s="11" t="n">
        <v>0.8673021058229575</v>
      </c>
      <c r="BR802" s="8" t="n">
        <v>12</v>
      </c>
      <c r="BS802" s="8" t="n">
        <v>30</v>
      </c>
      <c r="BT802" s="8" t="n">
        <v>31</v>
      </c>
      <c r="BU802" s="8" t="n">
        <v>17</v>
      </c>
      <c r="BV802" s="11" t="n">
        <f>IF(COUNT(BC802,BF802)=2,BC802*BF802,"")</f>
        <v>0</v>
      </c>
      <c r="BW802" s="11" t="n">
        <f>IF(ISNUMBER(BN802),BN802,"")</f>
        <v>1.8609238953732312</v>
      </c>
      <c r="BX802" s="14" t="n">
        <f>IF(ISNUMBER(BR802),BR802,"")</f>
        <v>12</v>
      </c>
      <c r="BY802" s="13" t="n">
        <f>IF(AND(COUNT(BV802,BW802,BX802)=3,MIN(BV802,BW802,BX802)&gt;=0),BV802*BW802*BX802,"")</f>
        <v>0</v>
      </c>
      <c r="BZ802" s="11" t="n">
        <f>IF(ISNUMBER(BO802),BO802,"")</f>
        <v>1.438375649833085</v>
      </c>
      <c r="CA802" s="14" t="n">
        <f>IF(ISNUMBER(BS802),BS802,"")</f>
        <v>30</v>
      </c>
      <c r="CB802" s="13" t="n">
        <f>IF(AND(COUNT(BV802,BZ802,CA802)=3,MIN(BV802,BZ802,CA802)&gt;=0),BV802*BZ802*CA802,"")</f>
        <v>0</v>
      </c>
      <c r="CC802" s="11" t="n">
        <f>IF(ISNUMBER(BP802),BP802,"")</f>
        <v>0.9519742599124907</v>
      </c>
      <c r="CD802" s="14" t="n">
        <f>IF(ISNUMBER(BT802),BT802,"")</f>
        <v>31</v>
      </c>
      <c r="CE802" s="13" t="n">
        <f>IF(AND(COUNT(BV802,CC802,CD802)=3,MIN(BV802,CC802,CD802)&gt;=0),BV802*CC802*CD802,"")</f>
        <v>0</v>
      </c>
      <c r="CF802" s="11" t="n">
        <f>IF(ISNUMBER(BQ802),BQ802,"")</f>
        <v>0.8673021058229575</v>
      </c>
      <c r="CG802" s="14" t="n">
        <f>IF(ISNUMBER(BU802),BU802,"")</f>
        <v>17</v>
      </c>
      <c r="CH802" s="13" t="n">
        <f>IF(AND(COUNT(BV802,CF802,CG802)=3,MIN(BV802,CF802,CG802)&gt;=0),BV802*CF802*CG802,"")</f>
        <v>0</v>
      </c>
      <c r="CI802" s="13" t="n">
        <f>IF(COUNT(BY802,CB802,CE802,CH802)=4,SUM(BY802,CB802,CE802,CH802),"")</f>
        <v>0</v>
      </c>
    </row>
    <row r="803" ht="72" customHeight="1">
      <c r="A803" s="16" t="str">
        <v>60516-TN-S-K-10.5</v>
      </c>
      <c r="B803" s="16" t="str">
        <v>3店-SANDIEX-US</v>
      </c>
      <c r="C803" s="16" t="str">
        <v>徐新怡</v>
      </c>
      <c r="D803" s="26" t="n">
        <f>IF(NOT(ISNUMBER(E803)),"",IF(OR(E803&lt;=0,L803=0),0,IF(OR(NOT(ISNUMBER(F803)),F803&lt;0),"",MIN(E803,INT(F803)))))</f>
        <v>0</v>
      </c>
      <c r="E803" s="27" t="n">
        <f>IF(OR(NOT(ISNUMBER(L803)),COUNT(M803:O803)&lt;&gt;3,MIN(M803:O803)&lt;0),"",ROUNDUP(ROUND(BI803-SUM(M803:O803),10),0))</f>
        <v>0</v>
      </c>
      <c r="F803" s="28"/>
      <c r="G803" s="28" t="n">
        <f>IF(AND(ISNUMBER(D803),ISNUMBER(E803)),IF(OR(E803&lt;=0,L803=0),0,E803-D803),"")</f>
        <v>0</v>
      </c>
      <c r="H803" s="16" t="str">
        <f>IF(NOT(ISNUMBER(E803)),"销量或海外库存待补",IF(OR(E803&lt;=0,L803=0),IF(L803=0,"零日销，本批不发","本批无需补货"),IF(NOT(ISNUMBER(D803)),"国内库存待补",IF(D803=0,"国内无可用库存",IF(G803&gt;0,"先发国内现货","按建议量发货")))))</f>
        <v>零日销，本批不发</v>
      </c>
      <c r="I803" s="28" t="n">
        <f>IF(AND(COUNT(Z803,AA803,AB803)=3,Z803&gt;=AA803,AA803&gt;=0,AB803=7),Z803-AA803,"")</f>
        <v>0</v>
      </c>
      <c r="J803" s="28" t="n">
        <f>IF(AND(COUNT(AF803,AG803,AH803)=3,AF803&gt;=AG803,AG803&gt;=0,AH803=14),AF803-AG803,"")</f>
        <v>0</v>
      </c>
      <c r="K803" s="28" t="n">
        <f>IF(AND(COUNT(AL803,AM803,AN803)=3,AL803&gt;=AM803,AM803&gt;=0,AN803=30),AL803-AM803,"")</f>
        <v>0</v>
      </c>
      <c r="L803" s="29" t="n">
        <f>IF(ISNUMBER(BI803),BI803/90,"")</f>
        <v>0</v>
      </c>
      <c r="M803" s="28" t="n">
        <v>0</v>
      </c>
      <c r="N803" s="28" t="n">
        <v>0</v>
      </c>
      <c r="O803" s="28" t="n">
        <v>0</v>
      </c>
      <c r="P803" s="30" t="str">
        <f>IF(AND(ISNUMBER(L803),L803&gt;0,COUNT(M803:O803)=3,MIN(M803:O803)&gt;=0),SUM(M803:O803)/L803,"")</f>
      </c>
      <c r="Q803" s="16" t="str">
        <v>按本SKU唯一未删除Listing店铺核实</v>
      </c>
      <c r="R803" s="16" t="str">
        <v>未匹配</v>
      </c>
      <c r="S803" s="16" t="str">
        <v>停售</v>
      </c>
      <c r="T803" s="16" t="str">
        <v>60516</v>
      </c>
      <c r="U803" s="16" t="str">
        <v>驼色</v>
      </c>
      <c r="V803" s="16" t="n">
        <v>10.5</v>
      </c>
      <c r="W803" s="8" t="str">
        <v>2026-10-08 至 2026-10-17</v>
      </c>
      <c r="X803" s="8" t="str">
        <v>2026-10-08、2026-10-09、2026-10-10、2026-10-11、2026-10-14、2026-10-15、2026-10-17</v>
      </c>
      <c r="Y803" s="8" t="str">
        <v>2026-10-12 有记录的停售日；2026-10-13 有记录的停售日；2026-10-16 有记录的停售日</v>
      </c>
      <c r="Z803" s="8" t="n">
        <v>0</v>
      </c>
      <c r="AA803" s="8" t="n">
        <v>0</v>
      </c>
      <c r="AB803" s="8" t="n">
        <v>7</v>
      </c>
      <c r="AC803" s="8" t="str">
        <v>2026-09-29 至 2026-10-17</v>
      </c>
      <c r="AD803" s="8" t="str">
        <v>2026-09-29、2026-09-30、2026-10-01、2026-10-02、2026-10-03、2026-10-04、2026-10-05、2026-10-08、2026-10-09、2026-10-10、2026-10-11、2026-10-14、2026-10-15、2026-10-17</v>
      </c>
      <c r="AE803" s="8" t="str">
        <v>2026-10-06 大促；2026-10-07 大促；2026-10-12 有记录的停售日；2026-10-13 有记录的停售日；2026-10-16 有记录的停售日</v>
      </c>
      <c r="AF803" s="8" t="n">
        <v>0</v>
      </c>
      <c r="AG803" s="8" t="n">
        <v>0</v>
      </c>
      <c r="AH803" s="8" t="n">
        <v>14</v>
      </c>
      <c r="AI803" s="8" t="str">
        <v>2026-09-13 至 2026-10-17</v>
      </c>
      <c r="AJ80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3" s="8" t="str">
        <v>2026-10-06 大促；2026-10-07 大促；2026-10-12 有记录的停售日；2026-10-13 有记录的停售日；2026-10-16 有记录的停售日</v>
      </c>
      <c r="AL803" s="8" t="n">
        <v>0</v>
      </c>
      <c r="AM803" s="8" t="n">
        <v>0</v>
      </c>
      <c r="AN803" s="8" t="n">
        <v>30</v>
      </c>
      <c r="AO803" s="8" t="str">
        <v>60516 / 驼色羊京绒 / 6574</v>
      </c>
      <c r="AP803" s="11" t="n">
        <v>1.8609238953732312</v>
      </c>
      <c r="AQ803" s="11" t="n">
        <v>1.832044958686392</v>
      </c>
      <c r="AR803" s="11" t="n">
        <v>1.7396323612885067</v>
      </c>
      <c r="AS803" s="11" t="n">
        <f>IF(AND(COUNT(I803:K803,AP803:AR803)=6,MIN(AP803:AR803)&gt;0),I803/7/AP803*0.5+J803/14/AQ803*0.3+K803/30/AR803*0.2,"")</f>
        <v>0</v>
      </c>
      <c r="AT803" s="8" t="n">
        <v>0</v>
      </c>
      <c r="AU803" s="8" t="n">
        <v>0</v>
      </c>
      <c r="AV803" s="8" t="n">
        <v>85</v>
      </c>
      <c r="AW803" s="11" t="n">
        <f>IF(AND(COUNT(AT803:AV803)=3,AT803&gt;=AU803,AU803&gt;=0,AV803&gt;0),(AT803-AU803)/AV803,"")</f>
        <v>0</v>
      </c>
      <c r="AX803" s="8" t="n">
        <v>0</v>
      </c>
      <c r="AY803" s="8" t="n">
        <v>0</v>
      </c>
      <c r="AZ803" s="8" t="n">
        <v>175</v>
      </c>
      <c r="BA803" s="11" t="n">
        <f>IF(AND(COUNT(AX803:AZ803)=3,AX803&gt;=AY803,AY803&gt;=0,AZ803&gt;0),(AX803-AY803)/AZ803,"")</f>
        <v>0</v>
      </c>
      <c r="BB803" s="8" t="n">
        <f>IF(COUNT(AS803,AW803,BA803)=3,1,0)</f>
        <v>1</v>
      </c>
      <c r="BC803" s="11" t="n">
        <f>IF(SUMIF($AO$11:$AO$1309,AO803,$BB$11:$BB$1309)=COUNTIF($AO$11:$AO$1309,AO803),SUMIF($AO$11:$AO$1309,AO803,$AS$11:$AS$1309),"")</f>
        <v>0</v>
      </c>
      <c r="BD803" s="11" t="n">
        <f>IF(SUMIF($AO$11:$AO$1309,AO803,$BB$11:$BB$1309)=COUNTIF($AO$11:$AO$1309,AO803),SUMIF($AO$11:$AO$1309,AO803,$AW$11:$AW$1309),"")</f>
        <v>0</v>
      </c>
      <c r="BE803" s="11" t="n">
        <f>IF(SUMIF($AO$11:$AO$1309,AO803,$BB$11:$BB$1309)=COUNTIF($AO$11:$AO$1309,AO803),SUMIF($AO$11:$AO$1309,AO803,$BA$11:$BA$1309),"")</f>
        <v>0</v>
      </c>
      <c r="BF803" s="12" t="n">
        <f>IF(COUNT(BD803:BE803)&lt;&gt;2,"",IF(AND(BD803&gt;0,BE803&gt;0),0.7*AW803/BD803+0.3*BA803/BE803,IF(BD803&gt;0,AW803/BD803,IF(BE803&gt;0,BA803/BE803,IF(AND(ISNUMBER(BH803),BH803=0),0,"")))))</f>
        <v>0</v>
      </c>
      <c r="BG803" s="11" t="n">
        <f>IF(AND(COUNT(BN803:BU803)=8,MIN(BN803:BU803)&gt;=0),SUMPRODUCT(BN803:BQ803,BR803:BU803),"")</f>
        <v>109.73769409574882</v>
      </c>
      <c r="BH803" s="11" t="n">
        <f>IF(COUNT(BC803,BG803)=2,BC803*BG803,"")</f>
        <v>0</v>
      </c>
      <c r="BI803" s="11" t="n">
        <f>IF(ISNUMBER(CI803),CI803,"")</f>
        <v>0</v>
      </c>
      <c r="BJ803" s="8" t="str">
        <v>近180天本色销量0双（＜90），无有效新采购，请运营判断</v>
      </c>
      <c r="BK803" s="8" t="str">
        <v>90天：2026-07-20 至 2026-10-17；180天：2026-04-21 至 2026-10-17</v>
      </c>
      <c r="BL803" s="8" t="str">
        <v>90天：2026-10-06、2026-10-07、2026-10-12、2026-10-13、2026-10-16；180天：2026-10-06、2026-10-07、2026-10-12、2026-10-13、2026-10-16</v>
      </c>
      <c r="BM803" s="8" t="str">
        <v>2026-10：12天 × 1.8609238953732312；2026-11：30天 × 1.438375649833085；2026-12：31天 × 0.9519742599124907；2027-01：17天 × 0.8673021058229575</v>
      </c>
      <c r="BN803" s="11" t="n">
        <v>1.8609238953732312</v>
      </c>
      <c r="BO803" s="11" t="n">
        <v>1.438375649833085</v>
      </c>
      <c r="BP803" s="11" t="n">
        <v>0.9519742599124907</v>
      </c>
      <c r="BQ803" s="11" t="n">
        <v>0.8673021058229575</v>
      </c>
      <c r="BR803" s="8" t="n">
        <v>12</v>
      </c>
      <c r="BS803" s="8" t="n">
        <v>30</v>
      </c>
      <c r="BT803" s="8" t="n">
        <v>31</v>
      </c>
      <c r="BU803" s="8" t="n">
        <v>17</v>
      </c>
      <c r="BV803" s="11" t="n">
        <f>IF(COUNT(BC803,BF803)=2,BC803*BF803,"")</f>
        <v>0</v>
      </c>
      <c r="BW803" s="11" t="n">
        <f>IF(ISNUMBER(BN803),BN803,"")</f>
        <v>1.8609238953732312</v>
      </c>
      <c r="BX803" s="14" t="n">
        <f>IF(ISNUMBER(BR803),BR803,"")</f>
        <v>12</v>
      </c>
      <c r="BY803" s="13" t="n">
        <f>IF(AND(COUNT(BV803,BW803,BX803)=3,MIN(BV803,BW803,BX803)&gt;=0),BV803*BW803*BX803,"")</f>
        <v>0</v>
      </c>
      <c r="BZ803" s="11" t="n">
        <f>IF(ISNUMBER(BO803),BO803,"")</f>
        <v>1.438375649833085</v>
      </c>
      <c r="CA803" s="14" t="n">
        <f>IF(ISNUMBER(BS803),BS803,"")</f>
        <v>30</v>
      </c>
      <c r="CB803" s="13" t="n">
        <f>IF(AND(COUNT(BV803,BZ803,CA803)=3,MIN(BV803,BZ803,CA803)&gt;=0),BV803*BZ803*CA803,"")</f>
        <v>0</v>
      </c>
      <c r="CC803" s="11" t="n">
        <f>IF(ISNUMBER(BP803),BP803,"")</f>
        <v>0.9519742599124907</v>
      </c>
      <c r="CD803" s="14" t="n">
        <f>IF(ISNUMBER(BT803),BT803,"")</f>
        <v>31</v>
      </c>
      <c r="CE803" s="13" t="n">
        <f>IF(AND(COUNT(BV803,CC803,CD803)=3,MIN(BV803,CC803,CD803)&gt;=0),BV803*CC803*CD803,"")</f>
        <v>0</v>
      </c>
      <c r="CF803" s="11" t="n">
        <f>IF(ISNUMBER(BQ803),BQ803,"")</f>
        <v>0.8673021058229575</v>
      </c>
      <c r="CG803" s="14" t="n">
        <f>IF(ISNUMBER(BU803),BU803,"")</f>
        <v>17</v>
      </c>
      <c r="CH803" s="13" t="n">
        <f>IF(AND(COUNT(BV803,CF803,CG803)=3,MIN(BV803,CF803,CG803)&gt;=0),BV803*CF803*CG803,"")</f>
        <v>0</v>
      </c>
      <c r="CI803" s="13" t="n">
        <f>IF(COUNT(BY803,CB803,CE803,CH803)=4,SUM(BY803,CB803,CE803,CH803),"")</f>
        <v>0</v>
      </c>
    </row>
    <row r="804" ht="72" customHeight="1">
      <c r="A804" s="16" t="str">
        <v>60516-TN-S-K-11</v>
      </c>
      <c r="B804" s="16" t="str">
        <v>3店-SANDIEX-US</v>
      </c>
      <c r="C804" s="16" t="str">
        <v>徐新怡</v>
      </c>
      <c r="D804" s="26" t="n">
        <f>IF(NOT(ISNUMBER(E804)),"",IF(OR(E804&lt;=0,L804=0),0,IF(OR(NOT(ISNUMBER(F804)),F804&lt;0),"",MIN(E804,INT(F804)))))</f>
        <v>0</v>
      </c>
      <c r="E804" s="27" t="n">
        <f>IF(OR(NOT(ISNUMBER(L804)),COUNT(M804:O804)&lt;&gt;3,MIN(M804:O804)&lt;0),"",ROUNDUP(ROUND(BI804-SUM(M804:O804),10),0))</f>
        <v>0</v>
      </c>
      <c r="F804" s="28"/>
      <c r="G804" s="28" t="n">
        <f>IF(AND(ISNUMBER(D804),ISNUMBER(E804)),IF(OR(E804&lt;=0,L804=0),0,E804-D804),"")</f>
        <v>0</v>
      </c>
      <c r="H804" s="16" t="str">
        <f>IF(NOT(ISNUMBER(E804)),"销量或海外库存待补",IF(OR(E804&lt;=0,L804=0),IF(L804=0,"零日销，本批不发","本批无需补货"),IF(NOT(ISNUMBER(D804)),"国内库存待补",IF(D804=0,"国内无可用库存",IF(G804&gt;0,"先发国内现货","按建议量发货")))))</f>
        <v>零日销，本批不发</v>
      </c>
      <c r="I804" s="28" t="n">
        <f>IF(AND(COUNT(Z804,AA804,AB804)=3,Z804&gt;=AA804,AA804&gt;=0,AB804=7),Z804-AA804,"")</f>
        <v>0</v>
      </c>
      <c r="J804" s="28" t="n">
        <f>IF(AND(COUNT(AF804,AG804,AH804)=3,AF804&gt;=AG804,AG804&gt;=0,AH804=14),AF804-AG804,"")</f>
        <v>0</v>
      </c>
      <c r="K804" s="28" t="n">
        <f>IF(AND(COUNT(AL804,AM804,AN804)=3,AL804&gt;=AM804,AM804&gt;=0,AN804=30),AL804-AM804,"")</f>
        <v>0</v>
      </c>
      <c r="L804" s="29" t="n">
        <f>IF(ISNUMBER(BI804),BI804/90,"")</f>
        <v>0</v>
      </c>
      <c r="M804" s="28" t="n">
        <v>0</v>
      </c>
      <c r="N804" s="28" t="n">
        <v>0</v>
      </c>
      <c r="O804" s="28" t="n">
        <v>0</v>
      </c>
      <c r="P804" s="30" t="str">
        <f>IF(AND(ISNUMBER(L804),L804&gt;0,COUNT(M804:O804)=3,MIN(M804:O804)&gt;=0),SUM(M804:O804)/L804,"")</f>
      </c>
      <c r="Q804" s="16" t="str">
        <v>沿用原计划SKU店铺</v>
      </c>
      <c r="R804" s="16" t="str">
        <v>未匹配</v>
      </c>
      <c r="S804" s="16" t="str">
        <v>停售</v>
      </c>
      <c r="T804" s="16" t="str">
        <v>60516</v>
      </c>
      <c r="U804" s="16" t="str">
        <v>驼色</v>
      </c>
      <c r="V804" s="16" t="n">
        <v>11</v>
      </c>
      <c r="W804" s="8" t="str">
        <v>2026-10-08 至 2026-10-17</v>
      </c>
      <c r="X804" s="8" t="str">
        <v>2026-10-08、2026-10-09、2026-10-10、2026-10-11、2026-10-14、2026-10-15、2026-10-17</v>
      </c>
      <c r="Y804" s="8" t="str">
        <v>2026-10-12 有记录的停售日；2026-10-13 有记录的停售日；2026-10-16 有记录的停售日</v>
      </c>
      <c r="Z804" s="8" t="n">
        <v>0</v>
      </c>
      <c r="AA804" s="8" t="n">
        <v>0</v>
      </c>
      <c r="AB804" s="8" t="n">
        <v>7</v>
      </c>
      <c r="AC804" s="8" t="str">
        <v>2026-09-29 至 2026-10-17</v>
      </c>
      <c r="AD804" s="8" t="str">
        <v>2026-09-29、2026-09-30、2026-10-01、2026-10-02、2026-10-03、2026-10-04、2026-10-05、2026-10-08、2026-10-09、2026-10-10、2026-10-11、2026-10-14、2026-10-15、2026-10-17</v>
      </c>
      <c r="AE804" s="8" t="str">
        <v>2026-10-06 大促；2026-10-07 大促；2026-10-12 有记录的停售日；2026-10-13 有记录的停售日；2026-10-16 有记录的停售日</v>
      </c>
      <c r="AF804" s="8" t="n">
        <v>0</v>
      </c>
      <c r="AG804" s="8" t="n">
        <v>0</v>
      </c>
      <c r="AH804" s="8" t="n">
        <v>14</v>
      </c>
      <c r="AI804" s="8" t="str">
        <v>2026-09-13 至 2026-10-17</v>
      </c>
      <c r="AJ80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4" s="8" t="str">
        <v>2026-10-06 大促；2026-10-07 大促；2026-10-12 有记录的停售日；2026-10-13 有记录的停售日；2026-10-16 有记录的停售日</v>
      </c>
      <c r="AL804" s="8" t="n">
        <v>0</v>
      </c>
      <c r="AM804" s="8" t="n">
        <v>0</v>
      </c>
      <c r="AN804" s="8" t="n">
        <v>30</v>
      </c>
      <c r="AO804" s="8" t="str">
        <v>60516 / 驼色羊京绒 / 6574</v>
      </c>
      <c r="AP804" s="11" t="n">
        <v>1.8609238953732312</v>
      </c>
      <c r="AQ804" s="11" t="n">
        <v>1.832044958686392</v>
      </c>
      <c r="AR804" s="11" t="n">
        <v>1.7396323612885067</v>
      </c>
      <c r="AS804" s="11" t="n">
        <f>IF(AND(COUNT(I804:K804,AP804:AR804)=6,MIN(AP804:AR804)&gt;0),I804/7/AP804*0.5+J804/14/AQ804*0.3+K804/30/AR804*0.2,"")</f>
        <v>0</v>
      </c>
      <c r="AT804" s="8" t="n">
        <v>0</v>
      </c>
      <c r="AU804" s="8" t="n">
        <v>0</v>
      </c>
      <c r="AV804" s="8" t="n">
        <v>85</v>
      </c>
      <c r="AW804" s="11" t="n">
        <f>IF(AND(COUNT(AT804:AV804)=3,AT804&gt;=AU804,AU804&gt;=0,AV804&gt;0),(AT804-AU804)/AV804,"")</f>
        <v>0</v>
      </c>
      <c r="AX804" s="8" t="n">
        <v>0</v>
      </c>
      <c r="AY804" s="8" t="n">
        <v>0</v>
      </c>
      <c r="AZ804" s="8" t="n">
        <v>175</v>
      </c>
      <c r="BA804" s="11" t="n">
        <f>IF(AND(COUNT(AX804:AZ804)=3,AX804&gt;=AY804,AY804&gt;=0,AZ804&gt;0),(AX804-AY804)/AZ804,"")</f>
        <v>0</v>
      </c>
      <c r="BB804" s="8" t="n">
        <f>IF(COUNT(AS804,AW804,BA804)=3,1,0)</f>
        <v>1</v>
      </c>
      <c r="BC804" s="11" t="n">
        <f>IF(SUMIF($AO$11:$AO$1309,AO804,$BB$11:$BB$1309)=COUNTIF($AO$11:$AO$1309,AO804),SUMIF($AO$11:$AO$1309,AO804,$AS$11:$AS$1309),"")</f>
        <v>0</v>
      </c>
      <c r="BD804" s="11" t="n">
        <f>IF(SUMIF($AO$11:$AO$1309,AO804,$BB$11:$BB$1309)=COUNTIF($AO$11:$AO$1309,AO804),SUMIF($AO$11:$AO$1309,AO804,$AW$11:$AW$1309),"")</f>
        <v>0</v>
      </c>
      <c r="BE804" s="11" t="n">
        <f>IF(SUMIF($AO$11:$AO$1309,AO804,$BB$11:$BB$1309)=COUNTIF($AO$11:$AO$1309,AO804),SUMIF($AO$11:$AO$1309,AO804,$BA$11:$BA$1309),"")</f>
        <v>0</v>
      </c>
      <c r="BF804" s="12" t="n">
        <f>IF(COUNT(BD804:BE804)&lt;&gt;2,"",IF(AND(BD804&gt;0,BE804&gt;0),0.7*AW804/BD804+0.3*BA804/BE804,IF(BD804&gt;0,AW804/BD804,IF(BE804&gt;0,BA804/BE804,IF(AND(ISNUMBER(BH804),BH804=0),0,"")))))</f>
        <v>0</v>
      </c>
      <c r="BG804" s="11" t="n">
        <f>IF(AND(COUNT(BN804:BU804)=8,MIN(BN804:BU804)&gt;=0),SUMPRODUCT(BN804:BQ804,BR804:BU804),"")</f>
        <v>109.73769409574882</v>
      </c>
      <c r="BH804" s="11" t="n">
        <f>IF(COUNT(BC804,BG804)=2,BC804*BG804,"")</f>
        <v>0</v>
      </c>
      <c r="BI804" s="11" t="n">
        <f>IF(ISNUMBER(CI804),CI804,"")</f>
        <v>0</v>
      </c>
      <c r="BJ804" s="8" t="str">
        <v>近180天本色销量0双（＜90），无有效新采购，请运营判断</v>
      </c>
      <c r="BK804" s="8" t="str">
        <v>90天：2026-07-20 至 2026-10-17；180天：2026-04-21 至 2026-10-17</v>
      </c>
      <c r="BL804" s="8" t="str">
        <v>90天：2026-10-06、2026-10-07、2026-10-12、2026-10-13、2026-10-16；180天：2026-10-06、2026-10-07、2026-10-12、2026-10-13、2026-10-16</v>
      </c>
      <c r="BM804" s="8" t="str">
        <v>2026-10：12天 × 1.8609238953732312；2026-11：30天 × 1.438375649833085；2026-12：31天 × 0.9519742599124907；2027-01：17天 × 0.8673021058229575</v>
      </c>
      <c r="BN804" s="11" t="n">
        <v>1.8609238953732312</v>
      </c>
      <c r="BO804" s="11" t="n">
        <v>1.438375649833085</v>
      </c>
      <c r="BP804" s="11" t="n">
        <v>0.9519742599124907</v>
      </c>
      <c r="BQ804" s="11" t="n">
        <v>0.8673021058229575</v>
      </c>
      <c r="BR804" s="8" t="n">
        <v>12</v>
      </c>
      <c r="BS804" s="8" t="n">
        <v>30</v>
      </c>
      <c r="BT804" s="8" t="n">
        <v>31</v>
      </c>
      <c r="BU804" s="8" t="n">
        <v>17</v>
      </c>
      <c r="BV804" s="11" t="n">
        <f>IF(COUNT(BC804,BF804)=2,BC804*BF804,"")</f>
        <v>0</v>
      </c>
      <c r="BW804" s="11" t="n">
        <f>IF(ISNUMBER(BN804),BN804,"")</f>
        <v>1.8609238953732312</v>
      </c>
      <c r="BX804" s="14" t="n">
        <f>IF(ISNUMBER(BR804),BR804,"")</f>
        <v>12</v>
      </c>
      <c r="BY804" s="13" t="n">
        <f>IF(AND(COUNT(BV804,BW804,BX804)=3,MIN(BV804,BW804,BX804)&gt;=0),BV804*BW804*BX804,"")</f>
        <v>0</v>
      </c>
      <c r="BZ804" s="11" t="n">
        <f>IF(ISNUMBER(BO804),BO804,"")</f>
        <v>1.438375649833085</v>
      </c>
      <c r="CA804" s="14" t="n">
        <f>IF(ISNUMBER(BS804),BS804,"")</f>
        <v>30</v>
      </c>
      <c r="CB804" s="13" t="n">
        <f>IF(AND(COUNT(BV804,BZ804,CA804)=3,MIN(BV804,BZ804,CA804)&gt;=0),BV804*BZ804*CA804,"")</f>
        <v>0</v>
      </c>
      <c r="CC804" s="11" t="n">
        <f>IF(ISNUMBER(BP804),BP804,"")</f>
        <v>0.9519742599124907</v>
      </c>
      <c r="CD804" s="14" t="n">
        <f>IF(ISNUMBER(BT804),BT804,"")</f>
        <v>31</v>
      </c>
      <c r="CE804" s="13" t="n">
        <f>IF(AND(COUNT(BV804,CC804,CD804)=3,MIN(BV804,CC804,CD804)&gt;=0),BV804*CC804*CD804,"")</f>
        <v>0</v>
      </c>
      <c r="CF804" s="11" t="n">
        <f>IF(ISNUMBER(BQ804),BQ804,"")</f>
        <v>0.8673021058229575</v>
      </c>
      <c r="CG804" s="14" t="n">
        <f>IF(ISNUMBER(BU804),BU804,"")</f>
        <v>17</v>
      </c>
      <c r="CH804" s="13" t="n">
        <f>IF(AND(COUNT(BV804,CF804,CG804)=3,MIN(BV804,CF804,CG804)&gt;=0),BV804*CF804*CG804,"")</f>
        <v>0</v>
      </c>
      <c r="CI804" s="13" t="n">
        <f>IF(COUNT(BY804,CB804,CE804,CH804)=4,SUM(BY804,CB804,CE804,CH804),"")</f>
        <v>0</v>
      </c>
    </row>
    <row r="805" ht="72" customHeight="1">
      <c r="A805" s="16" t="str">
        <v>60516-TN-S-K-6</v>
      </c>
      <c r="B805" s="16" t="str">
        <v>3店-SANDIEX-US</v>
      </c>
      <c r="C805" s="16" t="str">
        <v>徐新怡</v>
      </c>
      <c r="D805" s="26" t="n">
        <f>IF(NOT(ISNUMBER(E805)),"",IF(OR(E805&lt;=0,L805=0),0,IF(OR(NOT(ISNUMBER(F805)),F805&lt;0),"",MIN(E805,INT(F805)))))</f>
        <v>0</v>
      </c>
      <c r="E805" s="27" t="n">
        <f>IF(OR(NOT(ISNUMBER(L805)),COUNT(M805:O805)&lt;&gt;3,MIN(M805:O805)&lt;0),"",ROUNDUP(ROUND(BI805-SUM(M805:O805),10),0))</f>
        <v>0</v>
      </c>
      <c r="F805" s="28"/>
      <c r="G805" s="28" t="n">
        <f>IF(AND(ISNUMBER(D805),ISNUMBER(E805)),IF(OR(E805&lt;=0,L805=0),0,E805-D805),"")</f>
        <v>0</v>
      </c>
      <c r="H805" s="16" t="str">
        <f>IF(NOT(ISNUMBER(E805)),"销量或海外库存待补",IF(OR(E805&lt;=0,L805=0),IF(L805=0,"零日销，本批不发","本批无需补货"),IF(NOT(ISNUMBER(D805)),"国内库存待补",IF(D805=0,"国内无可用库存",IF(G805&gt;0,"先发国内现货","按建议量发货")))))</f>
        <v>零日销，本批不发</v>
      </c>
      <c r="I805" s="28" t="n">
        <f>IF(AND(COUNT(Z805,AA805,AB805)=3,Z805&gt;=AA805,AA805&gt;=0,AB805=7),Z805-AA805,"")</f>
        <v>0</v>
      </c>
      <c r="J805" s="28" t="n">
        <f>IF(AND(COUNT(AF805,AG805,AH805)=3,AF805&gt;=AG805,AG805&gt;=0,AH805=14),AF805-AG805,"")</f>
        <v>0</v>
      </c>
      <c r="K805" s="28" t="n">
        <f>IF(AND(COUNT(AL805,AM805,AN805)=3,AL805&gt;=AM805,AM805&gt;=0,AN805=30),AL805-AM805,"")</f>
        <v>0</v>
      </c>
      <c r="L805" s="29" t="n">
        <f>IF(ISNUMBER(BI805),BI805/90,"")</f>
        <v>0</v>
      </c>
      <c r="M805" s="28" t="n">
        <v>0</v>
      </c>
      <c r="N805" s="28" t="n">
        <v>0</v>
      </c>
      <c r="O805" s="28" t="n">
        <v>0</v>
      </c>
      <c r="P805" s="30" t="str">
        <f>IF(AND(ISNUMBER(L805),L805&gt;0,COUNT(M805:O805)=3,MIN(M805:O805)&gt;=0),SUM(M805:O805)/L805,"")</f>
      </c>
      <c r="Q805" s="16" t="str">
        <v>沿用原计划SKU店铺</v>
      </c>
      <c r="R805" s="16" t="str">
        <v>未匹配</v>
      </c>
      <c r="S805" s="16" t="str">
        <v>停售</v>
      </c>
      <c r="T805" s="16" t="str">
        <v>60516</v>
      </c>
      <c r="U805" s="16" t="str">
        <v>驼色</v>
      </c>
      <c r="V805" s="16" t="n">
        <v>6</v>
      </c>
      <c r="W805" s="8" t="str">
        <v>2026-10-08 至 2026-10-17</v>
      </c>
      <c r="X805" s="8" t="str">
        <v>2026-10-08、2026-10-09、2026-10-10、2026-10-11、2026-10-14、2026-10-15、2026-10-17</v>
      </c>
      <c r="Y805" s="8" t="str">
        <v>2026-10-12 有记录的停售日；2026-10-13 有记录的停售日；2026-10-16 有记录的停售日</v>
      </c>
      <c r="Z805" s="8" t="n">
        <v>0</v>
      </c>
      <c r="AA805" s="8" t="n">
        <v>0</v>
      </c>
      <c r="AB805" s="8" t="n">
        <v>7</v>
      </c>
      <c r="AC805" s="8" t="str">
        <v>2026-09-29 至 2026-10-17</v>
      </c>
      <c r="AD805" s="8" t="str">
        <v>2026-09-29、2026-09-30、2026-10-01、2026-10-02、2026-10-03、2026-10-04、2026-10-05、2026-10-08、2026-10-09、2026-10-10、2026-10-11、2026-10-14、2026-10-15、2026-10-17</v>
      </c>
      <c r="AE805" s="8" t="str">
        <v>2026-10-06 大促；2026-10-07 大促；2026-10-12 有记录的停售日；2026-10-13 有记录的停售日；2026-10-16 有记录的停售日</v>
      </c>
      <c r="AF805" s="8" t="n">
        <v>0</v>
      </c>
      <c r="AG805" s="8" t="n">
        <v>0</v>
      </c>
      <c r="AH805" s="8" t="n">
        <v>14</v>
      </c>
      <c r="AI805" s="8" t="str">
        <v>2026-09-13 至 2026-10-17</v>
      </c>
      <c r="AJ80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5" s="8" t="str">
        <v>2026-10-06 大促；2026-10-07 大促；2026-10-12 有记录的停售日；2026-10-13 有记录的停售日；2026-10-16 有记录的停售日</v>
      </c>
      <c r="AL805" s="8" t="n">
        <v>0</v>
      </c>
      <c r="AM805" s="8" t="n">
        <v>0</v>
      </c>
      <c r="AN805" s="8" t="n">
        <v>30</v>
      </c>
      <c r="AO805" s="8" t="str">
        <v>60516 / 驼色羊京绒 / 6574</v>
      </c>
      <c r="AP805" s="11" t="n">
        <v>1.8609238953732312</v>
      </c>
      <c r="AQ805" s="11" t="n">
        <v>1.832044958686392</v>
      </c>
      <c r="AR805" s="11" t="n">
        <v>1.7396323612885067</v>
      </c>
      <c r="AS805" s="11" t="n">
        <f>IF(AND(COUNT(I805:K805,AP805:AR805)=6,MIN(AP805:AR805)&gt;0),I805/7/AP805*0.5+J805/14/AQ805*0.3+K805/30/AR805*0.2,"")</f>
        <v>0</v>
      </c>
      <c r="AT805" s="8" t="n">
        <v>0</v>
      </c>
      <c r="AU805" s="8" t="n">
        <v>0</v>
      </c>
      <c r="AV805" s="8" t="n">
        <v>85</v>
      </c>
      <c r="AW805" s="11" t="n">
        <f>IF(AND(COUNT(AT805:AV805)=3,AT805&gt;=AU805,AU805&gt;=0,AV805&gt;0),(AT805-AU805)/AV805,"")</f>
        <v>0</v>
      </c>
      <c r="AX805" s="8" t="n">
        <v>0</v>
      </c>
      <c r="AY805" s="8" t="n">
        <v>0</v>
      </c>
      <c r="AZ805" s="8" t="n">
        <v>175</v>
      </c>
      <c r="BA805" s="11" t="n">
        <f>IF(AND(COUNT(AX805:AZ805)=3,AX805&gt;=AY805,AY805&gt;=0,AZ805&gt;0),(AX805-AY805)/AZ805,"")</f>
        <v>0</v>
      </c>
      <c r="BB805" s="8" t="n">
        <f>IF(COUNT(AS805,AW805,BA805)=3,1,0)</f>
        <v>1</v>
      </c>
      <c r="BC805" s="11" t="n">
        <f>IF(SUMIF($AO$11:$AO$1309,AO805,$BB$11:$BB$1309)=COUNTIF($AO$11:$AO$1309,AO805),SUMIF($AO$11:$AO$1309,AO805,$AS$11:$AS$1309),"")</f>
        <v>0</v>
      </c>
      <c r="BD805" s="11" t="n">
        <f>IF(SUMIF($AO$11:$AO$1309,AO805,$BB$11:$BB$1309)=COUNTIF($AO$11:$AO$1309,AO805),SUMIF($AO$11:$AO$1309,AO805,$AW$11:$AW$1309),"")</f>
        <v>0</v>
      </c>
      <c r="BE805" s="11" t="n">
        <f>IF(SUMIF($AO$11:$AO$1309,AO805,$BB$11:$BB$1309)=COUNTIF($AO$11:$AO$1309,AO805),SUMIF($AO$11:$AO$1309,AO805,$BA$11:$BA$1309),"")</f>
        <v>0</v>
      </c>
      <c r="BF805" s="12" t="n">
        <f>IF(COUNT(BD805:BE805)&lt;&gt;2,"",IF(AND(BD805&gt;0,BE805&gt;0),0.7*AW805/BD805+0.3*BA805/BE805,IF(BD805&gt;0,AW805/BD805,IF(BE805&gt;0,BA805/BE805,IF(AND(ISNUMBER(BH805),BH805=0),0,"")))))</f>
        <v>0</v>
      </c>
      <c r="BG805" s="11" t="n">
        <f>IF(AND(COUNT(BN805:BU805)=8,MIN(BN805:BU805)&gt;=0),SUMPRODUCT(BN805:BQ805,BR805:BU805),"")</f>
        <v>109.73769409574882</v>
      </c>
      <c r="BH805" s="11" t="n">
        <f>IF(COUNT(BC805,BG805)=2,BC805*BG805,"")</f>
        <v>0</v>
      </c>
      <c r="BI805" s="11" t="n">
        <f>IF(ISNUMBER(CI805),CI805,"")</f>
        <v>0</v>
      </c>
      <c r="BJ805" s="8" t="str">
        <v>近180天本色销量0双（＜90），无有效新采购，请运营判断</v>
      </c>
      <c r="BK805" s="8" t="str">
        <v>90天：2026-07-20 至 2026-10-17；180天：2026-04-21 至 2026-10-17</v>
      </c>
      <c r="BL805" s="8" t="str">
        <v>90天：2026-10-06、2026-10-07、2026-10-12、2026-10-13、2026-10-16；180天：2026-10-06、2026-10-07、2026-10-12、2026-10-13、2026-10-16</v>
      </c>
      <c r="BM805" s="8" t="str">
        <v>2026-10：12天 × 1.8609238953732312；2026-11：30天 × 1.438375649833085；2026-12：31天 × 0.9519742599124907；2027-01：17天 × 0.8673021058229575</v>
      </c>
      <c r="BN805" s="11" t="n">
        <v>1.8609238953732312</v>
      </c>
      <c r="BO805" s="11" t="n">
        <v>1.438375649833085</v>
      </c>
      <c r="BP805" s="11" t="n">
        <v>0.9519742599124907</v>
      </c>
      <c r="BQ805" s="11" t="n">
        <v>0.8673021058229575</v>
      </c>
      <c r="BR805" s="8" t="n">
        <v>12</v>
      </c>
      <c r="BS805" s="8" t="n">
        <v>30</v>
      </c>
      <c r="BT805" s="8" t="n">
        <v>31</v>
      </c>
      <c r="BU805" s="8" t="n">
        <v>17</v>
      </c>
      <c r="BV805" s="11" t="n">
        <f>IF(COUNT(BC805,BF805)=2,BC805*BF805,"")</f>
        <v>0</v>
      </c>
      <c r="BW805" s="11" t="n">
        <f>IF(ISNUMBER(BN805),BN805,"")</f>
        <v>1.8609238953732312</v>
      </c>
      <c r="BX805" s="14" t="n">
        <f>IF(ISNUMBER(BR805),BR805,"")</f>
        <v>12</v>
      </c>
      <c r="BY805" s="13" t="n">
        <f>IF(AND(COUNT(BV805,BW805,BX805)=3,MIN(BV805,BW805,BX805)&gt;=0),BV805*BW805*BX805,"")</f>
        <v>0</v>
      </c>
      <c r="BZ805" s="11" t="n">
        <f>IF(ISNUMBER(BO805),BO805,"")</f>
        <v>1.438375649833085</v>
      </c>
      <c r="CA805" s="14" t="n">
        <f>IF(ISNUMBER(BS805),BS805,"")</f>
        <v>30</v>
      </c>
      <c r="CB805" s="13" t="n">
        <f>IF(AND(COUNT(BV805,BZ805,CA805)=3,MIN(BV805,BZ805,CA805)&gt;=0),BV805*BZ805*CA805,"")</f>
        <v>0</v>
      </c>
      <c r="CC805" s="11" t="n">
        <f>IF(ISNUMBER(BP805),BP805,"")</f>
        <v>0.9519742599124907</v>
      </c>
      <c r="CD805" s="14" t="n">
        <f>IF(ISNUMBER(BT805),BT805,"")</f>
        <v>31</v>
      </c>
      <c r="CE805" s="13" t="n">
        <f>IF(AND(COUNT(BV805,CC805,CD805)=3,MIN(BV805,CC805,CD805)&gt;=0),BV805*CC805*CD805,"")</f>
        <v>0</v>
      </c>
      <c r="CF805" s="11" t="n">
        <f>IF(ISNUMBER(BQ805),BQ805,"")</f>
        <v>0.8673021058229575</v>
      </c>
      <c r="CG805" s="14" t="n">
        <f>IF(ISNUMBER(BU805),BU805,"")</f>
        <v>17</v>
      </c>
      <c r="CH805" s="13" t="n">
        <f>IF(AND(COUNT(BV805,CF805,CG805)=3,MIN(BV805,CF805,CG805)&gt;=0),BV805*CF805*CG805,"")</f>
        <v>0</v>
      </c>
      <c r="CI805" s="13" t="n">
        <f>IF(COUNT(BY805,CB805,CE805,CH805)=4,SUM(BY805,CB805,CE805,CH805),"")</f>
        <v>0</v>
      </c>
    </row>
    <row r="806" ht="72" customHeight="1">
      <c r="A806" s="16" t="str">
        <v>60516-TN-S-K-6.5</v>
      </c>
      <c r="B806" s="16" t="str">
        <v>3店-SANDIEX-US</v>
      </c>
      <c r="C806" s="16" t="str">
        <v>徐新怡</v>
      </c>
      <c r="D806" s="26" t="n">
        <f>IF(NOT(ISNUMBER(E806)),"",IF(OR(E806&lt;=0,L806=0),0,IF(OR(NOT(ISNUMBER(F806)),F806&lt;0),"",MIN(E806,INT(F806)))))</f>
        <v>0</v>
      </c>
      <c r="E806" s="27" t="n">
        <f>IF(OR(NOT(ISNUMBER(L806)),COUNT(M806:O806)&lt;&gt;3,MIN(M806:O806)&lt;0),"",ROUNDUP(ROUND(BI806-SUM(M806:O806),10),0))</f>
        <v>0</v>
      </c>
      <c r="F806" s="28"/>
      <c r="G806" s="28" t="n">
        <f>IF(AND(ISNUMBER(D806),ISNUMBER(E806)),IF(OR(E806&lt;=0,L806=0),0,E806-D806),"")</f>
        <v>0</v>
      </c>
      <c r="H806" s="16" t="str">
        <f>IF(NOT(ISNUMBER(E806)),"销量或海外库存待补",IF(OR(E806&lt;=0,L806=0),IF(L806=0,"零日销，本批不发","本批无需补货"),IF(NOT(ISNUMBER(D806)),"国内库存待补",IF(D806=0,"国内无可用库存",IF(G806&gt;0,"先发国内现货","按建议量发货")))))</f>
        <v>零日销，本批不发</v>
      </c>
      <c r="I806" s="28" t="n">
        <f>IF(AND(COUNT(Z806,AA806,AB806)=3,Z806&gt;=AA806,AA806&gt;=0,AB806=7),Z806-AA806,"")</f>
        <v>0</v>
      </c>
      <c r="J806" s="28" t="n">
        <f>IF(AND(COUNT(AF806,AG806,AH806)=3,AF806&gt;=AG806,AG806&gt;=0,AH806=14),AF806-AG806,"")</f>
        <v>0</v>
      </c>
      <c r="K806" s="28" t="n">
        <f>IF(AND(COUNT(AL806,AM806,AN806)=3,AL806&gt;=AM806,AM806&gt;=0,AN806=30),AL806-AM806,"")</f>
        <v>0</v>
      </c>
      <c r="L806" s="29" t="n">
        <f>IF(ISNUMBER(BI806),BI806/90,"")</f>
        <v>0</v>
      </c>
      <c r="M806" s="28" t="n">
        <v>0</v>
      </c>
      <c r="N806" s="28" t="n">
        <v>0</v>
      </c>
      <c r="O806" s="28" t="n">
        <v>0</v>
      </c>
      <c r="P806" s="30" t="str">
        <f>IF(AND(ISNUMBER(L806),L806&gt;0,COUNT(M806:O806)=3,MIN(M806:O806)&gt;=0),SUM(M806:O806)/L806,"")</f>
      </c>
      <c r="Q806" s="16" t="str">
        <v>按本SKU唯一未删除Listing店铺核实</v>
      </c>
      <c r="R806" s="16" t="str">
        <v>未匹配</v>
      </c>
      <c r="S806" s="16" t="str">
        <v>停售</v>
      </c>
      <c r="T806" s="16" t="str">
        <v>60516</v>
      </c>
      <c r="U806" s="16" t="str">
        <v>驼色</v>
      </c>
      <c r="V806" s="16" t="n">
        <v>6.5</v>
      </c>
      <c r="W806" s="8" t="str">
        <v>2026-10-08 至 2026-10-17</v>
      </c>
      <c r="X806" s="8" t="str">
        <v>2026-10-08、2026-10-09、2026-10-10、2026-10-11、2026-10-14、2026-10-15、2026-10-17</v>
      </c>
      <c r="Y806" s="8" t="str">
        <v>2026-10-12 有记录的停售日；2026-10-13 有记录的停售日；2026-10-16 有记录的停售日</v>
      </c>
      <c r="Z806" s="8" t="n">
        <v>0</v>
      </c>
      <c r="AA806" s="8" t="n">
        <v>0</v>
      </c>
      <c r="AB806" s="8" t="n">
        <v>7</v>
      </c>
      <c r="AC806" s="8" t="str">
        <v>2026-09-29 至 2026-10-17</v>
      </c>
      <c r="AD806" s="8" t="str">
        <v>2026-09-29、2026-09-30、2026-10-01、2026-10-02、2026-10-03、2026-10-04、2026-10-05、2026-10-08、2026-10-09、2026-10-10、2026-10-11、2026-10-14、2026-10-15、2026-10-17</v>
      </c>
      <c r="AE806" s="8" t="str">
        <v>2026-10-06 大促；2026-10-07 大促；2026-10-12 有记录的停售日；2026-10-13 有记录的停售日；2026-10-16 有记录的停售日</v>
      </c>
      <c r="AF806" s="8" t="n">
        <v>0</v>
      </c>
      <c r="AG806" s="8" t="n">
        <v>0</v>
      </c>
      <c r="AH806" s="8" t="n">
        <v>14</v>
      </c>
      <c r="AI806" s="8" t="str">
        <v>2026-09-13 至 2026-10-17</v>
      </c>
      <c r="AJ80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6" s="8" t="str">
        <v>2026-10-06 大促；2026-10-07 大促；2026-10-12 有记录的停售日；2026-10-13 有记录的停售日；2026-10-16 有记录的停售日</v>
      </c>
      <c r="AL806" s="8" t="n">
        <v>0</v>
      </c>
      <c r="AM806" s="8" t="n">
        <v>0</v>
      </c>
      <c r="AN806" s="8" t="n">
        <v>30</v>
      </c>
      <c r="AO806" s="8" t="str">
        <v>60516 / 驼色羊京绒 / 6574</v>
      </c>
      <c r="AP806" s="11" t="n">
        <v>1.8609238953732312</v>
      </c>
      <c r="AQ806" s="11" t="n">
        <v>1.832044958686392</v>
      </c>
      <c r="AR806" s="11" t="n">
        <v>1.7396323612885067</v>
      </c>
      <c r="AS806" s="11" t="n">
        <f>IF(AND(COUNT(I806:K806,AP806:AR806)=6,MIN(AP806:AR806)&gt;0),I806/7/AP806*0.5+J806/14/AQ806*0.3+K806/30/AR806*0.2,"")</f>
        <v>0</v>
      </c>
      <c r="AT806" s="8" t="n">
        <v>0</v>
      </c>
      <c r="AU806" s="8" t="n">
        <v>0</v>
      </c>
      <c r="AV806" s="8" t="n">
        <v>85</v>
      </c>
      <c r="AW806" s="11" t="n">
        <f>IF(AND(COUNT(AT806:AV806)=3,AT806&gt;=AU806,AU806&gt;=0,AV806&gt;0),(AT806-AU806)/AV806,"")</f>
        <v>0</v>
      </c>
      <c r="AX806" s="8" t="n">
        <v>0</v>
      </c>
      <c r="AY806" s="8" t="n">
        <v>0</v>
      </c>
      <c r="AZ806" s="8" t="n">
        <v>175</v>
      </c>
      <c r="BA806" s="11" t="n">
        <f>IF(AND(COUNT(AX806:AZ806)=3,AX806&gt;=AY806,AY806&gt;=0,AZ806&gt;0),(AX806-AY806)/AZ806,"")</f>
        <v>0</v>
      </c>
      <c r="BB806" s="8" t="n">
        <f>IF(COUNT(AS806,AW806,BA806)=3,1,0)</f>
        <v>1</v>
      </c>
      <c r="BC806" s="11" t="n">
        <f>IF(SUMIF($AO$11:$AO$1309,AO806,$BB$11:$BB$1309)=COUNTIF($AO$11:$AO$1309,AO806),SUMIF($AO$11:$AO$1309,AO806,$AS$11:$AS$1309),"")</f>
        <v>0</v>
      </c>
      <c r="BD806" s="11" t="n">
        <f>IF(SUMIF($AO$11:$AO$1309,AO806,$BB$11:$BB$1309)=COUNTIF($AO$11:$AO$1309,AO806),SUMIF($AO$11:$AO$1309,AO806,$AW$11:$AW$1309),"")</f>
        <v>0</v>
      </c>
      <c r="BE806" s="11" t="n">
        <f>IF(SUMIF($AO$11:$AO$1309,AO806,$BB$11:$BB$1309)=COUNTIF($AO$11:$AO$1309,AO806),SUMIF($AO$11:$AO$1309,AO806,$BA$11:$BA$1309),"")</f>
        <v>0</v>
      </c>
      <c r="BF806" s="12" t="n">
        <f>IF(COUNT(BD806:BE806)&lt;&gt;2,"",IF(AND(BD806&gt;0,BE806&gt;0),0.7*AW806/BD806+0.3*BA806/BE806,IF(BD806&gt;0,AW806/BD806,IF(BE806&gt;0,BA806/BE806,IF(AND(ISNUMBER(BH806),BH806=0),0,"")))))</f>
        <v>0</v>
      </c>
      <c r="BG806" s="11" t="n">
        <f>IF(AND(COUNT(BN806:BU806)=8,MIN(BN806:BU806)&gt;=0),SUMPRODUCT(BN806:BQ806,BR806:BU806),"")</f>
        <v>109.73769409574882</v>
      </c>
      <c r="BH806" s="11" t="n">
        <f>IF(COUNT(BC806,BG806)=2,BC806*BG806,"")</f>
        <v>0</v>
      </c>
      <c r="BI806" s="11" t="n">
        <f>IF(ISNUMBER(CI806),CI806,"")</f>
        <v>0</v>
      </c>
      <c r="BJ806" s="8" t="str">
        <v>近180天本色销量0双（＜90），无有效新采购，请运营判断</v>
      </c>
      <c r="BK806" s="8" t="str">
        <v>90天：2026-07-20 至 2026-10-17；180天：2026-04-21 至 2026-10-17</v>
      </c>
      <c r="BL806" s="8" t="str">
        <v>90天：2026-10-06、2026-10-07、2026-10-12、2026-10-13、2026-10-16；180天：2026-10-06、2026-10-07、2026-10-12、2026-10-13、2026-10-16</v>
      </c>
      <c r="BM806" s="8" t="str">
        <v>2026-10：12天 × 1.8609238953732312；2026-11：30天 × 1.438375649833085；2026-12：31天 × 0.9519742599124907；2027-01：17天 × 0.8673021058229575</v>
      </c>
      <c r="BN806" s="11" t="n">
        <v>1.8609238953732312</v>
      </c>
      <c r="BO806" s="11" t="n">
        <v>1.438375649833085</v>
      </c>
      <c r="BP806" s="11" t="n">
        <v>0.9519742599124907</v>
      </c>
      <c r="BQ806" s="11" t="n">
        <v>0.8673021058229575</v>
      </c>
      <c r="BR806" s="8" t="n">
        <v>12</v>
      </c>
      <c r="BS806" s="8" t="n">
        <v>30</v>
      </c>
      <c r="BT806" s="8" t="n">
        <v>31</v>
      </c>
      <c r="BU806" s="8" t="n">
        <v>17</v>
      </c>
      <c r="BV806" s="11" t="n">
        <f>IF(COUNT(BC806,BF806)=2,BC806*BF806,"")</f>
        <v>0</v>
      </c>
      <c r="BW806" s="11" t="n">
        <f>IF(ISNUMBER(BN806),BN806,"")</f>
        <v>1.8609238953732312</v>
      </c>
      <c r="BX806" s="14" t="n">
        <f>IF(ISNUMBER(BR806),BR806,"")</f>
        <v>12</v>
      </c>
      <c r="BY806" s="13" t="n">
        <f>IF(AND(COUNT(BV806,BW806,BX806)=3,MIN(BV806,BW806,BX806)&gt;=0),BV806*BW806*BX806,"")</f>
        <v>0</v>
      </c>
      <c r="BZ806" s="11" t="n">
        <f>IF(ISNUMBER(BO806),BO806,"")</f>
        <v>1.438375649833085</v>
      </c>
      <c r="CA806" s="14" t="n">
        <f>IF(ISNUMBER(BS806),BS806,"")</f>
        <v>30</v>
      </c>
      <c r="CB806" s="13" t="n">
        <f>IF(AND(COUNT(BV806,BZ806,CA806)=3,MIN(BV806,BZ806,CA806)&gt;=0),BV806*BZ806*CA806,"")</f>
        <v>0</v>
      </c>
      <c r="CC806" s="11" t="n">
        <f>IF(ISNUMBER(BP806),BP806,"")</f>
        <v>0.9519742599124907</v>
      </c>
      <c r="CD806" s="14" t="n">
        <f>IF(ISNUMBER(BT806),BT806,"")</f>
        <v>31</v>
      </c>
      <c r="CE806" s="13" t="n">
        <f>IF(AND(COUNT(BV806,CC806,CD806)=3,MIN(BV806,CC806,CD806)&gt;=0),BV806*CC806*CD806,"")</f>
        <v>0</v>
      </c>
      <c r="CF806" s="11" t="n">
        <f>IF(ISNUMBER(BQ806),BQ806,"")</f>
        <v>0.8673021058229575</v>
      </c>
      <c r="CG806" s="14" t="n">
        <f>IF(ISNUMBER(BU806),BU806,"")</f>
        <v>17</v>
      </c>
      <c r="CH806" s="13" t="n">
        <f>IF(AND(COUNT(BV806,CF806,CG806)=3,MIN(BV806,CF806,CG806)&gt;=0),BV806*CF806*CG806,"")</f>
        <v>0</v>
      </c>
      <c r="CI806" s="13" t="n">
        <f>IF(COUNT(BY806,CB806,CE806,CH806)=4,SUM(BY806,CB806,CE806,CH806),"")</f>
        <v>0</v>
      </c>
    </row>
    <row r="807" ht="72" customHeight="1">
      <c r="A807" s="16" t="str">
        <v>60516-TN-S-K-7</v>
      </c>
      <c r="B807" s="16" t="str">
        <v>3店-SANDIEX-US</v>
      </c>
      <c r="C807" s="16" t="str">
        <v>徐新怡</v>
      </c>
      <c r="D807" s="26" t="n">
        <f>IF(NOT(ISNUMBER(E807)),"",IF(OR(E807&lt;=0,L807=0),0,IF(OR(NOT(ISNUMBER(F807)),F807&lt;0),"",MIN(E807,INT(F807)))))</f>
        <v>0</v>
      </c>
      <c r="E807" s="27" t="n">
        <f>IF(OR(NOT(ISNUMBER(L807)),COUNT(M807:O807)&lt;&gt;3,MIN(M807:O807)&lt;0),"",ROUNDUP(ROUND(BI807-SUM(M807:O807),10),0))</f>
        <v>0</v>
      </c>
      <c r="F807" s="28" t="n">
        <v>0</v>
      </c>
      <c r="G807" s="28" t="n">
        <f>IF(AND(ISNUMBER(D807),ISNUMBER(E807)),IF(OR(E807&lt;=0,L807=0),0,E807-D807),"")</f>
        <v>0</v>
      </c>
      <c r="H807" s="16" t="str">
        <f>IF(NOT(ISNUMBER(E807)),"销量或海外库存待补",IF(OR(E807&lt;=0,L807=0),IF(L807=0,"零日销，本批不发","本批无需补货"),IF(NOT(ISNUMBER(D807)),"国内库存待补",IF(D807=0,"国内无可用库存",IF(G807&gt;0,"先发国内现货","按建议量发货")))))</f>
        <v>零日销，本批不发</v>
      </c>
      <c r="I807" s="28" t="n">
        <f>IF(AND(COUNT(Z807,AA807,AB807)=3,Z807&gt;=AA807,AA807&gt;=0,AB807=7),Z807-AA807,"")</f>
        <v>0</v>
      </c>
      <c r="J807" s="28" t="n">
        <f>IF(AND(COUNT(AF807,AG807,AH807)=3,AF807&gt;=AG807,AG807&gt;=0,AH807=14),AF807-AG807,"")</f>
        <v>0</v>
      </c>
      <c r="K807" s="28" t="n">
        <f>IF(AND(COUNT(AL807,AM807,AN807)=3,AL807&gt;=AM807,AM807&gt;=0,AN807=30),AL807-AM807,"")</f>
        <v>0</v>
      </c>
      <c r="L807" s="29" t="n">
        <f>IF(ISNUMBER(BI807),BI807/90,"")</f>
        <v>0</v>
      </c>
      <c r="M807" s="28" t="n">
        <v>0</v>
      </c>
      <c r="N807" s="28" t="n">
        <v>0</v>
      </c>
      <c r="O807" s="28" t="n">
        <v>0</v>
      </c>
      <c r="P807" s="30" t="str">
        <f>IF(AND(ISNUMBER(L807),L807&gt;0,COUNT(M807:O807)=3,MIN(M807:O807)&gt;=0),SUM(M807:O807)/L807,"")</f>
      </c>
      <c r="Q807" s="16" t="str">
        <v>沿用原计划SKU店铺</v>
      </c>
      <c r="R807" s="16" t="str">
        <v>已匹配</v>
      </c>
      <c r="S807" s="16" t="str">
        <v>停售</v>
      </c>
      <c r="T807" s="16" t="str">
        <v>60516</v>
      </c>
      <c r="U807" s="16" t="str">
        <v>驼色</v>
      </c>
      <c r="V807" s="16" t="n">
        <v>7</v>
      </c>
      <c r="W807" s="8" t="str">
        <v>2026-10-08 至 2026-10-17</v>
      </c>
      <c r="X807" s="8" t="str">
        <v>2026-10-08、2026-10-09、2026-10-10、2026-10-11、2026-10-14、2026-10-15、2026-10-17</v>
      </c>
      <c r="Y807" s="8" t="str">
        <v>2026-10-12 有记录的停售日；2026-10-13 有记录的停售日；2026-10-16 有记录的停售日</v>
      </c>
      <c r="Z807" s="8" t="n">
        <v>0</v>
      </c>
      <c r="AA807" s="8" t="n">
        <v>0</v>
      </c>
      <c r="AB807" s="8" t="n">
        <v>7</v>
      </c>
      <c r="AC807" s="8" t="str">
        <v>2026-09-29 至 2026-10-17</v>
      </c>
      <c r="AD807" s="8" t="str">
        <v>2026-09-29、2026-09-30、2026-10-01、2026-10-02、2026-10-03、2026-10-04、2026-10-05、2026-10-08、2026-10-09、2026-10-10、2026-10-11、2026-10-14、2026-10-15、2026-10-17</v>
      </c>
      <c r="AE807" s="8" t="str">
        <v>2026-10-06 大促；2026-10-07 大促；2026-10-12 有记录的停售日；2026-10-13 有记录的停售日；2026-10-16 有记录的停售日</v>
      </c>
      <c r="AF807" s="8" t="n">
        <v>0</v>
      </c>
      <c r="AG807" s="8" t="n">
        <v>0</v>
      </c>
      <c r="AH807" s="8" t="n">
        <v>14</v>
      </c>
      <c r="AI807" s="8" t="str">
        <v>2026-09-13 至 2026-10-17</v>
      </c>
      <c r="AJ80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7" s="8" t="str">
        <v>2026-10-06 大促；2026-10-07 大促；2026-10-12 有记录的停售日；2026-10-13 有记录的停售日；2026-10-16 有记录的停售日</v>
      </c>
      <c r="AL807" s="8" t="n">
        <v>0</v>
      </c>
      <c r="AM807" s="8" t="n">
        <v>0</v>
      </c>
      <c r="AN807" s="8" t="n">
        <v>30</v>
      </c>
      <c r="AO807" s="8" t="str">
        <v>60516 / 驼色羊京绒 / 6574</v>
      </c>
      <c r="AP807" s="11" t="n">
        <v>1.8609238953732312</v>
      </c>
      <c r="AQ807" s="11" t="n">
        <v>1.832044958686392</v>
      </c>
      <c r="AR807" s="11" t="n">
        <v>1.7396323612885067</v>
      </c>
      <c r="AS807" s="11" t="n">
        <f>IF(AND(COUNT(I807:K807,AP807:AR807)=6,MIN(AP807:AR807)&gt;0),I807/7/AP807*0.5+J807/14/AQ807*0.3+K807/30/AR807*0.2,"")</f>
        <v>0</v>
      </c>
      <c r="AT807" s="8" t="n">
        <v>0</v>
      </c>
      <c r="AU807" s="8" t="n">
        <v>0</v>
      </c>
      <c r="AV807" s="8" t="n">
        <v>85</v>
      </c>
      <c r="AW807" s="11" t="n">
        <f>IF(AND(COUNT(AT807:AV807)=3,AT807&gt;=AU807,AU807&gt;=0,AV807&gt;0),(AT807-AU807)/AV807,"")</f>
        <v>0</v>
      </c>
      <c r="AX807" s="8" t="n">
        <v>0</v>
      </c>
      <c r="AY807" s="8" t="n">
        <v>0</v>
      </c>
      <c r="AZ807" s="8" t="n">
        <v>175</v>
      </c>
      <c r="BA807" s="11" t="n">
        <f>IF(AND(COUNT(AX807:AZ807)=3,AX807&gt;=AY807,AY807&gt;=0,AZ807&gt;0),(AX807-AY807)/AZ807,"")</f>
        <v>0</v>
      </c>
      <c r="BB807" s="8" t="n">
        <f>IF(COUNT(AS807,AW807,BA807)=3,1,0)</f>
        <v>1</v>
      </c>
      <c r="BC807" s="11" t="n">
        <f>IF(SUMIF($AO$11:$AO$1309,AO807,$BB$11:$BB$1309)=COUNTIF($AO$11:$AO$1309,AO807),SUMIF($AO$11:$AO$1309,AO807,$AS$11:$AS$1309),"")</f>
        <v>0</v>
      </c>
      <c r="BD807" s="11" t="n">
        <f>IF(SUMIF($AO$11:$AO$1309,AO807,$BB$11:$BB$1309)=COUNTIF($AO$11:$AO$1309,AO807),SUMIF($AO$11:$AO$1309,AO807,$AW$11:$AW$1309),"")</f>
        <v>0</v>
      </c>
      <c r="BE807" s="11" t="n">
        <f>IF(SUMIF($AO$11:$AO$1309,AO807,$BB$11:$BB$1309)=COUNTIF($AO$11:$AO$1309,AO807),SUMIF($AO$11:$AO$1309,AO807,$BA$11:$BA$1309),"")</f>
        <v>0</v>
      </c>
      <c r="BF807" s="12" t="n">
        <f>IF(COUNT(BD807:BE807)&lt;&gt;2,"",IF(AND(BD807&gt;0,BE807&gt;0),0.7*AW807/BD807+0.3*BA807/BE807,IF(BD807&gt;0,AW807/BD807,IF(BE807&gt;0,BA807/BE807,IF(AND(ISNUMBER(BH807),BH807=0),0,"")))))</f>
        <v>0</v>
      </c>
      <c r="BG807" s="11" t="n">
        <f>IF(AND(COUNT(BN807:BU807)=8,MIN(BN807:BU807)&gt;=0),SUMPRODUCT(BN807:BQ807,BR807:BU807),"")</f>
        <v>109.73769409574882</v>
      </c>
      <c r="BH807" s="11" t="n">
        <f>IF(COUNT(BC807,BG807)=2,BC807*BG807,"")</f>
        <v>0</v>
      </c>
      <c r="BI807" s="11" t="n">
        <f>IF(ISNUMBER(CI807),CI807,"")</f>
        <v>0</v>
      </c>
      <c r="BJ807" s="8" t="str">
        <v>近180天本色销量0双（＜90），无有效新采购，请运营判断</v>
      </c>
      <c r="BK807" s="8" t="str">
        <v>90天：2026-07-20 至 2026-10-17；180天：2026-04-21 至 2026-10-17</v>
      </c>
      <c r="BL807" s="8" t="str">
        <v>90天：2026-10-06、2026-10-07、2026-10-12、2026-10-13、2026-10-16；180天：2026-10-06、2026-10-07、2026-10-12、2026-10-13、2026-10-16</v>
      </c>
      <c r="BM807" s="8" t="str">
        <v>2026-10：12天 × 1.8609238953732312；2026-11：30天 × 1.438375649833085；2026-12：31天 × 0.9519742599124907；2027-01：17天 × 0.8673021058229575</v>
      </c>
      <c r="BN807" s="11" t="n">
        <v>1.8609238953732312</v>
      </c>
      <c r="BO807" s="11" t="n">
        <v>1.438375649833085</v>
      </c>
      <c r="BP807" s="11" t="n">
        <v>0.9519742599124907</v>
      </c>
      <c r="BQ807" s="11" t="n">
        <v>0.8673021058229575</v>
      </c>
      <c r="BR807" s="8" t="n">
        <v>12</v>
      </c>
      <c r="BS807" s="8" t="n">
        <v>30</v>
      </c>
      <c r="BT807" s="8" t="n">
        <v>31</v>
      </c>
      <c r="BU807" s="8" t="n">
        <v>17</v>
      </c>
      <c r="BV807" s="11" t="n">
        <f>IF(COUNT(BC807,BF807)=2,BC807*BF807,"")</f>
        <v>0</v>
      </c>
      <c r="BW807" s="11" t="n">
        <f>IF(ISNUMBER(BN807),BN807,"")</f>
        <v>1.8609238953732312</v>
      </c>
      <c r="BX807" s="14" t="n">
        <f>IF(ISNUMBER(BR807),BR807,"")</f>
        <v>12</v>
      </c>
      <c r="BY807" s="13" t="n">
        <f>IF(AND(COUNT(BV807,BW807,BX807)=3,MIN(BV807,BW807,BX807)&gt;=0),BV807*BW807*BX807,"")</f>
        <v>0</v>
      </c>
      <c r="BZ807" s="11" t="n">
        <f>IF(ISNUMBER(BO807),BO807,"")</f>
        <v>1.438375649833085</v>
      </c>
      <c r="CA807" s="14" t="n">
        <f>IF(ISNUMBER(BS807),BS807,"")</f>
        <v>30</v>
      </c>
      <c r="CB807" s="13" t="n">
        <f>IF(AND(COUNT(BV807,BZ807,CA807)=3,MIN(BV807,BZ807,CA807)&gt;=0),BV807*BZ807*CA807,"")</f>
        <v>0</v>
      </c>
      <c r="CC807" s="11" t="n">
        <f>IF(ISNUMBER(BP807),BP807,"")</f>
        <v>0.9519742599124907</v>
      </c>
      <c r="CD807" s="14" t="n">
        <f>IF(ISNUMBER(BT807),BT807,"")</f>
        <v>31</v>
      </c>
      <c r="CE807" s="13" t="n">
        <f>IF(AND(COUNT(BV807,CC807,CD807)=3,MIN(BV807,CC807,CD807)&gt;=0),BV807*CC807*CD807,"")</f>
        <v>0</v>
      </c>
      <c r="CF807" s="11" t="n">
        <f>IF(ISNUMBER(BQ807),BQ807,"")</f>
        <v>0.8673021058229575</v>
      </c>
      <c r="CG807" s="14" t="n">
        <f>IF(ISNUMBER(BU807),BU807,"")</f>
        <v>17</v>
      </c>
      <c r="CH807" s="13" t="n">
        <f>IF(AND(COUNT(BV807,CF807,CG807)=3,MIN(BV807,CF807,CG807)&gt;=0),BV807*CF807*CG807,"")</f>
        <v>0</v>
      </c>
      <c r="CI807" s="13" t="n">
        <f>IF(COUNT(BY807,CB807,CE807,CH807)=4,SUM(BY807,CB807,CE807,CH807),"")</f>
        <v>0</v>
      </c>
    </row>
    <row r="808" ht="72" customHeight="1">
      <c r="A808" s="16" t="str">
        <v>60516-TN-S-K-7.5</v>
      </c>
      <c r="B808" s="16" t="str">
        <v>3店-SANDIEX-US</v>
      </c>
      <c r="C808" s="16" t="str">
        <v>徐新怡</v>
      </c>
      <c r="D808" s="26" t="n">
        <f>IF(NOT(ISNUMBER(E808)),"",IF(OR(E808&lt;=0,L808=0),0,IF(OR(NOT(ISNUMBER(F808)),F808&lt;0),"",MIN(E808,INT(F808)))))</f>
        <v>0</v>
      </c>
      <c r="E808" s="27" t="n">
        <f>IF(OR(NOT(ISNUMBER(L808)),COUNT(M808:O808)&lt;&gt;3,MIN(M808:O808)&lt;0),"",ROUNDUP(ROUND(BI808-SUM(M808:O808),10),0))</f>
        <v>0</v>
      </c>
      <c r="F808" s="28"/>
      <c r="G808" s="28" t="n">
        <f>IF(AND(ISNUMBER(D808),ISNUMBER(E808)),IF(OR(E808&lt;=0,L808=0),0,E808-D808),"")</f>
        <v>0</v>
      </c>
      <c r="H808" s="16" t="str">
        <f>IF(NOT(ISNUMBER(E808)),"销量或海外库存待补",IF(OR(E808&lt;=0,L808=0),IF(L808=0,"零日销，本批不发","本批无需补货"),IF(NOT(ISNUMBER(D808)),"国内库存待补",IF(D808=0,"国内无可用库存",IF(G808&gt;0,"先发国内现货","按建议量发货")))))</f>
        <v>零日销，本批不发</v>
      </c>
      <c r="I808" s="28" t="n">
        <f>IF(AND(COUNT(Z808,AA808,AB808)=3,Z808&gt;=AA808,AA808&gt;=0,AB808=7),Z808-AA808,"")</f>
        <v>0</v>
      </c>
      <c r="J808" s="28" t="n">
        <f>IF(AND(COUNT(AF808,AG808,AH808)=3,AF808&gt;=AG808,AG808&gt;=0,AH808=14),AF808-AG808,"")</f>
        <v>0</v>
      </c>
      <c r="K808" s="28" t="n">
        <f>IF(AND(COUNT(AL808,AM808,AN808)=3,AL808&gt;=AM808,AM808&gt;=0,AN808=30),AL808-AM808,"")</f>
        <v>0</v>
      </c>
      <c r="L808" s="29" t="n">
        <f>IF(ISNUMBER(BI808),BI808/90,"")</f>
        <v>0</v>
      </c>
      <c r="M808" s="28" t="n">
        <v>0</v>
      </c>
      <c r="N808" s="28" t="n">
        <v>0</v>
      </c>
      <c r="O808" s="28" t="n">
        <v>0</v>
      </c>
      <c r="P808" s="30" t="str">
        <f>IF(AND(ISNUMBER(L808),L808&gt;0,COUNT(M808:O808)=3,MIN(M808:O808)&gt;=0),SUM(M808:O808)/L808,"")</f>
      </c>
      <c r="Q808" s="16" t="str">
        <v>按本SKU唯一未删除Listing店铺核实</v>
      </c>
      <c r="R808" s="16" t="str">
        <v>未匹配</v>
      </c>
      <c r="S808" s="16" t="str">
        <v>停售</v>
      </c>
      <c r="T808" s="16" t="str">
        <v>60516</v>
      </c>
      <c r="U808" s="16" t="str">
        <v>驼色</v>
      </c>
      <c r="V808" s="16" t="n">
        <v>7.5</v>
      </c>
      <c r="W808" s="8" t="str">
        <v>2026-10-08 至 2026-10-17</v>
      </c>
      <c r="X808" s="8" t="str">
        <v>2026-10-08、2026-10-09、2026-10-10、2026-10-11、2026-10-14、2026-10-15、2026-10-17</v>
      </c>
      <c r="Y808" s="8" t="str">
        <v>2026-10-12 有记录的停售日；2026-10-13 有记录的停售日；2026-10-16 有记录的停售日</v>
      </c>
      <c r="Z808" s="8" t="n">
        <v>0</v>
      </c>
      <c r="AA808" s="8" t="n">
        <v>0</v>
      </c>
      <c r="AB808" s="8" t="n">
        <v>7</v>
      </c>
      <c r="AC808" s="8" t="str">
        <v>2026-09-29 至 2026-10-17</v>
      </c>
      <c r="AD808" s="8" t="str">
        <v>2026-09-29、2026-09-30、2026-10-01、2026-10-02、2026-10-03、2026-10-04、2026-10-05、2026-10-08、2026-10-09、2026-10-10、2026-10-11、2026-10-14、2026-10-15、2026-10-17</v>
      </c>
      <c r="AE808" s="8" t="str">
        <v>2026-10-06 大促；2026-10-07 大促；2026-10-12 有记录的停售日；2026-10-13 有记录的停售日；2026-10-16 有记录的停售日</v>
      </c>
      <c r="AF808" s="8" t="n">
        <v>0</v>
      </c>
      <c r="AG808" s="8" t="n">
        <v>0</v>
      </c>
      <c r="AH808" s="8" t="n">
        <v>14</v>
      </c>
      <c r="AI808" s="8" t="str">
        <v>2026-09-13 至 2026-10-17</v>
      </c>
      <c r="AJ8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8" s="8" t="str">
        <v>2026-10-06 大促；2026-10-07 大促；2026-10-12 有记录的停售日；2026-10-13 有记录的停售日；2026-10-16 有记录的停售日</v>
      </c>
      <c r="AL808" s="8" t="n">
        <v>0</v>
      </c>
      <c r="AM808" s="8" t="n">
        <v>0</v>
      </c>
      <c r="AN808" s="8" t="n">
        <v>30</v>
      </c>
      <c r="AO808" s="8" t="str">
        <v>60516 / 驼色羊京绒 / 6574</v>
      </c>
      <c r="AP808" s="11" t="n">
        <v>1.8609238953732312</v>
      </c>
      <c r="AQ808" s="11" t="n">
        <v>1.832044958686392</v>
      </c>
      <c r="AR808" s="11" t="n">
        <v>1.7396323612885067</v>
      </c>
      <c r="AS808" s="11" t="n">
        <f>IF(AND(COUNT(I808:K808,AP808:AR808)=6,MIN(AP808:AR808)&gt;0),I808/7/AP808*0.5+J808/14/AQ808*0.3+K808/30/AR808*0.2,"")</f>
        <v>0</v>
      </c>
      <c r="AT808" s="8" t="n">
        <v>0</v>
      </c>
      <c r="AU808" s="8" t="n">
        <v>0</v>
      </c>
      <c r="AV808" s="8" t="n">
        <v>85</v>
      </c>
      <c r="AW808" s="11" t="n">
        <f>IF(AND(COUNT(AT808:AV808)=3,AT808&gt;=AU808,AU808&gt;=0,AV808&gt;0),(AT808-AU808)/AV808,"")</f>
        <v>0</v>
      </c>
      <c r="AX808" s="8" t="n">
        <v>0</v>
      </c>
      <c r="AY808" s="8" t="n">
        <v>0</v>
      </c>
      <c r="AZ808" s="8" t="n">
        <v>175</v>
      </c>
      <c r="BA808" s="11" t="n">
        <f>IF(AND(COUNT(AX808:AZ808)=3,AX808&gt;=AY808,AY808&gt;=0,AZ808&gt;0),(AX808-AY808)/AZ808,"")</f>
        <v>0</v>
      </c>
      <c r="BB808" s="8" t="n">
        <f>IF(COUNT(AS808,AW808,BA808)=3,1,0)</f>
        <v>1</v>
      </c>
      <c r="BC808" s="11" t="n">
        <f>IF(SUMIF($AO$11:$AO$1309,AO808,$BB$11:$BB$1309)=COUNTIF($AO$11:$AO$1309,AO808),SUMIF($AO$11:$AO$1309,AO808,$AS$11:$AS$1309),"")</f>
        <v>0</v>
      </c>
      <c r="BD808" s="11" t="n">
        <f>IF(SUMIF($AO$11:$AO$1309,AO808,$BB$11:$BB$1309)=COUNTIF($AO$11:$AO$1309,AO808),SUMIF($AO$11:$AO$1309,AO808,$AW$11:$AW$1309),"")</f>
        <v>0</v>
      </c>
      <c r="BE808" s="11" t="n">
        <f>IF(SUMIF($AO$11:$AO$1309,AO808,$BB$11:$BB$1309)=COUNTIF($AO$11:$AO$1309,AO808),SUMIF($AO$11:$AO$1309,AO808,$BA$11:$BA$1309),"")</f>
        <v>0</v>
      </c>
      <c r="BF808" s="12" t="n">
        <f>IF(COUNT(BD808:BE808)&lt;&gt;2,"",IF(AND(BD808&gt;0,BE808&gt;0),0.7*AW808/BD808+0.3*BA808/BE808,IF(BD808&gt;0,AW808/BD808,IF(BE808&gt;0,BA808/BE808,IF(AND(ISNUMBER(BH808),BH808=0),0,"")))))</f>
        <v>0</v>
      </c>
      <c r="BG808" s="11" t="n">
        <f>IF(AND(COUNT(BN808:BU808)=8,MIN(BN808:BU808)&gt;=0),SUMPRODUCT(BN808:BQ808,BR808:BU808),"")</f>
        <v>109.73769409574882</v>
      </c>
      <c r="BH808" s="11" t="n">
        <f>IF(COUNT(BC808,BG808)=2,BC808*BG808,"")</f>
        <v>0</v>
      </c>
      <c r="BI808" s="11" t="n">
        <f>IF(ISNUMBER(CI808),CI808,"")</f>
        <v>0</v>
      </c>
      <c r="BJ808" s="8" t="str">
        <v>近180天本色销量0双（＜90），无有效新采购，请运营判断</v>
      </c>
      <c r="BK808" s="8" t="str">
        <v>90天：2026-07-20 至 2026-10-17；180天：2026-04-21 至 2026-10-17</v>
      </c>
      <c r="BL808" s="8" t="str">
        <v>90天：2026-10-06、2026-10-07、2026-10-12、2026-10-13、2026-10-16；180天：2026-10-06、2026-10-07、2026-10-12、2026-10-13、2026-10-16</v>
      </c>
      <c r="BM808" s="8" t="str">
        <v>2026-10：12天 × 1.8609238953732312；2026-11：30天 × 1.438375649833085；2026-12：31天 × 0.9519742599124907；2027-01：17天 × 0.8673021058229575</v>
      </c>
      <c r="BN808" s="11" t="n">
        <v>1.8609238953732312</v>
      </c>
      <c r="BO808" s="11" t="n">
        <v>1.438375649833085</v>
      </c>
      <c r="BP808" s="11" t="n">
        <v>0.9519742599124907</v>
      </c>
      <c r="BQ808" s="11" t="n">
        <v>0.8673021058229575</v>
      </c>
      <c r="BR808" s="8" t="n">
        <v>12</v>
      </c>
      <c r="BS808" s="8" t="n">
        <v>30</v>
      </c>
      <c r="BT808" s="8" t="n">
        <v>31</v>
      </c>
      <c r="BU808" s="8" t="n">
        <v>17</v>
      </c>
      <c r="BV808" s="11" t="n">
        <f>IF(COUNT(BC808,BF808)=2,BC808*BF808,"")</f>
        <v>0</v>
      </c>
      <c r="BW808" s="11" t="n">
        <f>IF(ISNUMBER(BN808),BN808,"")</f>
        <v>1.8609238953732312</v>
      </c>
      <c r="BX808" s="14" t="n">
        <f>IF(ISNUMBER(BR808),BR808,"")</f>
        <v>12</v>
      </c>
      <c r="BY808" s="13" t="n">
        <f>IF(AND(COUNT(BV808,BW808,BX808)=3,MIN(BV808,BW808,BX808)&gt;=0),BV808*BW808*BX808,"")</f>
        <v>0</v>
      </c>
      <c r="BZ808" s="11" t="n">
        <f>IF(ISNUMBER(BO808),BO808,"")</f>
        <v>1.438375649833085</v>
      </c>
      <c r="CA808" s="14" t="n">
        <f>IF(ISNUMBER(BS808),BS808,"")</f>
        <v>30</v>
      </c>
      <c r="CB808" s="13" t="n">
        <f>IF(AND(COUNT(BV808,BZ808,CA808)=3,MIN(BV808,BZ808,CA808)&gt;=0),BV808*BZ808*CA808,"")</f>
        <v>0</v>
      </c>
      <c r="CC808" s="11" t="n">
        <f>IF(ISNUMBER(BP808),BP808,"")</f>
        <v>0.9519742599124907</v>
      </c>
      <c r="CD808" s="14" t="n">
        <f>IF(ISNUMBER(BT808),BT808,"")</f>
        <v>31</v>
      </c>
      <c r="CE808" s="13" t="n">
        <f>IF(AND(COUNT(BV808,CC808,CD808)=3,MIN(BV808,CC808,CD808)&gt;=0),BV808*CC808*CD808,"")</f>
        <v>0</v>
      </c>
      <c r="CF808" s="11" t="n">
        <f>IF(ISNUMBER(BQ808),BQ808,"")</f>
        <v>0.8673021058229575</v>
      </c>
      <c r="CG808" s="14" t="n">
        <f>IF(ISNUMBER(BU808),BU808,"")</f>
        <v>17</v>
      </c>
      <c r="CH808" s="13" t="n">
        <f>IF(AND(COUNT(BV808,CF808,CG808)=3,MIN(BV808,CF808,CG808)&gt;=0),BV808*CF808*CG808,"")</f>
        <v>0</v>
      </c>
      <c r="CI808" s="13" t="n">
        <f>IF(COUNT(BY808,CB808,CE808,CH808)=4,SUM(BY808,CB808,CE808,CH808),"")</f>
        <v>0</v>
      </c>
    </row>
    <row r="809" ht="72" customHeight="1">
      <c r="A809" s="16" t="str">
        <v>60516-TN-S-K-8</v>
      </c>
      <c r="B809" s="16" t="str">
        <v>3店-SANDIEX-US</v>
      </c>
      <c r="C809" s="16" t="str">
        <v>徐新怡</v>
      </c>
      <c r="D809" s="26" t="n">
        <f>IF(NOT(ISNUMBER(E809)),"",IF(OR(E809&lt;=0,L809=0),0,IF(OR(NOT(ISNUMBER(F809)),F809&lt;0),"",MIN(E809,INT(F809)))))</f>
        <v>0</v>
      </c>
      <c r="E809" s="27" t="n">
        <f>IF(OR(NOT(ISNUMBER(L809)),COUNT(M809:O809)&lt;&gt;3,MIN(M809:O809)&lt;0),"",ROUNDUP(ROUND(BI809-SUM(M809:O809),10),0))</f>
        <v>0</v>
      </c>
      <c r="F809" s="28" t="n">
        <v>1</v>
      </c>
      <c r="G809" s="28" t="n">
        <f>IF(AND(ISNUMBER(D809),ISNUMBER(E809)),IF(OR(E809&lt;=0,L809=0),0,E809-D809),"")</f>
        <v>0</v>
      </c>
      <c r="H809" s="16" t="str">
        <f>IF(NOT(ISNUMBER(E809)),"销量或海外库存待补",IF(OR(E809&lt;=0,L809=0),IF(L809=0,"零日销，本批不发","本批无需补货"),IF(NOT(ISNUMBER(D809)),"国内库存待补",IF(D809=0,"国内无可用库存",IF(G809&gt;0,"先发国内现货","按建议量发货")))))</f>
        <v>零日销，本批不发</v>
      </c>
      <c r="I809" s="28" t="n">
        <f>IF(AND(COUNT(Z809,AA809,AB809)=3,Z809&gt;=AA809,AA809&gt;=0,AB809=7),Z809-AA809,"")</f>
        <v>0</v>
      </c>
      <c r="J809" s="28" t="n">
        <f>IF(AND(COUNT(AF809,AG809,AH809)=3,AF809&gt;=AG809,AG809&gt;=0,AH809=14),AF809-AG809,"")</f>
        <v>0</v>
      </c>
      <c r="K809" s="28" t="n">
        <f>IF(AND(COUNT(AL809,AM809,AN809)=3,AL809&gt;=AM809,AM809&gt;=0,AN809=30),AL809-AM809,"")</f>
        <v>0</v>
      </c>
      <c r="L809" s="29" t="n">
        <f>IF(ISNUMBER(BI809),BI809/90,"")</f>
        <v>0</v>
      </c>
      <c r="M809" s="28" t="n">
        <v>0</v>
      </c>
      <c r="N809" s="28" t="n">
        <v>0</v>
      </c>
      <c r="O809" s="28" t="n">
        <v>0</v>
      </c>
      <c r="P809" s="30" t="str">
        <f>IF(AND(ISNUMBER(L809),L809&gt;0,COUNT(M809:O809)=3,MIN(M809:O809)&gt;=0),SUM(M809:O809)/L809,"")</f>
      </c>
      <c r="Q809" s="16" t="str">
        <v>沿用原计划SKU店铺</v>
      </c>
      <c r="R809" s="16" t="str">
        <v>已匹配</v>
      </c>
      <c r="S809" s="16" t="str">
        <v>停售</v>
      </c>
      <c r="T809" s="16" t="str">
        <v>60516</v>
      </c>
      <c r="U809" s="16" t="str">
        <v>驼色</v>
      </c>
      <c r="V809" s="16" t="n">
        <v>8</v>
      </c>
      <c r="W809" s="8" t="str">
        <v>2026-10-08 至 2026-10-17</v>
      </c>
      <c r="X809" s="8" t="str">
        <v>2026-10-08、2026-10-09、2026-10-10、2026-10-11、2026-10-14、2026-10-15、2026-10-17</v>
      </c>
      <c r="Y809" s="8" t="str">
        <v>2026-10-12 有记录的停售日；2026-10-13 有记录的停售日；2026-10-16 有记录的停售日</v>
      </c>
      <c r="Z809" s="8" t="n">
        <v>0</v>
      </c>
      <c r="AA809" s="8" t="n">
        <v>0</v>
      </c>
      <c r="AB809" s="8" t="n">
        <v>7</v>
      </c>
      <c r="AC809" s="8" t="str">
        <v>2026-09-29 至 2026-10-17</v>
      </c>
      <c r="AD809" s="8" t="str">
        <v>2026-09-29、2026-09-30、2026-10-01、2026-10-02、2026-10-03、2026-10-04、2026-10-05、2026-10-08、2026-10-09、2026-10-10、2026-10-11、2026-10-14、2026-10-15、2026-10-17</v>
      </c>
      <c r="AE809" s="8" t="str">
        <v>2026-10-06 大促；2026-10-07 大促；2026-10-12 有记录的停售日；2026-10-13 有记录的停售日；2026-10-16 有记录的停售日</v>
      </c>
      <c r="AF809" s="8" t="n">
        <v>0</v>
      </c>
      <c r="AG809" s="8" t="n">
        <v>0</v>
      </c>
      <c r="AH809" s="8" t="n">
        <v>14</v>
      </c>
      <c r="AI809" s="8" t="str">
        <v>2026-09-13 至 2026-10-17</v>
      </c>
      <c r="AJ80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09" s="8" t="str">
        <v>2026-10-06 大促；2026-10-07 大促；2026-10-12 有记录的停售日；2026-10-13 有记录的停售日；2026-10-16 有记录的停售日</v>
      </c>
      <c r="AL809" s="8" t="n">
        <v>0</v>
      </c>
      <c r="AM809" s="8" t="n">
        <v>0</v>
      </c>
      <c r="AN809" s="8" t="n">
        <v>30</v>
      </c>
      <c r="AO809" s="8" t="str">
        <v>60516 / 驼色羊京绒 / 6574</v>
      </c>
      <c r="AP809" s="11" t="n">
        <v>1.8609238953732312</v>
      </c>
      <c r="AQ809" s="11" t="n">
        <v>1.832044958686392</v>
      </c>
      <c r="AR809" s="11" t="n">
        <v>1.7396323612885067</v>
      </c>
      <c r="AS809" s="11" t="n">
        <f>IF(AND(COUNT(I809:K809,AP809:AR809)=6,MIN(AP809:AR809)&gt;0),I809/7/AP809*0.5+J809/14/AQ809*0.3+K809/30/AR809*0.2,"")</f>
        <v>0</v>
      </c>
      <c r="AT809" s="8" t="n">
        <v>0</v>
      </c>
      <c r="AU809" s="8" t="n">
        <v>0</v>
      </c>
      <c r="AV809" s="8" t="n">
        <v>85</v>
      </c>
      <c r="AW809" s="11" t="n">
        <f>IF(AND(COUNT(AT809:AV809)=3,AT809&gt;=AU809,AU809&gt;=0,AV809&gt;0),(AT809-AU809)/AV809,"")</f>
        <v>0</v>
      </c>
      <c r="AX809" s="8" t="n">
        <v>0</v>
      </c>
      <c r="AY809" s="8" t="n">
        <v>0</v>
      </c>
      <c r="AZ809" s="8" t="n">
        <v>175</v>
      </c>
      <c r="BA809" s="11" t="n">
        <f>IF(AND(COUNT(AX809:AZ809)=3,AX809&gt;=AY809,AY809&gt;=0,AZ809&gt;0),(AX809-AY809)/AZ809,"")</f>
        <v>0</v>
      </c>
      <c r="BB809" s="8" t="n">
        <f>IF(COUNT(AS809,AW809,BA809)=3,1,0)</f>
        <v>1</v>
      </c>
      <c r="BC809" s="11" t="n">
        <f>IF(SUMIF($AO$11:$AO$1309,AO809,$BB$11:$BB$1309)=COUNTIF($AO$11:$AO$1309,AO809),SUMIF($AO$11:$AO$1309,AO809,$AS$11:$AS$1309),"")</f>
        <v>0</v>
      </c>
      <c r="BD809" s="11" t="n">
        <f>IF(SUMIF($AO$11:$AO$1309,AO809,$BB$11:$BB$1309)=COUNTIF($AO$11:$AO$1309,AO809),SUMIF($AO$11:$AO$1309,AO809,$AW$11:$AW$1309),"")</f>
        <v>0</v>
      </c>
      <c r="BE809" s="11" t="n">
        <f>IF(SUMIF($AO$11:$AO$1309,AO809,$BB$11:$BB$1309)=COUNTIF($AO$11:$AO$1309,AO809),SUMIF($AO$11:$AO$1309,AO809,$BA$11:$BA$1309),"")</f>
        <v>0</v>
      </c>
      <c r="BF809" s="12" t="n">
        <f>IF(COUNT(BD809:BE809)&lt;&gt;2,"",IF(AND(BD809&gt;0,BE809&gt;0),0.7*AW809/BD809+0.3*BA809/BE809,IF(BD809&gt;0,AW809/BD809,IF(BE809&gt;0,BA809/BE809,IF(AND(ISNUMBER(BH809),BH809=0),0,"")))))</f>
        <v>0</v>
      </c>
      <c r="BG809" s="11" t="n">
        <f>IF(AND(COUNT(BN809:BU809)=8,MIN(BN809:BU809)&gt;=0),SUMPRODUCT(BN809:BQ809,BR809:BU809),"")</f>
        <v>109.73769409574882</v>
      </c>
      <c r="BH809" s="11" t="n">
        <f>IF(COUNT(BC809,BG809)=2,BC809*BG809,"")</f>
        <v>0</v>
      </c>
      <c r="BI809" s="11" t="n">
        <f>IF(ISNUMBER(CI809),CI809,"")</f>
        <v>0</v>
      </c>
      <c r="BJ809" s="8" t="str">
        <v>近180天本色销量0双（＜90），无有效新采购，请运营判断</v>
      </c>
      <c r="BK809" s="8" t="str">
        <v>90天：2026-07-20 至 2026-10-17；180天：2026-04-21 至 2026-10-17</v>
      </c>
      <c r="BL809" s="8" t="str">
        <v>90天：2026-10-06、2026-10-07、2026-10-12、2026-10-13、2026-10-16；180天：2026-10-06、2026-10-07、2026-10-12、2026-10-13、2026-10-16</v>
      </c>
      <c r="BM809" s="8" t="str">
        <v>2026-10：12天 × 1.8609238953732312；2026-11：30天 × 1.438375649833085；2026-12：31天 × 0.9519742599124907；2027-01：17天 × 0.8673021058229575</v>
      </c>
      <c r="BN809" s="11" t="n">
        <v>1.8609238953732312</v>
      </c>
      <c r="BO809" s="11" t="n">
        <v>1.438375649833085</v>
      </c>
      <c r="BP809" s="11" t="n">
        <v>0.9519742599124907</v>
      </c>
      <c r="BQ809" s="11" t="n">
        <v>0.8673021058229575</v>
      </c>
      <c r="BR809" s="8" t="n">
        <v>12</v>
      </c>
      <c r="BS809" s="8" t="n">
        <v>30</v>
      </c>
      <c r="BT809" s="8" t="n">
        <v>31</v>
      </c>
      <c r="BU809" s="8" t="n">
        <v>17</v>
      </c>
      <c r="BV809" s="11" t="n">
        <f>IF(COUNT(BC809,BF809)=2,BC809*BF809,"")</f>
        <v>0</v>
      </c>
      <c r="BW809" s="11" t="n">
        <f>IF(ISNUMBER(BN809),BN809,"")</f>
        <v>1.8609238953732312</v>
      </c>
      <c r="BX809" s="14" t="n">
        <f>IF(ISNUMBER(BR809),BR809,"")</f>
        <v>12</v>
      </c>
      <c r="BY809" s="13" t="n">
        <f>IF(AND(COUNT(BV809,BW809,BX809)=3,MIN(BV809,BW809,BX809)&gt;=0),BV809*BW809*BX809,"")</f>
        <v>0</v>
      </c>
      <c r="BZ809" s="11" t="n">
        <f>IF(ISNUMBER(BO809),BO809,"")</f>
        <v>1.438375649833085</v>
      </c>
      <c r="CA809" s="14" t="n">
        <f>IF(ISNUMBER(BS809),BS809,"")</f>
        <v>30</v>
      </c>
      <c r="CB809" s="13" t="n">
        <f>IF(AND(COUNT(BV809,BZ809,CA809)=3,MIN(BV809,BZ809,CA809)&gt;=0),BV809*BZ809*CA809,"")</f>
        <v>0</v>
      </c>
      <c r="CC809" s="11" t="n">
        <f>IF(ISNUMBER(BP809),BP809,"")</f>
        <v>0.9519742599124907</v>
      </c>
      <c r="CD809" s="14" t="n">
        <f>IF(ISNUMBER(BT809),BT809,"")</f>
        <v>31</v>
      </c>
      <c r="CE809" s="13" t="n">
        <f>IF(AND(COUNT(BV809,CC809,CD809)=3,MIN(BV809,CC809,CD809)&gt;=0),BV809*CC809*CD809,"")</f>
        <v>0</v>
      </c>
      <c r="CF809" s="11" t="n">
        <f>IF(ISNUMBER(BQ809),BQ809,"")</f>
        <v>0.8673021058229575</v>
      </c>
      <c r="CG809" s="14" t="n">
        <f>IF(ISNUMBER(BU809),BU809,"")</f>
        <v>17</v>
      </c>
      <c r="CH809" s="13" t="n">
        <f>IF(AND(COUNT(BV809,CF809,CG809)=3,MIN(BV809,CF809,CG809)&gt;=0),BV809*CF809*CG809,"")</f>
        <v>0</v>
      </c>
      <c r="CI809" s="13" t="n">
        <f>IF(COUNT(BY809,CB809,CE809,CH809)=4,SUM(BY809,CB809,CE809,CH809),"")</f>
        <v>0</v>
      </c>
    </row>
    <row r="810" ht="72" customHeight="1">
      <c r="A810" s="16" t="str">
        <v>60516-TN-S-K-8.5</v>
      </c>
      <c r="B810" s="16" t="str">
        <v>3店-SANDIEX-US</v>
      </c>
      <c r="C810" s="16" t="str">
        <v>徐新怡</v>
      </c>
      <c r="D810" s="26" t="n">
        <f>IF(NOT(ISNUMBER(E810)),"",IF(OR(E810&lt;=0,L810=0),0,IF(OR(NOT(ISNUMBER(F810)),F810&lt;0),"",MIN(E810,INT(F810)))))</f>
        <v>0</v>
      </c>
      <c r="E810" s="27" t="n">
        <f>IF(OR(NOT(ISNUMBER(L810)),COUNT(M810:O810)&lt;&gt;3,MIN(M810:O810)&lt;0),"",ROUNDUP(ROUND(BI810-SUM(M810:O810),10),0))</f>
        <v>0</v>
      </c>
      <c r="F810" s="28"/>
      <c r="G810" s="28" t="n">
        <f>IF(AND(ISNUMBER(D810),ISNUMBER(E810)),IF(OR(E810&lt;=0,L810=0),0,E810-D810),"")</f>
        <v>0</v>
      </c>
      <c r="H810" s="16" t="str">
        <f>IF(NOT(ISNUMBER(E810)),"销量或海外库存待补",IF(OR(E810&lt;=0,L810=0),IF(L810=0,"零日销，本批不发","本批无需补货"),IF(NOT(ISNUMBER(D810)),"国内库存待补",IF(D810=0,"国内无可用库存",IF(G810&gt;0,"先发国内现货","按建议量发货")))))</f>
        <v>零日销，本批不发</v>
      </c>
      <c r="I810" s="28" t="n">
        <f>IF(AND(COUNT(Z810,AA810,AB810)=3,Z810&gt;=AA810,AA810&gt;=0,AB810=7),Z810-AA810,"")</f>
        <v>0</v>
      </c>
      <c r="J810" s="28" t="n">
        <f>IF(AND(COUNT(AF810,AG810,AH810)=3,AF810&gt;=AG810,AG810&gt;=0,AH810=14),AF810-AG810,"")</f>
        <v>0</v>
      </c>
      <c r="K810" s="28" t="n">
        <f>IF(AND(COUNT(AL810,AM810,AN810)=3,AL810&gt;=AM810,AM810&gt;=0,AN810=30),AL810-AM810,"")</f>
        <v>0</v>
      </c>
      <c r="L810" s="29" t="n">
        <f>IF(ISNUMBER(BI810),BI810/90,"")</f>
        <v>0</v>
      </c>
      <c r="M810" s="28" t="n">
        <v>0</v>
      </c>
      <c r="N810" s="28" t="n">
        <v>0</v>
      </c>
      <c r="O810" s="28" t="n">
        <v>0</v>
      </c>
      <c r="P810" s="30" t="str">
        <f>IF(AND(ISNUMBER(L810),L810&gt;0,COUNT(M810:O810)=3,MIN(M810:O810)&gt;=0),SUM(M810:O810)/L810,"")</f>
      </c>
      <c r="Q810" s="16" t="str">
        <v>按本SKU唯一未删除Listing店铺核实</v>
      </c>
      <c r="R810" s="16" t="str">
        <v>未匹配</v>
      </c>
      <c r="S810" s="16" t="str">
        <v>停售</v>
      </c>
      <c r="T810" s="16" t="str">
        <v>60516</v>
      </c>
      <c r="U810" s="16" t="str">
        <v>驼色</v>
      </c>
      <c r="V810" s="16" t="n">
        <v>8.5</v>
      </c>
      <c r="W810" s="8" t="str">
        <v>2026-10-08 至 2026-10-17</v>
      </c>
      <c r="X810" s="8" t="str">
        <v>2026-10-08、2026-10-09、2026-10-10、2026-10-11、2026-10-14、2026-10-15、2026-10-17</v>
      </c>
      <c r="Y810" s="8" t="str">
        <v>2026-10-12 有记录的停售日；2026-10-13 有记录的停售日；2026-10-16 有记录的停售日</v>
      </c>
      <c r="Z810" s="8" t="n">
        <v>0</v>
      </c>
      <c r="AA810" s="8" t="n">
        <v>0</v>
      </c>
      <c r="AB810" s="8" t="n">
        <v>7</v>
      </c>
      <c r="AC810" s="8" t="str">
        <v>2026-09-29 至 2026-10-17</v>
      </c>
      <c r="AD810" s="8" t="str">
        <v>2026-09-29、2026-09-30、2026-10-01、2026-10-02、2026-10-03、2026-10-04、2026-10-05、2026-10-08、2026-10-09、2026-10-10、2026-10-11、2026-10-14、2026-10-15、2026-10-17</v>
      </c>
      <c r="AE810" s="8" t="str">
        <v>2026-10-06 大促；2026-10-07 大促；2026-10-12 有记录的停售日；2026-10-13 有记录的停售日；2026-10-16 有记录的停售日</v>
      </c>
      <c r="AF810" s="8" t="n">
        <v>0</v>
      </c>
      <c r="AG810" s="8" t="n">
        <v>0</v>
      </c>
      <c r="AH810" s="8" t="n">
        <v>14</v>
      </c>
      <c r="AI810" s="8" t="str">
        <v>2026-09-13 至 2026-10-17</v>
      </c>
      <c r="AJ8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0" s="8" t="str">
        <v>2026-10-06 大促；2026-10-07 大促；2026-10-12 有记录的停售日；2026-10-13 有记录的停售日；2026-10-16 有记录的停售日</v>
      </c>
      <c r="AL810" s="8" t="n">
        <v>0</v>
      </c>
      <c r="AM810" s="8" t="n">
        <v>0</v>
      </c>
      <c r="AN810" s="8" t="n">
        <v>30</v>
      </c>
      <c r="AO810" s="8" t="str">
        <v>60516 / 驼色羊京绒 / 6574</v>
      </c>
      <c r="AP810" s="11" t="n">
        <v>1.8609238953732312</v>
      </c>
      <c r="AQ810" s="11" t="n">
        <v>1.832044958686392</v>
      </c>
      <c r="AR810" s="11" t="n">
        <v>1.7396323612885067</v>
      </c>
      <c r="AS810" s="11" t="n">
        <f>IF(AND(COUNT(I810:K810,AP810:AR810)=6,MIN(AP810:AR810)&gt;0),I810/7/AP810*0.5+J810/14/AQ810*0.3+K810/30/AR810*0.2,"")</f>
        <v>0</v>
      </c>
      <c r="AT810" s="8" t="n">
        <v>0</v>
      </c>
      <c r="AU810" s="8" t="n">
        <v>0</v>
      </c>
      <c r="AV810" s="8" t="n">
        <v>85</v>
      </c>
      <c r="AW810" s="11" t="n">
        <f>IF(AND(COUNT(AT810:AV810)=3,AT810&gt;=AU810,AU810&gt;=0,AV810&gt;0),(AT810-AU810)/AV810,"")</f>
        <v>0</v>
      </c>
      <c r="AX810" s="8" t="n">
        <v>0</v>
      </c>
      <c r="AY810" s="8" t="n">
        <v>0</v>
      </c>
      <c r="AZ810" s="8" t="n">
        <v>175</v>
      </c>
      <c r="BA810" s="11" t="n">
        <f>IF(AND(COUNT(AX810:AZ810)=3,AX810&gt;=AY810,AY810&gt;=0,AZ810&gt;0),(AX810-AY810)/AZ810,"")</f>
        <v>0</v>
      </c>
      <c r="BB810" s="8" t="n">
        <f>IF(COUNT(AS810,AW810,BA810)=3,1,0)</f>
        <v>1</v>
      </c>
      <c r="BC810" s="11" t="n">
        <f>IF(SUMIF($AO$11:$AO$1309,AO810,$BB$11:$BB$1309)=COUNTIF($AO$11:$AO$1309,AO810),SUMIF($AO$11:$AO$1309,AO810,$AS$11:$AS$1309),"")</f>
        <v>0</v>
      </c>
      <c r="BD810" s="11" t="n">
        <f>IF(SUMIF($AO$11:$AO$1309,AO810,$BB$11:$BB$1309)=COUNTIF($AO$11:$AO$1309,AO810),SUMIF($AO$11:$AO$1309,AO810,$AW$11:$AW$1309),"")</f>
        <v>0</v>
      </c>
      <c r="BE810" s="11" t="n">
        <f>IF(SUMIF($AO$11:$AO$1309,AO810,$BB$11:$BB$1309)=COUNTIF($AO$11:$AO$1309,AO810),SUMIF($AO$11:$AO$1309,AO810,$BA$11:$BA$1309),"")</f>
        <v>0</v>
      </c>
      <c r="BF810" s="12" t="n">
        <f>IF(COUNT(BD810:BE810)&lt;&gt;2,"",IF(AND(BD810&gt;0,BE810&gt;0),0.7*AW810/BD810+0.3*BA810/BE810,IF(BD810&gt;0,AW810/BD810,IF(BE810&gt;0,BA810/BE810,IF(AND(ISNUMBER(BH810),BH810=0),0,"")))))</f>
        <v>0</v>
      </c>
      <c r="BG810" s="11" t="n">
        <f>IF(AND(COUNT(BN810:BU810)=8,MIN(BN810:BU810)&gt;=0),SUMPRODUCT(BN810:BQ810,BR810:BU810),"")</f>
        <v>109.73769409574882</v>
      </c>
      <c r="BH810" s="11" t="n">
        <f>IF(COUNT(BC810,BG810)=2,BC810*BG810,"")</f>
        <v>0</v>
      </c>
      <c r="BI810" s="11" t="n">
        <f>IF(ISNUMBER(CI810),CI810,"")</f>
        <v>0</v>
      </c>
      <c r="BJ810" s="8" t="str">
        <v>近180天本色销量0双（＜90），无有效新采购，请运营判断</v>
      </c>
      <c r="BK810" s="8" t="str">
        <v>90天：2026-07-20 至 2026-10-17；180天：2026-04-21 至 2026-10-17</v>
      </c>
      <c r="BL810" s="8" t="str">
        <v>90天：2026-10-06、2026-10-07、2026-10-12、2026-10-13、2026-10-16；180天：2026-10-06、2026-10-07、2026-10-12、2026-10-13、2026-10-16</v>
      </c>
      <c r="BM810" s="8" t="str">
        <v>2026-10：12天 × 1.8609238953732312；2026-11：30天 × 1.438375649833085；2026-12：31天 × 0.9519742599124907；2027-01：17天 × 0.8673021058229575</v>
      </c>
      <c r="BN810" s="11" t="n">
        <v>1.8609238953732312</v>
      </c>
      <c r="BO810" s="11" t="n">
        <v>1.438375649833085</v>
      </c>
      <c r="BP810" s="11" t="n">
        <v>0.9519742599124907</v>
      </c>
      <c r="BQ810" s="11" t="n">
        <v>0.8673021058229575</v>
      </c>
      <c r="BR810" s="8" t="n">
        <v>12</v>
      </c>
      <c r="BS810" s="8" t="n">
        <v>30</v>
      </c>
      <c r="BT810" s="8" t="n">
        <v>31</v>
      </c>
      <c r="BU810" s="8" t="n">
        <v>17</v>
      </c>
      <c r="BV810" s="11" t="n">
        <f>IF(COUNT(BC810,BF810)=2,BC810*BF810,"")</f>
        <v>0</v>
      </c>
      <c r="BW810" s="11" t="n">
        <f>IF(ISNUMBER(BN810),BN810,"")</f>
        <v>1.8609238953732312</v>
      </c>
      <c r="BX810" s="14" t="n">
        <f>IF(ISNUMBER(BR810),BR810,"")</f>
        <v>12</v>
      </c>
      <c r="BY810" s="13" t="n">
        <f>IF(AND(COUNT(BV810,BW810,BX810)=3,MIN(BV810,BW810,BX810)&gt;=0),BV810*BW810*BX810,"")</f>
        <v>0</v>
      </c>
      <c r="BZ810" s="11" t="n">
        <f>IF(ISNUMBER(BO810),BO810,"")</f>
        <v>1.438375649833085</v>
      </c>
      <c r="CA810" s="14" t="n">
        <f>IF(ISNUMBER(BS810),BS810,"")</f>
        <v>30</v>
      </c>
      <c r="CB810" s="13" t="n">
        <f>IF(AND(COUNT(BV810,BZ810,CA810)=3,MIN(BV810,BZ810,CA810)&gt;=0),BV810*BZ810*CA810,"")</f>
        <v>0</v>
      </c>
      <c r="CC810" s="11" t="n">
        <f>IF(ISNUMBER(BP810),BP810,"")</f>
        <v>0.9519742599124907</v>
      </c>
      <c r="CD810" s="14" t="n">
        <f>IF(ISNUMBER(BT810),BT810,"")</f>
        <v>31</v>
      </c>
      <c r="CE810" s="13" t="n">
        <f>IF(AND(COUNT(BV810,CC810,CD810)=3,MIN(BV810,CC810,CD810)&gt;=0),BV810*CC810*CD810,"")</f>
        <v>0</v>
      </c>
      <c r="CF810" s="11" t="n">
        <f>IF(ISNUMBER(BQ810),BQ810,"")</f>
        <v>0.8673021058229575</v>
      </c>
      <c r="CG810" s="14" t="n">
        <f>IF(ISNUMBER(BU810),BU810,"")</f>
        <v>17</v>
      </c>
      <c r="CH810" s="13" t="n">
        <f>IF(AND(COUNT(BV810,CF810,CG810)=3,MIN(BV810,CF810,CG810)&gt;=0),BV810*CF810*CG810,"")</f>
        <v>0</v>
      </c>
      <c r="CI810" s="13" t="n">
        <f>IF(COUNT(BY810,CB810,CE810,CH810)=4,SUM(BY810,CB810,CE810,CH810),"")</f>
        <v>0</v>
      </c>
    </row>
    <row r="811" ht="72" customHeight="1">
      <c r="A811" s="16" t="str">
        <v>60516-TN-S-K-9</v>
      </c>
      <c r="B811" s="16" t="str">
        <v>3店-SANDIEX-US</v>
      </c>
      <c r="C811" s="16" t="str">
        <v>徐新怡</v>
      </c>
      <c r="D811" s="26" t="n">
        <f>IF(NOT(ISNUMBER(E811)),"",IF(OR(E811&lt;=0,L811=0),0,IF(OR(NOT(ISNUMBER(F811)),F811&lt;0),"",MIN(E811,INT(F811)))))</f>
        <v>0</v>
      </c>
      <c r="E811" s="27" t="n">
        <f>IF(OR(NOT(ISNUMBER(L811)),COUNT(M811:O811)&lt;&gt;3,MIN(M811:O811)&lt;0),"",ROUNDUP(ROUND(BI811-SUM(M811:O811),10),0))</f>
        <v>0</v>
      </c>
      <c r="F811" s="28"/>
      <c r="G811" s="28" t="n">
        <f>IF(AND(ISNUMBER(D811),ISNUMBER(E811)),IF(OR(E811&lt;=0,L811=0),0,E811-D811),"")</f>
        <v>0</v>
      </c>
      <c r="H811" s="16" t="str">
        <f>IF(NOT(ISNUMBER(E811)),"销量或海外库存待补",IF(OR(E811&lt;=0,L811=0),IF(L811=0,"零日销，本批不发","本批无需补货"),IF(NOT(ISNUMBER(D811)),"国内库存待补",IF(D811=0,"国内无可用库存",IF(G811&gt;0,"先发国内现货","按建议量发货")))))</f>
        <v>零日销，本批不发</v>
      </c>
      <c r="I811" s="28" t="n">
        <f>IF(AND(COUNT(Z811,AA811,AB811)=3,Z811&gt;=AA811,AA811&gt;=0,AB811=7),Z811-AA811,"")</f>
        <v>0</v>
      </c>
      <c r="J811" s="28" t="n">
        <f>IF(AND(COUNT(AF811,AG811,AH811)=3,AF811&gt;=AG811,AG811&gt;=0,AH811=14),AF811-AG811,"")</f>
        <v>0</v>
      </c>
      <c r="K811" s="28" t="n">
        <f>IF(AND(COUNT(AL811,AM811,AN811)=3,AL811&gt;=AM811,AM811&gt;=0,AN811=30),AL811-AM811,"")</f>
        <v>0</v>
      </c>
      <c r="L811" s="29" t="n">
        <f>IF(ISNUMBER(BI811),BI811/90,"")</f>
        <v>0</v>
      </c>
      <c r="M811" s="28" t="n">
        <v>0</v>
      </c>
      <c r="N811" s="28" t="n">
        <v>0</v>
      </c>
      <c r="O811" s="28" t="n">
        <v>0</v>
      </c>
      <c r="P811" s="30" t="str">
        <f>IF(AND(ISNUMBER(L811),L811&gt;0,COUNT(M811:O811)=3,MIN(M811:O811)&gt;=0),SUM(M811:O811)/L811,"")</f>
      </c>
      <c r="Q811" s="16" t="str">
        <v>沿用原计划SKU店铺</v>
      </c>
      <c r="R811" s="16" t="str">
        <v>未匹配</v>
      </c>
      <c r="S811" s="16" t="str">
        <v>停售</v>
      </c>
      <c r="T811" s="16" t="str">
        <v>60516</v>
      </c>
      <c r="U811" s="16" t="str">
        <v>驼色</v>
      </c>
      <c r="V811" s="16" t="n">
        <v>9</v>
      </c>
      <c r="W811" s="8" t="str">
        <v>2026-10-08 至 2026-10-17</v>
      </c>
      <c r="X811" s="8" t="str">
        <v>2026-10-08、2026-10-09、2026-10-10、2026-10-11、2026-10-14、2026-10-15、2026-10-17</v>
      </c>
      <c r="Y811" s="8" t="str">
        <v>2026-10-12 有记录的停售日；2026-10-13 有记录的停售日；2026-10-16 有记录的停售日</v>
      </c>
      <c r="Z811" s="8" t="n">
        <v>0</v>
      </c>
      <c r="AA811" s="8" t="n">
        <v>0</v>
      </c>
      <c r="AB811" s="8" t="n">
        <v>7</v>
      </c>
      <c r="AC811" s="8" t="str">
        <v>2026-09-29 至 2026-10-17</v>
      </c>
      <c r="AD811" s="8" t="str">
        <v>2026-09-29、2026-09-30、2026-10-01、2026-10-02、2026-10-03、2026-10-04、2026-10-05、2026-10-08、2026-10-09、2026-10-10、2026-10-11、2026-10-14、2026-10-15、2026-10-17</v>
      </c>
      <c r="AE811" s="8" t="str">
        <v>2026-10-06 大促；2026-10-07 大促；2026-10-12 有记录的停售日；2026-10-13 有记录的停售日；2026-10-16 有记录的停售日</v>
      </c>
      <c r="AF811" s="8" t="n">
        <v>0</v>
      </c>
      <c r="AG811" s="8" t="n">
        <v>0</v>
      </c>
      <c r="AH811" s="8" t="n">
        <v>14</v>
      </c>
      <c r="AI811" s="8" t="str">
        <v>2026-09-13 至 2026-10-17</v>
      </c>
      <c r="AJ81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1" s="8" t="str">
        <v>2026-10-06 大促；2026-10-07 大促；2026-10-12 有记录的停售日；2026-10-13 有记录的停售日；2026-10-16 有记录的停售日</v>
      </c>
      <c r="AL811" s="8" t="n">
        <v>0</v>
      </c>
      <c r="AM811" s="8" t="n">
        <v>0</v>
      </c>
      <c r="AN811" s="8" t="n">
        <v>30</v>
      </c>
      <c r="AO811" s="8" t="str">
        <v>60516 / 驼色羊京绒 / 6574</v>
      </c>
      <c r="AP811" s="11" t="n">
        <v>1.8609238953732312</v>
      </c>
      <c r="AQ811" s="11" t="n">
        <v>1.832044958686392</v>
      </c>
      <c r="AR811" s="11" t="n">
        <v>1.7396323612885067</v>
      </c>
      <c r="AS811" s="11" t="n">
        <f>IF(AND(COUNT(I811:K811,AP811:AR811)=6,MIN(AP811:AR811)&gt;0),I811/7/AP811*0.5+J811/14/AQ811*0.3+K811/30/AR811*0.2,"")</f>
        <v>0</v>
      </c>
      <c r="AT811" s="8" t="n">
        <v>0</v>
      </c>
      <c r="AU811" s="8" t="n">
        <v>0</v>
      </c>
      <c r="AV811" s="8" t="n">
        <v>85</v>
      </c>
      <c r="AW811" s="11" t="n">
        <f>IF(AND(COUNT(AT811:AV811)=3,AT811&gt;=AU811,AU811&gt;=0,AV811&gt;0),(AT811-AU811)/AV811,"")</f>
        <v>0</v>
      </c>
      <c r="AX811" s="8" t="n">
        <v>0</v>
      </c>
      <c r="AY811" s="8" t="n">
        <v>0</v>
      </c>
      <c r="AZ811" s="8" t="n">
        <v>175</v>
      </c>
      <c r="BA811" s="11" t="n">
        <f>IF(AND(COUNT(AX811:AZ811)=3,AX811&gt;=AY811,AY811&gt;=0,AZ811&gt;0),(AX811-AY811)/AZ811,"")</f>
        <v>0</v>
      </c>
      <c r="BB811" s="8" t="n">
        <f>IF(COUNT(AS811,AW811,BA811)=3,1,0)</f>
        <v>1</v>
      </c>
      <c r="BC811" s="11" t="n">
        <f>IF(SUMIF($AO$11:$AO$1309,AO811,$BB$11:$BB$1309)=COUNTIF($AO$11:$AO$1309,AO811),SUMIF($AO$11:$AO$1309,AO811,$AS$11:$AS$1309),"")</f>
        <v>0</v>
      </c>
      <c r="BD811" s="11" t="n">
        <f>IF(SUMIF($AO$11:$AO$1309,AO811,$BB$11:$BB$1309)=COUNTIF($AO$11:$AO$1309,AO811),SUMIF($AO$11:$AO$1309,AO811,$AW$11:$AW$1309),"")</f>
        <v>0</v>
      </c>
      <c r="BE811" s="11" t="n">
        <f>IF(SUMIF($AO$11:$AO$1309,AO811,$BB$11:$BB$1309)=COUNTIF($AO$11:$AO$1309,AO811),SUMIF($AO$11:$AO$1309,AO811,$BA$11:$BA$1309),"")</f>
        <v>0</v>
      </c>
      <c r="BF811" s="12" t="n">
        <f>IF(COUNT(BD811:BE811)&lt;&gt;2,"",IF(AND(BD811&gt;0,BE811&gt;0),0.7*AW811/BD811+0.3*BA811/BE811,IF(BD811&gt;0,AW811/BD811,IF(BE811&gt;0,BA811/BE811,IF(AND(ISNUMBER(BH811),BH811=0),0,"")))))</f>
        <v>0</v>
      </c>
      <c r="BG811" s="11" t="n">
        <f>IF(AND(COUNT(BN811:BU811)=8,MIN(BN811:BU811)&gt;=0),SUMPRODUCT(BN811:BQ811,BR811:BU811),"")</f>
        <v>109.73769409574882</v>
      </c>
      <c r="BH811" s="11" t="n">
        <f>IF(COUNT(BC811,BG811)=2,BC811*BG811,"")</f>
        <v>0</v>
      </c>
      <c r="BI811" s="11" t="n">
        <f>IF(ISNUMBER(CI811),CI811,"")</f>
        <v>0</v>
      </c>
      <c r="BJ811" s="8" t="str">
        <v>近180天本色销量0双（＜90），无有效新采购，请运营判断</v>
      </c>
      <c r="BK811" s="8" t="str">
        <v>90天：2026-07-20 至 2026-10-17；180天：2026-04-21 至 2026-10-17</v>
      </c>
      <c r="BL811" s="8" t="str">
        <v>90天：2026-10-06、2026-10-07、2026-10-12、2026-10-13、2026-10-16；180天：2026-10-06、2026-10-07、2026-10-12、2026-10-13、2026-10-16</v>
      </c>
      <c r="BM811" s="8" t="str">
        <v>2026-10：12天 × 1.8609238953732312；2026-11：30天 × 1.438375649833085；2026-12：31天 × 0.9519742599124907；2027-01：17天 × 0.8673021058229575</v>
      </c>
      <c r="BN811" s="11" t="n">
        <v>1.8609238953732312</v>
      </c>
      <c r="BO811" s="11" t="n">
        <v>1.438375649833085</v>
      </c>
      <c r="BP811" s="11" t="n">
        <v>0.9519742599124907</v>
      </c>
      <c r="BQ811" s="11" t="n">
        <v>0.8673021058229575</v>
      </c>
      <c r="BR811" s="8" t="n">
        <v>12</v>
      </c>
      <c r="BS811" s="8" t="n">
        <v>30</v>
      </c>
      <c r="BT811" s="8" t="n">
        <v>31</v>
      </c>
      <c r="BU811" s="8" t="n">
        <v>17</v>
      </c>
      <c r="BV811" s="11" t="n">
        <f>IF(COUNT(BC811,BF811)=2,BC811*BF811,"")</f>
        <v>0</v>
      </c>
      <c r="BW811" s="11" t="n">
        <f>IF(ISNUMBER(BN811),BN811,"")</f>
        <v>1.8609238953732312</v>
      </c>
      <c r="BX811" s="14" t="n">
        <f>IF(ISNUMBER(BR811),BR811,"")</f>
        <v>12</v>
      </c>
      <c r="BY811" s="13" t="n">
        <f>IF(AND(COUNT(BV811,BW811,BX811)=3,MIN(BV811,BW811,BX811)&gt;=0),BV811*BW811*BX811,"")</f>
        <v>0</v>
      </c>
      <c r="BZ811" s="11" t="n">
        <f>IF(ISNUMBER(BO811),BO811,"")</f>
        <v>1.438375649833085</v>
      </c>
      <c r="CA811" s="14" t="n">
        <f>IF(ISNUMBER(BS811),BS811,"")</f>
        <v>30</v>
      </c>
      <c r="CB811" s="13" t="n">
        <f>IF(AND(COUNT(BV811,BZ811,CA811)=3,MIN(BV811,BZ811,CA811)&gt;=0),BV811*BZ811*CA811,"")</f>
        <v>0</v>
      </c>
      <c r="CC811" s="11" t="n">
        <f>IF(ISNUMBER(BP811),BP811,"")</f>
        <v>0.9519742599124907</v>
      </c>
      <c r="CD811" s="14" t="n">
        <f>IF(ISNUMBER(BT811),BT811,"")</f>
        <v>31</v>
      </c>
      <c r="CE811" s="13" t="n">
        <f>IF(AND(COUNT(BV811,CC811,CD811)=3,MIN(BV811,CC811,CD811)&gt;=0),BV811*CC811*CD811,"")</f>
        <v>0</v>
      </c>
      <c r="CF811" s="11" t="n">
        <f>IF(ISNUMBER(BQ811),BQ811,"")</f>
        <v>0.8673021058229575</v>
      </c>
      <c r="CG811" s="14" t="n">
        <f>IF(ISNUMBER(BU811),BU811,"")</f>
        <v>17</v>
      </c>
      <c r="CH811" s="13" t="n">
        <f>IF(AND(COUNT(BV811,CF811,CG811)=3,MIN(BV811,CF811,CG811)&gt;=0),BV811*CF811*CG811,"")</f>
        <v>0</v>
      </c>
      <c r="CI811" s="13" t="n">
        <f>IF(COUNT(BY811,CB811,CE811,CH811)=4,SUM(BY811,CB811,CE811,CH811),"")</f>
        <v>0</v>
      </c>
    </row>
    <row r="812" ht="72" customHeight="1">
      <c r="A812" s="16" t="str">
        <v>60516-TN-S-K-9.5</v>
      </c>
      <c r="B812" s="16" t="str">
        <v>3店-SANDIEX-US</v>
      </c>
      <c r="C812" s="16" t="str">
        <v>徐新怡</v>
      </c>
      <c r="D812" s="26" t="n">
        <f>IF(NOT(ISNUMBER(E812)),"",IF(OR(E812&lt;=0,L812=0),0,IF(OR(NOT(ISNUMBER(F812)),F812&lt;0),"",MIN(E812,INT(F812)))))</f>
        <v>0</v>
      </c>
      <c r="E812" s="27" t="n">
        <f>IF(OR(NOT(ISNUMBER(L812)),COUNT(M812:O812)&lt;&gt;3,MIN(M812:O812)&lt;0),"",ROUNDUP(ROUND(BI812-SUM(M812:O812),10),0))</f>
        <v>0</v>
      </c>
      <c r="F812" s="28"/>
      <c r="G812" s="28" t="n">
        <f>IF(AND(ISNUMBER(D812),ISNUMBER(E812)),IF(OR(E812&lt;=0,L812=0),0,E812-D812),"")</f>
        <v>0</v>
      </c>
      <c r="H812" s="16" t="str">
        <f>IF(NOT(ISNUMBER(E812)),"销量或海外库存待补",IF(OR(E812&lt;=0,L812=0),IF(L812=0,"零日销，本批不发","本批无需补货"),IF(NOT(ISNUMBER(D812)),"国内库存待补",IF(D812=0,"国内无可用库存",IF(G812&gt;0,"先发国内现货","按建议量发货")))))</f>
        <v>零日销，本批不发</v>
      </c>
      <c r="I812" s="28" t="n">
        <f>IF(AND(COUNT(Z812,AA812,AB812)=3,Z812&gt;=AA812,AA812&gt;=0,AB812=7),Z812-AA812,"")</f>
        <v>0</v>
      </c>
      <c r="J812" s="28" t="n">
        <f>IF(AND(COUNT(AF812,AG812,AH812)=3,AF812&gt;=AG812,AG812&gt;=0,AH812=14),AF812-AG812,"")</f>
        <v>0</v>
      </c>
      <c r="K812" s="28" t="n">
        <f>IF(AND(COUNT(AL812,AM812,AN812)=3,AL812&gt;=AM812,AM812&gt;=0,AN812=30),AL812-AM812,"")</f>
        <v>0</v>
      </c>
      <c r="L812" s="29" t="n">
        <f>IF(ISNUMBER(BI812),BI812/90,"")</f>
        <v>0</v>
      </c>
      <c r="M812" s="28" t="n">
        <v>0</v>
      </c>
      <c r="N812" s="28" t="n">
        <v>0</v>
      </c>
      <c r="O812" s="28" t="n">
        <v>0</v>
      </c>
      <c r="P812" s="30" t="str">
        <f>IF(AND(ISNUMBER(L812),L812&gt;0,COUNT(M812:O812)=3,MIN(M812:O812)&gt;=0),SUM(M812:O812)/L812,"")</f>
      </c>
      <c r="Q812" s="16" t="str">
        <v>按本SKU唯一未删除Listing店铺核实</v>
      </c>
      <c r="R812" s="16" t="str">
        <v>未匹配</v>
      </c>
      <c r="S812" s="16" t="str">
        <v>停售</v>
      </c>
      <c r="T812" s="16" t="str">
        <v>60516</v>
      </c>
      <c r="U812" s="16" t="str">
        <v>驼色</v>
      </c>
      <c r="V812" s="16" t="n">
        <v>9.5</v>
      </c>
      <c r="W812" s="8" t="str">
        <v>2026-10-08 至 2026-10-17</v>
      </c>
      <c r="X812" s="8" t="str">
        <v>2026-10-08、2026-10-09、2026-10-10、2026-10-11、2026-10-14、2026-10-15、2026-10-17</v>
      </c>
      <c r="Y812" s="8" t="str">
        <v>2026-10-12 有记录的停售日；2026-10-13 有记录的停售日；2026-10-16 有记录的停售日</v>
      </c>
      <c r="Z812" s="8" t="n">
        <v>0</v>
      </c>
      <c r="AA812" s="8" t="n">
        <v>0</v>
      </c>
      <c r="AB812" s="8" t="n">
        <v>7</v>
      </c>
      <c r="AC812" s="8" t="str">
        <v>2026-09-29 至 2026-10-17</v>
      </c>
      <c r="AD812" s="8" t="str">
        <v>2026-09-29、2026-09-30、2026-10-01、2026-10-02、2026-10-03、2026-10-04、2026-10-05、2026-10-08、2026-10-09、2026-10-10、2026-10-11、2026-10-14、2026-10-15、2026-10-17</v>
      </c>
      <c r="AE812" s="8" t="str">
        <v>2026-10-06 大促；2026-10-07 大促；2026-10-12 有记录的停售日；2026-10-13 有记录的停售日；2026-10-16 有记录的停售日</v>
      </c>
      <c r="AF812" s="8" t="n">
        <v>0</v>
      </c>
      <c r="AG812" s="8" t="n">
        <v>0</v>
      </c>
      <c r="AH812" s="8" t="n">
        <v>14</v>
      </c>
      <c r="AI812" s="8" t="str">
        <v>2026-09-13 至 2026-10-17</v>
      </c>
      <c r="AJ81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2" s="8" t="str">
        <v>2026-10-06 大促；2026-10-07 大促；2026-10-12 有记录的停售日；2026-10-13 有记录的停售日；2026-10-16 有记录的停售日</v>
      </c>
      <c r="AL812" s="8" t="n">
        <v>0</v>
      </c>
      <c r="AM812" s="8" t="n">
        <v>0</v>
      </c>
      <c r="AN812" s="8" t="n">
        <v>30</v>
      </c>
      <c r="AO812" s="8" t="str">
        <v>60516 / 驼色羊京绒 / 6574</v>
      </c>
      <c r="AP812" s="11" t="n">
        <v>1.8609238953732312</v>
      </c>
      <c r="AQ812" s="11" t="n">
        <v>1.832044958686392</v>
      </c>
      <c r="AR812" s="11" t="n">
        <v>1.7396323612885067</v>
      </c>
      <c r="AS812" s="11" t="n">
        <f>IF(AND(COUNT(I812:K812,AP812:AR812)=6,MIN(AP812:AR812)&gt;0),I812/7/AP812*0.5+J812/14/AQ812*0.3+K812/30/AR812*0.2,"")</f>
        <v>0</v>
      </c>
      <c r="AT812" s="8" t="n">
        <v>0</v>
      </c>
      <c r="AU812" s="8" t="n">
        <v>0</v>
      </c>
      <c r="AV812" s="8" t="n">
        <v>85</v>
      </c>
      <c r="AW812" s="11" t="n">
        <f>IF(AND(COUNT(AT812:AV812)=3,AT812&gt;=AU812,AU812&gt;=0,AV812&gt;0),(AT812-AU812)/AV812,"")</f>
        <v>0</v>
      </c>
      <c r="AX812" s="8" t="n">
        <v>0</v>
      </c>
      <c r="AY812" s="8" t="n">
        <v>0</v>
      </c>
      <c r="AZ812" s="8" t="n">
        <v>175</v>
      </c>
      <c r="BA812" s="11" t="n">
        <f>IF(AND(COUNT(AX812:AZ812)=3,AX812&gt;=AY812,AY812&gt;=0,AZ812&gt;0),(AX812-AY812)/AZ812,"")</f>
        <v>0</v>
      </c>
      <c r="BB812" s="8" t="n">
        <f>IF(COUNT(AS812,AW812,BA812)=3,1,0)</f>
        <v>1</v>
      </c>
      <c r="BC812" s="11" t="n">
        <f>IF(SUMIF($AO$11:$AO$1309,AO812,$BB$11:$BB$1309)=COUNTIF($AO$11:$AO$1309,AO812),SUMIF($AO$11:$AO$1309,AO812,$AS$11:$AS$1309),"")</f>
        <v>0</v>
      </c>
      <c r="BD812" s="11" t="n">
        <f>IF(SUMIF($AO$11:$AO$1309,AO812,$BB$11:$BB$1309)=COUNTIF($AO$11:$AO$1309,AO812),SUMIF($AO$11:$AO$1309,AO812,$AW$11:$AW$1309),"")</f>
        <v>0</v>
      </c>
      <c r="BE812" s="11" t="n">
        <f>IF(SUMIF($AO$11:$AO$1309,AO812,$BB$11:$BB$1309)=COUNTIF($AO$11:$AO$1309,AO812),SUMIF($AO$11:$AO$1309,AO812,$BA$11:$BA$1309),"")</f>
        <v>0</v>
      </c>
      <c r="BF812" s="12" t="n">
        <f>IF(COUNT(BD812:BE812)&lt;&gt;2,"",IF(AND(BD812&gt;0,BE812&gt;0),0.7*AW812/BD812+0.3*BA812/BE812,IF(BD812&gt;0,AW812/BD812,IF(BE812&gt;0,BA812/BE812,IF(AND(ISNUMBER(BH812),BH812=0),0,"")))))</f>
        <v>0</v>
      </c>
      <c r="BG812" s="11" t="n">
        <f>IF(AND(COUNT(BN812:BU812)=8,MIN(BN812:BU812)&gt;=0),SUMPRODUCT(BN812:BQ812,BR812:BU812),"")</f>
        <v>109.73769409574882</v>
      </c>
      <c r="BH812" s="11" t="n">
        <f>IF(COUNT(BC812,BG812)=2,BC812*BG812,"")</f>
        <v>0</v>
      </c>
      <c r="BI812" s="11" t="n">
        <f>IF(ISNUMBER(CI812),CI812,"")</f>
        <v>0</v>
      </c>
      <c r="BJ812" s="8" t="str">
        <v>近180天本色销量0双（＜90），无有效新采购，请运营判断</v>
      </c>
      <c r="BK812" s="8" t="str">
        <v>90天：2026-07-20 至 2026-10-17；180天：2026-04-21 至 2026-10-17</v>
      </c>
      <c r="BL812" s="8" t="str">
        <v>90天：2026-10-06、2026-10-07、2026-10-12、2026-10-13、2026-10-16；180天：2026-10-06、2026-10-07、2026-10-12、2026-10-13、2026-10-16</v>
      </c>
      <c r="BM812" s="8" t="str">
        <v>2026-10：12天 × 1.8609238953732312；2026-11：30天 × 1.438375649833085；2026-12：31天 × 0.9519742599124907；2027-01：17天 × 0.8673021058229575</v>
      </c>
      <c r="BN812" s="11" t="n">
        <v>1.8609238953732312</v>
      </c>
      <c r="BO812" s="11" t="n">
        <v>1.438375649833085</v>
      </c>
      <c r="BP812" s="11" t="n">
        <v>0.9519742599124907</v>
      </c>
      <c r="BQ812" s="11" t="n">
        <v>0.8673021058229575</v>
      </c>
      <c r="BR812" s="8" t="n">
        <v>12</v>
      </c>
      <c r="BS812" s="8" t="n">
        <v>30</v>
      </c>
      <c r="BT812" s="8" t="n">
        <v>31</v>
      </c>
      <c r="BU812" s="8" t="n">
        <v>17</v>
      </c>
      <c r="BV812" s="11" t="n">
        <f>IF(COUNT(BC812,BF812)=2,BC812*BF812,"")</f>
        <v>0</v>
      </c>
      <c r="BW812" s="11" t="n">
        <f>IF(ISNUMBER(BN812),BN812,"")</f>
        <v>1.8609238953732312</v>
      </c>
      <c r="BX812" s="14" t="n">
        <f>IF(ISNUMBER(BR812),BR812,"")</f>
        <v>12</v>
      </c>
      <c r="BY812" s="13" t="n">
        <f>IF(AND(COUNT(BV812,BW812,BX812)=3,MIN(BV812,BW812,BX812)&gt;=0),BV812*BW812*BX812,"")</f>
        <v>0</v>
      </c>
      <c r="BZ812" s="11" t="n">
        <f>IF(ISNUMBER(BO812),BO812,"")</f>
        <v>1.438375649833085</v>
      </c>
      <c r="CA812" s="14" t="n">
        <f>IF(ISNUMBER(BS812),BS812,"")</f>
        <v>30</v>
      </c>
      <c r="CB812" s="13" t="n">
        <f>IF(AND(COUNT(BV812,BZ812,CA812)=3,MIN(BV812,BZ812,CA812)&gt;=0),BV812*BZ812*CA812,"")</f>
        <v>0</v>
      </c>
      <c r="CC812" s="11" t="n">
        <f>IF(ISNUMBER(BP812),BP812,"")</f>
        <v>0.9519742599124907</v>
      </c>
      <c r="CD812" s="14" t="n">
        <f>IF(ISNUMBER(BT812),BT812,"")</f>
        <v>31</v>
      </c>
      <c r="CE812" s="13" t="n">
        <f>IF(AND(COUNT(BV812,CC812,CD812)=3,MIN(BV812,CC812,CD812)&gt;=0),BV812*CC812*CD812,"")</f>
        <v>0</v>
      </c>
      <c r="CF812" s="11" t="n">
        <f>IF(ISNUMBER(BQ812),BQ812,"")</f>
        <v>0.8673021058229575</v>
      </c>
      <c r="CG812" s="14" t="n">
        <f>IF(ISNUMBER(BU812),BU812,"")</f>
        <v>17</v>
      </c>
      <c r="CH812" s="13" t="n">
        <f>IF(AND(COUNT(BV812,CF812,CG812)=3,MIN(BV812,CF812,CG812)&gt;=0),BV812*CF812*CG812,"")</f>
        <v>0</v>
      </c>
      <c r="CI812" s="13" t="n">
        <f>IF(COUNT(BY812,CB812,CE812,CH812)=4,SUM(BY812,CB812,CE812,CH812),"")</f>
        <v>0</v>
      </c>
    </row>
    <row r="813" ht="72" customHeight="1">
      <c r="A813" s="16" t="str">
        <v>8392-BK-37</v>
      </c>
      <c r="B813" s="16" t="str">
        <v>3店-SANDIEX-US</v>
      </c>
      <c r="C813" s="16" t="str">
        <v>徐新怡</v>
      </c>
      <c r="D813" s="26" t="n">
        <f>IF(NOT(ISNUMBER(E813)),"",IF(OR(E813&lt;=0,L813=0),0,IF(OR(NOT(ISNUMBER(F813)),F813&lt;0),"",MIN(E813,INT(F813)))))</f>
        <v>0</v>
      </c>
      <c r="E813" s="27" t="n">
        <f>IF(OR(NOT(ISNUMBER(L813)),COUNT(M813:O813)&lt;&gt;3,MIN(M813:O813)&lt;0),"",ROUNDUP(ROUND(BI813-SUM(M813:O813),10),0))</f>
        <v>-20</v>
      </c>
      <c r="F813" s="28" t="n">
        <v>0</v>
      </c>
      <c r="G813" s="28" t="n">
        <f>IF(AND(ISNUMBER(D813),ISNUMBER(E813)),IF(OR(E813&lt;=0,L813=0),0,E813-D813),"")</f>
        <v>0</v>
      </c>
      <c r="H813" s="16" t="str">
        <f>IF(NOT(ISNUMBER(E813)),"销量或海外库存待补",IF(OR(E813&lt;=0,L813=0),IF(L813=0,"零日销，本批不发","本批无需补货"),IF(NOT(ISNUMBER(D813)),"国内库存待补",IF(D813=0,"国内无可用库存",IF(G813&gt;0,"先发国内现货","按建议量发货")))))</f>
        <v>本批无需补货</v>
      </c>
      <c r="I813" s="28" t="n">
        <f>IF(AND(COUNT(Z813,AA813,AB813)=3,Z813&gt;=AA813,AA813&gt;=0,AB813=7),Z813-AA813,"")</f>
        <v>1</v>
      </c>
      <c r="J813" s="28" t="n">
        <f>IF(AND(COUNT(AF813,AG813,AH813)=3,AF813&gt;=AG813,AG813&gt;=0,AH813=14),AF813-AG813,"")</f>
        <v>4</v>
      </c>
      <c r="K813" s="28" t="n">
        <f>IF(AND(COUNT(AL813,AM813,AN813)=3,AL813&gt;=AM813,AM813&gt;=0,AN813=30),AL813-AM813,"")</f>
        <v>6</v>
      </c>
      <c r="L813" s="29" t="n">
        <f>IF(ISNUMBER(BI813),BI813/90,"")</f>
        <v>0.27242250502521537</v>
      </c>
      <c r="M813" s="28" t="n">
        <v>44</v>
      </c>
      <c r="N813" s="28" t="n">
        <v>0</v>
      </c>
      <c r="O813" s="28" t="n">
        <v>0</v>
      </c>
      <c r="P813" s="30" t="n">
        <f>IF(AND(ISNUMBER(L813),L813&gt;0,COUNT(M813:O813)=3,MIN(M813:O813)&gt;=0),SUM(M813:O813)/L813,"")</f>
        <v>161.51382205345837</v>
      </c>
      <c r="Q813" s="16" t="str">
        <v>按本SKU唯一未删除Listing店铺核实</v>
      </c>
      <c r="R813" s="16" t="str">
        <v>已匹配</v>
      </c>
      <c r="S813" s="16" t="str">
        <v>在售</v>
      </c>
      <c r="T813" s="16" t="str">
        <v>8392</v>
      </c>
      <c r="U813" s="16" t="str">
        <v>黑色</v>
      </c>
      <c r="V813" s="16" t="n">
        <v>6</v>
      </c>
      <c r="W813" s="8" t="str">
        <v>2026-10-11 至 2026-10-17</v>
      </c>
      <c r="X813" s="8" t="str">
        <v>2026-10-11、2026-10-12、2026-10-13、2026-10-14、2026-10-15、2026-10-16、2026-10-17</v>
      </c>
      <c r="Y813" s="8" t="str">
        <v>无</v>
      </c>
      <c r="Z813" s="8" t="n">
        <v>1</v>
      </c>
      <c r="AA813" s="8" t="n">
        <v>0</v>
      </c>
      <c r="AB813" s="8" t="n">
        <v>7</v>
      </c>
      <c r="AC813" s="8" t="str">
        <v>2026-10-02 至 2026-10-17</v>
      </c>
      <c r="AD813" s="8" t="str">
        <v>2026-10-02、2026-10-03、2026-10-04、2026-10-05、2026-10-08、2026-10-09、2026-10-10、2026-10-11、2026-10-12、2026-10-13、2026-10-14、2026-10-15、2026-10-16、2026-10-17</v>
      </c>
      <c r="AE813" s="8" t="str">
        <v>2026-10-06 大促；2026-10-07 大促</v>
      </c>
      <c r="AF813" s="8" t="n">
        <v>5</v>
      </c>
      <c r="AG813" s="8" t="n">
        <v>1</v>
      </c>
      <c r="AH813" s="8" t="n">
        <v>14</v>
      </c>
      <c r="AI813" s="8" t="str">
        <v>2026-09-16 至 2026-10-17</v>
      </c>
      <c r="AJ8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13" s="8" t="str">
        <v>2026-10-06 大促；2026-10-07 大促</v>
      </c>
      <c r="AL813" s="8" t="n">
        <v>7</v>
      </c>
      <c r="AM813" s="8" t="n">
        <v>1</v>
      </c>
      <c r="AN813" s="8" t="n">
        <v>30</v>
      </c>
      <c r="AO813" s="8" t="str">
        <v>8392 / 黑色羊京绒 / 6574</v>
      </c>
      <c r="AP813" s="11" t="n">
        <v>1.1743420411079069</v>
      </c>
      <c r="AQ813" s="11" t="n">
        <v>1.1743420411079069</v>
      </c>
      <c r="AR813" s="11" t="n">
        <v>1.144331424468921</v>
      </c>
      <c r="AS813" s="11" t="n">
        <f>IF(AND(COUNT(I813:K813,AP813:AR813)=6,MIN(AP813:AR813)&gt;0),I813/7/AP813*0.5+J813/14/AQ813*0.3+K813/30/AR813*0.2,"")</f>
        <v>0.16876844101428312</v>
      </c>
      <c r="AT813" s="8" t="n">
        <v>12</v>
      </c>
      <c r="AU813" s="8" t="n">
        <v>1</v>
      </c>
      <c r="AV813" s="8" t="n">
        <v>88</v>
      </c>
      <c r="AW813" s="11" t="n">
        <f>IF(AND(COUNT(AT813:AV813)=3,AT813&gt;=AU813,AU813&gt;=0,AV813&gt;0),(AT813-AU813)/AV813,"")</f>
        <v>0.125</v>
      </c>
      <c r="AX813" s="8" t="n">
        <v>17</v>
      </c>
      <c r="AY813" s="8" t="n">
        <v>1</v>
      </c>
      <c r="AZ813" s="8" t="n">
        <v>178</v>
      </c>
      <c r="BA813" s="11" t="n">
        <f>IF(AND(COUNT(AX813:AZ813)=3,AX813&gt;=AY813,AY813&gt;=0,AZ813&gt;0),(AX813-AY813)/AZ813,"")</f>
        <v>0.0898876404494382</v>
      </c>
      <c r="BB813" s="8" t="n">
        <f>IF(COUNT(AS813,AW813,BA813)=3,1,0)</f>
        <v>1</v>
      </c>
      <c r="BC813" s="11" t="n">
        <f>IF(SUMIF($AO$11:$AO$1309,AO813,$BB$11:$BB$1309)=COUNTIF($AO$11:$AO$1309,AO813),SUMIF($AO$11:$AO$1309,AO813,$AS$11:$AS$1309),"")</f>
        <v>5.8206872914932575</v>
      </c>
      <c r="BD813" s="11" t="n">
        <f>IF(SUMIF($AO$11:$AO$1309,AO813,$BB$11:$BB$1309)=COUNTIF($AO$11:$AO$1309,AO813),SUMIF($AO$11:$AO$1309,AO813,$AW$11:$AW$1309),"")</f>
        <v>2.7613636363636367</v>
      </c>
      <c r="BE813" s="11" t="n">
        <f>IF(SUMIF($AO$11:$AO$1309,AO813,$BB$11:$BB$1309)=COUNTIF($AO$11:$AO$1309,AO813),SUMIF($AO$11:$AO$1309,AO813,$BA$11:$BA$1309),"")</f>
        <v>2.2696629213483144</v>
      </c>
      <c r="BF813" s="12" t="n">
        <f>IF(COUNT(BD813:BE813)&lt;&gt;2,"",IF(AND(BD813&gt;0,BE813&gt;0),0.7*AW813/BD813+0.3*BA813/BE813,IF(BD813&gt;0,AW813/BD813,IF(BE813&gt;0,BA813/BE813,IF(AND(ISNUMBER(BH813),BH813=0),0,"")))))</f>
        <v>0.04356843091716578</v>
      </c>
      <c r="BG813" s="11" t="n">
        <f>IF(AND(COUNT(BN813:BU813)=8,MIN(BN813:BU813)&gt;=0),SUMPRODUCT(BN813:BQ813,BR813:BU813),"")</f>
        <v>96.68059267618935</v>
      </c>
      <c r="BH813" s="11" t="n">
        <f>IF(COUNT(BC813,BG813)=2,BC813*BG813,"")</f>
        <v>562.7474971243314</v>
      </c>
      <c r="BI813" s="11" t="n">
        <f>IF(ISNUMBER(CI813),CI813,"")</f>
        <v>24.518025452269384</v>
      </c>
      <c r="BJ813" s="8" t="str"/>
      <c r="BK813" s="8" t="str">
        <v>90天：2026-07-20 至 2026-10-17；180天：2026-04-21 至 2026-10-17</v>
      </c>
      <c r="BL813" s="8" t="str">
        <v>90天：2026-10-06、2026-10-07；180天：2026-10-06、2026-10-07</v>
      </c>
      <c r="BM813" s="8" t="str">
        <v>2026-10：12天 × 1.1743420411079069；2026-11：30天 × 1.281694931279211；2026-12：31天 × 0.9007634642750235；2027-01：17天 × 0.9537631089407297</v>
      </c>
      <c r="BN813" s="11" t="n">
        <v>1.1743420411079069</v>
      </c>
      <c r="BO813" s="11" t="n">
        <v>1.281694931279211</v>
      </c>
      <c r="BP813" s="11" t="n">
        <v>0.9007634642750235</v>
      </c>
      <c r="BQ813" s="11" t="n">
        <v>0.9537631089407297</v>
      </c>
      <c r="BR813" s="8" t="n">
        <v>12</v>
      </c>
      <c r="BS813" s="8" t="n">
        <v>30</v>
      </c>
      <c r="BT813" s="8" t="n">
        <v>31</v>
      </c>
      <c r="BU813" s="8" t="n">
        <v>17</v>
      </c>
      <c r="BV813" s="11" t="n">
        <f>IF(COUNT(BC813,BF813)=2,BC813*BF813,"")</f>
        <v>0.2535982121498488</v>
      </c>
      <c r="BW813" s="11" t="n">
        <f>IF(ISNUMBER(BN813),BN813,"")</f>
        <v>1.1743420411079069</v>
      </c>
      <c r="BX813" s="14" t="n">
        <f>IF(ISNUMBER(BR813),BR813,"")</f>
        <v>12</v>
      </c>
      <c r="BY813" s="13" t="n">
        <f>IF(AND(COUNT(BV813,BW813,BX813)=3,MIN(BV813,BW813,BX813)&gt;=0),BV813*BW813*BX813,"")</f>
        <v>3.573732504928433</v>
      </c>
      <c r="BZ813" s="11" t="n">
        <f>IF(ISNUMBER(BO813),BO813,"")</f>
        <v>1.281694931279211</v>
      </c>
      <c r="CA813" s="14" t="n">
        <f>IF(ISNUMBER(BS813),BS813,"")</f>
        <v>30</v>
      </c>
      <c r="CB813" s="13" t="n">
        <f>IF(AND(COUNT(BV813,BZ813,CA813)=3,MIN(BV813,BZ813,CA813)&gt;=0),BV813*BZ813*CA813,"")</f>
        <v>9.751066292817937</v>
      </c>
      <c r="CC813" s="11" t="n">
        <f>IF(ISNUMBER(BP813),BP813,"")</f>
        <v>0.9007634642750235</v>
      </c>
      <c r="CD813" s="14" t="n">
        <f>IF(ISNUMBER(BT813),BT813,"")</f>
        <v>31</v>
      </c>
      <c r="CE813" s="13" t="n">
        <f>IF(AND(COUNT(BV813,CC813,CD813)=3,MIN(BV813,CC813,CD813)&gt;=0),BV813*CC813*CD813,"")</f>
        <v>7.081392127411555</v>
      </c>
      <c r="CF813" s="11" t="n">
        <f>IF(ISNUMBER(BQ813),BQ813,"")</f>
        <v>0.9537631089407297</v>
      </c>
      <c r="CG813" s="14" t="n">
        <f>IF(ISNUMBER(BU813),BU813,"")</f>
        <v>17</v>
      </c>
      <c r="CH813" s="13" t="n">
        <f>IF(AND(COUNT(BV813,CF813,CG813)=3,MIN(BV813,CF813,CG813)&gt;=0),BV813*CF813*CG813,"")</f>
        <v>4.1118345271114585</v>
      </c>
      <c r="CI813" s="13" t="n">
        <f>IF(COUNT(BY813,CB813,CE813,CH813)=4,SUM(BY813,CB813,CE813,CH813),"")</f>
        <v>24.518025452269384</v>
      </c>
    </row>
    <row r="814" ht="72" customHeight="1">
      <c r="A814" s="16" t="str">
        <v>8392-GY-S-K-40</v>
      </c>
      <c r="B814" s="16" t="str">
        <v>3店-SANDIEX-US</v>
      </c>
      <c r="C814" s="16" t="str">
        <v>徐新怡</v>
      </c>
      <c r="D814" s="26" t="n">
        <f>IF(NOT(ISNUMBER(E814)),"",IF(OR(E814&lt;=0,L814=0),0,IF(OR(NOT(ISNUMBER(F814)),F814&lt;0),"",MIN(E814,INT(F814)))))</f>
        <v>0</v>
      </c>
      <c r="E814" s="27" t="n">
        <f>IF(OR(NOT(ISNUMBER(L814)),COUNT(M814:O814)&lt;&gt;3,MIN(M814:O814)&lt;0),"",ROUNDUP(ROUND(BI814-SUM(M814:O814),10),0))</f>
        <v>0</v>
      </c>
      <c r="F814" s="28" t="n">
        <v>0</v>
      </c>
      <c r="G814" s="28" t="n">
        <f>IF(AND(ISNUMBER(D814),ISNUMBER(E814)),IF(OR(E814&lt;=0,L814=0),0,E814-D814),"")</f>
        <v>0</v>
      </c>
      <c r="H814" s="16" t="str">
        <f>IF(NOT(ISNUMBER(E814)),"销量或海外库存待补",IF(OR(E814&lt;=0,L814=0),IF(L814=0,"零日销，本批不发","本批无需补货"),IF(NOT(ISNUMBER(D814)),"国内库存待补",IF(D814=0,"国内无可用库存",IF(G814&gt;0,"先发国内现货","按建议量发货")))))</f>
        <v>零日销，本批不发</v>
      </c>
      <c r="I814" s="28" t="n">
        <f>IF(AND(COUNT(Z814,AA814,AB814)=3,Z814&gt;=AA814,AA814&gt;=0,AB814=7),Z814-AA814,"")</f>
        <v>0</v>
      </c>
      <c r="J814" s="28" t="n">
        <f>IF(AND(COUNT(AF814,AG814,AH814)=3,AF814&gt;=AG814,AG814&gt;=0,AH814=14),AF814-AG814,"")</f>
        <v>0</v>
      </c>
      <c r="K814" s="28" t="n">
        <f>IF(AND(COUNT(AL814,AM814,AN814)=3,AL814&gt;=AM814,AM814&gt;=0,AN814=30),AL814-AM814,"")</f>
        <v>0</v>
      </c>
      <c r="L814" s="29" t="n">
        <f>IF(ISNUMBER(BI814),BI814/90,"")</f>
        <v>0</v>
      </c>
      <c r="M814" s="28" t="n">
        <v>0</v>
      </c>
      <c r="N814" s="28" t="n">
        <v>0</v>
      </c>
      <c r="O814" s="28" t="n">
        <v>0</v>
      </c>
      <c r="P814" s="30" t="str">
        <f>IF(AND(ISNUMBER(L814),L814&gt;0,COUNT(M814:O814)=3,MIN(M814:O814)&gt;=0),SUM(M814:O814)/L814,"")</f>
      </c>
      <c r="Q814" s="16" t="str">
        <v>按本SKU唯一未删除Listing店铺核实</v>
      </c>
      <c r="R814" s="16" t="str">
        <v>已匹配</v>
      </c>
      <c r="S814" s="16" t="str">
        <v>停售</v>
      </c>
      <c r="T814" s="16" t="str">
        <v>8392</v>
      </c>
      <c r="U814" s="16" t="str">
        <v>灰色</v>
      </c>
      <c r="V814" s="16" t="n">
        <v>9</v>
      </c>
      <c r="W814" s="8" t="str">
        <v>2026-10-08 至 2026-10-17</v>
      </c>
      <c r="X814" s="8" t="str">
        <v>2026-10-08、2026-10-09、2026-10-10、2026-10-11、2026-10-14、2026-10-15、2026-10-17</v>
      </c>
      <c r="Y814" s="8" t="str">
        <v>2026-10-12 有记录的停售日；2026-10-13 有记录的停售日；2026-10-16 有记录的停售日</v>
      </c>
      <c r="Z814" s="8" t="n">
        <v>0</v>
      </c>
      <c r="AA814" s="8" t="n">
        <v>0</v>
      </c>
      <c r="AB814" s="8" t="n">
        <v>7</v>
      </c>
      <c r="AC814" s="8" t="str">
        <v>2026-09-29 至 2026-10-17</v>
      </c>
      <c r="AD814" s="8" t="str">
        <v>2026-09-29、2026-09-30、2026-10-01、2026-10-02、2026-10-03、2026-10-04、2026-10-05、2026-10-08、2026-10-09、2026-10-10、2026-10-11、2026-10-14、2026-10-15、2026-10-17</v>
      </c>
      <c r="AE814" s="8" t="str">
        <v>2026-10-06 大促；2026-10-07 大促；2026-10-12 有记录的停售日；2026-10-13 有记录的停售日；2026-10-16 有记录的停售日</v>
      </c>
      <c r="AF814" s="8" t="n">
        <v>0</v>
      </c>
      <c r="AG814" s="8" t="n">
        <v>0</v>
      </c>
      <c r="AH814" s="8" t="n">
        <v>14</v>
      </c>
      <c r="AI814" s="8" t="str">
        <v>2026-09-13 至 2026-10-17</v>
      </c>
      <c r="AJ81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4" s="8" t="str">
        <v>2026-10-06 大促；2026-10-07 大促；2026-10-12 有记录的停售日；2026-10-13 有记录的停售日；2026-10-16 有记录的停售日</v>
      </c>
      <c r="AL814" s="8" t="n">
        <v>0</v>
      </c>
      <c r="AM814" s="8" t="n">
        <v>0</v>
      </c>
      <c r="AN814" s="8" t="n">
        <v>30</v>
      </c>
      <c r="AO814" s="8" t="str">
        <v>8392 / 灰色羊京绒 / 6574</v>
      </c>
      <c r="AP814" s="11" t="n">
        <v>1.1743420411079069</v>
      </c>
      <c r="AQ814" s="11" t="n">
        <v>1.1657675792110538</v>
      </c>
      <c r="AR814" s="11" t="n">
        <v>1.138329301141124</v>
      </c>
      <c r="AS814" s="11" t="n">
        <f>IF(AND(COUNT(I814:K814,AP814:AR814)=6,MIN(AP814:AR814)&gt;0),I814/7/AP814*0.5+J814/14/AQ814*0.3+K814/30/AR814*0.2,"")</f>
        <v>0</v>
      </c>
      <c r="AT814" s="8" t="n">
        <v>0</v>
      </c>
      <c r="AU814" s="8" t="n">
        <v>0</v>
      </c>
      <c r="AV814" s="8" t="n">
        <v>85</v>
      </c>
      <c r="AW814" s="11" t="n">
        <f>IF(AND(COUNT(AT814:AV814)=3,AT814&gt;=AU814,AU814&gt;=0,AV814&gt;0),(AT814-AU814)/AV814,"")</f>
        <v>0</v>
      </c>
      <c r="AX814" s="8" t="n">
        <v>3</v>
      </c>
      <c r="AY814" s="8" t="n">
        <v>0</v>
      </c>
      <c r="AZ814" s="8" t="n">
        <v>175</v>
      </c>
      <c r="BA814" s="11" t="n">
        <f>IF(AND(COUNT(AX814:AZ814)=3,AX814&gt;=AY814,AY814&gt;=0,AZ814&gt;0),(AX814-AY814)/AZ814,"")</f>
        <v>0.017142857142857144</v>
      </c>
      <c r="BB814" s="8" t="n">
        <f>IF(COUNT(AS814,AW814,BA814)=3,1,0)</f>
        <v>1</v>
      </c>
      <c r="BC814" s="11" t="n">
        <f>IF(SUMIF($AO$11:$AO$1309,AO814,$BB$11:$BB$1309)=COUNTIF($AO$11:$AO$1309,AO814),SUMIF($AO$11:$AO$1309,AO814,$AS$11:$AS$1309),"")</f>
        <v>0</v>
      </c>
      <c r="BD814" s="11" t="n">
        <f>IF(SUMIF($AO$11:$AO$1309,AO814,$BB$11:$BB$1309)=COUNTIF($AO$11:$AO$1309,AO814),SUMIF($AO$11:$AO$1309,AO814,$AW$11:$AW$1309),"")</f>
        <v>0</v>
      </c>
      <c r="BE814" s="11" t="n">
        <f>IF(SUMIF($AO$11:$AO$1309,AO814,$BB$11:$BB$1309)=COUNTIF($AO$11:$AO$1309,AO814),SUMIF($AO$11:$AO$1309,AO814,$BA$11:$BA$1309),"")</f>
        <v>0.017142857142857144</v>
      </c>
      <c r="BF814" s="12" t="n">
        <f>IF(COUNT(BD814:BE814)&lt;&gt;2,"",IF(AND(BD814&gt;0,BE814&gt;0),0.7*AW814/BD814+0.3*BA814/BE814,IF(BD814&gt;0,AW814/BD814,IF(BE814&gt;0,BA814/BE814,IF(AND(ISNUMBER(BH814),BH814=0),0,"")))))</f>
        <v>1</v>
      </c>
      <c r="BG814" s="11" t="n">
        <f>IF(AND(COUNT(BN814:BU814)=8,MIN(BN814:BU814)&gt;=0),SUMPRODUCT(BN814:BQ814,BR814:BU814),"")</f>
        <v>96.68059267618935</v>
      </c>
      <c r="BH814" s="11" t="n">
        <f>IF(COUNT(BC814,BG814)=2,BC814*BG814,"")</f>
        <v>0</v>
      </c>
      <c r="BI814" s="11" t="n">
        <f>IF(ISNUMBER(CI814),CI814,"")</f>
        <v>0</v>
      </c>
      <c r="BJ814" s="8" t="str">
        <v>近180天本色销量5双（＜90），无有效新采购，请运营判断</v>
      </c>
      <c r="BK814" s="8" t="str">
        <v>90天：2026-07-20 至 2026-10-17；180天：2026-04-21 至 2026-10-17</v>
      </c>
      <c r="BL814" s="8" t="str">
        <v>90天：2026-10-06、2026-10-07、2026-10-12、2026-10-13、2026-10-16；180天：2026-10-06、2026-10-07、2026-10-12、2026-10-13、2026-10-16</v>
      </c>
      <c r="BM814" s="8" t="str">
        <v>2026-10：12天 × 1.1743420411079069；2026-11：30天 × 1.281694931279211；2026-12：31天 × 0.9007634642750235；2027-01：17天 × 0.9537631089407297</v>
      </c>
      <c r="BN814" s="11" t="n">
        <v>1.1743420411079069</v>
      </c>
      <c r="BO814" s="11" t="n">
        <v>1.281694931279211</v>
      </c>
      <c r="BP814" s="11" t="n">
        <v>0.9007634642750235</v>
      </c>
      <c r="BQ814" s="11" t="n">
        <v>0.9537631089407297</v>
      </c>
      <c r="BR814" s="8" t="n">
        <v>12</v>
      </c>
      <c r="BS814" s="8" t="n">
        <v>30</v>
      </c>
      <c r="BT814" s="8" t="n">
        <v>31</v>
      </c>
      <c r="BU814" s="8" t="n">
        <v>17</v>
      </c>
      <c r="BV814" s="11" t="n">
        <f>IF(COUNT(BC814,BF814)=2,BC814*BF814,"")</f>
        <v>0</v>
      </c>
      <c r="BW814" s="11" t="n">
        <f>IF(ISNUMBER(BN814),BN814,"")</f>
        <v>1.1743420411079069</v>
      </c>
      <c r="BX814" s="14" t="n">
        <f>IF(ISNUMBER(BR814),BR814,"")</f>
        <v>12</v>
      </c>
      <c r="BY814" s="13" t="n">
        <f>IF(AND(COUNT(BV814,BW814,BX814)=3,MIN(BV814,BW814,BX814)&gt;=0),BV814*BW814*BX814,"")</f>
        <v>0</v>
      </c>
      <c r="BZ814" s="11" t="n">
        <f>IF(ISNUMBER(BO814),BO814,"")</f>
        <v>1.281694931279211</v>
      </c>
      <c r="CA814" s="14" t="n">
        <f>IF(ISNUMBER(BS814),BS814,"")</f>
        <v>30</v>
      </c>
      <c r="CB814" s="13" t="n">
        <f>IF(AND(COUNT(BV814,BZ814,CA814)=3,MIN(BV814,BZ814,CA814)&gt;=0),BV814*BZ814*CA814,"")</f>
        <v>0</v>
      </c>
      <c r="CC814" s="11" t="n">
        <f>IF(ISNUMBER(BP814),BP814,"")</f>
        <v>0.9007634642750235</v>
      </c>
      <c r="CD814" s="14" t="n">
        <f>IF(ISNUMBER(BT814),BT814,"")</f>
        <v>31</v>
      </c>
      <c r="CE814" s="13" t="n">
        <f>IF(AND(COUNT(BV814,CC814,CD814)=3,MIN(BV814,CC814,CD814)&gt;=0),BV814*CC814*CD814,"")</f>
        <v>0</v>
      </c>
      <c r="CF814" s="11" t="n">
        <f>IF(ISNUMBER(BQ814),BQ814,"")</f>
        <v>0.9537631089407297</v>
      </c>
      <c r="CG814" s="14" t="n">
        <f>IF(ISNUMBER(BU814),BU814,"")</f>
        <v>17</v>
      </c>
      <c r="CH814" s="13" t="n">
        <f>IF(AND(COUNT(BV814,CF814,CG814)=3,MIN(BV814,CF814,CG814)&gt;=0),BV814*CF814*CG814,"")</f>
        <v>0</v>
      </c>
      <c r="CI814" s="13" t="n">
        <f>IF(COUNT(BY814,CB814,CE814,CH814)=4,SUM(BY814,CB814,CE814,CH814),"")</f>
        <v>0</v>
      </c>
    </row>
    <row r="815" ht="72" customHeight="1">
      <c r="A815" s="16" t="str">
        <v>8392-GY-S-K-41</v>
      </c>
      <c r="B815" s="16" t="str">
        <v>3店-SANDIEX-US</v>
      </c>
      <c r="C815" s="16" t="str">
        <v>徐新怡</v>
      </c>
      <c r="D815" s="26" t="n">
        <f>IF(NOT(ISNUMBER(E815)),"",IF(OR(E815&lt;=0,L815=0),0,IF(OR(NOT(ISNUMBER(F815)),F815&lt;0),"",MIN(E815,INT(F815)))))</f>
        <v>0</v>
      </c>
      <c r="E815" s="27" t="n">
        <f>IF(OR(NOT(ISNUMBER(L815)),COUNT(M815:O815)&lt;&gt;3,MIN(M815:O815)&lt;0),"",ROUNDUP(ROUND(BI815-SUM(M815:O815),10),0))</f>
        <v>0</v>
      </c>
      <c r="F815" s="28"/>
      <c r="G815" s="28" t="n">
        <f>IF(AND(ISNUMBER(D815),ISNUMBER(E815)),IF(OR(E815&lt;=0,L815=0),0,E815-D815),"")</f>
        <v>0</v>
      </c>
      <c r="H815" s="16" t="str">
        <f>IF(NOT(ISNUMBER(E815)),"销量或海外库存待补",IF(OR(E815&lt;=0,L815=0),IF(L815=0,"零日销，本批不发","本批无需补货"),IF(NOT(ISNUMBER(D815)),"国内库存待补",IF(D815=0,"国内无可用库存",IF(G815&gt;0,"先发国内现货","按建议量发货")))))</f>
        <v>零日销，本批不发</v>
      </c>
      <c r="I815" s="28" t="n">
        <f>IF(AND(COUNT(Z815,AA815,AB815)=3,Z815&gt;=AA815,AA815&gt;=0,AB815=7),Z815-AA815,"")</f>
        <v>0</v>
      </c>
      <c r="J815" s="28" t="n">
        <f>IF(AND(COUNT(AF815,AG815,AH815)=3,AF815&gt;=AG815,AG815&gt;=0,AH815=14),AF815-AG815,"")</f>
        <v>0</v>
      </c>
      <c r="K815" s="28" t="n">
        <f>IF(AND(COUNT(AL815,AM815,AN815)=3,AL815&gt;=AM815,AM815&gt;=0,AN815=30),AL815-AM815,"")</f>
        <v>0</v>
      </c>
      <c r="L815" s="29" t="n">
        <f>IF(ISNUMBER(BI815),BI815/90,"")</f>
        <v>0</v>
      </c>
      <c r="M815" s="28" t="n">
        <v>0</v>
      </c>
      <c r="N815" s="28" t="n">
        <v>0</v>
      </c>
      <c r="O815" s="28" t="n">
        <v>0</v>
      </c>
      <c r="P815" s="30" t="str">
        <f>IF(AND(ISNUMBER(L815),L815&gt;0,COUNT(M815:O815)=3,MIN(M815:O815)&gt;=0),SUM(M815:O815)/L815,"")</f>
      </c>
      <c r="Q815" s="16" t="str">
        <v>按本SKU唯一未删除Listing店铺核实</v>
      </c>
      <c r="R815" s="16" t="str">
        <v>未匹配</v>
      </c>
      <c r="S815" s="16" t="str">
        <v>停售</v>
      </c>
      <c r="T815" s="16" t="str">
        <v>8392</v>
      </c>
      <c r="U815" s="16" t="str">
        <v>灰色</v>
      </c>
      <c r="V815" s="16" t="n">
        <v>10</v>
      </c>
      <c r="W815" s="8" t="str">
        <v>2026-10-08 至 2026-10-17</v>
      </c>
      <c r="X815" s="8" t="str">
        <v>2026-10-08、2026-10-09、2026-10-10、2026-10-11、2026-10-14、2026-10-15、2026-10-17</v>
      </c>
      <c r="Y815" s="8" t="str">
        <v>2026-10-12 有记录的停售日；2026-10-13 有记录的停售日；2026-10-16 有记录的停售日</v>
      </c>
      <c r="Z815" s="8" t="n">
        <v>0</v>
      </c>
      <c r="AA815" s="8" t="n">
        <v>0</v>
      </c>
      <c r="AB815" s="8" t="n">
        <v>7</v>
      </c>
      <c r="AC815" s="8" t="str">
        <v>2026-09-29 至 2026-10-17</v>
      </c>
      <c r="AD815" s="8" t="str">
        <v>2026-09-29、2026-09-30、2026-10-01、2026-10-02、2026-10-03、2026-10-04、2026-10-05、2026-10-08、2026-10-09、2026-10-10、2026-10-11、2026-10-14、2026-10-15、2026-10-17</v>
      </c>
      <c r="AE815" s="8" t="str">
        <v>2026-10-06 大促；2026-10-07 大促；2026-10-12 有记录的停售日；2026-10-13 有记录的停售日；2026-10-16 有记录的停售日</v>
      </c>
      <c r="AF815" s="8" t="n">
        <v>0</v>
      </c>
      <c r="AG815" s="8" t="n">
        <v>0</v>
      </c>
      <c r="AH815" s="8" t="n">
        <v>14</v>
      </c>
      <c r="AI815" s="8" t="str">
        <v>2026-09-13 至 2026-10-17</v>
      </c>
      <c r="AJ8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5" s="8" t="str">
        <v>2026-10-06 大促；2026-10-07 大促；2026-10-12 有记录的停售日；2026-10-13 有记录的停售日；2026-10-16 有记录的停售日</v>
      </c>
      <c r="AL815" s="8" t="n">
        <v>0</v>
      </c>
      <c r="AM815" s="8" t="n">
        <v>0</v>
      </c>
      <c r="AN815" s="8" t="n">
        <v>30</v>
      </c>
      <c r="AO815" s="8" t="str">
        <v>8392 / 灰色羊京绒 / 6574</v>
      </c>
      <c r="AP815" s="11" t="n">
        <v>1.1743420411079069</v>
      </c>
      <c r="AQ815" s="11" t="n">
        <v>1.1657675792110538</v>
      </c>
      <c r="AR815" s="11" t="n">
        <v>1.138329301141124</v>
      </c>
      <c r="AS815" s="11" t="n">
        <f>IF(AND(COUNT(I815:K815,AP815:AR815)=6,MIN(AP815:AR815)&gt;0),I815/7/AP815*0.5+J815/14/AQ815*0.3+K815/30/AR815*0.2,"")</f>
        <v>0</v>
      </c>
      <c r="AT815" s="8" t="n">
        <v>0</v>
      </c>
      <c r="AU815" s="8" t="n">
        <v>0</v>
      </c>
      <c r="AV815" s="8" t="n">
        <v>85</v>
      </c>
      <c r="AW815" s="11" t="n">
        <f>IF(AND(COUNT(AT815:AV815)=3,AT815&gt;=AU815,AU815&gt;=0,AV815&gt;0),(AT815-AU815)/AV815,"")</f>
        <v>0</v>
      </c>
      <c r="AX815" s="8" t="n">
        <v>0</v>
      </c>
      <c r="AY815" s="8" t="n">
        <v>0</v>
      </c>
      <c r="AZ815" s="8" t="n">
        <v>175</v>
      </c>
      <c r="BA815" s="11" t="n">
        <f>IF(AND(COUNT(AX815:AZ815)=3,AX815&gt;=AY815,AY815&gt;=0,AZ815&gt;0),(AX815-AY815)/AZ815,"")</f>
        <v>0</v>
      </c>
      <c r="BB815" s="8" t="n">
        <f>IF(COUNT(AS815,AW815,BA815)=3,1,0)</f>
        <v>1</v>
      </c>
      <c r="BC815" s="11" t="n">
        <f>IF(SUMIF($AO$11:$AO$1309,AO815,$BB$11:$BB$1309)=COUNTIF($AO$11:$AO$1309,AO815),SUMIF($AO$11:$AO$1309,AO815,$AS$11:$AS$1309),"")</f>
        <v>0</v>
      </c>
      <c r="BD815" s="11" t="n">
        <f>IF(SUMIF($AO$11:$AO$1309,AO815,$BB$11:$BB$1309)=COUNTIF($AO$11:$AO$1309,AO815),SUMIF($AO$11:$AO$1309,AO815,$AW$11:$AW$1309),"")</f>
        <v>0</v>
      </c>
      <c r="BE815" s="11" t="n">
        <f>IF(SUMIF($AO$11:$AO$1309,AO815,$BB$11:$BB$1309)=COUNTIF($AO$11:$AO$1309,AO815),SUMIF($AO$11:$AO$1309,AO815,$BA$11:$BA$1309),"")</f>
        <v>0.017142857142857144</v>
      </c>
      <c r="BF815" s="12" t="n">
        <f>IF(COUNT(BD815:BE815)&lt;&gt;2,"",IF(AND(BD815&gt;0,BE815&gt;0),0.7*AW815/BD815+0.3*BA815/BE815,IF(BD815&gt;0,AW815/BD815,IF(BE815&gt;0,BA815/BE815,IF(AND(ISNUMBER(BH815),BH815=0),0,"")))))</f>
        <v>0</v>
      </c>
      <c r="BG815" s="11" t="n">
        <f>IF(AND(COUNT(BN815:BU815)=8,MIN(BN815:BU815)&gt;=0),SUMPRODUCT(BN815:BQ815,BR815:BU815),"")</f>
        <v>96.68059267618935</v>
      </c>
      <c r="BH815" s="11" t="n">
        <f>IF(COUNT(BC815,BG815)=2,BC815*BG815,"")</f>
        <v>0</v>
      </c>
      <c r="BI815" s="11" t="n">
        <f>IF(ISNUMBER(CI815),CI815,"")</f>
        <v>0</v>
      </c>
      <c r="BJ815" s="8" t="str">
        <v>近180天本色销量5双（＜90），无有效新采购，请运营判断</v>
      </c>
      <c r="BK815" s="8" t="str">
        <v>90天：2026-07-20 至 2026-10-17；180天：2026-04-21 至 2026-10-17</v>
      </c>
      <c r="BL815" s="8" t="str">
        <v>90天：2026-10-06、2026-10-07、2026-10-12、2026-10-13、2026-10-16；180天：2026-10-06、2026-10-07、2026-10-12、2026-10-13、2026-10-16</v>
      </c>
      <c r="BM815" s="8" t="str">
        <v>2026-10：12天 × 1.1743420411079069；2026-11：30天 × 1.281694931279211；2026-12：31天 × 0.9007634642750235；2027-01：17天 × 0.9537631089407297</v>
      </c>
      <c r="BN815" s="11" t="n">
        <v>1.1743420411079069</v>
      </c>
      <c r="BO815" s="11" t="n">
        <v>1.281694931279211</v>
      </c>
      <c r="BP815" s="11" t="n">
        <v>0.9007634642750235</v>
      </c>
      <c r="BQ815" s="11" t="n">
        <v>0.9537631089407297</v>
      </c>
      <c r="BR815" s="8" t="n">
        <v>12</v>
      </c>
      <c r="BS815" s="8" t="n">
        <v>30</v>
      </c>
      <c r="BT815" s="8" t="n">
        <v>31</v>
      </c>
      <c r="BU815" s="8" t="n">
        <v>17</v>
      </c>
      <c r="BV815" s="11" t="n">
        <f>IF(COUNT(BC815,BF815)=2,BC815*BF815,"")</f>
        <v>0</v>
      </c>
      <c r="BW815" s="11" t="n">
        <f>IF(ISNUMBER(BN815),BN815,"")</f>
        <v>1.1743420411079069</v>
      </c>
      <c r="BX815" s="14" t="n">
        <f>IF(ISNUMBER(BR815),BR815,"")</f>
        <v>12</v>
      </c>
      <c r="BY815" s="13" t="n">
        <f>IF(AND(COUNT(BV815,BW815,BX815)=3,MIN(BV815,BW815,BX815)&gt;=0),BV815*BW815*BX815,"")</f>
        <v>0</v>
      </c>
      <c r="BZ815" s="11" t="n">
        <f>IF(ISNUMBER(BO815),BO815,"")</f>
        <v>1.281694931279211</v>
      </c>
      <c r="CA815" s="14" t="n">
        <f>IF(ISNUMBER(BS815),BS815,"")</f>
        <v>30</v>
      </c>
      <c r="CB815" s="13" t="n">
        <f>IF(AND(COUNT(BV815,BZ815,CA815)=3,MIN(BV815,BZ815,CA815)&gt;=0),BV815*BZ815*CA815,"")</f>
        <v>0</v>
      </c>
      <c r="CC815" s="11" t="n">
        <f>IF(ISNUMBER(BP815),BP815,"")</f>
        <v>0.9007634642750235</v>
      </c>
      <c r="CD815" s="14" t="n">
        <f>IF(ISNUMBER(BT815),BT815,"")</f>
        <v>31</v>
      </c>
      <c r="CE815" s="13" t="n">
        <f>IF(AND(COUNT(BV815,CC815,CD815)=3,MIN(BV815,CC815,CD815)&gt;=0),BV815*CC815*CD815,"")</f>
        <v>0</v>
      </c>
      <c r="CF815" s="11" t="n">
        <f>IF(ISNUMBER(BQ815),BQ815,"")</f>
        <v>0.9537631089407297</v>
      </c>
      <c r="CG815" s="14" t="n">
        <f>IF(ISNUMBER(BU815),BU815,"")</f>
        <v>17</v>
      </c>
      <c r="CH815" s="13" t="n">
        <f>IF(AND(COUNT(BV815,CF815,CG815)=3,MIN(BV815,CF815,CG815)&gt;=0),BV815*CF815*CG815,"")</f>
        <v>0</v>
      </c>
      <c r="CI815" s="13" t="n">
        <f>IF(COUNT(BY815,CB815,CE815,CH815)=4,SUM(BY815,CB815,CE815,CH815),"")</f>
        <v>0</v>
      </c>
    </row>
    <row r="816" ht="72" customHeight="1">
      <c r="A816" s="16" t="str">
        <v>8392-LP-37</v>
      </c>
      <c r="B816" s="16" t="str">
        <v>3店-SANDIEX-US</v>
      </c>
      <c r="C816" s="16" t="str">
        <v>徐新怡</v>
      </c>
      <c r="D816" s="26" t="n">
        <f>IF(NOT(ISNUMBER(E816)),"",IF(OR(E816&lt;=0,L816=0),0,IF(OR(NOT(ISNUMBER(F816)),F816&lt;0),"",MIN(E816,INT(F816)))))</f>
        <v>0</v>
      </c>
      <c r="E816" s="27" t="n">
        <f>IF(OR(NOT(ISNUMBER(L816)),COUNT(M816:O816)&lt;&gt;3,MIN(M816:O816)&lt;0),"",ROUNDUP(ROUND(BI816-SUM(M816:O816),10),0))</f>
        <v>-13</v>
      </c>
      <c r="F816" s="28" t="n">
        <v>37</v>
      </c>
      <c r="G816" s="28" t="n">
        <f>IF(AND(ISNUMBER(D816),ISNUMBER(E816)),IF(OR(E816&lt;=0,L816=0),0,E816-D816),"")</f>
        <v>0</v>
      </c>
      <c r="H816" s="16" t="str">
        <f>IF(NOT(ISNUMBER(E816)),"销量或海外库存待补",IF(OR(E816&lt;=0,L816=0),IF(L816=0,"零日销，本批不发","本批无需补货"),IF(NOT(ISNUMBER(D816)),"国内库存待补",IF(D816=0,"国内无可用库存",IF(G816&gt;0,"先发国内现货","按建议量发货")))))</f>
        <v>本批无需补货</v>
      </c>
      <c r="I816" s="28" t="n">
        <f>IF(AND(COUNT(Z816,AA816,AB816)=3,Z816&gt;=AA816,AA816&gt;=0,AB816=7),Z816-AA816,"")</f>
        <v>1</v>
      </c>
      <c r="J816" s="28" t="n">
        <f>IF(AND(COUNT(AF816,AG816,AH816)=3,AF816&gt;=AG816,AG816&gt;=0,AH816=14),AF816-AG816,"")</f>
        <v>1</v>
      </c>
      <c r="K816" s="28" t="n">
        <f>IF(AND(COUNT(AL816,AM816,AN816)=3,AL816&gt;=AM816,AM816&gt;=0,AN816=30),AL816-AM816,"")</f>
        <v>1</v>
      </c>
      <c r="L816" s="29" t="n">
        <f>IF(ISNUMBER(BI816),BI816/90,"")</f>
        <v>0.033707032438683136</v>
      </c>
      <c r="M816" s="28" t="n">
        <v>16</v>
      </c>
      <c r="N816" s="28" t="n">
        <v>0</v>
      </c>
      <c r="O816" s="28" t="n">
        <v>0</v>
      </c>
      <c r="P816" s="30" t="n">
        <f>IF(AND(ISNUMBER(L816),L816&gt;0,COUNT(M816:O816)=3,MIN(M816:O816)&gt;=0),SUM(M816:O816)/L816,"")</f>
        <v>474.6783932731483</v>
      </c>
      <c r="Q816" s="16" t="str">
        <v>按本SKU唯一未删除Listing店铺核实</v>
      </c>
      <c r="R816" s="16" t="str">
        <v>已匹配</v>
      </c>
      <c r="S816" s="16" t="str">
        <v>在售</v>
      </c>
      <c r="T816" s="16" t="str">
        <v>8392</v>
      </c>
      <c r="U816" s="16" t="str">
        <v>豹纹</v>
      </c>
      <c r="V816" s="16" t="n">
        <v>6</v>
      </c>
      <c r="W816" s="8" t="str">
        <v>2026-10-11 至 2026-10-17</v>
      </c>
      <c r="X816" s="8" t="str">
        <v>2026-10-11、2026-10-12、2026-10-13、2026-10-14、2026-10-15、2026-10-16、2026-10-17</v>
      </c>
      <c r="Y816" s="8" t="str">
        <v>无</v>
      </c>
      <c r="Z816" s="8" t="n">
        <v>1</v>
      </c>
      <c r="AA816" s="8" t="n">
        <v>0</v>
      </c>
      <c r="AB816" s="8" t="n">
        <v>7</v>
      </c>
      <c r="AC816" s="8" t="str">
        <v>2026-10-02 至 2026-10-17</v>
      </c>
      <c r="AD816" s="8" t="str">
        <v>2026-10-02、2026-10-03、2026-10-04、2026-10-05、2026-10-08、2026-10-09、2026-10-10、2026-10-11、2026-10-12、2026-10-13、2026-10-14、2026-10-15、2026-10-16、2026-10-17</v>
      </c>
      <c r="AE816" s="8" t="str">
        <v>2026-10-06 大促；2026-10-07 大促</v>
      </c>
      <c r="AF816" s="8" t="n">
        <v>2</v>
      </c>
      <c r="AG816" s="8" t="n">
        <v>1</v>
      </c>
      <c r="AH816" s="8" t="n">
        <v>14</v>
      </c>
      <c r="AI816" s="8" t="str">
        <v>2026-09-16 至 2026-10-17</v>
      </c>
      <c r="AJ8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16" s="8" t="str">
        <v>2026-10-06 大促；2026-10-07 大促</v>
      </c>
      <c r="AL816" s="8" t="n">
        <v>2</v>
      </c>
      <c r="AM816" s="8" t="n">
        <v>1</v>
      </c>
      <c r="AN816" s="8" t="n">
        <v>30</v>
      </c>
      <c r="AO816" s="8" t="str">
        <v>8392 / 豹纹羊京绒 / 6574</v>
      </c>
      <c r="AP816" s="11" t="n">
        <v>1.1743420411079069</v>
      </c>
      <c r="AQ816" s="11" t="n">
        <v>1.1743420411079069</v>
      </c>
      <c r="AR816" s="11" t="n">
        <v>1.144331424468921</v>
      </c>
      <c r="AS816" s="11" t="n">
        <f>IF(AND(COUNT(I816:K816,AP816:AR816)=6,MIN(AP816:AR816)&gt;0),I816/7/AP816*0.5+J816/14/AQ816*0.3+K816/30/AR816*0.2,"")</f>
        <v>0.08489745102017039</v>
      </c>
      <c r="AT816" s="8" t="n">
        <v>2</v>
      </c>
      <c r="AU816" s="8" t="n">
        <v>1</v>
      </c>
      <c r="AV816" s="8" t="n">
        <v>88</v>
      </c>
      <c r="AW816" s="11" t="n">
        <f>IF(AND(COUNT(AT816:AV816)=3,AT816&gt;=AU816,AU816&gt;=0,AV816&gt;0),(AT816-AU816)/AV816,"")</f>
        <v>0.011363636363636364</v>
      </c>
      <c r="AX816" s="8" t="n">
        <v>4</v>
      </c>
      <c r="AY816" s="8" t="n">
        <v>1</v>
      </c>
      <c r="AZ816" s="8" t="n">
        <v>178</v>
      </c>
      <c r="BA816" s="11" t="n">
        <f>IF(AND(COUNT(AX816:AZ816)=3,AX816&gt;=AY816,AY816&gt;=0,AZ816&gt;0),(AX816-AY816)/AZ816,"")</f>
        <v>0.016853932584269662</v>
      </c>
      <c r="BB816" s="8" t="n">
        <f>IF(COUNT(AS816,AW816,BA816)=3,1,0)</f>
        <v>1</v>
      </c>
      <c r="BC816" s="11" t="n">
        <f>IF(SUMIF($AO$11:$AO$1309,AO816,$BB$11:$BB$1309)=COUNTIF($AO$11:$AO$1309,AO816),SUMIF($AO$11:$AO$1309,AO816,$AS$11:$AS$1309),"")</f>
        <v>1.7348603654072816</v>
      </c>
      <c r="BD816" s="11" t="n">
        <f>IF(SUMIF($AO$11:$AO$1309,AO816,$BB$11:$BB$1309)=COUNTIF($AO$11:$AO$1309,AO816),SUMIF($AO$11:$AO$1309,AO816,$AW$11:$AW$1309),"")</f>
        <v>0.7184184645645092</v>
      </c>
      <c r="BE816" s="11" t="n">
        <f>IF(SUMIF($AO$11:$AO$1309,AO816,$BB$11:$BB$1309)=COUNTIF($AO$11:$AO$1309,AO816),SUMIF($AO$11:$AO$1309,AO816,$BA$11:$BA$1309),"")</f>
        <v>0.7208292298065674</v>
      </c>
      <c r="BF816" s="12" t="n">
        <f>IF(COUNT(BD816:BE816)&lt;&gt;2,"",IF(AND(BD816&gt;0,BE816&gt;0),0.7*AW816/BD816+0.3*BA816/BE816,IF(BD816&gt;0,AW816/BD816,IF(BE816&gt;0,BA816/BE816,IF(AND(ISNUMBER(BH816),BH816=0),0,"")))))</f>
        <v>0.018086694336226852</v>
      </c>
      <c r="BG816" s="11" t="n">
        <f>IF(AND(COUNT(BN816:BU816)=8,MIN(BN816:BU816)&gt;=0),SUMPRODUCT(BN816:BQ816,BR816:BU816),"")</f>
        <v>96.68059267618935</v>
      </c>
      <c r="BH816" s="11" t="n">
        <f>IF(COUNT(BC816,BG816)=2,BC816*BG816,"")</f>
        <v>167.7273283380064</v>
      </c>
      <c r="BI816" s="11" t="n">
        <f>IF(ISNUMBER(CI816),CI816,"")</f>
        <v>3.0336329194814824</v>
      </c>
      <c r="BJ816" s="8" t="str"/>
      <c r="BK816" s="8" t="str">
        <v>90天：2026-07-20 至 2026-10-17；180天：2026-04-21 至 2026-10-17</v>
      </c>
      <c r="BL816" s="8" t="str">
        <v>90天：2026-10-06、2026-10-07；180天：2026-10-06、2026-10-07</v>
      </c>
      <c r="BM816" s="8" t="str">
        <v>2026-10：12天 × 1.1743420411079069；2026-11：30天 × 1.281694931279211；2026-12：31天 × 0.9007634642750235；2027-01：17天 × 0.9537631089407297</v>
      </c>
      <c r="BN816" s="11" t="n">
        <v>1.1743420411079069</v>
      </c>
      <c r="BO816" s="11" t="n">
        <v>1.281694931279211</v>
      </c>
      <c r="BP816" s="11" t="n">
        <v>0.9007634642750235</v>
      </c>
      <c r="BQ816" s="11" t="n">
        <v>0.9537631089407297</v>
      </c>
      <c r="BR816" s="8" t="n">
        <v>12</v>
      </c>
      <c r="BS816" s="8" t="n">
        <v>30</v>
      </c>
      <c r="BT816" s="8" t="n">
        <v>31</v>
      </c>
      <c r="BU816" s="8" t="n">
        <v>17</v>
      </c>
      <c r="BV816" s="11" t="n">
        <f>IF(COUNT(BC816,BF816)=2,BC816*BF816,"")</f>
        <v>0.03137788914515633</v>
      </c>
      <c r="BW816" s="11" t="n">
        <f>IF(ISNUMBER(BN816),BN816,"")</f>
        <v>1.1743420411079069</v>
      </c>
      <c r="BX816" s="14" t="n">
        <f>IF(ISNUMBER(BR816),BR816,"")</f>
        <v>12</v>
      </c>
      <c r="BY816" s="13" t="n">
        <f>IF(AND(COUNT(BV816,BW816,BX816)=3,MIN(BV816,BW816,BX816)&gt;=0),BV816*BW816*BX816,"")</f>
        <v>0.4421804926125662</v>
      </c>
      <c r="BZ816" s="11" t="n">
        <f>IF(ISNUMBER(BO816),BO816,"")</f>
        <v>1.281694931279211</v>
      </c>
      <c r="CA816" s="14" t="n">
        <f>IF(ISNUMBER(BS816),BS816,"")</f>
        <v>30</v>
      </c>
      <c r="CB816" s="13" t="n">
        <f>IF(AND(COUNT(BV816,BZ816,CA816)=3,MIN(BV816,BZ816,CA816)&gt;=0),BV816*BZ816*CA816,"")</f>
        <v>1.2065064441476352</v>
      </c>
      <c r="CC816" s="11" t="n">
        <f>IF(ISNUMBER(BP816),BP816,"")</f>
        <v>0.9007634642750235</v>
      </c>
      <c r="CD816" s="14" t="n">
        <f>IF(ISNUMBER(BT816),BT816,"")</f>
        <v>31</v>
      </c>
      <c r="CE816" s="13" t="n">
        <f>IF(AND(COUNT(BV816,CC816,CD816)=3,MIN(BV816,CC816,CD816)&gt;=0),BV816*CC816*CD816,"")</f>
        <v>0.8761857399688889</v>
      </c>
      <c r="CF816" s="11" t="n">
        <f>IF(ISNUMBER(BQ816),BQ816,"")</f>
        <v>0.9537631089407297</v>
      </c>
      <c r="CG816" s="14" t="n">
        <f>IF(ISNUMBER(BU816),BU816,"")</f>
        <v>17</v>
      </c>
      <c r="CH816" s="13" t="n">
        <f>IF(AND(COUNT(BV816,CF816,CG816)=3,MIN(BV816,CF816,CG816)&gt;=0),BV816*CF816*CG816,"")</f>
        <v>0.508760242752392</v>
      </c>
      <c r="CI816" s="13" t="n">
        <f>IF(COUNT(BY816,CB816,CE816,CH816)=4,SUM(BY816,CB816,CE816,CH816),"")</f>
        <v>3.0336329194814824</v>
      </c>
    </row>
    <row r="817" ht="72" customHeight="1">
      <c r="A817" s="16" t="str">
        <v>8392-LP-39</v>
      </c>
      <c r="B817" s="16" t="str">
        <v>3店-SANDIEX-US</v>
      </c>
      <c r="C817" s="16" t="str">
        <v>徐新怡</v>
      </c>
      <c r="D817" s="26" t="n">
        <f>IF(NOT(ISNUMBER(E817)),"",IF(OR(E817&lt;=0,L817=0),0,IF(OR(NOT(ISNUMBER(F817)),F817&lt;0),"",MIN(E817,INT(F817)))))</f>
        <v>0</v>
      </c>
      <c r="E817" s="27" t="n">
        <f>IF(OR(NOT(ISNUMBER(L817)),COUNT(M817:O817)&lt;&gt;3,MIN(M817:O817)&lt;0),"",ROUNDUP(ROUND(BI817-SUM(M817:O817),10),0))</f>
        <v>-13</v>
      </c>
      <c r="F817" s="28" t="n">
        <v>0</v>
      </c>
      <c r="G817" s="28" t="n">
        <f>IF(AND(ISNUMBER(D817),ISNUMBER(E817)),IF(OR(E817&lt;=0,L817=0),0,E817-D817),"")</f>
        <v>0</v>
      </c>
      <c r="H817" s="16" t="str">
        <f>IF(NOT(ISNUMBER(E817)),"销量或海外库存待补",IF(OR(E817&lt;=0,L817=0),IF(L817=0,"零日销，本批不发","本批无需补货"),IF(NOT(ISNUMBER(D817)),"国内库存待补",IF(D817=0,"国内无可用库存",IF(G817&gt;0,"先发国内现货","按建议量发货")))))</f>
        <v>本批无需补货</v>
      </c>
      <c r="I817" s="28" t="n">
        <f>IF(AND(COUNT(Z817,AA817,AB817)=3,Z817&gt;=AA817,AA817&gt;=0,AB817=7),Z817-AA817,"")</f>
        <v>6</v>
      </c>
      <c r="J817" s="28" t="n">
        <f>IF(AND(COUNT(AF817,AG817,AH817)=3,AF817&gt;=AG817,AG817&gt;=0,AH817=14),AF817-AG817,"")</f>
        <v>8</v>
      </c>
      <c r="K817" s="28" t="n">
        <f>IF(AND(COUNT(AL817,AM817,AN817)=3,AL817&gt;=AM817,AM817&gt;=0,AN817=30),AL817-AM817,"")</f>
        <v>12</v>
      </c>
      <c r="L817" s="29" t="n">
        <f>IF(ISNUMBER(BI817),BI817/90,"")</f>
        <v>0.5370077417638941</v>
      </c>
      <c r="M817" s="28" t="n">
        <v>61</v>
      </c>
      <c r="N817" s="28" t="n">
        <v>0</v>
      </c>
      <c r="O817" s="28" t="n">
        <v>0</v>
      </c>
      <c r="P817" s="30" t="n">
        <f>IF(AND(ISNUMBER(L817),L817&gt;0,COUNT(M817:O817)=3,MIN(M817:O817)&gt;=0),SUM(M817:O817)/L817,"")</f>
        <v>113.59240334158876</v>
      </c>
      <c r="Q817" s="16" t="str">
        <v>按本SKU唯一未删除Listing店铺核实</v>
      </c>
      <c r="R817" s="16" t="str">
        <v>已匹配</v>
      </c>
      <c r="S817" s="16" t="str">
        <v>在售</v>
      </c>
      <c r="T817" s="16" t="str">
        <v>8392</v>
      </c>
      <c r="U817" s="16" t="str">
        <v>豹纹</v>
      </c>
      <c r="V817" s="16" t="n">
        <v>8</v>
      </c>
      <c r="W817" s="8" t="str">
        <v>2026-10-11 至 2026-10-17</v>
      </c>
      <c r="X817" s="8" t="str">
        <v>2026-10-11、2026-10-12、2026-10-13、2026-10-14、2026-10-15、2026-10-16、2026-10-17</v>
      </c>
      <c r="Y817" s="8" t="str">
        <v>无</v>
      </c>
      <c r="Z817" s="8" t="n">
        <v>6</v>
      </c>
      <c r="AA817" s="8" t="n">
        <v>0</v>
      </c>
      <c r="AB817" s="8" t="n">
        <v>7</v>
      </c>
      <c r="AC817" s="8" t="str">
        <v>2026-10-02 至 2026-10-17</v>
      </c>
      <c r="AD817" s="8" t="str">
        <v>2026-10-02、2026-10-03、2026-10-04、2026-10-05、2026-10-08、2026-10-09、2026-10-10、2026-10-11、2026-10-12、2026-10-13、2026-10-14、2026-10-15、2026-10-16、2026-10-17</v>
      </c>
      <c r="AE817" s="8" t="str">
        <v>2026-10-06 大促；2026-10-07 大促</v>
      </c>
      <c r="AF817" s="8" t="n">
        <v>10</v>
      </c>
      <c r="AG817" s="8" t="n">
        <v>2</v>
      </c>
      <c r="AH817" s="8" t="n">
        <v>14</v>
      </c>
      <c r="AI817" s="8" t="str">
        <v>2026-09-16 至 2026-10-17</v>
      </c>
      <c r="AJ8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17" s="8" t="str">
        <v>2026-10-06 大促；2026-10-07 大促</v>
      </c>
      <c r="AL817" s="8" t="n">
        <v>14</v>
      </c>
      <c r="AM817" s="8" t="n">
        <v>2</v>
      </c>
      <c r="AN817" s="8" t="n">
        <v>30</v>
      </c>
      <c r="AO817" s="8" t="str">
        <v>8392 / 豹纹羊京绒 / 6574</v>
      </c>
      <c r="AP817" s="11" t="n">
        <v>1.1743420411079069</v>
      </c>
      <c r="AQ817" s="11" t="n">
        <v>1.1743420411079069</v>
      </c>
      <c r="AR817" s="11" t="n">
        <v>1.144331424468921</v>
      </c>
      <c r="AS817" s="11" t="n">
        <f>IF(AND(COUNT(I817:K817,AP817:AR817)=6,MIN(AP817:AR817)&gt;0),I817/7/AP817*0.5+J817/14/AQ817*0.3+K817/30/AR817*0.2,"")</f>
        <v>0.5808342142476657</v>
      </c>
      <c r="AT817" s="8" t="n">
        <v>20</v>
      </c>
      <c r="AU817" s="8" t="n">
        <v>2</v>
      </c>
      <c r="AV817" s="8" t="n">
        <v>88</v>
      </c>
      <c r="AW817" s="11" t="n">
        <f>IF(AND(COUNT(AT817:AV817)=3,AT817&gt;=AU817,AU817&gt;=0,AV817&gt;0),(AT817-AU817)/AV817,"")</f>
        <v>0.20454545454545456</v>
      </c>
      <c r="AX817" s="8" t="n">
        <v>40</v>
      </c>
      <c r="AY817" s="8" t="n">
        <v>2</v>
      </c>
      <c r="AZ817" s="8" t="n">
        <v>178</v>
      </c>
      <c r="BA817" s="11" t="n">
        <f>IF(AND(COUNT(AX817:AZ817)=3,AX817&gt;=AY817,AY817&gt;=0,AZ817&gt;0),(AX817-AY817)/AZ817,"")</f>
        <v>0.21348314606741572</v>
      </c>
      <c r="BB817" s="8" t="n">
        <f>IF(COUNT(AS817,AW817,BA817)=3,1,0)</f>
        <v>1</v>
      </c>
      <c r="BC817" s="11" t="n">
        <f>IF(SUMIF($AO$11:$AO$1309,AO817,$BB$11:$BB$1309)=COUNTIF($AO$11:$AO$1309,AO817),SUMIF($AO$11:$AO$1309,AO817,$AS$11:$AS$1309),"")</f>
        <v>1.7348603654072816</v>
      </c>
      <c r="BD817" s="11" t="n">
        <f>IF(SUMIF($AO$11:$AO$1309,AO817,$BB$11:$BB$1309)=COUNTIF($AO$11:$AO$1309,AO817),SUMIF($AO$11:$AO$1309,AO817,$AW$11:$AW$1309),"")</f>
        <v>0.7184184645645092</v>
      </c>
      <c r="BE817" s="11" t="n">
        <f>IF(SUMIF($AO$11:$AO$1309,AO817,$BB$11:$BB$1309)=COUNTIF($AO$11:$AO$1309,AO817),SUMIF($AO$11:$AO$1309,AO817,$BA$11:$BA$1309),"")</f>
        <v>0.7208292298065674</v>
      </c>
      <c r="BF817" s="12" t="n">
        <f>IF(COUNT(BD817:BE817)&lt;&gt;2,"",IF(AND(BD817&gt;0,BE817&gt;0),0.7*AW817/BD817+0.3*BA817/BE817,IF(BD817&gt;0,AW817/BD817,IF(BE817&gt;0,BA817/BE817,IF(AND(ISNUMBER(BH817),BH817=0),0,"")))))</f>
        <v>0.28815040004306147</v>
      </c>
      <c r="BG817" s="11" t="n">
        <f>IF(AND(COUNT(BN817:BU817)=8,MIN(BN817:BU817)&gt;=0),SUMPRODUCT(BN817:BQ817,BR817:BU817),"")</f>
        <v>96.68059267618935</v>
      </c>
      <c r="BH817" s="11" t="n">
        <f>IF(COUNT(BC817,BG817)=2,BC817*BG817,"")</f>
        <v>167.7273283380064</v>
      </c>
      <c r="BI817" s="11" t="n">
        <f>IF(ISNUMBER(CI817),CI817,"")</f>
        <v>48.33069675875047</v>
      </c>
      <c r="BJ817" s="8" t="str"/>
      <c r="BK817" s="8" t="str">
        <v>90天：2026-07-20 至 2026-10-17；180天：2026-04-21 至 2026-10-17</v>
      </c>
      <c r="BL817" s="8" t="str">
        <v>90天：2026-10-06、2026-10-07；180天：2026-10-06、2026-10-07</v>
      </c>
      <c r="BM817" s="8" t="str">
        <v>2026-10：12天 × 1.1743420411079069；2026-11：30天 × 1.281694931279211；2026-12：31天 × 0.9007634642750235；2027-01：17天 × 0.9537631089407297</v>
      </c>
      <c r="BN817" s="11" t="n">
        <v>1.1743420411079069</v>
      </c>
      <c r="BO817" s="11" t="n">
        <v>1.281694931279211</v>
      </c>
      <c r="BP817" s="11" t="n">
        <v>0.9007634642750235</v>
      </c>
      <c r="BQ817" s="11" t="n">
        <v>0.9537631089407297</v>
      </c>
      <c r="BR817" s="8" t="n">
        <v>12</v>
      </c>
      <c r="BS817" s="8" t="n">
        <v>30</v>
      </c>
      <c r="BT817" s="8" t="n">
        <v>31</v>
      </c>
      <c r="BU817" s="8" t="n">
        <v>17</v>
      </c>
      <c r="BV817" s="11" t="n">
        <f>IF(COUNT(BC817,BF817)=2,BC817*BF817,"")</f>
        <v>0.49990070831096</v>
      </c>
      <c r="BW817" s="11" t="n">
        <f>IF(ISNUMBER(BN817),BN817,"")</f>
        <v>1.1743420411079069</v>
      </c>
      <c r="BX817" s="14" t="n">
        <f>IF(ISNUMBER(BR817),BR817,"")</f>
        <v>12</v>
      </c>
      <c r="BY817" s="13" t="n">
        <f>IF(AND(COUNT(BV817,BW817,BX817)=3,MIN(BV817,BW817,BX817)&gt;=0),BV817*BW817*BX817,"")</f>
        <v>7.044653017790173</v>
      </c>
      <c r="BZ817" s="11" t="n">
        <f>IF(ISNUMBER(BO817),BO817,"")</f>
        <v>1.281694931279211</v>
      </c>
      <c r="CA817" s="14" t="n">
        <f>IF(ISNUMBER(BS817),BS817,"")</f>
        <v>30</v>
      </c>
      <c r="CB817" s="13" t="n">
        <f>IF(AND(COUNT(BV817,BZ817,CA817)=3,MIN(BV817,BZ817,CA817)&gt;=0),BV817*BZ817*CA817,"")</f>
        <v>19.221606119551346</v>
      </c>
      <c r="CC817" s="11" t="n">
        <f>IF(ISNUMBER(BP817),BP817,"")</f>
        <v>0.9007634642750235</v>
      </c>
      <c r="CD817" s="14" t="n">
        <f>IF(ISNUMBER(BT817),BT817,"")</f>
        <v>31</v>
      </c>
      <c r="CE817" s="13" t="n">
        <f>IF(AND(COUNT(BV817,CC817,CD817)=3,MIN(BV817,CC817,CD817)&gt;=0),BV817*CC817*CD817,"")</f>
        <v>13.959061108163269</v>
      </c>
      <c r="CF817" s="11" t="n">
        <f>IF(ISNUMBER(BQ817),BQ817,"")</f>
        <v>0.9537631089407297</v>
      </c>
      <c r="CG817" s="14" t="n">
        <f>IF(ISNUMBER(BU817),BU817,"")</f>
        <v>17</v>
      </c>
      <c r="CH817" s="13" t="n">
        <f>IF(AND(COUNT(BV817,CF817,CG817)=3,MIN(BV817,CF817,CG817)&gt;=0),BV817*CF817*CG817,"")</f>
        <v>8.105376513245679</v>
      </c>
      <c r="CI817" s="13" t="n">
        <f>IF(COUNT(BY817,CB817,CE817,CH817)=4,SUM(BY817,CB817,CE817,CH817),"")</f>
        <v>48.33069675875047</v>
      </c>
    </row>
    <row r="818" ht="72" customHeight="1">
      <c r="A818" s="16" t="str">
        <v>8392-LP-41</v>
      </c>
      <c r="B818" s="16" t="str">
        <v>1店-MUSSHOE-US</v>
      </c>
      <c r="C818" s="16" t="str">
        <v>徐新怡</v>
      </c>
      <c r="D818" s="26" t="n">
        <f>IF(NOT(ISNUMBER(E818)),"",IF(OR(E818&lt;=0,L818=0),0,IF(OR(NOT(ISNUMBER(F818)),F818&lt;0),"",MIN(E818,INT(F818)))))</f>
        <v>0</v>
      </c>
      <c r="E818" s="27" t="n">
        <f>IF(OR(NOT(ISNUMBER(L818)),COUNT(M818:O818)&lt;&gt;3,MIN(M818:O818)&lt;0),"",ROUNDUP(ROUND(BI818-SUM(M818:O818),10),0))</f>
        <v>0</v>
      </c>
      <c r="F818" s="28" t="n">
        <v>0</v>
      </c>
      <c r="G818" s="28" t="n">
        <f>IF(AND(ISNUMBER(D818),ISNUMBER(E818)),IF(OR(E818&lt;=0,L818=0),0,E818-D818),"")</f>
        <v>0</v>
      </c>
      <c r="H818" s="16" t="str">
        <f>IF(NOT(ISNUMBER(E818)),"销量或海外库存待补",IF(OR(E818&lt;=0,L818=0),IF(L818=0,"零日销，本批不发","本批无需补货"),IF(NOT(ISNUMBER(D818)),"国内库存待补",IF(D818=0,"国内无可用库存",IF(G818&gt;0,"先发国内现货","按建议量发货")))))</f>
        <v>零日销，本批不发</v>
      </c>
      <c r="I818" s="28" t="n">
        <f>IF(AND(COUNT(Z818,AA818,AB818)=3,Z818&gt;=AA818,AA818&gt;=0,AB818=7),Z818-AA818,"")</f>
        <v>0</v>
      </c>
      <c r="J818" s="28" t="n">
        <f>IF(AND(COUNT(AF818,AG818,AH818)=3,AF818&gt;=AG818,AG818&gt;=0,AH818=14),AF818-AG818,"")</f>
        <v>0</v>
      </c>
      <c r="K818" s="28" t="n">
        <f>IF(AND(COUNT(AL818,AM818,AN818)=3,AL818&gt;=AM818,AM818&gt;=0,AN818=30),AL818-AM818,"")</f>
        <v>0</v>
      </c>
      <c r="L818" s="29" t="n">
        <f>IF(ISNUMBER(BI818),BI818/90,"")</f>
        <v>0</v>
      </c>
      <c r="M818" s="28" t="n">
        <v>0</v>
      </c>
      <c r="N818" s="28" t="n">
        <v>0</v>
      </c>
      <c r="O818" s="28" t="n">
        <v>0</v>
      </c>
      <c r="P818" s="30" t="str">
        <f>IF(AND(ISNUMBER(L818),L818&gt;0,COUNT(M818:O818)=3,MIN(M818:O818)&gt;=0),SUM(M818:O818)/L818,"")</f>
      </c>
      <c r="Q818" s="16" t="str">
        <v>按本SKU唯一未删除Listing店铺核实</v>
      </c>
      <c r="R818" s="16" t="str">
        <v>已匹配</v>
      </c>
      <c r="S818" s="16" t="str">
        <v>停售</v>
      </c>
      <c r="T818" s="16" t="str">
        <v>8392</v>
      </c>
      <c r="U818" s="16" t="str">
        <v>豹纹</v>
      </c>
      <c r="V818" s="16" t="n">
        <v>10</v>
      </c>
      <c r="W818" s="8" t="str">
        <v>2026-10-08 至 2026-10-17</v>
      </c>
      <c r="X818" s="8" t="str">
        <v>2026-10-08、2026-10-09、2026-10-10、2026-10-11、2026-10-14、2026-10-15、2026-10-17</v>
      </c>
      <c r="Y818" s="8" t="str">
        <v>2026-10-12 有记录的停售日；2026-10-13 有记录的停售日；2026-10-16 有记录的停售日</v>
      </c>
      <c r="Z818" s="8" t="n">
        <v>0</v>
      </c>
      <c r="AA818" s="8" t="n">
        <v>0</v>
      </c>
      <c r="AB818" s="8" t="n">
        <v>7</v>
      </c>
      <c r="AC818" s="8" t="str">
        <v>2026-09-29 至 2026-10-17</v>
      </c>
      <c r="AD818" s="8" t="str">
        <v>2026-09-29、2026-09-30、2026-10-01、2026-10-02、2026-10-03、2026-10-04、2026-10-05、2026-10-08、2026-10-09、2026-10-10、2026-10-11、2026-10-14、2026-10-15、2026-10-17</v>
      </c>
      <c r="AE818" s="8" t="str">
        <v>2026-10-06 大促；2026-10-07 大促；2026-10-12 有记录的停售日；2026-10-13 有记录的停售日；2026-10-16 有记录的停售日</v>
      </c>
      <c r="AF818" s="8" t="n">
        <v>0</v>
      </c>
      <c r="AG818" s="8" t="n">
        <v>0</v>
      </c>
      <c r="AH818" s="8" t="n">
        <v>14</v>
      </c>
      <c r="AI818" s="8" t="str">
        <v>2026-09-13 至 2026-10-17</v>
      </c>
      <c r="AJ8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18" s="8" t="str">
        <v>2026-10-06 大促；2026-10-07 大促；2026-10-12 有记录的停售日；2026-10-13 有记录的停售日；2026-10-16 有记录的停售日</v>
      </c>
      <c r="AL818" s="8" t="n">
        <v>0</v>
      </c>
      <c r="AM818" s="8" t="n">
        <v>0</v>
      </c>
      <c r="AN818" s="8" t="n">
        <v>30</v>
      </c>
      <c r="AO818" s="8" t="str">
        <v>8392 / 豹纹羊京绒 / 13120</v>
      </c>
      <c r="AP818" s="11" t="n">
        <v>1.1743420411079069</v>
      </c>
      <c r="AQ818" s="11" t="n">
        <v>1.1657675792110538</v>
      </c>
      <c r="AR818" s="11" t="n">
        <v>1.138329301141124</v>
      </c>
      <c r="AS818" s="11" t="n">
        <f>IF(AND(COUNT(I818:K818,AP818:AR818)=6,MIN(AP818:AR818)&gt;0),I818/7/AP818*0.5+J818/14/AQ818*0.3+K818/30/AR818*0.2,"")</f>
        <v>0</v>
      </c>
      <c r="AT818" s="8" t="n">
        <v>0</v>
      </c>
      <c r="AU818" s="8" t="n">
        <v>0</v>
      </c>
      <c r="AV818" s="8" t="n">
        <v>85</v>
      </c>
      <c r="AW818" s="11" t="n">
        <f>IF(AND(COUNT(AT818:AV818)=3,AT818&gt;=AU818,AU818&gt;=0,AV818&gt;0),(AT818-AU818)/AV818,"")</f>
        <v>0</v>
      </c>
      <c r="AX818" s="8" t="n">
        <v>0</v>
      </c>
      <c r="AY818" s="8" t="n">
        <v>0</v>
      </c>
      <c r="AZ818" s="8" t="n">
        <v>175</v>
      </c>
      <c r="BA818" s="11" t="n">
        <f>IF(AND(COUNT(AX818:AZ818)=3,AX818&gt;=AY818,AY818&gt;=0,AZ818&gt;0),(AX818-AY818)/AZ818,"")</f>
        <v>0</v>
      </c>
      <c r="BB818" s="8" t="n">
        <f>IF(COUNT(AS818,AW818,BA818)=3,1,0)</f>
        <v>1</v>
      </c>
      <c r="BC818" s="11" t="n">
        <f>IF(SUMIF($AO$11:$AO$1309,AO818,$BB$11:$BB$1309)=COUNTIF($AO$11:$AO$1309,AO818),SUMIF($AO$11:$AO$1309,AO818,$AS$11:$AS$1309),"")</f>
        <v>0</v>
      </c>
      <c r="BD818" s="11" t="n">
        <f>IF(SUMIF($AO$11:$AO$1309,AO818,$BB$11:$BB$1309)=COUNTIF($AO$11:$AO$1309,AO818),SUMIF($AO$11:$AO$1309,AO818,$AW$11:$AW$1309),"")</f>
        <v>0</v>
      </c>
      <c r="BE818" s="11" t="n">
        <f>IF(SUMIF($AO$11:$AO$1309,AO818,$BB$11:$BB$1309)=COUNTIF($AO$11:$AO$1309,AO818),SUMIF($AO$11:$AO$1309,AO818,$BA$11:$BA$1309),"")</f>
        <v>0</v>
      </c>
      <c r="BF818" s="12" t="n">
        <f>IF(COUNT(BD818:BE818)&lt;&gt;2,"",IF(AND(BD818&gt;0,BE818&gt;0),0.7*AW818/BD818+0.3*BA818/BE818,IF(BD818&gt;0,AW818/BD818,IF(BE818&gt;0,BA818/BE818,IF(AND(ISNUMBER(BH818),BH818=0),0,"")))))</f>
        <v>0</v>
      </c>
      <c r="BG818" s="11" t="n">
        <f>IF(AND(COUNT(BN818:BU818)=8,MIN(BN818:BU818)&gt;=0),SUMPRODUCT(BN818:BQ818,BR818:BU818),"")</f>
        <v>96.68059267618935</v>
      </c>
      <c r="BH818" s="11" t="n">
        <f>IF(COUNT(BC818,BG818)=2,BC818*BG818,"")</f>
        <v>0</v>
      </c>
      <c r="BI818" s="11" t="n">
        <f>IF(ISNUMBER(CI818),CI818,"")</f>
        <v>0</v>
      </c>
      <c r="BJ818" s="8" t="str"/>
      <c r="BK818" s="8" t="str">
        <v>90天：2026-07-20 至 2026-10-17；180天：2026-04-21 至 2026-10-17</v>
      </c>
      <c r="BL818" s="8" t="str">
        <v>90天：2026-10-06、2026-10-07、2026-10-12、2026-10-13、2026-10-16；180天：2026-10-06、2026-10-07、2026-10-12、2026-10-13、2026-10-16</v>
      </c>
      <c r="BM818" s="8" t="str">
        <v>2026-10：12天 × 1.1743420411079069；2026-11：30天 × 1.281694931279211；2026-12：31天 × 0.9007634642750235；2027-01：17天 × 0.9537631089407297</v>
      </c>
      <c r="BN818" s="11" t="n">
        <v>1.1743420411079069</v>
      </c>
      <c r="BO818" s="11" t="n">
        <v>1.281694931279211</v>
      </c>
      <c r="BP818" s="11" t="n">
        <v>0.9007634642750235</v>
      </c>
      <c r="BQ818" s="11" t="n">
        <v>0.9537631089407297</v>
      </c>
      <c r="BR818" s="8" t="n">
        <v>12</v>
      </c>
      <c r="BS818" s="8" t="n">
        <v>30</v>
      </c>
      <c r="BT818" s="8" t="n">
        <v>31</v>
      </c>
      <c r="BU818" s="8" t="n">
        <v>17</v>
      </c>
      <c r="BV818" s="11" t="n">
        <f>IF(COUNT(BC818,BF818)=2,BC818*BF818,"")</f>
        <v>0</v>
      </c>
      <c r="BW818" s="11" t="n">
        <f>IF(ISNUMBER(BN818),BN818,"")</f>
        <v>1.1743420411079069</v>
      </c>
      <c r="BX818" s="14" t="n">
        <f>IF(ISNUMBER(BR818),BR818,"")</f>
        <v>12</v>
      </c>
      <c r="BY818" s="13" t="n">
        <f>IF(AND(COUNT(BV818,BW818,BX818)=3,MIN(BV818,BW818,BX818)&gt;=0),BV818*BW818*BX818,"")</f>
        <v>0</v>
      </c>
      <c r="BZ818" s="11" t="n">
        <f>IF(ISNUMBER(BO818),BO818,"")</f>
        <v>1.281694931279211</v>
      </c>
      <c r="CA818" s="14" t="n">
        <f>IF(ISNUMBER(BS818),BS818,"")</f>
        <v>30</v>
      </c>
      <c r="CB818" s="13" t="n">
        <f>IF(AND(COUNT(BV818,BZ818,CA818)=3,MIN(BV818,BZ818,CA818)&gt;=0),BV818*BZ818*CA818,"")</f>
        <v>0</v>
      </c>
      <c r="CC818" s="11" t="n">
        <f>IF(ISNUMBER(BP818),BP818,"")</f>
        <v>0.9007634642750235</v>
      </c>
      <c r="CD818" s="14" t="n">
        <f>IF(ISNUMBER(BT818),BT818,"")</f>
        <v>31</v>
      </c>
      <c r="CE818" s="13" t="n">
        <f>IF(AND(COUNT(BV818,CC818,CD818)=3,MIN(BV818,CC818,CD818)&gt;=0),BV818*CC818*CD818,"")</f>
        <v>0</v>
      </c>
      <c r="CF818" s="11" t="n">
        <f>IF(ISNUMBER(BQ818),BQ818,"")</f>
        <v>0.9537631089407297</v>
      </c>
      <c r="CG818" s="14" t="n">
        <f>IF(ISNUMBER(BU818),BU818,"")</f>
        <v>17</v>
      </c>
      <c r="CH818" s="13" t="n">
        <f>IF(AND(COUNT(BV818,CF818,CG818)=3,MIN(BV818,CF818,CG818)&gt;=0),BV818*CF818*CG818,"")</f>
        <v>0</v>
      </c>
      <c r="CI818" s="13" t="n">
        <f>IF(COUNT(BY818,CB818,CE818,CH818)=4,SUM(BY818,CB818,CE818,CH818),"")</f>
        <v>0</v>
      </c>
    </row>
    <row r="819" ht="72" customHeight="1">
      <c r="A819" s="16" t="str">
        <v>8392-ND-41</v>
      </c>
      <c r="B819" s="16" t="str">
        <v>3店-SANDIEX-US</v>
      </c>
      <c r="C819" s="16" t="str">
        <v>徐新怡</v>
      </c>
      <c r="D819" s="26" t="n">
        <f>IF(NOT(ISNUMBER(E819)),"",IF(OR(E819&lt;=0,L819=0),0,IF(OR(NOT(ISNUMBER(F819)),F819&lt;0),"",MIN(E819,INT(F819)))))</f>
        <v>0</v>
      </c>
      <c r="E819" s="27" t="n">
        <f>IF(OR(NOT(ISNUMBER(L819)),COUNT(M819:O819)&lt;&gt;3,MIN(M819:O819)&lt;0),"",ROUNDUP(ROUND(BI819-SUM(M819:O819),10),0))</f>
        <v>-53</v>
      </c>
      <c r="F819" s="28" t="n">
        <v>65</v>
      </c>
      <c r="G819" s="28" t="n">
        <f>IF(AND(ISNUMBER(D819),ISNUMBER(E819)),IF(OR(E819&lt;=0,L819=0),0,E819-D819),"")</f>
        <v>0</v>
      </c>
      <c r="H819" s="16" t="str">
        <f>IF(NOT(ISNUMBER(E819)),"销量或海外库存待补",IF(OR(E819&lt;=0,L819=0),IF(L819=0,"零日销，本批不发","本批无需补货"),IF(NOT(ISNUMBER(D819)),"国内库存待补",IF(D819=0,"国内无可用库存",IF(G819&gt;0,"先发国内现货","按建议量发货")))))</f>
        <v>本批无需补货</v>
      </c>
      <c r="I819" s="28" t="n">
        <f>IF(AND(COUNT(Z819,AA819,AB819)=3,Z819&gt;=AA819,AA819&gt;=0,AB819=7),Z819-AA819,"")</f>
        <v>2</v>
      </c>
      <c r="J819" s="28" t="n">
        <f>IF(AND(COUNT(AF819,AG819,AH819)=3,AF819&gt;=AG819,AG819&gt;=0,AH819=14),AF819-AG819,"")</f>
        <v>2</v>
      </c>
      <c r="K819" s="28" t="n">
        <f>IF(AND(COUNT(AL819,AM819,AN819)=3,AL819&gt;=AM819,AM819&gt;=0,AN819=30),AL819-AM819,"")</f>
        <v>4</v>
      </c>
      <c r="L819" s="29" t="n">
        <f>IF(ISNUMBER(BI819),BI819/90,"")</f>
        <v>0.11622831430704572</v>
      </c>
      <c r="M819" s="28" t="n">
        <v>63</v>
      </c>
      <c r="N819" s="28" t="n">
        <v>0</v>
      </c>
      <c r="O819" s="28" t="n">
        <v>0</v>
      </c>
      <c r="P819" s="30" t="n">
        <f>IF(AND(ISNUMBER(L819),L819&gt;0,COUNT(M819:O819)=3,MIN(M819:O819)&gt;=0),SUM(M819:O819)/L819,"")</f>
        <v>542.0365973266203</v>
      </c>
      <c r="Q819" s="16" t="str">
        <v>按本SKU唯一未删除Listing店铺核实</v>
      </c>
      <c r="R819" s="16" t="str">
        <v>已匹配</v>
      </c>
      <c r="S819" s="16" t="str">
        <v>在售</v>
      </c>
      <c r="T819" s="16" t="str">
        <v>8392</v>
      </c>
      <c r="U819" s="16" t="str">
        <v>裸色</v>
      </c>
      <c r="V819" s="16" t="n">
        <v>10</v>
      </c>
      <c r="W819" s="8" t="str">
        <v>2026-10-11 至 2026-10-17</v>
      </c>
      <c r="X819" s="8" t="str">
        <v>2026-10-11、2026-10-12、2026-10-13、2026-10-14、2026-10-15、2026-10-16、2026-10-17</v>
      </c>
      <c r="Y819" s="8" t="str">
        <v>无</v>
      </c>
      <c r="Z819" s="8" t="n">
        <v>2</v>
      </c>
      <c r="AA819" s="8" t="n">
        <v>0</v>
      </c>
      <c r="AB819" s="8" t="n">
        <v>7</v>
      </c>
      <c r="AC819" s="8" t="str">
        <v>2026-10-02 至 2026-10-17</v>
      </c>
      <c r="AD819" s="8" t="str">
        <v>2026-10-02、2026-10-03、2026-10-04、2026-10-05、2026-10-08、2026-10-09、2026-10-10、2026-10-11、2026-10-12、2026-10-13、2026-10-14、2026-10-15、2026-10-16、2026-10-17</v>
      </c>
      <c r="AE819" s="8" t="str">
        <v>2026-10-06 大促；2026-10-07 大促</v>
      </c>
      <c r="AF819" s="8" t="n">
        <v>2</v>
      </c>
      <c r="AG819" s="8" t="n">
        <v>0</v>
      </c>
      <c r="AH819" s="8" t="n">
        <v>14</v>
      </c>
      <c r="AI819" s="8" t="str">
        <v>2026-09-16 至 2026-10-17</v>
      </c>
      <c r="AJ8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19" s="8" t="str">
        <v>2026-10-06 大促；2026-10-07 大促</v>
      </c>
      <c r="AL819" s="8" t="n">
        <v>4</v>
      </c>
      <c r="AM819" s="8" t="n">
        <v>0</v>
      </c>
      <c r="AN819" s="8" t="n">
        <v>30</v>
      </c>
      <c r="AO819" s="8" t="str">
        <v>8392 / 裸色羊京绒 / 6574</v>
      </c>
      <c r="AP819" s="11" t="n">
        <v>1.1743420411079069</v>
      </c>
      <c r="AQ819" s="11" t="n">
        <v>1.1743420411079069</v>
      </c>
      <c r="AR819" s="11" t="n">
        <v>1.144331424468921</v>
      </c>
      <c r="AS819" s="11" t="n">
        <f>IF(AND(COUNT(I819:K819,AP819:AR819)=6,MIN(AP819:AR819)&gt;0),I819/7/AP819*0.5+J819/14/AQ819*0.3+K819/30/AR819*0.2,"")</f>
        <v>0.18144653813826692</v>
      </c>
      <c r="AT819" s="8" t="n">
        <v>5</v>
      </c>
      <c r="AU819" s="8" t="n">
        <v>0</v>
      </c>
      <c r="AV819" s="8" t="n">
        <v>88</v>
      </c>
      <c r="AW819" s="11" t="n">
        <f>IF(AND(COUNT(AT819:AV819)=3,AT819&gt;=AU819,AU819&gt;=0,AV819&gt;0),(AT819-AU819)/AV819,"")</f>
        <v>0.056818181818181816</v>
      </c>
      <c r="AX819" s="8" t="n">
        <v>10</v>
      </c>
      <c r="AY819" s="8" t="n">
        <v>0</v>
      </c>
      <c r="AZ819" s="8" t="n">
        <v>178</v>
      </c>
      <c r="BA819" s="11" t="n">
        <f>IF(AND(COUNT(AX819:AZ819)=3,AX819&gt;=AY819,AY819&gt;=0,AZ819&gt;0),(AX819-AY819)/AZ819,"")</f>
        <v>0.056179775280898875</v>
      </c>
      <c r="BB819" s="8" t="n">
        <f>IF(COUNT(AS819,AW819,BA819)=3,1,0)</f>
        <v>1</v>
      </c>
      <c r="BC819" s="11" t="n">
        <f>IF(SUMIF($AO$11:$AO$1309,AO819,$BB$11:$BB$1309)=COUNTIF($AO$11:$AO$1309,AO819),SUMIF($AO$11:$AO$1309,AO819,$AS$11:$AS$1309),"")</f>
        <v>2.532116178578144</v>
      </c>
      <c r="BD819" s="11" t="n">
        <f>IF(SUMIF($AO$11:$AO$1309,AO819,$BB$11:$BB$1309)=COUNTIF($AO$11:$AO$1309,AO819),SUMIF($AO$11:$AO$1309,AO819,$AW$11:$AW$1309),"")</f>
        <v>1.3068181818181819</v>
      </c>
      <c r="BE819" s="11" t="n">
        <f>IF(SUMIF($AO$11:$AO$1309,AO819,$BB$11:$BB$1309)=COUNTIF($AO$11:$AO$1309,AO819),SUMIF($AO$11:$AO$1309,AO819,$BA$11:$BA$1309),"")</f>
        <v>1.3707865168539328</v>
      </c>
      <c r="BF819" s="12" t="n">
        <f>IF(COUNT(BD819:BE819)&lt;&gt;2,"",IF(AND(BD819&gt;0,BE819&gt;0),0.7*AW819/BD819+0.3*BA819/BE819,IF(BD819&gt;0,AW819/BD819,IF(BE819&gt;0,BA819/BE819,IF(AND(ISNUMBER(BH819),BH819=0),0,"")))))</f>
        <v>0.042729864575908764</v>
      </c>
      <c r="BG819" s="11" t="n">
        <f>IF(AND(COUNT(BN819:BU819)=8,MIN(BN819:BU819)&gt;=0),SUMPRODUCT(BN819:BQ819,BR819:BU819),"")</f>
        <v>96.68059267618935</v>
      </c>
      <c r="BH819" s="11" t="n">
        <f>IF(COUNT(BC819,BG819)=2,BC819*BG819,"")</f>
        <v>244.80649286990268</v>
      </c>
      <c r="BI819" s="11" t="n">
        <f>IF(ISNUMBER(CI819),CI819,"")</f>
        <v>10.460548287634115</v>
      </c>
      <c r="BJ819" s="8" t="str"/>
      <c r="BK819" s="8" t="str">
        <v>90天：2026-07-20 至 2026-10-17；180天：2026-04-21 至 2026-10-17</v>
      </c>
      <c r="BL819" s="8" t="str">
        <v>90天：2026-10-06、2026-10-07；180天：2026-10-06、2026-10-07</v>
      </c>
      <c r="BM819" s="8" t="str">
        <v>2026-10：12天 × 1.1743420411079069；2026-11：30天 × 1.281694931279211；2026-12：31天 × 0.9007634642750235；2027-01：17天 × 0.9537631089407297</v>
      </c>
      <c r="BN819" s="11" t="n">
        <v>1.1743420411079069</v>
      </c>
      <c r="BO819" s="11" t="n">
        <v>1.281694931279211</v>
      </c>
      <c r="BP819" s="11" t="n">
        <v>0.9007634642750235</v>
      </c>
      <c r="BQ819" s="11" t="n">
        <v>0.9537631089407297</v>
      </c>
      <c r="BR819" s="8" t="n">
        <v>12</v>
      </c>
      <c r="BS819" s="8" t="n">
        <v>30</v>
      </c>
      <c r="BT819" s="8" t="n">
        <v>31</v>
      </c>
      <c r="BU819" s="8" t="n">
        <v>17</v>
      </c>
      <c r="BV819" s="11" t="n">
        <f>IF(COUNT(BC819,BF819)=2,BC819*BF819,"")</f>
        <v>0.10819698140111171</v>
      </c>
      <c r="BW819" s="11" t="n">
        <f>IF(ISNUMBER(BN819),BN819,"")</f>
        <v>1.1743420411079069</v>
      </c>
      <c r="BX819" s="14" t="n">
        <f>IF(ISNUMBER(BR819),BR819,"")</f>
        <v>12</v>
      </c>
      <c r="BY819" s="13" t="n">
        <f>IF(AND(COUNT(BV819,BW819,BX819)=3,MIN(BV819,BW819,BX819)&gt;=0),BV819*BW819*BX819,"")</f>
        <v>1.524723167763549</v>
      </c>
      <c r="BZ819" s="11" t="n">
        <f>IF(ISNUMBER(BO819),BO819,"")</f>
        <v>1.281694931279211</v>
      </c>
      <c r="CA819" s="14" t="n">
        <f>IF(ISNUMBER(BS819),BS819,"")</f>
        <v>30</v>
      </c>
      <c r="CB819" s="13" t="n">
        <f>IF(AND(COUNT(BV819,BZ819,CA819)=3,MIN(BV819,BZ819,CA819)&gt;=0),BV819*BZ819*CA819,"")</f>
        <v>4.160265679245478</v>
      </c>
      <c r="CC819" s="11" t="n">
        <f>IF(ISNUMBER(BP819),BP819,"")</f>
        <v>0.9007634642750235</v>
      </c>
      <c r="CD819" s="14" t="n">
        <f>IF(ISNUMBER(BT819),BT819,"")</f>
        <v>31</v>
      </c>
      <c r="CE819" s="13" t="n">
        <f>IF(AND(COUNT(BV819,CC819,CD819)=3,MIN(BV819,CC819,CD819)&gt;=0),BV819*CC819*CD819,"")</f>
        <v>3.021256521519936</v>
      </c>
      <c r="CF819" s="11" t="n">
        <f>IF(ISNUMBER(BQ819),BQ819,"")</f>
        <v>0.9537631089407297</v>
      </c>
      <c r="CG819" s="14" t="n">
        <f>IF(ISNUMBER(BU819),BU819,"")</f>
        <v>17</v>
      </c>
      <c r="CH819" s="13" t="n">
        <f>IF(AND(COUNT(BV819,CF819,CG819)=3,MIN(BV819,CF819,CG819)&gt;=0),BV819*CF819*CG819,"")</f>
        <v>1.7543029191051525</v>
      </c>
      <c r="CI819" s="13" t="n">
        <f>IF(COUNT(BY819,CB819,CE819,CH819)=4,SUM(BY819,CB819,CE819,CH819),"")</f>
        <v>10.460548287634115</v>
      </c>
    </row>
    <row r="820" ht="72" customHeight="1">
      <c r="A820" s="16" t="str">
        <v>8392-NY-S-K-41</v>
      </c>
      <c r="B820" s="16" t="str">
        <v>3店-SANDIEX-US</v>
      </c>
      <c r="C820" s="16" t="str">
        <v>徐新怡</v>
      </c>
      <c r="D820" s="26" t="n">
        <f>IF(NOT(ISNUMBER(E820)),"",IF(OR(E820&lt;=0,L820=0),0,IF(OR(NOT(ISNUMBER(F820)),F820&lt;0),"",MIN(E820,INT(F820)))))</f>
        <v>0</v>
      </c>
      <c r="E820" s="27" t="n">
        <f>IF(OR(NOT(ISNUMBER(L820)),COUNT(M820:O820)&lt;&gt;3,MIN(M820:O820)&lt;0),"",ROUNDUP(ROUND(BI820-SUM(M820:O820),10),0))</f>
        <v>-12</v>
      </c>
      <c r="F820" s="28" t="n">
        <v>0</v>
      </c>
      <c r="G820" s="28" t="n">
        <f>IF(AND(ISNUMBER(D820),ISNUMBER(E820)),IF(OR(E820&lt;=0,L820=0),0,E820-D820),"")</f>
        <v>0</v>
      </c>
      <c r="H820" s="16" t="str">
        <f>IF(NOT(ISNUMBER(E820)),"销量或海外库存待补",IF(OR(E820&lt;=0,L820=0),IF(L820=0,"零日销，本批不发","本批无需补货"),IF(NOT(ISNUMBER(D820)),"国内库存待补",IF(D820=0,"国内无可用库存",IF(G820&gt;0,"先发国内现货","按建议量发货")))))</f>
        <v>本批无需补货</v>
      </c>
      <c r="I820" s="28" t="n">
        <f>IF(AND(COUNT(Z820,AA820,AB820)=3,Z820&gt;=AA820,AA820&gt;=0,AB820=7),Z820-AA820,"")</f>
        <v>3</v>
      </c>
      <c r="J820" s="28" t="n">
        <f>IF(AND(COUNT(AF820,AG820,AH820)=3,AF820&gt;=AG820,AG820&gt;=0,AH820=14),AF820-AG820,"")</f>
        <v>4</v>
      </c>
      <c r="K820" s="28" t="n">
        <f>IF(AND(COUNT(AL820,AM820,AN820)=3,AL820&gt;=AM820,AM820&gt;=0,AN820=30),AL820-AM820,"")</f>
        <v>4</v>
      </c>
      <c r="L820" s="29" t="n">
        <f>IF(ISNUMBER(BI820),BI820/90,"")</f>
        <v>0.14602319833498018</v>
      </c>
      <c r="M820" s="28" t="n">
        <v>25</v>
      </c>
      <c r="N820" s="28" t="n">
        <v>0</v>
      </c>
      <c r="O820" s="28" t="n">
        <v>0</v>
      </c>
      <c r="P820" s="30" t="n">
        <f>IF(AND(ISNUMBER(L820),L820&gt;0,COUNT(M820:O820)=3,MIN(M820:O820)&gt;=0),SUM(M820:O820)/L820,"")</f>
        <v>171.20567337971528</v>
      </c>
      <c r="Q820" s="16" t="str">
        <v>按本SKU唯一未删除Listing店铺核实</v>
      </c>
      <c r="R820" s="16" t="str">
        <v>已匹配</v>
      </c>
      <c r="S820" s="16" t="str">
        <v>在售</v>
      </c>
      <c r="T820" s="16" t="str">
        <v>8392</v>
      </c>
      <c r="U820" s="16" t="str">
        <v>藏青色</v>
      </c>
      <c r="V820" s="16" t="n">
        <v>10</v>
      </c>
      <c r="W820" s="8" t="str">
        <v>2026-10-11 至 2026-10-17</v>
      </c>
      <c r="X820" s="8" t="str">
        <v>2026-10-11、2026-10-12、2026-10-13、2026-10-14、2026-10-15、2026-10-16、2026-10-17</v>
      </c>
      <c r="Y820" s="8" t="str">
        <v>无</v>
      </c>
      <c r="Z820" s="8" t="n">
        <v>3</v>
      </c>
      <c r="AA820" s="8" t="n">
        <v>0</v>
      </c>
      <c r="AB820" s="8" t="n">
        <v>7</v>
      </c>
      <c r="AC820" s="8" t="str">
        <v>2026-10-02 至 2026-10-17</v>
      </c>
      <c r="AD820" s="8" t="str">
        <v>2026-10-02、2026-10-03、2026-10-04、2026-10-05、2026-10-08、2026-10-09、2026-10-10、2026-10-11、2026-10-12、2026-10-13、2026-10-14、2026-10-15、2026-10-16、2026-10-17</v>
      </c>
      <c r="AE820" s="8" t="str">
        <v>2026-10-06 大促；2026-10-07 大促</v>
      </c>
      <c r="AF820" s="8" t="n">
        <v>5</v>
      </c>
      <c r="AG820" s="8" t="n">
        <v>1</v>
      </c>
      <c r="AH820" s="8" t="n">
        <v>14</v>
      </c>
      <c r="AI820" s="8" t="str">
        <v>2026-09-16 至 2026-10-17</v>
      </c>
      <c r="AJ8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20" s="8" t="str">
        <v>2026-10-06 大促；2026-10-07 大促</v>
      </c>
      <c r="AL820" s="8" t="n">
        <v>5</v>
      </c>
      <c r="AM820" s="8" t="n">
        <v>1</v>
      </c>
      <c r="AN820" s="8" t="n">
        <v>30</v>
      </c>
      <c r="AO820" s="8" t="str">
        <v>8392 / 藏青色羊京绒 / 6574</v>
      </c>
      <c r="AP820" s="11" t="n">
        <v>1.1743420411079069</v>
      </c>
      <c r="AQ820" s="11" t="n">
        <v>1.1743420411079069</v>
      </c>
      <c r="AR820" s="11" t="n">
        <v>1.144331424468921</v>
      </c>
      <c r="AS820" s="11" t="n">
        <f>IF(AND(COUNT(I820:K820,AP820:AR820)=6,MIN(AP820:AR820)&gt;0),I820/7/AP820*0.5+J820/14/AQ820*0.3+K820/30/AR820*0.2,"")</f>
        <v>0.2787654710259067</v>
      </c>
      <c r="AT820" s="8" t="n">
        <v>6</v>
      </c>
      <c r="AU820" s="8" t="n">
        <v>1</v>
      </c>
      <c r="AV820" s="8" t="n">
        <v>88</v>
      </c>
      <c r="AW820" s="11" t="n">
        <f>IF(AND(COUNT(AT820:AV820)=3,AT820&gt;=AU820,AU820&gt;=0,AV820&gt;0),(AT820-AU820)/AV820,"")</f>
        <v>0.056818181818181816</v>
      </c>
      <c r="AX820" s="8" t="n">
        <v>11</v>
      </c>
      <c r="AY820" s="8" t="n">
        <v>1</v>
      </c>
      <c r="AZ820" s="8" t="n">
        <v>178</v>
      </c>
      <c r="BA820" s="11" t="n">
        <f>IF(AND(COUNT(AX820:AZ820)=3,AX820&gt;=AY820,AY820&gt;=0,AZ820&gt;0),(AX820-AY820)/AZ820,"")</f>
        <v>0.056179775280898875</v>
      </c>
      <c r="BB820" s="8" t="n">
        <f>IF(COUNT(AS820,AW820,BA820)=3,1,0)</f>
        <v>1</v>
      </c>
      <c r="BC820" s="11" t="n">
        <f>IF(SUMIF($AO$11:$AO$1309,AO820,$BB$11:$BB$1309)=COUNTIF($AO$11:$AO$1309,AO820),SUMIF($AO$11:$AO$1309,AO820,$AS$11:$AS$1309),"")</f>
        <v>0.6185202058446071</v>
      </c>
      <c r="BD820" s="11" t="n">
        <f>IF(SUMIF($AO$11:$AO$1309,AO820,$BB$11:$BB$1309)=COUNTIF($AO$11:$AO$1309,AO820),SUMIF($AO$11:$AO$1309,AO820,$AW$11:$AW$1309),"")</f>
        <v>0.20655080213903745</v>
      </c>
      <c r="BE820" s="11" t="n">
        <f>IF(SUMIF($AO$11:$AO$1309,AO820,$BB$11:$BB$1309)=COUNTIF($AO$11:$AO$1309,AO820),SUMIF($AO$11:$AO$1309,AO820,$BA$11:$BA$1309),"")</f>
        <v>0.6192937399678973</v>
      </c>
      <c r="BF820" s="12" t="n">
        <f>IF(COUNT(BD820:BE820)&lt;&gt;2,"",IF(AND(BD820&gt;0,BE820&gt;0),0.7*AW820/BD820+0.3*BA820/BE820,IF(BD820&gt;0,AW820/BD820,IF(BE820&gt;0,BA820/BE820,IF(AND(ISNUMBER(BH820),BH820=0),0,"")))))</f>
        <v>0.21977139766535997</v>
      </c>
      <c r="BG820" s="11" t="n">
        <f>IF(AND(COUNT(BN820:BU820)=8,MIN(BN820:BU820)&gt;=0),SUMPRODUCT(BN820:BQ820,BR820:BU820),"")</f>
        <v>96.68059267618935</v>
      </c>
      <c r="BH820" s="11" t="n">
        <f>IF(COUNT(BC820,BG820)=2,BC820*BG820,"")</f>
        <v>59.79890008325525</v>
      </c>
      <c r="BI820" s="11" t="n">
        <f>IF(ISNUMBER(CI820),CI820,"")</f>
        <v>13.142087850148217</v>
      </c>
      <c r="BJ820" s="8" t="str"/>
      <c r="BK820" s="8" t="str">
        <v>90天：2026-07-20 至 2026-10-17；180天：2026-04-21 至 2026-10-17</v>
      </c>
      <c r="BL820" s="8" t="str">
        <v>90天：2026-10-06、2026-10-07；180天：2026-10-06、2026-10-07</v>
      </c>
      <c r="BM820" s="8" t="str">
        <v>2026-10：12天 × 1.1743420411079069；2026-11：30天 × 1.281694931279211；2026-12：31天 × 0.9007634642750235；2027-01：17天 × 0.9537631089407297</v>
      </c>
      <c r="BN820" s="11" t="n">
        <v>1.1743420411079069</v>
      </c>
      <c r="BO820" s="11" t="n">
        <v>1.281694931279211</v>
      </c>
      <c r="BP820" s="11" t="n">
        <v>0.9007634642750235</v>
      </c>
      <c r="BQ820" s="11" t="n">
        <v>0.9537631089407297</v>
      </c>
      <c r="BR820" s="8" t="n">
        <v>12</v>
      </c>
      <c r="BS820" s="8" t="n">
        <v>30</v>
      </c>
      <c r="BT820" s="8" t="n">
        <v>31</v>
      </c>
      <c r="BU820" s="8" t="n">
        <v>17</v>
      </c>
      <c r="BV820" s="11" t="n">
        <f>IF(COUNT(BC820,BF820)=2,BC820*BF820,"")</f>
        <v>0.13593305012273546</v>
      </c>
      <c r="BW820" s="11" t="n">
        <f>IF(ISNUMBER(BN820),BN820,"")</f>
        <v>1.1743420411079069</v>
      </c>
      <c r="BX820" s="14" t="n">
        <f>IF(ISNUMBER(BR820),BR820,"")</f>
        <v>12</v>
      </c>
      <c r="BY820" s="13" t="n">
        <f>IF(AND(COUNT(BV820,BW820,BX820)=3,MIN(BV820,BW820,BX820)&gt;=0),BV820*BW820*BX820,"")</f>
        <v>1.915582746421879</v>
      </c>
      <c r="BZ820" s="11" t="n">
        <f>IF(ISNUMBER(BO820),BO820,"")</f>
        <v>1.281694931279211</v>
      </c>
      <c r="CA820" s="14" t="n">
        <f>IF(ISNUMBER(BS820),BS820,"")</f>
        <v>30</v>
      </c>
      <c r="CB820" s="13" t="n">
        <f>IF(AND(COUNT(BV820,BZ820,CA820)=3,MIN(BV820,BZ820,CA820)&gt;=0),BV820*BZ820*CA820,"")</f>
        <v>5.2267410400689895</v>
      </c>
      <c r="CC820" s="11" t="n">
        <f>IF(ISNUMBER(BP820),BP820,"")</f>
        <v>0.9007634642750235</v>
      </c>
      <c r="CD820" s="14" t="n">
        <f>IF(ISNUMBER(BT820),BT820,"")</f>
        <v>31</v>
      </c>
      <c r="CE820" s="13" t="n">
        <f>IF(AND(COUNT(BV820,CC820,CD820)=3,MIN(BV820,CC820,CD820)&gt;=0),BV820*CC820*CD820,"")</f>
        <v>3.7957492792787937</v>
      </c>
      <c r="CF820" s="11" t="n">
        <f>IF(ISNUMBER(BQ820),BQ820,"")</f>
        <v>0.9537631089407297</v>
      </c>
      <c r="CG820" s="14" t="n">
        <f>IF(ISNUMBER(BU820),BU820,"")</f>
        <v>17</v>
      </c>
      <c r="CH820" s="13" t="n">
        <f>IF(AND(COUNT(BV820,CF820,CG820)=3,MIN(BV820,CF820,CG820)&gt;=0),BV820*CF820*CG820,"")</f>
        <v>2.204014784378556</v>
      </c>
      <c r="CI820" s="13" t="n">
        <f>IF(COUNT(BY820,CB820,CE820,CH820)=4,SUM(BY820,CB820,CE820,CH820),"")</f>
        <v>13.142087850148217</v>
      </c>
    </row>
    <row r="821" ht="72" customHeight="1">
      <c r="A821" s="16" t="str">
        <v>8392-RD-S-K-37</v>
      </c>
      <c r="B821" s="16" t="str">
        <v>3店-SANDIEX-US</v>
      </c>
      <c r="C821" s="16" t="str">
        <v>徐新怡</v>
      </c>
      <c r="D821" s="26" t="n">
        <f>IF(NOT(ISNUMBER(E821)),"",IF(OR(E821&lt;=0,L821=0),0,IF(OR(NOT(ISNUMBER(F821)),F821&lt;0),"",MIN(E821,INT(F821)))))</f>
        <v>0</v>
      </c>
      <c r="E821" s="27" t="n">
        <f>IF(OR(NOT(ISNUMBER(L821)),COUNT(M821:O821)&lt;&gt;3,MIN(M821:O821)&lt;0),"",ROUNDUP(ROUND(BI821-SUM(M821:O821),10),0))</f>
        <v>0</v>
      </c>
      <c r="F821" s="28" t="n">
        <v>0</v>
      </c>
      <c r="G821" s="28" t="n">
        <f>IF(AND(ISNUMBER(D821),ISNUMBER(E821)),IF(OR(E821&lt;=0,L821=0),0,E821-D821),"")</f>
        <v>0</v>
      </c>
      <c r="H821" s="16" t="str">
        <f>IF(NOT(ISNUMBER(E821)),"销量或海外库存待补",IF(OR(E821&lt;=0,L821=0),IF(L821=0,"零日销，本批不发","本批无需补货"),IF(NOT(ISNUMBER(D821)),"国内库存待补",IF(D821=0,"国内无可用库存",IF(G821&gt;0,"先发国内现货","按建议量发货")))))</f>
        <v>零日销，本批不发</v>
      </c>
      <c r="I821" s="28" t="n">
        <f>IF(AND(COUNT(Z821,AA821,AB821)=3,Z821&gt;=AA821,AA821&gt;=0,AB821=7),Z821-AA821,"")</f>
        <v>0</v>
      </c>
      <c r="J821" s="28" t="n">
        <f>IF(AND(COUNT(AF821,AG821,AH821)=3,AF821&gt;=AG821,AG821&gt;=0,AH821=14),AF821-AG821,"")</f>
        <v>0</v>
      </c>
      <c r="K821" s="28" t="n">
        <f>IF(AND(COUNT(AL821,AM821,AN821)=3,AL821&gt;=AM821,AM821&gt;=0,AN821=30),AL821-AM821,"")</f>
        <v>0</v>
      </c>
      <c r="L821" s="29" t="n">
        <f>IF(ISNUMBER(BI821),BI821/90,"")</f>
        <v>0</v>
      </c>
      <c r="M821" s="28" t="n">
        <v>0</v>
      </c>
      <c r="N821" s="28" t="n">
        <v>0</v>
      </c>
      <c r="O821" s="28" t="n">
        <v>0</v>
      </c>
      <c r="P821" s="30" t="str">
        <f>IF(AND(ISNUMBER(L821),L821&gt;0,COUNT(M821:O821)=3,MIN(M821:O821)&gt;=0),SUM(M821:O821)/L821,"")</f>
      </c>
      <c r="Q821" s="16" t="str">
        <v>按本SKU唯一未删除Listing店铺核实</v>
      </c>
      <c r="R821" s="16" t="str">
        <v>已匹配</v>
      </c>
      <c r="S821" s="16" t="str">
        <v>停售</v>
      </c>
      <c r="T821" s="16" t="str">
        <v>8392</v>
      </c>
      <c r="U821" s="16" t="str">
        <v>红色</v>
      </c>
      <c r="V821" s="16" t="n">
        <v>6</v>
      </c>
      <c r="W821" s="8" t="str">
        <v>2026-10-08 至 2026-10-17</v>
      </c>
      <c r="X821" s="8" t="str">
        <v>2026-10-08、2026-10-09、2026-10-10、2026-10-11、2026-10-14、2026-10-15、2026-10-17</v>
      </c>
      <c r="Y821" s="8" t="str">
        <v>2026-10-12 有记录的停售日；2026-10-13 有记录的停售日；2026-10-16 有记录的停售日</v>
      </c>
      <c r="Z821" s="8" t="n">
        <v>0</v>
      </c>
      <c r="AA821" s="8" t="n">
        <v>0</v>
      </c>
      <c r="AB821" s="8" t="n">
        <v>7</v>
      </c>
      <c r="AC821" s="8" t="str">
        <v>2026-09-29 至 2026-10-17</v>
      </c>
      <c r="AD821" s="8" t="str">
        <v>2026-09-29、2026-09-30、2026-10-01、2026-10-02、2026-10-03、2026-10-04、2026-10-05、2026-10-08、2026-10-09、2026-10-10、2026-10-11、2026-10-14、2026-10-15、2026-10-17</v>
      </c>
      <c r="AE821" s="8" t="str">
        <v>2026-10-06 大促；2026-10-07 大促；2026-10-12 有记录的停售日；2026-10-13 有记录的停售日；2026-10-16 有记录的停售日</v>
      </c>
      <c r="AF821" s="8" t="n">
        <v>0</v>
      </c>
      <c r="AG821" s="8" t="n">
        <v>0</v>
      </c>
      <c r="AH821" s="8" t="n">
        <v>14</v>
      </c>
      <c r="AI821" s="8" t="str">
        <v>2026-09-13 至 2026-10-17</v>
      </c>
      <c r="AJ82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21" s="8" t="str">
        <v>2026-10-06 大促；2026-10-07 大促；2026-10-12 有记录的停售日；2026-10-13 有记录的停售日；2026-10-16 有记录的停售日</v>
      </c>
      <c r="AL821" s="8" t="n">
        <v>0</v>
      </c>
      <c r="AM821" s="8" t="n">
        <v>0</v>
      </c>
      <c r="AN821" s="8" t="n">
        <v>30</v>
      </c>
      <c r="AO821" s="8" t="str">
        <v>8392 / 红色羊京绒 / 6574</v>
      </c>
      <c r="AP821" s="11" t="n">
        <v>1.1743420411079069</v>
      </c>
      <c r="AQ821" s="11" t="n">
        <v>1.1657675792110538</v>
      </c>
      <c r="AR821" s="11" t="n">
        <v>1.138329301141124</v>
      </c>
      <c r="AS821" s="11" t="n">
        <f>IF(AND(COUNT(I821:K821,AP821:AR821)=6,MIN(AP821:AR821)&gt;0),I821/7/AP821*0.5+J821/14/AQ821*0.3+K821/30/AR821*0.2,"")</f>
        <v>0</v>
      </c>
      <c r="AT821" s="8" t="n">
        <v>0</v>
      </c>
      <c r="AU821" s="8" t="n">
        <v>0</v>
      </c>
      <c r="AV821" s="8" t="n">
        <v>85</v>
      </c>
      <c r="AW821" s="11" t="n">
        <f>IF(AND(COUNT(AT821:AV821)=3,AT821&gt;=AU821,AU821&gt;=0,AV821&gt;0),(AT821-AU821)/AV821,"")</f>
        <v>0</v>
      </c>
      <c r="AX821" s="8" t="n">
        <v>0</v>
      </c>
      <c r="AY821" s="8" t="n">
        <v>0</v>
      </c>
      <c r="AZ821" s="8" t="n">
        <v>175</v>
      </c>
      <c r="BA821" s="11" t="n">
        <f>IF(AND(COUNT(AX821:AZ821)=3,AX821&gt;=AY821,AY821&gt;=0,AZ821&gt;0),(AX821-AY821)/AZ821,"")</f>
        <v>0</v>
      </c>
      <c r="BB821" s="8" t="n">
        <f>IF(COUNT(AS821,AW821,BA821)=3,1,0)</f>
        <v>1</v>
      </c>
      <c r="BC821" s="11" t="n">
        <f>IF(SUMIF($AO$11:$AO$1309,AO821,$BB$11:$BB$1309)=COUNTIF($AO$11:$AO$1309,AO821),SUMIF($AO$11:$AO$1309,AO821,$AS$11:$AS$1309),"")</f>
        <v>0</v>
      </c>
      <c r="BD821" s="11" t="n">
        <f>IF(SUMIF($AO$11:$AO$1309,AO821,$BB$11:$BB$1309)=COUNTIF($AO$11:$AO$1309,AO821),SUMIF($AO$11:$AO$1309,AO821,$AW$11:$AW$1309),"")</f>
        <v>0</v>
      </c>
      <c r="BE821" s="11" t="n">
        <f>IF(SUMIF($AO$11:$AO$1309,AO821,$BB$11:$BB$1309)=COUNTIF($AO$11:$AO$1309,AO821),SUMIF($AO$11:$AO$1309,AO821,$BA$11:$BA$1309),"")</f>
        <v>0.04513643659711075</v>
      </c>
      <c r="BF821" s="12" t="n">
        <f>IF(COUNT(BD821:BE821)&lt;&gt;2,"",IF(AND(BD821&gt;0,BE821&gt;0),0.7*AW821/BD821+0.3*BA821/BE821,IF(BD821&gt;0,AW821/BD821,IF(BE821&gt;0,BA821/BE821,IF(AND(ISNUMBER(BH821),BH821=0),0,"")))))</f>
        <v>0</v>
      </c>
      <c r="BG821" s="11" t="n">
        <f>IF(AND(COUNT(BN821:BU821)=8,MIN(BN821:BU821)&gt;=0),SUMPRODUCT(BN821:BQ821,BR821:BU821),"")</f>
        <v>96.68059267618935</v>
      </c>
      <c r="BH821" s="11" t="n">
        <f>IF(COUNT(BC821,BG821)=2,BC821*BG821,"")</f>
        <v>0</v>
      </c>
      <c r="BI821" s="11" t="n">
        <f>IF(ISNUMBER(CI821),CI821,"")</f>
        <v>0</v>
      </c>
      <c r="BJ821" s="8" t="str">
        <v>近180天本色销量9双（＜90），无有效新采购，请运营判断</v>
      </c>
      <c r="BK821" s="8" t="str">
        <v>90天：2026-07-20 至 2026-10-17；180天：2026-04-21 至 2026-10-17</v>
      </c>
      <c r="BL821" s="8" t="str">
        <v>90天：2026-10-06、2026-10-07、2026-10-12、2026-10-13、2026-10-16；180天：2026-10-06、2026-10-07、2026-10-12、2026-10-13、2026-10-16</v>
      </c>
      <c r="BM821" s="8" t="str">
        <v>2026-10：12天 × 1.1743420411079069；2026-11：30天 × 1.281694931279211；2026-12：31天 × 0.9007634642750235；2027-01：17天 × 0.9537631089407297</v>
      </c>
      <c r="BN821" s="11" t="n">
        <v>1.1743420411079069</v>
      </c>
      <c r="BO821" s="11" t="n">
        <v>1.281694931279211</v>
      </c>
      <c r="BP821" s="11" t="n">
        <v>0.9007634642750235</v>
      </c>
      <c r="BQ821" s="11" t="n">
        <v>0.9537631089407297</v>
      </c>
      <c r="BR821" s="8" t="n">
        <v>12</v>
      </c>
      <c r="BS821" s="8" t="n">
        <v>30</v>
      </c>
      <c r="BT821" s="8" t="n">
        <v>31</v>
      </c>
      <c r="BU821" s="8" t="n">
        <v>17</v>
      </c>
      <c r="BV821" s="11" t="n">
        <f>IF(COUNT(BC821,BF821)=2,BC821*BF821,"")</f>
        <v>0</v>
      </c>
      <c r="BW821" s="11" t="n">
        <f>IF(ISNUMBER(BN821),BN821,"")</f>
        <v>1.1743420411079069</v>
      </c>
      <c r="BX821" s="14" t="n">
        <f>IF(ISNUMBER(BR821),BR821,"")</f>
        <v>12</v>
      </c>
      <c r="BY821" s="13" t="n">
        <f>IF(AND(COUNT(BV821,BW821,BX821)=3,MIN(BV821,BW821,BX821)&gt;=0),BV821*BW821*BX821,"")</f>
        <v>0</v>
      </c>
      <c r="BZ821" s="11" t="n">
        <f>IF(ISNUMBER(BO821),BO821,"")</f>
        <v>1.281694931279211</v>
      </c>
      <c r="CA821" s="14" t="n">
        <f>IF(ISNUMBER(BS821),BS821,"")</f>
        <v>30</v>
      </c>
      <c r="CB821" s="13" t="n">
        <f>IF(AND(COUNT(BV821,BZ821,CA821)=3,MIN(BV821,BZ821,CA821)&gt;=0),BV821*BZ821*CA821,"")</f>
        <v>0</v>
      </c>
      <c r="CC821" s="11" t="n">
        <f>IF(ISNUMBER(BP821),BP821,"")</f>
        <v>0.9007634642750235</v>
      </c>
      <c r="CD821" s="14" t="n">
        <f>IF(ISNUMBER(BT821),BT821,"")</f>
        <v>31</v>
      </c>
      <c r="CE821" s="13" t="n">
        <f>IF(AND(COUNT(BV821,CC821,CD821)=3,MIN(BV821,CC821,CD821)&gt;=0),BV821*CC821*CD821,"")</f>
        <v>0</v>
      </c>
      <c r="CF821" s="11" t="n">
        <f>IF(ISNUMBER(BQ821),BQ821,"")</f>
        <v>0.9537631089407297</v>
      </c>
      <c r="CG821" s="14" t="n">
        <f>IF(ISNUMBER(BU821),BU821,"")</f>
        <v>17</v>
      </c>
      <c r="CH821" s="13" t="n">
        <f>IF(AND(COUNT(BV821,CF821,CG821)=3,MIN(BV821,CF821,CG821)&gt;=0),BV821*CF821*CG821,"")</f>
        <v>0</v>
      </c>
      <c r="CI821" s="13" t="n">
        <f>IF(COUNT(BY821,CB821,CE821,CH821)=4,SUM(BY821,CB821,CE821,CH821),"")</f>
        <v>0</v>
      </c>
    </row>
    <row r="822" ht="72" customHeight="1">
      <c r="A822" s="16" t="str">
        <v>8392-RD-S-K-38</v>
      </c>
      <c r="B822" s="16" t="str">
        <v>3店-SANDIEX-US</v>
      </c>
      <c r="C822" s="16" t="str">
        <v>徐新怡</v>
      </c>
      <c r="D822" s="26" t="n">
        <f>IF(NOT(ISNUMBER(E822)),"",IF(OR(E822&lt;=0,L822=0),0,IF(OR(NOT(ISNUMBER(F822)),F822&lt;0),"",MIN(E822,INT(F822)))))</f>
        <v>0</v>
      </c>
      <c r="E822" s="27" t="n">
        <f>IF(OR(NOT(ISNUMBER(L822)),COUNT(M822:O822)&lt;&gt;3,MIN(M822:O822)&lt;0),"",ROUNDUP(ROUND(BI822-SUM(M822:O822),10),0))</f>
        <v>0</v>
      </c>
      <c r="F822" s="28" t="n">
        <v>0</v>
      </c>
      <c r="G822" s="28" t="n">
        <f>IF(AND(ISNUMBER(D822),ISNUMBER(E822)),IF(OR(E822&lt;=0,L822=0),0,E822-D822),"")</f>
        <v>0</v>
      </c>
      <c r="H822" s="16" t="str">
        <f>IF(NOT(ISNUMBER(E822)),"销量或海外库存待补",IF(OR(E822&lt;=0,L822=0),IF(L822=0,"零日销，本批不发","本批无需补货"),IF(NOT(ISNUMBER(D822)),"国内库存待补",IF(D822=0,"国内无可用库存",IF(G822&gt;0,"先发国内现货","按建议量发货")))))</f>
        <v>零日销，本批不发</v>
      </c>
      <c r="I822" s="28" t="n">
        <f>IF(AND(COUNT(Z822,AA822,AB822)=3,Z822&gt;=AA822,AA822&gt;=0,AB822=7),Z822-AA822,"")</f>
        <v>0</v>
      </c>
      <c r="J822" s="28" t="n">
        <f>IF(AND(COUNT(AF822,AG822,AH822)=3,AF822&gt;=AG822,AG822&gt;=0,AH822=14),AF822-AG822,"")</f>
        <v>0</v>
      </c>
      <c r="K822" s="28" t="n">
        <f>IF(AND(COUNT(AL822,AM822,AN822)=3,AL822&gt;=AM822,AM822&gt;=0,AN822=30),AL822-AM822,"")</f>
        <v>0</v>
      </c>
      <c r="L822" s="29" t="n">
        <f>IF(ISNUMBER(BI822),BI822/90,"")</f>
        <v>0</v>
      </c>
      <c r="M822" s="28" t="n">
        <v>0</v>
      </c>
      <c r="N822" s="28" t="n">
        <v>0</v>
      </c>
      <c r="O822" s="28" t="n">
        <v>0</v>
      </c>
      <c r="P822" s="30" t="str">
        <f>IF(AND(ISNUMBER(L822),L822&gt;0,COUNT(M822:O822)=3,MIN(M822:O822)&gt;=0),SUM(M822:O822)/L822,"")</f>
      </c>
      <c r="Q822" s="16" t="str">
        <v>按本SKU唯一未删除Listing店铺核实</v>
      </c>
      <c r="R822" s="16" t="str">
        <v>已匹配</v>
      </c>
      <c r="S822" s="16" t="str">
        <v>停售</v>
      </c>
      <c r="T822" s="16" t="str">
        <v>8392</v>
      </c>
      <c r="U822" s="16" t="str">
        <v>红色</v>
      </c>
      <c r="V822" s="16" t="n">
        <v>7</v>
      </c>
      <c r="W822" s="8" t="str">
        <v>2026-10-08 至 2026-10-17</v>
      </c>
      <c r="X822" s="8" t="str">
        <v>2026-10-08、2026-10-09、2026-10-10、2026-10-11、2026-10-14、2026-10-15、2026-10-17</v>
      </c>
      <c r="Y822" s="8" t="str">
        <v>2026-10-12 有记录的停售日；2026-10-13 有记录的停售日；2026-10-16 有记录的停售日</v>
      </c>
      <c r="Z822" s="8" t="n">
        <v>0</v>
      </c>
      <c r="AA822" s="8" t="n">
        <v>0</v>
      </c>
      <c r="AB822" s="8" t="n">
        <v>7</v>
      </c>
      <c r="AC822" s="8" t="str">
        <v>2026-09-29 至 2026-10-17</v>
      </c>
      <c r="AD822" s="8" t="str">
        <v>2026-09-29、2026-09-30、2026-10-01、2026-10-02、2026-10-03、2026-10-04、2026-10-05、2026-10-08、2026-10-09、2026-10-10、2026-10-11、2026-10-14、2026-10-15、2026-10-17</v>
      </c>
      <c r="AE822" s="8" t="str">
        <v>2026-10-06 大促；2026-10-07 大促；2026-10-12 有记录的停售日；2026-10-13 有记录的停售日；2026-10-16 有记录的停售日</v>
      </c>
      <c r="AF822" s="8" t="n">
        <v>0</v>
      </c>
      <c r="AG822" s="8" t="n">
        <v>0</v>
      </c>
      <c r="AH822" s="8" t="n">
        <v>14</v>
      </c>
      <c r="AI822" s="8" t="str">
        <v>2026-09-13 至 2026-10-17</v>
      </c>
      <c r="AJ82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22" s="8" t="str">
        <v>2026-10-06 大促；2026-10-07 大促；2026-10-12 有记录的停售日；2026-10-13 有记录的停售日；2026-10-16 有记录的停售日</v>
      </c>
      <c r="AL822" s="8" t="n">
        <v>0</v>
      </c>
      <c r="AM822" s="8" t="n">
        <v>0</v>
      </c>
      <c r="AN822" s="8" t="n">
        <v>30</v>
      </c>
      <c r="AO822" s="8" t="str">
        <v>8392 / 红色羊京绒 / 6574</v>
      </c>
      <c r="AP822" s="11" t="n">
        <v>1.1743420411079069</v>
      </c>
      <c r="AQ822" s="11" t="n">
        <v>1.1657675792110538</v>
      </c>
      <c r="AR822" s="11" t="n">
        <v>1.138329301141124</v>
      </c>
      <c r="AS822" s="11" t="n">
        <f>IF(AND(COUNT(I822:K822,AP822:AR822)=6,MIN(AP822:AR822)&gt;0),I822/7/AP822*0.5+J822/14/AQ822*0.3+K822/30/AR822*0.2,"")</f>
        <v>0</v>
      </c>
      <c r="AT822" s="8" t="n">
        <v>0</v>
      </c>
      <c r="AU822" s="8" t="n">
        <v>0</v>
      </c>
      <c r="AV822" s="8" t="n">
        <v>85</v>
      </c>
      <c r="AW822" s="11" t="n">
        <f>IF(AND(COUNT(AT822:AV822)=3,AT822&gt;=AU822,AU822&gt;=0,AV822&gt;0),(AT822-AU822)/AV822,"")</f>
        <v>0</v>
      </c>
      <c r="AX822" s="8" t="n">
        <v>0</v>
      </c>
      <c r="AY822" s="8" t="n">
        <v>0</v>
      </c>
      <c r="AZ822" s="8" t="n">
        <v>175</v>
      </c>
      <c r="BA822" s="11" t="n">
        <f>IF(AND(COUNT(AX822:AZ822)=3,AX822&gt;=AY822,AY822&gt;=0,AZ822&gt;0),(AX822-AY822)/AZ822,"")</f>
        <v>0</v>
      </c>
      <c r="BB822" s="8" t="n">
        <f>IF(COUNT(AS822,AW822,BA822)=3,1,0)</f>
        <v>1</v>
      </c>
      <c r="BC822" s="11" t="n">
        <f>IF(SUMIF($AO$11:$AO$1309,AO822,$BB$11:$BB$1309)=COUNTIF($AO$11:$AO$1309,AO822),SUMIF($AO$11:$AO$1309,AO822,$AS$11:$AS$1309),"")</f>
        <v>0</v>
      </c>
      <c r="BD822" s="11" t="n">
        <f>IF(SUMIF($AO$11:$AO$1309,AO822,$BB$11:$BB$1309)=COUNTIF($AO$11:$AO$1309,AO822),SUMIF($AO$11:$AO$1309,AO822,$AW$11:$AW$1309),"")</f>
        <v>0</v>
      </c>
      <c r="BE822" s="11" t="n">
        <f>IF(SUMIF($AO$11:$AO$1309,AO822,$BB$11:$BB$1309)=COUNTIF($AO$11:$AO$1309,AO822),SUMIF($AO$11:$AO$1309,AO822,$BA$11:$BA$1309),"")</f>
        <v>0.04513643659711075</v>
      </c>
      <c r="BF822" s="12" t="n">
        <f>IF(COUNT(BD822:BE822)&lt;&gt;2,"",IF(AND(BD822&gt;0,BE822&gt;0),0.7*AW822/BD822+0.3*BA822/BE822,IF(BD822&gt;0,AW822/BD822,IF(BE822&gt;0,BA822/BE822,IF(AND(ISNUMBER(BH822),BH822=0),0,"")))))</f>
        <v>0</v>
      </c>
      <c r="BG822" s="11" t="n">
        <f>IF(AND(COUNT(BN822:BU822)=8,MIN(BN822:BU822)&gt;=0),SUMPRODUCT(BN822:BQ822,BR822:BU822),"")</f>
        <v>96.68059267618935</v>
      </c>
      <c r="BH822" s="11" t="n">
        <f>IF(COUNT(BC822,BG822)=2,BC822*BG822,"")</f>
        <v>0</v>
      </c>
      <c r="BI822" s="11" t="n">
        <f>IF(ISNUMBER(CI822),CI822,"")</f>
        <v>0</v>
      </c>
      <c r="BJ822" s="8" t="str">
        <v>近180天本色销量9双（＜90），无有效新采购，请运营判断</v>
      </c>
      <c r="BK822" s="8" t="str">
        <v>90天：2026-07-20 至 2026-10-17；180天：2026-04-21 至 2026-10-17</v>
      </c>
      <c r="BL822" s="8" t="str">
        <v>90天：2026-10-06、2026-10-07、2026-10-12、2026-10-13、2026-10-16；180天：2026-10-06、2026-10-07、2026-10-12、2026-10-13、2026-10-16</v>
      </c>
      <c r="BM822" s="8" t="str">
        <v>2026-10：12天 × 1.1743420411079069；2026-11：30天 × 1.281694931279211；2026-12：31天 × 0.9007634642750235；2027-01：17天 × 0.9537631089407297</v>
      </c>
      <c r="BN822" s="11" t="n">
        <v>1.1743420411079069</v>
      </c>
      <c r="BO822" s="11" t="n">
        <v>1.281694931279211</v>
      </c>
      <c r="BP822" s="11" t="n">
        <v>0.9007634642750235</v>
      </c>
      <c r="BQ822" s="11" t="n">
        <v>0.9537631089407297</v>
      </c>
      <c r="BR822" s="8" t="n">
        <v>12</v>
      </c>
      <c r="BS822" s="8" t="n">
        <v>30</v>
      </c>
      <c r="BT822" s="8" t="n">
        <v>31</v>
      </c>
      <c r="BU822" s="8" t="n">
        <v>17</v>
      </c>
      <c r="BV822" s="11" t="n">
        <f>IF(COUNT(BC822,BF822)=2,BC822*BF822,"")</f>
        <v>0</v>
      </c>
      <c r="BW822" s="11" t="n">
        <f>IF(ISNUMBER(BN822),BN822,"")</f>
        <v>1.1743420411079069</v>
      </c>
      <c r="BX822" s="14" t="n">
        <f>IF(ISNUMBER(BR822),BR822,"")</f>
        <v>12</v>
      </c>
      <c r="BY822" s="13" t="n">
        <f>IF(AND(COUNT(BV822,BW822,BX822)=3,MIN(BV822,BW822,BX822)&gt;=0),BV822*BW822*BX822,"")</f>
        <v>0</v>
      </c>
      <c r="BZ822" s="11" t="n">
        <f>IF(ISNUMBER(BO822),BO822,"")</f>
        <v>1.281694931279211</v>
      </c>
      <c r="CA822" s="14" t="n">
        <f>IF(ISNUMBER(BS822),BS822,"")</f>
        <v>30</v>
      </c>
      <c r="CB822" s="13" t="n">
        <f>IF(AND(COUNT(BV822,BZ822,CA822)=3,MIN(BV822,BZ822,CA822)&gt;=0),BV822*BZ822*CA822,"")</f>
        <v>0</v>
      </c>
      <c r="CC822" s="11" t="n">
        <f>IF(ISNUMBER(BP822),BP822,"")</f>
        <v>0.9007634642750235</v>
      </c>
      <c r="CD822" s="14" t="n">
        <f>IF(ISNUMBER(BT822),BT822,"")</f>
        <v>31</v>
      </c>
      <c r="CE822" s="13" t="n">
        <f>IF(AND(COUNT(BV822,CC822,CD822)=3,MIN(BV822,CC822,CD822)&gt;=0),BV822*CC822*CD822,"")</f>
        <v>0</v>
      </c>
      <c r="CF822" s="11" t="n">
        <f>IF(ISNUMBER(BQ822),BQ822,"")</f>
        <v>0.9537631089407297</v>
      </c>
      <c r="CG822" s="14" t="n">
        <f>IF(ISNUMBER(BU822),BU822,"")</f>
        <v>17</v>
      </c>
      <c r="CH822" s="13" t="n">
        <f>IF(AND(COUNT(BV822,CF822,CG822)=3,MIN(BV822,CF822,CG822)&gt;=0),BV822*CF822*CG822,"")</f>
        <v>0</v>
      </c>
      <c r="CI822" s="13" t="n">
        <f>IF(COUNT(BY822,CB822,CE822,CH822)=4,SUM(BY822,CB822,CE822,CH822),"")</f>
        <v>0</v>
      </c>
    </row>
    <row r="823" ht="72" customHeight="1">
      <c r="A823" s="16" t="str">
        <v>8392-RD-S-K-39</v>
      </c>
      <c r="B823" s="16" t="str">
        <v>3店-SANDIEX-US</v>
      </c>
      <c r="C823" s="16" t="str">
        <v>徐新怡</v>
      </c>
      <c r="D823" s="26" t="n">
        <f>IF(NOT(ISNUMBER(E823)),"",IF(OR(E823&lt;=0,L823=0),0,IF(OR(NOT(ISNUMBER(F823)),F823&lt;0),"",MIN(E823,INT(F823)))))</f>
        <v>0</v>
      </c>
      <c r="E823" s="27" t="n">
        <f>IF(OR(NOT(ISNUMBER(L823)),COUNT(M823:O823)&lt;&gt;3,MIN(M823:O823)&lt;0),"",ROUNDUP(ROUND(BI823-SUM(M823:O823),10),0))</f>
        <v>0</v>
      </c>
      <c r="F823" s="28" t="n">
        <v>0</v>
      </c>
      <c r="G823" s="28" t="n">
        <f>IF(AND(ISNUMBER(D823),ISNUMBER(E823)),IF(OR(E823&lt;=0,L823=0),0,E823-D823),"")</f>
        <v>0</v>
      </c>
      <c r="H823" s="16" t="str">
        <f>IF(NOT(ISNUMBER(E823)),"销量或海外库存待补",IF(OR(E823&lt;=0,L823=0),IF(L823=0,"零日销，本批不发","本批无需补货"),IF(NOT(ISNUMBER(D823)),"国内库存待补",IF(D823=0,"国内无可用库存",IF(G823&gt;0,"先发国内现货","按建议量发货")))))</f>
        <v>零日销，本批不发</v>
      </c>
      <c r="I823" s="28" t="n">
        <f>IF(AND(COUNT(Z823,AA823,AB823)=3,Z823&gt;=AA823,AA823&gt;=0,AB823=7),Z823-AA823,"")</f>
        <v>0</v>
      </c>
      <c r="J823" s="28" t="n">
        <f>IF(AND(COUNT(AF823,AG823,AH823)=3,AF823&gt;=AG823,AG823&gt;=0,AH823=14),AF823-AG823,"")</f>
        <v>0</v>
      </c>
      <c r="K823" s="28" t="n">
        <f>IF(AND(COUNT(AL823,AM823,AN823)=3,AL823&gt;=AM823,AM823&gt;=0,AN823=30),AL823-AM823,"")</f>
        <v>0</v>
      </c>
      <c r="L823" s="29" t="n">
        <f>IF(ISNUMBER(BI823),BI823/90,"")</f>
        <v>0</v>
      </c>
      <c r="M823" s="28" t="n">
        <v>0</v>
      </c>
      <c r="N823" s="28" t="n">
        <v>0</v>
      </c>
      <c r="O823" s="28" t="n">
        <v>0</v>
      </c>
      <c r="P823" s="30" t="str">
        <f>IF(AND(ISNUMBER(L823),L823&gt;0,COUNT(M823:O823)=3,MIN(M823:O823)&gt;=0),SUM(M823:O823)/L823,"")</f>
      </c>
      <c r="Q823" s="16" t="str">
        <v>按本SKU唯一未删除Listing店铺核实</v>
      </c>
      <c r="R823" s="16" t="str">
        <v>已匹配</v>
      </c>
      <c r="S823" s="16" t="str">
        <v>停售</v>
      </c>
      <c r="T823" s="16" t="str">
        <v>8392</v>
      </c>
      <c r="U823" s="16" t="str">
        <v>红色</v>
      </c>
      <c r="V823" s="16" t="n">
        <v>8</v>
      </c>
      <c r="W823" s="8" t="str">
        <v>2026-10-08 至 2026-10-17</v>
      </c>
      <c r="X823" s="8" t="str">
        <v>2026-10-08、2026-10-09、2026-10-10、2026-10-11、2026-10-14、2026-10-15、2026-10-17</v>
      </c>
      <c r="Y823" s="8" t="str">
        <v>2026-10-12 有记录的停售日；2026-10-13 有记录的停售日；2026-10-16 有记录的停售日</v>
      </c>
      <c r="Z823" s="8" t="n">
        <v>0</v>
      </c>
      <c r="AA823" s="8" t="n">
        <v>0</v>
      </c>
      <c r="AB823" s="8" t="n">
        <v>7</v>
      </c>
      <c r="AC823" s="8" t="str">
        <v>2026-09-29 至 2026-10-17</v>
      </c>
      <c r="AD823" s="8" t="str">
        <v>2026-09-29、2026-09-30、2026-10-01、2026-10-02、2026-10-03、2026-10-04、2026-10-05、2026-10-08、2026-10-09、2026-10-10、2026-10-11、2026-10-14、2026-10-15、2026-10-17</v>
      </c>
      <c r="AE823" s="8" t="str">
        <v>2026-10-06 大促；2026-10-07 大促；2026-10-12 有记录的停售日；2026-10-13 有记录的停售日；2026-10-16 有记录的停售日</v>
      </c>
      <c r="AF823" s="8" t="n">
        <v>0</v>
      </c>
      <c r="AG823" s="8" t="n">
        <v>0</v>
      </c>
      <c r="AH823" s="8" t="n">
        <v>14</v>
      </c>
      <c r="AI823" s="8" t="str">
        <v>2026-09-13 至 2026-10-17</v>
      </c>
      <c r="AJ8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23" s="8" t="str">
        <v>2026-10-06 大促；2026-10-07 大促；2026-10-12 有记录的停售日；2026-10-13 有记录的停售日；2026-10-16 有记录的停售日</v>
      </c>
      <c r="AL823" s="8" t="n">
        <v>0</v>
      </c>
      <c r="AM823" s="8" t="n">
        <v>0</v>
      </c>
      <c r="AN823" s="8" t="n">
        <v>30</v>
      </c>
      <c r="AO823" s="8" t="str">
        <v>8392 / 红色羊京绒 / 6574</v>
      </c>
      <c r="AP823" s="11" t="n">
        <v>1.1743420411079069</v>
      </c>
      <c r="AQ823" s="11" t="n">
        <v>1.1657675792110538</v>
      </c>
      <c r="AR823" s="11" t="n">
        <v>1.138329301141124</v>
      </c>
      <c r="AS823" s="11" t="n">
        <f>IF(AND(COUNT(I823:K823,AP823:AR823)=6,MIN(AP823:AR823)&gt;0),I823/7/AP823*0.5+J823/14/AQ823*0.3+K823/30/AR823*0.2,"")</f>
        <v>0</v>
      </c>
      <c r="AT823" s="8" t="n">
        <v>0</v>
      </c>
      <c r="AU823" s="8" t="n">
        <v>0</v>
      </c>
      <c r="AV823" s="8" t="n">
        <v>85</v>
      </c>
      <c r="AW823" s="11" t="n">
        <f>IF(AND(COUNT(AT823:AV823)=3,AT823&gt;=AU823,AU823&gt;=0,AV823&gt;0),(AT823-AU823)/AV823,"")</f>
        <v>0</v>
      </c>
      <c r="AX823" s="8" t="n">
        <v>1</v>
      </c>
      <c r="AY823" s="8" t="n">
        <v>0</v>
      </c>
      <c r="AZ823" s="8" t="n">
        <v>175</v>
      </c>
      <c r="BA823" s="11" t="n">
        <f>IF(AND(COUNT(AX823:AZ823)=3,AX823&gt;=AY823,AY823&gt;=0,AZ823&gt;0),(AX823-AY823)/AZ823,"")</f>
        <v>0.005714285714285714</v>
      </c>
      <c r="BB823" s="8" t="n">
        <f>IF(COUNT(AS823,AW823,BA823)=3,1,0)</f>
        <v>1</v>
      </c>
      <c r="BC823" s="11" t="n">
        <f>IF(SUMIF($AO$11:$AO$1309,AO823,$BB$11:$BB$1309)=COUNTIF($AO$11:$AO$1309,AO823),SUMIF($AO$11:$AO$1309,AO823,$AS$11:$AS$1309),"")</f>
        <v>0</v>
      </c>
      <c r="BD823" s="11" t="n">
        <f>IF(SUMIF($AO$11:$AO$1309,AO823,$BB$11:$BB$1309)=COUNTIF($AO$11:$AO$1309,AO823),SUMIF($AO$11:$AO$1309,AO823,$AW$11:$AW$1309),"")</f>
        <v>0</v>
      </c>
      <c r="BE823" s="11" t="n">
        <f>IF(SUMIF($AO$11:$AO$1309,AO823,$BB$11:$BB$1309)=COUNTIF($AO$11:$AO$1309,AO823),SUMIF($AO$11:$AO$1309,AO823,$BA$11:$BA$1309),"")</f>
        <v>0.04513643659711075</v>
      </c>
      <c r="BF823" s="12" t="n">
        <f>IF(COUNT(BD823:BE823)&lt;&gt;2,"",IF(AND(BD823&gt;0,BE823&gt;0),0.7*AW823/BD823+0.3*BA823/BE823,IF(BD823&gt;0,AW823/BD823,IF(BE823&gt;0,BA823/BE823,IF(AND(ISNUMBER(BH823),BH823=0),0,"")))))</f>
        <v>0.12660028449502134</v>
      </c>
      <c r="BG823" s="11" t="n">
        <f>IF(AND(COUNT(BN823:BU823)=8,MIN(BN823:BU823)&gt;=0),SUMPRODUCT(BN823:BQ823,BR823:BU823),"")</f>
        <v>96.68059267618935</v>
      </c>
      <c r="BH823" s="11" t="n">
        <f>IF(COUNT(BC823,BG823)=2,BC823*BG823,"")</f>
        <v>0</v>
      </c>
      <c r="BI823" s="11" t="n">
        <f>IF(ISNUMBER(CI823),CI823,"")</f>
        <v>0</v>
      </c>
      <c r="BJ823" s="8" t="str">
        <v>近180天本色销量9双（＜90），无有效新采购，请运营判断</v>
      </c>
      <c r="BK823" s="8" t="str">
        <v>90天：2026-07-20 至 2026-10-17；180天：2026-04-21 至 2026-10-17</v>
      </c>
      <c r="BL823" s="8" t="str">
        <v>90天：2026-10-06、2026-10-07、2026-10-12、2026-10-13、2026-10-16；180天：2026-10-06、2026-10-07、2026-10-12、2026-10-13、2026-10-16</v>
      </c>
      <c r="BM823" s="8" t="str">
        <v>2026-10：12天 × 1.1743420411079069；2026-11：30天 × 1.281694931279211；2026-12：31天 × 0.9007634642750235；2027-01：17天 × 0.9537631089407297</v>
      </c>
      <c r="BN823" s="11" t="n">
        <v>1.1743420411079069</v>
      </c>
      <c r="BO823" s="11" t="n">
        <v>1.281694931279211</v>
      </c>
      <c r="BP823" s="11" t="n">
        <v>0.9007634642750235</v>
      </c>
      <c r="BQ823" s="11" t="n">
        <v>0.9537631089407297</v>
      </c>
      <c r="BR823" s="8" t="n">
        <v>12</v>
      </c>
      <c r="BS823" s="8" t="n">
        <v>30</v>
      </c>
      <c r="BT823" s="8" t="n">
        <v>31</v>
      </c>
      <c r="BU823" s="8" t="n">
        <v>17</v>
      </c>
      <c r="BV823" s="11" t="n">
        <f>IF(COUNT(BC823,BF823)=2,BC823*BF823,"")</f>
        <v>0</v>
      </c>
      <c r="BW823" s="11" t="n">
        <f>IF(ISNUMBER(BN823),BN823,"")</f>
        <v>1.1743420411079069</v>
      </c>
      <c r="BX823" s="14" t="n">
        <f>IF(ISNUMBER(BR823),BR823,"")</f>
        <v>12</v>
      </c>
      <c r="BY823" s="13" t="n">
        <f>IF(AND(COUNT(BV823,BW823,BX823)=3,MIN(BV823,BW823,BX823)&gt;=0),BV823*BW823*BX823,"")</f>
        <v>0</v>
      </c>
      <c r="BZ823" s="11" t="n">
        <f>IF(ISNUMBER(BO823),BO823,"")</f>
        <v>1.281694931279211</v>
      </c>
      <c r="CA823" s="14" t="n">
        <f>IF(ISNUMBER(BS823),BS823,"")</f>
        <v>30</v>
      </c>
      <c r="CB823" s="13" t="n">
        <f>IF(AND(COUNT(BV823,BZ823,CA823)=3,MIN(BV823,BZ823,CA823)&gt;=0),BV823*BZ823*CA823,"")</f>
        <v>0</v>
      </c>
      <c r="CC823" s="11" t="n">
        <f>IF(ISNUMBER(BP823),BP823,"")</f>
        <v>0.9007634642750235</v>
      </c>
      <c r="CD823" s="14" t="n">
        <f>IF(ISNUMBER(BT823),BT823,"")</f>
        <v>31</v>
      </c>
      <c r="CE823" s="13" t="n">
        <f>IF(AND(COUNT(BV823,CC823,CD823)=3,MIN(BV823,CC823,CD823)&gt;=0),BV823*CC823*CD823,"")</f>
        <v>0</v>
      </c>
      <c r="CF823" s="11" t="n">
        <f>IF(ISNUMBER(BQ823),BQ823,"")</f>
        <v>0.9537631089407297</v>
      </c>
      <c r="CG823" s="14" t="n">
        <f>IF(ISNUMBER(BU823),BU823,"")</f>
        <v>17</v>
      </c>
      <c r="CH823" s="13" t="n">
        <f>IF(AND(COUNT(BV823,CF823,CG823)=3,MIN(BV823,CF823,CG823)&gt;=0),BV823*CF823*CG823,"")</f>
        <v>0</v>
      </c>
      <c r="CI823" s="13" t="n">
        <f>IF(COUNT(BY823,CB823,CE823,CH823)=4,SUM(BY823,CB823,CE823,CH823),"")</f>
        <v>0</v>
      </c>
    </row>
    <row r="824" ht="72" customHeight="1">
      <c r="A824" s="16" t="str">
        <v>8392-RD-S-K-41</v>
      </c>
      <c r="B824" s="16" t="str">
        <v>3店-SANDIEX-US</v>
      </c>
      <c r="C824" s="16" t="str">
        <v>徐新怡</v>
      </c>
      <c r="D824" s="26" t="n">
        <f>IF(NOT(ISNUMBER(E824)),"",IF(OR(E824&lt;=0,L824=0),0,IF(OR(NOT(ISNUMBER(F824)),F824&lt;0),"",MIN(E824,INT(F824)))))</f>
        <v>0</v>
      </c>
      <c r="E824" s="27" t="n">
        <f>IF(OR(NOT(ISNUMBER(L824)),COUNT(M824:O824)&lt;&gt;3,MIN(M824:O824)&lt;0),"",ROUNDUP(ROUND(BI824-SUM(M824:O824),10),0))</f>
        <v>0</v>
      </c>
      <c r="F824" s="28" t="n">
        <v>0</v>
      </c>
      <c r="G824" s="28" t="n">
        <f>IF(AND(ISNUMBER(D824),ISNUMBER(E824)),IF(OR(E824&lt;=0,L824=0),0,E824-D824),"")</f>
        <v>0</v>
      </c>
      <c r="H824" s="16" t="str">
        <f>IF(NOT(ISNUMBER(E824)),"销量或海外库存待补",IF(OR(E824&lt;=0,L824=0),IF(L824=0,"零日销，本批不发","本批无需补货"),IF(NOT(ISNUMBER(D824)),"国内库存待补",IF(D824=0,"国内无可用库存",IF(G824&gt;0,"先发国内现货","按建议量发货")))))</f>
        <v>零日销，本批不发</v>
      </c>
      <c r="I824" s="28" t="n">
        <f>IF(AND(COUNT(Z824,AA824,AB824)=3,Z824&gt;=AA824,AA824&gt;=0,AB824=7),Z824-AA824,"")</f>
        <v>0</v>
      </c>
      <c r="J824" s="28" t="n">
        <f>IF(AND(COUNT(AF824,AG824,AH824)=3,AF824&gt;=AG824,AG824&gt;=0,AH824=14),AF824-AG824,"")</f>
        <v>0</v>
      </c>
      <c r="K824" s="28" t="n">
        <f>IF(AND(COUNT(AL824,AM824,AN824)=3,AL824&gt;=AM824,AM824&gt;=0,AN824=30),AL824-AM824,"")</f>
        <v>0</v>
      </c>
      <c r="L824" s="29" t="n">
        <f>IF(ISNUMBER(BI824),BI824/90,"")</f>
        <v>0</v>
      </c>
      <c r="M824" s="28" t="n">
        <v>0</v>
      </c>
      <c r="N824" s="28" t="n">
        <v>0</v>
      </c>
      <c r="O824" s="28" t="n">
        <v>0</v>
      </c>
      <c r="P824" s="30" t="str">
        <f>IF(AND(ISNUMBER(L824),L824&gt;0,COUNT(M824:O824)=3,MIN(M824:O824)&gt;=0),SUM(M824:O824)/L824,"")</f>
      </c>
      <c r="Q824" s="16" t="str">
        <v>按本SKU唯一未删除Listing店铺核实</v>
      </c>
      <c r="R824" s="16" t="str">
        <v>已匹配</v>
      </c>
      <c r="S824" s="16" t="str">
        <v>停售</v>
      </c>
      <c r="T824" s="16" t="str">
        <v>8392</v>
      </c>
      <c r="U824" s="16" t="str">
        <v>红色</v>
      </c>
      <c r="V824" s="16" t="n">
        <v>10</v>
      </c>
      <c r="W824" s="8" t="str">
        <v>2026-10-08 至 2026-10-17</v>
      </c>
      <c r="X824" s="8" t="str">
        <v>2026-10-08、2026-10-09、2026-10-10、2026-10-11、2026-10-14、2026-10-15、2026-10-17</v>
      </c>
      <c r="Y824" s="8" t="str">
        <v>2026-10-12 有记录的停售日；2026-10-13 有记录的停售日；2026-10-16 有记录的停售日</v>
      </c>
      <c r="Z824" s="8" t="n">
        <v>0</v>
      </c>
      <c r="AA824" s="8" t="n">
        <v>0</v>
      </c>
      <c r="AB824" s="8" t="n">
        <v>7</v>
      </c>
      <c r="AC824" s="8" t="str">
        <v>2026-09-29 至 2026-10-17</v>
      </c>
      <c r="AD824" s="8" t="str">
        <v>2026-09-29、2026-09-30、2026-10-01、2026-10-02、2026-10-03、2026-10-04、2026-10-05、2026-10-08、2026-10-09、2026-10-10、2026-10-11、2026-10-14、2026-10-15、2026-10-17</v>
      </c>
      <c r="AE824" s="8" t="str">
        <v>2026-10-06 大促；2026-10-07 大促；2026-10-12 有记录的停售日；2026-10-13 有记录的停售日；2026-10-16 有记录的停售日</v>
      </c>
      <c r="AF824" s="8" t="n">
        <v>0</v>
      </c>
      <c r="AG824" s="8" t="n">
        <v>0</v>
      </c>
      <c r="AH824" s="8" t="n">
        <v>14</v>
      </c>
      <c r="AI824" s="8" t="str">
        <v>2026-09-13 至 2026-10-17</v>
      </c>
      <c r="AJ82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24" s="8" t="str">
        <v>2026-10-06 大促；2026-10-07 大促；2026-10-12 有记录的停售日；2026-10-13 有记录的停售日；2026-10-16 有记录的停售日</v>
      </c>
      <c r="AL824" s="8" t="n">
        <v>0</v>
      </c>
      <c r="AM824" s="8" t="n">
        <v>0</v>
      </c>
      <c r="AN824" s="8" t="n">
        <v>30</v>
      </c>
      <c r="AO824" s="8" t="str">
        <v>8392 / 红色羊京绒 / 6574</v>
      </c>
      <c r="AP824" s="11" t="n">
        <v>1.1743420411079069</v>
      </c>
      <c r="AQ824" s="11" t="n">
        <v>1.1657675792110538</v>
      </c>
      <c r="AR824" s="11" t="n">
        <v>1.138329301141124</v>
      </c>
      <c r="AS824" s="11" t="n">
        <f>IF(AND(COUNT(I824:K824,AP824:AR824)=6,MIN(AP824:AR824)&gt;0),I824/7/AP824*0.5+J824/14/AQ824*0.3+K824/30/AR824*0.2,"")</f>
        <v>0</v>
      </c>
      <c r="AT824" s="8" t="n">
        <v>0</v>
      </c>
      <c r="AU824" s="8" t="n">
        <v>0</v>
      </c>
      <c r="AV824" s="8" t="n">
        <v>85</v>
      </c>
      <c r="AW824" s="11" t="n">
        <f>IF(AND(COUNT(AT824:AV824)=3,AT824&gt;=AU824,AU824&gt;=0,AV824&gt;0),(AT824-AU824)/AV824,"")</f>
        <v>0</v>
      </c>
      <c r="AX824" s="8" t="n">
        <v>1</v>
      </c>
      <c r="AY824" s="8" t="n">
        <v>0</v>
      </c>
      <c r="AZ824" s="8" t="n">
        <v>175</v>
      </c>
      <c r="BA824" s="11" t="n">
        <f>IF(AND(COUNT(AX824:AZ824)=3,AX824&gt;=AY824,AY824&gt;=0,AZ824&gt;0),(AX824-AY824)/AZ824,"")</f>
        <v>0.005714285714285714</v>
      </c>
      <c r="BB824" s="8" t="n">
        <f>IF(COUNT(AS824,AW824,BA824)=3,1,0)</f>
        <v>1</v>
      </c>
      <c r="BC824" s="11" t="n">
        <f>IF(SUMIF($AO$11:$AO$1309,AO824,$BB$11:$BB$1309)=COUNTIF($AO$11:$AO$1309,AO824),SUMIF($AO$11:$AO$1309,AO824,$AS$11:$AS$1309),"")</f>
        <v>0</v>
      </c>
      <c r="BD824" s="11" t="n">
        <f>IF(SUMIF($AO$11:$AO$1309,AO824,$BB$11:$BB$1309)=COUNTIF($AO$11:$AO$1309,AO824),SUMIF($AO$11:$AO$1309,AO824,$AW$11:$AW$1309),"")</f>
        <v>0</v>
      </c>
      <c r="BE824" s="11" t="n">
        <f>IF(SUMIF($AO$11:$AO$1309,AO824,$BB$11:$BB$1309)=COUNTIF($AO$11:$AO$1309,AO824),SUMIF($AO$11:$AO$1309,AO824,$BA$11:$BA$1309),"")</f>
        <v>0.04513643659711075</v>
      </c>
      <c r="BF824" s="12" t="n">
        <f>IF(COUNT(BD824:BE824)&lt;&gt;2,"",IF(AND(BD824&gt;0,BE824&gt;0),0.7*AW824/BD824+0.3*BA824/BE824,IF(BD824&gt;0,AW824/BD824,IF(BE824&gt;0,BA824/BE824,IF(AND(ISNUMBER(BH824),BH824=0),0,"")))))</f>
        <v>0.12660028449502134</v>
      </c>
      <c r="BG824" s="11" t="n">
        <f>IF(AND(COUNT(BN824:BU824)=8,MIN(BN824:BU824)&gt;=0),SUMPRODUCT(BN824:BQ824,BR824:BU824),"")</f>
        <v>96.68059267618935</v>
      </c>
      <c r="BH824" s="11" t="n">
        <f>IF(COUNT(BC824,BG824)=2,BC824*BG824,"")</f>
        <v>0</v>
      </c>
      <c r="BI824" s="11" t="n">
        <f>IF(ISNUMBER(CI824),CI824,"")</f>
        <v>0</v>
      </c>
      <c r="BJ824" s="8" t="str">
        <v>近180天本色销量9双（＜90），无有效新采购，请运营判断</v>
      </c>
      <c r="BK824" s="8" t="str">
        <v>90天：2026-07-20 至 2026-10-17；180天：2026-04-21 至 2026-10-17</v>
      </c>
      <c r="BL824" s="8" t="str">
        <v>90天：2026-10-06、2026-10-07、2026-10-12、2026-10-13、2026-10-16；180天：2026-10-06、2026-10-07、2026-10-12、2026-10-13、2026-10-16</v>
      </c>
      <c r="BM824" s="8" t="str">
        <v>2026-10：12天 × 1.1743420411079069；2026-11：30天 × 1.281694931279211；2026-12：31天 × 0.9007634642750235；2027-01：17天 × 0.9537631089407297</v>
      </c>
      <c r="BN824" s="11" t="n">
        <v>1.1743420411079069</v>
      </c>
      <c r="BO824" s="11" t="n">
        <v>1.281694931279211</v>
      </c>
      <c r="BP824" s="11" t="n">
        <v>0.9007634642750235</v>
      </c>
      <c r="BQ824" s="11" t="n">
        <v>0.9537631089407297</v>
      </c>
      <c r="BR824" s="8" t="n">
        <v>12</v>
      </c>
      <c r="BS824" s="8" t="n">
        <v>30</v>
      </c>
      <c r="BT824" s="8" t="n">
        <v>31</v>
      </c>
      <c r="BU824" s="8" t="n">
        <v>17</v>
      </c>
      <c r="BV824" s="11" t="n">
        <f>IF(COUNT(BC824,BF824)=2,BC824*BF824,"")</f>
        <v>0</v>
      </c>
      <c r="BW824" s="11" t="n">
        <f>IF(ISNUMBER(BN824),BN824,"")</f>
        <v>1.1743420411079069</v>
      </c>
      <c r="BX824" s="14" t="n">
        <f>IF(ISNUMBER(BR824),BR824,"")</f>
        <v>12</v>
      </c>
      <c r="BY824" s="13" t="n">
        <f>IF(AND(COUNT(BV824,BW824,BX824)=3,MIN(BV824,BW824,BX824)&gt;=0),BV824*BW824*BX824,"")</f>
        <v>0</v>
      </c>
      <c r="BZ824" s="11" t="n">
        <f>IF(ISNUMBER(BO824),BO824,"")</f>
        <v>1.281694931279211</v>
      </c>
      <c r="CA824" s="14" t="n">
        <f>IF(ISNUMBER(BS824),BS824,"")</f>
        <v>30</v>
      </c>
      <c r="CB824" s="13" t="n">
        <f>IF(AND(COUNT(BV824,BZ824,CA824)=3,MIN(BV824,BZ824,CA824)&gt;=0),BV824*BZ824*CA824,"")</f>
        <v>0</v>
      </c>
      <c r="CC824" s="11" t="n">
        <f>IF(ISNUMBER(BP824),BP824,"")</f>
        <v>0.9007634642750235</v>
      </c>
      <c r="CD824" s="14" t="n">
        <f>IF(ISNUMBER(BT824),BT824,"")</f>
        <v>31</v>
      </c>
      <c r="CE824" s="13" t="n">
        <f>IF(AND(COUNT(BV824,CC824,CD824)=3,MIN(BV824,CC824,CD824)&gt;=0),BV824*CC824*CD824,"")</f>
        <v>0</v>
      </c>
      <c r="CF824" s="11" t="n">
        <f>IF(ISNUMBER(BQ824),BQ824,"")</f>
        <v>0.9537631089407297</v>
      </c>
      <c r="CG824" s="14" t="n">
        <f>IF(ISNUMBER(BU824),BU824,"")</f>
        <v>17</v>
      </c>
      <c r="CH824" s="13" t="n">
        <f>IF(AND(COUNT(BV824,CF824,CG824)=3,MIN(BV824,CF824,CG824)&gt;=0),BV824*CF824*CG824,"")</f>
        <v>0</v>
      </c>
      <c r="CI824" s="13" t="n">
        <f>IF(COUNT(BY824,CB824,CE824,CH824)=4,SUM(BY824,CB824,CE824,CH824),"")</f>
        <v>0</v>
      </c>
    </row>
    <row r="825" ht="72" customHeight="1">
      <c r="A825" s="16" t="str">
        <v>8392-TN-40</v>
      </c>
      <c r="B825" s="16" t="str">
        <v>3店-SANDIEX-US</v>
      </c>
      <c r="C825" s="16" t="str">
        <v>徐新怡</v>
      </c>
      <c r="D825" s="26" t="n">
        <f>IF(NOT(ISNUMBER(E825)),"",IF(OR(E825&lt;=0,L825=0),0,IF(OR(NOT(ISNUMBER(F825)),F825&lt;0),"",MIN(E825,INT(F825)))))</f>
        <v>0</v>
      </c>
      <c r="E825" s="27" t="n">
        <f>IF(OR(NOT(ISNUMBER(L825)),COUNT(M825:O825)&lt;&gt;3,MIN(M825:O825)&lt;0),"",ROUNDUP(ROUND(BI825-SUM(M825:O825),10),0))</f>
        <v>-14</v>
      </c>
      <c r="F825" s="28" t="n">
        <v>20</v>
      </c>
      <c r="G825" s="28" t="n">
        <f>IF(AND(ISNUMBER(D825),ISNUMBER(E825)),IF(OR(E825&lt;=0,L825=0),0,E825-D825),"")</f>
        <v>0</v>
      </c>
      <c r="H825" s="16" t="str">
        <f>IF(NOT(ISNUMBER(E825)),"销量或海外库存待补",IF(OR(E825&lt;=0,L825=0),IF(L825=0,"零日销，本批不发","本批无需补货"),IF(NOT(ISNUMBER(D825)),"国内库存待补",IF(D825=0,"国内无可用库存",IF(G825&gt;0,"先发国内现货","按建议量发货")))))</f>
        <v>本批无需补货</v>
      </c>
      <c r="I825" s="28" t="n">
        <f>IF(AND(COUNT(Z825,AA825,AB825)=3,Z825&gt;=AA825,AA825&gt;=0,AB825=7),Z825-AA825,"")</f>
        <v>4</v>
      </c>
      <c r="J825" s="28" t="n">
        <f>IF(AND(COUNT(AF825,AG825,AH825)=3,AF825&gt;=AG825,AG825&gt;=0,AH825=14),AF825-AG825,"")</f>
        <v>4</v>
      </c>
      <c r="K825" s="28" t="n">
        <f>IF(AND(COUNT(AL825,AM825,AN825)=3,AL825&gt;=AM825,AM825&gt;=0,AN825=30),AL825-AM825,"")</f>
        <v>5</v>
      </c>
      <c r="L825" s="29" t="n">
        <f>IF(ISNUMBER(BI825),BI825/90,"")</f>
        <v>0.13145201341599835</v>
      </c>
      <c r="M825" s="28" t="n">
        <v>25</v>
      </c>
      <c r="N825" s="28" t="n">
        <v>0</v>
      </c>
      <c r="O825" s="28" t="n">
        <v>0</v>
      </c>
      <c r="P825" s="30" t="n">
        <f>IF(AND(ISNUMBER(L825),L825&gt;0,COUNT(M825:O825)=3,MIN(M825:O825)&gt;=0),SUM(M825:O825)/L825,"")</f>
        <v>190.18346962008098</v>
      </c>
      <c r="Q825" s="16" t="str">
        <v>按本SKU唯一未删除Listing店铺核实</v>
      </c>
      <c r="R825" s="16" t="str">
        <v>已匹配</v>
      </c>
      <c r="S825" s="16" t="str">
        <v>在售</v>
      </c>
      <c r="T825" s="16" t="str">
        <v>8392</v>
      </c>
      <c r="U825" s="16" t="str">
        <v>驼色</v>
      </c>
      <c r="V825" s="16" t="n">
        <v>9</v>
      </c>
      <c r="W825" s="8" t="str">
        <v>2026-10-11 至 2026-10-17</v>
      </c>
      <c r="X825" s="8" t="str">
        <v>2026-10-11、2026-10-12、2026-10-13、2026-10-14、2026-10-15、2026-10-16、2026-10-17</v>
      </c>
      <c r="Y825" s="8" t="str">
        <v>无</v>
      </c>
      <c r="Z825" s="8" t="n">
        <v>4</v>
      </c>
      <c r="AA825" s="8" t="n">
        <v>0</v>
      </c>
      <c r="AB825" s="8" t="n">
        <v>7</v>
      </c>
      <c r="AC825" s="8" t="str">
        <v>2026-10-02 至 2026-10-17</v>
      </c>
      <c r="AD825" s="8" t="str">
        <v>2026-10-02、2026-10-03、2026-10-04、2026-10-05、2026-10-08、2026-10-09、2026-10-10、2026-10-11、2026-10-12、2026-10-13、2026-10-14、2026-10-15、2026-10-16、2026-10-17</v>
      </c>
      <c r="AE825" s="8" t="str">
        <v>2026-10-06 大促；2026-10-07 大促</v>
      </c>
      <c r="AF825" s="8" t="n">
        <v>5</v>
      </c>
      <c r="AG825" s="8" t="n">
        <v>1</v>
      </c>
      <c r="AH825" s="8" t="n">
        <v>14</v>
      </c>
      <c r="AI825" s="8" t="str">
        <v>2026-09-16 至 2026-10-17</v>
      </c>
      <c r="AJ8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25" s="8" t="str">
        <v>2026-10-06 大促；2026-10-07 大促</v>
      </c>
      <c r="AL825" s="8" t="n">
        <v>6</v>
      </c>
      <c r="AM825" s="8" t="n">
        <v>1</v>
      </c>
      <c r="AN825" s="8" t="n">
        <v>30</v>
      </c>
      <c r="AO825" s="8" t="str">
        <v>8392 / 驼色羊京绒 / 6574</v>
      </c>
      <c r="AP825" s="11" t="n">
        <v>1.1743420411079069</v>
      </c>
      <c r="AQ825" s="11" t="n">
        <v>1.1743420411079069</v>
      </c>
      <c r="AR825" s="11" t="n">
        <v>1.144331424468921</v>
      </c>
      <c r="AS825" s="11" t="n">
        <f>IF(AND(COUNT(I825:K825,AP825:AR825)=6,MIN(AP825:AR825)&gt;0),I825/7/AP825*0.5+J825/14/AQ825*0.3+K825/30/AR825*0.2,"")</f>
        <v>0.3454156221296446</v>
      </c>
      <c r="AT825" s="8" t="n">
        <v>6</v>
      </c>
      <c r="AU825" s="8" t="n">
        <v>1</v>
      </c>
      <c r="AV825" s="8" t="n">
        <v>88</v>
      </c>
      <c r="AW825" s="11" t="n">
        <f>IF(AND(COUNT(AT825:AV825)=3,AT825&gt;=AU825,AU825&gt;=0,AV825&gt;0),(AT825-AU825)/AV825,"")</f>
        <v>0.056818181818181816</v>
      </c>
      <c r="AX825" s="8" t="n">
        <v>17</v>
      </c>
      <c r="AY825" s="8" t="n">
        <v>1</v>
      </c>
      <c r="AZ825" s="8" t="n">
        <v>178</v>
      </c>
      <c r="BA825" s="11" t="n">
        <f>IF(AND(COUNT(AX825:AZ825)=3,AX825&gt;=AY825,AY825&gt;=0,AZ825&gt;0),(AX825-AY825)/AZ825,"")</f>
        <v>0.0898876404494382</v>
      </c>
      <c r="BB825" s="8" t="n">
        <f>IF(COUNT(AS825,AW825,BA825)=3,1,0)</f>
        <v>1</v>
      </c>
      <c r="BC825" s="11" t="n">
        <f>IF(SUMIF($AO$11:$AO$1309,AO825,$BB$11:$BB$1309)=COUNTIF($AO$11:$AO$1309,AO825),SUMIF($AO$11:$AO$1309,AO825,$AS$11:$AS$1309),"")</f>
        <v>0.7013954528820118</v>
      </c>
      <c r="BD825" s="11" t="n">
        <f>IF(SUMIF($AO$11:$AO$1309,AO825,$BB$11:$BB$1309)=COUNTIF($AO$11:$AO$1309,AO825),SUMIF($AO$11:$AO$1309,AO825,$AW$11:$AW$1309),"")</f>
        <v>0.33235294117647063</v>
      </c>
      <c r="BE825" s="11" t="n">
        <f>IF(SUMIF($AO$11:$AO$1309,AO825,$BB$11:$BB$1309)=COUNTIF($AO$11:$AO$1309,AO825),SUMIF($AO$11:$AO$1309,AO825,$BA$11:$BA$1309),"")</f>
        <v>0.4921348314606742</v>
      </c>
      <c r="BF825" s="12" t="n">
        <f>IF(COUNT(BD825:BE825)&lt;&gt;2,"",IF(AND(BD825&gt;0,BE825&gt;0),0.7*AW825/BD825+0.3*BA825/BE825,IF(BD825&gt;0,AW825/BD825,IF(BE825&gt;0,BA825/BE825,IF(AND(ISNUMBER(BH825),BH825=0),0,"")))))</f>
        <v>0.17446467340393873</v>
      </c>
      <c r="BG825" s="11" t="n">
        <f>IF(AND(COUNT(BN825:BU825)=8,MIN(BN825:BU825)&gt;=0),SUMPRODUCT(BN825:BQ825,BR825:BU825),"")</f>
        <v>96.68059267618935</v>
      </c>
      <c r="BH825" s="11" t="n">
        <f>IF(COUNT(BC825,BG825)=2,BC825*BG825,"")</f>
        <v>67.81132808501714</v>
      </c>
      <c r="BI825" s="11" t="n">
        <f>IF(ISNUMBER(CI825),CI825,"")</f>
        <v>11.830681207439852</v>
      </c>
      <c r="BJ825" s="8" t="str"/>
      <c r="BK825" s="8" t="str">
        <v>90天：2026-07-20 至 2026-10-17；180天：2026-04-21 至 2026-10-17</v>
      </c>
      <c r="BL825" s="8" t="str">
        <v>90天：2026-10-06、2026-10-07；180天：2026-10-06、2026-10-07</v>
      </c>
      <c r="BM825" s="8" t="str">
        <v>2026-10：12天 × 1.1743420411079069；2026-11：30天 × 1.281694931279211；2026-12：31天 × 0.9007634642750235；2027-01：17天 × 0.9537631089407297</v>
      </c>
      <c r="BN825" s="11" t="n">
        <v>1.1743420411079069</v>
      </c>
      <c r="BO825" s="11" t="n">
        <v>1.281694931279211</v>
      </c>
      <c r="BP825" s="11" t="n">
        <v>0.9007634642750235</v>
      </c>
      <c r="BQ825" s="11" t="n">
        <v>0.9537631089407297</v>
      </c>
      <c r="BR825" s="8" t="n">
        <v>12</v>
      </c>
      <c r="BS825" s="8" t="n">
        <v>30</v>
      </c>
      <c r="BT825" s="8" t="n">
        <v>31</v>
      </c>
      <c r="BU825" s="8" t="n">
        <v>17</v>
      </c>
      <c r="BV825" s="11" t="n">
        <f>IF(COUNT(BC825,BF825)=2,BC825*BF825,"")</f>
        <v>0.12236872861406788</v>
      </c>
      <c r="BW825" s="11" t="n">
        <f>IF(ISNUMBER(BN825),BN825,"")</f>
        <v>1.1743420411079069</v>
      </c>
      <c r="BX825" s="14" t="n">
        <f>IF(ISNUMBER(BR825),BR825,"")</f>
        <v>12</v>
      </c>
      <c r="BY825" s="13" t="n">
        <f>IF(AND(COUNT(BV825,BW825,BX825)=3,MIN(BV825,BW825,BX825)&gt;=0),BV825*BW825*BX825,"")</f>
        <v>1.724432910341088</v>
      </c>
      <c r="BZ825" s="11" t="n">
        <f>IF(ISNUMBER(BO825),BO825,"")</f>
        <v>1.281694931279211</v>
      </c>
      <c r="CA825" s="14" t="n">
        <f>IF(ISNUMBER(BS825),BS825,"")</f>
        <v>30</v>
      </c>
      <c r="CB825" s="13" t="n">
        <f>IF(AND(COUNT(BV825,BZ825,CA825)=3,MIN(BV825,BZ825,CA825)&gt;=0),BV825*BZ825*CA825,"")</f>
        <v>4.705181376351964</v>
      </c>
      <c r="CC825" s="11" t="n">
        <f>IF(ISNUMBER(BP825),BP825,"")</f>
        <v>0.9007634642750235</v>
      </c>
      <c r="CD825" s="14" t="n">
        <f>IF(ISNUMBER(BT825),BT825,"")</f>
        <v>31</v>
      </c>
      <c r="CE825" s="13" t="n">
        <f>IF(AND(COUNT(BV825,CC825,CD825)=3,MIN(BV825,CC825,CD825)&gt;=0),BV825*CC825*CD825,"")</f>
        <v>3.4169836770654776</v>
      </c>
      <c r="CF825" s="11" t="n">
        <f>IF(ISNUMBER(BQ825),BQ825,"")</f>
        <v>0.9537631089407297</v>
      </c>
      <c r="CG825" s="14" t="n">
        <f>IF(ISNUMBER(BU825),BU825,"")</f>
        <v>17</v>
      </c>
      <c r="CH825" s="13" t="n">
        <f>IF(AND(COUNT(BV825,CF825,CG825)=3,MIN(BV825,CF825,CG825)&gt;=0),BV825*CF825*CG825,"")</f>
        <v>1.9840832436813227</v>
      </c>
      <c r="CI825" s="13" t="n">
        <f>IF(COUNT(BY825,CB825,CE825,CH825)=4,SUM(BY825,CB825,CE825,CH825),"")</f>
        <v>11.830681207439852</v>
      </c>
    </row>
    <row r="826" ht="72" customHeight="1">
      <c r="A826" s="16" t="str">
        <v>9967-BK-37</v>
      </c>
      <c r="B826" s="16" t="str">
        <v>1店-MUSSHOE-US</v>
      </c>
      <c r="C826" s="16" t="str">
        <v>徐新怡</v>
      </c>
      <c r="D826" s="26" t="n">
        <f>IF(NOT(ISNUMBER(E826)),"",IF(OR(E826&lt;=0,L826=0),0,IF(OR(NOT(ISNUMBER(F826)),F826&lt;0),"",MIN(E826,INT(F826)))))</f>
        <v>0</v>
      </c>
      <c r="E826" s="27" t="n">
        <f>IF(OR(NOT(ISNUMBER(L826)),COUNT(M826:O826)&lt;&gt;3,MIN(M826:O826)&lt;0),"",ROUNDUP(ROUND(BI826-SUM(M826:O826),10),0))</f>
        <v>-102</v>
      </c>
      <c r="F826" s="28" t="n">
        <v>0</v>
      </c>
      <c r="G826" s="28" t="n">
        <f>IF(AND(ISNUMBER(D826),ISNUMBER(E826)),IF(OR(E826&lt;=0,L826=0),0,E826-D826),"")</f>
        <v>0</v>
      </c>
      <c r="H826" s="16" t="str">
        <f>IF(NOT(ISNUMBER(E826)),"销量或海外库存待补",IF(OR(E826&lt;=0,L826=0),IF(L826=0,"零日销，本批不发","本批无需补货"),IF(NOT(ISNUMBER(D826)),"国内库存待补",IF(D826=0,"国内无可用库存",IF(G826&gt;0,"先发国内现货","按建议量发货")))))</f>
        <v>零日销，本批不发</v>
      </c>
      <c r="I826" s="28" t="n">
        <f>IF(AND(COUNT(Z826,AA826,AB826)=3,Z826&gt;=AA826,AA826&gt;=0,AB826=7),Z826-AA826,"")</f>
        <v>0</v>
      </c>
      <c r="J826" s="28" t="n">
        <f>IF(AND(COUNT(AF826,AG826,AH826)=3,AF826&gt;=AG826,AG826&gt;=0,AH826=14),AF826-AG826,"")</f>
        <v>0</v>
      </c>
      <c r="K826" s="28" t="n">
        <f>IF(AND(COUNT(AL826,AM826,AN826)=3,AL826&gt;=AM826,AM826&gt;=0,AN826=30),AL826-AM826,"")</f>
        <v>0</v>
      </c>
      <c r="L826" s="29" t="n">
        <f>IF(ISNUMBER(BI826),BI826/90,"")</f>
        <v>0</v>
      </c>
      <c r="M826" s="28" t="n">
        <v>12</v>
      </c>
      <c r="N826" s="28" t="n">
        <v>0</v>
      </c>
      <c r="O826" s="28" t="n">
        <v>90</v>
      </c>
      <c r="P826" s="30" t="str">
        <f>IF(AND(ISNUMBER(L826),L826&gt;0,COUNT(M826:O826)=3,MIN(M826:O826)&gt;=0),SUM(M826:O826)/L826,"")</f>
      </c>
      <c r="Q826" s="16" t="str">
        <v>沿用原计划SKU店铺</v>
      </c>
      <c r="R826" s="16" t="str">
        <v>已匹配</v>
      </c>
      <c r="S826" s="16" t="str">
        <v>在售</v>
      </c>
      <c r="T826" s="16" t="str">
        <v>9967</v>
      </c>
      <c r="U826" s="16" t="str">
        <v>黑色</v>
      </c>
      <c r="V826" s="16" t="n">
        <v>6</v>
      </c>
      <c r="W826" s="8" t="str">
        <v>2026-10-11 至 2026-10-17</v>
      </c>
      <c r="X826" s="8" t="str">
        <v>2026-10-11、2026-10-12、2026-10-13、2026-10-14、2026-10-15、2026-10-16、2026-10-17</v>
      </c>
      <c r="Y826" s="8" t="str">
        <v>无</v>
      </c>
      <c r="Z826" s="8" t="n">
        <v>0</v>
      </c>
      <c r="AA826" s="8" t="n">
        <v>0</v>
      </c>
      <c r="AB826" s="8" t="n">
        <v>7</v>
      </c>
      <c r="AC826" s="8" t="str">
        <v>2026-10-02 至 2026-10-17</v>
      </c>
      <c r="AD826" s="8" t="str">
        <v>2026-10-02、2026-10-03、2026-10-04、2026-10-05、2026-10-08、2026-10-09、2026-10-10、2026-10-11、2026-10-12、2026-10-13、2026-10-14、2026-10-15、2026-10-16、2026-10-17</v>
      </c>
      <c r="AE826" s="8" t="str">
        <v>2026-10-06 大促；2026-10-07 大促</v>
      </c>
      <c r="AF826" s="8" t="n">
        <v>0</v>
      </c>
      <c r="AG826" s="8" t="n">
        <v>0</v>
      </c>
      <c r="AH826" s="8" t="n">
        <v>14</v>
      </c>
      <c r="AI826" s="8" t="str">
        <v>2026-09-16 至 2026-10-17</v>
      </c>
      <c r="AJ8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26" s="8" t="str">
        <v>2026-10-06 大促；2026-10-07 大促</v>
      </c>
      <c r="AL826" s="8" t="n">
        <v>0</v>
      </c>
      <c r="AM826" s="8" t="n">
        <v>0</v>
      </c>
      <c r="AN826" s="8" t="n">
        <v>30</v>
      </c>
      <c r="AO826" s="8" t="str">
        <v>9967 / 黑色PU / 13120</v>
      </c>
      <c r="AP826" s="11" t="n">
        <v>0.624562333197096</v>
      </c>
      <c r="AQ826" s="11" t="n">
        <v>0.624562333197096</v>
      </c>
      <c r="AR826" s="11" t="n">
        <v>0.362963200567801</v>
      </c>
      <c r="AS826" s="11" t="n">
        <f>IF(AND(COUNT(I826:K826,AP826:AR826)=6,MIN(AP826:AR826)&gt;0),I826/7/AP826*0.5+J826/14/AQ826*0.3+K826/30/AR826*0.2,"")</f>
        <v>0</v>
      </c>
      <c r="AT826" s="8" t="n">
        <v>0</v>
      </c>
      <c r="AU826" s="8" t="n">
        <v>0</v>
      </c>
      <c r="AV826" s="8" t="n">
        <v>88</v>
      </c>
      <c r="AW826" s="11" t="n">
        <f>IF(AND(COUNT(AT826:AV826)=3,AT826&gt;=AU826,AU826&gt;=0,AV826&gt;0),(AT826-AU826)/AV826,"")</f>
        <v>0</v>
      </c>
      <c r="AX826" s="8" t="n">
        <v>0</v>
      </c>
      <c r="AY826" s="8" t="n">
        <v>0</v>
      </c>
      <c r="AZ826" s="8" t="n">
        <v>178</v>
      </c>
      <c r="BA826" s="11" t="n">
        <f>IF(AND(COUNT(AX826:AZ826)=3,AX826&gt;=AY826,AY826&gt;=0,AZ826&gt;0),(AX826-AY826)/AZ826,"")</f>
        <v>0</v>
      </c>
      <c r="BB826" s="8" t="n">
        <f>IF(COUNT(AS826,AW826,BA826)=3,1,0)</f>
        <v>1</v>
      </c>
      <c r="BC826" s="11" t="n">
        <f>IF(SUMIF($AO$11:$AO$1309,AO826,$BB$11:$BB$1309)=COUNTIF($AO$11:$AO$1309,AO826),SUMIF($AO$11:$AO$1309,AO826,$AS$11:$AS$1309),"")</f>
        <v>0.16796994897243614</v>
      </c>
      <c r="BD826" s="11" t="n">
        <f>IF(SUMIF($AO$11:$AO$1309,AO826,$BB$11:$BB$1309)=COUNTIF($AO$11:$AO$1309,AO826),SUMIF($AO$11:$AO$1309,AO826,$AW$11:$AW$1309),"")</f>
        <v>0.011494252873563218</v>
      </c>
      <c r="BE826" s="11" t="n">
        <f>IF(SUMIF($AO$11:$AO$1309,AO826,$BB$11:$BB$1309)=COUNTIF($AO$11:$AO$1309,AO826),SUMIF($AO$11:$AO$1309,AO826,$BA$11:$BA$1309),"")</f>
        <v>0.01694915254237288</v>
      </c>
      <c r="BF826" s="12" t="n">
        <f>IF(COUNT(BD826:BE826)&lt;&gt;2,"",IF(AND(BD826&gt;0,BE826&gt;0),0.7*AW826/BD826+0.3*BA826/BE826,IF(BD826&gt;0,AW826/BD826,IF(BE826&gt;0,BA826/BE826,IF(AND(ISNUMBER(BH826),BH826=0),0,"")))))</f>
        <v>0</v>
      </c>
      <c r="BG826" s="11" t="n">
        <f>IF(AND(COUNT(BN826:BU826)=8,MIN(BN826:BU826)&gt;=0),SUMPRODUCT(BN826:BQ826,BR826:BU826),"")</f>
        <v>251.82999335153164</v>
      </c>
      <c r="BH826" s="11" t="n">
        <f>IF(COUNT(BC826,BG826)=2,BC826*BG826,"")</f>
        <v>42.2998711329857</v>
      </c>
      <c r="BI826" s="11" t="n">
        <f>IF(ISNUMBER(CI826),CI826,"")</f>
        <v>0</v>
      </c>
      <c r="BJ826" s="8" t="str"/>
      <c r="BK826" s="8" t="str">
        <v>90天：2026-07-20 至 2026-10-17；180天：2026-04-21 至 2026-10-17</v>
      </c>
      <c r="BL826" s="8" t="str">
        <v>90天：2026-10-06、2026-10-07；180天：2026-10-06、2026-10-07</v>
      </c>
      <c r="BM826" s="8" t="str">
        <v>2026-10：12天 × 0.624562333197096；2026-11：30天 × 2.028100514629496；2026-12：31天 × 4.058791976082533；2027-01：17天 × 3.3923340385719465</v>
      </c>
      <c r="BN826" s="11" t="n">
        <v>0.624562333197096</v>
      </c>
      <c r="BO826" s="11" t="n">
        <v>2.028100514629496</v>
      </c>
      <c r="BP826" s="11" t="n">
        <v>4.058791976082533</v>
      </c>
      <c r="BQ826" s="11" t="n">
        <v>3.3923340385719465</v>
      </c>
      <c r="BR826" s="8" t="n">
        <v>12</v>
      </c>
      <c r="BS826" s="8" t="n">
        <v>30</v>
      </c>
      <c r="BT826" s="8" t="n">
        <v>31</v>
      </c>
      <c r="BU826" s="8" t="n">
        <v>17</v>
      </c>
      <c r="BV826" s="11" t="n">
        <f>IF(COUNT(BC826,BF826)=2,BC826*BF826,"")</f>
        <v>0</v>
      </c>
      <c r="BW826" s="11" t="n">
        <f>IF(ISNUMBER(BN826),BN826,"")</f>
        <v>0.624562333197096</v>
      </c>
      <c r="BX826" s="14" t="n">
        <f>IF(ISNUMBER(BR826),BR826,"")</f>
        <v>12</v>
      </c>
      <c r="BY826" s="13" t="n">
        <f>IF(AND(COUNT(BV826,BW826,BX826)=3,MIN(BV826,BW826,BX826)&gt;=0),BV826*BW826*BX826,"")</f>
        <v>0</v>
      </c>
      <c r="BZ826" s="11" t="n">
        <f>IF(ISNUMBER(BO826),BO826,"")</f>
        <v>2.028100514629496</v>
      </c>
      <c r="CA826" s="14" t="n">
        <f>IF(ISNUMBER(BS826),BS826,"")</f>
        <v>30</v>
      </c>
      <c r="CB826" s="13" t="n">
        <f>IF(AND(COUNT(BV826,BZ826,CA826)=3,MIN(BV826,BZ826,CA826)&gt;=0),BV826*BZ826*CA826,"")</f>
        <v>0</v>
      </c>
      <c r="CC826" s="11" t="n">
        <f>IF(ISNUMBER(BP826),BP826,"")</f>
        <v>4.058791976082533</v>
      </c>
      <c r="CD826" s="14" t="n">
        <f>IF(ISNUMBER(BT826),BT826,"")</f>
        <v>31</v>
      </c>
      <c r="CE826" s="13" t="n">
        <f>IF(AND(COUNT(BV826,CC826,CD826)=3,MIN(BV826,CC826,CD826)&gt;=0),BV826*CC826*CD826,"")</f>
        <v>0</v>
      </c>
      <c r="CF826" s="11" t="n">
        <f>IF(ISNUMBER(BQ826),BQ826,"")</f>
        <v>3.3923340385719465</v>
      </c>
      <c r="CG826" s="14" t="n">
        <f>IF(ISNUMBER(BU826),BU826,"")</f>
        <v>17</v>
      </c>
      <c r="CH826" s="13" t="n">
        <f>IF(AND(COUNT(BV826,CF826,CG826)=3,MIN(BV826,CF826,CG826)&gt;=0),BV826*CF826*CG826,"")</f>
        <v>0</v>
      </c>
      <c r="CI826" s="13" t="n">
        <f>IF(COUNT(BY826,CB826,CE826,CH826)=4,SUM(BY826,CB826,CE826,CH826),"")</f>
        <v>0</v>
      </c>
    </row>
    <row r="827" ht="72" customHeight="1">
      <c r="A827" s="16" t="str">
        <v>9967-BK-38B</v>
      </c>
      <c r="B827" s="16" t="str">
        <v>1店-MUSSHOE-US</v>
      </c>
      <c r="C827" s="16" t="str">
        <v>徐新怡</v>
      </c>
      <c r="D827" s="26" t="n">
        <f>IF(NOT(ISNUMBER(E827)),"",IF(OR(E827&lt;=0,L827=0),0,IF(OR(NOT(ISNUMBER(F827)),F827&lt;0),"",MIN(E827,INT(F827)))))</f>
        <v>0</v>
      </c>
      <c r="E827" s="27" t="n">
        <f>IF(OR(NOT(ISNUMBER(L827)),COUNT(M827:O827)&lt;&gt;3,MIN(M827:O827)&lt;0),"",ROUNDUP(ROUND(BI827-SUM(M827:O827),10),0))</f>
        <v>-212</v>
      </c>
      <c r="F827" s="28" t="n">
        <v>0</v>
      </c>
      <c r="G827" s="28" t="n">
        <f>IF(AND(ISNUMBER(D827),ISNUMBER(E827)),IF(OR(E827&lt;=0,L827=0),0,E827-D827),"")</f>
        <v>0</v>
      </c>
      <c r="H827" s="16" t="str">
        <f>IF(NOT(ISNUMBER(E827)),"销量或海外库存待补",IF(OR(E827&lt;=0,L827=0),IF(L827=0,"零日销，本批不发","本批无需补货"),IF(NOT(ISNUMBER(D827)),"国内库存待补",IF(D827=0,"国内无可用库存",IF(G827&gt;0,"先发国内现货","按建议量发货")))))</f>
        <v>本批无需补货</v>
      </c>
      <c r="I827" s="28" t="n">
        <f>IF(AND(COUNT(Z827,AA827,AB827)=3,Z827&gt;=AA827,AA827&gt;=0,AB827=7),Z827-AA827,"")</f>
        <v>0</v>
      </c>
      <c r="J827" s="28" t="n">
        <f>IF(AND(COUNT(AF827,AG827,AH827)=3,AF827&gt;=AG827,AG827&gt;=0,AH827=14),AF827-AG827,"")</f>
        <v>0</v>
      </c>
      <c r="K827" s="28" t="n">
        <f>IF(AND(COUNT(AL827,AM827,AN827)=3,AL827&gt;=AM827,AM827&gt;=0,AN827=30),AL827-AM827,"")</f>
        <v>0</v>
      </c>
      <c r="L827" s="29" t="n">
        <f>IF(ISNUMBER(BI827),BI827/90,"")</f>
        <v>0.09399971362885712</v>
      </c>
      <c r="M827" s="28" t="n">
        <v>22</v>
      </c>
      <c r="N827" s="28" t="n">
        <v>0</v>
      </c>
      <c r="O827" s="28" t="n">
        <v>198</v>
      </c>
      <c r="P827" s="30" t="n">
        <f>IF(AND(ISNUMBER(L827),L827&gt;0,COUNT(M827:O827)=3,MIN(M827:O827)&gt;=0),SUM(M827:O827)/L827,"")</f>
        <v>2340.432662046556</v>
      </c>
      <c r="Q827" s="16" t="str">
        <v>沿用原计划SKU店铺</v>
      </c>
      <c r="R827" s="16" t="str">
        <v>已匹配</v>
      </c>
      <c r="S827" s="16" t="str">
        <v>在售</v>
      </c>
      <c r="T827" s="16" t="str">
        <v>9967</v>
      </c>
      <c r="U827" s="16" t="str">
        <v>黑色</v>
      </c>
      <c r="V827" s="16" t="n">
        <v>7</v>
      </c>
      <c r="W827" s="8" t="str">
        <v>2026-10-10 至 2026-10-17</v>
      </c>
      <c r="X827" s="8" t="str">
        <v>2026-10-10、2026-10-11、2026-10-13、2026-10-14、2026-10-15、2026-10-16、2026-10-17</v>
      </c>
      <c r="Y827" s="8" t="str">
        <v>2026-10-12 有记录的停售日</v>
      </c>
      <c r="Z827" s="8" t="n">
        <v>0</v>
      </c>
      <c r="AA827" s="8" t="n">
        <v>0</v>
      </c>
      <c r="AB827" s="8" t="n">
        <v>7</v>
      </c>
      <c r="AC827" s="8" t="str">
        <v>2026-10-01 至 2026-10-17</v>
      </c>
      <c r="AD827" s="8" t="str">
        <v>2026-10-01、2026-10-02、2026-10-03、2026-10-04、2026-10-05、2026-10-08、2026-10-09、2026-10-10、2026-10-11、2026-10-13、2026-10-14、2026-10-15、2026-10-16、2026-10-17</v>
      </c>
      <c r="AE827" s="8" t="str">
        <v>2026-10-06 大促；2026-10-07 大促；2026-10-12 有记录的停售日</v>
      </c>
      <c r="AF827" s="8" t="n">
        <v>0</v>
      </c>
      <c r="AG827" s="8" t="n">
        <v>0</v>
      </c>
      <c r="AH827" s="8" t="n">
        <v>14</v>
      </c>
      <c r="AI827" s="8" t="str">
        <v>2026-09-15 至 2026-10-17</v>
      </c>
      <c r="AJ827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827" s="8" t="str">
        <v>2026-10-06 大促；2026-10-07 大促；2026-10-12 有记录的停售日</v>
      </c>
      <c r="AL827" s="8" t="n">
        <v>0</v>
      </c>
      <c r="AM827" s="8" t="n">
        <v>0</v>
      </c>
      <c r="AN827" s="8" t="n">
        <v>30</v>
      </c>
      <c r="AO827" s="8" t="str">
        <v>9967 / 黑色PU / 13120</v>
      </c>
      <c r="AP827" s="11" t="n">
        <v>0.624562333197096</v>
      </c>
      <c r="AQ827" s="11" t="n">
        <v>0.624562333197096</v>
      </c>
      <c r="AR827" s="11" t="n">
        <v>0.3455232583925147</v>
      </c>
      <c r="AS827" s="11" t="n">
        <f>IF(AND(COUNT(I827:K827,AP827:AR827)=6,MIN(AP827:AR827)&gt;0),I827/7/AP827*0.5+J827/14/AQ827*0.3+K827/30/AR827*0.2,"")</f>
        <v>0</v>
      </c>
      <c r="AT827" s="8" t="n">
        <v>0</v>
      </c>
      <c r="AU827" s="8" t="n">
        <v>0</v>
      </c>
      <c r="AV827" s="8" t="n">
        <v>87</v>
      </c>
      <c r="AW827" s="11" t="n">
        <f>IF(AND(COUNT(AT827:AV827)=3,AT827&gt;=AU827,AU827&gt;=0,AV827&gt;0),(AT827-AU827)/AV827,"")</f>
        <v>0</v>
      </c>
      <c r="AX827" s="8" t="n">
        <v>2</v>
      </c>
      <c r="AY827" s="8" t="n">
        <v>0</v>
      </c>
      <c r="AZ827" s="8" t="n">
        <v>177</v>
      </c>
      <c r="BA827" s="11" t="n">
        <f>IF(AND(COUNT(AX827:AZ827)=3,AX827&gt;=AY827,AY827&gt;=0,AZ827&gt;0),(AX827-AY827)/AZ827,"")</f>
        <v>0.011299435028248588</v>
      </c>
      <c r="BB827" s="8" t="n">
        <f>IF(COUNT(AS827,AW827,BA827)=3,1,0)</f>
        <v>1</v>
      </c>
      <c r="BC827" s="11" t="n">
        <f>IF(SUMIF($AO$11:$AO$1309,AO827,$BB$11:$BB$1309)=COUNTIF($AO$11:$AO$1309,AO827),SUMIF($AO$11:$AO$1309,AO827,$AS$11:$AS$1309),"")</f>
        <v>0.16796994897243614</v>
      </c>
      <c r="BD827" s="11" t="n">
        <f>IF(SUMIF($AO$11:$AO$1309,AO827,$BB$11:$BB$1309)=COUNTIF($AO$11:$AO$1309,AO827),SUMIF($AO$11:$AO$1309,AO827,$AW$11:$AW$1309),"")</f>
        <v>0.011494252873563218</v>
      </c>
      <c r="BE827" s="11" t="n">
        <f>IF(SUMIF($AO$11:$AO$1309,AO827,$BB$11:$BB$1309)=COUNTIF($AO$11:$AO$1309,AO827),SUMIF($AO$11:$AO$1309,AO827,$BA$11:$BA$1309),"")</f>
        <v>0.01694915254237288</v>
      </c>
      <c r="BF827" s="12" t="n">
        <f>IF(COUNT(BD827:BE827)&lt;&gt;2,"",IF(AND(BD827&gt;0,BE827&gt;0),0.7*AW827/BD827+0.3*BA827/BE827,IF(BD827&gt;0,AW827/BD827,IF(BE827&gt;0,BA827/BE827,IF(AND(ISNUMBER(BH827),BH827=0),0,"")))))</f>
        <v>0.19999999999999998</v>
      </c>
      <c r="BG827" s="11" t="n">
        <f>IF(AND(COUNT(BN827:BU827)=8,MIN(BN827:BU827)&gt;=0),SUMPRODUCT(BN827:BQ827,BR827:BU827),"")</f>
        <v>251.82999335153164</v>
      </c>
      <c r="BH827" s="11" t="n">
        <f>IF(COUNT(BC827,BG827)=2,BC827*BG827,"")</f>
        <v>42.2998711329857</v>
      </c>
      <c r="BI827" s="11" t="n">
        <f>IF(ISNUMBER(CI827),CI827,"")</f>
        <v>8.45997422659714</v>
      </c>
      <c r="BJ827" s="8" t="str"/>
      <c r="BK827" s="8" t="str">
        <v>90天：2026-07-20 至 2026-10-17；180天：2026-04-21 至 2026-10-17</v>
      </c>
      <c r="BL827" s="8" t="str">
        <v>90天：2026-10-06、2026-10-07、2026-10-12；180天：2026-10-06、2026-10-07、2026-10-12</v>
      </c>
      <c r="BM827" s="8" t="str">
        <v>2026-10：12天 × 0.624562333197096；2026-11：30天 × 2.028100514629496；2026-12：31天 × 4.058791976082533；2027-01：17天 × 3.3923340385719465</v>
      </c>
      <c r="BN827" s="11" t="n">
        <v>0.624562333197096</v>
      </c>
      <c r="BO827" s="11" t="n">
        <v>2.028100514629496</v>
      </c>
      <c r="BP827" s="11" t="n">
        <v>4.058791976082533</v>
      </c>
      <c r="BQ827" s="11" t="n">
        <v>3.3923340385719465</v>
      </c>
      <c r="BR827" s="8" t="n">
        <v>12</v>
      </c>
      <c r="BS827" s="8" t="n">
        <v>30</v>
      </c>
      <c r="BT827" s="8" t="n">
        <v>31</v>
      </c>
      <c r="BU827" s="8" t="n">
        <v>17</v>
      </c>
      <c r="BV827" s="11" t="n">
        <f>IF(COUNT(BC827,BF827)=2,BC827*BF827,"")</f>
        <v>0.033593989794487224</v>
      </c>
      <c r="BW827" s="11" t="n">
        <f>IF(ISNUMBER(BN827),BN827,"")</f>
        <v>0.624562333197096</v>
      </c>
      <c r="BX827" s="14" t="n">
        <f>IF(ISNUMBER(BR827),BR827,"")</f>
        <v>12</v>
      </c>
      <c r="BY827" s="13" t="n">
        <f>IF(AND(COUNT(BV827,BW827,BX827)=3,MIN(BV827,BW827,BX827)&gt;=0),BV827*BW827*BX827,"")</f>
        <v>0.2517784877693325</v>
      </c>
      <c r="BZ827" s="11" t="n">
        <f>IF(ISNUMBER(BO827),BO827,"")</f>
        <v>2.028100514629496</v>
      </c>
      <c r="CA827" s="14" t="n">
        <f>IF(ISNUMBER(BS827),BS827,"")</f>
        <v>30</v>
      </c>
      <c r="CB827" s="13" t="n">
        <f>IF(AND(COUNT(BV827,BZ827,CA827)=3,MIN(BV827,BZ827,CA827)&gt;=0),BV827*BZ827*CA827,"")</f>
        <v>2.043959639719727</v>
      </c>
      <c r="CC827" s="11" t="n">
        <f>IF(ISNUMBER(BP827),BP827,"")</f>
        <v>4.058791976082533</v>
      </c>
      <c r="CD827" s="14" t="n">
        <f>IF(ISNUMBER(BT827),BT827,"")</f>
        <v>31</v>
      </c>
      <c r="CE827" s="13" t="n">
        <f>IF(AND(COUNT(BV827,CC827,CD827)=3,MIN(BV827,CC827,CD827)&gt;=0),BV827*CC827*CD827,"")</f>
        <v>4.2268815028963616</v>
      </c>
      <c r="CF827" s="11" t="n">
        <f>IF(ISNUMBER(BQ827),BQ827,"")</f>
        <v>3.3923340385719465</v>
      </c>
      <c r="CG827" s="14" t="n">
        <f>IF(ISNUMBER(BU827),BU827,"")</f>
        <v>17</v>
      </c>
      <c r="CH827" s="13" t="n">
        <f>IF(AND(COUNT(BV827,CF827,CG827)=3,MIN(BV827,CF827,CG827)&gt;=0),BV827*CF827*CG827,"")</f>
        <v>1.9373545962117191</v>
      </c>
      <c r="CI827" s="13" t="n">
        <f>IF(COUNT(BY827,CB827,CE827,CH827)=4,SUM(BY827,CB827,CE827,CH827),"")</f>
        <v>8.45997422659714</v>
      </c>
    </row>
    <row r="828" ht="72" customHeight="1">
      <c r="A828" s="16" t="str">
        <v>9967-BK-39B</v>
      </c>
      <c r="B828" s="16" t="str">
        <v>1店-MUSSHOE-US</v>
      </c>
      <c r="C828" s="16" t="str">
        <v>徐新怡</v>
      </c>
      <c r="D828" s="26" t="n">
        <f>IF(NOT(ISNUMBER(E828)),"",IF(OR(E828&lt;=0,L828=0),0,IF(OR(NOT(ISNUMBER(F828)),F828&lt;0),"",MIN(E828,INT(F828)))))</f>
        <v>0</v>
      </c>
      <c r="E828" s="27" t="n">
        <f>IF(OR(NOT(ISNUMBER(L828)),COUNT(M828:O828)&lt;&gt;3,MIN(M828:O828)&lt;0),"",ROUNDUP(ROUND(BI828-SUM(M828:O828),10),0))</f>
        <v>-437</v>
      </c>
      <c r="F828" s="28" t="n">
        <v>1</v>
      </c>
      <c r="G828" s="28" t="n">
        <f>IF(AND(ISNUMBER(D828),ISNUMBER(E828)),IF(OR(E828&lt;=0,L828=0),0,E828-D828),"")</f>
        <v>0</v>
      </c>
      <c r="H828" s="16" t="str">
        <f>IF(NOT(ISNUMBER(E828)),"销量或海外库存待补",IF(OR(E828&lt;=0,L828=0),IF(L828=0,"零日销，本批不发","本批无需补货"),IF(NOT(ISNUMBER(D828)),"国内库存待补",IF(D828=0,"国内无可用库存",IF(G828&gt;0,"先发国内现货","按建议量发货")))))</f>
        <v>本批无需补货</v>
      </c>
      <c r="I828" s="28" t="n">
        <f>IF(AND(COUNT(Z828,AA828,AB828)=3,Z828&gt;=AA828,AA828&gt;=0,AB828=7),Z828-AA828,"")</f>
        <v>1</v>
      </c>
      <c r="J828" s="28" t="n">
        <f>IF(AND(COUNT(AF828,AG828,AH828)=3,AF828&gt;=AG828,AG828&gt;=0,AH828=14),AF828-AG828,"")</f>
        <v>1</v>
      </c>
      <c r="K828" s="28" t="n">
        <f>IF(AND(COUNT(AL828,AM828,AN828)=3,AL828&gt;=AM828,AM828&gt;=0,AN828=30),AL828-AM828,"")</f>
        <v>1</v>
      </c>
      <c r="L828" s="29" t="n">
        <f>IF(ISNUMBER(BI828),BI828/90,"")</f>
        <v>0.37599885451542847</v>
      </c>
      <c r="M828" s="28" t="n">
        <v>49</v>
      </c>
      <c r="N828" s="28" t="n">
        <v>0</v>
      </c>
      <c r="O828" s="28" t="n">
        <v>421</v>
      </c>
      <c r="P828" s="30" t="n">
        <f>IF(AND(ISNUMBER(L828),L828&gt;0,COUNT(M828:O828)=3,MIN(M828:O828)&gt;=0),SUM(M828:O828)/L828,"")</f>
        <v>1250.0038081385014</v>
      </c>
      <c r="Q828" s="16" t="str">
        <v>沿用原计划SKU店铺</v>
      </c>
      <c r="R828" s="16" t="str">
        <v>已匹配</v>
      </c>
      <c r="S828" s="16" t="str">
        <v>在售</v>
      </c>
      <c r="T828" s="16" t="str">
        <v>9967</v>
      </c>
      <c r="U828" s="16" t="str">
        <v>黑色</v>
      </c>
      <c r="V828" s="16" t="n">
        <v>8</v>
      </c>
      <c r="W828" s="8" t="str">
        <v>2026-10-10 至 2026-10-17</v>
      </c>
      <c r="X828" s="8" t="str">
        <v>2026-10-10、2026-10-11、2026-10-13、2026-10-14、2026-10-15、2026-10-16、2026-10-17</v>
      </c>
      <c r="Y828" s="8" t="str">
        <v>2026-10-12 有记录的停售日</v>
      </c>
      <c r="Z828" s="8" t="n">
        <v>2</v>
      </c>
      <c r="AA828" s="8" t="n">
        <v>1</v>
      </c>
      <c r="AB828" s="8" t="n">
        <v>7</v>
      </c>
      <c r="AC828" s="8" t="str">
        <v>2026-10-01 至 2026-10-17</v>
      </c>
      <c r="AD828" s="8" t="str">
        <v>2026-10-01、2026-10-02、2026-10-03、2026-10-04、2026-10-05、2026-10-08、2026-10-09、2026-10-10、2026-10-11、2026-10-13、2026-10-14、2026-10-15、2026-10-16、2026-10-17</v>
      </c>
      <c r="AE828" s="8" t="str">
        <v>2026-10-06 大促；2026-10-07 大促；2026-10-12 有记录的停售日</v>
      </c>
      <c r="AF828" s="8" t="n">
        <v>2</v>
      </c>
      <c r="AG828" s="8" t="n">
        <v>1</v>
      </c>
      <c r="AH828" s="8" t="n">
        <v>14</v>
      </c>
      <c r="AI828" s="8" t="str">
        <v>2026-09-15 至 2026-10-17</v>
      </c>
      <c r="AJ828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828" s="8" t="str">
        <v>2026-10-06 大促；2026-10-07 大促；2026-10-12 有记录的停售日</v>
      </c>
      <c r="AL828" s="8" t="n">
        <v>2</v>
      </c>
      <c r="AM828" s="8" t="n">
        <v>1</v>
      </c>
      <c r="AN828" s="8" t="n">
        <v>30</v>
      </c>
      <c r="AO828" s="8" t="str">
        <v>9967 / 黑色PU / 13120</v>
      </c>
      <c r="AP828" s="11" t="n">
        <v>0.624562333197096</v>
      </c>
      <c r="AQ828" s="11" t="n">
        <v>0.624562333197096</v>
      </c>
      <c r="AR828" s="11" t="n">
        <v>0.3455232583925147</v>
      </c>
      <c r="AS828" s="11" t="n">
        <f>IF(AND(COUNT(I828:K828,AP828:AR828)=6,MIN(AP828:AR828)&gt;0),I828/7/AP828*0.5+J828/14/AQ828*0.3+K828/30/AR828*0.2,"")</f>
        <v>0.16796994897243614</v>
      </c>
      <c r="AT828" s="8" t="n">
        <v>2</v>
      </c>
      <c r="AU828" s="8" t="n">
        <v>1</v>
      </c>
      <c r="AV828" s="8" t="n">
        <v>87</v>
      </c>
      <c r="AW828" s="11" t="n">
        <f>IF(AND(COUNT(AT828:AV828)=3,AT828&gt;=AU828,AU828&gt;=0,AV828&gt;0),(AT828-AU828)/AV828,"")</f>
        <v>0.011494252873563218</v>
      </c>
      <c r="AX828" s="8" t="n">
        <v>2</v>
      </c>
      <c r="AY828" s="8" t="n">
        <v>1</v>
      </c>
      <c r="AZ828" s="8" t="n">
        <v>177</v>
      </c>
      <c r="BA828" s="11" t="n">
        <f>IF(AND(COUNT(AX828:AZ828)=3,AX828&gt;=AY828,AY828&gt;=0,AZ828&gt;0),(AX828-AY828)/AZ828,"")</f>
        <v>0.005649717514124294</v>
      </c>
      <c r="BB828" s="8" t="n">
        <f>IF(COUNT(AS828,AW828,BA828)=3,1,0)</f>
        <v>1</v>
      </c>
      <c r="BC828" s="11" t="n">
        <f>IF(SUMIF($AO$11:$AO$1309,AO828,$BB$11:$BB$1309)=COUNTIF($AO$11:$AO$1309,AO828),SUMIF($AO$11:$AO$1309,AO828,$AS$11:$AS$1309),"")</f>
        <v>0.16796994897243614</v>
      </c>
      <c r="BD828" s="11" t="n">
        <f>IF(SUMIF($AO$11:$AO$1309,AO828,$BB$11:$BB$1309)=COUNTIF($AO$11:$AO$1309,AO828),SUMIF($AO$11:$AO$1309,AO828,$AW$11:$AW$1309),"")</f>
        <v>0.011494252873563218</v>
      </c>
      <c r="BE828" s="11" t="n">
        <f>IF(SUMIF($AO$11:$AO$1309,AO828,$BB$11:$BB$1309)=COUNTIF($AO$11:$AO$1309,AO828),SUMIF($AO$11:$AO$1309,AO828,$BA$11:$BA$1309),"")</f>
        <v>0.01694915254237288</v>
      </c>
      <c r="BF828" s="12" t="n">
        <f>IF(COUNT(BD828:BE828)&lt;&gt;2,"",IF(AND(BD828&gt;0,BE828&gt;0),0.7*AW828/BD828+0.3*BA828/BE828,IF(BD828&gt;0,AW828/BD828,IF(BE828&gt;0,BA828/BE828,IF(AND(ISNUMBER(BH828),BH828=0),0,"")))))</f>
        <v>0.7999999999999999</v>
      </c>
      <c r="BG828" s="11" t="n">
        <f>IF(AND(COUNT(BN828:BU828)=8,MIN(BN828:BU828)&gt;=0),SUMPRODUCT(BN828:BQ828,BR828:BU828),"")</f>
        <v>251.82999335153164</v>
      </c>
      <c r="BH828" s="11" t="n">
        <f>IF(COUNT(BC828,BG828)=2,BC828*BG828,"")</f>
        <v>42.2998711329857</v>
      </c>
      <c r="BI828" s="11" t="n">
        <f>IF(ISNUMBER(CI828),CI828,"")</f>
        <v>33.83989690638856</v>
      </c>
      <c r="BJ828" s="8" t="str"/>
      <c r="BK828" s="8" t="str">
        <v>90天：2026-07-20 至 2026-10-17；180天：2026-04-21 至 2026-10-17</v>
      </c>
      <c r="BL828" s="8" t="str">
        <v>90天：2026-10-06、2026-10-07、2026-10-12；180天：2026-10-06、2026-10-07、2026-10-12</v>
      </c>
      <c r="BM828" s="8" t="str">
        <v>2026-10：12天 × 0.624562333197096；2026-11：30天 × 2.028100514629496；2026-12：31天 × 4.058791976082533；2027-01：17天 × 3.3923340385719465</v>
      </c>
      <c r="BN828" s="11" t="n">
        <v>0.624562333197096</v>
      </c>
      <c r="BO828" s="11" t="n">
        <v>2.028100514629496</v>
      </c>
      <c r="BP828" s="11" t="n">
        <v>4.058791976082533</v>
      </c>
      <c r="BQ828" s="11" t="n">
        <v>3.3923340385719465</v>
      </c>
      <c r="BR828" s="8" t="n">
        <v>12</v>
      </c>
      <c r="BS828" s="8" t="n">
        <v>30</v>
      </c>
      <c r="BT828" s="8" t="n">
        <v>31</v>
      </c>
      <c r="BU828" s="8" t="n">
        <v>17</v>
      </c>
      <c r="BV828" s="11" t="n">
        <f>IF(COUNT(BC828,BF828)=2,BC828*BF828,"")</f>
        <v>0.1343759591779489</v>
      </c>
      <c r="BW828" s="11" t="n">
        <f>IF(ISNUMBER(BN828),BN828,"")</f>
        <v>0.624562333197096</v>
      </c>
      <c r="BX828" s="14" t="n">
        <f>IF(ISNUMBER(BR828),BR828,"")</f>
        <v>12</v>
      </c>
      <c r="BY828" s="13" t="n">
        <f>IF(AND(COUNT(BV828,BW828,BX828)=3,MIN(BV828,BW828,BX828)&gt;=0),BV828*BW828*BX828,"")</f>
        <v>1.00711395107733</v>
      </c>
      <c r="BZ828" s="11" t="n">
        <f>IF(ISNUMBER(BO828),BO828,"")</f>
        <v>2.028100514629496</v>
      </c>
      <c r="CA828" s="14" t="n">
        <f>IF(ISNUMBER(BS828),BS828,"")</f>
        <v>30</v>
      </c>
      <c r="CB828" s="13" t="n">
        <f>IF(AND(COUNT(BV828,BZ828,CA828)=3,MIN(BV828,BZ828,CA828)&gt;=0),BV828*BZ828*CA828,"")</f>
        <v>8.175838558878908</v>
      </c>
      <c r="CC828" s="11" t="n">
        <f>IF(ISNUMBER(BP828),BP828,"")</f>
        <v>4.058791976082533</v>
      </c>
      <c r="CD828" s="14" t="n">
        <f>IF(ISNUMBER(BT828),BT828,"")</f>
        <v>31</v>
      </c>
      <c r="CE828" s="13" t="n">
        <f>IF(AND(COUNT(BV828,CC828,CD828)=3,MIN(BV828,CC828,CD828)&gt;=0),BV828*CC828*CD828,"")</f>
        <v>16.907526011585446</v>
      </c>
      <c r="CF828" s="11" t="n">
        <f>IF(ISNUMBER(BQ828),BQ828,"")</f>
        <v>3.3923340385719465</v>
      </c>
      <c r="CG828" s="14" t="n">
        <f>IF(ISNUMBER(BU828),BU828,"")</f>
        <v>17</v>
      </c>
      <c r="CH828" s="13" t="n">
        <f>IF(AND(COUNT(BV828,CF828,CG828)=3,MIN(BV828,CF828,CG828)&gt;=0),BV828*CF828*CG828,"")</f>
        <v>7.7494183848468765</v>
      </c>
      <c r="CI828" s="13" t="n">
        <f>IF(COUNT(BY828,CB828,CE828,CH828)=4,SUM(BY828,CB828,CE828,CH828),"")</f>
        <v>33.83989690638856</v>
      </c>
    </row>
    <row r="829" ht="72" customHeight="1">
      <c r="A829" s="16" t="str">
        <v>9967-BK-40B</v>
      </c>
      <c r="B829" s="16" t="str">
        <v>1店-MUSSHOE-US</v>
      </c>
      <c r="C829" s="16" t="str">
        <v>徐新怡</v>
      </c>
      <c r="D829" s="26" t="n">
        <f>IF(NOT(ISNUMBER(E829)),"",IF(OR(E829&lt;=0,L829=0),0,IF(OR(NOT(ISNUMBER(F829)),F829&lt;0),"",MIN(E829,INT(F829)))))</f>
        <v>0</v>
      </c>
      <c r="E829" s="27" t="n">
        <f>IF(OR(NOT(ISNUMBER(L829)),COUNT(M829:O829)&lt;&gt;3,MIN(M829:O829)&lt;0),"",ROUNDUP(ROUND(BI829-SUM(M829:O829),10),0))</f>
        <v>-434</v>
      </c>
      <c r="F829" s="28" t="n">
        <v>1</v>
      </c>
      <c r="G829" s="28" t="n">
        <f>IF(AND(ISNUMBER(D829),ISNUMBER(E829)),IF(OR(E829&lt;=0,L829=0),0,E829-D829),"")</f>
        <v>0</v>
      </c>
      <c r="H829" s="16" t="str">
        <f>IF(NOT(ISNUMBER(E829)),"销量或海外库存待补",IF(OR(E829&lt;=0,L829=0),IF(L829=0,"零日销，本批不发","本批无需补货"),IF(NOT(ISNUMBER(D829)),"国内库存待补",IF(D829=0,"国内无可用库存",IF(G829&gt;0,"先发国内现货","按建议量发货")))))</f>
        <v>零日销，本批不发</v>
      </c>
      <c r="I829" s="28" t="n">
        <f>IF(AND(COUNT(Z829,AA829,AB829)=3,Z829&gt;=AA829,AA829&gt;=0,AB829=7),Z829-AA829,"")</f>
        <v>0</v>
      </c>
      <c r="J829" s="28" t="n">
        <f>IF(AND(COUNT(AF829,AG829,AH829)=3,AF829&gt;=AG829,AG829&gt;=0,AH829=14),AF829-AG829,"")</f>
        <v>0</v>
      </c>
      <c r="K829" s="28" t="n">
        <f>IF(AND(COUNT(AL829,AM829,AN829)=3,AL829&gt;=AM829,AM829&gt;=0,AN829=30),AL829-AM829,"")</f>
        <v>0</v>
      </c>
      <c r="L829" s="29" t="n">
        <f>IF(ISNUMBER(BI829),BI829/90,"")</f>
        <v>0</v>
      </c>
      <c r="M829" s="28" t="n">
        <v>47</v>
      </c>
      <c r="N829" s="28" t="n">
        <v>0</v>
      </c>
      <c r="O829" s="28" t="n">
        <v>387</v>
      </c>
      <c r="P829" s="30" t="str">
        <f>IF(AND(ISNUMBER(L829),L829&gt;0,COUNT(M829:O829)=3,MIN(M829:O829)&gt;=0),SUM(M829:O829)/L829,"")</f>
      </c>
      <c r="Q829" s="16" t="str">
        <v>沿用原计划SKU店铺</v>
      </c>
      <c r="R829" s="16" t="str">
        <v>已匹配</v>
      </c>
      <c r="S829" s="16" t="str">
        <v>在售</v>
      </c>
      <c r="T829" s="16" t="str">
        <v>9967</v>
      </c>
      <c r="U829" s="16" t="str">
        <v>黑色</v>
      </c>
      <c r="V829" s="16" t="n">
        <v>9</v>
      </c>
      <c r="W829" s="8" t="str">
        <v>2026-10-11 至 2026-10-17</v>
      </c>
      <c r="X829" s="8" t="str">
        <v>2026-10-11、2026-10-12、2026-10-13、2026-10-14、2026-10-15、2026-10-16、2026-10-17</v>
      </c>
      <c r="Y829" s="8" t="str">
        <v>无</v>
      </c>
      <c r="Z829" s="8" t="n">
        <v>0</v>
      </c>
      <c r="AA829" s="8" t="n">
        <v>0</v>
      </c>
      <c r="AB829" s="8" t="n">
        <v>7</v>
      </c>
      <c r="AC829" s="8" t="str">
        <v>2026-10-02 至 2026-10-17</v>
      </c>
      <c r="AD829" s="8" t="str">
        <v>2026-10-02、2026-10-03、2026-10-04、2026-10-05、2026-10-08、2026-10-09、2026-10-10、2026-10-11、2026-10-12、2026-10-13、2026-10-14、2026-10-15、2026-10-16、2026-10-17</v>
      </c>
      <c r="AE829" s="8" t="str">
        <v>2026-10-06 大促；2026-10-07 大促</v>
      </c>
      <c r="AF829" s="8" t="n">
        <v>0</v>
      </c>
      <c r="AG829" s="8" t="n">
        <v>0</v>
      </c>
      <c r="AH829" s="8" t="n">
        <v>14</v>
      </c>
      <c r="AI829" s="8" t="str">
        <v>2026-09-16 至 2026-10-17</v>
      </c>
      <c r="AJ8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29" s="8" t="str">
        <v>2026-10-06 大促；2026-10-07 大促</v>
      </c>
      <c r="AL829" s="8" t="n">
        <v>0</v>
      </c>
      <c r="AM829" s="8" t="n">
        <v>0</v>
      </c>
      <c r="AN829" s="8" t="n">
        <v>30</v>
      </c>
      <c r="AO829" s="8" t="str">
        <v>9967 / 黑色PU / 13120</v>
      </c>
      <c r="AP829" s="11" t="n">
        <v>0.624562333197096</v>
      </c>
      <c r="AQ829" s="11" t="n">
        <v>0.624562333197096</v>
      </c>
      <c r="AR829" s="11" t="n">
        <v>0.362963200567801</v>
      </c>
      <c r="AS829" s="11" t="n">
        <f>IF(AND(COUNT(I829:K829,AP829:AR829)=6,MIN(AP829:AR829)&gt;0),I829/7/AP829*0.5+J829/14/AQ829*0.3+K829/30/AR829*0.2,"")</f>
        <v>0</v>
      </c>
      <c r="AT829" s="8" t="n">
        <v>0</v>
      </c>
      <c r="AU829" s="8" t="n">
        <v>0</v>
      </c>
      <c r="AV829" s="8" t="n">
        <v>88</v>
      </c>
      <c r="AW829" s="11" t="n">
        <f>IF(AND(COUNT(AT829:AV829)=3,AT829&gt;=AU829,AU829&gt;=0,AV829&gt;0),(AT829-AU829)/AV829,"")</f>
        <v>0</v>
      </c>
      <c r="AX829" s="8" t="n">
        <v>0</v>
      </c>
      <c r="AY829" s="8" t="n">
        <v>0</v>
      </c>
      <c r="AZ829" s="8" t="n">
        <v>178</v>
      </c>
      <c r="BA829" s="11" t="n">
        <f>IF(AND(COUNT(AX829:AZ829)=3,AX829&gt;=AY829,AY829&gt;=0,AZ829&gt;0),(AX829-AY829)/AZ829,"")</f>
        <v>0</v>
      </c>
      <c r="BB829" s="8" t="n">
        <f>IF(COUNT(AS829,AW829,BA829)=3,1,0)</f>
        <v>1</v>
      </c>
      <c r="BC829" s="11" t="n">
        <f>IF(SUMIF($AO$11:$AO$1309,AO829,$BB$11:$BB$1309)=COUNTIF($AO$11:$AO$1309,AO829),SUMIF($AO$11:$AO$1309,AO829,$AS$11:$AS$1309),"")</f>
        <v>0.16796994897243614</v>
      </c>
      <c r="BD829" s="11" t="n">
        <f>IF(SUMIF($AO$11:$AO$1309,AO829,$BB$11:$BB$1309)=COUNTIF($AO$11:$AO$1309,AO829),SUMIF($AO$11:$AO$1309,AO829,$AW$11:$AW$1309),"")</f>
        <v>0.011494252873563218</v>
      </c>
      <c r="BE829" s="11" t="n">
        <f>IF(SUMIF($AO$11:$AO$1309,AO829,$BB$11:$BB$1309)=COUNTIF($AO$11:$AO$1309,AO829),SUMIF($AO$11:$AO$1309,AO829,$BA$11:$BA$1309),"")</f>
        <v>0.01694915254237288</v>
      </c>
      <c r="BF829" s="12" t="n">
        <f>IF(COUNT(BD829:BE829)&lt;&gt;2,"",IF(AND(BD829&gt;0,BE829&gt;0),0.7*AW829/BD829+0.3*BA829/BE829,IF(BD829&gt;0,AW829/BD829,IF(BE829&gt;0,BA829/BE829,IF(AND(ISNUMBER(BH829),BH829=0),0,"")))))</f>
        <v>0</v>
      </c>
      <c r="BG829" s="11" t="n">
        <f>IF(AND(COUNT(BN829:BU829)=8,MIN(BN829:BU829)&gt;=0),SUMPRODUCT(BN829:BQ829,BR829:BU829),"")</f>
        <v>251.82999335153164</v>
      </c>
      <c r="BH829" s="11" t="n">
        <f>IF(COUNT(BC829,BG829)=2,BC829*BG829,"")</f>
        <v>42.2998711329857</v>
      </c>
      <c r="BI829" s="11" t="n">
        <f>IF(ISNUMBER(CI829),CI829,"")</f>
        <v>0</v>
      </c>
      <c r="BJ829" s="8" t="str"/>
      <c r="BK829" s="8" t="str">
        <v>90天：2026-07-20 至 2026-10-17；180天：2026-04-21 至 2026-10-17</v>
      </c>
      <c r="BL829" s="8" t="str">
        <v>90天：2026-10-06、2026-10-07；180天：2026-10-06、2026-10-07</v>
      </c>
      <c r="BM829" s="8" t="str">
        <v>2026-10：12天 × 0.624562333197096；2026-11：30天 × 2.028100514629496；2026-12：31天 × 4.058791976082533；2027-01：17天 × 3.3923340385719465</v>
      </c>
      <c r="BN829" s="11" t="n">
        <v>0.624562333197096</v>
      </c>
      <c r="BO829" s="11" t="n">
        <v>2.028100514629496</v>
      </c>
      <c r="BP829" s="11" t="n">
        <v>4.058791976082533</v>
      </c>
      <c r="BQ829" s="11" t="n">
        <v>3.3923340385719465</v>
      </c>
      <c r="BR829" s="8" t="n">
        <v>12</v>
      </c>
      <c r="BS829" s="8" t="n">
        <v>30</v>
      </c>
      <c r="BT829" s="8" t="n">
        <v>31</v>
      </c>
      <c r="BU829" s="8" t="n">
        <v>17</v>
      </c>
      <c r="BV829" s="11" t="n">
        <f>IF(COUNT(BC829,BF829)=2,BC829*BF829,"")</f>
        <v>0</v>
      </c>
      <c r="BW829" s="11" t="n">
        <f>IF(ISNUMBER(BN829),BN829,"")</f>
        <v>0.624562333197096</v>
      </c>
      <c r="BX829" s="14" t="n">
        <f>IF(ISNUMBER(BR829),BR829,"")</f>
        <v>12</v>
      </c>
      <c r="BY829" s="13" t="n">
        <f>IF(AND(COUNT(BV829,BW829,BX829)=3,MIN(BV829,BW829,BX829)&gt;=0),BV829*BW829*BX829,"")</f>
        <v>0</v>
      </c>
      <c r="BZ829" s="11" t="n">
        <f>IF(ISNUMBER(BO829),BO829,"")</f>
        <v>2.028100514629496</v>
      </c>
      <c r="CA829" s="14" t="n">
        <f>IF(ISNUMBER(BS829),BS829,"")</f>
        <v>30</v>
      </c>
      <c r="CB829" s="13" t="n">
        <f>IF(AND(COUNT(BV829,BZ829,CA829)=3,MIN(BV829,BZ829,CA829)&gt;=0),BV829*BZ829*CA829,"")</f>
        <v>0</v>
      </c>
      <c r="CC829" s="11" t="n">
        <f>IF(ISNUMBER(BP829),BP829,"")</f>
        <v>4.058791976082533</v>
      </c>
      <c r="CD829" s="14" t="n">
        <f>IF(ISNUMBER(BT829),BT829,"")</f>
        <v>31</v>
      </c>
      <c r="CE829" s="13" t="n">
        <f>IF(AND(COUNT(BV829,CC829,CD829)=3,MIN(BV829,CC829,CD829)&gt;=0),BV829*CC829*CD829,"")</f>
        <v>0</v>
      </c>
      <c r="CF829" s="11" t="n">
        <f>IF(ISNUMBER(BQ829),BQ829,"")</f>
        <v>3.3923340385719465</v>
      </c>
      <c r="CG829" s="14" t="n">
        <f>IF(ISNUMBER(BU829),BU829,"")</f>
        <v>17</v>
      </c>
      <c r="CH829" s="13" t="n">
        <f>IF(AND(COUNT(BV829,CF829,CG829)=3,MIN(BV829,CF829,CG829)&gt;=0),BV829*CF829*CG829,"")</f>
        <v>0</v>
      </c>
      <c r="CI829" s="13" t="n">
        <f>IF(COUNT(BY829,CB829,CE829,CH829)=4,SUM(BY829,CB829,CE829,CH829),"")</f>
        <v>0</v>
      </c>
    </row>
    <row r="830" ht="72" customHeight="1">
      <c r="A830" s="16" t="str">
        <v>9967-BK-41</v>
      </c>
      <c r="B830" s="16" t="str">
        <v>1店-MUSSHOE-US</v>
      </c>
      <c r="C830" s="16" t="str">
        <v>徐新怡</v>
      </c>
      <c r="D830" s="26" t="n">
        <f>IF(NOT(ISNUMBER(E830)),"",IF(OR(E830&lt;=0,L830=0),0,IF(OR(NOT(ISNUMBER(F830)),F830&lt;0),"",MIN(E830,INT(F830)))))</f>
        <v>0</v>
      </c>
      <c r="E830" s="27" t="n">
        <f>IF(OR(NOT(ISNUMBER(L830)),COUNT(M830:O830)&lt;&gt;3,MIN(M830:O830)&lt;0),"",ROUNDUP(ROUND(BI830-SUM(M830:O830),10),0))</f>
        <v>-94</v>
      </c>
      <c r="F830" s="28" t="n">
        <v>5</v>
      </c>
      <c r="G830" s="28" t="n">
        <f>IF(AND(ISNUMBER(D830),ISNUMBER(E830)),IF(OR(E830&lt;=0,L830=0),0,E830-D830),"")</f>
        <v>0</v>
      </c>
      <c r="H830" s="16" t="str">
        <f>IF(NOT(ISNUMBER(E830)),"销量或海外库存待补",IF(OR(E830&lt;=0,L830=0),IF(L830=0,"零日销，本批不发","本批无需补货"),IF(NOT(ISNUMBER(D830)),"国内库存待补",IF(D830=0,"国内无可用库存",IF(G830&gt;0,"先发国内现货","按建议量发货")))))</f>
        <v>零日销，本批不发</v>
      </c>
      <c r="I830" s="28" t="n">
        <f>IF(AND(COUNT(Z830,AA830,AB830)=3,Z830&gt;=AA830,AA830&gt;=0,AB830=7),Z830-AA830,"")</f>
        <v>0</v>
      </c>
      <c r="J830" s="28" t="n">
        <f>IF(AND(COUNT(AF830,AG830,AH830)=3,AF830&gt;=AG830,AG830&gt;=0,AH830=14),AF830-AG830,"")</f>
        <v>0</v>
      </c>
      <c r="K830" s="28" t="n">
        <f>IF(AND(COUNT(AL830,AM830,AN830)=3,AL830&gt;=AM830,AM830&gt;=0,AN830=30),AL830-AM830,"")</f>
        <v>0</v>
      </c>
      <c r="L830" s="29" t="n">
        <f>IF(ISNUMBER(BI830),BI830/90,"")</f>
        <v>0</v>
      </c>
      <c r="M830" s="28" t="n">
        <v>11</v>
      </c>
      <c r="N830" s="28" t="n">
        <v>0</v>
      </c>
      <c r="O830" s="28" t="n">
        <v>83</v>
      </c>
      <c r="P830" s="30" t="str">
        <f>IF(AND(ISNUMBER(L830),L830&gt;0,COUNT(M830:O830)=3,MIN(M830:O830)&gt;=0),SUM(M830:O830)/L830,"")</f>
      </c>
      <c r="Q830" s="16" t="str">
        <v>沿用原计划SKU店铺</v>
      </c>
      <c r="R830" s="16" t="str">
        <v>已匹配</v>
      </c>
      <c r="S830" s="16" t="str">
        <v>在售</v>
      </c>
      <c r="T830" s="16" t="str">
        <v>9967</v>
      </c>
      <c r="U830" s="16" t="str">
        <v>黑色</v>
      </c>
      <c r="V830" s="16" t="n">
        <v>9.5</v>
      </c>
      <c r="W830" s="8" t="str">
        <v>2026-10-11 至 2026-10-17</v>
      </c>
      <c r="X830" s="8" t="str">
        <v>2026-10-11、2026-10-12、2026-10-13、2026-10-14、2026-10-15、2026-10-16、2026-10-17</v>
      </c>
      <c r="Y830" s="8" t="str">
        <v>无</v>
      </c>
      <c r="Z830" s="8" t="n">
        <v>0</v>
      </c>
      <c r="AA830" s="8" t="n">
        <v>0</v>
      </c>
      <c r="AB830" s="8" t="n">
        <v>7</v>
      </c>
      <c r="AC830" s="8" t="str">
        <v>2026-10-02 至 2026-10-17</v>
      </c>
      <c r="AD830" s="8" t="str">
        <v>2026-10-02、2026-10-03、2026-10-04、2026-10-05、2026-10-08、2026-10-09、2026-10-10、2026-10-11、2026-10-12、2026-10-13、2026-10-14、2026-10-15、2026-10-16、2026-10-17</v>
      </c>
      <c r="AE830" s="8" t="str">
        <v>2026-10-06 大促；2026-10-07 大促</v>
      </c>
      <c r="AF830" s="8" t="n">
        <v>0</v>
      </c>
      <c r="AG830" s="8" t="n">
        <v>0</v>
      </c>
      <c r="AH830" s="8" t="n">
        <v>14</v>
      </c>
      <c r="AI830" s="8" t="str">
        <v>2026-09-16 至 2026-10-17</v>
      </c>
      <c r="AJ8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0" s="8" t="str">
        <v>2026-10-06 大促；2026-10-07 大促</v>
      </c>
      <c r="AL830" s="8" t="n">
        <v>0</v>
      </c>
      <c r="AM830" s="8" t="n">
        <v>0</v>
      </c>
      <c r="AN830" s="8" t="n">
        <v>30</v>
      </c>
      <c r="AO830" s="8" t="str">
        <v>9967 / 黑色PU / 13120</v>
      </c>
      <c r="AP830" s="11" t="n">
        <v>0.624562333197096</v>
      </c>
      <c r="AQ830" s="11" t="n">
        <v>0.624562333197096</v>
      </c>
      <c r="AR830" s="11" t="n">
        <v>0.362963200567801</v>
      </c>
      <c r="AS830" s="11" t="n">
        <f>IF(AND(COUNT(I830:K830,AP830:AR830)=6,MIN(AP830:AR830)&gt;0),I830/7/AP830*0.5+J830/14/AQ830*0.3+K830/30/AR830*0.2,"")</f>
        <v>0</v>
      </c>
      <c r="AT830" s="8" t="n">
        <v>0</v>
      </c>
      <c r="AU830" s="8" t="n">
        <v>0</v>
      </c>
      <c r="AV830" s="8" t="n">
        <v>88</v>
      </c>
      <c r="AW830" s="11" t="n">
        <f>IF(AND(COUNT(AT830:AV830)=3,AT830&gt;=AU830,AU830&gt;=0,AV830&gt;0),(AT830-AU830)/AV830,"")</f>
        <v>0</v>
      </c>
      <c r="AX830" s="8" t="n">
        <v>0</v>
      </c>
      <c r="AY830" s="8" t="n">
        <v>0</v>
      </c>
      <c r="AZ830" s="8" t="n">
        <v>178</v>
      </c>
      <c r="BA830" s="11" t="n">
        <f>IF(AND(COUNT(AX830:AZ830)=3,AX830&gt;=AY830,AY830&gt;=0,AZ830&gt;0),(AX830-AY830)/AZ830,"")</f>
        <v>0</v>
      </c>
      <c r="BB830" s="8" t="n">
        <f>IF(COUNT(AS830,AW830,BA830)=3,1,0)</f>
        <v>1</v>
      </c>
      <c r="BC830" s="11" t="n">
        <f>IF(SUMIF($AO$11:$AO$1309,AO830,$BB$11:$BB$1309)=COUNTIF($AO$11:$AO$1309,AO830),SUMIF($AO$11:$AO$1309,AO830,$AS$11:$AS$1309),"")</f>
        <v>0.16796994897243614</v>
      </c>
      <c r="BD830" s="11" t="n">
        <f>IF(SUMIF($AO$11:$AO$1309,AO830,$BB$11:$BB$1309)=COUNTIF($AO$11:$AO$1309,AO830),SUMIF($AO$11:$AO$1309,AO830,$AW$11:$AW$1309),"")</f>
        <v>0.011494252873563218</v>
      </c>
      <c r="BE830" s="11" t="n">
        <f>IF(SUMIF($AO$11:$AO$1309,AO830,$BB$11:$BB$1309)=COUNTIF($AO$11:$AO$1309,AO830),SUMIF($AO$11:$AO$1309,AO830,$BA$11:$BA$1309),"")</f>
        <v>0.01694915254237288</v>
      </c>
      <c r="BF830" s="12" t="n">
        <f>IF(COUNT(BD830:BE830)&lt;&gt;2,"",IF(AND(BD830&gt;0,BE830&gt;0),0.7*AW830/BD830+0.3*BA830/BE830,IF(BD830&gt;0,AW830/BD830,IF(BE830&gt;0,BA830/BE830,IF(AND(ISNUMBER(BH830),BH830=0),0,"")))))</f>
        <v>0</v>
      </c>
      <c r="BG830" s="11" t="n">
        <f>IF(AND(COUNT(BN830:BU830)=8,MIN(BN830:BU830)&gt;=0),SUMPRODUCT(BN830:BQ830,BR830:BU830),"")</f>
        <v>251.82999335153164</v>
      </c>
      <c r="BH830" s="11" t="n">
        <f>IF(COUNT(BC830,BG830)=2,BC830*BG830,"")</f>
        <v>42.2998711329857</v>
      </c>
      <c r="BI830" s="11" t="n">
        <f>IF(ISNUMBER(CI830),CI830,"")</f>
        <v>0</v>
      </c>
      <c r="BJ830" s="8" t="str"/>
      <c r="BK830" s="8" t="str">
        <v>90天：2026-07-20 至 2026-10-17；180天：2026-04-21 至 2026-10-17</v>
      </c>
      <c r="BL830" s="8" t="str">
        <v>90天：2026-10-06、2026-10-07；180天：2026-10-06、2026-10-07</v>
      </c>
      <c r="BM830" s="8" t="str">
        <v>2026-10：12天 × 0.624562333197096；2026-11：30天 × 2.028100514629496；2026-12：31天 × 4.058791976082533；2027-01：17天 × 3.3923340385719465</v>
      </c>
      <c r="BN830" s="11" t="n">
        <v>0.624562333197096</v>
      </c>
      <c r="BO830" s="11" t="n">
        <v>2.028100514629496</v>
      </c>
      <c r="BP830" s="11" t="n">
        <v>4.058791976082533</v>
      </c>
      <c r="BQ830" s="11" t="n">
        <v>3.3923340385719465</v>
      </c>
      <c r="BR830" s="8" t="n">
        <v>12</v>
      </c>
      <c r="BS830" s="8" t="n">
        <v>30</v>
      </c>
      <c r="BT830" s="8" t="n">
        <v>31</v>
      </c>
      <c r="BU830" s="8" t="n">
        <v>17</v>
      </c>
      <c r="BV830" s="11" t="n">
        <f>IF(COUNT(BC830,BF830)=2,BC830*BF830,"")</f>
        <v>0</v>
      </c>
      <c r="BW830" s="11" t="n">
        <f>IF(ISNUMBER(BN830),BN830,"")</f>
        <v>0.624562333197096</v>
      </c>
      <c r="BX830" s="14" t="n">
        <f>IF(ISNUMBER(BR830),BR830,"")</f>
        <v>12</v>
      </c>
      <c r="BY830" s="13" t="n">
        <f>IF(AND(COUNT(BV830,BW830,BX830)=3,MIN(BV830,BW830,BX830)&gt;=0),BV830*BW830*BX830,"")</f>
        <v>0</v>
      </c>
      <c r="BZ830" s="11" t="n">
        <f>IF(ISNUMBER(BO830),BO830,"")</f>
        <v>2.028100514629496</v>
      </c>
      <c r="CA830" s="14" t="n">
        <f>IF(ISNUMBER(BS830),BS830,"")</f>
        <v>30</v>
      </c>
      <c r="CB830" s="13" t="n">
        <f>IF(AND(COUNT(BV830,BZ830,CA830)=3,MIN(BV830,BZ830,CA830)&gt;=0),BV830*BZ830*CA830,"")</f>
        <v>0</v>
      </c>
      <c r="CC830" s="11" t="n">
        <f>IF(ISNUMBER(BP830),BP830,"")</f>
        <v>4.058791976082533</v>
      </c>
      <c r="CD830" s="14" t="n">
        <f>IF(ISNUMBER(BT830),BT830,"")</f>
        <v>31</v>
      </c>
      <c r="CE830" s="13" t="n">
        <f>IF(AND(COUNT(BV830,CC830,CD830)=3,MIN(BV830,CC830,CD830)&gt;=0),BV830*CC830*CD830,"")</f>
        <v>0</v>
      </c>
      <c r="CF830" s="11" t="n">
        <f>IF(ISNUMBER(BQ830),BQ830,"")</f>
        <v>3.3923340385719465</v>
      </c>
      <c r="CG830" s="14" t="n">
        <f>IF(ISNUMBER(BU830),BU830,"")</f>
        <v>17</v>
      </c>
      <c r="CH830" s="13" t="n">
        <f>IF(AND(COUNT(BV830,CF830,CG830)=3,MIN(BV830,CF830,CG830)&gt;=0),BV830*CF830*CG830,"")</f>
        <v>0</v>
      </c>
      <c r="CI830" s="13" t="n">
        <f>IF(COUNT(BY830,CB830,CE830,CH830)=4,SUM(BY830,CB830,CE830,CH830),"")</f>
        <v>0</v>
      </c>
    </row>
    <row r="831" ht="72" customHeight="1">
      <c r="A831" s="16" t="str">
        <v>9967-BK-42</v>
      </c>
      <c r="B831" s="16" t="str">
        <v>1店-MUSSHOE-US</v>
      </c>
      <c r="C831" s="16" t="str">
        <v>徐新怡</v>
      </c>
      <c r="D831" s="26" t="n">
        <f>IF(NOT(ISNUMBER(E831)),"",IF(OR(E831&lt;=0,L831=0),0,IF(OR(NOT(ISNUMBER(F831)),F831&lt;0),"",MIN(E831,INT(F831)))))</f>
        <v>0</v>
      </c>
      <c r="E831" s="27" t="n">
        <f>IF(OR(NOT(ISNUMBER(L831)),COUNT(M831:O831)&lt;&gt;3,MIN(M831:O831)&lt;0),"",ROUNDUP(ROUND(BI831-SUM(M831:O831),10),0))</f>
        <v>-70</v>
      </c>
      <c r="F831" s="28" t="n">
        <v>0</v>
      </c>
      <c r="G831" s="28" t="n">
        <f>IF(AND(ISNUMBER(D831),ISNUMBER(E831)),IF(OR(E831&lt;=0,L831=0),0,E831-D831),"")</f>
        <v>0</v>
      </c>
      <c r="H831" s="16" t="str">
        <f>IF(NOT(ISNUMBER(E831)),"销量或海外库存待补",IF(OR(E831&lt;=0,L831=0),IF(L831=0,"零日销，本批不发","本批无需补货"),IF(NOT(ISNUMBER(D831)),"国内库存待补",IF(D831=0,"国内无可用库存",IF(G831&gt;0,"先发国内现货","按建议量发货")))))</f>
        <v>零日销，本批不发</v>
      </c>
      <c r="I831" s="28" t="n">
        <f>IF(AND(COUNT(Z831,AA831,AB831)=3,Z831&gt;=AA831,AA831&gt;=0,AB831=7),Z831-AA831,"")</f>
        <v>0</v>
      </c>
      <c r="J831" s="28" t="n">
        <f>IF(AND(COUNT(AF831,AG831,AH831)=3,AF831&gt;=AG831,AG831&gt;=0,AH831=14),AF831-AG831,"")</f>
        <v>0</v>
      </c>
      <c r="K831" s="28" t="n">
        <f>IF(AND(COUNT(AL831,AM831,AN831)=3,AL831&gt;=AM831,AM831&gt;=0,AN831=30),AL831-AM831,"")</f>
        <v>0</v>
      </c>
      <c r="L831" s="29" t="n">
        <f>IF(ISNUMBER(BI831),BI831/90,"")</f>
        <v>0</v>
      </c>
      <c r="M831" s="28" t="n">
        <v>8</v>
      </c>
      <c r="N831" s="28" t="n">
        <v>0</v>
      </c>
      <c r="O831" s="28" t="n">
        <v>62</v>
      </c>
      <c r="P831" s="30" t="str">
        <f>IF(AND(ISNUMBER(L831),L831&gt;0,COUNT(M831:O831)=3,MIN(M831:O831)&gt;=0),SUM(M831:O831)/L831,"")</f>
      </c>
      <c r="Q831" s="16" t="str">
        <v>沿用原计划SKU店铺</v>
      </c>
      <c r="R831" s="16" t="str">
        <v>已匹配</v>
      </c>
      <c r="S831" s="16" t="str">
        <v>在售</v>
      </c>
      <c r="T831" s="16" t="str">
        <v>9967</v>
      </c>
      <c r="U831" s="16" t="str">
        <v>黑色</v>
      </c>
      <c r="V831" s="16" t="n">
        <v>10</v>
      </c>
      <c r="W831" s="8" t="str">
        <v>2026-10-11 至 2026-10-17</v>
      </c>
      <c r="X831" s="8" t="str">
        <v>2026-10-11、2026-10-12、2026-10-13、2026-10-14、2026-10-15、2026-10-16、2026-10-17</v>
      </c>
      <c r="Y831" s="8" t="str">
        <v>无</v>
      </c>
      <c r="Z831" s="8" t="n">
        <v>0</v>
      </c>
      <c r="AA831" s="8" t="n">
        <v>0</v>
      </c>
      <c r="AB831" s="8" t="n">
        <v>7</v>
      </c>
      <c r="AC831" s="8" t="str">
        <v>2026-10-02 至 2026-10-17</v>
      </c>
      <c r="AD831" s="8" t="str">
        <v>2026-10-02、2026-10-03、2026-10-04、2026-10-05、2026-10-08、2026-10-09、2026-10-10、2026-10-11、2026-10-12、2026-10-13、2026-10-14、2026-10-15、2026-10-16、2026-10-17</v>
      </c>
      <c r="AE831" s="8" t="str">
        <v>2026-10-06 大促；2026-10-07 大促</v>
      </c>
      <c r="AF831" s="8" t="n">
        <v>0</v>
      </c>
      <c r="AG831" s="8" t="n">
        <v>0</v>
      </c>
      <c r="AH831" s="8" t="n">
        <v>14</v>
      </c>
      <c r="AI831" s="8" t="str">
        <v>2026-09-16 至 2026-10-17</v>
      </c>
      <c r="AJ8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1" s="8" t="str">
        <v>2026-10-06 大促；2026-10-07 大促</v>
      </c>
      <c r="AL831" s="8" t="n">
        <v>0</v>
      </c>
      <c r="AM831" s="8" t="n">
        <v>0</v>
      </c>
      <c r="AN831" s="8" t="n">
        <v>30</v>
      </c>
      <c r="AO831" s="8" t="str">
        <v>9967 / 黑色PU / 13120</v>
      </c>
      <c r="AP831" s="11" t="n">
        <v>0.624562333197096</v>
      </c>
      <c r="AQ831" s="11" t="n">
        <v>0.624562333197096</v>
      </c>
      <c r="AR831" s="11" t="n">
        <v>0.362963200567801</v>
      </c>
      <c r="AS831" s="11" t="n">
        <f>IF(AND(COUNT(I831:K831,AP831:AR831)=6,MIN(AP831:AR831)&gt;0),I831/7/AP831*0.5+J831/14/AQ831*0.3+K831/30/AR831*0.2,"")</f>
        <v>0</v>
      </c>
      <c r="AT831" s="8" t="n">
        <v>0</v>
      </c>
      <c r="AU831" s="8" t="n">
        <v>0</v>
      </c>
      <c r="AV831" s="8" t="n">
        <v>88</v>
      </c>
      <c r="AW831" s="11" t="n">
        <f>IF(AND(COUNT(AT831:AV831)=3,AT831&gt;=AU831,AU831&gt;=0,AV831&gt;0),(AT831-AU831)/AV831,"")</f>
        <v>0</v>
      </c>
      <c r="AX831" s="8" t="n">
        <v>0</v>
      </c>
      <c r="AY831" s="8" t="n">
        <v>0</v>
      </c>
      <c r="AZ831" s="8" t="n">
        <v>178</v>
      </c>
      <c r="BA831" s="11" t="n">
        <f>IF(AND(COUNT(AX831:AZ831)=3,AX831&gt;=AY831,AY831&gt;=0,AZ831&gt;0),(AX831-AY831)/AZ831,"")</f>
        <v>0</v>
      </c>
      <c r="BB831" s="8" t="n">
        <f>IF(COUNT(AS831,AW831,BA831)=3,1,0)</f>
        <v>1</v>
      </c>
      <c r="BC831" s="11" t="n">
        <f>IF(SUMIF($AO$11:$AO$1309,AO831,$BB$11:$BB$1309)=COUNTIF($AO$11:$AO$1309,AO831),SUMIF($AO$11:$AO$1309,AO831,$AS$11:$AS$1309),"")</f>
        <v>0.16796994897243614</v>
      </c>
      <c r="BD831" s="11" t="n">
        <f>IF(SUMIF($AO$11:$AO$1309,AO831,$BB$11:$BB$1309)=COUNTIF($AO$11:$AO$1309,AO831),SUMIF($AO$11:$AO$1309,AO831,$AW$11:$AW$1309),"")</f>
        <v>0.011494252873563218</v>
      </c>
      <c r="BE831" s="11" t="n">
        <f>IF(SUMIF($AO$11:$AO$1309,AO831,$BB$11:$BB$1309)=COUNTIF($AO$11:$AO$1309,AO831),SUMIF($AO$11:$AO$1309,AO831,$BA$11:$BA$1309),"")</f>
        <v>0.01694915254237288</v>
      </c>
      <c r="BF831" s="12" t="n">
        <f>IF(COUNT(BD831:BE831)&lt;&gt;2,"",IF(AND(BD831&gt;0,BE831&gt;0),0.7*AW831/BD831+0.3*BA831/BE831,IF(BD831&gt;0,AW831/BD831,IF(BE831&gt;0,BA831/BE831,IF(AND(ISNUMBER(BH831),BH831=0),0,"")))))</f>
        <v>0</v>
      </c>
      <c r="BG831" s="11" t="n">
        <f>IF(AND(COUNT(BN831:BU831)=8,MIN(BN831:BU831)&gt;=0),SUMPRODUCT(BN831:BQ831,BR831:BU831),"")</f>
        <v>251.82999335153164</v>
      </c>
      <c r="BH831" s="11" t="n">
        <f>IF(COUNT(BC831,BG831)=2,BC831*BG831,"")</f>
        <v>42.2998711329857</v>
      </c>
      <c r="BI831" s="11" t="n">
        <f>IF(ISNUMBER(CI831),CI831,"")</f>
        <v>0</v>
      </c>
      <c r="BJ831" s="8" t="str"/>
      <c r="BK831" s="8" t="str">
        <v>90天：2026-07-20 至 2026-10-17；180天：2026-04-21 至 2026-10-17</v>
      </c>
      <c r="BL831" s="8" t="str">
        <v>90天：2026-10-06、2026-10-07；180天：2026-10-06、2026-10-07</v>
      </c>
      <c r="BM831" s="8" t="str">
        <v>2026-10：12天 × 0.624562333197096；2026-11：30天 × 2.028100514629496；2026-12：31天 × 4.058791976082533；2027-01：17天 × 3.3923340385719465</v>
      </c>
      <c r="BN831" s="11" t="n">
        <v>0.624562333197096</v>
      </c>
      <c r="BO831" s="11" t="n">
        <v>2.028100514629496</v>
      </c>
      <c r="BP831" s="11" t="n">
        <v>4.058791976082533</v>
      </c>
      <c r="BQ831" s="11" t="n">
        <v>3.3923340385719465</v>
      </c>
      <c r="BR831" s="8" t="n">
        <v>12</v>
      </c>
      <c r="BS831" s="8" t="n">
        <v>30</v>
      </c>
      <c r="BT831" s="8" t="n">
        <v>31</v>
      </c>
      <c r="BU831" s="8" t="n">
        <v>17</v>
      </c>
      <c r="BV831" s="11" t="n">
        <f>IF(COUNT(BC831,BF831)=2,BC831*BF831,"")</f>
        <v>0</v>
      </c>
      <c r="BW831" s="11" t="n">
        <f>IF(ISNUMBER(BN831),BN831,"")</f>
        <v>0.624562333197096</v>
      </c>
      <c r="BX831" s="14" t="n">
        <f>IF(ISNUMBER(BR831),BR831,"")</f>
        <v>12</v>
      </c>
      <c r="BY831" s="13" t="n">
        <f>IF(AND(COUNT(BV831,BW831,BX831)=3,MIN(BV831,BW831,BX831)&gt;=0),BV831*BW831*BX831,"")</f>
        <v>0</v>
      </c>
      <c r="BZ831" s="11" t="n">
        <f>IF(ISNUMBER(BO831),BO831,"")</f>
        <v>2.028100514629496</v>
      </c>
      <c r="CA831" s="14" t="n">
        <f>IF(ISNUMBER(BS831),BS831,"")</f>
        <v>30</v>
      </c>
      <c r="CB831" s="13" t="n">
        <f>IF(AND(COUNT(BV831,BZ831,CA831)=3,MIN(BV831,BZ831,CA831)&gt;=0),BV831*BZ831*CA831,"")</f>
        <v>0</v>
      </c>
      <c r="CC831" s="11" t="n">
        <f>IF(ISNUMBER(BP831),BP831,"")</f>
        <v>4.058791976082533</v>
      </c>
      <c r="CD831" s="14" t="n">
        <f>IF(ISNUMBER(BT831),BT831,"")</f>
        <v>31</v>
      </c>
      <c r="CE831" s="13" t="n">
        <f>IF(AND(COUNT(BV831,CC831,CD831)=3,MIN(BV831,CC831,CD831)&gt;=0),BV831*CC831*CD831,"")</f>
        <v>0</v>
      </c>
      <c r="CF831" s="11" t="n">
        <f>IF(ISNUMBER(BQ831),BQ831,"")</f>
        <v>3.3923340385719465</v>
      </c>
      <c r="CG831" s="14" t="n">
        <f>IF(ISNUMBER(BU831),BU831,"")</f>
        <v>17</v>
      </c>
      <c r="CH831" s="13" t="n">
        <f>IF(AND(COUNT(BV831,CF831,CG831)=3,MIN(BV831,CF831,CG831)&gt;=0),BV831*CF831*CG831,"")</f>
        <v>0</v>
      </c>
      <c r="CI831" s="13" t="n">
        <f>IF(COUNT(BY831,CB831,CE831,CH831)=4,SUM(BY831,CB831,CE831,CH831),"")</f>
        <v>0</v>
      </c>
    </row>
    <row r="832" ht="72" customHeight="1">
      <c r="A832" s="16" t="str">
        <v>9967-CT-38B</v>
      </c>
      <c r="B832" s="16" t="str">
        <v>1店-MUSSHOE-US</v>
      </c>
      <c r="C832" s="16" t="str">
        <v>徐新怡</v>
      </c>
      <c r="D832" s="26" t="n">
        <f>IF(NOT(ISNUMBER(E832)),"",IF(OR(E832&lt;=0,L832=0),0,IF(OR(NOT(ISNUMBER(F832)),F832&lt;0),"",MIN(E832,INT(F832)))))</f>
        <v>0</v>
      </c>
      <c r="E832" s="27" t="n">
        <f>IF(OR(NOT(ISNUMBER(L832)),COUNT(M832:O832)&lt;&gt;3,MIN(M832:O832)&lt;0),"",ROUNDUP(ROUND(BI832-SUM(M832:O832),10),0))</f>
        <v>-11</v>
      </c>
      <c r="F832" s="28" t="n">
        <v>0</v>
      </c>
      <c r="G832" s="28" t="n">
        <f>IF(AND(ISNUMBER(D832),ISNUMBER(E832)),IF(OR(E832&lt;=0,L832=0),0,E832-D832),"")</f>
        <v>0</v>
      </c>
      <c r="H832" s="16" t="str">
        <f>IF(NOT(ISNUMBER(E832)),"销量或海外库存待补",IF(OR(E832&lt;=0,L832=0),IF(L832=0,"零日销，本批不发","本批无需补货"),IF(NOT(ISNUMBER(D832)),"国内库存待补",IF(D832=0,"国内无可用库存",IF(G832&gt;0,"先发国内现货","按建议量发货")))))</f>
        <v>本批无需补货</v>
      </c>
      <c r="I832" s="28" t="n">
        <f>IF(AND(COUNT(Z832,AA832,AB832)=3,Z832&gt;=AA832,AA832&gt;=0,AB832=7),Z832-AA832,"")</f>
        <v>1</v>
      </c>
      <c r="J832" s="28" t="n">
        <f>IF(AND(COUNT(AF832,AG832,AH832)=3,AF832&gt;=AG832,AG832&gt;=0,AH832=14),AF832-AG832,"")</f>
        <v>1</v>
      </c>
      <c r="K832" s="28" t="n">
        <f>IF(AND(COUNT(AL832,AM832,AN832)=3,AL832&gt;=AM832,AM832&gt;=0,AN832=30),AL832-AM832,"")</f>
        <v>1</v>
      </c>
      <c r="L832" s="29" t="n">
        <f>IF(ISNUMBER(BI832),BI832/90,"")</f>
        <v>0.422998711329857</v>
      </c>
      <c r="M832" s="28" t="n">
        <v>12</v>
      </c>
      <c r="N832" s="28" t="n">
        <v>0</v>
      </c>
      <c r="O832" s="28" t="n">
        <v>37</v>
      </c>
      <c r="P832" s="30" t="n">
        <f>IF(AND(ISNUMBER(L832),L832&gt;0,COUNT(M832:O832)=3,MIN(M832:O832)&gt;=0),SUM(M832:O832)/L832,"")</f>
        <v>115.8395964043245</v>
      </c>
      <c r="Q832" s="16" t="str">
        <v>沿用原计划SKU店铺</v>
      </c>
      <c r="R832" s="16" t="str">
        <v>已匹配</v>
      </c>
      <c r="S832" s="16" t="str">
        <v>在售</v>
      </c>
      <c r="T832" s="16" t="str">
        <v>9967</v>
      </c>
      <c r="U832" s="16" t="str">
        <v>棕色</v>
      </c>
      <c r="V832" s="16" t="n">
        <v>7</v>
      </c>
      <c r="W832" s="8" t="str">
        <v>2026-10-10 至 2026-10-17</v>
      </c>
      <c r="X832" s="8" t="str">
        <v>2026-10-10、2026-10-11、2026-10-13、2026-10-14、2026-10-15、2026-10-16、2026-10-17</v>
      </c>
      <c r="Y832" s="8" t="str">
        <v>2026-10-12 有记录的停售日</v>
      </c>
      <c r="Z832" s="8" t="n">
        <v>1</v>
      </c>
      <c r="AA832" s="8" t="n">
        <v>0</v>
      </c>
      <c r="AB832" s="8" t="n">
        <v>7</v>
      </c>
      <c r="AC832" s="8" t="str">
        <v>2026-10-01 至 2026-10-17</v>
      </c>
      <c r="AD832" s="8" t="str">
        <v>2026-10-01、2026-10-02、2026-10-03、2026-10-04、2026-10-05、2026-10-08、2026-10-09、2026-10-10、2026-10-11、2026-10-13、2026-10-14、2026-10-15、2026-10-16、2026-10-17</v>
      </c>
      <c r="AE832" s="8" t="str">
        <v>2026-10-06 大促；2026-10-07 大促；2026-10-12 有记录的停售日</v>
      </c>
      <c r="AF832" s="8" t="n">
        <v>1</v>
      </c>
      <c r="AG832" s="8" t="n">
        <v>0</v>
      </c>
      <c r="AH832" s="8" t="n">
        <v>14</v>
      </c>
      <c r="AI832" s="8" t="str">
        <v>2026-09-15 至 2026-10-17</v>
      </c>
      <c r="AJ832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832" s="8" t="str">
        <v>2026-10-06 大促；2026-10-07 大促；2026-10-12 有记录的停售日</v>
      </c>
      <c r="AL832" s="8" t="n">
        <v>1</v>
      </c>
      <c r="AM832" s="8" t="n">
        <v>0</v>
      </c>
      <c r="AN832" s="8" t="n">
        <v>30</v>
      </c>
      <c r="AO832" s="8" t="str">
        <v>9967 / 棕色PU / 13120</v>
      </c>
      <c r="AP832" s="11" t="n">
        <v>0.624562333197096</v>
      </c>
      <c r="AQ832" s="11" t="n">
        <v>0.624562333197096</v>
      </c>
      <c r="AR832" s="11" t="n">
        <v>0.3455232583925147</v>
      </c>
      <c r="AS832" s="11" t="n">
        <f>IF(AND(COUNT(I832:K832,AP832:AR832)=6,MIN(AP832:AR832)&gt;0),I832/7/AP832*0.5+J832/14/AQ832*0.3+K832/30/AR832*0.2,"")</f>
        <v>0.16796994897243614</v>
      </c>
      <c r="AT832" s="8" t="n">
        <v>1</v>
      </c>
      <c r="AU832" s="8" t="n">
        <v>0</v>
      </c>
      <c r="AV832" s="8" t="n">
        <v>87</v>
      </c>
      <c r="AW832" s="11" t="n">
        <f>IF(AND(COUNT(AT832:AV832)=3,AT832&gt;=AU832,AU832&gt;=0,AV832&gt;0),(AT832-AU832)/AV832,"")</f>
        <v>0.011494252873563218</v>
      </c>
      <c r="AX832" s="8" t="n">
        <v>1</v>
      </c>
      <c r="AY832" s="8" t="n">
        <v>0</v>
      </c>
      <c r="AZ832" s="8" t="n">
        <v>177</v>
      </c>
      <c r="BA832" s="11" t="n">
        <f>IF(AND(COUNT(AX832:AZ832)=3,AX832&gt;=AY832,AY832&gt;=0,AZ832&gt;0),(AX832-AY832)/AZ832,"")</f>
        <v>0.005649717514124294</v>
      </c>
      <c r="BB832" s="8" t="n">
        <f>IF(COUNT(AS832,AW832,BA832)=3,1,0)</f>
        <v>1</v>
      </c>
      <c r="BC832" s="11" t="n">
        <f>IF(SUMIF($AO$11:$AO$1309,AO832,$BB$11:$BB$1309)=COUNTIF($AO$11:$AO$1309,AO832),SUMIF($AO$11:$AO$1309,AO832,$AS$11:$AS$1309),"")</f>
        <v>0.3359398979448723</v>
      </c>
      <c r="BD832" s="11" t="n">
        <f>IF(SUMIF($AO$11:$AO$1309,AO832,$BB$11:$BB$1309)=COUNTIF($AO$11:$AO$1309,AO832),SUMIF($AO$11:$AO$1309,AO832,$AW$11:$AW$1309),"")</f>
        <v>0.022988505747126436</v>
      </c>
      <c r="BE832" s="11" t="n">
        <f>IF(SUMIF($AO$11:$AO$1309,AO832,$BB$11:$BB$1309)=COUNTIF($AO$11:$AO$1309,AO832),SUMIF($AO$11:$AO$1309,AO832,$BA$11:$BA$1309),"")</f>
        <v>0.01694915254237288</v>
      </c>
      <c r="BF832" s="12" t="n">
        <f>IF(COUNT(BD832:BE832)&lt;&gt;2,"",IF(AND(BD832&gt;0,BE832&gt;0),0.7*AW832/BD832+0.3*BA832/BE832,IF(BD832&gt;0,AW832/BD832,IF(BE832&gt;0,BA832/BE832,IF(AND(ISNUMBER(BH832),BH832=0),0,"")))))</f>
        <v>0.44999999999999996</v>
      </c>
      <c r="BG832" s="11" t="n">
        <f>IF(AND(COUNT(BN832:BU832)=8,MIN(BN832:BU832)&gt;=0),SUMPRODUCT(BN832:BQ832,BR832:BU832),"")</f>
        <v>251.82999335153164</v>
      </c>
      <c r="BH832" s="11" t="n">
        <f>IF(COUNT(BC832,BG832)=2,BC832*BG832,"")</f>
        <v>84.5997422659714</v>
      </c>
      <c r="BI832" s="11" t="n">
        <f>IF(ISNUMBER(CI832),CI832,"")</f>
        <v>38.06988401968713</v>
      </c>
      <c r="BJ832" s="8" t="str"/>
      <c r="BK832" s="8" t="str">
        <v>90天：2026-07-20 至 2026-10-17；180天：2026-04-21 至 2026-10-17</v>
      </c>
      <c r="BL832" s="8" t="str">
        <v>90天：2026-10-06、2026-10-07、2026-10-12；180天：2026-10-06、2026-10-07、2026-10-12</v>
      </c>
      <c r="BM832" s="8" t="str">
        <v>2026-10：12天 × 0.624562333197096；2026-11：30天 × 2.028100514629496；2026-12：31天 × 4.058791976082533；2027-01：17天 × 3.3923340385719465</v>
      </c>
      <c r="BN832" s="11" t="n">
        <v>0.624562333197096</v>
      </c>
      <c r="BO832" s="11" t="n">
        <v>2.028100514629496</v>
      </c>
      <c r="BP832" s="11" t="n">
        <v>4.058791976082533</v>
      </c>
      <c r="BQ832" s="11" t="n">
        <v>3.3923340385719465</v>
      </c>
      <c r="BR832" s="8" t="n">
        <v>12</v>
      </c>
      <c r="BS832" s="8" t="n">
        <v>30</v>
      </c>
      <c r="BT832" s="8" t="n">
        <v>31</v>
      </c>
      <c r="BU832" s="8" t="n">
        <v>17</v>
      </c>
      <c r="BV832" s="11" t="n">
        <f>IF(COUNT(BC832,BF832)=2,BC832*BF832,"")</f>
        <v>0.15117295407519252</v>
      </c>
      <c r="BW832" s="11" t="n">
        <f>IF(ISNUMBER(BN832),BN832,"")</f>
        <v>0.624562333197096</v>
      </c>
      <c r="BX832" s="14" t="n">
        <f>IF(ISNUMBER(BR832),BR832,"")</f>
        <v>12</v>
      </c>
      <c r="BY832" s="13" t="n">
        <f>IF(AND(COUNT(BV832,BW832,BX832)=3,MIN(BV832,BW832,BX832)&gt;=0),BV832*BW832*BX832,"")</f>
        <v>1.133003194961996</v>
      </c>
      <c r="BZ832" s="11" t="n">
        <f>IF(ISNUMBER(BO832),BO832,"")</f>
        <v>2.028100514629496</v>
      </c>
      <c r="CA832" s="14" t="n">
        <f>IF(ISNUMBER(BS832),BS832,"")</f>
        <v>30</v>
      </c>
      <c r="CB832" s="13" t="n">
        <f>IF(AND(COUNT(BV832,BZ832,CA832)=3,MIN(BV832,BZ832,CA832)&gt;=0),BV832*BZ832*CA832,"")</f>
        <v>9.197818378738774</v>
      </c>
      <c r="CC832" s="11" t="n">
        <f>IF(ISNUMBER(BP832),BP832,"")</f>
        <v>4.058791976082533</v>
      </c>
      <c r="CD832" s="14" t="n">
        <f>IF(ISNUMBER(BT832),BT832,"")</f>
        <v>31</v>
      </c>
      <c r="CE832" s="13" t="n">
        <f>IF(AND(COUNT(BV832,CC832,CD832)=3,MIN(BV832,CC832,CD832)&gt;=0),BV832*CC832*CD832,"")</f>
        <v>19.020966763033623</v>
      </c>
      <c r="CF832" s="11" t="n">
        <f>IF(ISNUMBER(BQ832),BQ832,"")</f>
        <v>3.3923340385719465</v>
      </c>
      <c r="CG832" s="14" t="n">
        <f>IF(ISNUMBER(BU832),BU832,"")</f>
        <v>17</v>
      </c>
      <c r="CH832" s="13" t="n">
        <f>IF(AND(COUNT(BV832,CF832,CG832)=3,MIN(BV832,CF832,CG832)&gt;=0),BV832*CF832*CG832,"")</f>
        <v>8.718095682952736</v>
      </c>
      <c r="CI832" s="13" t="n">
        <f>IF(COUNT(BY832,CB832,CE832,CH832)=4,SUM(BY832,CB832,CE832,CH832),"")</f>
        <v>38.06988401968713</v>
      </c>
    </row>
    <row r="833" ht="72" customHeight="1">
      <c r="A833" s="16" t="str">
        <v>9967-CT-39B</v>
      </c>
      <c r="B833" s="16" t="str">
        <v>1店-MUSSHOE-US</v>
      </c>
      <c r="C833" s="16" t="str">
        <v>徐新怡</v>
      </c>
      <c r="D833" s="26" t="n">
        <f>IF(NOT(ISNUMBER(E833)),"",IF(OR(E833&lt;=0,L833=0),0,IF(OR(NOT(ISNUMBER(F833)),F833&lt;0),"",MIN(E833,INT(F833)))))</f>
        <v>0</v>
      </c>
      <c r="E833" s="27" t="n">
        <f>IF(OR(NOT(ISNUMBER(L833)),COUNT(M833:O833)&lt;&gt;3,MIN(M833:O833)&lt;0),"",ROUNDUP(ROUND(BI833-SUM(M833:O833),10),0))</f>
        <v>-104</v>
      </c>
      <c r="F833" s="28" t="n">
        <v>9</v>
      </c>
      <c r="G833" s="28" t="n">
        <f>IF(AND(ISNUMBER(D833),ISNUMBER(E833)),IF(OR(E833&lt;=0,L833=0),0,E833-D833),"")</f>
        <v>0</v>
      </c>
      <c r="H833" s="16" t="str">
        <f>IF(NOT(ISNUMBER(E833)),"销量或海外库存待补",IF(OR(E833&lt;=0,L833=0),IF(L833=0,"零日销，本批不发","本批无需补货"),IF(NOT(ISNUMBER(D833)),"国内库存待补",IF(D833=0,"国内无可用库存",IF(G833&gt;0,"先发国内现货","按建议量发货")))))</f>
        <v>零日销，本批不发</v>
      </c>
      <c r="I833" s="28" t="n">
        <f>IF(AND(COUNT(Z833,AA833,AB833)=3,Z833&gt;=AA833,AA833&gt;=0,AB833=7),Z833-AA833,"")</f>
        <v>0</v>
      </c>
      <c r="J833" s="28" t="n">
        <f>IF(AND(COUNT(AF833,AG833,AH833)=3,AF833&gt;=AG833,AG833&gt;=0,AH833=14),AF833-AG833,"")</f>
        <v>0</v>
      </c>
      <c r="K833" s="28" t="n">
        <f>IF(AND(COUNT(AL833,AM833,AN833)=3,AL833&gt;=AM833,AM833&gt;=0,AN833=30),AL833-AM833,"")</f>
        <v>0</v>
      </c>
      <c r="L833" s="29" t="n">
        <f>IF(ISNUMBER(BI833),BI833/90,"")</f>
        <v>0</v>
      </c>
      <c r="M833" s="28" t="n">
        <v>12</v>
      </c>
      <c r="N833" s="28" t="n">
        <v>0</v>
      </c>
      <c r="O833" s="28" t="n">
        <v>92</v>
      </c>
      <c r="P833" s="30" t="str">
        <f>IF(AND(ISNUMBER(L833),L833&gt;0,COUNT(M833:O833)=3,MIN(M833:O833)&gt;=0),SUM(M833:O833)/L833,"")</f>
      </c>
      <c r="Q833" s="16" t="str">
        <v>沿用原计划SKU店铺</v>
      </c>
      <c r="R833" s="16" t="str">
        <v>已匹配</v>
      </c>
      <c r="S833" s="16" t="str">
        <v>在售</v>
      </c>
      <c r="T833" s="16" t="str">
        <v>9967</v>
      </c>
      <c r="U833" s="16" t="str">
        <v>棕色</v>
      </c>
      <c r="V833" s="16" t="n">
        <v>8</v>
      </c>
      <c r="W833" s="8" t="str">
        <v>2026-10-10 至 2026-10-17</v>
      </c>
      <c r="X833" s="8" t="str">
        <v>2026-10-10、2026-10-11、2026-10-13、2026-10-14、2026-10-15、2026-10-16、2026-10-17</v>
      </c>
      <c r="Y833" s="8" t="str">
        <v>2026-10-12 有记录的停售日</v>
      </c>
      <c r="Z833" s="8" t="n">
        <v>0</v>
      </c>
      <c r="AA833" s="8" t="n">
        <v>0</v>
      </c>
      <c r="AB833" s="8" t="n">
        <v>7</v>
      </c>
      <c r="AC833" s="8" t="str">
        <v>2026-10-01 至 2026-10-17</v>
      </c>
      <c r="AD833" s="8" t="str">
        <v>2026-10-01、2026-10-02、2026-10-03、2026-10-04、2026-10-05、2026-10-08、2026-10-09、2026-10-10、2026-10-11、2026-10-13、2026-10-14、2026-10-15、2026-10-16、2026-10-17</v>
      </c>
      <c r="AE833" s="8" t="str">
        <v>2026-10-06 大促；2026-10-07 大促；2026-10-12 有记录的停售日</v>
      </c>
      <c r="AF833" s="8" t="n">
        <v>0</v>
      </c>
      <c r="AG833" s="8" t="n">
        <v>0</v>
      </c>
      <c r="AH833" s="8" t="n">
        <v>14</v>
      </c>
      <c r="AI833" s="8" t="str">
        <v>2026-09-15 至 2026-10-17</v>
      </c>
      <c r="AJ833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833" s="8" t="str">
        <v>2026-10-06 大促；2026-10-07 大促；2026-10-12 有记录的停售日</v>
      </c>
      <c r="AL833" s="8" t="n">
        <v>0</v>
      </c>
      <c r="AM833" s="8" t="n">
        <v>0</v>
      </c>
      <c r="AN833" s="8" t="n">
        <v>30</v>
      </c>
      <c r="AO833" s="8" t="str">
        <v>9967 / 棕色PU / 13120</v>
      </c>
      <c r="AP833" s="11" t="n">
        <v>0.624562333197096</v>
      </c>
      <c r="AQ833" s="11" t="n">
        <v>0.624562333197096</v>
      </c>
      <c r="AR833" s="11" t="n">
        <v>0.3455232583925147</v>
      </c>
      <c r="AS833" s="11" t="n">
        <f>IF(AND(COUNT(I833:K833,AP833:AR833)=6,MIN(AP833:AR833)&gt;0),I833/7/AP833*0.5+J833/14/AQ833*0.3+K833/30/AR833*0.2,"")</f>
        <v>0</v>
      </c>
      <c r="AT833" s="8" t="n">
        <v>0</v>
      </c>
      <c r="AU833" s="8" t="n">
        <v>0</v>
      </c>
      <c r="AV833" s="8" t="n">
        <v>87</v>
      </c>
      <c r="AW833" s="11" t="n">
        <f>IF(AND(COUNT(AT833:AV833)=3,AT833&gt;=AU833,AU833&gt;=0,AV833&gt;0),(AT833-AU833)/AV833,"")</f>
        <v>0</v>
      </c>
      <c r="AX833" s="8" t="n">
        <v>0</v>
      </c>
      <c r="AY833" s="8" t="n">
        <v>0</v>
      </c>
      <c r="AZ833" s="8" t="n">
        <v>177</v>
      </c>
      <c r="BA833" s="11" t="n">
        <f>IF(AND(COUNT(AX833:AZ833)=3,AX833&gt;=AY833,AY833&gt;=0,AZ833&gt;0),(AX833-AY833)/AZ833,"")</f>
        <v>0</v>
      </c>
      <c r="BB833" s="8" t="n">
        <f>IF(COUNT(AS833,AW833,BA833)=3,1,0)</f>
        <v>1</v>
      </c>
      <c r="BC833" s="11" t="n">
        <f>IF(SUMIF($AO$11:$AO$1309,AO833,$BB$11:$BB$1309)=COUNTIF($AO$11:$AO$1309,AO833),SUMIF($AO$11:$AO$1309,AO833,$AS$11:$AS$1309),"")</f>
        <v>0.3359398979448723</v>
      </c>
      <c r="BD833" s="11" t="n">
        <f>IF(SUMIF($AO$11:$AO$1309,AO833,$BB$11:$BB$1309)=COUNTIF($AO$11:$AO$1309,AO833),SUMIF($AO$11:$AO$1309,AO833,$AW$11:$AW$1309),"")</f>
        <v>0.022988505747126436</v>
      </c>
      <c r="BE833" s="11" t="n">
        <f>IF(SUMIF($AO$11:$AO$1309,AO833,$BB$11:$BB$1309)=COUNTIF($AO$11:$AO$1309,AO833),SUMIF($AO$11:$AO$1309,AO833,$BA$11:$BA$1309),"")</f>
        <v>0.01694915254237288</v>
      </c>
      <c r="BF833" s="12" t="n">
        <f>IF(COUNT(BD833:BE833)&lt;&gt;2,"",IF(AND(BD833&gt;0,BE833&gt;0),0.7*AW833/BD833+0.3*BA833/BE833,IF(BD833&gt;0,AW833/BD833,IF(BE833&gt;0,BA833/BE833,IF(AND(ISNUMBER(BH833),BH833=0),0,"")))))</f>
        <v>0</v>
      </c>
      <c r="BG833" s="11" t="n">
        <f>IF(AND(COUNT(BN833:BU833)=8,MIN(BN833:BU833)&gt;=0),SUMPRODUCT(BN833:BQ833,BR833:BU833),"")</f>
        <v>251.82999335153164</v>
      </c>
      <c r="BH833" s="11" t="n">
        <f>IF(COUNT(BC833,BG833)=2,BC833*BG833,"")</f>
        <v>84.5997422659714</v>
      </c>
      <c r="BI833" s="11" t="n">
        <f>IF(ISNUMBER(CI833),CI833,"")</f>
        <v>0</v>
      </c>
      <c r="BJ833" s="8" t="str"/>
      <c r="BK833" s="8" t="str">
        <v>90天：2026-07-20 至 2026-10-17；180天：2026-04-21 至 2026-10-17</v>
      </c>
      <c r="BL833" s="8" t="str">
        <v>90天：2026-10-06、2026-10-07、2026-10-12；180天：2026-10-06、2026-10-07、2026-10-12</v>
      </c>
      <c r="BM833" s="8" t="str">
        <v>2026-10：12天 × 0.624562333197096；2026-11：30天 × 2.028100514629496；2026-12：31天 × 4.058791976082533；2027-01：17天 × 3.3923340385719465</v>
      </c>
      <c r="BN833" s="11" t="n">
        <v>0.624562333197096</v>
      </c>
      <c r="BO833" s="11" t="n">
        <v>2.028100514629496</v>
      </c>
      <c r="BP833" s="11" t="n">
        <v>4.058791976082533</v>
      </c>
      <c r="BQ833" s="11" t="n">
        <v>3.3923340385719465</v>
      </c>
      <c r="BR833" s="8" t="n">
        <v>12</v>
      </c>
      <c r="BS833" s="8" t="n">
        <v>30</v>
      </c>
      <c r="BT833" s="8" t="n">
        <v>31</v>
      </c>
      <c r="BU833" s="8" t="n">
        <v>17</v>
      </c>
      <c r="BV833" s="11" t="n">
        <f>IF(COUNT(BC833,BF833)=2,BC833*BF833,"")</f>
        <v>0</v>
      </c>
      <c r="BW833" s="11" t="n">
        <f>IF(ISNUMBER(BN833),BN833,"")</f>
        <v>0.624562333197096</v>
      </c>
      <c r="BX833" s="14" t="n">
        <f>IF(ISNUMBER(BR833),BR833,"")</f>
        <v>12</v>
      </c>
      <c r="BY833" s="13" t="n">
        <f>IF(AND(COUNT(BV833,BW833,BX833)=3,MIN(BV833,BW833,BX833)&gt;=0),BV833*BW833*BX833,"")</f>
        <v>0</v>
      </c>
      <c r="BZ833" s="11" t="n">
        <f>IF(ISNUMBER(BO833),BO833,"")</f>
        <v>2.028100514629496</v>
      </c>
      <c r="CA833" s="14" t="n">
        <f>IF(ISNUMBER(BS833),BS833,"")</f>
        <v>30</v>
      </c>
      <c r="CB833" s="13" t="n">
        <f>IF(AND(COUNT(BV833,BZ833,CA833)=3,MIN(BV833,BZ833,CA833)&gt;=0),BV833*BZ833*CA833,"")</f>
        <v>0</v>
      </c>
      <c r="CC833" s="11" t="n">
        <f>IF(ISNUMBER(BP833),BP833,"")</f>
        <v>4.058791976082533</v>
      </c>
      <c r="CD833" s="14" t="n">
        <f>IF(ISNUMBER(BT833),BT833,"")</f>
        <v>31</v>
      </c>
      <c r="CE833" s="13" t="n">
        <f>IF(AND(COUNT(BV833,CC833,CD833)=3,MIN(BV833,CC833,CD833)&gt;=0),BV833*CC833*CD833,"")</f>
        <v>0</v>
      </c>
      <c r="CF833" s="11" t="n">
        <f>IF(ISNUMBER(BQ833),BQ833,"")</f>
        <v>3.3923340385719465</v>
      </c>
      <c r="CG833" s="14" t="n">
        <f>IF(ISNUMBER(BU833),BU833,"")</f>
        <v>17</v>
      </c>
      <c r="CH833" s="13" t="n">
        <f>IF(AND(COUNT(BV833,CF833,CG833)=3,MIN(BV833,CF833,CG833)&gt;=0),BV833*CF833*CG833,"")</f>
        <v>0</v>
      </c>
      <c r="CI833" s="13" t="n">
        <f>IF(COUNT(BY833,CB833,CE833,CH833)=4,SUM(BY833,CB833,CE833,CH833),"")</f>
        <v>0</v>
      </c>
    </row>
    <row r="834" ht="72" customHeight="1">
      <c r="A834" s="16" t="str">
        <v>9967-CT-40B</v>
      </c>
      <c r="B834" s="16" t="str">
        <v>1店-MUSSHOE-US</v>
      </c>
      <c r="C834" s="16" t="str">
        <v>徐新怡</v>
      </c>
      <c r="D834" s="26" t="n">
        <f>IF(NOT(ISNUMBER(E834)),"",IF(OR(E834&lt;=0,L834=0),0,IF(OR(NOT(ISNUMBER(F834)),F834&lt;0),"",MIN(E834,INT(F834)))))</f>
        <v>0</v>
      </c>
      <c r="E834" s="27" t="n">
        <f>IF(OR(NOT(ISNUMBER(L834)),COUNT(M834:O834)&lt;&gt;3,MIN(M834:O834)&lt;0),"",ROUNDUP(ROUND(BI834-SUM(M834:O834),10),0))</f>
        <v>-87</v>
      </c>
      <c r="F834" s="28" t="n">
        <v>13</v>
      </c>
      <c r="G834" s="28" t="n">
        <f>IF(AND(ISNUMBER(D834),ISNUMBER(E834)),IF(OR(E834&lt;=0,L834=0),0,E834-D834),"")</f>
        <v>0</v>
      </c>
      <c r="H834" s="16" t="str">
        <f>IF(NOT(ISNUMBER(E834)),"销量或海外库存待补",IF(OR(E834&lt;=0,L834=0),IF(L834=0,"零日销，本批不发","本批无需补货"),IF(NOT(ISNUMBER(D834)),"国内库存待补",IF(D834=0,"国内无可用库存",IF(G834&gt;0,"先发国内现货","按建议量发货")))))</f>
        <v>零日销，本批不发</v>
      </c>
      <c r="I834" s="28" t="n">
        <f>IF(AND(COUNT(Z834,AA834,AB834)=3,Z834&gt;=AA834,AA834&gt;=0,AB834=7),Z834-AA834,"")</f>
        <v>0</v>
      </c>
      <c r="J834" s="28" t="n">
        <f>IF(AND(COUNT(AF834,AG834,AH834)=3,AF834&gt;=AG834,AG834&gt;=0,AH834=14),AF834-AG834,"")</f>
        <v>0</v>
      </c>
      <c r="K834" s="28" t="n">
        <f>IF(AND(COUNT(AL834,AM834,AN834)=3,AL834&gt;=AM834,AM834&gt;=0,AN834=30),AL834-AM834,"")</f>
        <v>0</v>
      </c>
      <c r="L834" s="29" t="n">
        <f>IF(ISNUMBER(BI834),BI834/90,"")</f>
        <v>0</v>
      </c>
      <c r="M834" s="28" t="n">
        <v>10</v>
      </c>
      <c r="N834" s="28" t="n">
        <v>0</v>
      </c>
      <c r="O834" s="28" t="n">
        <v>77</v>
      </c>
      <c r="P834" s="30" t="str">
        <f>IF(AND(ISNUMBER(L834),L834&gt;0,COUNT(M834:O834)=3,MIN(M834:O834)&gt;=0),SUM(M834:O834)/L834,"")</f>
      </c>
      <c r="Q834" s="16" t="str">
        <v>沿用原计划SKU店铺</v>
      </c>
      <c r="R834" s="16" t="str">
        <v>已匹配</v>
      </c>
      <c r="S834" s="16" t="str">
        <v>在售</v>
      </c>
      <c r="T834" s="16" t="str">
        <v>9967</v>
      </c>
      <c r="U834" s="16" t="str">
        <v>棕色</v>
      </c>
      <c r="V834" s="16" t="n">
        <v>9</v>
      </c>
      <c r="W834" s="8" t="str">
        <v>2026-10-11 至 2026-10-17</v>
      </c>
      <c r="X834" s="8" t="str">
        <v>2026-10-11、2026-10-12、2026-10-13、2026-10-14、2026-10-15、2026-10-16、2026-10-17</v>
      </c>
      <c r="Y834" s="8" t="str">
        <v>无</v>
      </c>
      <c r="Z834" s="8" t="n">
        <v>0</v>
      </c>
      <c r="AA834" s="8" t="n">
        <v>0</v>
      </c>
      <c r="AB834" s="8" t="n">
        <v>7</v>
      </c>
      <c r="AC834" s="8" t="str">
        <v>2026-10-02 至 2026-10-17</v>
      </c>
      <c r="AD834" s="8" t="str">
        <v>2026-10-02、2026-10-03、2026-10-04、2026-10-05、2026-10-08、2026-10-09、2026-10-10、2026-10-11、2026-10-12、2026-10-13、2026-10-14、2026-10-15、2026-10-16、2026-10-17</v>
      </c>
      <c r="AE834" s="8" t="str">
        <v>2026-10-06 大促；2026-10-07 大促</v>
      </c>
      <c r="AF834" s="8" t="n">
        <v>0</v>
      </c>
      <c r="AG834" s="8" t="n">
        <v>0</v>
      </c>
      <c r="AH834" s="8" t="n">
        <v>14</v>
      </c>
      <c r="AI834" s="8" t="str">
        <v>2026-09-16 至 2026-10-17</v>
      </c>
      <c r="AJ8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4" s="8" t="str">
        <v>2026-10-06 大促；2026-10-07 大促</v>
      </c>
      <c r="AL834" s="8" t="n">
        <v>0</v>
      </c>
      <c r="AM834" s="8" t="n">
        <v>0</v>
      </c>
      <c r="AN834" s="8" t="n">
        <v>30</v>
      </c>
      <c r="AO834" s="8" t="str">
        <v>9967 / 棕色PU / 13120</v>
      </c>
      <c r="AP834" s="11" t="n">
        <v>0.624562333197096</v>
      </c>
      <c r="AQ834" s="11" t="n">
        <v>0.624562333197096</v>
      </c>
      <c r="AR834" s="11" t="n">
        <v>0.362963200567801</v>
      </c>
      <c r="AS834" s="11" t="n">
        <f>IF(AND(COUNT(I834:K834,AP834:AR834)=6,MIN(AP834:AR834)&gt;0),I834/7/AP834*0.5+J834/14/AQ834*0.3+K834/30/AR834*0.2,"")</f>
        <v>0</v>
      </c>
      <c r="AT834" s="8" t="n">
        <v>0</v>
      </c>
      <c r="AU834" s="8" t="n">
        <v>0</v>
      </c>
      <c r="AV834" s="8" t="n">
        <v>88</v>
      </c>
      <c r="AW834" s="11" t="n">
        <f>IF(AND(COUNT(AT834:AV834)=3,AT834&gt;=AU834,AU834&gt;=0,AV834&gt;0),(AT834-AU834)/AV834,"")</f>
        <v>0</v>
      </c>
      <c r="AX834" s="8" t="n">
        <v>0</v>
      </c>
      <c r="AY834" s="8" t="n">
        <v>0</v>
      </c>
      <c r="AZ834" s="8" t="n">
        <v>178</v>
      </c>
      <c r="BA834" s="11" t="n">
        <f>IF(AND(COUNT(AX834:AZ834)=3,AX834&gt;=AY834,AY834&gt;=0,AZ834&gt;0),(AX834-AY834)/AZ834,"")</f>
        <v>0</v>
      </c>
      <c r="BB834" s="8" t="n">
        <f>IF(COUNT(AS834,AW834,BA834)=3,1,0)</f>
        <v>1</v>
      </c>
      <c r="BC834" s="11" t="n">
        <f>IF(SUMIF($AO$11:$AO$1309,AO834,$BB$11:$BB$1309)=COUNTIF($AO$11:$AO$1309,AO834),SUMIF($AO$11:$AO$1309,AO834,$AS$11:$AS$1309),"")</f>
        <v>0.3359398979448723</v>
      </c>
      <c r="BD834" s="11" t="n">
        <f>IF(SUMIF($AO$11:$AO$1309,AO834,$BB$11:$BB$1309)=COUNTIF($AO$11:$AO$1309,AO834),SUMIF($AO$11:$AO$1309,AO834,$AW$11:$AW$1309),"")</f>
        <v>0.022988505747126436</v>
      </c>
      <c r="BE834" s="11" t="n">
        <f>IF(SUMIF($AO$11:$AO$1309,AO834,$BB$11:$BB$1309)=COUNTIF($AO$11:$AO$1309,AO834),SUMIF($AO$11:$AO$1309,AO834,$BA$11:$BA$1309),"")</f>
        <v>0.01694915254237288</v>
      </c>
      <c r="BF834" s="12" t="n">
        <f>IF(COUNT(BD834:BE834)&lt;&gt;2,"",IF(AND(BD834&gt;0,BE834&gt;0),0.7*AW834/BD834+0.3*BA834/BE834,IF(BD834&gt;0,AW834/BD834,IF(BE834&gt;0,BA834/BE834,IF(AND(ISNUMBER(BH834),BH834=0),0,"")))))</f>
        <v>0</v>
      </c>
      <c r="BG834" s="11" t="n">
        <f>IF(AND(COUNT(BN834:BU834)=8,MIN(BN834:BU834)&gt;=0),SUMPRODUCT(BN834:BQ834,BR834:BU834),"")</f>
        <v>251.82999335153164</v>
      </c>
      <c r="BH834" s="11" t="n">
        <f>IF(COUNT(BC834,BG834)=2,BC834*BG834,"")</f>
        <v>84.5997422659714</v>
      </c>
      <c r="BI834" s="11" t="n">
        <f>IF(ISNUMBER(CI834),CI834,"")</f>
        <v>0</v>
      </c>
      <c r="BJ834" s="8" t="str"/>
      <c r="BK834" s="8" t="str">
        <v>90天：2026-07-20 至 2026-10-17；180天：2026-04-21 至 2026-10-17</v>
      </c>
      <c r="BL834" s="8" t="str">
        <v>90天：2026-10-06、2026-10-07；180天：2026-10-06、2026-10-07</v>
      </c>
      <c r="BM834" s="8" t="str">
        <v>2026-10：12天 × 0.624562333197096；2026-11：30天 × 2.028100514629496；2026-12：31天 × 4.058791976082533；2027-01：17天 × 3.3923340385719465</v>
      </c>
      <c r="BN834" s="11" t="n">
        <v>0.624562333197096</v>
      </c>
      <c r="BO834" s="11" t="n">
        <v>2.028100514629496</v>
      </c>
      <c r="BP834" s="11" t="n">
        <v>4.058791976082533</v>
      </c>
      <c r="BQ834" s="11" t="n">
        <v>3.3923340385719465</v>
      </c>
      <c r="BR834" s="8" t="n">
        <v>12</v>
      </c>
      <c r="BS834" s="8" t="n">
        <v>30</v>
      </c>
      <c r="BT834" s="8" t="n">
        <v>31</v>
      </c>
      <c r="BU834" s="8" t="n">
        <v>17</v>
      </c>
      <c r="BV834" s="11" t="n">
        <f>IF(COUNT(BC834,BF834)=2,BC834*BF834,"")</f>
        <v>0</v>
      </c>
      <c r="BW834" s="11" t="n">
        <f>IF(ISNUMBER(BN834),BN834,"")</f>
        <v>0.624562333197096</v>
      </c>
      <c r="BX834" s="14" t="n">
        <f>IF(ISNUMBER(BR834),BR834,"")</f>
        <v>12</v>
      </c>
      <c r="BY834" s="13" t="n">
        <f>IF(AND(COUNT(BV834,BW834,BX834)=3,MIN(BV834,BW834,BX834)&gt;=0),BV834*BW834*BX834,"")</f>
        <v>0</v>
      </c>
      <c r="BZ834" s="11" t="n">
        <f>IF(ISNUMBER(BO834),BO834,"")</f>
        <v>2.028100514629496</v>
      </c>
      <c r="CA834" s="14" t="n">
        <f>IF(ISNUMBER(BS834),BS834,"")</f>
        <v>30</v>
      </c>
      <c r="CB834" s="13" t="n">
        <f>IF(AND(COUNT(BV834,BZ834,CA834)=3,MIN(BV834,BZ834,CA834)&gt;=0),BV834*BZ834*CA834,"")</f>
        <v>0</v>
      </c>
      <c r="CC834" s="11" t="n">
        <f>IF(ISNUMBER(BP834),BP834,"")</f>
        <v>4.058791976082533</v>
      </c>
      <c r="CD834" s="14" t="n">
        <f>IF(ISNUMBER(BT834),BT834,"")</f>
        <v>31</v>
      </c>
      <c r="CE834" s="13" t="n">
        <f>IF(AND(COUNT(BV834,CC834,CD834)=3,MIN(BV834,CC834,CD834)&gt;=0),BV834*CC834*CD834,"")</f>
        <v>0</v>
      </c>
      <c r="CF834" s="11" t="n">
        <f>IF(ISNUMBER(BQ834),BQ834,"")</f>
        <v>3.3923340385719465</v>
      </c>
      <c r="CG834" s="14" t="n">
        <f>IF(ISNUMBER(BU834),BU834,"")</f>
        <v>17</v>
      </c>
      <c r="CH834" s="13" t="n">
        <f>IF(AND(COUNT(BV834,CF834,CG834)=3,MIN(BV834,CF834,CG834)&gt;=0),BV834*CF834*CG834,"")</f>
        <v>0</v>
      </c>
      <c r="CI834" s="13" t="n">
        <f>IF(COUNT(BY834,CB834,CE834,CH834)=4,SUM(BY834,CB834,CE834,CH834),"")</f>
        <v>0</v>
      </c>
    </row>
    <row r="835" ht="72" customHeight="1">
      <c r="A835" s="16" t="str">
        <v>9967-CT-41</v>
      </c>
      <c r="B835" s="16" t="str">
        <v>1店-MUSSHOE-US</v>
      </c>
      <c r="C835" s="16" t="str">
        <v>徐新怡</v>
      </c>
      <c r="D835" s="26" t="n">
        <f>IF(NOT(ISNUMBER(E835)),"",IF(OR(E835&lt;=0,L835=0),0,IF(OR(NOT(ISNUMBER(F835)),F835&lt;0),"",MIN(E835,INT(F835)))))</f>
        <v>0</v>
      </c>
      <c r="E835" s="27" t="n">
        <f>IF(OR(NOT(ISNUMBER(L835)),COUNT(M835:O835)&lt;&gt;3,MIN(M835:O835)&lt;0),"",ROUNDUP(ROUND(BI835-SUM(M835:O835),10),0))</f>
        <v>-17</v>
      </c>
      <c r="F835" s="28" t="n">
        <v>0</v>
      </c>
      <c r="G835" s="28" t="n">
        <f>IF(AND(ISNUMBER(D835),ISNUMBER(E835)),IF(OR(E835&lt;=0,L835=0),0,E835-D835),"")</f>
        <v>0</v>
      </c>
      <c r="H835" s="16" t="str">
        <f>IF(NOT(ISNUMBER(E835)),"销量或海外库存待补",IF(OR(E835&lt;=0,L835=0),IF(L835=0,"零日销，本批不发","本批无需补货"),IF(NOT(ISNUMBER(D835)),"国内库存待补",IF(D835=0,"国内无可用库存",IF(G835&gt;0,"先发国内现货","按建议量发货")))))</f>
        <v>零日销，本批不发</v>
      </c>
      <c r="I835" s="28" t="n">
        <f>IF(AND(COUNT(Z835,AA835,AB835)=3,Z835&gt;=AA835,AA835&gt;=0,AB835=7),Z835-AA835,"")</f>
        <v>0</v>
      </c>
      <c r="J835" s="28" t="n">
        <f>IF(AND(COUNT(AF835,AG835,AH835)=3,AF835&gt;=AG835,AG835&gt;=0,AH835=14),AF835-AG835,"")</f>
        <v>0</v>
      </c>
      <c r="K835" s="28" t="n">
        <f>IF(AND(COUNT(AL835,AM835,AN835)=3,AL835&gt;=AM835,AM835&gt;=0,AN835=30),AL835-AM835,"")</f>
        <v>0</v>
      </c>
      <c r="L835" s="29" t="n">
        <f>IF(ISNUMBER(BI835),BI835/90,"")</f>
        <v>0</v>
      </c>
      <c r="M835" s="28" t="n">
        <v>3</v>
      </c>
      <c r="N835" s="28" t="n">
        <v>0</v>
      </c>
      <c r="O835" s="28" t="n">
        <v>14</v>
      </c>
      <c r="P835" s="30" t="str">
        <f>IF(AND(ISNUMBER(L835),L835&gt;0,COUNT(M835:O835)=3,MIN(M835:O835)&gt;=0),SUM(M835:O835)/L835,"")</f>
      </c>
      <c r="Q835" s="16" t="str">
        <v>沿用原计划SKU店铺</v>
      </c>
      <c r="R835" s="16" t="str">
        <v>已匹配</v>
      </c>
      <c r="S835" s="16" t="str">
        <v>在售</v>
      </c>
      <c r="T835" s="16" t="str">
        <v>9967</v>
      </c>
      <c r="U835" s="16" t="str">
        <v>棕色</v>
      </c>
      <c r="V835" s="16" t="n">
        <v>9.5</v>
      </c>
      <c r="W835" s="8" t="str">
        <v>2026-10-11 至 2026-10-17</v>
      </c>
      <c r="X835" s="8" t="str">
        <v>2026-10-11、2026-10-12、2026-10-13、2026-10-14、2026-10-15、2026-10-16、2026-10-17</v>
      </c>
      <c r="Y835" s="8" t="str">
        <v>无</v>
      </c>
      <c r="Z835" s="8" t="n">
        <v>0</v>
      </c>
      <c r="AA835" s="8" t="n">
        <v>0</v>
      </c>
      <c r="AB835" s="8" t="n">
        <v>7</v>
      </c>
      <c r="AC835" s="8" t="str">
        <v>2026-10-02 至 2026-10-17</v>
      </c>
      <c r="AD835" s="8" t="str">
        <v>2026-10-02、2026-10-03、2026-10-04、2026-10-05、2026-10-08、2026-10-09、2026-10-10、2026-10-11、2026-10-12、2026-10-13、2026-10-14、2026-10-15、2026-10-16、2026-10-17</v>
      </c>
      <c r="AE835" s="8" t="str">
        <v>2026-10-06 大促；2026-10-07 大促</v>
      </c>
      <c r="AF835" s="8" t="n">
        <v>0</v>
      </c>
      <c r="AG835" s="8" t="n">
        <v>0</v>
      </c>
      <c r="AH835" s="8" t="n">
        <v>14</v>
      </c>
      <c r="AI835" s="8" t="str">
        <v>2026-09-16 至 2026-10-17</v>
      </c>
      <c r="AJ8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5" s="8" t="str">
        <v>2026-10-06 大促；2026-10-07 大促</v>
      </c>
      <c r="AL835" s="8" t="n">
        <v>0</v>
      </c>
      <c r="AM835" s="8" t="n">
        <v>0</v>
      </c>
      <c r="AN835" s="8" t="n">
        <v>30</v>
      </c>
      <c r="AO835" s="8" t="str">
        <v>9967 / 棕色PU / 13120</v>
      </c>
      <c r="AP835" s="11" t="n">
        <v>0.624562333197096</v>
      </c>
      <c r="AQ835" s="11" t="n">
        <v>0.624562333197096</v>
      </c>
      <c r="AR835" s="11" t="n">
        <v>0.362963200567801</v>
      </c>
      <c r="AS835" s="11" t="n">
        <f>IF(AND(COUNT(I835:K835,AP835:AR835)=6,MIN(AP835:AR835)&gt;0),I835/7/AP835*0.5+J835/14/AQ835*0.3+K835/30/AR835*0.2,"")</f>
        <v>0</v>
      </c>
      <c r="AT835" s="8" t="n">
        <v>0</v>
      </c>
      <c r="AU835" s="8" t="n">
        <v>0</v>
      </c>
      <c r="AV835" s="8" t="n">
        <v>88</v>
      </c>
      <c r="AW835" s="11" t="n">
        <f>IF(AND(COUNT(AT835:AV835)=3,AT835&gt;=AU835,AU835&gt;=0,AV835&gt;0),(AT835-AU835)/AV835,"")</f>
        <v>0</v>
      </c>
      <c r="AX835" s="8" t="n">
        <v>0</v>
      </c>
      <c r="AY835" s="8" t="n">
        <v>0</v>
      </c>
      <c r="AZ835" s="8" t="n">
        <v>178</v>
      </c>
      <c r="BA835" s="11" t="n">
        <f>IF(AND(COUNT(AX835:AZ835)=3,AX835&gt;=AY835,AY835&gt;=0,AZ835&gt;0),(AX835-AY835)/AZ835,"")</f>
        <v>0</v>
      </c>
      <c r="BB835" s="8" t="n">
        <f>IF(COUNT(AS835,AW835,BA835)=3,1,0)</f>
        <v>1</v>
      </c>
      <c r="BC835" s="11" t="n">
        <f>IF(SUMIF($AO$11:$AO$1309,AO835,$BB$11:$BB$1309)=COUNTIF($AO$11:$AO$1309,AO835),SUMIF($AO$11:$AO$1309,AO835,$AS$11:$AS$1309),"")</f>
        <v>0.3359398979448723</v>
      </c>
      <c r="BD835" s="11" t="n">
        <f>IF(SUMIF($AO$11:$AO$1309,AO835,$BB$11:$BB$1309)=COUNTIF($AO$11:$AO$1309,AO835),SUMIF($AO$11:$AO$1309,AO835,$AW$11:$AW$1309),"")</f>
        <v>0.022988505747126436</v>
      </c>
      <c r="BE835" s="11" t="n">
        <f>IF(SUMIF($AO$11:$AO$1309,AO835,$BB$11:$BB$1309)=COUNTIF($AO$11:$AO$1309,AO835),SUMIF($AO$11:$AO$1309,AO835,$BA$11:$BA$1309),"")</f>
        <v>0.01694915254237288</v>
      </c>
      <c r="BF835" s="12" t="n">
        <f>IF(COUNT(BD835:BE835)&lt;&gt;2,"",IF(AND(BD835&gt;0,BE835&gt;0),0.7*AW835/BD835+0.3*BA835/BE835,IF(BD835&gt;0,AW835/BD835,IF(BE835&gt;0,BA835/BE835,IF(AND(ISNUMBER(BH835),BH835=0),0,"")))))</f>
        <v>0</v>
      </c>
      <c r="BG835" s="11" t="n">
        <f>IF(AND(COUNT(BN835:BU835)=8,MIN(BN835:BU835)&gt;=0),SUMPRODUCT(BN835:BQ835,BR835:BU835),"")</f>
        <v>251.82999335153164</v>
      </c>
      <c r="BH835" s="11" t="n">
        <f>IF(COUNT(BC835,BG835)=2,BC835*BG835,"")</f>
        <v>84.5997422659714</v>
      </c>
      <c r="BI835" s="11" t="n">
        <f>IF(ISNUMBER(CI835),CI835,"")</f>
        <v>0</v>
      </c>
      <c r="BJ835" s="8" t="str"/>
      <c r="BK835" s="8" t="str">
        <v>90天：2026-07-20 至 2026-10-17；180天：2026-04-21 至 2026-10-17</v>
      </c>
      <c r="BL835" s="8" t="str">
        <v>90天：2026-10-06、2026-10-07；180天：2026-10-06、2026-10-07</v>
      </c>
      <c r="BM835" s="8" t="str">
        <v>2026-10：12天 × 0.624562333197096；2026-11：30天 × 2.028100514629496；2026-12：31天 × 4.058791976082533；2027-01：17天 × 3.3923340385719465</v>
      </c>
      <c r="BN835" s="11" t="n">
        <v>0.624562333197096</v>
      </c>
      <c r="BO835" s="11" t="n">
        <v>2.028100514629496</v>
      </c>
      <c r="BP835" s="11" t="n">
        <v>4.058791976082533</v>
      </c>
      <c r="BQ835" s="11" t="n">
        <v>3.3923340385719465</v>
      </c>
      <c r="BR835" s="8" t="n">
        <v>12</v>
      </c>
      <c r="BS835" s="8" t="n">
        <v>30</v>
      </c>
      <c r="BT835" s="8" t="n">
        <v>31</v>
      </c>
      <c r="BU835" s="8" t="n">
        <v>17</v>
      </c>
      <c r="BV835" s="11" t="n">
        <f>IF(COUNT(BC835,BF835)=2,BC835*BF835,"")</f>
        <v>0</v>
      </c>
      <c r="BW835" s="11" t="n">
        <f>IF(ISNUMBER(BN835),BN835,"")</f>
        <v>0.624562333197096</v>
      </c>
      <c r="BX835" s="14" t="n">
        <f>IF(ISNUMBER(BR835),BR835,"")</f>
        <v>12</v>
      </c>
      <c r="BY835" s="13" t="n">
        <f>IF(AND(COUNT(BV835,BW835,BX835)=3,MIN(BV835,BW835,BX835)&gt;=0),BV835*BW835*BX835,"")</f>
        <v>0</v>
      </c>
      <c r="BZ835" s="11" t="n">
        <f>IF(ISNUMBER(BO835),BO835,"")</f>
        <v>2.028100514629496</v>
      </c>
      <c r="CA835" s="14" t="n">
        <f>IF(ISNUMBER(BS835),BS835,"")</f>
        <v>30</v>
      </c>
      <c r="CB835" s="13" t="n">
        <f>IF(AND(COUNT(BV835,BZ835,CA835)=3,MIN(BV835,BZ835,CA835)&gt;=0),BV835*BZ835*CA835,"")</f>
        <v>0</v>
      </c>
      <c r="CC835" s="11" t="n">
        <f>IF(ISNUMBER(BP835),BP835,"")</f>
        <v>4.058791976082533</v>
      </c>
      <c r="CD835" s="14" t="n">
        <f>IF(ISNUMBER(BT835),BT835,"")</f>
        <v>31</v>
      </c>
      <c r="CE835" s="13" t="n">
        <f>IF(AND(COUNT(BV835,CC835,CD835)=3,MIN(BV835,CC835,CD835)&gt;=0),BV835*CC835*CD835,"")</f>
        <v>0</v>
      </c>
      <c r="CF835" s="11" t="n">
        <f>IF(ISNUMBER(BQ835),BQ835,"")</f>
        <v>3.3923340385719465</v>
      </c>
      <c r="CG835" s="14" t="n">
        <f>IF(ISNUMBER(BU835),BU835,"")</f>
        <v>17</v>
      </c>
      <c r="CH835" s="13" t="n">
        <f>IF(AND(COUNT(BV835,CF835,CG835)=3,MIN(BV835,CF835,CG835)&gt;=0),BV835*CF835*CG835,"")</f>
        <v>0</v>
      </c>
      <c r="CI835" s="13" t="n">
        <f>IF(COUNT(BY835,CB835,CE835,CH835)=4,SUM(BY835,CB835,CE835,CH835),"")</f>
        <v>0</v>
      </c>
    </row>
    <row r="836" ht="72" customHeight="1">
      <c r="A836" s="16" t="str">
        <v>9967-CT-42</v>
      </c>
      <c r="B836" s="16" t="str">
        <v>1店-MUSSHOE-US</v>
      </c>
      <c r="C836" s="16" t="str">
        <v>徐新怡</v>
      </c>
      <c r="D836" s="26" t="n">
        <f>IF(NOT(ISNUMBER(E836)),"",IF(OR(E836&lt;=0,L836=0),0,IF(OR(NOT(ISNUMBER(F836)),F836&lt;0),"",MIN(E836,INT(F836)))))</f>
        <v>0</v>
      </c>
      <c r="E836" s="27" t="n">
        <f>IF(OR(NOT(ISNUMBER(L836)),COUNT(M836:O836)&lt;&gt;3,MIN(M836:O836)&lt;0),"",ROUNDUP(ROUND(BI836-SUM(M836:O836),10),0))</f>
        <v>-13</v>
      </c>
      <c r="F836" s="28" t="n">
        <v>0</v>
      </c>
      <c r="G836" s="28" t="n">
        <f>IF(AND(ISNUMBER(D836),ISNUMBER(E836)),IF(OR(E836&lt;=0,L836=0),0,E836-D836),"")</f>
        <v>0</v>
      </c>
      <c r="H836" s="16" t="str">
        <f>IF(NOT(ISNUMBER(E836)),"销量或海外库存待补",IF(OR(E836&lt;=0,L836=0),IF(L836=0,"零日销，本批不发","本批无需补货"),IF(NOT(ISNUMBER(D836)),"国内库存待补",IF(D836=0,"国内无可用库存",IF(G836&gt;0,"先发国内现货","按建议量发货")))))</f>
        <v>零日销，本批不发</v>
      </c>
      <c r="I836" s="28" t="n">
        <f>IF(AND(COUNT(Z836,AA836,AB836)=3,Z836&gt;=AA836,AA836&gt;=0,AB836=7),Z836-AA836,"")</f>
        <v>0</v>
      </c>
      <c r="J836" s="28" t="n">
        <f>IF(AND(COUNT(AF836,AG836,AH836)=3,AF836&gt;=AG836,AG836&gt;=0,AH836=14),AF836-AG836,"")</f>
        <v>0</v>
      </c>
      <c r="K836" s="28" t="n">
        <f>IF(AND(COUNT(AL836,AM836,AN836)=3,AL836&gt;=AM836,AM836&gt;=0,AN836=30),AL836-AM836,"")</f>
        <v>0</v>
      </c>
      <c r="L836" s="29" t="n">
        <f>IF(ISNUMBER(BI836),BI836/90,"")</f>
        <v>0</v>
      </c>
      <c r="M836" s="28" t="n">
        <v>1</v>
      </c>
      <c r="N836" s="28" t="n">
        <v>0</v>
      </c>
      <c r="O836" s="28" t="n">
        <v>12</v>
      </c>
      <c r="P836" s="30" t="str">
        <f>IF(AND(ISNUMBER(L836),L836&gt;0,COUNT(M836:O836)=3,MIN(M836:O836)&gt;=0),SUM(M836:O836)/L836,"")</f>
      </c>
      <c r="Q836" s="16" t="str">
        <v>沿用原计划SKU店铺</v>
      </c>
      <c r="R836" s="16" t="str">
        <v>已匹配</v>
      </c>
      <c r="S836" s="16" t="str">
        <v>在售</v>
      </c>
      <c r="T836" s="16" t="str">
        <v>9967</v>
      </c>
      <c r="U836" s="16" t="str">
        <v>棕色</v>
      </c>
      <c r="V836" s="16" t="n">
        <v>10</v>
      </c>
      <c r="W836" s="8" t="str">
        <v>2026-10-10 至 2026-10-17</v>
      </c>
      <c r="X836" s="8" t="str">
        <v>2026-10-10、2026-10-11、2026-10-13、2026-10-14、2026-10-15、2026-10-16、2026-10-17</v>
      </c>
      <c r="Y836" s="8" t="str">
        <v>2026-10-12 有记录的停售日</v>
      </c>
      <c r="Z836" s="8" t="n">
        <v>0</v>
      </c>
      <c r="AA836" s="8" t="n">
        <v>0</v>
      </c>
      <c r="AB836" s="8" t="n">
        <v>7</v>
      </c>
      <c r="AC836" s="8" t="str">
        <v>2026-10-01 至 2026-10-17</v>
      </c>
      <c r="AD836" s="8" t="str">
        <v>2026-10-01、2026-10-02、2026-10-03、2026-10-04、2026-10-05、2026-10-08、2026-10-09、2026-10-10、2026-10-11、2026-10-13、2026-10-14、2026-10-15、2026-10-16、2026-10-17</v>
      </c>
      <c r="AE836" s="8" t="str">
        <v>2026-10-06 大促；2026-10-07 大促；2026-10-12 有记录的停售日</v>
      </c>
      <c r="AF836" s="8" t="n">
        <v>0</v>
      </c>
      <c r="AG836" s="8" t="n">
        <v>0</v>
      </c>
      <c r="AH836" s="8" t="n">
        <v>14</v>
      </c>
      <c r="AI836" s="8" t="str">
        <v>2026-09-15 至 2026-10-17</v>
      </c>
      <c r="AJ836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-13、2026-10-14、2026-10-15、2026-10-16、2026-10-17</v>
      </c>
      <c r="AK836" s="8" t="str">
        <v>2026-10-06 大促；2026-10-07 大促；2026-10-12 有记录的停售日</v>
      </c>
      <c r="AL836" s="8" t="n">
        <v>0</v>
      </c>
      <c r="AM836" s="8" t="n">
        <v>0</v>
      </c>
      <c r="AN836" s="8" t="n">
        <v>30</v>
      </c>
      <c r="AO836" s="8" t="str">
        <v>9967 / 棕色PU / 13120</v>
      </c>
      <c r="AP836" s="11" t="n">
        <v>0.624562333197096</v>
      </c>
      <c r="AQ836" s="11" t="n">
        <v>0.624562333197096</v>
      </c>
      <c r="AR836" s="11" t="n">
        <v>0.3455232583925147</v>
      </c>
      <c r="AS836" s="11" t="n">
        <f>IF(AND(COUNT(I836:K836,AP836:AR836)=6,MIN(AP836:AR836)&gt;0),I836/7/AP836*0.5+J836/14/AQ836*0.3+K836/30/AR836*0.2,"")</f>
        <v>0</v>
      </c>
      <c r="AT836" s="8" t="n">
        <v>0</v>
      </c>
      <c r="AU836" s="8" t="n">
        <v>0</v>
      </c>
      <c r="AV836" s="8" t="n">
        <v>87</v>
      </c>
      <c r="AW836" s="11" t="n">
        <f>IF(AND(COUNT(AT836:AV836)=3,AT836&gt;=AU836,AU836&gt;=0,AV836&gt;0),(AT836-AU836)/AV836,"")</f>
        <v>0</v>
      </c>
      <c r="AX836" s="8" t="n">
        <v>0</v>
      </c>
      <c r="AY836" s="8" t="n">
        <v>0</v>
      </c>
      <c r="AZ836" s="8" t="n">
        <v>177</v>
      </c>
      <c r="BA836" s="11" t="n">
        <f>IF(AND(COUNT(AX836:AZ836)=3,AX836&gt;=AY836,AY836&gt;=0,AZ836&gt;0),(AX836-AY836)/AZ836,"")</f>
        <v>0</v>
      </c>
      <c r="BB836" s="8" t="n">
        <f>IF(COUNT(AS836,AW836,BA836)=3,1,0)</f>
        <v>1</v>
      </c>
      <c r="BC836" s="11" t="n">
        <f>IF(SUMIF($AO$11:$AO$1309,AO836,$BB$11:$BB$1309)=COUNTIF($AO$11:$AO$1309,AO836),SUMIF($AO$11:$AO$1309,AO836,$AS$11:$AS$1309),"")</f>
        <v>0.3359398979448723</v>
      </c>
      <c r="BD836" s="11" t="n">
        <f>IF(SUMIF($AO$11:$AO$1309,AO836,$BB$11:$BB$1309)=COUNTIF($AO$11:$AO$1309,AO836),SUMIF($AO$11:$AO$1309,AO836,$AW$11:$AW$1309),"")</f>
        <v>0.022988505747126436</v>
      </c>
      <c r="BE836" s="11" t="n">
        <f>IF(SUMIF($AO$11:$AO$1309,AO836,$BB$11:$BB$1309)=COUNTIF($AO$11:$AO$1309,AO836),SUMIF($AO$11:$AO$1309,AO836,$BA$11:$BA$1309),"")</f>
        <v>0.01694915254237288</v>
      </c>
      <c r="BF836" s="12" t="n">
        <f>IF(COUNT(BD836:BE836)&lt;&gt;2,"",IF(AND(BD836&gt;0,BE836&gt;0),0.7*AW836/BD836+0.3*BA836/BE836,IF(BD836&gt;0,AW836/BD836,IF(BE836&gt;0,BA836/BE836,IF(AND(ISNUMBER(BH836),BH836=0),0,"")))))</f>
        <v>0</v>
      </c>
      <c r="BG836" s="11" t="n">
        <f>IF(AND(COUNT(BN836:BU836)=8,MIN(BN836:BU836)&gt;=0),SUMPRODUCT(BN836:BQ836,BR836:BU836),"")</f>
        <v>251.82999335153164</v>
      </c>
      <c r="BH836" s="11" t="n">
        <f>IF(COUNT(BC836,BG836)=2,BC836*BG836,"")</f>
        <v>84.5997422659714</v>
      </c>
      <c r="BI836" s="11" t="n">
        <f>IF(ISNUMBER(CI836),CI836,"")</f>
        <v>0</v>
      </c>
      <c r="BJ836" s="8" t="str"/>
      <c r="BK836" s="8" t="str">
        <v>90天：2026-07-20 至 2026-10-17；180天：2026-04-21 至 2026-10-17</v>
      </c>
      <c r="BL836" s="8" t="str">
        <v>90天：2026-10-06、2026-10-07、2026-10-12；180天：2026-10-06、2026-10-07、2026-10-12</v>
      </c>
      <c r="BM836" s="8" t="str">
        <v>2026-10：12天 × 0.624562333197096；2026-11：30天 × 2.028100514629496；2026-12：31天 × 4.058791976082533；2027-01：17天 × 3.3923340385719465</v>
      </c>
      <c r="BN836" s="11" t="n">
        <v>0.624562333197096</v>
      </c>
      <c r="BO836" s="11" t="n">
        <v>2.028100514629496</v>
      </c>
      <c r="BP836" s="11" t="n">
        <v>4.058791976082533</v>
      </c>
      <c r="BQ836" s="11" t="n">
        <v>3.3923340385719465</v>
      </c>
      <c r="BR836" s="8" t="n">
        <v>12</v>
      </c>
      <c r="BS836" s="8" t="n">
        <v>30</v>
      </c>
      <c r="BT836" s="8" t="n">
        <v>31</v>
      </c>
      <c r="BU836" s="8" t="n">
        <v>17</v>
      </c>
      <c r="BV836" s="11" t="n">
        <f>IF(COUNT(BC836,BF836)=2,BC836*BF836,"")</f>
        <v>0</v>
      </c>
      <c r="BW836" s="11" t="n">
        <f>IF(ISNUMBER(BN836),BN836,"")</f>
        <v>0.624562333197096</v>
      </c>
      <c r="BX836" s="14" t="n">
        <f>IF(ISNUMBER(BR836),BR836,"")</f>
        <v>12</v>
      </c>
      <c r="BY836" s="13" t="n">
        <f>IF(AND(COUNT(BV836,BW836,BX836)=3,MIN(BV836,BW836,BX836)&gt;=0),BV836*BW836*BX836,"")</f>
        <v>0</v>
      </c>
      <c r="BZ836" s="11" t="n">
        <f>IF(ISNUMBER(BO836),BO836,"")</f>
        <v>2.028100514629496</v>
      </c>
      <c r="CA836" s="14" t="n">
        <f>IF(ISNUMBER(BS836),BS836,"")</f>
        <v>30</v>
      </c>
      <c r="CB836" s="13" t="n">
        <f>IF(AND(COUNT(BV836,BZ836,CA836)=3,MIN(BV836,BZ836,CA836)&gt;=0),BV836*BZ836*CA836,"")</f>
        <v>0</v>
      </c>
      <c r="CC836" s="11" t="n">
        <f>IF(ISNUMBER(BP836),BP836,"")</f>
        <v>4.058791976082533</v>
      </c>
      <c r="CD836" s="14" t="n">
        <f>IF(ISNUMBER(BT836),BT836,"")</f>
        <v>31</v>
      </c>
      <c r="CE836" s="13" t="n">
        <f>IF(AND(COUNT(BV836,CC836,CD836)=3,MIN(BV836,CC836,CD836)&gt;=0),BV836*CC836*CD836,"")</f>
        <v>0</v>
      </c>
      <c r="CF836" s="11" t="n">
        <f>IF(ISNUMBER(BQ836),BQ836,"")</f>
        <v>3.3923340385719465</v>
      </c>
      <c r="CG836" s="14" t="n">
        <f>IF(ISNUMBER(BU836),BU836,"")</f>
        <v>17</v>
      </c>
      <c r="CH836" s="13" t="n">
        <f>IF(AND(COUNT(BV836,CF836,CG836)=3,MIN(BV836,CF836,CG836)&gt;=0),BV836*CF836*CG836,"")</f>
        <v>0</v>
      </c>
      <c r="CI836" s="13" t="n">
        <f>IF(COUNT(BY836,CB836,CE836,CH836)=4,SUM(BY836,CB836,CE836,CH836),"")</f>
        <v>0</v>
      </c>
    </row>
    <row r="837" ht="72" customHeight="1">
      <c r="A837" s="16" t="str">
        <v>9967-GY-37</v>
      </c>
      <c r="B837" s="16" t="str">
        <v>1店-MUSSHOE-US</v>
      </c>
      <c r="C837" s="16" t="str">
        <v>徐新怡</v>
      </c>
      <c r="D837" s="26" t="n">
        <f>IF(NOT(ISNUMBER(E837)),"",IF(OR(E837&lt;=0,L837=0),0,IF(OR(NOT(ISNUMBER(F837)),F837&lt;0),"",MIN(E837,INT(F837)))))</f>
        <v>0</v>
      </c>
      <c r="E837" s="27" t="n">
        <f>IF(OR(NOT(ISNUMBER(L837)),COUNT(M837:O837)&lt;&gt;3,MIN(M837:O837)&lt;0),"",ROUNDUP(ROUND(BI837-SUM(M837:O837),10),0))</f>
        <v>-1</v>
      </c>
      <c r="F837" s="28" t="n">
        <v>3</v>
      </c>
      <c r="G837" s="28" t="n">
        <f>IF(AND(ISNUMBER(D837),ISNUMBER(E837)),IF(OR(E837&lt;=0,L837=0),0,E837-D837),"")</f>
        <v>0</v>
      </c>
      <c r="H837" s="16" t="str">
        <f>IF(NOT(ISNUMBER(E837)),"销量或海外库存待补",IF(OR(E837&lt;=0,L837=0),IF(L837=0,"零日销，本批不发","本批无需补货"),IF(NOT(ISNUMBER(D837)),"国内库存待补",IF(D837=0,"国内无可用库存",IF(G837&gt;0,"先发国内现货","按建议量发货")))))</f>
        <v>零日销，本批不发</v>
      </c>
      <c r="I837" s="28" t="n">
        <f>IF(AND(COUNT(Z837,AA837,AB837)=3,Z837&gt;=AA837,AA837&gt;=0,AB837=7),Z837-AA837,"")</f>
        <v>0</v>
      </c>
      <c r="J837" s="28" t="n">
        <f>IF(AND(COUNT(AF837,AG837,AH837)=3,AF837&gt;=AG837,AG837&gt;=0,AH837=14),AF837-AG837,"")</f>
        <v>0</v>
      </c>
      <c r="K837" s="28" t="n">
        <f>IF(AND(COUNT(AL837,AM837,AN837)=3,AL837&gt;=AM837,AM837&gt;=0,AN837=30),AL837-AM837,"")</f>
        <v>0</v>
      </c>
      <c r="L837" s="29" t="n">
        <f>IF(ISNUMBER(BI837),BI837/90,"")</f>
        <v>0</v>
      </c>
      <c r="M837" s="28" t="n">
        <v>1</v>
      </c>
      <c r="N837" s="28" t="n">
        <v>0</v>
      </c>
      <c r="O837" s="28" t="n">
        <v>0</v>
      </c>
      <c r="P837" s="30" t="str">
        <f>IF(AND(ISNUMBER(L837),L837&gt;0,COUNT(M837:O837)=3,MIN(M837:O837)&gt;=0),SUM(M837:O837)/L837,"")</f>
      </c>
      <c r="Q837" s="16" t="str">
        <v>按本SKU唯一未删除Listing店铺核实</v>
      </c>
      <c r="R837" s="16" t="str">
        <v>已匹配</v>
      </c>
      <c r="S837" s="16" t="str">
        <v>在售</v>
      </c>
      <c r="T837" s="16" t="str">
        <v>9967</v>
      </c>
      <c r="U837" s="16" t="str">
        <v>灰色</v>
      </c>
      <c r="V837" s="16" t="n">
        <v>6</v>
      </c>
      <c r="W837" s="8" t="str">
        <v>2026-10-11 至 2026-10-17</v>
      </c>
      <c r="X837" s="8" t="str">
        <v>2026-10-11、2026-10-12、2026-10-13、2026-10-14、2026-10-15、2026-10-16、2026-10-17</v>
      </c>
      <c r="Y837" s="8" t="str">
        <v>无</v>
      </c>
      <c r="Z837" s="8" t="n">
        <v>0</v>
      </c>
      <c r="AA837" s="8" t="n">
        <v>0</v>
      </c>
      <c r="AB837" s="8" t="n">
        <v>7</v>
      </c>
      <c r="AC837" s="8" t="str">
        <v>2026-10-02 至 2026-10-17</v>
      </c>
      <c r="AD837" s="8" t="str">
        <v>2026-10-02、2026-10-03、2026-10-04、2026-10-05、2026-10-08、2026-10-09、2026-10-10、2026-10-11、2026-10-12、2026-10-13、2026-10-14、2026-10-15、2026-10-16、2026-10-17</v>
      </c>
      <c r="AE837" s="8" t="str">
        <v>2026-10-06 大促；2026-10-07 大促</v>
      </c>
      <c r="AF837" s="8" t="n">
        <v>0</v>
      </c>
      <c r="AG837" s="8" t="n">
        <v>0</v>
      </c>
      <c r="AH837" s="8" t="n">
        <v>14</v>
      </c>
      <c r="AI837" s="8" t="str">
        <v>2026-09-16 至 2026-10-17</v>
      </c>
      <c r="AJ8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37" s="8" t="str">
        <v>2026-10-06 大促；2026-10-07 大促</v>
      </c>
      <c r="AL837" s="8" t="n">
        <v>0</v>
      </c>
      <c r="AM837" s="8" t="n">
        <v>0</v>
      </c>
      <c r="AN837" s="8" t="n">
        <v>30</v>
      </c>
      <c r="AO837" s="8" t="str">
        <v>9967 / 灰色PU / 13120</v>
      </c>
      <c r="AP837" s="11" t="n">
        <v>0.624562333197096</v>
      </c>
      <c r="AQ837" s="11" t="n">
        <v>0.624562333197096</v>
      </c>
      <c r="AR837" s="11" t="n">
        <v>0.362963200567801</v>
      </c>
      <c r="AS837" s="11" t="n">
        <f>IF(AND(COUNT(I837:K837,AP837:AR837)=6,MIN(AP837:AR837)&gt;0),I837/7/AP837*0.5+J837/14/AQ837*0.3+K837/30/AR837*0.2,"")</f>
        <v>0</v>
      </c>
      <c r="AT837" s="8" t="n">
        <v>0</v>
      </c>
      <c r="AU837" s="8" t="n">
        <v>0</v>
      </c>
      <c r="AV837" s="8" t="n">
        <v>88</v>
      </c>
      <c r="AW837" s="11" t="n">
        <f>IF(AND(COUNT(AT837:AV837)=3,AT837&gt;=AU837,AU837&gt;=0,AV837&gt;0),(AT837-AU837)/AV837,"")</f>
        <v>0</v>
      </c>
      <c r="AX837" s="8" t="n">
        <v>0</v>
      </c>
      <c r="AY837" s="8" t="n">
        <v>0</v>
      </c>
      <c r="AZ837" s="8" t="n">
        <v>178</v>
      </c>
      <c r="BA837" s="11" t="n">
        <f>IF(AND(COUNT(AX837:AZ837)=3,AX837&gt;=AY837,AY837&gt;=0,AZ837&gt;0),(AX837-AY837)/AZ837,"")</f>
        <v>0</v>
      </c>
      <c r="BB837" s="8" t="n">
        <f>IF(COUNT(AS837,AW837,BA837)=3,1,0)</f>
        <v>1</v>
      </c>
      <c r="BC837" s="11" t="n">
        <f>IF(SUMIF($AO$11:$AO$1309,AO837,$BB$11:$BB$1309)=COUNTIF($AO$11:$AO$1309,AO837),SUMIF($AO$11:$AO$1309,AO837,$AS$11:$AS$1309),"")</f>
        <v>0.018367334915048345</v>
      </c>
      <c r="BD837" s="11" t="n">
        <f>IF(SUMIF($AO$11:$AO$1309,AO837,$BB$11:$BB$1309)=COUNTIF($AO$11:$AO$1309,AO837),SUMIF($AO$11:$AO$1309,AO837,$AW$11:$AW$1309),"")</f>
        <v>0.011363636363636364</v>
      </c>
      <c r="BE837" s="11" t="n">
        <f>IF(SUMIF($AO$11:$AO$1309,AO837,$BB$11:$BB$1309)=COUNTIF($AO$11:$AO$1309,AO837),SUMIF($AO$11:$AO$1309,AO837,$BA$11:$BA$1309),"")</f>
        <v>0.0056179775280898875</v>
      </c>
      <c r="BF837" s="12" t="n">
        <f>IF(COUNT(BD837:BE837)&lt;&gt;2,"",IF(AND(BD837&gt;0,BE837&gt;0),0.7*AW837/BD837+0.3*BA837/BE837,IF(BD837&gt;0,AW837/BD837,IF(BE837&gt;0,BA837/BE837,IF(AND(ISNUMBER(BH837),BH837=0),0,"")))))</f>
        <v>0</v>
      </c>
      <c r="BG837" s="11" t="n">
        <f>IF(AND(COUNT(BN837:BU837)=8,MIN(BN837:BU837)&gt;=0),SUMPRODUCT(BN837:BQ837,BR837:BU837),"")</f>
        <v>251.82999335153164</v>
      </c>
      <c r="BH837" s="11" t="n">
        <f>IF(COUNT(BC837,BG837)=2,BC837*BG837,"")</f>
        <v>4.62544582954198</v>
      </c>
      <c r="BI837" s="11" t="n">
        <f>IF(ISNUMBER(CI837),CI837,"")</f>
        <v>0</v>
      </c>
      <c r="BJ837" s="8" t="str"/>
      <c r="BK837" s="8" t="str">
        <v>90天：2026-07-20 至 2026-10-17；180天：2026-04-21 至 2026-10-17</v>
      </c>
      <c r="BL837" s="8" t="str">
        <v>90天：2026-10-06、2026-10-07；180天：2026-10-06、2026-10-07</v>
      </c>
      <c r="BM837" s="8" t="str">
        <v>2026-10：12天 × 0.624562333197096；2026-11：30天 × 2.028100514629496；2026-12：31天 × 4.058791976082533；2027-01：17天 × 3.3923340385719465</v>
      </c>
      <c r="BN837" s="11" t="n">
        <v>0.624562333197096</v>
      </c>
      <c r="BO837" s="11" t="n">
        <v>2.028100514629496</v>
      </c>
      <c r="BP837" s="11" t="n">
        <v>4.058791976082533</v>
      </c>
      <c r="BQ837" s="11" t="n">
        <v>3.3923340385719465</v>
      </c>
      <c r="BR837" s="8" t="n">
        <v>12</v>
      </c>
      <c r="BS837" s="8" t="n">
        <v>30</v>
      </c>
      <c r="BT837" s="8" t="n">
        <v>31</v>
      </c>
      <c r="BU837" s="8" t="n">
        <v>17</v>
      </c>
      <c r="BV837" s="11" t="n">
        <f>IF(COUNT(BC837,BF837)=2,BC837*BF837,"")</f>
        <v>0</v>
      </c>
      <c r="BW837" s="11" t="n">
        <f>IF(ISNUMBER(BN837),BN837,"")</f>
        <v>0.624562333197096</v>
      </c>
      <c r="BX837" s="14" t="n">
        <f>IF(ISNUMBER(BR837),BR837,"")</f>
        <v>12</v>
      </c>
      <c r="BY837" s="13" t="n">
        <f>IF(AND(COUNT(BV837,BW837,BX837)=3,MIN(BV837,BW837,BX837)&gt;=0),BV837*BW837*BX837,"")</f>
        <v>0</v>
      </c>
      <c r="BZ837" s="11" t="n">
        <f>IF(ISNUMBER(BO837),BO837,"")</f>
        <v>2.028100514629496</v>
      </c>
      <c r="CA837" s="14" t="n">
        <f>IF(ISNUMBER(BS837),BS837,"")</f>
        <v>30</v>
      </c>
      <c r="CB837" s="13" t="n">
        <f>IF(AND(COUNT(BV837,BZ837,CA837)=3,MIN(BV837,BZ837,CA837)&gt;=0),BV837*BZ837*CA837,"")</f>
        <v>0</v>
      </c>
      <c r="CC837" s="11" t="n">
        <f>IF(ISNUMBER(BP837),BP837,"")</f>
        <v>4.058791976082533</v>
      </c>
      <c r="CD837" s="14" t="n">
        <f>IF(ISNUMBER(BT837),BT837,"")</f>
        <v>31</v>
      </c>
      <c r="CE837" s="13" t="n">
        <f>IF(AND(COUNT(BV837,CC837,CD837)=3,MIN(BV837,CC837,CD837)&gt;=0),BV837*CC837*CD837,"")</f>
        <v>0</v>
      </c>
      <c r="CF837" s="11" t="n">
        <f>IF(ISNUMBER(BQ837),BQ837,"")</f>
        <v>3.3923340385719465</v>
      </c>
      <c r="CG837" s="14" t="n">
        <f>IF(ISNUMBER(BU837),BU837,"")</f>
        <v>17</v>
      </c>
      <c r="CH837" s="13" t="n">
        <f>IF(AND(COUNT(BV837,CF837,CG837)=3,MIN(BV837,CF837,CG837)&gt;=0),BV837*CF837*CG837,"")</f>
        <v>0</v>
      </c>
      <c r="CI837" s="13" t="n">
        <f>IF(COUNT(BY837,CB837,CE837,CH837)=4,SUM(BY837,CB837,CE837,CH837),"")</f>
        <v>0</v>
      </c>
    </row>
    <row r="838" ht="72" customHeight="1">
      <c r="A838" s="16" t="str">
        <v>9967-GY-39B</v>
      </c>
      <c r="B838" s="16" t="str">
        <v>1店-MUSSHOE-US</v>
      </c>
      <c r="C838" s="16" t="str">
        <v>徐新怡</v>
      </c>
      <c r="D838" s="26" t="n">
        <f>IF(NOT(ISNUMBER(E838)),"",IF(OR(E838&lt;=0,L838=0),0,IF(OR(NOT(ISNUMBER(F838)),F838&lt;0),"",MIN(E838,INT(F838)))))</f>
        <v>0</v>
      </c>
      <c r="E838" s="27" t="n">
        <f>IF(OR(NOT(ISNUMBER(L838)),COUNT(M838:O838)&lt;&gt;3,MIN(M838:O838)&lt;0),"",ROUNDUP(ROUND(BI838-SUM(M838:O838),10),0))</f>
        <v>0</v>
      </c>
      <c r="F838" s="28" t="n">
        <v>6</v>
      </c>
      <c r="G838" s="28" t="n">
        <f>IF(AND(ISNUMBER(D838),ISNUMBER(E838)),IF(OR(E838&lt;=0,L838=0),0,E838-D838),"")</f>
        <v>0</v>
      </c>
      <c r="H838" s="16" t="str">
        <f>IF(NOT(ISNUMBER(E838)),"销量或海外库存待补",IF(OR(E838&lt;=0,L838=0),IF(L838=0,"零日销，本批不发","本批无需补货"),IF(NOT(ISNUMBER(D838)),"国内库存待补",IF(D838=0,"国内无可用库存",IF(G838&gt;0,"先发国内现货","按建议量发货")))))</f>
        <v>零日销，本批不发</v>
      </c>
      <c r="I838" s="28" t="n">
        <f>IF(AND(COUNT(Z838,AA838,AB838)=3,Z838&gt;=AA838,AA838&gt;=0,AB838=7),Z838-AA838,"")</f>
        <v>0</v>
      </c>
      <c r="J838" s="28" t="n">
        <f>IF(AND(COUNT(AF838,AG838,AH838)=3,AF838&gt;=AG838,AG838&gt;=0,AH838=14),AF838-AG838,"")</f>
        <v>0</v>
      </c>
      <c r="K838" s="28" t="n">
        <f>IF(AND(COUNT(AL838,AM838,AN838)=3,AL838&gt;=AM838,AM838&gt;=0,AN838=30),AL838-AM838,"")</f>
        <v>0</v>
      </c>
      <c r="L838" s="29" t="n">
        <f>IF(ISNUMBER(BI838),BI838/90,"")</f>
        <v>0</v>
      </c>
      <c r="M838" s="28" t="n">
        <v>0</v>
      </c>
      <c r="N838" s="28" t="n">
        <v>0</v>
      </c>
      <c r="O838" s="28" t="n">
        <v>0</v>
      </c>
      <c r="P838" s="30" t="str">
        <f>IF(AND(ISNUMBER(L838),L838&gt;0,COUNT(M838:O838)=3,MIN(M838:O838)&gt;=0),SUM(M838:O838)/L838,"")</f>
      </c>
      <c r="Q838" s="16" t="str">
        <v>按本SKU唯一未删除Listing店铺核实</v>
      </c>
      <c r="R838" s="16" t="str">
        <v>已匹配</v>
      </c>
      <c r="S838" s="16" t="str">
        <v>停售</v>
      </c>
      <c r="T838" s="16" t="str">
        <v>9967</v>
      </c>
      <c r="U838" s="16" t="str">
        <v>灰色</v>
      </c>
      <c r="V838" s="16" t="n">
        <v>8</v>
      </c>
      <c r="W838" s="8" t="str">
        <v>2026-10-08 至 2026-10-17</v>
      </c>
      <c r="X838" s="8" t="str">
        <v>2026-10-08、2026-10-09、2026-10-10、2026-10-11、2026-10-14、2026-10-15、2026-10-17</v>
      </c>
      <c r="Y838" s="8" t="str">
        <v>2026-10-12 有记录的停售日；2026-10-13 有记录的停售日；2026-10-16 有记录的停售日</v>
      </c>
      <c r="Z838" s="8" t="n">
        <v>0</v>
      </c>
      <c r="AA838" s="8" t="n">
        <v>0</v>
      </c>
      <c r="AB838" s="8" t="n">
        <v>7</v>
      </c>
      <c r="AC838" s="8" t="str">
        <v>2026-09-29 至 2026-10-17</v>
      </c>
      <c r="AD838" s="8" t="str">
        <v>2026-09-29、2026-09-30、2026-10-01、2026-10-02、2026-10-03、2026-10-04、2026-10-05、2026-10-08、2026-10-09、2026-10-10、2026-10-11、2026-10-14、2026-10-15、2026-10-17</v>
      </c>
      <c r="AE838" s="8" t="str">
        <v>2026-10-06 大促；2026-10-07 大促；2026-10-12 有记录的停售日；2026-10-13 有记录的停售日；2026-10-16 有记录的停售日</v>
      </c>
      <c r="AF838" s="8" t="n">
        <v>0</v>
      </c>
      <c r="AG838" s="8" t="n">
        <v>0</v>
      </c>
      <c r="AH838" s="8" t="n">
        <v>14</v>
      </c>
      <c r="AI838" s="8" t="str">
        <v>2026-09-13 至 2026-10-17</v>
      </c>
      <c r="AJ83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38" s="8" t="str">
        <v>2026-10-06 大促；2026-10-07 大促；2026-10-12 有记录的停售日；2026-10-13 有记录的停售日；2026-10-16 有记录的停售日</v>
      </c>
      <c r="AL838" s="8" t="n">
        <v>0</v>
      </c>
      <c r="AM838" s="8" t="n">
        <v>0</v>
      </c>
      <c r="AN838" s="8" t="n">
        <v>30</v>
      </c>
      <c r="AO838" s="8" t="str">
        <v>9967 / 灰色PU / 13120</v>
      </c>
      <c r="AP838" s="11" t="n">
        <v>0.624562333197096</v>
      </c>
      <c r="AQ838" s="11" t="n">
        <v>0.5498197238744403</v>
      </c>
      <c r="AR838" s="11" t="n">
        <v>0.31064337404194203</v>
      </c>
      <c r="AS838" s="11" t="n">
        <f>IF(AND(COUNT(I838:K838,AP838:AR838)=6,MIN(AP838:AR838)&gt;0),I838/7/AP838*0.5+J838/14/AQ838*0.3+K838/30/AR838*0.2,"")</f>
        <v>0</v>
      </c>
      <c r="AT838" s="8" t="n">
        <v>0</v>
      </c>
      <c r="AU838" s="8" t="n">
        <v>0</v>
      </c>
      <c r="AV838" s="8" t="n">
        <v>85</v>
      </c>
      <c r="AW838" s="11" t="n">
        <f>IF(AND(COUNT(AT838:AV838)=3,AT838&gt;=AU838,AU838&gt;=0,AV838&gt;0),(AT838-AU838)/AV838,"")</f>
        <v>0</v>
      </c>
      <c r="AX838" s="8" t="n">
        <v>0</v>
      </c>
      <c r="AY838" s="8" t="n">
        <v>0</v>
      </c>
      <c r="AZ838" s="8" t="n">
        <v>175</v>
      </c>
      <c r="BA838" s="11" t="n">
        <f>IF(AND(COUNT(AX838:AZ838)=3,AX838&gt;=AY838,AY838&gt;=0,AZ838&gt;0),(AX838-AY838)/AZ838,"")</f>
        <v>0</v>
      </c>
      <c r="BB838" s="8" t="n">
        <f>IF(COUNT(AS838,AW838,BA838)=3,1,0)</f>
        <v>1</v>
      </c>
      <c r="BC838" s="11" t="n">
        <f>IF(SUMIF($AO$11:$AO$1309,AO838,$BB$11:$BB$1309)=COUNTIF($AO$11:$AO$1309,AO838),SUMIF($AO$11:$AO$1309,AO838,$AS$11:$AS$1309),"")</f>
        <v>0.018367334915048345</v>
      </c>
      <c r="BD838" s="11" t="n">
        <f>IF(SUMIF($AO$11:$AO$1309,AO838,$BB$11:$BB$1309)=COUNTIF($AO$11:$AO$1309,AO838),SUMIF($AO$11:$AO$1309,AO838,$AW$11:$AW$1309),"")</f>
        <v>0.011363636363636364</v>
      </c>
      <c r="BE838" s="11" t="n">
        <f>IF(SUMIF($AO$11:$AO$1309,AO838,$BB$11:$BB$1309)=COUNTIF($AO$11:$AO$1309,AO838),SUMIF($AO$11:$AO$1309,AO838,$BA$11:$BA$1309),"")</f>
        <v>0.0056179775280898875</v>
      </c>
      <c r="BF838" s="12" t="n">
        <f>IF(COUNT(BD838:BE838)&lt;&gt;2,"",IF(AND(BD838&gt;0,BE838&gt;0),0.7*AW838/BD838+0.3*BA838/BE838,IF(BD838&gt;0,AW838/BD838,IF(BE838&gt;0,BA838/BE838,IF(AND(ISNUMBER(BH838),BH838=0),0,"")))))</f>
        <v>0</v>
      </c>
      <c r="BG838" s="11" t="n">
        <f>IF(AND(COUNT(BN838:BU838)=8,MIN(BN838:BU838)&gt;=0),SUMPRODUCT(BN838:BQ838,BR838:BU838),"")</f>
        <v>251.82999335153164</v>
      </c>
      <c r="BH838" s="11" t="n">
        <f>IF(COUNT(BC838,BG838)=2,BC838*BG838,"")</f>
        <v>4.62544582954198</v>
      </c>
      <c r="BI838" s="11" t="n">
        <f>IF(ISNUMBER(CI838),CI838,"")</f>
        <v>0</v>
      </c>
      <c r="BJ838" s="8" t="str"/>
      <c r="BK838" s="8" t="str">
        <v>90天：2026-07-20 至 2026-10-17；180天：2026-04-21 至 2026-10-17</v>
      </c>
      <c r="BL838" s="8" t="str">
        <v>90天：2026-10-06、2026-10-07、2026-10-12、2026-10-13、2026-10-16；180天：2026-10-06、2026-10-07、2026-10-12、2026-10-13、2026-10-16</v>
      </c>
      <c r="BM838" s="8" t="str">
        <v>2026-10：12天 × 0.624562333197096；2026-11：30天 × 2.028100514629496；2026-12：31天 × 4.058791976082533；2027-01：17天 × 3.3923340385719465</v>
      </c>
      <c r="BN838" s="11" t="n">
        <v>0.624562333197096</v>
      </c>
      <c r="BO838" s="11" t="n">
        <v>2.028100514629496</v>
      </c>
      <c r="BP838" s="11" t="n">
        <v>4.058791976082533</v>
      </c>
      <c r="BQ838" s="11" t="n">
        <v>3.3923340385719465</v>
      </c>
      <c r="BR838" s="8" t="n">
        <v>12</v>
      </c>
      <c r="BS838" s="8" t="n">
        <v>30</v>
      </c>
      <c r="BT838" s="8" t="n">
        <v>31</v>
      </c>
      <c r="BU838" s="8" t="n">
        <v>17</v>
      </c>
      <c r="BV838" s="11" t="n">
        <f>IF(COUNT(BC838,BF838)=2,BC838*BF838,"")</f>
        <v>0</v>
      </c>
      <c r="BW838" s="11" t="n">
        <f>IF(ISNUMBER(BN838),BN838,"")</f>
        <v>0.624562333197096</v>
      </c>
      <c r="BX838" s="14" t="n">
        <f>IF(ISNUMBER(BR838),BR838,"")</f>
        <v>12</v>
      </c>
      <c r="BY838" s="13" t="n">
        <f>IF(AND(COUNT(BV838,BW838,BX838)=3,MIN(BV838,BW838,BX838)&gt;=0),BV838*BW838*BX838,"")</f>
        <v>0</v>
      </c>
      <c r="BZ838" s="11" t="n">
        <f>IF(ISNUMBER(BO838),BO838,"")</f>
        <v>2.028100514629496</v>
      </c>
      <c r="CA838" s="14" t="n">
        <f>IF(ISNUMBER(BS838),BS838,"")</f>
        <v>30</v>
      </c>
      <c r="CB838" s="13" t="n">
        <f>IF(AND(COUNT(BV838,BZ838,CA838)=3,MIN(BV838,BZ838,CA838)&gt;=0),BV838*BZ838*CA838,"")</f>
        <v>0</v>
      </c>
      <c r="CC838" s="11" t="n">
        <f>IF(ISNUMBER(BP838),BP838,"")</f>
        <v>4.058791976082533</v>
      </c>
      <c r="CD838" s="14" t="n">
        <f>IF(ISNUMBER(BT838),BT838,"")</f>
        <v>31</v>
      </c>
      <c r="CE838" s="13" t="n">
        <f>IF(AND(COUNT(BV838,CC838,CD838)=3,MIN(BV838,CC838,CD838)&gt;=0),BV838*CC838*CD838,"")</f>
        <v>0</v>
      </c>
      <c r="CF838" s="11" t="n">
        <f>IF(ISNUMBER(BQ838),BQ838,"")</f>
        <v>3.3923340385719465</v>
      </c>
      <c r="CG838" s="14" t="n">
        <f>IF(ISNUMBER(BU838),BU838,"")</f>
        <v>17</v>
      </c>
      <c r="CH838" s="13" t="n">
        <f>IF(AND(COUNT(BV838,CF838,CG838)=3,MIN(BV838,CF838,CG838)&gt;=0),BV838*CF838*CG838,"")</f>
        <v>0</v>
      </c>
      <c r="CI838" s="13" t="n">
        <f>IF(COUNT(BY838,CB838,CE838,CH838)=4,SUM(BY838,CB838,CE838,CH838),"")</f>
        <v>0</v>
      </c>
    </row>
    <row r="839" ht="72" customHeight="1">
      <c r="A839" s="16" t="str">
        <v>9967-GY-40B</v>
      </c>
      <c r="B839" s="16" t="str">
        <v>1店-MUSSHOE-US</v>
      </c>
      <c r="C839" s="16" t="str">
        <v>徐新怡</v>
      </c>
      <c r="D839" s="26" t="n">
        <f>IF(NOT(ISNUMBER(E839)),"",IF(OR(E839&lt;=0,L839=0),0,IF(OR(NOT(ISNUMBER(F839)),F839&lt;0),"",MIN(E839,INT(F839)))))</f>
        <v>0</v>
      </c>
      <c r="E839" s="27" t="n">
        <f>IF(OR(NOT(ISNUMBER(L839)),COUNT(M839:O839)&lt;&gt;3,MIN(M839:O839)&lt;0),"",ROUNDUP(ROUND(BI839-SUM(M839:O839),10),0))</f>
        <v>0</v>
      </c>
      <c r="F839" s="28" t="n">
        <v>1</v>
      </c>
      <c r="G839" s="28" t="n">
        <f>IF(AND(ISNUMBER(D839),ISNUMBER(E839)),IF(OR(E839&lt;=0,L839=0),0,E839-D839),"")</f>
        <v>0</v>
      </c>
      <c r="H839" s="16" t="str">
        <f>IF(NOT(ISNUMBER(E839)),"销量或海外库存待补",IF(OR(E839&lt;=0,L839=0),IF(L839=0,"零日销，本批不发","本批无需补货"),IF(NOT(ISNUMBER(D839)),"国内库存待补",IF(D839=0,"国内无可用库存",IF(G839&gt;0,"先发国内现货","按建议量发货")))))</f>
        <v>零日销，本批不发</v>
      </c>
      <c r="I839" s="28" t="n">
        <f>IF(AND(COUNT(Z839,AA839,AB839)=3,Z839&gt;=AA839,AA839&gt;=0,AB839=7),Z839-AA839,"")</f>
        <v>0</v>
      </c>
      <c r="J839" s="28" t="n">
        <f>IF(AND(COUNT(AF839,AG839,AH839)=3,AF839&gt;=AG839,AG839&gt;=0,AH839=14),AF839-AG839,"")</f>
        <v>0</v>
      </c>
      <c r="K839" s="28" t="n">
        <f>IF(AND(COUNT(AL839,AM839,AN839)=3,AL839&gt;=AM839,AM839&gt;=0,AN839=30),AL839-AM839,"")</f>
        <v>0</v>
      </c>
      <c r="L839" s="29" t="n">
        <f>IF(ISNUMBER(BI839),BI839/90,"")</f>
        <v>0</v>
      </c>
      <c r="M839" s="28" t="n">
        <v>0</v>
      </c>
      <c r="N839" s="28" t="n">
        <v>0</v>
      </c>
      <c r="O839" s="28" t="n">
        <v>0</v>
      </c>
      <c r="P839" s="30" t="str">
        <f>IF(AND(ISNUMBER(L839),L839&gt;0,COUNT(M839:O839)=3,MIN(M839:O839)&gt;=0),SUM(M839:O839)/L839,"")</f>
      </c>
      <c r="Q839" s="16" t="str">
        <v>按本SKU唯一未删除Listing店铺核实</v>
      </c>
      <c r="R839" s="16" t="str">
        <v>已匹配</v>
      </c>
      <c r="S839" s="16" t="str">
        <v>停售</v>
      </c>
      <c r="T839" s="16" t="str">
        <v>9967</v>
      </c>
      <c r="U839" s="16" t="str">
        <v>灰色</v>
      </c>
      <c r="V839" s="16" t="n">
        <v>9</v>
      </c>
      <c r="W839" s="8" t="str">
        <v>2026-10-08 至 2026-10-17</v>
      </c>
      <c r="X839" s="8" t="str">
        <v>2026-10-08、2026-10-09、2026-10-10、2026-10-11、2026-10-14、2026-10-15、2026-10-17</v>
      </c>
      <c r="Y839" s="8" t="str">
        <v>2026-10-12 有记录的停售日；2026-10-13 有记录的停售日；2026-10-16 有记录的停售日</v>
      </c>
      <c r="Z839" s="8" t="n">
        <v>0</v>
      </c>
      <c r="AA839" s="8" t="n">
        <v>0</v>
      </c>
      <c r="AB839" s="8" t="n">
        <v>7</v>
      </c>
      <c r="AC839" s="8" t="str">
        <v>2026-09-29 至 2026-10-17</v>
      </c>
      <c r="AD839" s="8" t="str">
        <v>2026-09-29、2026-09-30、2026-10-01、2026-10-02、2026-10-03、2026-10-04、2026-10-05、2026-10-08、2026-10-09、2026-10-10、2026-10-11、2026-10-14、2026-10-15、2026-10-17</v>
      </c>
      <c r="AE839" s="8" t="str">
        <v>2026-10-06 大促；2026-10-07 大促；2026-10-12 有记录的停售日；2026-10-13 有记录的停售日；2026-10-16 有记录的停售日</v>
      </c>
      <c r="AF839" s="8" t="n">
        <v>0</v>
      </c>
      <c r="AG839" s="8" t="n">
        <v>0</v>
      </c>
      <c r="AH839" s="8" t="n">
        <v>14</v>
      </c>
      <c r="AI839" s="8" t="str">
        <v>2026-09-13 至 2026-10-17</v>
      </c>
      <c r="AJ8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39" s="8" t="str">
        <v>2026-10-06 大促；2026-10-07 大促；2026-10-12 有记录的停售日；2026-10-13 有记录的停售日；2026-10-16 有记录的停售日</v>
      </c>
      <c r="AL839" s="8" t="n">
        <v>0</v>
      </c>
      <c r="AM839" s="8" t="n">
        <v>0</v>
      </c>
      <c r="AN839" s="8" t="n">
        <v>30</v>
      </c>
      <c r="AO839" s="8" t="str">
        <v>9967 / 灰色PU / 13120</v>
      </c>
      <c r="AP839" s="11" t="n">
        <v>0.624562333197096</v>
      </c>
      <c r="AQ839" s="11" t="n">
        <v>0.5498197238744403</v>
      </c>
      <c r="AR839" s="11" t="n">
        <v>0.31064337404194203</v>
      </c>
      <c r="AS839" s="11" t="n">
        <f>IF(AND(COUNT(I839:K839,AP839:AR839)=6,MIN(AP839:AR839)&gt;0),I839/7/AP839*0.5+J839/14/AQ839*0.3+K839/30/AR839*0.2,"")</f>
        <v>0</v>
      </c>
      <c r="AT839" s="8" t="n">
        <v>0</v>
      </c>
      <c r="AU839" s="8" t="n">
        <v>0</v>
      </c>
      <c r="AV839" s="8" t="n">
        <v>85</v>
      </c>
      <c r="AW839" s="11" t="n">
        <f>IF(AND(COUNT(AT839:AV839)=3,AT839&gt;=AU839,AU839&gt;=0,AV839&gt;0),(AT839-AU839)/AV839,"")</f>
        <v>0</v>
      </c>
      <c r="AX839" s="8" t="n">
        <v>0</v>
      </c>
      <c r="AY839" s="8" t="n">
        <v>0</v>
      </c>
      <c r="AZ839" s="8" t="n">
        <v>175</v>
      </c>
      <c r="BA839" s="11" t="n">
        <f>IF(AND(COUNT(AX839:AZ839)=3,AX839&gt;=AY839,AY839&gt;=0,AZ839&gt;0),(AX839-AY839)/AZ839,"")</f>
        <v>0</v>
      </c>
      <c r="BB839" s="8" t="n">
        <f>IF(COUNT(AS839,AW839,BA839)=3,1,0)</f>
        <v>1</v>
      </c>
      <c r="BC839" s="11" t="n">
        <f>IF(SUMIF($AO$11:$AO$1309,AO839,$BB$11:$BB$1309)=COUNTIF($AO$11:$AO$1309,AO839),SUMIF($AO$11:$AO$1309,AO839,$AS$11:$AS$1309),"")</f>
        <v>0.018367334915048345</v>
      </c>
      <c r="BD839" s="11" t="n">
        <f>IF(SUMIF($AO$11:$AO$1309,AO839,$BB$11:$BB$1309)=COUNTIF($AO$11:$AO$1309,AO839),SUMIF($AO$11:$AO$1309,AO839,$AW$11:$AW$1309),"")</f>
        <v>0.011363636363636364</v>
      </c>
      <c r="BE839" s="11" t="n">
        <f>IF(SUMIF($AO$11:$AO$1309,AO839,$BB$11:$BB$1309)=COUNTIF($AO$11:$AO$1309,AO839),SUMIF($AO$11:$AO$1309,AO839,$BA$11:$BA$1309),"")</f>
        <v>0.0056179775280898875</v>
      </c>
      <c r="BF839" s="12" t="n">
        <f>IF(COUNT(BD839:BE839)&lt;&gt;2,"",IF(AND(BD839&gt;0,BE839&gt;0),0.7*AW839/BD839+0.3*BA839/BE839,IF(BD839&gt;0,AW839/BD839,IF(BE839&gt;0,BA839/BE839,IF(AND(ISNUMBER(BH839),BH839=0),0,"")))))</f>
        <v>0</v>
      </c>
      <c r="BG839" s="11" t="n">
        <f>IF(AND(COUNT(BN839:BU839)=8,MIN(BN839:BU839)&gt;=0),SUMPRODUCT(BN839:BQ839,BR839:BU839),"")</f>
        <v>251.82999335153164</v>
      </c>
      <c r="BH839" s="11" t="n">
        <f>IF(COUNT(BC839,BG839)=2,BC839*BG839,"")</f>
        <v>4.62544582954198</v>
      </c>
      <c r="BI839" s="11" t="n">
        <f>IF(ISNUMBER(CI839),CI839,"")</f>
        <v>0</v>
      </c>
      <c r="BJ839" s="8" t="str"/>
      <c r="BK839" s="8" t="str">
        <v>90天：2026-07-20 至 2026-10-17；180天：2026-04-21 至 2026-10-17</v>
      </c>
      <c r="BL839" s="8" t="str">
        <v>90天：2026-10-06、2026-10-07、2026-10-12、2026-10-13、2026-10-16；180天：2026-10-06、2026-10-07、2026-10-12、2026-10-13、2026-10-16</v>
      </c>
      <c r="BM839" s="8" t="str">
        <v>2026-10：12天 × 0.624562333197096；2026-11：30天 × 2.028100514629496；2026-12：31天 × 4.058791976082533；2027-01：17天 × 3.3923340385719465</v>
      </c>
      <c r="BN839" s="11" t="n">
        <v>0.624562333197096</v>
      </c>
      <c r="BO839" s="11" t="n">
        <v>2.028100514629496</v>
      </c>
      <c r="BP839" s="11" t="n">
        <v>4.058791976082533</v>
      </c>
      <c r="BQ839" s="11" t="n">
        <v>3.3923340385719465</v>
      </c>
      <c r="BR839" s="8" t="n">
        <v>12</v>
      </c>
      <c r="BS839" s="8" t="n">
        <v>30</v>
      </c>
      <c r="BT839" s="8" t="n">
        <v>31</v>
      </c>
      <c r="BU839" s="8" t="n">
        <v>17</v>
      </c>
      <c r="BV839" s="11" t="n">
        <f>IF(COUNT(BC839,BF839)=2,BC839*BF839,"")</f>
        <v>0</v>
      </c>
      <c r="BW839" s="11" t="n">
        <f>IF(ISNUMBER(BN839),BN839,"")</f>
        <v>0.624562333197096</v>
      </c>
      <c r="BX839" s="14" t="n">
        <f>IF(ISNUMBER(BR839),BR839,"")</f>
        <v>12</v>
      </c>
      <c r="BY839" s="13" t="n">
        <f>IF(AND(COUNT(BV839,BW839,BX839)=3,MIN(BV839,BW839,BX839)&gt;=0),BV839*BW839*BX839,"")</f>
        <v>0</v>
      </c>
      <c r="BZ839" s="11" t="n">
        <f>IF(ISNUMBER(BO839),BO839,"")</f>
        <v>2.028100514629496</v>
      </c>
      <c r="CA839" s="14" t="n">
        <f>IF(ISNUMBER(BS839),BS839,"")</f>
        <v>30</v>
      </c>
      <c r="CB839" s="13" t="n">
        <f>IF(AND(COUNT(BV839,BZ839,CA839)=3,MIN(BV839,BZ839,CA839)&gt;=0),BV839*BZ839*CA839,"")</f>
        <v>0</v>
      </c>
      <c r="CC839" s="11" t="n">
        <f>IF(ISNUMBER(BP839),BP839,"")</f>
        <v>4.058791976082533</v>
      </c>
      <c r="CD839" s="14" t="n">
        <f>IF(ISNUMBER(BT839),BT839,"")</f>
        <v>31</v>
      </c>
      <c r="CE839" s="13" t="n">
        <f>IF(AND(COUNT(BV839,CC839,CD839)=3,MIN(BV839,CC839,CD839)&gt;=0),BV839*CC839*CD839,"")</f>
        <v>0</v>
      </c>
      <c r="CF839" s="11" t="n">
        <f>IF(ISNUMBER(BQ839),BQ839,"")</f>
        <v>3.3923340385719465</v>
      </c>
      <c r="CG839" s="14" t="n">
        <f>IF(ISNUMBER(BU839),BU839,"")</f>
        <v>17</v>
      </c>
      <c r="CH839" s="13" t="n">
        <f>IF(AND(COUNT(BV839,CF839,CG839)=3,MIN(BV839,CF839,CG839)&gt;=0),BV839*CF839*CG839,"")</f>
        <v>0</v>
      </c>
      <c r="CI839" s="13" t="n">
        <f>IF(COUNT(BY839,CB839,CE839,CH839)=4,SUM(BY839,CB839,CE839,CH839),"")</f>
        <v>0</v>
      </c>
    </row>
    <row r="840" ht="72" customHeight="1">
      <c r="A840" s="16" t="str">
        <v>9967-GY-41</v>
      </c>
      <c r="B840" s="16" t="str">
        <v>1店-MUSSHOE-US</v>
      </c>
      <c r="C840" s="16" t="str">
        <v>徐新怡</v>
      </c>
      <c r="D840" s="26" t="n">
        <f>IF(NOT(ISNUMBER(E840)),"",IF(OR(E840&lt;=0,L840=0),0,IF(OR(NOT(ISNUMBER(F840)),F840&lt;0),"",MIN(E840,INT(F840)))))</f>
        <v>0</v>
      </c>
      <c r="E840" s="27" t="n">
        <f>IF(OR(NOT(ISNUMBER(L840)),COUNT(M840:O840)&lt;&gt;3,MIN(M840:O840)&lt;0),"",ROUNDUP(ROUND(BI840-SUM(M840:O840),10),0))</f>
        <v>0</v>
      </c>
      <c r="F840" s="28" t="n">
        <v>2</v>
      </c>
      <c r="G840" s="28" t="n">
        <f>IF(AND(ISNUMBER(D840),ISNUMBER(E840)),IF(OR(E840&lt;=0,L840=0),0,E840-D840),"")</f>
        <v>0</v>
      </c>
      <c r="H840" s="16" t="str">
        <f>IF(NOT(ISNUMBER(E840)),"销量或海外库存待补",IF(OR(E840&lt;=0,L840=0),IF(L840=0,"零日销，本批不发","本批无需补货"),IF(NOT(ISNUMBER(D840)),"国内库存待补",IF(D840=0,"国内无可用库存",IF(G840&gt;0,"先发国内现货","按建议量发货")))))</f>
        <v>零日销，本批不发</v>
      </c>
      <c r="I840" s="28" t="n">
        <f>IF(AND(COUNT(Z840,AA840,AB840)=3,Z840&gt;=AA840,AA840&gt;=0,AB840=7),Z840-AA840,"")</f>
        <v>0</v>
      </c>
      <c r="J840" s="28" t="n">
        <f>IF(AND(COUNT(AF840,AG840,AH840)=3,AF840&gt;=AG840,AG840&gt;=0,AH840=14),AF840-AG840,"")</f>
        <v>0</v>
      </c>
      <c r="K840" s="28" t="n">
        <f>IF(AND(COUNT(AL840,AM840,AN840)=3,AL840&gt;=AM840,AM840&gt;=0,AN840=30),AL840-AM840,"")</f>
        <v>0</v>
      </c>
      <c r="L840" s="29" t="n">
        <f>IF(ISNUMBER(BI840),BI840/90,"")</f>
        <v>0</v>
      </c>
      <c r="M840" s="28" t="n">
        <v>0</v>
      </c>
      <c r="N840" s="28" t="n">
        <v>0</v>
      </c>
      <c r="O840" s="28" t="n">
        <v>0</v>
      </c>
      <c r="P840" s="30" t="str">
        <f>IF(AND(ISNUMBER(L840),L840&gt;0,COUNT(M840:O840)=3,MIN(M840:O840)&gt;=0),SUM(M840:O840)/L840,"")</f>
      </c>
      <c r="Q840" s="16" t="str">
        <v>按本SKU唯一未删除Listing店铺核实</v>
      </c>
      <c r="R840" s="16" t="str">
        <v>已匹配</v>
      </c>
      <c r="S840" s="16" t="str">
        <v>停售</v>
      </c>
      <c r="T840" s="16" t="str">
        <v>9967</v>
      </c>
      <c r="U840" s="16" t="str">
        <v>灰色</v>
      </c>
      <c r="V840" s="16" t="n">
        <v>9.5</v>
      </c>
      <c r="W840" s="8" t="str">
        <v>2026-10-08 至 2026-10-17</v>
      </c>
      <c r="X840" s="8" t="str">
        <v>2026-10-08、2026-10-09、2026-10-10、2026-10-11、2026-10-14、2026-10-15、2026-10-17</v>
      </c>
      <c r="Y840" s="8" t="str">
        <v>2026-10-12 有记录的停售日；2026-10-13 有记录的停售日；2026-10-16 有记录的停售日</v>
      </c>
      <c r="Z840" s="8" t="n">
        <v>0</v>
      </c>
      <c r="AA840" s="8" t="n">
        <v>0</v>
      </c>
      <c r="AB840" s="8" t="n">
        <v>7</v>
      </c>
      <c r="AC840" s="8" t="str">
        <v>2026-09-29 至 2026-10-17</v>
      </c>
      <c r="AD840" s="8" t="str">
        <v>2026-09-29、2026-09-30、2026-10-01、2026-10-02、2026-10-03、2026-10-04、2026-10-05、2026-10-08、2026-10-09、2026-10-10、2026-10-11、2026-10-14、2026-10-15、2026-10-17</v>
      </c>
      <c r="AE840" s="8" t="str">
        <v>2026-10-06 大促；2026-10-07 大促；2026-10-12 有记录的停售日；2026-10-13 有记录的停售日；2026-10-16 有记录的停售日</v>
      </c>
      <c r="AF840" s="8" t="n">
        <v>0</v>
      </c>
      <c r="AG840" s="8" t="n">
        <v>0</v>
      </c>
      <c r="AH840" s="8" t="n">
        <v>14</v>
      </c>
      <c r="AI840" s="8" t="str">
        <v>2026-09-13 至 2026-10-17</v>
      </c>
      <c r="AJ84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40" s="8" t="str">
        <v>2026-10-06 大促；2026-10-07 大促；2026-10-12 有记录的停售日；2026-10-13 有记录的停售日；2026-10-16 有记录的停售日</v>
      </c>
      <c r="AL840" s="8" t="n">
        <v>0</v>
      </c>
      <c r="AM840" s="8" t="n">
        <v>0</v>
      </c>
      <c r="AN840" s="8" t="n">
        <v>30</v>
      </c>
      <c r="AO840" s="8" t="str">
        <v>9967 / 灰色PU / 13120</v>
      </c>
      <c r="AP840" s="11" t="n">
        <v>0.624562333197096</v>
      </c>
      <c r="AQ840" s="11" t="n">
        <v>0.5498197238744403</v>
      </c>
      <c r="AR840" s="11" t="n">
        <v>0.31064337404194203</v>
      </c>
      <c r="AS840" s="11" t="n">
        <f>IF(AND(COUNT(I840:K840,AP840:AR840)=6,MIN(AP840:AR840)&gt;0),I840/7/AP840*0.5+J840/14/AQ840*0.3+K840/30/AR840*0.2,"")</f>
        <v>0</v>
      </c>
      <c r="AT840" s="8" t="n">
        <v>0</v>
      </c>
      <c r="AU840" s="8" t="n">
        <v>0</v>
      </c>
      <c r="AV840" s="8" t="n">
        <v>85</v>
      </c>
      <c r="AW840" s="11" t="n">
        <f>IF(AND(COUNT(AT840:AV840)=3,AT840&gt;=AU840,AU840&gt;=0,AV840&gt;0),(AT840-AU840)/AV840,"")</f>
        <v>0</v>
      </c>
      <c r="AX840" s="8" t="n">
        <v>0</v>
      </c>
      <c r="AY840" s="8" t="n">
        <v>0</v>
      </c>
      <c r="AZ840" s="8" t="n">
        <v>175</v>
      </c>
      <c r="BA840" s="11" t="n">
        <f>IF(AND(COUNT(AX840:AZ840)=3,AX840&gt;=AY840,AY840&gt;=0,AZ840&gt;0),(AX840-AY840)/AZ840,"")</f>
        <v>0</v>
      </c>
      <c r="BB840" s="8" t="n">
        <f>IF(COUNT(AS840,AW840,BA840)=3,1,0)</f>
        <v>1</v>
      </c>
      <c r="BC840" s="11" t="n">
        <f>IF(SUMIF($AO$11:$AO$1309,AO840,$BB$11:$BB$1309)=COUNTIF($AO$11:$AO$1309,AO840),SUMIF($AO$11:$AO$1309,AO840,$AS$11:$AS$1309),"")</f>
        <v>0.018367334915048345</v>
      </c>
      <c r="BD840" s="11" t="n">
        <f>IF(SUMIF($AO$11:$AO$1309,AO840,$BB$11:$BB$1309)=COUNTIF($AO$11:$AO$1309,AO840),SUMIF($AO$11:$AO$1309,AO840,$AW$11:$AW$1309),"")</f>
        <v>0.011363636363636364</v>
      </c>
      <c r="BE840" s="11" t="n">
        <f>IF(SUMIF($AO$11:$AO$1309,AO840,$BB$11:$BB$1309)=COUNTIF($AO$11:$AO$1309,AO840),SUMIF($AO$11:$AO$1309,AO840,$BA$11:$BA$1309),"")</f>
        <v>0.0056179775280898875</v>
      </c>
      <c r="BF840" s="12" t="n">
        <f>IF(COUNT(BD840:BE840)&lt;&gt;2,"",IF(AND(BD840&gt;0,BE840&gt;0),0.7*AW840/BD840+0.3*BA840/BE840,IF(BD840&gt;0,AW840/BD840,IF(BE840&gt;0,BA840/BE840,IF(AND(ISNUMBER(BH840),BH840=0),0,"")))))</f>
        <v>0</v>
      </c>
      <c r="BG840" s="11" t="n">
        <f>IF(AND(COUNT(BN840:BU840)=8,MIN(BN840:BU840)&gt;=0),SUMPRODUCT(BN840:BQ840,BR840:BU840),"")</f>
        <v>251.82999335153164</v>
      </c>
      <c r="BH840" s="11" t="n">
        <f>IF(COUNT(BC840,BG840)=2,BC840*BG840,"")</f>
        <v>4.62544582954198</v>
      </c>
      <c r="BI840" s="11" t="n">
        <f>IF(ISNUMBER(CI840),CI840,"")</f>
        <v>0</v>
      </c>
      <c r="BJ840" s="8" t="str"/>
      <c r="BK840" s="8" t="str">
        <v>90天：2026-07-20 至 2026-10-17；180天：2026-04-21 至 2026-10-17</v>
      </c>
      <c r="BL840" s="8" t="str">
        <v>90天：2026-10-06、2026-10-07、2026-10-12、2026-10-13、2026-10-16；180天：2026-10-06、2026-10-07、2026-10-12、2026-10-13、2026-10-16</v>
      </c>
      <c r="BM840" s="8" t="str">
        <v>2026-10：12天 × 0.624562333197096；2026-11：30天 × 2.028100514629496；2026-12：31天 × 4.058791976082533；2027-01：17天 × 3.3923340385719465</v>
      </c>
      <c r="BN840" s="11" t="n">
        <v>0.624562333197096</v>
      </c>
      <c r="BO840" s="11" t="n">
        <v>2.028100514629496</v>
      </c>
      <c r="BP840" s="11" t="n">
        <v>4.058791976082533</v>
      </c>
      <c r="BQ840" s="11" t="n">
        <v>3.3923340385719465</v>
      </c>
      <c r="BR840" s="8" t="n">
        <v>12</v>
      </c>
      <c r="BS840" s="8" t="n">
        <v>30</v>
      </c>
      <c r="BT840" s="8" t="n">
        <v>31</v>
      </c>
      <c r="BU840" s="8" t="n">
        <v>17</v>
      </c>
      <c r="BV840" s="11" t="n">
        <f>IF(COUNT(BC840,BF840)=2,BC840*BF840,"")</f>
        <v>0</v>
      </c>
      <c r="BW840" s="11" t="n">
        <f>IF(ISNUMBER(BN840),BN840,"")</f>
        <v>0.624562333197096</v>
      </c>
      <c r="BX840" s="14" t="n">
        <f>IF(ISNUMBER(BR840),BR840,"")</f>
        <v>12</v>
      </c>
      <c r="BY840" s="13" t="n">
        <f>IF(AND(COUNT(BV840,BW840,BX840)=3,MIN(BV840,BW840,BX840)&gt;=0),BV840*BW840*BX840,"")</f>
        <v>0</v>
      </c>
      <c r="BZ840" s="11" t="n">
        <f>IF(ISNUMBER(BO840),BO840,"")</f>
        <v>2.028100514629496</v>
      </c>
      <c r="CA840" s="14" t="n">
        <f>IF(ISNUMBER(BS840),BS840,"")</f>
        <v>30</v>
      </c>
      <c r="CB840" s="13" t="n">
        <f>IF(AND(COUNT(BV840,BZ840,CA840)=3,MIN(BV840,BZ840,CA840)&gt;=0),BV840*BZ840*CA840,"")</f>
        <v>0</v>
      </c>
      <c r="CC840" s="11" t="n">
        <f>IF(ISNUMBER(BP840),BP840,"")</f>
        <v>4.058791976082533</v>
      </c>
      <c r="CD840" s="14" t="n">
        <f>IF(ISNUMBER(BT840),BT840,"")</f>
        <v>31</v>
      </c>
      <c r="CE840" s="13" t="n">
        <f>IF(AND(COUNT(BV840,CC840,CD840)=3,MIN(BV840,CC840,CD840)&gt;=0),BV840*CC840*CD840,"")</f>
        <v>0</v>
      </c>
      <c r="CF840" s="11" t="n">
        <f>IF(ISNUMBER(BQ840),BQ840,"")</f>
        <v>3.3923340385719465</v>
      </c>
      <c r="CG840" s="14" t="n">
        <f>IF(ISNUMBER(BU840),BU840,"")</f>
        <v>17</v>
      </c>
      <c r="CH840" s="13" t="n">
        <f>IF(AND(COUNT(BV840,CF840,CG840)=3,MIN(BV840,CF840,CG840)&gt;=0),BV840*CF840*CG840,"")</f>
        <v>0</v>
      </c>
      <c r="CI840" s="13" t="n">
        <f>IF(COUNT(BY840,CB840,CE840,CH840)=4,SUM(BY840,CB840,CE840,CH840),"")</f>
        <v>0</v>
      </c>
    </row>
    <row r="841" ht="72" customHeight="1">
      <c r="A841" s="16" t="str">
        <v>9967-GY-42</v>
      </c>
      <c r="B841" s="16" t="str">
        <v>1店-MUSSHOE-US</v>
      </c>
      <c r="C841" s="16" t="str">
        <v>徐新怡</v>
      </c>
      <c r="D841" s="26" t="n">
        <f>IF(NOT(ISNUMBER(E841)),"",IF(OR(E841&lt;=0,L841=0),0,IF(OR(NOT(ISNUMBER(F841)),F841&lt;0),"",MIN(E841,INT(F841)))))</f>
        <v>0</v>
      </c>
      <c r="E841" s="27" t="n">
        <f>IF(OR(NOT(ISNUMBER(L841)),COUNT(M841:O841)&lt;&gt;3,MIN(M841:O841)&lt;0),"",ROUNDUP(ROUND(BI841-SUM(M841:O841),10),0))</f>
        <v>0</v>
      </c>
      <c r="F841" s="28" t="n">
        <v>0</v>
      </c>
      <c r="G841" s="28" t="n">
        <f>IF(AND(ISNUMBER(D841),ISNUMBER(E841)),IF(OR(E841&lt;=0,L841=0),0,E841-D841),"")</f>
        <v>0</v>
      </c>
      <c r="H841" s="16" t="str">
        <f>IF(NOT(ISNUMBER(E841)),"销量或海外库存待补",IF(OR(E841&lt;=0,L841=0),IF(L841=0,"零日销，本批不发","本批无需补货"),IF(NOT(ISNUMBER(D841)),"国内库存待补",IF(D841=0,"国内无可用库存",IF(G841&gt;0,"先发国内现货","按建议量发货")))))</f>
        <v>零日销，本批不发</v>
      </c>
      <c r="I841" s="28" t="n">
        <f>IF(AND(COUNT(Z841,AA841,AB841)=3,Z841&gt;=AA841,AA841&gt;=0,AB841=7),Z841-AA841,"")</f>
        <v>0</v>
      </c>
      <c r="J841" s="28" t="n">
        <f>IF(AND(COUNT(AF841,AG841,AH841)=3,AF841&gt;=AG841,AG841&gt;=0,AH841=14),AF841-AG841,"")</f>
        <v>0</v>
      </c>
      <c r="K841" s="28" t="n">
        <f>IF(AND(COUNT(AL841,AM841,AN841)=3,AL841&gt;=AM841,AM841&gt;=0,AN841=30),AL841-AM841,"")</f>
        <v>0</v>
      </c>
      <c r="L841" s="29" t="n">
        <f>IF(ISNUMBER(BI841),BI841/90,"")</f>
        <v>0</v>
      </c>
      <c r="M841" s="28" t="n">
        <v>0</v>
      </c>
      <c r="N841" s="28" t="n">
        <v>0</v>
      </c>
      <c r="O841" s="28" t="n">
        <v>0</v>
      </c>
      <c r="P841" s="30" t="str">
        <f>IF(AND(ISNUMBER(L841),L841&gt;0,COUNT(M841:O841)=3,MIN(M841:O841)&gt;=0),SUM(M841:O841)/L841,"")</f>
      </c>
      <c r="Q841" s="16" t="str">
        <v>按本SKU唯一未删除Listing店铺核实</v>
      </c>
      <c r="R841" s="16" t="str">
        <v>已匹配</v>
      </c>
      <c r="S841" s="16" t="str">
        <v>停售</v>
      </c>
      <c r="T841" s="16" t="str">
        <v>9967</v>
      </c>
      <c r="U841" s="16" t="str">
        <v>灰色</v>
      </c>
      <c r="V841" s="16" t="n">
        <v>10</v>
      </c>
      <c r="W841" s="8" t="str">
        <v>2026-10-08 至 2026-10-17</v>
      </c>
      <c r="X841" s="8" t="str">
        <v>2026-10-08、2026-10-09、2026-10-10、2026-10-11、2026-10-14、2026-10-15、2026-10-17</v>
      </c>
      <c r="Y841" s="8" t="str">
        <v>2026-10-12 有记录的停售日；2026-10-13 有记录的停售日；2026-10-16 有记录的停售日</v>
      </c>
      <c r="Z841" s="8" t="n">
        <v>0</v>
      </c>
      <c r="AA841" s="8" t="n">
        <v>0</v>
      </c>
      <c r="AB841" s="8" t="n">
        <v>7</v>
      </c>
      <c r="AC841" s="8" t="str">
        <v>2026-09-29 至 2026-10-17</v>
      </c>
      <c r="AD841" s="8" t="str">
        <v>2026-09-29、2026-09-30、2026-10-01、2026-10-02、2026-10-03、2026-10-04、2026-10-05、2026-10-08、2026-10-09、2026-10-10、2026-10-11、2026-10-14、2026-10-15、2026-10-17</v>
      </c>
      <c r="AE841" s="8" t="str">
        <v>2026-10-06 大促；2026-10-07 大促；2026-10-12 有记录的停售日；2026-10-13 有记录的停售日；2026-10-16 有记录的停售日</v>
      </c>
      <c r="AF841" s="8" t="n">
        <v>0</v>
      </c>
      <c r="AG841" s="8" t="n">
        <v>0</v>
      </c>
      <c r="AH841" s="8" t="n">
        <v>14</v>
      </c>
      <c r="AI841" s="8" t="str">
        <v>2026-09-13 至 2026-10-17</v>
      </c>
      <c r="AJ84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41" s="8" t="str">
        <v>2026-10-06 大促；2026-10-07 大促；2026-10-12 有记录的停售日；2026-10-13 有记录的停售日；2026-10-16 有记录的停售日</v>
      </c>
      <c r="AL841" s="8" t="n">
        <v>0</v>
      </c>
      <c r="AM841" s="8" t="n">
        <v>0</v>
      </c>
      <c r="AN841" s="8" t="n">
        <v>30</v>
      </c>
      <c r="AO841" s="8" t="str">
        <v>9967 / 灰色PU / 13120</v>
      </c>
      <c r="AP841" s="11" t="n">
        <v>0.624562333197096</v>
      </c>
      <c r="AQ841" s="11" t="n">
        <v>0.5498197238744403</v>
      </c>
      <c r="AR841" s="11" t="n">
        <v>0.31064337404194203</v>
      </c>
      <c r="AS841" s="11" t="n">
        <f>IF(AND(COUNT(I841:K841,AP841:AR841)=6,MIN(AP841:AR841)&gt;0),I841/7/AP841*0.5+J841/14/AQ841*0.3+K841/30/AR841*0.2,"")</f>
        <v>0</v>
      </c>
      <c r="AT841" s="8" t="n">
        <v>0</v>
      </c>
      <c r="AU841" s="8" t="n">
        <v>0</v>
      </c>
      <c r="AV841" s="8" t="n">
        <v>85</v>
      </c>
      <c r="AW841" s="11" t="n">
        <f>IF(AND(COUNT(AT841:AV841)=3,AT841&gt;=AU841,AU841&gt;=0,AV841&gt;0),(AT841-AU841)/AV841,"")</f>
        <v>0</v>
      </c>
      <c r="AX841" s="8" t="n">
        <v>0</v>
      </c>
      <c r="AY841" s="8" t="n">
        <v>0</v>
      </c>
      <c r="AZ841" s="8" t="n">
        <v>175</v>
      </c>
      <c r="BA841" s="11" t="n">
        <f>IF(AND(COUNT(AX841:AZ841)=3,AX841&gt;=AY841,AY841&gt;=0,AZ841&gt;0),(AX841-AY841)/AZ841,"")</f>
        <v>0</v>
      </c>
      <c r="BB841" s="8" t="n">
        <f>IF(COUNT(AS841,AW841,BA841)=3,1,0)</f>
        <v>1</v>
      </c>
      <c r="BC841" s="11" t="n">
        <f>IF(SUMIF($AO$11:$AO$1309,AO841,$BB$11:$BB$1309)=COUNTIF($AO$11:$AO$1309,AO841),SUMIF($AO$11:$AO$1309,AO841,$AS$11:$AS$1309),"")</f>
        <v>0.018367334915048345</v>
      </c>
      <c r="BD841" s="11" t="n">
        <f>IF(SUMIF($AO$11:$AO$1309,AO841,$BB$11:$BB$1309)=COUNTIF($AO$11:$AO$1309,AO841),SUMIF($AO$11:$AO$1309,AO841,$AW$11:$AW$1309),"")</f>
        <v>0.011363636363636364</v>
      </c>
      <c r="BE841" s="11" t="n">
        <f>IF(SUMIF($AO$11:$AO$1309,AO841,$BB$11:$BB$1309)=COUNTIF($AO$11:$AO$1309,AO841),SUMIF($AO$11:$AO$1309,AO841,$BA$11:$BA$1309),"")</f>
        <v>0.0056179775280898875</v>
      </c>
      <c r="BF841" s="12" t="n">
        <f>IF(COUNT(BD841:BE841)&lt;&gt;2,"",IF(AND(BD841&gt;0,BE841&gt;0),0.7*AW841/BD841+0.3*BA841/BE841,IF(BD841&gt;0,AW841/BD841,IF(BE841&gt;0,BA841/BE841,IF(AND(ISNUMBER(BH841),BH841=0),0,"")))))</f>
        <v>0</v>
      </c>
      <c r="BG841" s="11" t="n">
        <f>IF(AND(COUNT(BN841:BU841)=8,MIN(BN841:BU841)&gt;=0),SUMPRODUCT(BN841:BQ841,BR841:BU841),"")</f>
        <v>251.82999335153164</v>
      </c>
      <c r="BH841" s="11" t="n">
        <f>IF(COUNT(BC841,BG841)=2,BC841*BG841,"")</f>
        <v>4.62544582954198</v>
      </c>
      <c r="BI841" s="11" t="n">
        <f>IF(ISNUMBER(CI841),CI841,"")</f>
        <v>0</v>
      </c>
      <c r="BJ841" s="8" t="str"/>
      <c r="BK841" s="8" t="str">
        <v>90天：2026-07-20 至 2026-10-17；180天：2026-04-21 至 2026-10-17</v>
      </c>
      <c r="BL841" s="8" t="str">
        <v>90天：2026-10-06、2026-10-07、2026-10-12、2026-10-13、2026-10-16；180天：2026-10-06、2026-10-07、2026-10-12、2026-10-13、2026-10-16</v>
      </c>
      <c r="BM841" s="8" t="str">
        <v>2026-10：12天 × 0.624562333197096；2026-11：30天 × 2.028100514629496；2026-12：31天 × 4.058791976082533；2027-01：17天 × 3.3923340385719465</v>
      </c>
      <c r="BN841" s="11" t="n">
        <v>0.624562333197096</v>
      </c>
      <c r="BO841" s="11" t="n">
        <v>2.028100514629496</v>
      </c>
      <c r="BP841" s="11" t="n">
        <v>4.058791976082533</v>
      </c>
      <c r="BQ841" s="11" t="n">
        <v>3.3923340385719465</v>
      </c>
      <c r="BR841" s="8" t="n">
        <v>12</v>
      </c>
      <c r="BS841" s="8" t="n">
        <v>30</v>
      </c>
      <c r="BT841" s="8" t="n">
        <v>31</v>
      </c>
      <c r="BU841" s="8" t="n">
        <v>17</v>
      </c>
      <c r="BV841" s="11" t="n">
        <f>IF(COUNT(BC841,BF841)=2,BC841*BF841,"")</f>
        <v>0</v>
      </c>
      <c r="BW841" s="11" t="n">
        <f>IF(ISNUMBER(BN841),BN841,"")</f>
        <v>0.624562333197096</v>
      </c>
      <c r="BX841" s="14" t="n">
        <f>IF(ISNUMBER(BR841),BR841,"")</f>
        <v>12</v>
      </c>
      <c r="BY841" s="13" t="n">
        <f>IF(AND(COUNT(BV841,BW841,BX841)=3,MIN(BV841,BW841,BX841)&gt;=0),BV841*BW841*BX841,"")</f>
        <v>0</v>
      </c>
      <c r="BZ841" s="11" t="n">
        <f>IF(ISNUMBER(BO841),BO841,"")</f>
        <v>2.028100514629496</v>
      </c>
      <c r="CA841" s="14" t="n">
        <f>IF(ISNUMBER(BS841),BS841,"")</f>
        <v>30</v>
      </c>
      <c r="CB841" s="13" t="n">
        <f>IF(AND(COUNT(BV841,BZ841,CA841)=3,MIN(BV841,BZ841,CA841)&gt;=0),BV841*BZ841*CA841,"")</f>
        <v>0</v>
      </c>
      <c r="CC841" s="11" t="n">
        <f>IF(ISNUMBER(BP841),BP841,"")</f>
        <v>4.058791976082533</v>
      </c>
      <c r="CD841" s="14" t="n">
        <f>IF(ISNUMBER(BT841),BT841,"")</f>
        <v>31</v>
      </c>
      <c r="CE841" s="13" t="n">
        <f>IF(AND(COUNT(BV841,CC841,CD841)=3,MIN(BV841,CC841,CD841)&gt;=0),BV841*CC841*CD841,"")</f>
        <v>0</v>
      </c>
      <c r="CF841" s="11" t="n">
        <f>IF(ISNUMBER(BQ841),BQ841,"")</f>
        <v>3.3923340385719465</v>
      </c>
      <c r="CG841" s="14" t="n">
        <f>IF(ISNUMBER(BU841),BU841,"")</f>
        <v>17</v>
      </c>
      <c r="CH841" s="13" t="n">
        <f>IF(AND(COUNT(BV841,CF841,CG841)=3,MIN(BV841,CF841,CG841)&gt;=0),BV841*CF841*CG841,"")</f>
        <v>0</v>
      </c>
      <c r="CI841" s="13" t="n">
        <f>IF(COUNT(BY841,CB841,CE841,CH841)=4,SUM(BY841,CB841,CE841,CH841),"")</f>
        <v>0</v>
      </c>
    </row>
    <row r="842" ht="72" customHeight="1">
      <c r="A842" s="16" t="str">
        <v>B06-BGP-37-N</v>
      </c>
      <c r="B842" s="16" t="str">
        <v>1店-MUSSHOE-US</v>
      </c>
      <c r="C842" s="16" t="str">
        <v>艾年</v>
      </c>
      <c r="D842" s="26" t="n">
        <f>IF(NOT(ISNUMBER(E842)),"",IF(OR(E842&lt;=0,L842=0),0,IF(OR(NOT(ISNUMBER(F842)),F842&lt;0),"",MIN(E842,INT(F842)))))</f>
        <v>0</v>
      </c>
      <c r="E842" s="27" t="n">
        <f>IF(OR(NOT(ISNUMBER(L842)),COUNT(M842:O842)&lt;&gt;3,MIN(M842:O842)&lt;0),"",ROUNDUP(ROUND(BI842-SUM(M842:O842),10),0))</f>
        <v>-4</v>
      </c>
      <c r="F842" s="28" t="n">
        <v>0</v>
      </c>
      <c r="G842" s="28" t="n">
        <f>IF(AND(ISNUMBER(D842),ISNUMBER(E842)),IF(OR(E842&lt;=0,L842=0),0,E842-D842),"")</f>
        <v>0</v>
      </c>
      <c r="H842" s="16" t="str">
        <f>IF(NOT(ISNUMBER(E842)),"销量或海外库存待补",IF(OR(E842&lt;=0,L842=0),IF(L842=0,"零日销，本批不发","本批无需补货"),IF(NOT(ISNUMBER(D842)),"国内库存待补",IF(D842=0,"国内无可用库存",IF(G842&gt;0,"先发国内现货","按建议量发货")))))</f>
        <v>本批无需补货</v>
      </c>
      <c r="I842" s="28" t="n">
        <f>IF(AND(COUNT(Z842,AA842,AB842)=3,Z842&gt;=AA842,AA842&gt;=0,AB842=7),Z842-AA842,"")</f>
        <v>3</v>
      </c>
      <c r="J842" s="28" t="n">
        <f>IF(AND(COUNT(AF842,AG842,AH842)=3,AF842&gt;=AG842,AG842&gt;=0,AH842=14),AF842-AG842,"")</f>
        <v>4</v>
      </c>
      <c r="K842" s="28" t="n">
        <f>IF(AND(COUNT(AL842,AM842,AN842)=3,AL842&gt;=AM842,AM842&gt;=0,AN842=30),AL842-AM842,"")</f>
        <v>8</v>
      </c>
      <c r="L842" s="29" t="n">
        <f>IF(ISNUMBER(BI842),BI842/90,"")</f>
        <v>0.2412412140151349</v>
      </c>
      <c r="M842" s="28" t="n">
        <v>25</v>
      </c>
      <c r="N842" s="28" t="n">
        <v>0</v>
      </c>
      <c r="O842" s="28" t="n">
        <v>0</v>
      </c>
      <c r="P842" s="30" t="n">
        <f>IF(AND(ISNUMBER(L842),L842&gt;0,COUNT(M842:O842)=3,MIN(M842:O842)&gt;=0),SUM(M842:O842)/L842,"")</f>
        <v>103.6307170897903</v>
      </c>
      <c r="Q842" s="16" t="str">
        <v>沿用原计划SKU店铺</v>
      </c>
      <c r="R842" s="16" t="str">
        <v>已匹配</v>
      </c>
      <c r="S842" s="16" t="str">
        <v>在售</v>
      </c>
      <c r="T842" s="16" t="str">
        <v>B06</v>
      </c>
      <c r="U842" s="16" t="str">
        <v>米色PU</v>
      </c>
      <c r="V842" s="16" t="n">
        <v>6</v>
      </c>
      <c r="W842" s="8" t="str">
        <v>2026-10-11 至 2026-10-17</v>
      </c>
      <c r="X842" s="8" t="str">
        <v>2026-10-11、2026-10-12、2026-10-13、2026-10-14、2026-10-15、2026-10-16、2026-10-17</v>
      </c>
      <c r="Y842" s="8" t="str">
        <v>无</v>
      </c>
      <c r="Z842" s="8" t="n">
        <v>3</v>
      </c>
      <c r="AA842" s="8" t="n">
        <v>0</v>
      </c>
      <c r="AB842" s="8" t="n">
        <v>7</v>
      </c>
      <c r="AC842" s="8" t="str">
        <v>2026-10-02 至 2026-10-17</v>
      </c>
      <c r="AD842" s="8" t="str">
        <v>2026-10-02、2026-10-03、2026-10-04、2026-10-05、2026-10-08、2026-10-09、2026-10-10、2026-10-11、2026-10-12、2026-10-13、2026-10-14、2026-10-15、2026-10-16、2026-10-17</v>
      </c>
      <c r="AE842" s="8" t="str">
        <v>2026-10-06 大促；2026-10-07 大促</v>
      </c>
      <c r="AF842" s="8" t="n">
        <v>4</v>
      </c>
      <c r="AG842" s="8" t="n">
        <v>0</v>
      </c>
      <c r="AH842" s="8" t="n">
        <v>14</v>
      </c>
      <c r="AI842" s="8" t="str">
        <v>2026-09-16 至 2026-10-17</v>
      </c>
      <c r="AJ8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2" s="8" t="str">
        <v>2026-10-06 大促；2026-10-07 大促</v>
      </c>
      <c r="AL842" s="8" t="n">
        <v>8</v>
      </c>
      <c r="AM842" s="8" t="n">
        <v>0</v>
      </c>
      <c r="AN842" s="8" t="n">
        <v>30</v>
      </c>
      <c r="AO842" s="8" t="str">
        <v>B06 / 米色PU / 13120</v>
      </c>
      <c r="AP842" s="11" t="n">
        <v>1.2247029157699902</v>
      </c>
      <c r="AQ842" s="11" t="n">
        <v>1.2247029157699902</v>
      </c>
      <c r="AR842" s="11" t="n">
        <v>1.1136940657346173</v>
      </c>
      <c r="AS842" s="11" t="n">
        <f>IF(AND(COUNT(I842:K842,AP842:AR842)=6,MIN(AP842:AR842)&gt;0),I842/7/AP842*0.5+J842/14/AQ842*0.3+K842/30/AR842*0.2,"")</f>
        <v>0.2928460408426899</v>
      </c>
      <c r="AT842" s="8" t="n">
        <v>25</v>
      </c>
      <c r="AU842" s="8" t="n">
        <v>0</v>
      </c>
      <c r="AV842" s="8" t="n">
        <v>88</v>
      </c>
      <c r="AW842" s="11" t="n">
        <f>IF(AND(COUNT(AT842:AV842)=3,AT842&gt;=AU842,AU842&gt;=0,AV842&gt;0),(AT842-AU842)/AV842,"")</f>
        <v>0.2840909090909091</v>
      </c>
      <c r="AX842" s="8" t="n">
        <v>45</v>
      </c>
      <c r="AY842" s="8" t="n">
        <v>0</v>
      </c>
      <c r="AZ842" s="8" t="n">
        <v>178</v>
      </c>
      <c r="BA842" s="11" t="n">
        <f>IF(AND(COUNT(AX842:AZ842)=3,AX842&gt;=AY842,AY842&gt;=0,AZ842&gt;0),(AX842-AY842)/AZ842,"")</f>
        <v>0.25280898876404495</v>
      </c>
      <c r="BB842" s="8" t="n">
        <f>IF(COUNT(AS842,AW842,BA842)=3,1,0)</f>
        <v>1</v>
      </c>
      <c r="BC842" s="11" t="n">
        <f>IF(SUMIF($AO$11:$AO$1309,AO842,$BB$11:$BB$1309)=COUNTIF($AO$11:$AO$1309,AO842),SUMIF($AO$11:$AO$1309,AO842,$AS$11:$AS$1309),"")</f>
        <v>3.5783079906501625</v>
      </c>
      <c r="BD842" s="11" t="n">
        <f>IF(SUMIF($AO$11:$AO$1309,AO842,$BB$11:$BB$1309)=COUNTIF($AO$11:$AO$1309,AO842),SUMIF($AO$11:$AO$1309,AO842,$AW$11:$AW$1309),"")</f>
        <v>3.376306165099269</v>
      </c>
      <c r="BE842" s="11" t="n">
        <f>IF(SUMIF($AO$11:$AO$1309,AO842,$BB$11:$BB$1309)=COUNTIF($AO$11:$AO$1309,AO842),SUMIF($AO$11:$AO$1309,AO842,$BA$11:$BA$1309),"")</f>
        <v>3.2539198882752487</v>
      </c>
      <c r="BF842" s="12" t="n">
        <f>IF(COUNT(BD842:BE842)&lt;&gt;2,"",IF(AND(BD842&gt;0,BE842&gt;0),0.7*AW842/BD842+0.3*BA842/BE842,IF(BD842&gt;0,AW842/BD842,IF(BE842&gt;0,BA842/BE842,IF(AND(ISNUMBER(BH842),BH842=0),0,"")))))</f>
        <v>0.08220786600592711</v>
      </c>
      <c r="BG842" s="11" t="n">
        <f>IF(AND(COUNT(BN842:BU842)=8,MIN(BN842:BU842)&gt;=0),SUMPRODUCT(BN842:BQ842,BR842:BU842),"")</f>
        <v>73.80791239847399</v>
      </c>
      <c r="BH842" s="11" t="n">
        <f>IF(COUNT(BC842,BG842)=2,BC842*BG842,"")</f>
        <v>264.10744270866667</v>
      </c>
      <c r="BI842" s="11" t="n">
        <f>IF(ISNUMBER(CI842),CI842,"")</f>
        <v>21.71170926136214</v>
      </c>
      <c r="BJ842" s="8" t="str"/>
      <c r="BK842" s="8" t="str">
        <v>90天：2026-07-20 至 2026-10-17；180天：2026-04-21 至 2026-10-17</v>
      </c>
      <c r="BL842" s="8" t="str">
        <v>90天：2026-10-06、2026-10-07；180天：2026-10-06、2026-10-07</v>
      </c>
      <c r="BM842" s="8" t="str">
        <v>2026-10：12天 × 1.2247029157699902；2026-11：30天 × 0.8332682139098497；2026-12：31天 × 0.5511018253564084；2027-01：17天 × 1.0017220238758797</v>
      </c>
      <c r="BN842" s="11" t="n">
        <v>1.2247029157699902</v>
      </c>
      <c r="BO842" s="11" t="n">
        <v>0.8332682139098497</v>
      </c>
      <c r="BP842" s="11" t="n">
        <v>0.5511018253564084</v>
      </c>
      <c r="BQ842" s="11" t="n">
        <v>1.0017220238758797</v>
      </c>
      <c r="BR842" s="8" t="n">
        <v>12</v>
      </c>
      <c r="BS842" s="8" t="n">
        <v>30</v>
      </c>
      <c r="BT842" s="8" t="n">
        <v>31</v>
      </c>
      <c r="BU842" s="8" t="n">
        <v>17</v>
      </c>
      <c r="BV842" s="11" t="n">
        <f>IF(COUNT(BC842,BF842)=2,BC842*BF842,"")</f>
        <v>0.2941650638233068</v>
      </c>
      <c r="BW842" s="11" t="n">
        <f>IF(ISNUMBER(BN842),BN842,"")</f>
        <v>1.2247029157699902</v>
      </c>
      <c r="BX842" s="14" t="n">
        <f>IF(ISNUMBER(BR842),BR842,"")</f>
        <v>12</v>
      </c>
      <c r="BY842" s="13" t="n">
        <f>IF(AND(COUNT(BV842,BW842,BX842)=3,MIN(BV842,BW842,BX842)&gt;=0),BV842*BW842*BX842,"")</f>
        <v>4.32317773658483</v>
      </c>
      <c r="BZ842" s="11" t="n">
        <f>IF(ISNUMBER(BO842),BO842,"")</f>
        <v>0.8332682139098497</v>
      </c>
      <c r="CA842" s="14" t="n">
        <f>IF(ISNUMBER(BS842),BS842,"")</f>
        <v>30</v>
      </c>
      <c r="CB842" s="13" t="n">
        <f>IF(AND(COUNT(BV842,BZ842,CA842)=3,MIN(BV842,BZ842,CA842)&gt;=0),BV842*BZ842*CA842,"")</f>
        <v>7.353551919801715</v>
      </c>
      <c r="CC842" s="11" t="n">
        <f>IF(ISNUMBER(BP842),BP842,"")</f>
        <v>0.5511018253564084</v>
      </c>
      <c r="CD842" s="14" t="n">
        <f>IF(ISNUMBER(BT842),BT842,"")</f>
        <v>31</v>
      </c>
      <c r="CE842" s="13" t="n">
        <f>IF(AND(COUNT(BV842,CC842,CD842)=3,MIN(BV842,CC842,CD842)&gt;=0),BV842*CC842*CD842,"")</f>
        <v>5.0255620125023714</v>
      </c>
      <c r="CF842" s="11" t="n">
        <f>IF(ISNUMBER(BQ842),BQ842,"")</f>
        <v>1.0017220238758797</v>
      </c>
      <c r="CG842" s="14" t="n">
        <f>IF(ISNUMBER(BU842),BU842,"")</f>
        <v>17</v>
      </c>
      <c r="CH842" s="13" t="n">
        <f>IF(AND(COUNT(BV842,CF842,CG842)=3,MIN(BV842,CF842,CG842)&gt;=0),BV842*CF842*CG842,"")</f>
        <v>5.009417592473224</v>
      </c>
      <c r="CI842" s="13" t="n">
        <f>IF(COUNT(BY842,CB842,CE842,CH842)=4,SUM(BY842,CB842,CE842,CH842),"")</f>
        <v>21.71170926136214</v>
      </c>
    </row>
    <row r="843" ht="72" customHeight="1">
      <c r="A843" s="16" t="str">
        <v>B06-BGP-37.5</v>
      </c>
      <c r="B843" s="16" t="str">
        <v>1店-MUSSHOE-US</v>
      </c>
      <c r="C843" s="16" t="str">
        <v>艾年</v>
      </c>
      <c r="D843" s="26" t="n">
        <f>IF(NOT(ISNUMBER(E843)),"",IF(OR(E843&lt;=0,L843=0),0,IF(OR(NOT(ISNUMBER(F843)),F843&lt;0),"",MIN(E843,INT(F843)))))</f>
        <v>0</v>
      </c>
      <c r="E843" s="27" t="n">
        <f>IF(OR(NOT(ISNUMBER(L843)),COUNT(M843:O843)&lt;&gt;3,MIN(M843:O843)&lt;0),"",ROUNDUP(ROUND(BI843-SUM(M843:O843),10),0))</f>
        <v>-17</v>
      </c>
      <c r="F843" s="28" t="n">
        <v>62</v>
      </c>
      <c r="G843" s="28" t="n">
        <f>IF(AND(ISNUMBER(D843),ISNUMBER(E843)),IF(OR(E843&lt;=0,L843=0),0,E843-D843),"")</f>
        <v>0</v>
      </c>
      <c r="H843" s="16" t="str">
        <f>IF(NOT(ISNUMBER(E843)),"销量或海外库存待补",IF(OR(E843&lt;=0,L843=0),IF(L843=0,"零日销，本批不发","本批无需补货"),IF(NOT(ISNUMBER(D843)),"国内库存待补",IF(D843=0,"国内无可用库存",IF(G843&gt;0,"先发国内现货","按建议量发货")))))</f>
        <v>本批无需补货</v>
      </c>
      <c r="I843" s="28" t="n">
        <f>IF(AND(COUNT(Z843,AA843,AB843)=3,Z843&gt;=AA843,AA843&gt;=0,AB843=7),Z843-AA843,"")</f>
        <v>1</v>
      </c>
      <c r="J843" s="28" t="n">
        <f>IF(AND(COUNT(AF843,AG843,AH843)=3,AF843&gt;=AG843,AG843&gt;=0,AH843=14),AF843-AG843,"")</f>
        <v>5</v>
      </c>
      <c r="K843" s="28" t="n">
        <f>IF(AND(COUNT(AL843,AM843,AN843)=3,AL843&gt;=AM843,AM843&gt;=0,AN843=30),AL843-AM843,"")</f>
        <v>8</v>
      </c>
      <c r="L843" s="29" t="n">
        <f>IF(ISNUMBER(BI843),BI843/90,"")</f>
        <v>0.2557547386934364</v>
      </c>
      <c r="M843" s="28" t="n">
        <v>40</v>
      </c>
      <c r="N843" s="28" t="n">
        <v>0</v>
      </c>
      <c r="O843" s="28" t="n">
        <v>0</v>
      </c>
      <c r="P843" s="30" t="n">
        <f>IF(AND(ISNUMBER(L843),L843&gt;0,COUNT(M843:O843)=3,MIN(M843:O843)&gt;=0),SUM(M843:O843)/L843,"")</f>
        <v>156.39983917540036</v>
      </c>
      <c r="Q843" s="16" t="str">
        <v>沿用原计划SKU店铺</v>
      </c>
      <c r="R843" s="16" t="str">
        <v>已匹配</v>
      </c>
      <c r="S843" s="16" t="str">
        <v>在售</v>
      </c>
      <c r="T843" s="16" t="str">
        <v>B06</v>
      </c>
      <c r="U843" s="16" t="str">
        <v>米色PU</v>
      </c>
      <c r="V843" s="16" t="n">
        <v>6.5</v>
      </c>
      <c r="W843" s="8" t="str">
        <v>2026-10-11 至 2026-10-17</v>
      </c>
      <c r="X843" s="8" t="str">
        <v>2026-10-11、2026-10-12、2026-10-13、2026-10-14、2026-10-15、2026-10-16、2026-10-17</v>
      </c>
      <c r="Y843" s="8" t="str">
        <v>无</v>
      </c>
      <c r="Z843" s="8" t="n">
        <v>1</v>
      </c>
      <c r="AA843" s="8" t="n">
        <v>0</v>
      </c>
      <c r="AB843" s="8" t="n">
        <v>7</v>
      </c>
      <c r="AC843" s="8" t="str">
        <v>2026-10-02 至 2026-10-17</v>
      </c>
      <c r="AD843" s="8" t="str">
        <v>2026-10-02、2026-10-03、2026-10-04、2026-10-05、2026-10-08、2026-10-09、2026-10-10、2026-10-11、2026-10-12、2026-10-13、2026-10-14、2026-10-15、2026-10-16、2026-10-17</v>
      </c>
      <c r="AE843" s="8" t="str">
        <v>2026-10-06 大促；2026-10-07 大促</v>
      </c>
      <c r="AF843" s="8" t="n">
        <v>5</v>
      </c>
      <c r="AG843" s="8" t="n">
        <v>0</v>
      </c>
      <c r="AH843" s="8" t="n">
        <v>14</v>
      </c>
      <c r="AI843" s="8" t="str">
        <v>2026-09-16 至 2026-10-17</v>
      </c>
      <c r="AJ8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3" s="8" t="str">
        <v>2026-10-06 大促；2026-10-07 大促</v>
      </c>
      <c r="AL843" s="8" t="n">
        <v>8</v>
      </c>
      <c r="AM843" s="8" t="n">
        <v>0</v>
      </c>
      <c r="AN843" s="8" t="n">
        <v>30</v>
      </c>
      <c r="AO843" s="8" t="str">
        <v>B06 / 米色PU / 13120</v>
      </c>
      <c r="AP843" s="11" t="n">
        <v>1.2247029157699902</v>
      </c>
      <c r="AQ843" s="11" t="n">
        <v>1.2247029157699902</v>
      </c>
      <c r="AR843" s="11" t="n">
        <v>1.1136940657346173</v>
      </c>
      <c r="AS843" s="11" t="n">
        <f>IF(AND(COUNT(I843:K843,AP843:AR843)=6,MIN(AP843:AR843)&gt;0),I843/7/AP843*0.5+J843/14/AQ843*0.3+K843/30/AR843*0.2,"")</f>
        <v>0.193696630920507</v>
      </c>
      <c r="AT843" s="8" t="n">
        <v>26</v>
      </c>
      <c r="AU843" s="8" t="n">
        <v>0</v>
      </c>
      <c r="AV843" s="8" t="n">
        <v>88</v>
      </c>
      <c r="AW843" s="11" t="n">
        <f>IF(AND(COUNT(AT843:AV843)=3,AT843&gt;=AU843,AU843&gt;=0,AV843&gt;0),(AT843-AU843)/AV843,"")</f>
        <v>0.29545454545454547</v>
      </c>
      <c r="AX843" s="8" t="n">
        <v>50</v>
      </c>
      <c r="AY843" s="8" t="n">
        <v>0</v>
      </c>
      <c r="AZ843" s="8" t="n">
        <v>178</v>
      </c>
      <c r="BA843" s="11" t="n">
        <f>IF(AND(COUNT(AX843:AZ843)=3,AX843&gt;=AY843,AY843&gt;=0,AZ843&gt;0),(AX843-AY843)/AZ843,"")</f>
        <v>0.2808988764044944</v>
      </c>
      <c r="BB843" s="8" t="n">
        <f>IF(COUNT(AS843,AW843,BA843)=3,1,0)</f>
        <v>1</v>
      </c>
      <c r="BC843" s="11" t="n">
        <f>IF(SUMIF($AO$11:$AO$1309,AO843,$BB$11:$BB$1309)=COUNTIF($AO$11:$AO$1309,AO843),SUMIF($AO$11:$AO$1309,AO843,$AS$11:$AS$1309),"")</f>
        <v>3.5783079906501625</v>
      </c>
      <c r="BD843" s="11" t="n">
        <f>IF(SUMIF($AO$11:$AO$1309,AO843,$BB$11:$BB$1309)=COUNTIF($AO$11:$AO$1309,AO843),SUMIF($AO$11:$AO$1309,AO843,$AW$11:$AW$1309),"")</f>
        <v>3.376306165099269</v>
      </c>
      <c r="BE843" s="11" t="n">
        <f>IF(SUMIF($AO$11:$AO$1309,AO843,$BB$11:$BB$1309)=COUNTIF($AO$11:$AO$1309,AO843),SUMIF($AO$11:$AO$1309,AO843,$BA$11:$BA$1309),"")</f>
        <v>3.2539198882752487</v>
      </c>
      <c r="BF843" s="12" t="n">
        <f>IF(COUNT(BD843:BE843)&lt;&gt;2,"",IF(AND(BD843&gt;0,BE843&gt;0),0.7*AW843/BD843+0.3*BA843/BE843,IF(BD843&gt;0,AW843/BD843,IF(BE843&gt;0,BA843/BE843,IF(AND(ISNUMBER(BH843),BH843=0),0,"")))))</f>
        <v>0.08715364567669542</v>
      </c>
      <c r="BG843" s="11" t="n">
        <f>IF(AND(COUNT(BN843:BU843)=8,MIN(BN843:BU843)&gt;=0),SUMPRODUCT(BN843:BQ843,BR843:BU843),"")</f>
        <v>73.80791239847399</v>
      </c>
      <c r="BH843" s="11" t="n">
        <f>IF(COUNT(BC843,BG843)=2,BC843*BG843,"")</f>
        <v>264.10744270866667</v>
      </c>
      <c r="BI843" s="11" t="n">
        <f>IF(ISNUMBER(CI843),CI843,"")</f>
        <v>23.017926482409276</v>
      </c>
      <c r="BJ843" s="8" t="str"/>
      <c r="BK843" s="8" t="str">
        <v>90天：2026-07-20 至 2026-10-17；180天：2026-04-21 至 2026-10-17</v>
      </c>
      <c r="BL843" s="8" t="str">
        <v>90天：2026-10-06、2026-10-07；180天：2026-10-06、2026-10-07</v>
      </c>
      <c r="BM843" s="8" t="str">
        <v>2026-10：12天 × 1.2247029157699902；2026-11：30天 × 0.8332682139098497；2026-12：31天 × 0.5511018253564084；2027-01：17天 × 1.0017220238758797</v>
      </c>
      <c r="BN843" s="11" t="n">
        <v>1.2247029157699902</v>
      </c>
      <c r="BO843" s="11" t="n">
        <v>0.8332682139098497</v>
      </c>
      <c r="BP843" s="11" t="n">
        <v>0.5511018253564084</v>
      </c>
      <c r="BQ843" s="11" t="n">
        <v>1.0017220238758797</v>
      </c>
      <c r="BR843" s="8" t="n">
        <v>12</v>
      </c>
      <c r="BS843" s="8" t="n">
        <v>30</v>
      </c>
      <c r="BT843" s="8" t="n">
        <v>31</v>
      </c>
      <c r="BU843" s="8" t="n">
        <v>17</v>
      </c>
      <c r="BV843" s="11" t="n">
        <f>IF(COUNT(BC843,BF843)=2,BC843*BF843,"")</f>
        <v>0.31186258673921224</v>
      </c>
      <c r="BW843" s="11" t="n">
        <f>IF(ISNUMBER(BN843),BN843,"")</f>
        <v>1.2247029157699902</v>
      </c>
      <c r="BX843" s="14" t="n">
        <f>IF(ISNUMBER(BR843),BR843,"")</f>
        <v>12</v>
      </c>
      <c r="BY843" s="13" t="n">
        <f>IF(AND(COUNT(BV843,BW843,BX843)=3,MIN(BV843,BW843,BX843)&gt;=0),BV843*BW843*BX843,"")</f>
        <v>4.583268231589017</v>
      </c>
      <c r="BZ843" s="11" t="n">
        <f>IF(ISNUMBER(BO843),BO843,"")</f>
        <v>0.8332682139098497</v>
      </c>
      <c r="CA843" s="14" t="n">
        <f>IF(ISNUMBER(BS843),BS843,"")</f>
        <v>30</v>
      </c>
      <c r="CB843" s="13" t="n">
        <f>IF(AND(COUNT(BV843,BZ843,CA843)=3,MIN(BV843,BZ843,CA843)&gt;=0),BV843*BZ843*CA843,"")</f>
        <v>7.795955419124669</v>
      </c>
      <c r="CC843" s="11" t="n">
        <f>IF(ISNUMBER(BP843),BP843,"")</f>
        <v>0.5511018253564084</v>
      </c>
      <c r="CD843" s="14" t="n">
        <f>IF(ISNUMBER(BT843),BT843,"")</f>
        <v>31</v>
      </c>
      <c r="CE843" s="13" t="n">
        <f>IF(AND(COUNT(BV843,CC843,CD843)=3,MIN(BV843,CC843,CD843)&gt;=0),BV843*CC843*CD843,"")</f>
        <v>5.3279092651828845</v>
      </c>
      <c r="CF843" s="11" t="n">
        <f>IF(ISNUMBER(BQ843),BQ843,"")</f>
        <v>1.0017220238758797</v>
      </c>
      <c r="CG843" s="14" t="n">
        <f>IF(ISNUMBER(BU843),BU843,"")</f>
        <v>17</v>
      </c>
      <c r="CH843" s="13" t="n">
        <f>IF(AND(COUNT(BV843,CF843,CG843)=3,MIN(BV843,CF843,CG843)&gt;=0),BV843*CF843*CG843,"")</f>
        <v>5.310793566512704</v>
      </c>
      <c r="CI843" s="13" t="n">
        <f>IF(COUNT(BY843,CB843,CE843,CH843)=4,SUM(BY843,CB843,CE843,CH843),"")</f>
        <v>23.017926482409276</v>
      </c>
    </row>
    <row r="844" ht="72" customHeight="1">
      <c r="A844" s="16" t="str">
        <v>B06-BGP-39.5</v>
      </c>
      <c r="B844" s="16" t="str">
        <v>1店-MUSSHOE-US</v>
      </c>
      <c r="C844" s="16" t="str">
        <v>艾年</v>
      </c>
      <c r="D844" s="26" t="n">
        <f>IF(NOT(ISNUMBER(E844)),"",IF(OR(E844&lt;=0,L844=0),0,IF(OR(NOT(ISNUMBER(F844)),F844&lt;0),"",MIN(E844,INT(F844)))))</f>
        <v>0</v>
      </c>
      <c r="E844" s="27" t="n">
        <f>IF(OR(NOT(ISNUMBER(L844)),COUNT(M844:O844)&lt;&gt;3,MIN(M844:O844)&lt;0),"",ROUNDUP(ROUND(BI844-SUM(M844:O844),10),0))</f>
        <v>-31</v>
      </c>
      <c r="F844" s="28" t="n">
        <v>28</v>
      </c>
      <c r="G844" s="28" t="n">
        <f>IF(AND(ISNUMBER(D844),ISNUMBER(E844)),IF(OR(E844&lt;=0,L844=0),0,E844-D844),"")</f>
        <v>0</v>
      </c>
      <c r="H844" s="16" t="str">
        <f>IF(NOT(ISNUMBER(E844)),"销量或海外库存待补",IF(OR(E844&lt;=0,L844=0),IF(L844=0,"零日销，本批不发","本批无需补货"),IF(NOT(ISNUMBER(D844)),"国内库存待补",IF(D844=0,"国内无可用库存",IF(G844&gt;0,"先发国内现货","按建议量发货")))))</f>
        <v>本批无需补货</v>
      </c>
      <c r="I844" s="28" t="n">
        <f>IF(AND(COUNT(Z844,AA844,AB844)=3,Z844&gt;=AA844,AA844&gt;=0,AB844=7),Z844-AA844,"")</f>
        <v>5</v>
      </c>
      <c r="J844" s="28" t="n">
        <f>IF(AND(COUNT(AF844,AG844,AH844)=3,AF844&gt;=AG844,AG844&gt;=0,AH844=14),AF844-AG844,"")</f>
        <v>5</v>
      </c>
      <c r="K844" s="28" t="n">
        <f>IF(AND(COUNT(AL844,AM844,AN844)=3,AL844&gt;=AM844,AM844&gt;=0,AN844=30),AL844-AM844,"")</f>
        <v>12</v>
      </c>
      <c r="L844" s="29" t="n">
        <f>IF(ISNUMBER(BI844),BI844/90,"")</f>
        <v>0.3316578544740688</v>
      </c>
      <c r="M844" s="28" t="n">
        <v>40</v>
      </c>
      <c r="N844" s="28" t="n">
        <v>0</v>
      </c>
      <c r="O844" s="28" t="n">
        <v>20</v>
      </c>
      <c r="P844" s="30" t="n">
        <f>IF(AND(ISNUMBER(L844),L844&gt;0,COUNT(M844:O844)=3,MIN(M844:O844)&gt;=0),SUM(M844:O844)/L844,"")</f>
        <v>180.90932926990635</v>
      </c>
      <c r="Q844" s="16" t="str">
        <v>沿用原计划SKU店铺</v>
      </c>
      <c r="R844" s="16" t="str">
        <v>已匹配</v>
      </c>
      <c r="S844" s="16" t="str">
        <v>在售</v>
      </c>
      <c r="T844" s="16" t="str">
        <v>B06</v>
      </c>
      <c r="U844" s="16" t="str">
        <v>米色PU</v>
      </c>
      <c r="V844" s="16" t="n">
        <v>8.5</v>
      </c>
      <c r="W844" s="8" t="str">
        <v>2026-10-11 至 2026-10-17</v>
      </c>
      <c r="X844" s="8" t="str">
        <v>2026-10-11、2026-10-12、2026-10-13、2026-10-14、2026-10-15、2026-10-16、2026-10-17</v>
      </c>
      <c r="Y844" s="8" t="str">
        <v>无</v>
      </c>
      <c r="Z844" s="8" t="n">
        <v>5</v>
      </c>
      <c r="AA844" s="8" t="n">
        <v>0</v>
      </c>
      <c r="AB844" s="8" t="n">
        <v>7</v>
      </c>
      <c r="AC844" s="8" t="str">
        <v>2026-10-02 至 2026-10-17</v>
      </c>
      <c r="AD844" s="8" t="str">
        <v>2026-10-02、2026-10-03、2026-10-04、2026-10-05、2026-10-08、2026-10-09、2026-10-10、2026-10-11、2026-10-12、2026-10-13、2026-10-14、2026-10-15、2026-10-16、2026-10-17</v>
      </c>
      <c r="AE844" s="8" t="str">
        <v>2026-10-06 大促；2026-10-07 大促</v>
      </c>
      <c r="AF844" s="8" t="n">
        <v>7</v>
      </c>
      <c r="AG844" s="8" t="n">
        <v>2</v>
      </c>
      <c r="AH844" s="8" t="n">
        <v>14</v>
      </c>
      <c r="AI844" s="8" t="str">
        <v>2026-09-16 至 2026-10-17</v>
      </c>
      <c r="AJ8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4" s="8" t="str">
        <v>2026-10-06 大促；2026-10-07 大促</v>
      </c>
      <c r="AL844" s="8" t="n">
        <v>14</v>
      </c>
      <c r="AM844" s="8" t="n">
        <v>2</v>
      </c>
      <c r="AN844" s="8" t="n">
        <v>30</v>
      </c>
      <c r="AO844" s="8" t="str">
        <v>B06 / 米色PU / 13120</v>
      </c>
      <c r="AP844" s="11" t="n">
        <v>1.2247029157699902</v>
      </c>
      <c r="AQ844" s="11" t="n">
        <v>1.2247029157699902</v>
      </c>
      <c r="AR844" s="11" t="n">
        <v>1.1136940657346173</v>
      </c>
      <c r="AS844" s="11" t="n">
        <f>IF(AND(COUNT(I844:K844,AP844:AR844)=6,MIN(AP844:AR844)&gt;0),I844/7/AP844*0.5+J844/14/AQ844*0.3+K844/30/AR844*0.2,"")</f>
        <v>0.4509336977254682</v>
      </c>
      <c r="AT844" s="8" t="n">
        <v>37</v>
      </c>
      <c r="AU844" s="8" t="n">
        <v>2</v>
      </c>
      <c r="AV844" s="8" t="n">
        <v>88</v>
      </c>
      <c r="AW844" s="11" t="n">
        <f>IF(AND(COUNT(AT844:AV844)=3,AT844&gt;=AU844,AU844&gt;=0,AV844&gt;0),(AT844-AU844)/AV844,"")</f>
        <v>0.3977272727272727</v>
      </c>
      <c r="AX844" s="8" t="n">
        <v>61</v>
      </c>
      <c r="AY844" s="8" t="n">
        <v>2</v>
      </c>
      <c r="AZ844" s="8" t="n">
        <v>178</v>
      </c>
      <c r="BA844" s="11" t="n">
        <f>IF(AND(COUNT(AX844:AZ844)=3,AX844&gt;=AY844,AY844&gt;=0,AZ844&gt;0),(AX844-AY844)/AZ844,"")</f>
        <v>0.33146067415730335</v>
      </c>
      <c r="BB844" s="8" t="n">
        <f>IF(COUNT(AS844,AW844,BA844)=3,1,0)</f>
        <v>1</v>
      </c>
      <c r="BC844" s="11" t="n">
        <f>IF(SUMIF($AO$11:$AO$1309,AO844,$BB$11:$BB$1309)=COUNTIF($AO$11:$AO$1309,AO844),SUMIF($AO$11:$AO$1309,AO844,$AS$11:$AS$1309),"")</f>
        <v>3.5783079906501625</v>
      </c>
      <c r="BD844" s="11" t="n">
        <f>IF(SUMIF($AO$11:$AO$1309,AO844,$BB$11:$BB$1309)=COUNTIF($AO$11:$AO$1309,AO844),SUMIF($AO$11:$AO$1309,AO844,$AW$11:$AW$1309),"")</f>
        <v>3.376306165099269</v>
      </c>
      <c r="BE844" s="11" t="n">
        <f>IF(SUMIF($AO$11:$AO$1309,AO844,$BB$11:$BB$1309)=COUNTIF($AO$11:$AO$1309,AO844),SUMIF($AO$11:$AO$1309,AO844,$BA$11:$BA$1309),"")</f>
        <v>3.2539198882752487</v>
      </c>
      <c r="BF844" s="12" t="n">
        <f>IF(COUNT(BD844:BE844)&lt;&gt;2,"",IF(AND(BD844&gt;0,BE844&gt;0),0.7*AW844/BD844+0.3*BA844/BE844,IF(BD844&gt;0,AW844/BD844,IF(BE844&gt;0,BA844/BE844,IF(AND(ISNUMBER(BH844),BH844=0),0,"")))))</f>
        <v>0.11301918112013391</v>
      </c>
      <c r="BG844" s="11" t="n">
        <f>IF(AND(COUNT(BN844:BU844)=8,MIN(BN844:BU844)&gt;=0),SUMPRODUCT(BN844:BQ844,BR844:BU844),"")</f>
        <v>73.80791239847399</v>
      </c>
      <c r="BH844" s="11" t="n">
        <f>IF(COUNT(BC844,BG844)=2,BC844*BG844,"")</f>
        <v>264.10744270866667</v>
      </c>
      <c r="BI844" s="11" t="n">
        <f>IF(ISNUMBER(CI844),CI844,"")</f>
        <v>29.849206902666193</v>
      </c>
      <c r="BJ844" s="8" t="str"/>
      <c r="BK844" s="8" t="str">
        <v>90天：2026-07-20 至 2026-10-17；180天：2026-04-21 至 2026-10-17</v>
      </c>
      <c r="BL844" s="8" t="str">
        <v>90天：2026-10-06、2026-10-07；180天：2026-10-06、2026-10-07</v>
      </c>
      <c r="BM844" s="8" t="str">
        <v>2026-10：12天 × 1.2247029157699902；2026-11：30天 × 0.8332682139098497；2026-12：31天 × 0.5511018253564084；2027-01：17天 × 1.0017220238758797</v>
      </c>
      <c r="BN844" s="11" t="n">
        <v>1.2247029157699902</v>
      </c>
      <c r="BO844" s="11" t="n">
        <v>0.8332682139098497</v>
      </c>
      <c r="BP844" s="11" t="n">
        <v>0.5511018253564084</v>
      </c>
      <c r="BQ844" s="11" t="n">
        <v>1.0017220238758797</v>
      </c>
      <c r="BR844" s="8" t="n">
        <v>12</v>
      </c>
      <c r="BS844" s="8" t="n">
        <v>30</v>
      </c>
      <c r="BT844" s="8" t="n">
        <v>31</v>
      </c>
      <c r="BU844" s="8" t="n">
        <v>17</v>
      </c>
      <c r="BV844" s="11" t="n">
        <f>IF(COUNT(BC844,BF844)=2,BC844*BF844,"")</f>
        <v>0.4044174388989132</v>
      </c>
      <c r="BW844" s="11" t="n">
        <f>IF(ISNUMBER(BN844),BN844,"")</f>
        <v>1.2247029157699902</v>
      </c>
      <c r="BX844" s="14" t="n">
        <f>IF(ISNUMBER(BR844),BR844,"")</f>
        <v>12</v>
      </c>
      <c r="BY844" s="13" t="n">
        <f>IF(AND(COUNT(BV844,BW844,BX844)=3,MIN(BV844,BW844,BX844)&gt;=0),BV844*BW844*BX844,"")</f>
        <v>5.94349459929277</v>
      </c>
      <c r="BZ844" s="11" t="n">
        <f>IF(ISNUMBER(BO844),BO844,"")</f>
        <v>0.8332682139098497</v>
      </c>
      <c r="CA844" s="14" t="n">
        <f>IF(ISNUMBER(BS844),BS844,"")</f>
        <v>30</v>
      </c>
      <c r="CB844" s="13" t="n">
        <f>IF(AND(COUNT(BV844,BZ844,CA844)=3,MIN(BV844,BZ844,CA844)&gt;=0),BV844*BZ844*CA844,"")</f>
        <v>10.109645909558797</v>
      </c>
      <c r="CC844" s="11" t="n">
        <f>IF(ISNUMBER(BP844),BP844,"")</f>
        <v>0.5511018253564084</v>
      </c>
      <c r="CD844" s="14" t="n">
        <f>IF(ISNUMBER(BT844),BT844,"")</f>
        <v>31</v>
      </c>
      <c r="CE844" s="13" t="n">
        <f>IF(AND(COUNT(BV844,CC844,CD844)=3,MIN(BV844,CC844,CD844)&gt;=0),BV844*CC844*CD844,"")</f>
        <v>6.9091308522778</v>
      </c>
      <c r="CF844" s="11" t="n">
        <f>IF(ISNUMBER(BQ844),BQ844,"")</f>
        <v>1.0017220238758797</v>
      </c>
      <c r="CG844" s="14" t="n">
        <f>IF(ISNUMBER(BU844),BU844,"")</f>
        <v>17</v>
      </c>
      <c r="CH844" s="13" t="n">
        <f>IF(AND(COUNT(BV844,CF844,CG844)=3,MIN(BV844,CF844,CG844)&gt;=0),BV844*CF844*CG844,"")</f>
        <v>6.886935541536826</v>
      </c>
      <c r="CI844" s="13" t="n">
        <f>IF(COUNT(BY844,CB844,CE844,CH844)=4,SUM(BY844,CB844,CE844,CH844),"")</f>
        <v>29.849206902666193</v>
      </c>
    </row>
    <row r="845" ht="72" customHeight="1">
      <c r="A845" s="16" t="str">
        <v>B06-BGP-40.5</v>
      </c>
      <c r="B845" s="16" t="str">
        <v>1店-MUSSHOE-US</v>
      </c>
      <c r="C845" s="16" t="str">
        <v>艾年</v>
      </c>
      <c r="D845" s="26" t="n">
        <f>IF(NOT(ISNUMBER(E845)),"",IF(OR(E845&lt;=0,L845=0),0,IF(OR(NOT(ISNUMBER(F845)),F845&lt;0),"",MIN(E845,INT(F845)))))</f>
        <v>0</v>
      </c>
      <c r="E845" s="27" t="n">
        <f>IF(OR(NOT(ISNUMBER(L845)),COUNT(M845:O845)&lt;&gt;3,MIN(M845:O845)&lt;0),"",ROUNDUP(ROUND(BI845-SUM(M845:O845),10),0))</f>
        <v>-8</v>
      </c>
      <c r="F845" s="28" t="n">
        <v>79</v>
      </c>
      <c r="G845" s="28" t="n">
        <f>IF(AND(ISNUMBER(D845),ISNUMBER(E845)),IF(OR(E845&lt;=0,L845=0),0,E845-D845),"")</f>
        <v>0</v>
      </c>
      <c r="H845" s="16" t="str">
        <f>IF(NOT(ISNUMBER(E845)),"销量或海外库存待补",IF(OR(E845&lt;=0,L845=0),IF(L845=0,"零日销，本批不发","本批无需补货"),IF(NOT(ISNUMBER(D845)),"国内库存待补",IF(D845=0,"国内无可用库存",IF(G845&gt;0,"先发国内现货","按建议量发货")))))</f>
        <v>本批无需补货</v>
      </c>
      <c r="I845" s="28" t="n">
        <f>IF(AND(COUNT(Z845,AA845,AB845)=3,Z845&gt;=AA845,AA845&gt;=0,AB845=7),Z845-AA845,"")</f>
        <v>4</v>
      </c>
      <c r="J845" s="28" t="n">
        <f>IF(AND(COUNT(AF845,AG845,AH845)=3,AF845&gt;=AG845,AG845&gt;=0,AH845=14),AF845-AG845,"")</f>
        <v>5</v>
      </c>
      <c r="K845" s="28" t="n">
        <f>IF(AND(COUNT(AL845,AM845,AN845)=3,AL845&gt;=AM845,AM845&gt;=0,AN845=30),AL845-AM845,"")</f>
        <v>5</v>
      </c>
      <c r="L845" s="29" t="n">
        <f>IF(ISNUMBER(BI845),BI845/90,"")</f>
        <v>0.14915682736163835</v>
      </c>
      <c r="M845" s="28" t="n">
        <v>21</v>
      </c>
      <c r="N845" s="28" t="n">
        <v>0</v>
      </c>
      <c r="O845" s="28" t="n">
        <v>0</v>
      </c>
      <c r="P845" s="30" t="n">
        <f>IF(AND(ISNUMBER(L845),L845&gt;0,COUNT(M845:O845)=3,MIN(M845:O845)&gt;=0),SUM(M845:O845)/L845,"")</f>
        <v>140.79140976285603</v>
      </c>
      <c r="Q845" s="16" t="str">
        <v>沿用原计划SKU店铺</v>
      </c>
      <c r="R845" s="16" t="str">
        <v>已匹配</v>
      </c>
      <c r="S845" s="16" t="str">
        <v>在售</v>
      </c>
      <c r="T845" s="16" t="str">
        <v>B06</v>
      </c>
      <c r="U845" s="16" t="str">
        <v>米色PU</v>
      </c>
      <c r="V845" s="16" t="n">
        <v>9.5</v>
      </c>
      <c r="W845" s="8" t="str">
        <v>2026-10-11 至 2026-10-17</v>
      </c>
      <c r="X845" s="8" t="str">
        <v>2026-10-11、2026-10-12、2026-10-13、2026-10-14、2026-10-15、2026-10-16、2026-10-17</v>
      </c>
      <c r="Y845" s="8" t="str">
        <v>无</v>
      </c>
      <c r="Z845" s="8" t="n">
        <v>4</v>
      </c>
      <c r="AA845" s="8" t="n">
        <v>0</v>
      </c>
      <c r="AB845" s="8" t="n">
        <v>7</v>
      </c>
      <c r="AC845" s="8" t="str">
        <v>2026-10-02 至 2026-10-17</v>
      </c>
      <c r="AD845" s="8" t="str">
        <v>2026-10-02、2026-10-03、2026-10-04、2026-10-05、2026-10-08、2026-10-09、2026-10-10、2026-10-11、2026-10-12、2026-10-13、2026-10-14、2026-10-15、2026-10-16、2026-10-17</v>
      </c>
      <c r="AE845" s="8" t="str">
        <v>2026-10-06 大促；2026-10-07 大促</v>
      </c>
      <c r="AF845" s="8" t="n">
        <v>7</v>
      </c>
      <c r="AG845" s="8" t="n">
        <v>2</v>
      </c>
      <c r="AH845" s="8" t="n">
        <v>14</v>
      </c>
      <c r="AI845" s="8" t="str">
        <v>2026-09-16 至 2026-10-17</v>
      </c>
      <c r="AJ8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5" s="8" t="str">
        <v>2026-10-06 大促；2026-10-07 大促</v>
      </c>
      <c r="AL845" s="8" t="n">
        <v>7</v>
      </c>
      <c r="AM845" s="8" t="n">
        <v>2</v>
      </c>
      <c r="AN845" s="8" t="n">
        <v>30</v>
      </c>
      <c r="AO845" s="8" t="str">
        <v>B06 / 米色PU / 13120</v>
      </c>
      <c r="AP845" s="11" t="n">
        <v>1.2247029157699902</v>
      </c>
      <c r="AQ845" s="11" t="n">
        <v>1.2247029157699902</v>
      </c>
      <c r="AR845" s="11" t="n">
        <v>1.1136940657346173</v>
      </c>
      <c r="AS845" s="11" t="n">
        <f>IF(AND(COUNT(I845:K845,AP845:AR845)=6,MIN(AP845:AR845)&gt;0),I845/7/AP845*0.5+J845/14/AQ845*0.3+K845/30/AR845*0.2,"")</f>
        <v>0.3507079246597847</v>
      </c>
      <c r="AT845" s="8" t="n">
        <v>15</v>
      </c>
      <c r="AU845" s="8" t="n">
        <v>2</v>
      </c>
      <c r="AV845" s="8" t="n">
        <v>88</v>
      </c>
      <c r="AW845" s="11" t="n">
        <f>IF(AND(COUNT(AT845:AV845)=3,AT845&gt;=AU845,AU845&gt;=0,AV845&gt;0),(AT845-AU845)/AV845,"")</f>
        <v>0.14772727272727273</v>
      </c>
      <c r="AX845" s="8" t="n">
        <v>41</v>
      </c>
      <c r="AY845" s="8" t="n">
        <v>2</v>
      </c>
      <c r="AZ845" s="8" t="n">
        <v>178</v>
      </c>
      <c r="BA845" s="11" t="n">
        <f>IF(AND(COUNT(AX845:AZ845)=3,AX845&gt;=AY845,AY845&gt;=0,AZ845&gt;0),(AX845-AY845)/AZ845,"")</f>
        <v>0.21910112359550563</v>
      </c>
      <c r="BB845" s="8" t="n">
        <f>IF(COUNT(AS845,AW845,BA845)=3,1,0)</f>
        <v>1</v>
      </c>
      <c r="BC845" s="11" t="n">
        <f>IF(SUMIF($AO$11:$AO$1309,AO845,$BB$11:$BB$1309)=COUNTIF($AO$11:$AO$1309,AO845),SUMIF($AO$11:$AO$1309,AO845,$AS$11:$AS$1309),"")</f>
        <v>3.5783079906501625</v>
      </c>
      <c r="BD845" s="11" t="n">
        <f>IF(SUMIF($AO$11:$AO$1309,AO845,$BB$11:$BB$1309)=COUNTIF($AO$11:$AO$1309,AO845),SUMIF($AO$11:$AO$1309,AO845,$AW$11:$AW$1309),"")</f>
        <v>3.376306165099269</v>
      </c>
      <c r="BE845" s="11" t="n">
        <f>IF(SUMIF($AO$11:$AO$1309,AO845,$BB$11:$BB$1309)=COUNTIF($AO$11:$AO$1309,AO845),SUMIF($AO$11:$AO$1309,AO845,$BA$11:$BA$1309),"")</f>
        <v>3.2539198882752487</v>
      </c>
      <c r="BF845" s="12" t="n">
        <f>IF(COUNT(BD845:BE845)&lt;&gt;2,"",IF(AND(BD845&gt;0,BE845&gt;0),0.7*AW845/BD845+0.3*BA845/BE845,IF(BD845&gt;0,AW845/BD845,IF(BE845&gt;0,BA845/BE845,IF(AND(ISNUMBER(BH845),BH845=0),0,"")))))</f>
        <v>0.05082823234692181</v>
      </c>
      <c r="BG845" s="11" t="n">
        <f>IF(AND(COUNT(BN845:BU845)=8,MIN(BN845:BU845)&gt;=0),SUMPRODUCT(BN845:BQ845,BR845:BU845),"")</f>
        <v>73.80791239847399</v>
      </c>
      <c r="BH845" s="11" t="n">
        <f>IF(COUNT(BC845,BG845)=2,BC845*BG845,"")</f>
        <v>264.10744270866667</v>
      </c>
      <c r="BI845" s="11" t="n">
        <f>IF(ISNUMBER(CI845),CI845,"")</f>
        <v>13.42411446254745</v>
      </c>
      <c r="BJ845" s="8" t="str"/>
      <c r="BK845" s="8" t="str">
        <v>90天：2026-07-20 至 2026-10-17；180天：2026-04-21 至 2026-10-17</v>
      </c>
      <c r="BL845" s="8" t="str">
        <v>90天：2026-10-06、2026-10-07；180天：2026-10-06、2026-10-07</v>
      </c>
      <c r="BM845" s="8" t="str">
        <v>2026-10：12天 × 1.2247029157699902；2026-11：30天 × 0.8332682139098497；2026-12：31天 × 0.5511018253564084；2027-01：17天 × 1.0017220238758797</v>
      </c>
      <c r="BN845" s="11" t="n">
        <v>1.2247029157699902</v>
      </c>
      <c r="BO845" s="11" t="n">
        <v>0.8332682139098497</v>
      </c>
      <c r="BP845" s="11" t="n">
        <v>0.5511018253564084</v>
      </c>
      <c r="BQ845" s="11" t="n">
        <v>1.0017220238758797</v>
      </c>
      <c r="BR845" s="8" t="n">
        <v>12</v>
      </c>
      <c r="BS845" s="8" t="n">
        <v>30</v>
      </c>
      <c r="BT845" s="8" t="n">
        <v>31</v>
      </c>
      <c r="BU845" s="8" t="n">
        <v>17</v>
      </c>
      <c r="BV845" s="11" t="n">
        <f>IF(COUNT(BC845,BF845)=2,BC845*BF845,"")</f>
        <v>0.18187906995761338</v>
      </c>
      <c r="BW845" s="11" t="n">
        <f>IF(ISNUMBER(BN845),BN845,"")</f>
        <v>1.2247029157699902</v>
      </c>
      <c r="BX845" s="14" t="n">
        <f>IF(ISNUMBER(BR845),BR845,"")</f>
        <v>12</v>
      </c>
      <c r="BY845" s="13" t="n">
        <f>IF(AND(COUNT(BV845,BW845,BX845)=3,MIN(BV845,BW845,BX845)&gt;=0),BV845*BW845*BX845,"")</f>
        <v>2.6729739275354776</v>
      </c>
      <c r="BZ845" s="11" t="n">
        <f>IF(ISNUMBER(BO845),BO845,"")</f>
        <v>0.8332682139098497</v>
      </c>
      <c r="CA845" s="14" t="n">
        <f>IF(ISNUMBER(BS845),BS845,"")</f>
        <v>30</v>
      </c>
      <c r="CB845" s="13" t="n">
        <f>IF(AND(COUNT(BV845,BZ845,CA845)=3,MIN(BV845,BZ845,CA845)&gt;=0),BV845*BZ845*CA845,"")</f>
        <v>4.546621433134953</v>
      </c>
      <c r="CC845" s="11" t="n">
        <f>IF(ISNUMBER(BP845),BP845,"")</f>
        <v>0.5511018253564084</v>
      </c>
      <c r="CD845" s="14" t="n">
        <f>IF(ISNUMBER(BT845),BT845,"")</f>
        <v>31</v>
      </c>
      <c r="CE845" s="13" t="n">
        <f>IF(AND(COUNT(BV845,CC845,CD845)=3,MIN(BV845,CC845,CD845)&gt;=0),BV845*CC845*CD845,"")</f>
        <v>3.1072505108807658</v>
      </c>
      <c r="CF845" s="11" t="n">
        <f>IF(ISNUMBER(BQ845),BQ845,"")</f>
        <v>1.0017220238758797</v>
      </c>
      <c r="CG845" s="14" t="n">
        <f>IF(ISNUMBER(BU845),BU845,"")</f>
        <v>17</v>
      </c>
      <c r="CH845" s="13" t="n">
        <f>IF(AND(COUNT(BV845,CF845,CG845)=3,MIN(BV845,CF845,CG845)&gt;=0),BV845*CF845*CG845,"")</f>
        <v>3.0972685909962543</v>
      </c>
      <c r="CI845" s="13" t="n">
        <f>IF(COUNT(BY845,CB845,CE845,CH845)=4,SUM(BY845,CB845,CE845,CH845),"")</f>
        <v>13.42411446254745</v>
      </c>
    </row>
    <row r="846" ht="72" customHeight="1">
      <c r="A846" s="16" t="str">
        <v>B06-BGP-41.5</v>
      </c>
      <c r="B846" s="16" t="str">
        <v>1店-MUSSHOE-US</v>
      </c>
      <c r="C846" s="16" t="str">
        <v>艾年</v>
      </c>
      <c r="D846" s="26" t="n">
        <f>IF(NOT(ISNUMBER(E846)),"",IF(OR(E846&lt;=0,L846=0),0,IF(OR(NOT(ISNUMBER(F846)),F846&lt;0),"",MIN(E846,INT(F846)))))</f>
        <v>0</v>
      </c>
      <c r="E846" s="27" t="n">
        <f>IF(OR(NOT(ISNUMBER(L846)),COUNT(M846:O846)&lt;&gt;3,MIN(M846:O846)&lt;0),"",ROUNDUP(ROUND(BI846-SUM(M846:O846),10),0))</f>
        <v>-1</v>
      </c>
      <c r="F846" s="28" t="n">
        <v>9</v>
      </c>
      <c r="G846" s="28" t="n">
        <f>IF(AND(ISNUMBER(D846),ISNUMBER(E846)),IF(OR(E846&lt;=0,L846=0),0,E846-D846),"")</f>
        <v>0</v>
      </c>
      <c r="H846" s="16" t="str">
        <f>IF(NOT(ISNUMBER(E846)),"销量或海外库存待补",IF(OR(E846&lt;=0,L846=0),IF(L846=0,"零日销，本批不发","本批无需补货"),IF(NOT(ISNUMBER(D846)),"国内库存待补",IF(D846=0,"国内无可用库存",IF(G846&gt;0,"先发国内现货","按建议量发货")))))</f>
        <v>本批无需补货</v>
      </c>
      <c r="I846" s="28" t="n">
        <f>IF(AND(COUNT(Z846,AA846,AB846)=3,Z846&gt;=AA846,AA846&gt;=0,AB846=7),Z846-AA846,"")</f>
        <v>0</v>
      </c>
      <c r="J846" s="28" t="n">
        <f>IF(AND(COUNT(AF846,AG846,AH846)=3,AF846&gt;=AG846,AG846&gt;=0,AH846=14),AF846-AG846,"")</f>
        <v>0</v>
      </c>
      <c r="K846" s="28" t="n">
        <f>IF(AND(COUNT(AL846,AM846,AN846)=3,AL846&gt;=AM846,AM846&gt;=0,AN846=30),AL846-AM846,"")</f>
        <v>0</v>
      </c>
      <c r="L846" s="29" t="n">
        <f>IF(ISNUMBER(BI846),BI846/90,"")</f>
        <v>0.0030399225735600255</v>
      </c>
      <c r="M846" s="28" t="n">
        <v>1</v>
      </c>
      <c r="N846" s="28" t="n">
        <v>0</v>
      </c>
      <c r="O846" s="28" t="n">
        <v>0</v>
      </c>
      <c r="P846" s="30" t="n">
        <f>IF(AND(ISNUMBER(L846),L846&gt;0,COUNT(M846:O846)=3,MIN(M846:O846)&gt;=0),SUM(M846:O846)/L846,"")</f>
        <v>328.955746668544</v>
      </c>
      <c r="Q846" s="16" t="str">
        <v>沿用原计划SKU店铺</v>
      </c>
      <c r="R846" s="16" t="str">
        <v>已匹配</v>
      </c>
      <c r="S846" s="16" t="str">
        <v>在售</v>
      </c>
      <c r="T846" s="16" t="str">
        <v>B06</v>
      </c>
      <c r="U846" s="16" t="str">
        <v>米色PU</v>
      </c>
      <c r="V846" s="16" t="n">
        <v>10.5</v>
      </c>
      <c r="W846" s="8" t="str">
        <v>2026-10-11 至 2026-10-17</v>
      </c>
      <c r="X846" s="8" t="str">
        <v>2026-10-11、2026-10-12、2026-10-13、2026-10-14、2026-10-15、2026-10-16、2026-10-17</v>
      </c>
      <c r="Y846" s="8" t="str">
        <v>无</v>
      </c>
      <c r="Z846" s="8" t="n">
        <v>0</v>
      </c>
      <c r="AA846" s="8" t="n">
        <v>0</v>
      </c>
      <c r="AB846" s="8" t="n">
        <v>7</v>
      </c>
      <c r="AC846" s="8" t="str">
        <v>2026-10-02 至 2026-10-17</v>
      </c>
      <c r="AD846" s="8" t="str">
        <v>2026-10-02、2026-10-03、2026-10-04、2026-10-05、2026-10-08、2026-10-09、2026-10-10、2026-10-11、2026-10-12、2026-10-13、2026-10-14、2026-10-15、2026-10-16、2026-10-17</v>
      </c>
      <c r="AE846" s="8" t="str">
        <v>2026-10-06 大促；2026-10-07 大促</v>
      </c>
      <c r="AF846" s="8" t="n">
        <v>0</v>
      </c>
      <c r="AG846" s="8" t="n">
        <v>0</v>
      </c>
      <c r="AH846" s="8" t="n">
        <v>14</v>
      </c>
      <c r="AI846" s="8" t="str">
        <v>2026-09-16 至 2026-10-17</v>
      </c>
      <c r="AJ8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6" s="8" t="str">
        <v>2026-10-06 大促；2026-10-07 大促</v>
      </c>
      <c r="AL846" s="8" t="n">
        <v>0</v>
      </c>
      <c r="AM846" s="8" t="n">
        <v>0</v>
      </c>
      <c r="AN846" s="8" t="n">
        <v>30</v>
      </c>
      <c r="AO846" s="8" t="str">
        <v>B06 / 米色PU / 13120</v>
      </c>
      <c r="AP846" s="11" t="n">
        <v>1.2247029157699902</v>
      </c>
      <c r="AQ846" s="11" t="n">
        <v>1.2247029157699902</v>
      </c>
      <c r="AR846" s="11" t="n">
        <v>1.1136940657346173</v>
      </c>
      <c r="AS846" s="11" t="n">
        <f>IF(AND(COUNT(I846:K846,AP846:AR846)=6,MIN(AP846:AR846)&gt;0),I846/7/AP846*0.5+J846/14/AQ846*0.3+K846/30/AR846*0.2,"")</f>
        <v>0</v>
      </c>
      <c r="AT846" s="8" t="n">
        <v>0</v>
      </c>
      <c r="AU846" s="8" t="n">
        <v>0</v>
      </c>
      <c r="AV846" s="8" t="n">
        <v>88</v>
      </c>
      <c r="AW846" s="11" t="n">
        <f>IF(AND(COUNT(AT846:AV846)=3,AT846&gt;=AU846,AU846&gt;=0,AV846&gt;0),(AT846-AU846)/AV846,"")</f>
        <v>0</v>
      </c>
      <c r="AX846" s="8" t="n">
        <v>2</v>
      </c>
      <c r="AY846" s="8" t="n">
        <v>0</v>
      </c>
      <c r="AZ846" s="8" t="n">
        <v>178</v>
      </c>
      <c r="BA846" s="11" t="n">
        <f>IF(AND(COUNT(AX846:AZ846)=3,AX846&gt;=AY846,AY846&gt;=0,AZ846&gt;0),(AX846-AY846)/AZ846,"")</f>
        <v>0.011235955056179775</v>
      </c>
      <c r="BB846" s="8" t="n">
        <f>IF(COUNT(AS846,AW846,BA846)=3,1,0)</f>
        <v>1</v>
      </c>
      <c r="BC846" s="11" t="n">
        <f>IF(SUMIF($AO$11:$AO$1309,AO846,$BB$11:$BB$1309)=COUNTIF($AO$11:$AO$1309,AO846),SUMIF($AO$11:$AO$1309,AO846,$AS$11:$AS$1309),"")</f>
        <v>3.5783079906501625</v>
      </c>
      <c r="BD846" s="11" t="n">
        <f>IF(SUMIF($AO$11:$AO$1309,AO846,$BB$11:$BB$1309)=COUNTIF($AO$11:$AO$1309,AO846),SUMIF($AO$11:$AO$1309,AO846,$AW$11:$AW$1309),"")</f>
        <v>3.376306165099269</v>
      </c>
      <c r="BE846" s="11" t="n">
        <f>IF(SUMIF($AO$11:$AO$1309,AO846,$BB$11:$BB$1309)=COUNTIF($AO$11:$AO$1309,AO846),SUMIF($AO$11:$AO$1309,AO846,$BA$11:$BA$1309),"")</f>
        <v>3.2539198882752487</v>
      </c>
      <c r="BF846" s="12" t="n">
        <f>IF(COUNT(BD846:BE846)&lt;&gt;2,"",IF(AND(BD846&gt;0,BE846&gt;0),0.7*AW846/BD846+0.3*BA846/BE846,IF(BD846&gt;0,AW846/BD846,IF(BE846&gt;0,BA846/BE846,IF(AND(ISNUMBER(BH846),BH846=0),0,"")))))</f>
        <v>0.0010359156440820148</v>
      </c>
      <c r="BG846" s="11" t="n">
        <f>IF(AND(COUNT(BN846:BU846)=8,MIN(BN846:BU846)&gt;=0),SUMPRODUCT(BN846:BQ846,BR846:BU846),"")</f>
        <v>73.80791239847399</v>
      </c>
      <c r="BH846" s="11" t="n">
        <f>IF(COUNT(BC846,BG846)=2,BC846*BG846,"")</f>
        <v>264.10744270866667</v>
      </c>
      <c r="BI846" s="11" t="n">
        <f>IF(ISNUMBER(CI846),CI846,"")</f>
        <v>0.27359303162040227</v>
      </c>
      <c r="BJ846" s="8" t="str"/>
      <c r="BK846" s="8" t="str">
        <v>90天：2026-07-20 至 2026-10-17；180天：2026-04-21 至 2026-10-17</v>
      </c>
      <c r="BL846" s="8" t="str">
        <v>90天：2026-10-06、2026-10-07；180天：2026-10-06、2026-10-07</v>
      </c>
      <c r="BM846" s="8" t="str">
        <v>2026-10：12天 × 1.2247029157699902；2026-11：30天 × 0.8332682139098497；2026-12：31天 × 0.5511018253564084；2027-01：17天 × 1.0017220238758797</v>
      </c>
      <c r="BN846" s="11" t="n">
        <v>1.2247029157699902</v>
      </c>
      <c r="BO846" s="11" t="n">
        <v>0.8332682139098497</v>
      </c>
      <c r="BP846" s="11" t="n">
        <v>0.5511018253564084</v>
      </c>
      <c r="BQ846" s="11" t="n">
        <v>1.0017220238758797</v>
      </c>
      <c r="BR846" s="8" t="n">
        <v>12</v>
      </c>
      <c r="BS846" s="8" t="n">
        <v>30</v>
      </c>
      <c r="BT846" s="8" t="n">
        <v>31</v>
      </c>
      <c r="BU846" s="8" t="n">
        <v>17</v>
      </c>
      <c r="BV846" s="11" t="n">
        <f>IF(COUNT(BC846,BF846)=2,BC846*BF846,"")</f>
        <v>0.0037068252268581832</v>
      </c>
      <c r="BW846" s="11" t="n">
        <f>IF(ISNUMBER(BN846),BN846,"")</f>
        <v>1.2247029157699902</v>
      </c>
      <c r="BX846" s="14" t="n">
        <f>IF(ISNUMBER(BR846),BR846,"")</f>
        <v>12</v>
      </c>
      <c r="BY846" s="13" t="n">
        <f>IF(AND(COUNT(BV846,BW846,BX846)=3,MIN(BV846,BW846,BX846)&gt;=0),BV846*BW846*BX846,"")</f>
        <v>0.05447711596299567</v>
      </c>
      <c r="BZ846" s="11" t="n">
        <f>IF(ISNUMBER(BO846),BO846,"")</f>
        <v>0.8332682139098497</v>
      </c>
      <c r="CA846" s="14" t="n">
        <f>IF(ISNUMBER(BS846),BS846,"")</f>
        <v>30</v>
      </c>
      <c r="CB846" s="13" t="n">
        <f>IF(AND(COUNT(BV846,BZ846,CA846)=3,MIN(BV846,BZ846,CA846)&gt;=0),BV846*BZ846*CA846,"")</f>
        <v>0.09266338908180276</v>
      </c>
      <c r="CC846" s="11" t="n">
        <f>IF(ISNUMBER(BP846),BP846,"")</f>
        <v>0.5511018253564084</v>
      </c>
      <c r="CD846" s="14" t="n">
        <f>IF(ISNUMBER(BT846),BT846,"")</f>
        <v>31</v>
      </c>
      <c r="CE846" s="13" t="n">
        <f>IF(AND(COUNT(BV846,CC846,CD846)=3,MIN(BV846,CC846,CD846)&gt;=0),BV846*CC846*CD846,"")</f>
        <v>0.06332798261276056</v>
      </c>
      <c r="CF846" s="11" t="n">
        <f>IF(ISNUMBER(BQ846),BQ846,"")</f>
        <v>1.0017220238758797</v>
      </c>
      <c r="CG846" s="14" t="n">
        <f>IF(ISNUMBER(BU846),BU846,"")</f>
        <v>17</v>
      </c>
      <c r="CH846" s="13" t="n">
        <f>IF(AND(COUNT(BV846,CF846,CG846)=3,MIN(BV846,CF846,CG846)&gt;=0),BV846*CF846*CG846,"")</f>
        <v>0.06312454396284328</v>
      </c>
      <c r="CI846" s="13" t="n">
        <f>IF(COUNT(BY846,CB846,CE846,CH846)=4,SUM(BY846,CB846,CE846,CH846),"")</f>
        <v>0.27359303162040227</v>
      </c>
    </row>
    <row r="847" ht="72" customHeight="1">
      <c r="A847" s="16" t="str">
        <v>B06-BGP-42-N</v>
      </c>
      <c r="B847" s="16" t="str">
        <v>1店-MUSSHOE-US</v>
      </c>
      <c r="C847" s="16" t="str">
        <v>艾年</v>
      </c>
      <c r="D847" s="26" t="n">
        <f>IF(NOT(ISNUMBER(E847)),"",IF(OR(E847&lt;=0,L847=0),0,IF(OR(NOT(ISNUMBER(F847)),F847&lt;0),"",MIN(E847,INT(F847)))))</f>
        <v>0</v>
      </c>
      <c r="E847" s="27" t="n">
        <f>IF(OR(NOT(ISNUMBER(L847)),COUNT(M847:O847)&lt;&gt;3,MIN(M847:O847)&lt;0),"",ROUNDUP(ROUND(BI847-SUM(M847:O847),10),0))</f>
        <v>-17</v>
      </c>
      <c r="F847" s="28" t="n">
        <v>30</v>
      </c>
      <c r="G847" s="28" t="n">
        <f>IF(AND(ISNUMBER(D847),ISNUMBER(E847)),IF(OR(E847&lt;=0,L847=0),0,E847-D847),"")</f>
        <v>0</v>
      </c>
      <c r="H847" s="16" t="str">
        <f>IF(NOT(ISNUMBER(E847)),"销量或海外库存待补",IF(OR(E847&lt;=0,L847=0),IF(L847=0,"零日销，本批不发","本批无需补货"),IF(NOT(ISNUMBER(D847)),"国内库存待补",IF(D847=0,"国内无可用库存",IF(G847&gt;0,"先发国内现货","按建议量发货")))))</f>
        <v>本批无需补货</v>
      </c>
      <c r="I847" s="28" t="n">
        <f>IF(AND(COUNT(Z847,AA847,AB847)=3,Z847&gt;=AA847,AA847&gt;=0,AB847=7),Z847-AA847,"")</f>
        <v>0</v>
      </c>
      <c r="J847" s="28" t="n">
        <f>IF(AND(COUNT(AF847,AG847,AH847)=3,AF847&gt;=AG847,AG847&gt;=0,AH847=14),AF847-AG847,"")</f>
        <v>3</v>
      </c>
      <c r="K847" s="28" t="n">
        <f>IF(AND(COUNT(AL847,AM847,AN847)=3,AL847&gt;=AM847,AM847&gt;=0,AN847=30),AL847-AM847,"")</f>
        <v>5</v>
      </c>
      <c r="L847" s="29" t="n">
        <f>IF(ISNUMBER(BI847),BI847/90,"")</f>
        <v>0.14322476712230092</v>
      </c>
      <c r="M847" s="28" t="n">
        <v>29</v>
      </c>
      <c r="N847" s="28" t="n">
        <v>0</v>
      </c>
      <c r="O847" s="28" t="n">
        <v>0</v>
      </c>
      <c r="P847" s="30" t="n">
        <f>IF(AND(ISNUMBER(L847),L847&gt;0,COUNT(M847:O847)=3,MIN(M847:O847)&gt;=0),SUM(M847:O847)/L847,"")</f>
        <v>202.4789467818554</v>
      </c>
      <c r="Q847" s="16" t="str">
        <v>沿用原计划SKU店铺</v>
      </c>
      <c r="R847" s="16" t="str">
        <v>已匹配</v>
      </c>
      <c r="S847" s="16" t="str">
        <v>在售</v>
      </c>
      <c r="T847" s="16" t="str">
        <v>B06</v>
      </c>
      <c r="U847" s="16" t="str">
        <v>米色PU</v>
      </c>
      <c r="V847" s="16" t="n">
        <v>11</v>
      </c>
      <c r="W847" s="8" t="str">
        <v>2026-10-11 至 2026-10-17</v>
      </c>
      <c r="X847" s="8" t="str">
        <v>2026-10-11、2026-10-12、2026-10-13、2026-10-14、2026-10-15、2026-10-16、2026-10-17</v>
      </c>
      <c r="Y847" s="8" t="str">
        <v>无</v>
      </c>
      <c r="Z847" s="8" t="n">
        <v>0</v>
      </c>
      <c r="AA847" s="8" t="n">
        <v>0</v>
      </c>
      <c r="AB847" s="8" t="n">
        <v>7</v>
      </c>
      <c r="AC847" s="8" t="str">
        <v>2026-10-02 至 2026-10-17</v>
      </c>
      <c r="AD847" s="8" t="str">
        <v>2026-10-02、2026-10-03、2026-10-04、2026-10-05、2026-10-08、2026-10-09、2026-10-10、2026-10-11、2026-10-12、2026-10-13、2026-10-14、2026-10-15、2026-10-16、2026-10-17</v>
      </c>
      <c r="AE847" s="8" t="str">
        <v>2026-10-06 大促；2026-10-07 大促</v>
      </c>
      <c r="AF847" s="8" t="n">
        <v>3</v>
      </c>
      <c r="AG847" s="8" t="n">
        <v>0</v>
      </c>
      <c r="AH847" s="8" t="n">
        <v>14</v>
      </c>
      <c r="AI847" s="8" t="str">
        <v>2026-09-16 至 2026-10-17</v>
      </c>
      <c r="AJ8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7" s="8" t="str">
        <v>2026-10-06 大促；2026-10-07 大促</v>
      </c>
      <c r="AL847" s="8" t="n">
        <v>5</v>
      </c>
      <c r="AM847" s="8" t="n">
        <v>0</v>
      </c>
      <c r="AN847" s="8" t="n">
        <v>30</v>
      </c>
      <c r="AO847" s="8" t="str">
        <v>B06 / 米色PU / 13120</v>
      </c>
      <c r="AP847" s="11" t="n">
        <v>1.2247029157699902</v>
      </c>
      <c r="AQ847" s="11" t="n">
        <v>1.2247029157699902</v>
      </c>
      <c r="AR847" s="11" t="n">
        <v>1.1136940657346173</v>
      </c>
      <c r="AS847" s="11" t="n">
        <f>IF(AND(COUNT(I847:K847,AP847:AR847)=6,MIN(AP847:AR847)&gt;0),I847/7/AP847*0.5+J847/14/AQ847*0.3+K847/30/AR847*0.2,"")</f>
        <v>0.08242128604681911</v>
      </c>
      <c r="AT847" s="8" t="n">
        <v>15</v>
      </c>
      <c r="AU847" s="8" t="n">
        <v>0</v>
      </c>
      <c r="AV847" s="8" t="n">
        <v>88</v>
      </c>
      <c r="AW847" s="11" t="n">
        <f>IF(AND(COUNT(AT847:AV847)=3,AT847&gt;=AU847,AU847&gt;=0,AV847&gt;0),(AT847-AU847)/AV847,"")</f>
        <v>0.17045454545454544</v>
      </c>
      <c r="AX847" s="8" t="n">
        <v>26</v>
      </c>
      <c r="AY847" s="8" t="n">
        <v>0</v>
      </c>
      <c r="AZ847" s="8" t="n">
        <v>178</v>
      </c>
      <c r="BA847" s="11" t="n">
        <f>IF(AND(COUNT(AX847:AZ847)=3,AX847&gt;=AY847,AY847&gt;=0,AZ847&gt;0),(AX847-AY847)/AZ847,"")</f>
        <v>0.14606741573033707</v>
      </c>
      <c r="BB847" s="8" t="n">
        <f>IF(COUNT(AS847,AW847,BA847)=3,1,0)</f>
        <v>1</v>
      </c>
      <c r="BC847" s="11" t="n">
        <f>IF(SUMIF($AO$11:$AO$1309,AO847,$BB$11:$BB$1309)=COUNTIF($AO$11:$AO$1309,AO847),SUMIF($AO$11:$AO$1309,AO847,$AS$11:$AS$1309),"")</f>
        <v>3.5783079906501625</v>
      </c>
      <c r="BD847" s="11" t="n">
        <f>IF(SUMIF($AO$11:$AO$1309,AO847,$BB$11:$BB$1309)=COUNTIF($AO$11:$AO$1309,AO847),SUMIF($AO$11:$AO$1309,AO847,$AW$11:$AW$1309),"")</f>
        <v>3.376306165099269</v>
      </c>
      <c r="BE847" s="11" t="n">
        <f>IF(SUMIF($AO$11:$AO$1309,AO847,$BB$11:$BB$1309)=COUNTIF($AO$11:$AO$1309,AO847),SUMIF($AO$11:$AO$1309,AO847,$BA$11:$BA$1309),"")</f>
        <v>3.2539198882752487</v>
      </c>
      <c r="BF847" s="12" t="n">
        <f>IF(COUNT(BD847:BE847)&lt;&gt;2,"",IF(AND(BD847&gt;0,BE847&gt;0),0.7*AW847/BD847+0.3*BA847/BE847,IF(BD847&gt;0,AW847/BD847,IF(BE847&gt;0,BA847/BE847,IF(AND(ISNUMBER(BH847),BH847=0),0,"")))))</f>
        <v>0.04880676178151526</v>
      </c>
      <c r="BG847" s="11" t="n">
        <f>IF(AND(COUNT(BN847:BU847)=8,MIN(BN847:BU847)&gt;=0),SUMPRODUCT(BN847:BQ847,BR847:BU847),"")</f>
        <v>73.80791239847399</v>
      </c>
      <c r="BH847" s="11" t="n">
        <f>IF(COUNT(BC847,BG847)=2,BC847*BG847,"")</f>
        <v>264.10744270866667</v>
      </c>
      <c r="BI847" s="11" t="n">
        <f>IF(ISNUMBER(CI847),CI847,"")</f>
        <v>12.890229041007084</v>
      </c>
      <c r="BJ847" s="8" t="str"/>
      <c r="BK847" s="8" t="str">
        <v>90天：2026-07-20 至 2026-10-17；180天：2026-04-21 至 2026-10-17</v>
      </c>
      <c r="BL847" s="8" t="str">
        <v>90天：2026-10-06、2026-10-07；180天：2026-10-06、2026-10-07</v>
      </c>
      <c r="BM847" s="8" t="str">
        <v>2026-10：12天 × 1.2247029157699902；2026-11：30天 × 0.8332682139098497；2026-12：31天 × 0.5511018253564084；2027-01：17天 × 1.0017220238758797</v>
      </c>
      <c r="BN847" s="11" t="n">
        <v>1.2247029157699902</v>
      </c>
      <c r="BO847" s="11" t="n">
        <v>0.8332682139098497</v>
      </c>
      <c r="BP847" s="11" t="n">
        <v>0.5511018253564084</v>
      </c>
      <c r="BQ847" s="11" t="n">
        <v>1.0017220238758797</v>
      </c>
      <c r="BR847" s="8" t="n">
        <v>12</v>
      </c>
      <c r="BS847" s="8" t="n">
        <v>30</v>
      </c>
      <c r="BT847" s="8" t="n">
        <v>31</v>
      </c>
      <c r="BU847" s="8" t="n">
        <v>17</v>
      </c>
      <c r="BV847" s="11" t="n">
        <f>IF(COUNT(BC847,BF847)=2,BC847*BF847,"")</f>
        <v>0.174645625680555</v>
      </c>
      <c r="BW847" s="11" t="n">
        <f>IF(ISNUMBER(BN847),BN847,"")</f>
        <v>1.2247029157699902</v>
      </c>
      <c r="BX847" s="14" t="n">
        <f>IF(ISNUMBER(BR847),BR847,"")</f>
        <v>12</v>
      </c>
      <c r="BY847" s="13" t="n">
        <f>IF(AND(COUNT(BV847,BW847,BX847)=3,MIN(BV847,BW847,BX847)&gt;=0),BV847*BW847*BX847,"")</f>
        <v>2.5666680839694003</v>
      </c>
      <c r="BZ847" s="11" t="n">
        <f>IF(ISNUMBER(BO847),BO847,"")</f>
        <v>0.8332682139098497</v>
      </c>
      <c r="CA847" s="14" t="n">
        <f>IF(ISNUMBER(BS847),BS847,"")</f>
        <v>30</v>
      </c>
      <c r="CB847" s="13" t="n">
        <f>IF(AND(COUNT(BV847,BZ847,CA847)=3,MIN(BV847,BZ847,CA847)&gt;=0),BV847*BZ847*CA847,"")</f>
        <v>4.3657994573401275</v>
      </c>
      <c r="CC847" s="11" t="n">
        <f>IF(ISNUMBER(BP847),BP847,"")</f>
        <v>0.5511018253564084</v>
      </c>
      <c r="CD847" s="14" t="n">
        <f>IF(ISNUMBER(BT847),BT847,"")</f>
        <v>31</v>
      </c>
      <c r="CE847" s="13" t="n">
        <f>IF(AND(COUNT(BV847,CC847,CD847)=3,MIN(BV847,CC847,CD847)&gt;=0),BV847*CC847*CD847,"")</f>
        <v>2.9836732161950428</v>
      </c>
      <c r="CF847" s="11" t="n">
        <f>IF(ISNUMBER(BQ847),BQ847,"")</f>
        <v>1.0017220238758797</v>
      </c>
      <c r="CG847" s="14" t="n">
        <f>IF(ISNUMBER(BU847),BU847,"")</f>
        <v>17</v>
      </c>
      <c r="CH847" s="13" t="n">
        <f>IF(AND(COUNT(BV847,CF847,CG847)=3,MIN(BV847,CF847,CG847)&gt;=0),BV847*CF847*CG847,"")</f>
        <v>2.9740882835025126</v>
      </c>
      <c r="CI847" s="13" t="n">
        <f>IF(COUNT(BY847,CB847,CE847,CH847)=4,SUM(BY847,CB847,CE847,CH847),"")</f>
        <v>12.890229041007084</v>
      </c>
    </row>
    <row r="848" ht="72" customHeight="1">
      <c r="A848" s="16" t="str">
        <v>B06-BK-37.5</v>
      </c>
      <c r="B848" s="16" t="str">
        <v>1店-MUSSHOE-US</v>
      </c>
      <c r="C848" s="16" t="str">
        <v>艾年</v>
      </c>
      <c r="D848" s="26" t="n">
        <f>IF(NOT(ISNUMBER(E848)),"",IF(OR(E848&lt;=0,L848=0),0,IF(OR(NOT(ISNUMBER(F848)),F848&lt;0),"",MIN(E848,INT(F848)))))</f>
        <v>0</v>
      </c>
      <c r="E848" s="27" t="n">
        <f>IF(OR(NOT(ISNUMBER(L848)),COUNT(M848:O848)&lt;&gt;3,MIN(M848:O848)&lt;0),"",ROUNDUP(ROUND(BI848-SUM(M848:O848),10),0))</f>
        <v>-15</v>
      </c>
      <c r="F848" s="28" t="n">
        <v>55</v>
      </c>
      <c r="G848" s="28" t="n">
        <f>IF(AND(ISNUMBER(D848),ISNUMBER(E848)),IF(OR(E848&lt;=0,L848=0),0,E848-D848),"")</f>
        <v>0</v>
      </c>
      <c r="H848" s="16" t="str">
        <f>IF(NOT(ISNUMBER(E848)),"销量或海外库存待补",IF(OR(E848&lt;=0,L848=0),IF(L848=0,"零日销，本批不发","本批无需补货"),IF(NOT(ISNUMBER(D848)),"国内库存待补",IF(D848=0,"国内无可用库存",IF(G848&gt;0,"先发国内现货","按建议量发货")))))</f>
        <v>本批无需补货</v>
      </c>
      <c r="I848" s="28" t="n">
        <f>IF(AND(COUNT(Z848,AA848,AB848)=3,Z848&gt;=AA848,AA848&gt;=0,AB848=7),Z848-AA848,"")</f>
        <v>5</v>
      </c>
      <c r="J848" s="28" t="n">
        <f>IF(AND(COUNT(AF848,AG848,AH848)=3,AF848&gt;=AG848,AG848&gt;=0,AH848=14),AF848-AG848,"")</f>
        <v>10</v>
      </c>
      <c r="K848" s="28" t="n">
        <f>IF(AND(COUNT(AL848,AM848,AN848)=3,AL848&gt;=AM848,AM848&gt;=0,AN848=30),AL848-AM848,"")</f>
        <v>23</v>
      </c>
      <c r="L848" s="29" t="n">
        <f>IF(ISNUMBER(BI848),BI848/90,"")</f>
        <v>0.6074055802782545</v>
      </c>
      <c r="M848" s="28" t="n">
        <v>69</v>
      </c>
      <c r="N848" s="28" t="n">
        <v>0</v>
      </c>
      <c r="O848" s="28" t="n">
        <v>0</v>
      </c>
      <c r="P848" s="30" t="n">
        <f>IF(AND(ISNUMBER(L848),L848&gt;0,COUNT(M848:O848)=3,MIN(M848:O848)&gt;=0),SUM(M848:O848)/L848,"")</f>
        <v>113.59790268701659</v>
      </c>
      <c r="Q848" s="16" t="str">
        <v>沿用原计划SKU店铺</v>
      </c>
      <c r="R848" s="16" t="str">
        <v>已匹配</v>
      </c>
      <c r="S848" s="16" t="str">
        <v>在售</v>
      </c>
      <c r="T848" s="16" t="str">
        <v>B06</v>
      </c>
      <c r="U848" s="16" t="str">
        <v>黑色羊京绒</v>
      </c>
      <c r="V848" s="16" t="n">
        <v>6.5</v>
      </c>
      <c r="W848" s="8" t="str">
        <v>2026-10-11 至 2026-10-17</v>
      </c>
      <c r="X848" s="8" t="str">
        <v>2026-10-11、2026-10-12、2026-10-13、2026-10-14、2026-10-15、2026-10-16、2026-10-17</v>
      </c>
      <c r="Y848" s="8" t="str">
        <v>无</v>
      </c>
      <c r="Z848" s="8" t="n">
        <v>5</v>
      </c>
      <c r="AA848" s="8" t="n">
        <v>0</v>
      </c>
      <c r="AB848" s="8" t="n">
        <v>7</v>
      </c>
      <c r="AC848" s="8" t="str">
        <v>2026-10-02 至 2026-10-17</v>
      </c>
      <c r="AD848" s="8" t="str">
        <v>2026-10-02、2026-10-03、2026-10-04、2026-10-05、2026-10-08、2026-10-09、2026-10-10、2026-10-11、2026-10-12、2026-10-13、2026-10-14、2026-10-15、2026-10-16、2026-10-17</v>
      </c>
      <c r="AE848" s="8" t="str">
        <v>2026-10-06 大促；2026-10-07 大促</v>
      </c>
      <c r="AF848" s="8" t="n">
        <v>19</v>
      </c>
      <c r="AG848" s="8" t="n">
        <v>9</v>
      </c>
      <c r="AH848" s="8" t="n">
        <v>14</v>
      </c>
      <c r="AI848" s="8" t="str">
        <v>2026-09-16 至 2026-10-17</v>
      </c>
      <c r="AJ8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8" s="8" t="str">
        <v>2026-10-06 大促；2026-10-07 大促</v>
      </c>
      <c r="AL848" s="8" t="n">
        <v>32</v>
      </c>
      <c r="AM848" s="8" t="n">
        <v>9</v>
      </c>
      <c r="AN848" s="8" t="n">
        <v>30</v>
      </c>
      <c r="AO848" s="8" t="str">
        <v>B06 / 黑色羊京绒 / 13120</v>
      </c>
      <c r="AP848" s="11" t="n">
        <v>1.2247029157699902</v>
      </c>
      <c r="AQ848" s="11" t="n">
        <v>1.2247029157699902</v>
      </c>
      <c r="AR848" s="11" t="n">
        <v>1.1136940657346173</v>
      </c>
      <c r="AS848" s="11" t="n">
        <f>IF(AND(COUNT(I848:K848,AP848:AR848)=6,MIN(AP848:AR848)&gt;0),I848/7/AP848*0.5+J848/14/AQ848*0.3+K848/30/AR848*0.2,"")</f>
        <v>0.6042653995210304</v>
      </c>
      <c r="AT848" s="8" t="n">
        <v>76</v>
      </c>
      <c r="AU848" s="8" t="n">
        <v>9</v>
      </c>
      <c r="AV848" s="8" t="n">
        <v>88</v>
      </c>
      <c r="AW848" s="11" t="n">
        <f>IF(AND(COUNT(AT848:AV848)=3,AT848&gt;=AU848,AU848&gt;=0,AV848&gt;0),(AT848-AU848)/AV848,"")</f>
        <v>0.7613636363636364</v>
      </c>
      <c r="AX848" s="8" t="n">
        <v>134</v>
      </c>
      <c r="AY848" s="8" t="n">
        <v>9</v>
      </c>
      <c r="AZ848" s="8" t="n">
        <v>178</v>
      </c>
      <c r="BA848" s="11" t="n">
        <f>IF(AND(COUNT(AX848:AZ848)=3,AX848&gt;=AY848,AY848&gt;=0,AZ848&gt;0),(AX848-AY848)/AZ848,"")</f>
        <v>0.702247191011236</v>
      </c>
      <c r="BB848" s="8" t="n">
        <f>IF(COUNT(AS848,AW848,BA848)=3,1,0)</f>
        <v>1</v>
      </c>
      <c r="BC848" s="11" t="n">
        <f>IF(SUMIF($AO$11:$AO$1309,AO848,$BB$11:$BB$1309)=COUNTIF($AO$11:$AO$1309,AO848),SUMIF($AO$11:$AO$1309,AO848,$AS$11:$AS$1309),"")</f>
        <v>11.479673646705146</v>
      </c>
      <c r="BD848" s="11" t="n">
        <f>IF(SUMIF($AO$11:$AO$1309,AO848,$BB$11:$BB$1309)=COUNTIF($AO$11:$AO$1309,AO848),SUMIF($AO$11:$AO$1309,AO848,$AW$11:$AW$1309),"")</f>
        <v>12.119251336898396</v>
      </c>
      <c r="BE848" s="11" t="n">
        <f>IF(SUMIF($AO$11:$AO$1309,AO848,$BB$11:$BB$1309)=COUNTIF($AO$11:$AO$1309,AO848),SUMIF($AO$11:$AO$1309,AO848,$BA$11:$BA$1309),"")</f>
        <v>10.255120385232745</v>
      </c>
      <c r="BF848" s="12" t="n">
        <f>IF(COUNT(BD848:BE848)&lt;&gt;2,"",IF(AND(BD848&gt;0,BE848&gt;0),0.7*AW848/BD848+0.3*BA848/BE848,IF(BD848&gt;0,AW848/BD848,IF(BE848&gt;0,BA848/BE848,IF(AND(ISNUMBER(BH848),BH848=0),0,"")))))</f>
        <v>0.0645191776570225</v>
      </c>
      <c r="BG848" s="11" t="n">
        <f>IF(AND(COUNT(BN848:BU848)=8,MIN(BN848:BU848)&gt;=0),SUMPRODUCT(BN848:BQ848,BR848:BU848),"")</f>
        <v>73.80791239847399</v>
      </c>
      <c r="BH848" s="11" t="n">
        <f>IF(COUNT(BC848,BG848)=2,BC848*BG848,"")</f>
        <v>847.2907468790838</v>
      </c>
      <c r="BI848" s="11" t="n">
        <f>IF(ISNUMBER(CI848),CI848,"")</f>
        <v>54.666502225042905</v>
      </c>
      <c r="BJ848" s="8" t="str">
        <v>低销提醒依据不完整</v>
      </c>
      <c r="BK848" s="8" t="str">
        <v>90天：2026-07-20 至 2026-10-17；180天：2026-04-21 至 2026-10-17</v>
      </c>
      <c r="BL848" s="8" t="str">
        <v>90天：2026-10-06、2026-10-07；180天：2026-10-06、2026-10-07</v>
      </c>
      <c r="BM848" s="8" t="str">
        <v>2026-10：12天 × 1.2247029157699902；2026-11：30天 × 0.8332682139098497；2026-12：31天 × 0.5511018253564084；2027-01：17天 × 1.0017220238758797</v>
      </c>
      <c r="BN848" s="11" t="n">
        <v>1.2247029157699902</v>
      </c>
      <c r="BO848" s="11" t="n">
        <v>0.8332682139098497</v>
      </c>
      <c r="BP848" s="11" t="n">
        <v>0.5511018253564084</v>
      </c>
      <c r="BQ848" s="11" t="n">
        <v>1.0017220238758797</v>
      </c>
      <c r="BR848" s="8" t="n">
        <v>12</v>
      </c>
      <c r="BS848" s="8" t="n">
        <v>30</v>
      </c>
      <c r="BT848" s="8" t="n">
        <v>31</v>
      </c>
      <c r="BU848" s="8" t="n">
        <v>17</v>
      </c>
      <c r="BV848" s="11" t="n">
        <f>IF(COUNT(BC848,BF848)=2,BC848*BF848,"")</f>
        <v>0.7406591034564087</v>
      </c>
      <c r="BW848" s="11" t="n">
        <f>IF(ISNUMBER(BN848),BN848,"")</f>
        <v>1.2247029157699902</v>
      </c>
      <c r="BX848" s="14" t="n">
        <f>IF(ISNUMBER(BR848),BR848,"")</f>
        <v>12</v>
      </c>
      <c r="BY848" s="13" t="n">
        <f>IF(AND(COUNT(BV848,BW848,BX848)=3,MIN(BV848,BW848,BX848)&gt;=0),BV848*BW848*BX848,"")</f>
        <v>10.885048363135807</v>
      </c>
      <c r="BZ848" s="11" t="n">
        <f>IF(ISNUMBER(BO848),BO848,"")</f>
        <v>0.8332682139098497</v>
      </c>
      <c r="CA848" s="14" t="n">
        <f>IF(ISNUMBER(BS848),BS848,"")</f>
        <v>30</v>
      </c>
      <c r="CB848" s="13" t="n">
        <f>IF(AND(COUNT(BV848,BZ848,CA848)=3,MIN(BV848,BZ848,CA848)&gt;=0),BV848*BZ848*CA848,"")</f>
        <v>18.515030647595772</v>
      </c>
      <c r="CC848" s="11" t="n">
        <f>IF(ISNUMBER(BP848),BP848,"")</f>
        <v>0.5511018253564084</v>
      </c>
      <c r="CD848" s="14" t="n">
        <f>IF(ISNUMBER(BT848),BT848,"")</f>
        <v>31</v>
      </c>
      <c r="CE848" s="13" t="n">
        <f>IF(AND(COUNT(BV848,CC848,CD848)=3,MIN(BV848,CC848,CD848)&gt;=0),BV848*CC848*CD848,"")</f>
        <v>12.653536100331701</v>
      </c>
      <c r="CF848" s="11" t="n">
        <f>IF(ISNUMBER(BQ848),BQ848,"")</f>
        <v>1.0017220238758797</v>
      </c>
      <c r="CG848" s="14" t="n">
        <f>IF(ISNUMBER(BU848),BU848,"")</f>
        <v>17</v>
      </c>
      <c r="CH848" s="13" t="n">
        <f>IF(AND(COUNT(BV848,CF848,CG848)=3,MIN(BV848,CF848,CG848)&gt;=0),BV848*CF848*CG848,"")</f>
        <v>12.612887113979621</v>
      </c>
      <c r="CI848" s="13" t="n">
        <f>IF(COUNT(BY848,CB848,CE848,CH848)=4,SUM(BY848,CB848,CE848,CH848),"")</f>
        <v>54.666502225042905</v>
      </c>
    </row>
    <row r="849" ht="72" customHeight="1">
      <c r="A849" s="16" t="str">
        <v>B06-BK-38</v>
      </c>
      <c r="B849" s="16" t="str">
        <v>1店-MUSSHOE-US</v>
      </c>
      <c r="C849" s="16" t="str">
        <v>艾年</v>
      </c>
      <c r="D849" s="26" t="n">
        <f>IF(NOT(ISNUMBER(E849)),"",IF(OR(E849&lt;=0,L849=0),0,IF(OR(NOT(ISNUMBER(F849)),F849&lt;0),"",MIN(E849,INT(F849)))))</f>
        <v>0</v>
      </c>
      <c r="E849" s="27" t="n">
        <f>IF(OR(NOT(ISNUMBER(L849)),COUNT(M849:O849)&lt;&gt;3,MIN(M849:O849)&lt;0),"",ROUNDUP(ROUND(BI849-SUM(M849:O849),10),0))</f>
        <v>-34</v>
      </c>
      <c r="F849" s="28" t="n">
        <v>5</v>
      </c>
      <c r="G849" s="28" t="n">
        <f>IF(AND(ISNUMBER(D849),ISNUMBER(E849)),IF(OR(E849&lt;=0,L849=0),0,E849-D849),"")</f>
        <v>0</v>
      </c>
      <c r="H849" s="16" t="str">
        <f>IF(NOT(ISNUMBER(E849)),"销量或海外库存待补",IF(OR(E849&lt;=0,L849=0),IF(L849=0,"零日销，本批不发","本批无需补货"),IF(NOT(ISNUMBER(D849)),"国内库存待补",IF(D849=0,"国内无可用库存",IF(G849&gt;0,"先发国内现货","按建议量发货")))))</f>
        <v>本批无需补货</v>
      </c>
      <c r="I849" s="28" t="n">
        <f>IF(AND(COUNT(Z849,AA849,AB849)=3,Z849&gt;=AA849,AA849&gt;=0,AB849=7),Z849-AA849,"")</f>
        <v>12</v>
      </c>
      <c r="J849" s="28" t="n">
        <f>IF(AND(COUNT(AF849,AG849,AH849)=3,AF849&gt;=AG849,AG849&gt;=0,AH849=14),AF849-AG849,"")</f>
        <v>20</v>
      </c>
      <c r="K849" s="28" t="n">
        <f>IF(AND(COUNT(AL849,AM849,AN849)=3,AL849&gt;=AM849,AM849&gt;=0,AN849=30),AL849-AM849,"")</f>
        <v>52</v>
      </c>
      <c r="L849" s="29" t="n">
        <f>IF(ISNUMBER(BI849),BI849/90,"")</f>
        <v>1.3229707215849191</v>
      </c>
      <c r="M849" s="28" t="n">
        <v>57</v>
      </c>
      <c r="N849" s="28" t="n">
        <v>0</v>
      </c>
      <c r="O849" s="28" t="n">
        <v>96</v>
      </c>
      <c r="P849" s="30" t="n">
        <f>IF(AND(ISNUMBER(L849),L849&gt;0,COUNT(M849:O849)=3,MIN(M849:O849)&gt;=0),SUM(M849:O849)/L849,"")</f>
        <v>115.6488178488984</v>
      </c>
      <c r="Q849" s="16" t="str">
        <v>沿用原计划SKU店铺</v>
      </c>
      <c r="R849" s="16" t="str">
        <v>已匹配</v>
      </c>
      <c r="S849" s="16" t="str">
        <v>在售</v>
      </c>
      <c r="T849" s="16" t="str">
        <v>B06</v>
      </c>
      <c r="U849" s="16" t="str">
        <v>黑色羊京绒</v>
      </c>
      <c r="V849" s="16" t="n">
        <v>7</v>
      </c>
      <c r="W849" s="8" t="str">
        <v>2026-10-11 至 2026-10-17</v>
      </c>
      <c r="X849" s="8" t="str">
        <v>2026-10-11、2026-10-12、2026-10-13、2026-10-14、2026-10-15、2026-10-16、2026-10-17</v>
      </c>
      <c r="Y849" s="8" t="str">
        <v>无</v>
      </c>
      <c r="Z849" s="8" t="n">
        <v>12</v>
      </c>
      <c r="AA849" s="8" t="n">
        <v>0</v>
      </c>
      <c r="AB849" s="8" t="n">
        <v>7</v>
      </c>
      <c r="AC849" s="8" t="str">
        <v>2026-10-02 至 2026-10-17</v>
      </c>
      <c r="AD849" s="8" t="str">
        <v>2026-10-02、2026-10-03、2026-10-04、2026-10-05、2026-10-08、2026-10-09、2026-10-10、2026-10-11、2026-10-12、2026-10-13、2026-10-14、2026-10-15、2026-10-16、2026-10-17</v>
      </c>
      <c r="AE849" s="8" t="str">
        <v>2026-10-06 大促；2026-10-07 大促</v>
      </c>
      <c r="AF849" s="8" t="n">
        <v>24</v>
      </c>
      <c r="AG849" s="8" t="n">
        <v>4</v>
      </c>
      <c r="AH849" s="8" t="n">
        <v>14</v>
      </c>
      <c r="AI849" s="8" t="str">
        <v>2026-09-16 至 2026-10-17</v>
      </c>
      <c r="AJ8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49" s="8" t="str">
        <v>2026-10-06 大促；2026-10-07 大促</v>
      </c>
      <c r="AL849" s="8" t="n">
        <v>56</v>
      </c>
      <c r="AM849" s="8" t="n">
        <v>4</v>
      </c>
      <c r="AN849" s="8" t="n">
        <v>30</v>
      </c>
      <c r="AO849" s="8" t="str">
        <v>B06 / 黑色羊京绒 / 13120</v>
      </c>
      <c r="AP849" s="11" t="n">
        <v>1.2247029157699902</v>
      </c>
      <c r="AQ849" s="11" t="n">
        <v>1.2247029157699902</v>
      </c>
      <c r="AR849" s="11" t="n">
        <v>1.1136940657346173</v>
      </c>
      <c r="AS849" s="11" t="n">
        <f>IF(AND(COUNT(I849:K849,AP849:AR849)=6,MIN(AP849:AR849)&gt;0),I849/7/AP849*0.5+J849/14/AQ849*0.3+K849/30/AR849*0.2,"")</f>
        <v>1.3610936700208367</v>
      </c>
      <c r="AT849" s="8" t="n">
        <v>153</v>
      </c>
      <c r="AU849" s="8" t="n">
        <v>4</v>
      </c>
      <c r="AV849" s="8" t="n">
        <v>88</v>
      </c>
      <c r="AW849" s="11" t="n">
        <f>IF(AND(COUNT(AT849:AV849)=3,AT849&gt;=AU849,AU849&gt;=0,AV849&gt;0),(AT849-AU849)/AV849,"")</f>
        <v>1.6931818181818181</v>
      </c>
      <c r="AX849" s="8" t="n">
        <v>264</v>
      </c>
      <c r="AY849" s="8" t="n">
        <v>4</v>
      </c>
      <c r="AZ849" s="8" t="n">
        <v>178</v>
      </c>
      <c r="BA849" s="11" t="n">
        <f>IF(AND(COUNT(AX849:AZ849)=3,AX849&gt;=AY849,AY849&gt;=0,AZ849&gt;0),(AX849-AY849)/AZ849,"")</f>
        <v>1.4606741573033708</v>
      </c>
      <c r="BB849" s="8" t="n">
        <f>IF(COUNT(AS849,AW849,BA849)=3,1,0)</f>
        <v>1</v>
      </c>
      <c r="BC849" s="11" t="n">
        <f>IF(SUMIF($AO$11:$AO$1309,AO849,$BB$11:$BB$1309)=COUNTIF($AO$11:$AO$1309,AO849),SUMIF($AO$11:$AO$1309,AO849,$AS$11:$AS$1309),"")</f>
        <v>11.479673646705146</v>
      </c>
      <c r="BD849" s="11" t="n">
        <f>IF(SUMIF($AO$11:$AO$1309,AO849,$BB$11:$BB$1309)=COUNTIF($AO$11:$AO$1309,AO849),SUMIF($AO$11:$AO$1309,AO849,$AW$11:$AW$1309),"")</f>
        <v>12.119251336898396</v>
      </c>
      <c r="BE849" s="11" t="n">
        <f>IF(SUMIF($AO$11:$AO$1309,AO849,$BB$11:$BB$1309)=COUNTIF($AO$11:$AO$1309,AO849),SUMIF($AO$11:$AO$1309,AO849,$BA$11:$BA$1309),"")</f>
        <v>10.255120385232745</v>
      </c>
      <c r="BF849" s="12" t="n">
        <f>IF(COUNT(BD849:BE849)&lt;&gt;2,"",IF(AND(BD849&gt;0,BE849&gt;0),0.7*AW849/BD849+0.3*BA849/BE849,IF(BD849&gt;0,AW849/BD849,IF(BE849&gt;0,BA849/BE849,IF(AND(ISNUMBER(BH849),BH849=0),0,"")))))</f>
        <v>0.14052716305614835</v>
      </c>
      <c r="BG849" s="11" t="n">
        <f>IF(AND(COUNT(BN849:BU849)=8,MIN(BN849:BU849)&gt;=0),SUMPRODUCT(BN849:BQ849,BR849:BU849),"")</f>
        <v>73.80791239847399</v>
      </c>
      <c r="BH849" s="11" t="n">
        <f>IF(COUNT(BC849,BG849)=2,BC849*BG849,"")</f>
        <v>847.2907468790838</v>
      </c>
      <c r="BI849" s="11" t="n">
        <f>IF(ISNUMBER(CI849),CI849,"")</f>
        <v>119.06736494264273</v>
      </c>
      <c r="BJ849" s="8" t="str">
        <v>低销提醒依据不完整</v>
      </c>
      <c r="BK849" s="8" t="str">
        <v>90天：2026-07-20 至 2026-10-17；180天：2026-04-21 至 2026-10-17</v>
      </c>
      <c r="BL849" s="8" t="str">
        <v>90天：2026-10-06、2026-10-07；180天：2026-10-06、2026-10-07</v>
      </c>
      <c r="BM849" s="8" t="str">
        <v>2026-10：12天 × 1.2247029157699902；2026-11：30天 × 0.8332682139098497；2026-12：31天 × 0.5511018253564084；2027-01：17天 × 1.0017220238758797</v>
      </c>
      <c r="BN849" s="11" t="n">
        <v>1.2247029157699902</v>
      </c>
      <c r="BO849" s="11" t="n">
        <v>0.8332682139098497</v>
      </c>
      <c r="BP849" s="11" t="n">
        <v>0.5511018253564084</v>
      </c>
      <c r="BQ849" s="11" t="n">
        <v>1.0017220238758797</v>
      </c>
      <c r="BR849" s="8" t="n">
        <v>12</v>
      </c>
      <c r="BS849" s="8" t="n">
        <v>30</v>
      </c>
      <c r="BT849" s="8" t="n">
        <v>31</v>
      </c>
      <c r="BU849" s="8" t="n">
        <v>17</v>
      </c>
      <c r="BV849" s="11" t="n">
        <f>IF(COUNT(BC849,BF849)=2,BC849*BF849,"")</f>
        <v>1.6132059703819033</v>
      </c>
      <c r="BW849" s="11" t="n">
        <f>IF(ISNUMBER(BN849),BN849,"")</f>
        <v>1.2247029157699902</v>
      </c>
      <c r="BX849" s="14" t="n">
        <f>IF(ISNUMBER(BR849),BR849,"")</f>
        <v>12</v>
      </c>
      <c r="BY849" s="13" t="n">
        <f>IF(AND(COUNT(BV849,BW849,BX849)=3,MIN(BV849,BW849,BX849)&gt;=0),BV849*BW849*BX849,"")</f>
        <v>23.70837666797128</v>
      </c>
      <c r="BZ849" s="11" t="n">
        <f>IF(ISNUMBER(BO849),BO849,"")</f>
        <v>0.8332682139098497</v>
      </c>
      <c r="CA849" s="14" t="n">
        <f>IF(ISNUMBER(BS849),BS849,"")</f>
        <v>30</v>
      </c>
      <c r="CB849" s="13" t="n">
        <f>IF(AND(COUNT(BV849,BZ849,CA849)=3,MIN(BV849,BZ849,CA849)&gt;=0),BV849*BZ849*CA849,"")</f>
        <v>40.326997728265034</v>
      </c>
      <c r="CC849" s="11" t="n">
        <f>IF(ISNUMBER(BP849),BP849,"")</f>
        <v>0.5511018253564084</v>
      </c>
      <c r="CD849" s="14" t="n">
        <f>IF(ISNUMBER(BT849),BT849,"")</f>
        <v>31</v>
      </c>
      <c r="CE849" s="13" t="n">
        <f>IF(AND(COUNT(BV849,CC849,CD849)=3,MIN(BV849,CC849,CD849)&gt;=0),BV849*CC849*CD849,"")</f>
        <v>27.560263403553012</v>
      </c>
      <c r="CF849" s="11" t="n">
        <f>IF(ISNUMBER(BQ849),BQ849,"")</f>
        <v>1.0017220238758797</v>
      </c>
      <c r="CG849" s="14" t="n">
        <f>IF(ISNUMBER(BU849),BU849,"")</f>
        <v>17</v>
      </c>
      <c r="CH849" s="13" t="n">
        <f>IF(AND(COUNT(BV849,CF849,CG849)=3,MIN(BV849,CF849,CG849)&gt;=0),BV849*CF849*CG849,"")</f>
        <v>27.471727142853414</v>
      </c>
      <c r="CI849" s="13" t="n">
        <f>IF(COUNT(BY849,CB849,CE849,CH849)=4,SUM(BY849,CB849,CE849,CH849),"")</f>
        <v>119.06736494264273</v>
      </c>
    </row>
    <row r="850" ht="72" customHeight="1">
      <c r="A850" s="16" t="str">
        <v>B06-BK-38.5</v>
      </c>
      <c r="B850" s="16" t="str">
        <v>1店-MUSSHOE-US</v>
      </c>
      <c r="C850" s="16" t="str">
        <v>艾年</v>
      </c>
      <c r="D850" s="26" t="n">
        <f>IF(NOT(ISNUMBER(E850)),"",IF(OR(E850&lt;=0,L850=0),0,IF(OR(NOT(ISNUMBER(F850)),F850&lt;0),"",MIN(E850,INT(F850)))))</f>
        <v>0</v>
      </c>
      <c r="E850" s="27" t="n">
        <f>IF(OR(NOT(ISNUMBER(L850)),COUNT(M850:O850)&lt;&gt;3,MIN(M850:O850)&lt;0),"",ROUNDUP(ROUND(BI850-SUM(M850:O850),10),0))</f>
        <v>-1</v>
      </c>
      <c r="F850" s="28" t="n">
        <v>57</v>
      </c>
      <c r="G850" s="28" t="n">
        <f>IF(AND(ISNUMBER(D850),ISNUMBER(E850)),IF(OR(E850&lt;=0,L850=0),0,E850-D850),"")</f>
        <v>0</v>
      </c>
      <c r="H850" s="16" t="str">
        <f>IF(NOT(ISNUMBER(E850)),"销量或海外库存待补",IF(OR(E850&lt;=0,L850=0),IF(L850=0,"零日销，本批不发","本批无需补货"),IF(NOT(ISNUMBER(D850)),"国内库存待补",IF(D850=0,"国内无可用库存",IF(G850&gt;0,"先发国内现货","按建议量发货")))))</f>
        <v>本批无需补货</v>
      </c>
      <c r="I850" s="28" t="n">
        <f>IF(AND(COUNT(Z850,AA850,AB850)=3,Z850&gt;=AA850,AA850&gt;=0,AB850=7),Z850-AA850,"")</f>
        <v>13</v>
      </c>
      <c r="J850" s="28" t="n">
        <f>IF(AND(COUNT(AF850,AG850,AH850)=3,AF850&gt;=AG850,AG850&gt;=0,AH850=14),AF850-AG850,"")</f>
        <v>23</v>
      </c>
      <c r="K850" s="28" t="n">
        <f>IF(AND(COUNT(AL850,AM850,AN850)=3,AL850&gt;=AM850,AM850&gt;=0,AN850=30),AL850-AM850,"")</f>
        <v>48</v>
      </c>
      <c r="L850" s="29" t="n">
        <f>IF(ISNUMBER(BI850),BI850/90,"")</f>
        <v>1.0262255475877506</v>
      </c>
      <c r="M850" s="28" t="n">
        <v>92</v>
      </c>
      <c r="N850" s="28" t="n">
        <v>0</v>
      </c>
      <c r="O850" s="28" t="n">
        <v>1</v>
      </c>
      <c r="P850" s="30" t="n">
        <f>IF(AND(ISNUMBER(L850),L850&gt;0,COUNT(M850:O850)=3,MIN(M850:O850)&gt;=0),SUM(M850:O850)/L850,"")</f>
        <v>90.62335294478501</v>
      </c>
      <c r="Q850" s="16" t="str">
        <v>沿用原计划SKU店铺</v>
      </c>
      <c r="R850" s="16" t="str">
        <v>已匹配</v>
      </c>
      <c r="S850" s="16" t="str">
        <v>在售</v>
      </c>
      <c r="T850" s="16" t="str">
        <v>B06</v>
      </c>
      <c r="U850" s="16" t="str">
        <v>黑色羊京绒</v>
      </c>
      <c r="V850" s="16" t="n">
        <v>7.5</v>
      </c>
      <c r="W850" s="8" t="str">
        <v>2026-10-11 至 2026-10-17</v>
      </c>
      <c r="X850" s="8" t="str">
        <v>2026-10-11、2026-10-12、2026-10-13、2026-10-14、2026-10-15、2026-10-16、2026-10-17</v>
      </c>
      <c r="Y850" s="8" t="str">
        <v>无</v>
      </c>
      <c r="Z850" s="8" t="n">
        <v>13</v>
      </c>
      <c r="AA850" s="8" t="n">
        <v>0</v>
      </c>
      <c r="AB850" s="8" t="n">
        <v>7</v>
      </c>
      <c r="AC850" s="8" t="str">
        <v>2026-10-02 至 2026-10-17</v>
      </c>
      <c r="AD850" s="8" t="str">
        <v>2026-10-02、2026-10-03、2026-10-04、2026-10-05、2026-10-08、2026-10-09、2026-10-10、2026-10-11、2026-10-12、2026-10-13、2026-10-14、2026-10-15、2026-10-16、2026-10-17</v>
      </c>
      <c r="AE850" s="8" t="str">
        <v>2026-10-06 大促；2026-10-07 大促</v>
      </c>
      <c r="AF850" s="8" t="n">
        <v>32</v>
      </c>
      <c r="AG850" s="8" t="n">
        <v>9</v>
      </c>
      <c r="AH850" s="8" t="n">
        <v>14</v>
      </c>
      <c r="AI850" s="8" t="str">
        <v>2026-09-16 至 2026-10-17</v>
      </c>
      <c r="AJ8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0" s="8" t="str">
        <v>2026-10-06 大促；2026-10-07 大促</v>
      </c>
      <c r="AL850" s="8" t="n">
        <v>57</v>
      </c>
      <c r="AM850" s="8" t="n">
        <v>9</v>
      </c>
      <c r="AN850" s="8" t="n">
        <v>30</v>
      </c>
      <c r="AO850" s="8" t="str">
        <v>B06 / 黑色羊京绒 / 13120</v>
      </c>
      <c r="AP850" s="11" t="n">
        <v>1.2247029157699902</v>
      </c>
      <c r="AQ850" s="11" t="n">
        <v>1.2247029157699902</v>
      </c>
      <c r="AR850" s="11" t="n">
        <v>1.1136940657346173</v>
      </c>
      <c r="AS850" s="11" t="n">
        <f>IF(AND(COUNT(I850:K850,AP850:AR850)=6,MIN(AP850:AR850)&gt;0),I850/7/AP850*0.5+J850/14/AQ850*0.3+K850/30/AR850*0.2,"")</f>
        <v>1.4479633788281574</v>
      </c>
      <c r="AT850" s="8" t="n">
        <v>125</v>
      </c>
      <c r="AU850" s="8" t="n">
        <v>9</v>
      </c>
      <c r="AV850" s="8" t="n">
        <v>88</v>
      </c>
      <c r="AW850" s="11" t="n">
        <f>IF(AND(COUNT(AT850:AV850)=3,AT850&gt;=AU850,AU850&gt;=0,AV850&gt;0),(AT850-AU850)/AV850,"")</f>
        <v>1.3181818181818181</v>
      </c>
      <c r="AX850" s="8" t="n">
        <v>209</v>
      </c>
      <c r="AY850" s="8" t="n">
        <v>9</v>
      </c>
      <c r="AZ850" s="8" t="n">
        <v>178</v>
      </c>
      <c r="BA850" s="11" t="n">
        <f>IF(AND(COUNT(AX850:AZ850)=3,AX850&gt;=AY850,AY850&gt;=0,AZ850&gt;0),(AX850-AY850)/AZ850,"")</f>
        <v>1.1235955056179776</v>
      </c>
      <c r="BB850" s="8" t="n">
        <f>IF(COUNT(AS850,AW850,BA850)=3,1,0)</f>
        <v>1</v>
      </c>
      <c r="BC850" s="11" t="n">
        <f>IF(SUMIF($AO$11:$AO$1309,AO850,$BB$11:$BB$1309)=COUNTIF($AO$11:$AO$1309,AO850),SUMIF($AO$11:$AO$1309,AO850,$AS$11:$AS$1309),"")</f>
        <v>11.479673646705146</v>
      </c>
      <c r="BD850" s="11" t="n">
        <f>IF(SUMIF($AO$11:$AO$1309,AO850,$BB$11:$BB$1309)=COUNTIF($AO$11:$AO$1309,AO850),SUMIF($AO$11:$AO$1309,AO850,$AW$11:$AW$1309),"")</f>
        <v>12.119251336898396</v>
      </c>
      <c r="BE850" s="11" t="n">
        <f>IF(SUMIF($AO$11:$AO$1309,AO850,$BB$11:$BB$1309)=COUNTIF($AO$11:$AO$1309,AO850),SUMIF($AO$11:$AO$1309,AO850,$BA$11:$BA$1309),"")</f>
        <v>10.255120385232745</v>
      </c>
      <c r="BF850" s="12" t="n">
        <f>IF(COUNT(BD850:BE850)&lt;&gt;2,"",IF(AND(BD850&gt;0,BE850&gt;0),0.7*AW850/BD850+0.3*BA850/BE850,IF(BD850&gt;0,AW850/BD850,IF(BE850&gt;0,BA850/BE850,IF(AND(ISNUMBER(BH850),BH850=0),0,"")))))</f>
        <v>0.10900661859355608</v>
      </c>
      <c r="BG850" s="11" t="n">
        <f>IF(AND(COUNT(BN850:BU850)=8,MIN(BN850:BU850)&gt;=0),SUMPRODUCT(BN850:BQ850,BR850:BU850),"")</f>
        <v>73.80791239847399</v>
      </c>
      <c r="BH850" s="11" t="n">
        <f>IF(COUNT(BC850,BG850)=2,BC850*BG850,"")</f>
        <v>847.2907468790838</v>
      </c>
      <c r="BI850" s="11" t="n">
        <f>IF(ISNUMBER(CI850),CI850,"")</f>
        <v>92.36029928289756</v>
      </c>
      <c r="BJ850" s="8" t="str">
        <v>低销提醒依据不完整</v>
      </c>
      <c r="BK850" s="8" t="str">
        <v>90天：2026-07-20 至 2026-10-17；180天：2026-04-21 至 2026-10-17</v>
      </c>
      <c r="BL850" s="8" t="str">
        <v>90天：2026-10-06、2026-10-07；180天：2026-10-06、2026-10-07</v>
      </c>
      <c r="BM850" s="8" t="str">
        <v>2026-10：12天 × 1.2247029157699902；2026-11：30天 × 0.8332682139098497；2026-12：31天 × 0.5511018253564084；2027-01：17天 × 1.0017220238758797</v>
      </c>
      <c r="BN850" s="11" t="n">
        <v>1.2247029157699902</v>
      </c>
      <c r="BO850" s="11" t="n">
        <v>0.8332682139098497</v>
      </c>
      <c r="BP850" s="11" t="n">
        <v>0.5511018253564084</v>
      </c>
      <c r="BQ850" s="11" t="n">
        <v>1.0017220238758797</v>
      </c>
      <c r="BR850" s="8" t="n">
        <v>12</v>
      </c>
      <c r="BS850" s="8" t="n">
        <v>30</v>
      </c>
      <c r="BT850" s="8" t="n">
        <v>31</v>
      </c>
      <c r="BU850" s="8" t="n">
        <v>17</v>
      </c>
      <c r="BV850" s="11" t="n">
        <f>IF(COUNT(BC850,BF850)=2,BC850*BF850,"")</f>
        <v>1.251360406784885</v>
      </c>
      <c r="BW850" s="11" t="n">
        <f>IF(ISNUMBER(BN850),BN850,"")</f>
        <v>1.2247029157699902</v>
      </c>
      <c r="BX850" s="14" t="n">
        <f>IF(ISNUMBER(BR850),BR850,"")</f>
        <v>12</v>
      </c>
      <c r="BY850" s="13" t="n">
        <f>IF(AND(COUNT(BV850,BW850,BX850)=3,MIN(BV850,BW850,BX850)&gt;=0),BV850*BW850*BX850,"")</f>
        <v>18.390536866422835</v>
      </c>
      <c r="BZ850" s="11" t="n">
        <f>IF(ISNUMBER(BO850),BO850,"")</f>
        <v>0.8332682139098497</v>
      </c>
      <c r="CA850" s="14" t="n">
        <f>IF(ISNUMBER(BS850),BS850,"")</f>
        <v>30</v>
      </c>
      <c r="CB850" s="13" t="n">
        <f>IF(AND(COUNT(BV850,BZ850,CA850)=3,MIN(BV850,BZ850,CA850)&gt;=0),BV850*BZ850*CA850,"")</f>
        <v>31.281565533574323</v>
      </c>
      <c r="CC850" s="11" t="n">
        <f>IF(ISNUMBER(BP850),BP850,"")</f>
        <v>0.5511018253564084</v>
      </c>
      <c r="CD850" s="14" t="n">
        <f>IF(ISNUMBER(BT850),BT850,"")</f>
        <v>31</v>
      </c>
      <c r="CE850" s="13" t="n">
        <f>IF(AND(COUNT(BV850,CC850,CD850)=3,MIN(BV850,CC850,CD850)&gt;=0),BV850*CC850*CD850,"")</f>
        <v>21.378437135094522</v>
      </c>
      <c r="CF850" s="11" t="n">
        <f>IF(ISNUMBER(BQ850),BQ850,"")</f>
        <v>1.0017220238758797</v>
      </c>
      <c r="CG850" s="14" t="n">
        <f>IF(ISNUMBER(BU850),BU850,"")</f>
        <v>17</v>
      </c>
      <c r="CH850" s="13" t="n">
        <f>IF(AND(COUNT(BV850,CF850,CG850)=3,MIN(BV850,CF850,CG850)&gt;=0),BV850*CF850*CG850,"")</f>
        <v>21.309759747805884</v>
      </c>
      <c r="CI850" s="13" t="n">
        <f>IF(COUNT(BY850,CB850,CE850,CH850)=4,SUM(BY850,CB850,CE850,CH850),"")</f>
        <v>92.36029928289756</v>
      </c>
    </row>
    <row r="851" ht="72" customHeight="1">
      <c r="A851" s="16" t="str">
        <v>B06-BK-39.5</v>
      </c>
      <c r="B851" s="16" t="str">
        <v>1店-MUSSHOE-US</v>
      </c>
      <c r="C851" s="16" t="str">
        <v>艾年</v>
      </c>
      <c r="D851" s="26" t="n">
        <f>IF(NOT(ISNUMBER(E851)),"",IF(OR(E851&lt;=0,L851=0),0,IF(OR(NOT(ISNUMBER(F851)),F851&lt;0),"",MIN(E851,INT(F851)))))</f>
        <v>0</v>
      </c>
      <c r="E851" s="27" t="n">
        <f>IF(OR(NOT(ISNUMBER(L851)),COUNT(M851:O851)&lt;&gt;3,MIN(M851:O851)&lt;0),"",ROUNDUP(ROUND(BI851-SUM(M851:O851),10),0))</f>
        <v>-26</v>
      </c>
      <c r="F851" s="28" t="n">
        <v>20</v>
      </c>
      <c r="G851" s="28" t="n">
        <f>IF(AND(ISNUMBER(D851),ISNUMBER(E851)),IF(OR(E851&lt;=0,L851=0),0,E851-D851),"")</f>
        <v>0</v>
      </c>
      <c r="H851" s="16" t="str">
        <f>IF(NOT(ISNUMBER(E851)),"销量或海外库存待补",IF(OR(E851&lt;=0,L851=0),IF(L851=0,"零日销，本批不发","本批无需补货"),IF(NOT(ISNUMBER(D851)),"国内库存待补",IF(D851=0,"国内无可用库存",IF(G851&gt;0,"先发国内现货","按建议量发货")))))</f>
        <v>本批无需补货</v>
      </c>
      <c r="I851" s="28" t="n">
        <f>IF(AND(COUNT(Z851,AA851,AB851)=3,Z851&gt;=AA851,AA851&gt;=0,AB851=7),Z851-AA851,"")</f>
        <v>12</v>
      </c>
      <c r="J851" s="28" t="n">
        <f>IF(AND(COUNT(AF851,AG851,AH851)=3,AF851&gt;=AG851,AG851&gt;=0,AH851=14),AF851-AG851,"")</f>
        <v>17</v>
      </c>
      <c r="K851" s="28" t="n">
        <f>IF(AND(COUNT(AL851,AM851,AN851)=3,AL851&gt;=AM851,AM851&gt;=0,AN851=30),AL851-AM851,"")</f>
        <v>49</v>
      </c>
      <c r="L851" s="29" t="n">
        <f>IF(ISNUMBER(BI851),BI851/90,"")</f>
        <v>1.0401019976797596</v>
      </c>
      <c r="M851" s="28" t="n">
        <v>41</v>
      </c>
      <c r="N851" s="28" t="n">
        <v>0</v>
      </c>
      <c r="O851" s="28" t="n">
        <v>78</v>
      </c>
      <c r="P851" s="30" t="n">
        <f>IF(AND(ISNUMBER(L851),L851&gt;0,COUNT(M851:O851)=3,MIN(M851:O851)&gt;=0),SUM(M851:O851)/L851,"")</f>
        <v>114.41185601552829</v>
      </c>
      <c r="Q851" s="16" t="str">
        <v>沿用原计划SKU店铺</v>
      </c>
      <c r="R851" s="16" t="str">
        <v>已匹配</v>
      </c>
      <c r="S851" s="16" t="str">
        <v>在售</v>
      </c>
      <c r="T851" s="16" t="str">
        <v>B06</v>
      </c>
      <c r="U851" s="16" t="str">
        <v>黑色羊京绒</v>
      </c>
      <c r="V851" s="16" t="n">
        <v>8.5</v>
      </c>
      <c r="W851" s="8" t="str">
        <v>2026-10-11 至 2026-10-17</v>
      </c>
      <c r="X851" s="8" t="str">
        <v>2026-10-11、2026-10-12、2026-10-13、2026-10-14、2026-10-15、2026-10-16、2026-10-17</v>
      </c>
      <c r="Y851" s="8" t="str">
        <v>无</v>
      </c>
      <c r="Z851" s="8" t="n">
        <v>12</v>
      </c>
      <c r="AA851" s="8" t="n">
        <v>0</v>
      </c>
      <c r="AB851" s="8" t="n">
        <v>7</v>
      </c>
      <c r="AC851" s="8" t="str">
        <v>2026-10-02 至 2026-10-17</v>
      </c>
      <c r="AD851" s="8" t="str">
        <v>2026-10-02、2026-10-03、2026-10-04、2026-10-05、2026-10-08、2026-10-09、2026-10-10、2026-10-11、2026-10-12、2026-10-13、2026-10-14、2026-10-15、2026-10-16、2026-10-17</v>
      </c>
      <c r="AE851" s="8" t="str">
        <v>2026-10-06 大促；2026-10-07 大促</v>
      </c>
      <c r="AF851" s="8" t="n">
        <v>22</v>
      </c>
      <c r="AG851" s="8" t="n">
        <v>5</v>
      </c>
      <c r="AH851" s="8" t="n">
        <v>14</v>
      </c>
      <c r="AI851" s="8" t="str">
        <v>2026-09-16 至 2026-10-17</v>
      </c>
      <c r="AJ8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1" s="8" t="str">
        <v>2026-10-06 大促；2026-10-07 大促</v>
      </c>
      <c r="AL851" s="8" t="n">
        <v>54</v>
      </c>
      <c r="AM851" s="8" t="n">
        <v>5</v>
      </c>
      <c r="AN851" s="8" t="n">
        <v>30</v>
      </c>
      <c r="AO851" s="8" t="str">
        <v>B06 / 黑色羊京绒 / 13120</v>
      </c>
      <c r="AP851" s="11" t="n">
        <v>1.2247029157699902</v>
      </c>
      <c r="AQ851" s="11" t="n">
        <v>1.2247029157699902</v>
      </c>
      <c r="AR851" s="11" t="n">
        <v>1.1136940657346173</v>
      </c>
      <c r="AS851" s="11" t="n">
        <f>IF(AND(COUNT(I851:K851,AP851:AR851)=6,MIN(AP851:AR851)&gt;0),I851/7/AP851*0.5+J851/14/AQ851*0.3+K851/30/AR851*0.2,"")</f>
        <v>1.2906445527621653</v>
      </c>
      <c r="AT851" s="8" t="n">
        <v>126</v>
      </c>
      <c r="AU851" s="8" t="n">
        <v>5</v>
      </c>
      <c r="AV851" s="8" t="n">
        <v>88</v>
      </c>
      <c r="AW851" s="11" t="n">
        <f>IF(AND(COUNT(AT851:AV851)=3,AT851&gt;=AU851,AU851&gt;=0,AV851&gt;0),(AT851-AU851)/AV851,"")</f>
        <v>1.375</v>
      </c>
      <c r="AX851" s="8" t="n">
        <v>194</v>
      </c>
      <c r="AY851" s="8" t="n">
        <v>5</v>
      </c>
      <c r="AZ851" s="8" t="n">
        <v>178</v>
      </c>
      <c r="BA851" s="11" t="n">
        <f>IF(AND(COUNT(AX851:AZ851)=3,AX851&gt;=AY851,AY851&gt;=0,AZ851&gt;0),(AX851-AY851)/AZ851,"")</f>
        <v>1.0617977528089888</v>
      </c>
      <c r="BB851" s="8" t="n">
        <f>IF(COUNT(AS851,AW851,BA851)=3,1,0)</f>
        <v>1</v>
      </c>
      <c r="BC851" s="11" t="n">
        <f>IF(SUMIF($AO$11:$AO$1309,AO851,$BB$11:$BB$1309)=COUNTIF($AO$11:$AO$1309,AO851),SUMIF($AO$11:$AO$1309,AO851,$AS$11:$AS$1309),"")</f>
        <v>11.479673646705146</v>
      </c>
      <c r="BD851" s="11" t="n">
        <f>IF(SUMIF($AO$11:$AO$1309,AO851,$BB$11:$BB$1309)=COUNTIF($AO$11:$AO$1309,AO851),SUMIF($AO$11:$AO$1309,AO851,$AW$11:$AW$1309),"")</f>
        <v>12.119251336898396</v>
      </c>
      <c r="BE851" s="11" t="n">
        <f>IF(SUMIF($AO$11:$AO$1309,AO851,$BB$11:$BB$1309)=COUNTIF($AO$11:$AO$1309,AO851),SUMIF($AO$11:$AO$1309,AO851,$BA$11:$BA$1309),"")</f>
        <v>10.255120385232745</v>
      </c>
      <c r="BF851" s="12" t="n">
        <f>IF(COUNT(BD851:BE851)&lt;&gt;2,"",IF(AND(BD851&gt;0,BE851&gt;0),0.7*AW851/BD851+0.3*BA851/BE851,IF(BD851&gt;0,AW851/BD851,IF(BE851&gt;0,BA851/BE851,IF(AND(ISNUMBER(BH851),BH851=0),0,"")))))</f>
        <v>0.11048058784541079</v>
      </c>
      <c r="BG851" s="11" t="n">
        <f>IF(AND(COUNT(BN851:BU851)=8,MIN(BN851:BU851)&gt;=0),SUMPRODUCT(BN851:BQ851,BR851:BU851),"")</f>
        <v>73.80791239847399</v>
      </c>
      <c r="BH851" s="11" t="n">
        <f>IF(COUNT(BC851,BG851)=2,BC851*BG851,"")</f>
        <v>847.2907468790838</v>
      </c>
      <c r="BI851" s="11" t="n">
        <f>IF(ISNUMBER(CI851),CI851,"")</f>
        <v>93.60917979117836</v>
      </c>
      <c r="BJ851" s="8" t="str">
        <v>低销提醒依据不完整</v>
      </c>
      <c r="BK851" s="8" t="str">
        <v>90天：2026-07-20 至 2026-10-17；180天：2026-04-21 至 2026-10-17</v>
      </c>
      <c r="BL851" s="8" t="str">
        <v>90天：2026-10-06、2026-10-07；180天：2026-10-06、2026-10-07</v>
      </c>
      <c r="BM851" s="8" t="str">
        <v>2026-10：12天 × 1.2247029157699902；2026-11：30天 × 0.8332682139098497；2026-12：31天 × 0.5511018253564084；2027-01：17天 × 1.0017220238758797</v>
      </c>
      <c r="BN851" s="11" t="n">
        <v>1.2247029157699902</v>
      </c>
      <c r="BO851" s="11" t="n">
        <v>0.8332682139098497</v>
      </c>
      <c r="BP851" s="11" t="n">
        <v>0.5511018253564084</v>
      </c>
      <c r="BQ851" s="11" t="n">
        <v>1.0017220238758797</v>
      </c>
      <c r="BR851" s="8" t="n">
        <v>12</v>
      </c>
      <c r="BS851" s="8" t="n">
        <v>30</v>
      </c>
      <c r="BT851" s="8" t="n">
        <v>31</v>
      </c>
      <c r="BU851" s="8" t="n">
        <v>17</v>
      </c>
      <c r="BV851" s="11" t="n">
        <f>IF(COUNT(BC851,BF851)=2,BC851*BF851,"")</f>
        <v>1.2682810927614552</v>
      </c>
      <c r="BW851" s="11" t="n">
        <f>IF(ISNUMBER(BN851),BN851,"")</f>
        <v>1.2247029157699902</v>
      </c>
      <c r="BX851" s="14" t="n">
        <f>IF(ISNUMBER(BR851),BR851,"")</f>
        <v>12</v>
      </c>
      <c r="BY851" s="13" t="n">
        <f>IF(AND(COUNT(BV851,BW851,BX851)=3,MIN(BV851,BW851,BX851)&gt;=0),BV851*BW851*BX851,"")</f>
        <v>18.639210627850844</v>
      </c>
      <c r="BZ851" s="11" t="n">
        <f>IF(ISNUMBER(BO851),BO851,"")</f>
        <v>0.8332682139098497</v>
      </c>
      <c r="CA851" s="14" t="n">
        <f>IF(ISNUMBER(BS851),BS851,"")</f>
        <v>30</v>
      </c>
      <c r="CB851" s="13" t="n">
        <f>IF(AND(COUNT(BV851,BZ851,CA851)=3,MIN(BV851,BZ851,CA851)&gt;=0),BV851*BZ851*CA851,"")</f>
        <v>31.70454962702911</v>
      </c>
      <c r="CC851" s="11" t="n">
        <f>IF(ISNUMBER(BP851),BP851,"")</f>
        <v>0.5511018253564084</v>
      </c>
      <c r="CD851" s="14" t="n">
        <f>IF(ISNUMBER(BT851),BT851,"")</f>
        <v>31</v>
      </c>
      <c r="CE851" s="13" t="n">
        <f>IF(AND(COUNT(BV851,CC851,CD851)=3,MIN(BV851,CC851,CD851)&gt;=0),BV851*CC851*CD851,"")</f>
        <v>21.667512783861607</v>
      </c>
      <c r="CF851" s="11" t="n">
        <f>IF(ISNUMBER(BQ851),BQ851,"")</f>
        <v>1.0017220238758797</v>
      </c>
      <c r="CG851" s="14" t="n">
        <f>IF(ISNUMBER(BU851),BU851,"")</f>
        <v>17</v>
      </c>
      <c r="CH851" s="13" t="n">
        <f>IF(AND(COUNT(BV851,CF851,CG851)=3,MIN(BV851,CF851,CG851)&gt;=0),BV851*CF851*CG851,"")</f>
        <v>21.597906752436796</v>
      </c>
      <c r="CI851" s="13" t="n">
        <f>IF(COUNT(BY851,CB851,CE851,CH851)=4,SUM(BY851,CB851,CE851,CH851),"")</f>
        <v>93.60917979117836</v>
      </c>
    </row>
    <row r="852" ht="72" customHeight="1">
      <c r="A852" s="16" t="str">
        <v>B06-BK-40</v>
      </c>
      <c r="B852" s="16" t="str">
        <v>1店-MUSSHOE-US</v>
      </c>
      <c r="C852" s="16" t="str">
        <v>艾年</v>
      </c>
      <c r="D852" s="26" t="n">
        <f>IF(NOT(ISNUMBER(E852)),"",IF(OR(E852&lt;=0,L852=0),0,IF(OR(NOT(ISNUMBER(F852)),F852&lt;0),"",MIN(E852,INT(F852)))))</f>
        <v>0</v>
      </c>
      <c r="E852" s="27" t="n">
        <f>IF(OR(NOT(ISNUMBER(L852)),COUNT(M852:O852)&lt;&gt;3,MIN(M852:O852)&lt;0),"",ROUNDUP(ROUND(BI852-SUM(M852:O852),10),0))</f>
        <v>-97</v>
      </c>
      <c r="F852" s="28" t="n">
        <v>0</v>
      </c>
      <c r="G852" s="28" t="n">
        <f>IF(AND(ISNUMBER(D852),ISNUMBER(E852)),IF(OR(E852&lt;=0,L852=0),0,E852-D852),"")</f>
        <v>0</v>
      </c>
      <c r="H852" s="16" t="str">
        <f>IF(NOT(ISNUMBER(E852)),"销量或海外库存待补",IF(OR(E852&lt;=0,L852=0),IF(L852=0,"零日销，本批不发","本批无需补货"),IF(NOT(ISNUMBER(D852)),"国内库存待补",IF(D852=0,"国内无可用库存",IF(G852&gt;0,"先发国内现货","按建议量发货")))))</f>
        <v>本批无需补货</v>
      </c>
      <c r="I852" s="28" t="n">
        <f>IF(AND(COUNT(Z852,AA852,AB852)=3,Z852&gt;=AA852,AA852&gt;=0,AB852=7),Z852-AA852,"")</f>
        <v>8</v>
      </c>
      <c r="J852" s="28" t="n">
        <f>IF(AND(COUNT(AF852,AG852,AH852)=3,AF852&gt;=AG852,AG852&gt;=0,AH852=14),AF852-AG852,"")</f>
        <v>15</v>
      </c>
      <c r="K852" s="28" t="n">
        <f>IF(AND(COUNT(AL852,AM852,AN852)=3,AL852&gt;=AM852,AM852&gt;=0,AN852=30),AL852-AM852,"")</f>
        <v>39</v>
      </c>
      <c r="L852" s="29" t="n">
        <f>IF(ISNUMBER(BI852),BI852/90,"")</f>
        <v>0.9581966003717081</v>
      </c>
      <c r="M852" s="28" t="n">
        <v>64</v>
      </c>
      <c r="N852" s="28" t="n">
        <v>0</v>
      </c>
      <c r="O852" s="28" t="n">
        <v>119</v>
      </c>
      <c r="P852" s="30" t="n">
        <f>IF(AND(ISNUMBER(L852),L852&gt;0,COUNT(M852:O852)=3,MIN(M852:O852)&gt;=0),SUM(M852:O852)/L852,"")</f>
        <v>190.98377089733964</v>
      </c>
      <c r="Q852" s="16" t="str">
        <v>沿用原计划SKU店铺</v>
      </c>
      <c r="R852" s="16" t="str">
        <v>已匹配</v>
      </c>
      <c r="S852" s="16" t="str">
        <v>在售</v>
      </c>
      <c r="T852" s="16" t="str">
        <v>B06</v>
      </c>
      <c r="U852" s="16" t="str">
        <v>黑色羊京绒</v>
      </c>
      <c r="V852" s="16" t="n">
        <v>9</v>
      </c>
      <c r="W852" s="8" t="str">
        <v>2026-10-11 至 2026-10-17</v>
      </c>
      <c r="X852" s="8" t="str">
        <v>2026-10-11、2026-10-12、2026-10-13、2026-10-14、2026-10-15、2026-10-16、2026-10-17</v>
      </c>
      <c r="Y852" s="8" t="str">
        <v>无</v>
      </c>
      <c r="Z852" s="8" t="n">
        <v>8</v>
      </c>
      <c r="AA852" s="8" t="n">
        <v>0</v>
      </c>
      <c r="AB852" s="8" t="n">
        <v>7</v>
      </c>
      <c r="AC852" s="8" t="str">
        <v>2026-10-02 至 2026-10-17</v>
      </c>
      <c r="AD852" s="8" t="str">
        <v>2026-10-02、2026-10-03、2026-10-04、2026-10-05、2026-10-08、2026-10-09、2026-10-10、2026-10-11、2026-10-12、2026-10-13、2026-10-14、2026-10-15、2026-10-16、2026-10-17</v>
      </c>
      <c r="AE852" s="8" t="str">
        <v>2026-10-06 大促；2026-10-07 大促</v>
      </c>
      <c r="AF852" s="8" t="n">
        <v>20</v>
      </c>
      <c r="AG852" s="8" t="n">
        <v>5</v>
      </c>
      <c r="AH852" s="8" t="n">
        <v>14</v>
      </c>
      <c r="AI852" s="8" t="str">
        <v>2026-09-16 至 2026-10-17</v>
      </c>
      <c r="AJ8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2" s="8" t="str">
        <v>2026-10-06 大促；2026-10-07 大促</v>
      </c>
      <c r="AL852" s="8" t="n">
        <v>44</v>
      </c>
      <c r="AM852" s="8" t="n">
        <v>5</v>
      </c>
      <c r="AN852" s="8" t="n">
        <v>30</v>
      </c>
      <c r="AO852" s="8" t="str">
        <v>B06 / 黑色羊京绒 / 13120</v>
      </c>
      <c r="AP852" s="11" t="n">
        <v>1.2247029157699902</v>
      </c>
      <c r="AQ852" s="11" t="n">
        <v>1.2247029157699902</v>
      </c>
      <c r="AR852" s="11" t="n">
        <v>1.1136940657346173</v>
      </c>
      <c r="AS852" s="11" t="n">
        <f>IF(AND(COUNT(I852:K852,AP852:AR852)=6,MIN(AP852:AR852)&gt;0),I852/7/AP852*0.5+J852/14/AQ852*0.3+K852/30/AR852*0.2,"")</f>
        <v>0.9624970702084611</v>
      </c>
      <c r="AT852" s="8" t="n">
        <v>116</v>
      </c>
      <c r="AU852" s="8" t="n">
        <v>5</v>
      </c>
      <c r="AV852" s="8" t="n">
        <v>88</v>
      </c>
      <c r="AW852" s="11" t="n">
        <f>IF(AND(COUNT(AT852:AV852)=3,AT852&gt;=AU852,AU852&gt;=0,AV852&gt;0),(AT852-AU852)/AV852,"")</f>
        <v>1.2613636363636365</v>
      </c>
      <c r="AX852" s="8" t="n">
        <v>181</v>
      </c>
      <c r="AY852" s="8" t="n">
        <v>5</v>
      </c>
      <c r="AZ852" s="8" t="n">
        <v>178</v>
      </c>
      <c r="BA852" s="11" t="n">
        <f>IF(AND(COUNT(AX852:AZ852)=3,AX852&gt;=AY852,AY852&gt;=0,AZ852&gt;0),(AX852-AY852)/AZ852,"")</f>
        <v>0.9887640449438202</v>
      </c>
      <c r="BB852" s="8" t="n">
        <f>IF(COUNT(AS852,AW852,BA852)=3,1,0)</f>
        <v>1</v>
      </c>
      <c r="BC852" s="11" t="n">
        <f>IF(SUMIF($AO$11:$AO$1309,AO852,$BB$11:$BB$1309)=COUNTIF($AO$11:$AO$1309,AO852),SUMIF($AO$11:$AO$1309,AO852,$AS$11:$AS$1309),"")</f>
        <v>11.479673646705146</v>
      </c>
      <c r="BD852" s="11" t="n">
        <f>IF(SUMIF($AO$11:$AO$1309,AO852,$BB$11:$BB$1309)=COUNTIF($AO$11:$AO$1309,AO852),SUMIF($AO$11:$AO$1309,AO852,$AW$11:$AW$1309),"")</f>
        <v>12.119251336898396</v>
      </c>
      <c r="BE852" s="11" t="n">
        <f>IF(SUMIF($AO$11:$AO$1309,AO852,$BB$11:$BB$1309)=COUNTIF($AO$11:$AO$1309,AO852),SUMIF($AO$11:$AO$1309,AO852,$BA$11:$BA$1309),"")</f>
        <v>10.255120385232745</v>
      </c>
      <c r="BF852" s="12" t="n">
        <f>IF(COUNT(BD852:BE852)&lt;&gt;2,"",IF(AND(BD852&gt;0,BE852&gt;0),0.7*AW852/BD852+0.3*BA852/BE852,IF(BD852&gt;0,AW852/BD852,IF(BE852&gt;0,BA852/BE852,IF(AND(ISNUMBER(BH852),BH852=0),0,"")))))</f>
        <v>0.10178052144568106</v>
      </c>
      <c r="BG852" s="11" t="n">
        <f>IF(AND(COUNT(BN852:BU852)=8,MIN(BN852:BU852)&gt;=0),SUMPRODUCT(BN852:BQ852,BR852:BU852),"")</f>
        <v>73.80791239847399</v>
      </c>
      <c r="BH852" s="11" t="n">
        <f>IF(COUNT(BC852,BG852)=2,BC852*BG852,"")</f>
        <v>847.2907468790838</v>
      </c>
      <c r="BI852" s="11" t="n">
        <f>IF(ISNUMBER(CI852),CI852,"")</f>
        <v>86.23769403345372</v>
      </c>
      <c r="BJ852" s="8" t="str">
        <v>低销提醒依据不完整</v>
      </c>
      <c r="BK852" s="8" t="str">
        <v>90天：2026-07-20 至 2026-10-17；180天：2026-04-21 至 2026-10-17</v>
      </c>
      <c r="BL852" s="8" t="str">
        <v>90天：2026-10-06、2026-10-07；180天：2026-10-06、2026-10-07</v>
      </c>
      <c r="BM852" s="8" t="str">
        <v>2026-10：12天 × 1.2247029157699902；2026-11：30天 × 0.8332682139098497；2026-12：31天 × 0.5511018253564084；2027-01：17天 × 1.0017220238758797</v>
      </c>
      <c r="BN852" s="11" t="n">
        <v>1.2247029157699902</v>
      </c>
      <c r="BO852" s="11" t="n">
        <v>0.8332682139098497</v>
      </c>
      <c r="BP852" s="11" t="n">
        <v>0.5511018253564084</v>
      </c>
      <c r="BQ852" s="11" t="n">
        <v>1.0017220238758797</v>
      </c>
      <c r="BR852" s="8" t="n">
        <v>12</v>
      </c>
      <c r="BS852" s="8" t="n">
        <v>30</v>
      </c>
      <c r="BT852" s="8" t="n">
        <v>31</v>
      </c>
      <c r="BU852" s="8" t="n">
        <v>17</v>
      </c>
      <c r="BV852" s="11" t="n">
        <f>IF(COUNT(BC852,BF852)=2,BC852*BF852,"")</f>
        <v>1.1684071697878928</v>
      </c>
      <c r="BW852" s="11" t="n">
        <f>IF(ISNUMBER(BN852),BN852,"")</f>
        <v>1.2247029157699902</v>
      </c>
      <c r="BX852" s="14" t="n">
        <f>IF(ISNUMBER(BR852),BR852,"")</f>
        <v>12</v>
      </c>
      <c r="BY852" s="13" t="n">
        <f>IF(AND(COUNT(BV852,BW852,BX852)=3,MIN(BV852,BW852,BX852)&gt;=0),BV852*BW852*BX852,"")</f>
        <v>17.171420011749532</v>
      </c>
      <c r="BZ852" s="11" t="n">
        <f>IF(ISNUMBER(BO852),BO852,"")</f>
        <v>0.8332682139098497</v>
      </c>
      <c r="CA852" s="14" t="n">
        <f>IF(ISNUMBER(BS852),BS852,"")</f>
        <v>30</v>
      </c>
      <c r="CB852" s="13" t="n">
        <f>IF(AND(COUNT(BV852,BZ852,CA852)=3,MIN(BV852,BZ852,CA852)&gt;=0),BV852*BZ852*CA852,"")</f>
        <v>29.207896664658602</v>
      </c>
      <c r="CC852" s="11" t="n">
        <f>IF(ISNUMBER(BP852),BP852,"")</f>
        <v>0.5511018253564084</v>
      </c>
      <c r="CD852" s="14" t="n">
        <f>IF(ISNUMBER(BT852),BT852,"")</f>
        <v>31</v>
      </c>
      <c r="CE852" s="13" t="n">
        <f>IF(AND(COUNT(BV852,CC852,CD852)=3,MIN(BV852,CC852,CD852)&gt;=0),BV852*CC852*CD852,"")</f>
        <v>19.961251044918303</v>
      </c>
      <c r="CF852" s="11" t="n">
        <f>IF(ISNUMBER(BQ852),BQ852,"")</f>
        <v>1.0017220238758797</v>
      </c>
      <c r="CG852" s="14" t="n">
        <f>IF(ISNUMBER(BU852),BU852,"")</f>
        <v>17</v>
      </c>
      <c r="CH852" s="13" t="n">
        <f>IF(AND(COUNT(BV852,CF852,CG852)=3,MIN(BV852,CF852,CG852)&gt;=0),BV852*CF852*CG852,"")</f>
        <v>19.89712631212728</v>
      </c>
      <c r="CI852" s="13" t="n">
        <f>IF(COUNT(BY852,CB852,CE852,CH852)=4,SUM(BY852,CB852,CE852,CH852),"")</f>
        <v>86.23769403345372</v>
      </c>
    </row>
    <row r="853" ht="72" customHeight="1">
      <c r="A853" s="16" t="str">
        <v>B06-BK-40.5</v>
      </c>
      <c r="B853" s="16" t="str">
        <v>1店-MUSSHOE-US</v>
      </c>
      <c r="C853" s="16" t="str">
        <v>艾年</v>
      </c>
      <c r="D853" s="26" t="n">
        <f>IF(NOT(ISNUMBER(E853)),"",IF(OR(E853&lt;=0,L853=0),0,IF(OR(NOT(ISNUMBER(F853)),F853&lt;0),"",MIN(E853,INT(F853)))))</f>
        <v>0</v>
      </c>
      <c r="E853" s="27" t="n">
        <f>IF(OR(NOT(ISNUMBER(L853)),COUNT(M853:O853)&lt;&gt;3,MIN(M853:O853)&lt;0),"",ROUNDUP(ROUND(BI853-SUM(M853:O853),10),0))</f>
        <v>-23</v>
      </c>
      <c r="F853" s="28" t="n">
        <v>20</v>
      </c>
      <c r="G853" s="28" t="n">
        <f>IF(AND(ISNUMBER(D853),ISNUMBER(E853)),IF(OR(E853&lt;=0,L853=0),0,E853-D853),"")</f>
        <v>0</v>
      </c>
      <c r="H853" s="16" t="str">
        <f>IF(NOT(ISNUMBER(E853)),"销量或海外库存待补",IF(OR(E853&lt;=0,L853=0),IF(L853=0,"零日销，本批不发","本批无需补货"),IF(NOT(ISNUMBER(D853)),"国内库存待补",IF(D853=0,"国内无可用库存",IF(G853&gt;0,"先发国内现货","按建议量发货")))))</f>
        <v>本批无需补货</v>
      </c>
      <c r="I853" s="28" t="n">
        <f>IF(AND(COUNT(Z853,AA853,AB853)=3,Z853&gt;=AA853,AA853&gt;=0,AB853=7),Z853-AA853,"")</f>
        <v>11</v>
      </c>
      <c r="J853" s="28" t="n">
        <f>IF(AND(COUNT(AF853,AG853,AH853)=3,AF853&gt;=AG853,AG853&gt;=0,AH853=14),AF853-AG853,"")</f>
        <v>12</v>
      </c>
      <c r="K853" s="28" t="n">
        <f>IF(AND(COUNT(AL853,AM853,AN853)=3,AL853&gt;=AM853,AM853&gt;=0,AN853=30),AL853-AM853,"")</f>
        <v>18</v>
      </c>
      <c r="L853" s="29" t="n">
        <f>IF(ISNUMBER(BI853),BI853/90,"")</f>
        <v>0.5656598834265025</v>
      </c>
      <c r="M853" s="28" t="n">
        <v>36</v>
      </c>
      <c r="N853" s="28" t="n">
        <v>0</v>
      </c>
      <c r="O853" s="28" t="n">
        <v>37</v>
      </c>
      <c r="P853" s="30" t="n">
        <f>IF(AND(ISNUMBER(L853),L853&gt;0,COUNT(M853:O853)=3,MIN(M853:O853)&gt;=0),SUM(M853:O853)/L853,"")</f>
        <v>129.05281448951303</v>
      </c>
      <c r="Q853" s="16" t="str">
        <v>沿用原计划SKU店铺</v>
      </c>
      <c r="R853" s="16" t="str">
        <v>已匹配</v>
      </c>
      <c r="S853" s="16" t="str">
        <v>在售</v>
      </c>
      <c r="T853" s="16" t="str">
        <v>B06</v>
      </c>
      <c r="U853" s="16" t="str">
        <v>黑色羊京绒</v>
      </c>
      <c r="V853" s="16" t="n">
        <v>9.5</v>
      </c>
      <c r="W853" s="8" t="str">
        <v>2026-10-11 至 2026-10-17</v>
      </c>
      <c r="X853" s="8" t="str">
        <v>2026-10-11、2026-10-12、2026-10-13、2026-10-14、2026-10-15、2026-10-16、2026-10-17</v>
      </c>
      <c r="Y853" s="8" t="str">
        <v>无</v>
      </c>
      <c r="Z853" s="8" t="n">
        <v>11</v>
      </c>
      <c r="AA853" s="8" t="n">
        <v>0</v>
      </c>
      <c r="AB853" s="8" t="n">
        <v>7</v>
      </c>
      <c r="AC853" s="8" t="str">
        <v>2026-10-02 至 2026-10-17</v>
      </c>
      <c r="AD853" s="8" t="str">
        <v>2026-10-02、2026-10-03、2026-10-04、2026-10-05、2026-10-08、2026-10-09、2026-10-10、2026-10-11、2026-10-12、2026-10-13、2026-10-14、2026-10-15、2026-10-16、2026-10-17</v>
      </c>
      <c r="AE853" s="8" t="str">
        <v>2026-10-06 大促；2026-10-07 大促</v>
      </c>
      <c r="AF853" s="8" t="n">
        <v>15</v>
      </c>
      <c r="AG853" s="8" t="n">
        <v>3</v>
      </c>
      <c r="AH853" s="8" t="n">
        <v>14</v>
      </c>
      <c r="AI853" s="8" t="str">
        <v>2026-09-16 至 2026-10-17</v>
      </c>
      <c r="AJ8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3" s="8" t="str">
        <v>2026-10-06 大促；2026-10-07 大促</v>
      </c>
      <c r="AL853" s="8" t="n">
        <v>21</v>
      </c>
      <c r="AM853" s="8" t="n">
        <v>3</v>
      </c>
      <c r="AN853" s="8" t="n">
        <v>30</v>
      </c>
      <c r="AO853" s="8" t="str">
        <v>B06 / 黑色羊京绒 / 13120</v>
      </c>
      <c r="AP853" s="11" t="n">
        <v>1.2247029157699902</v>
      </c>
      <c r="AQ853" s="11" t="n">
        <v>1.2247029157699902</v>
      </c>
      <c r="AR853" s="11" t="n">
        <v>1.1136940657346173</v>
      </c>
      <c r="AS853" s="11" t="n">
        <f>IF(AND(COUNT(I853:K853,AP853:AR853)=6,MIN(AP853:AR853)&gt;0),I853/7/AP853*0.5+J853/14/AQ853*0.3+K853/30/AR853*0.2,"")</f>
        <v>0.9592679807779595</v>
      </c>
      <c r="AT853" s="8" t="n">
        <v>67</v>
      </c>
      <c r="AU853" s="8" t="n">
        <v>3</v>
      </c>
      <c r="AV853" s="8" t="n">
        <v>88</v>
      </c>
      <c r="AW853" s="11" t="n">
        <f>IF(AND(COUNT(AT853:AV853)=3,AT853&gt;=AU853,AU853&gt;=0,AV853&gt;0),(AT853-AU853)/AV853,"")</f>
        <v>0.7272727272727273</v>
      </c>
      <c r="AX853" s="8" t="n">
        <v>113</v>
      </c>
      <c r="AY853" s="8" t="n">
        <v>3</v>
      </c>
      <c r="AZ853" s="8" t="n">
        <v>178</v>
      </c>
      <c r="BA853" s="11" t="n">
        <f>IF(AND(COUNT(AX853:AZ853)=3,AX853&gt;=AY853,AY853&gt;=0,AZ853&gt;0),(AX853-AY853)/AZ853,"")</f>
        <v>0.6179775280898876</v>
      </c>
      <c r="BB853" s="8" t="n">
        <f>IF(COUNT(AS853,AW853,BA853)=3,1,0)</f>
        <v>1</v>
      </c>
      <c r="BC853" s="11" t="n">
        <f>IF(SUMIF($AO$11:$AO$1309,AO853,$BB$11:$BB$1309)=COUNTIF($AO$11:$AO$1309,AO853),SUMIF($AO$11:$AO$1309,AO853,$AS$11:$AS$1309),"")</f>
        <v>11.479673646705146</v>
      </c>
      <c r="BD853" s="11" t="n">
        <f>IF(SUMIF($AO$11:$AO$1309,AO853,$BB$11:$BB$1309)=COUNTIF($AO$11:$AO$1309,AO853),SUMIF($AO$11:$AO$1309,AO853,$AW$11:$AW$1309),"")</f>
        <v>12.119251336898396</v>
      </c>
      <c r="BE853" s="11" t="n">
        <f>IF(SUMIF($AO$11:$AO$1309,AO853,$BB$11:$BB$1309)=COUNTIF($AO$11:$AO$1309,AO853),SUMIF($AO$11:$AO$1309,AO853,$BA$11:$BA$1309),"")</f>
        <v>10.255120385232745</v>
      </c>
      <c r="BF853" s="12" t="n">
        <f>IF(COUNT(BD853:BE853)&lt;&gt;2,"",IF(AND(BD853&gt;0,BE853&gt;0),0.7*AW853/BD853+0.3*BA853/BE853,IF(BD853&gt;0,AW853/BD853,IF(BE853&gt;0,BA853/BE853,IF(AND(ISNUMBER(BH853),BH853=0),0,"")))))</f>
        <v>0.06008491146150857</v>
      </c>
      <c r="BG853" s="11" t="n">
        <f>IF(AND(COUNT(BN853:BU853)=8,MIN(BN853:BU853)&gt;=0),SUMPRODUCT(BN853:BQ853,BR853:BU853),"")</f>
        <v>73.80791239847399</v>
      </c>
      <c r="BH853" s="11" t="n">
        <f>IF(COUNT(BC853,BG853)=2,BC853*BG853,"")</f>
        <v>847.2907468790838</v>
      </c>
      <c r="BI853" s="11" t="n">
        <f>IF(ISNUMBER(CI853),CI853,"")</f>
        <v>50.909389508385225</v>
      </c>
      <c r="BJ853" s="8" t="str">
        <v>低销提醒依据不完整</v>
      </c>
      <c r="BK853" s="8" t="str">
        <v>90天：2026-07-20 至 2026-10-17；180天：2026-04-21 至 2026-10-17</v>
      </c>
      <c r="BL853" s="8" t="str">
        <v>90天：2026-10-06、2026-10-07；180天：2026-10-06、2026-10-07</v>
      </c>
      <c r="BM853" s="8" t="str">
        <v>2026-10：12天 × 1.2247029157699902；2026-11：30天 × 0.8332682139098497；2026-12：31天 × 0.5511018253564084；2027-01：17天 × 1.0017220238758797</v>
      </c>
      <c r="BN853" s="11" t="n">
        <v>1.2247029157699902</v>
      </c>
      <c r="BO853" s="11" t="n">
        <v>0.8332682139098497</v>
      </c>
      <c r="BP853" s="11" t="n">
        <v>0.5511018253564084</v>
      </c>
      <c r="BQ853" s="11" t="n">
        <v>1.0017220238758797</v>
      </c>
      <c r="BR853" s="8" t="n">
        <v>12</v>
      </c>
      <c r="BS853" s="8" t="n">
        <v>30</v>
      </c>
      <c r="BT853" s="8" t="n">
        <v>31</v>
      </c>
      <c r="BU853" s="8" t="n">
        <v>17</v>
      </c>
      <c r="BV853" s="11" t="n">
        <f>IF(COUNT(BC853,BF853)=2,BC853*BF853,"")</f>
        <v>0.6897551746692919</v>
      </c>
      <c r="BW853" s="11" t="n">
        <f>IF(ISNUMBER(BN853),BN853,"")</f>
        <v>1.2247029157699902</v>
      </c>
      <c r="BX853" s="14" t="n">
        <f>IF(ISNUMBER(BR853),BR853,"")</f>
        <v>12</v>
      </c>
      <c r="BY853" s="13" t="n">
        <f>IF(AND(COUNT(BV853,BW853,BX853)=3,MIN(BV853,BW853,BX853)&gt;=0),BV853*BW853*BX853,"")</f>
        <v>10.136942083019049</v>
      </c>
      <c r="BZ853" s="11" t="n">
        <f>IF(ISNUMBER(BO853),BO853,"")</f>
        <v>0.8332682139098497</v>
      </c>
      <c r="CA853" s="14" t="n">
        <f>IF(ISNUMBER(BS853),BS853,"")</f>
        <v>30</v>
      </c>
      <c r="CB853" s="13" t="n">
        <f>IF(AND(COUNT(BV853,BZ853,CA853)=3,MIN(BV853,BZ853,CA853)&gt;=0),BV853*BZ853*CA853,"")</f>
        <v>17.24253187295272</v>
      </c>
      <c r="CC853" s="11" t="n">
        <f>IF(ISNUMBER(BP853),BP853,"")</f>
        <v>0.5511018253564084</v>
      </c>
      <c r="CD853" s="14" t="n">
        <f>IF(ISNUMBER(BT853),BT853,"")</f>
        <v>31</v>
      </c>
      <c r="CE853" s="13" t="n">
        <f>IF(AND(COUNT(BV853,CC853,CD853)=3,MIN(BV853,CC853,CD853)&gt;=0),BV853*CC853*CD853,"")</f>
        <v>11.783885410087528</v>
      </c>
      <c r="CF853" s="11" t="n">
        <f>IF(ISNUMBER(BQ853),BQ853,"")</f>
        <v>1.0017220238758797</v>
      </c>
      <c r="CG853" s="14" t="n">
        <f>IF(ISNUMBER(BU853),BU853,"")</f>
        <v>17</v>
      </c>
      <c r="CH853" s="13" t="n">
        <f>IF(AND(COUNT(BV853,CF853,CG853)=3,MIN(BV853,CF853,CG853)&gt;=0),BV853*CF853*CG853,"")</f>
        <v>11.746030142325928</v>
      </c>
      <c r="CI853" s="13" t="n">
        <f>IF(COUNT(BY853,CB853,CE853,CH853)=4,SUM(BY853,CB853,CE853,CH853),"")</f>
        <v>50.909389508385225</v>
      </c>
    </row>
    <row r="854" ht="72" customHeight="1">
      <c r="A854" s="16" t="str">
        <v>B06-BK-41</v>
      </c>
      <c r="B854" s="16" t="str">
        <v>1店-MUSSHOE-US</v>
      </c>
      <c r="C854" s="16" t="str">
        <v>艾年</v>
      </c>
      <c r="D854" s="26" t="n">
        <f>IF(NOT(ISNUMBER(E854)),"",IF(OR(E854&lt;=0,L854=0),0,IF(OR(NOT(ISNUMBER(F854)),F854&lt;0),"",MIN(E854,INT(F854)))))</f>
        <v>0</v>
      </c>
      <c r="E854" s="27" t="n">
        <f>IF(OR(NOT(ISNUMBER(L854)),COUNT(M854:O854)&lt;&gt;3,MIN(M854:O854)&lt;0),"",ROUNDUP(ROUND(BI854-SUM(M854:O854),10),0))</f>
        <v>-37</v>
      </c>
      <c r="F854" s="28" t="n">
        <v>26</v>
      </c>
      <c r="G854" s="28" t="n">
        <f>IF(AND(ISNUMBER(D854),ISNUMBER(E854)),IF(OR(E854&lt;=0,L854=0),0,E854-D854),"")</f>
        <v>0</v>
      </c>
      <c r="H854" s="16" t="str">
        <f>IF(NOT(ISNUMBER(E854)),"销量或海外库存待补",IF(OR(E854&lt;=0,L854=0),IF(L854=0,"零日销，本批不发","本批无需补货"),IF(NOT(ISNUMBER(D854)),"国内库存待补",IF(D854=0,"国内无可用库存",IF(G854&gt;0,"先发国内现货","按建议量发货")))))</f>
        <v>本批无需补货</v>
      </c>
      <c r="I854" s="28" t="n">
        <f>IF(AND(COUNT(Z854,AA854,AB854)=3,Z854&gt;=AA854,AA854&gt;=0,AB854=7),Z854-AA854,"")</f>
        <v>8</v>
      </c>
      <c r="J854" s="28" t="n">
        <f>IF(AND(COUNT(AF854,AG854,AH854)=3,AF854&gt;=AG854,AG854&gt;=0,AH854=14),AF854-AG854,"")</f>
        <v>14</v>
      </c>
      <c r="K854" s="28" t="n">
        <f>IF(AND(COUNT(AL854,AM854,AN854)=3,AL854&gt;=AM854,AM854&gt;=0,AN854=30),AL854-AM854,"")</f>
        <v>23</v>
      </c>
      <c r="L854" s="29" t="n">
        <f>IF(ISNUMBER(BI854),BI854/90,"")</f>
        <v>0.6645749414255585</v>
      </c>
      <c r="M854" s="28" t="n">
        <v>39</v>
      </c>
      <c r="N854" s="28" t="n">
        <v>0</v>
      </c>
      <c r="O854" s="28" t="n">
        <v>57</v>
      </c>
      <c r="P854" s="30" t="n">
        <f>IF(AND(ISNUMBER(L854),L854&gt;0,COUNT(M854:O854)=3,MIN(M854:O854)&gt;=0),SUM(M854:O854)/L854,"")</f>
        <v>144.45323471582222</v>
      </c>
      <c r="Q854" s="16" t="str">
        <v>沿用原计划SKU店铺</v>
      </c>
      <c r="R854" s="16" t="str">
        <v>已匹配</v>
      </c>
      <c r="S854" s="16" t="str">
        <v>在售</v>
      </c>
      <c r="T854" s="16" t="str">
        <v>B06</v>
      </c>
      <c r="U854" s="16" t="str">
        <v>黑色羊京绒</v>
      </c>
      <c r="V854" s="16" t="n">
        <v>10</v>
      </c>
      <c r="W854" s="8" t="str">
        <v>2026-10-11 至 2026-10-17</v>
      </c>
      <c r="X854" s="8" t="str">
        <v>2026-10-11、2026-10-12、2026-10-13、2026-10-14、2026-10-15、2026-10-16、2026-10-17</v>
      </c>
      <c r="Y854" s="8" t="str">
        <v>无</v>
      </c>
      <c r="Z854" s="8" t="n">
        <v>8</v>
      </c>
      <c r="AA854" s="8" t="n">
        <v>0</v>
      </c>
      <c r="AB854" s="8" t="n">
        <v>7</v>
      </c>
      <c r="AC854" s="8" t="str">
        <v>2026-10-02 至 2026-10-17</v>
      </c>
      <c r="AD854" s="8" t="str">
        <v>2026-10-02、2026-10-03、2026-10-04、2026-10-05、2026-10-08、2026-10-09、2026-10-10、2026-10-11、2026-10-12、2026-10-13、2026-10-14、2026-10-15、2026-10-16、2026-10-17</v>
      </c>
      <c r="AE854" s="8" t="str">
        <v>2026-10-06 大促；2026-10-07 大促</v>
      </c>
      <c r="AF854" s="8" t="n">
        <v>16</v>
      </c>
      <c r="AG854" s="8" t="n">
        <v>2</v>
      </c>
      <c r="AH854" s="8" t="n">
        <v>14</v>
      </c>
      <c r="AI854" s="8" t="str">
        <v>2026-09-16 至 2026-10-17</v>
      </c>
      <c r="AJ8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4" s="8" t="str">
        <v>2026-10-06 大促；2026-10-07 大促</v>
      </c>
      <c r="AL854" s="8" t="n">
        <v>25</v>
      </c>
      <c r="AM854" s="8" t="n">
        <v>2</v>
      </c>
      <c r="AN854" s="8" t="n">
        <v>30</v>
      </c>
      <c r="AO854" s="8" t="str">
        <v>B06 / 黑色羊京绒 / 13120</v>
      </c>
      <c r="AP854" s="11" t="n">
        <v>1.2247029157699902</v>
      </c>
      <c r="AQ854" s="11" t="n">
        <v>1.2247029157699902</v>
      </c>
      <c r="AR854" s="11" t="n">
        <v>1.1136940657346173</v>
      </c>
      <c r="AS854" s="11" t="n">
        <f>IF(AND(COUNT(I854:K854,AP854:AR854)=6,MIN(AP854:AR854)&gt;0),I854/7/AP854*0.5+J854/14/AQ854*0.3+K854/30/AR854*0.2,"")</f>
        <v>0.8492227652111294</v>
      </c>
      <c r="AT854" s="8" t="n">
        <v>77</v>
      </c>
      <c r="AU854" s="8" t="n">
        <v>2</v>
      </c>
      <c r="AV854" s="8" t="n">
        <v>88</v>
      </c>
      <c r="AW854" s="11" t="n">
        <f>IF(AND(COUNT(AT854:AV854)=3,AT854&gt;=AU854,AU854&gt;=0,AV854&gt;0),(AT854-AU854)/AV854,"")</f>
        <v>0.8522727272727273</v>
      </c>
      <c r="AX854" s="8" t="n">
        <v>132</v>
      </c>
      <c r="AY854" s="8" t="n">
        <v>2</v>
      </c>
      <c r="AZ854" s="8" t="n">
        <v>178</v>
      </c>
      <c r="BA854" s="11" t="n">
        <f>IF(AND(COUNT(AX854:AZ854)=3,AX854&gt;=AY854,AY854&gt;=0,AZ854&gt;0),(AX854-AY854)/AZ854,"")</f>
        <v>0.7303370786516854</v>
      </c>
      <c r="BB854" s="8" t="n">
        <f>IF(COUNT(AS854,AW854,BA854)=3,1,0)</f>
        <v>1</v>
      </c>
      <c r="BC854" s="11" t="n">
        <f>IF(SUMIF($AO$11:$AO$1309,AO854,$BB$11:$BB$1309)=COUNTIF($AO$11:$AO$1309,AO854),SUMIF($AO$11:$AO$1309,AO854,$AS$11:$AS$1309),"")</f>
        <v>11.479673646705146</v>
      </c>
      <c r="BD854" s="11" t="n">
        <f>IF(SUMIF($AO$11:$AO$1309,AO854,$BB$11:$BB$1309)=COUNTIF($AO$11:$AO$1309,AO854),SUMIF($AO$11:$AO$1309,AO854,$AW$11:$AW$1309),"")</f>
        <v>12.119251336898396</v>
      </c>
      <c r="BE854" s="11" t="n">
        <f>IF(SUMIF($AO$11:$AO$1309,AO854,$BB$11:$BB$1309)=COUNTIF($AO$11:$AO$1309,AO854),SUMIF($AO$11:$AO$1309,AO854,$BA$11:$BA$1309),"")</f>
        <v>10.255120385232745</v>
      </c>
      <c r="BF854" s="12" t="n">
        <f>IF(COUNT(BD854:BE854)&lt;&gt;2,"",IF(AND(BD854&gt;0,BE854&gt;0),0.7*AW854/BD854+0.3*BA854/BE854,IF(BD854&gt;0,AW854/BD854,IF(BE854&gt;0,BA854/BE854,IF(AND(ISNUMBER(BH854),BH854=0),0,"")))))</f>
        <v>0.07059175961570599</v>
      </c>
      <c r="BG854" s="11" t="n">
        <f>IF(AND(COUNT(BN854:BU854)=8,MIN(BN854:BU854)&gt;=0),SUMPRODUCT(BN854:BQ854,BR854:BU854),"")</f>
        <v>73.80791239847399</v>
      </c>
      <c r="BH854" s="11" t="n">
        <f>IF(COUNT(BC854,BG854)=2,BC854*BG854,"")</f>
        <v>847.2907468790838</v>
      </c>
      <c r="BI854" s="11" t="n">
        <f>IF(ISNUMBER(CI854),CI854,"")</f>
        <v>59.81174472830027</v>
      </c>
      <c r="BJ854" s="8" t="str">
        <v>低销提醒依据不完整</v>
      </c>
      <c r="BK854" s="8" t="str">
        <v>90天：2026-07-20 至 2026-10-17；180天：2026-04-21 至 2026-10-17</v>
      </c>
      <c r="BL854" s="8" t="str">
        <v>90天：2026-10-06、2026-10-07；180天：2026-10-06、2026-10-07</v>
      </c>
      <c r="BM854" s="8" t="str">
        <v>2026-10：12天 × 1.2247029157699902；2026-11：30天 × 0.8332682139098497；2026-12：31天 × 0.5511018253564084；2027-01：17天 × 1.0017220238758797</v>
      </c>
      <c r="BN854" s="11" t="n">
        <v>1.2247029157699902</v>
      </c>
      <c r="BO854" s="11" t="n">
        <v>0.8332682139098497</v>
      </c>
      <c r="BP854" s="11" t="n">
        <v>0.5511018253564084</v>
      </c>
      <c r="BQ854" s="11" t="n">
        <v>1.0017220238758797</v>
      </c>
      <c r="BR854" s="8" t="n">
        <v>12</v>
      </c>
      <c r="BS854" s="8" t="n">
        <v>30</v>
      </c>
      <c r="BT854" s="8" t="n">
        <v>31</v>
      </c>
      <c r="BU854" s="8" t="n">
        <v>17</v>
      </c>
      <c r="BV854" s="11" t="n">
        <f>IF(COUNT(BC854,BF854)=2,BC854*BF854,"")</f>
        <v>0.8103703625349646</v>
      </c>
      <c r="BW854" s="11" t="n">
        <f>IF(ISNUMBER(BN854),BN854,"")</f>
        <v>1.2247029157699902</v>
      </c>
      <c r="BX854" s="14" t="n">
        <f>IF(ISNUMBER(BR854),BR854,"")</f>
        <v>12</v>
      </c>
      <c r="BY854" s="13" t="n">
        <f>IF(AND(COUNT(BV854,BW854,BX854)=3,MIN(BV854,BW854,BX854)&gt;=0),BV854*BW854*BX854,"")</f>
        <v>11.909555350201863</v>
      </c>
      <c r="BZ854" s="11" t="n">
        <f>IF(ISNUMBER(BO854),BO854,"")</f>
        <v>0.8332682139098497</v>
      </c>
      <c r="CA854" s="14" t="n">
        <f>IF(ISNUMBER(BS854),BS854,"")</f>
        <v>30</v>
      </c>
      <c r="CB854" s="13" t="n">
        <f>IF(AND(COUNT(BV854,BZ854,CA854)=3,MIN(BV854,BZ854,CA854)&gt;=0),BV854*BZ854*CA854,"")</f>
        <v>20.257675937849623</v>
      </c>
      <c r="CC854" s="11" t="n">
        <f>IF(ISNUMBER(BP854),BP854,"")</f>
        <v>0.5511018253564084</v>
      </c>
      <c r="CD854" s="14" t="n">
        <f>IF(ISNUMBER(BT854),BT854,"")</f>
        <v>31</v>
      </c>
      <c r="CE854" s="13" t="n">
        <f>IF(AND(COUNT(BV854,CC854,CD854)=3,MIN(BV854,CC854,CD854)&gt;=0),BV854*CC854*CD854,"")</f>
        <v>13.844494166240356</v>
      </c>
      <c r="CF854" s="11" t="n">
        <f>IF(ISNUMBER(BQ854),BQ854,"")</f>
        <v>1.0017220238758797</v>
      </c>
      <c r="CG854" s="14" t="n">
        <f>IF(ISNUMBER(BU854),BU854,"")</f>
        <v>17</v>
      </c>
      <c r="CH854" s="13" t="n">
        <f>IF(AND(COUNT(BV854,CF854,CG854)=3,MIN(BV854,CF854,CG854)&gt;=0),BV854*CF854*CG854,"")</f>
        <v>13.800019274008436</v>
      </c>
      <c r="CI854" s="13" t="n">
        <f>IF(COUNT(BY854,CB854,CE854,CH854)=4,SUM(BY854,CB854,CE854,CH854),"")</f>
        <v>59.81174472830027</v>
      </c>
    </row>
    <row r="855" ht="72" customHeight="1">
      <c r="A855" s="16" t="str">
        <v>B06-BK-41.5</v>
      </c>
      <c r="B855" s="16" t="str">
        <v>1店-MUSSHOE-US</v>
      </c>
      <c r="C855" s="16" t="str">
        <v>艾年</v>
      </c>
      <c r="D855" s="26" t="n">
        <f>IF(NOT(ISNUMBER(E855)),"",IF(OR(E855&lt;=0,L855=0),0,IF(OR(NOT(ISNUMBER(F855)),F855&lt;0),"",MIN(E855,INT(F855)))))</f>
        <v>0</v>
      </c>
      <c r="E855" s="27" t="n">
        <f>IF(OR(NOT(ISNUMBER(L855)),COUNT(M855:O855)&lt;&gt;3,MIN(M855:O855)&lt;0),"",ROUNDUP(ROUND(BI855-SUM(M855:O855),10),0))</f>
        <v>-20</v>
      </c>
      <c r="F855" s="28" t="n">
        <v>25</v>
      </c>
      <c r="G855" s="28" t="n">
        <f>IF(AND(ISNUMBER(D855),ISNUMBER(E855)),IF(OR(E855&lt;=0,L855=0),0,E855-D855),"")</f>
        <v>0</v>
      </c>
      <c r="H855" s="16" t="str">
        <f>IF(NOT(ISNUMBER(E855)),"销量或海外库存待补",IF(OR(E855&lt;=0,L855=0),IF(L855=0,"零日销，本批不发","本批无需补货"),IF(NOT(ISNUMBER(D855)),"国内库存待补",IF(D855=0,"国内无可用库存",IF(G855&gt;0,"先发国内现货","按建议量发货")))))</f>
        <v>本批无需补货</v>
      </c>
      <c r="I855" s="28" t="n">
        <f>IF(AND(COUNT(Z855,AA855,AB855)=3,Z855&gt;=AA855,AA855&gt;=0,AB855=7),Z855-AA855,"")</f>
        <v>1</v>
      </c>
      <c r="J855" s="28" t="n">
        <f>IF(AND(COUNT(AF855,AG855,AH855)=3,AF855&gt;=AG855,AG855&gt;=0,AH855=14),AF855-AG855,"")</f>
        <v>3</v>
      </c>
      <c r="K855" s="28" t="n">
        <f>IF(AND(COUNT(AL855,AM855,AN855)=3,AL855&gt;=AM855,AM855&gt;=0,AN855=30),AL855-AM855,"")</f>
        <v>3</v>
      </c>
      <c r="L855" s="29" t="n">
        <f>IF(ISNUMBER(BI855),BI855/90,"")</f>
        <v>0.22720779476949077</v>
      </c>
      <c r="M855" s="28" t="n">
        <v>2</v>
      </c>
      <c r="N855" s="28" t="n">
        <v>0</v>
      </c>
      <c r="O855" s="28" t="n">
        <v>38</v>
      </c>
      <c r="P855" s="30" t="n">
        <f>IF(AND(ISNUMBER(L855),L855&gt;0,COUNT(M855:O855)=3,MIN(M855:O855)&gt;=0),SUM(M855:O855)/L855,"")</f>
        <v>176.05029810082536</v>
      </c>
      <c r="Q855" s="16" t="str">
        <v>沿用原计划SKU店铺</v>
      </c>
      <c r="R855" s="16" t="str">
        <v>已匹配</v>
      </c>
      <c r="S855" s="16" t="str">
        <v>在售</v>
      </c>
      <c r="T855" s="16" t="str">
        <v>B06</v>
      </c>
      <c r="U855" s="16" t="str">
        <v>黑色羊京绒</v>
      </c>
      <c r="V855" s="16" t="n">
        <v>10.5</v>
      </c>
      <c r="W855" s="8" t="str">
        <v>2026-10-11 至 2026-10-17</v>
      </c>
      <c r="X855" s="8" t="str">
        <v>2026-10-11、2026-10-12、2026-10-13、2026-10-14、2026-10-15、2026-10-16、2026-10-17</v>
      </c>
      <c r="Y855" s="8" t="str">
        <v>无</v>
      </c>
      <c r="Z855" s="8" t="n">
        <v>1</v>
      </c>
      <c r="AA855" s="8" t="n">
        <v>0</v>
      </c>
      <c r="AB855" s="8" t="n">
        <v>7</v>
      </c>
      <c r="AC855" s="8" t="str">
        <v>2026-10-02 至 2026-10-17</v>
      </c>
      <c r="AD855" s="8" t="str">
        <v>2026-10-02、2026-10-03、2026-10-04、2026-10-05、2026-10-08、2026-10-09、2026-10-10、2026-10-11、2026-10-12、2026-10-13、2026-10-14、2026-10-15、2026-10-16、2026-10-17</v>
      </c>
      <c r="AE855" s="8" t="str">
        <v>2026-10-06 大促；2026-10-07 大促</v>
      </c>
      <c r="AF855" s="8" t="n">
        <v>4</v>
      </c>
      <c r="AG855" s="8" t="n">
        <v>1</v>
      </c>
      <c r="AH855" s="8" t="n">
        <v>14</v>
      </c>
      <c r="AI855" s="8" t="str">
        <v>2026-09-16 至 2026-10-17</v>
      </c>
      <c r="AJ8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5" s="8" t="str">
        <v>2026-10-06 大促；2026-10-07 大促</v>
      </c>
      <c r="AL855" s="8" t="n">
        <v>4</v>
      </c>
      <c r="AM855" s="8" t="n">
        <v>1</v>
      </c>
      <c r="AN855" s="8" t="n">
        <v>30</v>
      </c>
      <c r="AO855" s="8" t="str">
        <v>B06 / 黑色羊京绒 / 13120</v>
      </c>
      <c r="AP855" s="11" t="n">
        <v>1.2247029157699902</v>
      </c>
      <c r="AQ855" s="11" t="n">
        <v>1.2247029157699902</v>
      </c>
      <c r="AR855" s="11" t="n">
        <v>1.1136940657346173</v>
      </c>
      <c r="AS855" s="11" t="n">
        <f>IF(AND(COUNT(I855:K855,AP855:AR855)=6,MIN(AP855:AR855)&gt;0),I855/7/AP855*0.5+J855/14/AQ855*0.3+K855/30/AR855*0.2,"")</f>
        <v>0.1287722995658378</v>
      </c>
      <c r="AT855" s="8" t="n">
        <v>25</v>
      </c>
      <c r="AU855" s="8" t="n">
        <v>1</v>
      </c>
      <c r="AV855" s="8" t="n">
        <v>88</v>
      </c>
      <c r="AW855" s="11" t="n">
        <f>IF(AND(COUNT(AT855:AV855)=3,AT855&gt;=AU855,AU855&gt;=0,AV855&gt;0),(AT855-AU855)/AV855,"")</f>
        <v>0.2727272727272727</v>
      </c>
      <c r="AX855" s="8" t="n">
        <v>52</v>
      </c>
      <c r="AY855" s="8" t="n">
        <v>1</v>
      </c>
      <c r="AZ855" s="8" t="n">
        <v>178</v>
      </c>
      <c r="BA855" s="11" t="n">
        <f>IF(AND(COUNT(AX855:AZ855)=3,AX855&gt;=AY855,AY855&gt;=0,AZ855&gt;0),(AX855-AY855)/AZ855,"")</f>
        <v>0.28651685393258425</v>
      </c>
      <c r="BB855" s="8" t="n">
        <f>IF(COUNT(AS855,AW855,BA855)=3,1,0)</f>
        <v>1</v>
      </c>
      <c r="BC855" s="11" t="n">
        <f>IF(SUMIF($AO$11:$AO$1309,AO855,$BB$11:$BB$1309)=COUNTIF($AO$11:$AO$1309,AO855),SUMIF($AO$11:$AO$1309,AO855,$AS$11:$AS$1309),"")</f>
        <v>11.479673646705146</v>
      </c>
      <c r="BD855" s="11" t="n">
        <f>IF(SUMIF($AO$11:$AO$1309,AO855,$BB$11:$BB$1309)=COUNTIF($AO$11:$AO$1309,AO855),SUMIF($AO$11:$AO$1309,AO855,$AW$11:$AW$1309),"")</f>
        <v>12.119251336898396</v>
      </c>
      <c r="BE855" s="11" t="n">
        <f>IF(SUMIF($AO$11:$AO$1309,AO855,$BB$11:$BB$1309)=COUNTIF($AO$11:$AO$1309,AO855),SUMIF($AO$11:$AO$1309,AO855,$BA$11:$BA$1309),"")</f>
        <v>10.255120385232745</v>
      </c>
      <c r="BF855" s="12" t="n">
        <f>IF(COUNT(BD855:BE855)&lt;&gt;2,"",IF(AND(BD855&gt;0,BE855&gt;0),0.7*AW855/BD855+0.3*BA855/BE855,IF(BD855&gt;0,AW855/BD855,IF(BE855&gt;0,BA855/BE855,IF(AND(ISNUMBER(BH855),BH855=0),0,"")))))</f>
        <v>0.024134220283385657</v>
      </c>
      <c r="BG855" s="11" t="n">
        <f>IF(AND(COUNT(BN855:BU855)=8,MIN(BN855:BU855)&gt;=0),SUMPRODUCT(BN855:BQ855,BR855:BU855),"")</f>
        <v>73.80791239847399</v>
      </c>
      <c r="BH855" s="11" t="n">
        <f>IF(COUNT(BC855,BG855)=2,BC855*BG855,"")</f>
        <v>847.2907468790838</v>
      </c>
      <c r="BI855" s="11" t="n">
        <f>IF(ISNUMBER(CI855),CI855,"")</f>
        <v>20.44870152925417</v>
      </c>
      <c r="BJ855" s="8" t="str">
        <v>低销提醒依据不完整</v>
      </c>
      <c r="BK855" s="8" t="str">
        <v>90天：2026-07-20 至 2026-10-17；180天：2026-04-21 至 2026-10-17</v>
      </c>
      <c r="BL855" s="8" t="str">
        <v>90天：2026-10-06、2026-10-07；180天：2026-10-06、2026-10-07</v>
      </c>
      <c r="BM855" s="8" t="str">
        <v>2026-10：12天 × 1.2247029157699902；2026-11：30天 × 0.8332682139098497；2026-12：31天 × 0.5511018253564084；2027-01：17天 × 1.0017220238758797</v>
      </c>
      <c r="BN855" s="11" t="n">
        <v>1.2247029157699902</v>
      </c>
      <c r="BO855" s="11" t="n">
        <v>0.8332682139098497</v>
      </c>
      <c r="BP855" s="11" t="n">
        <v>0.5511018253564084</v>
      </c>
      <c r="BQ855" s="11" t="n">
        <v>1.0017220238758797</v>
      </c>
      <c r="BR855" s="8" t="n">
        <v>12</v>
      </c>
      <c r="BS855" s="8" t="n">
        <v>30</v>
      </c>
      <c r="BT855" s="8" t="n">
        <v>31</v>
      </c>
      <c r="BU855" s="8" t="n">
        <v>17</v>
      </c>
      <c r="BV855" s="11" t="n">
        <f>IF(COUNT(BC855,BF855)=2,BC855*BF855,"")</f>
        <v>0.2770529725709591</v>
      </c>
      <c r="BW855" s="11" t="n">
        <f>IF(ISNUMBER(BN855),BN855,"")</f>
        <v>1.2247029157699902</v>
      </c>
      <c r="BX855" s="14" t="n">
        <f>IF(ISNUMBER(BR855),BR855,"")</f>
        <v>12</v>
      </c>
      <c r="BY855" s="13" t="n">
        <f>IF(AND(COUNT(BV855,BW855,BX855)=3,MIN(BV855,BW855,BX855)&gt;=0),BV855*BW855*BX855,"")</f>
        <v>4.071690999964762</v>
      </c>
      <c r="BZ855" s="11" t="n">
        <f>IF(ISNUMBER(BO855),BO855,"")</f>
        <v>0.8332682139098497</v>
      </c>
      <c r="CA855" s="14" t="n">
        <f>IF(ISNUMBER(BS855),BS855,"")</f>
        <v>30</v>
      </c>
      <c r="CB855" s="13" t="n">
        <f>IF(AND(COUNT(BV855,BZ855,CA855)=3,MIN(BV855,BZ855,CA855)&gt;=0),BV855*BZ855*CA855,"")</f>
        <v>6.925783068378531</v>
      </c>
      <c r="CC855" s="11" t="n">
        <f>IF(ISNUMBER(BP855),BP855,"")</f>
        <v>0.5511018253564084</v>
      </c>
      <c r="CD855" s="14" t="n">
        <f>IF(ISNUMBER(BT855),BT855,"")</f>
        <v>31</v>
      </c>
      <c r="CE855" s="13" t="n">
        <f>IF(AND(COUNT(BV855,CC855,CD855)=3,MIN(BV855,CC855,CD855)&gt;=0),BV855*CC855*CD855,"")</f>
        <v>4.73321636603251</v>
      </c>
      <c r="CF855" s="11" t="n">
        <f>IF(ISNUMBER(BQ855),BQ855,"")</f>
        <v>1.0017220238758797</v>
      </c>
      <c r="CG855" s="14" t="n">
        <f>IF(ISNUMBER(BU855),BU855,"")</f>
        <v>17</v>
      </c>
      <c r="CH855" s="13" t="n">
        <f>IF(AND(COUNT(BV855,CF855,CG855)=3,MIN(BV855,CF855,CG855)&gt;=0),BV855*CF855*CG855,"")</f>
        <v>4.718011094878366</v>
      </c>
      <c r="CI855" s="13" t="n">
        <f>IF(COUNT(BY855,CB855,CE855,CH855)=4,SUM(BY855,CB855,CE855,CH855),"")</f>
        <v>20.44870152925417</v>
      </c>
    </row>
    <row r="856" ht="72" customHeight="1">
      <c r="A856" s="16" t="str">
        <v>B06-BKP-37</v>
      </c>
      <c r="B856" s="16" t="str">
        <v>1店-MUSSHOE-US</v>
      </c>
      <c r="C856" s="16" t="str">
        <v>艾年</v>
      </c>
      <c r="D856" s="26" t="n">
        <f>IF(NOT(ISNUMBER(E856)),"",IF(OR(E856&lt;=0,L856=0),0,IF(OR(NOT(ISNUMBER(F856)),F856&lt;0),"",MIN(E856,INT(F856)))))</f>
        <v>0</v>
      </c>
      <c r="E856" s="27" t="n">
        <f>IF(OR(NOT(ISNUMBER(L856)),COUNT(M856:O856)&lt;&gt;3,MIN(M856:O856)&lt;0),"",ROUNDUP(ROUND(BI856-SUM(M856:O856),10),0))</f>
        <v>-10</v>
      </c>
      <c r="F856" s="28" t="n">
        <v>51</v>
      </c>
      <c r="G856" s="28" t="n">
        <f>IF(AND(ISNUMBER(D856),ISNUMBER(E856)),IF(OR(E856&lt;=0,L856=0),0,E856-D856),"")</f>
        <v>0</v>
      </c>
      <c r="H856" s="16" t="str">
        <f>IF(NOT(ISNUMBER(E856)),"销量或海外库存待补",IF(OR(E856&lt;=0,L856=0),IF(L856=0,"零日销，本批不发","本批无需补货"),IF(NOT(ISNUMBER(D856)),"国内库存待补",IF(D856=0,"国内无可用库存",IF(G856&gt;0,"先发国内现货","按建议量发货")))))</f>
        <v>本批无需补货</v>
      </c>
      <c r="I856" s="28" t="n">
        <f>IF(AND(COUNT(Z856,AA856,AB856)=3,Z856&gt;=AA856,AA856&gt;=0,AB856=7),Z856-AA856,"")</f>
        <v>1</v>
      </c>
      <c r="J856" s="28" t="n">
        <f>IF(AND(COUNT(AF856,AG856,AH856)=3,AF856&gt;=AG856,AG856&gt;=0,AH856=14),AF856-AG856,"")</f>
        <v>3</v>
      </c>
      <c r="K856" s="28" t="n">
        <f>IF(AND(COUNT(AL856,AM856,AN856)=3,AL856&gt;=AM856,AM856&gt;=0,AN856=30),AL856-AM856,"")</f>
        <v>5</v>
      </c>
      <c r="L856" s="29" t="n">
        <f>IF(ISNUMBER(BI856),BI856/90,"")</f>
        <v>0.13617776172497287</v>
      </c>
      <c r="M856" s="28" t="n">
        <v>2</v>
      </c>
      <c r="N856" s="28" t="n">
        <v>0</v>
      </c>
      <c r="O856" s="28" t="n">
        <v>20</v>
      </c>
      <c r="P856" s="30" t="n">
        <f>IF(AND(ISNUMBER(L856),L856&gt;0,COUNT(M856:O856)=3,MIN(M856:O856)&gt;=0),SUM(M856:O856)/L856,"")</f>
        <v>161.55354384830915</v>
      </c>
      <c r="Q856" s="16" t="str">
        <v>沿用原计划SKU店铺</v>
      </c>
      <c r="R856" s="16" t="str">
        <v>已匹配</v>
      </c>
      <c r="S856" s="16" t="str">
        <v>在售</v>
      </c>
      <c r="T856" s="16" t="str">
        <v>B06</v>
      </c>
      <c r="U856" s="16" t="str">
        <v>黑色PU</v>
      </c>
      <c r="V856" s="16" t="n">
        <v>6</v>
      </c>
      <c r="W856" s="8" t="str">
        <v>2026-10-09 至 2026-10-17</v>
      </c>
      <c r="X856" s="8" t="str">
        <v>2026-10-09、2026-10-10、2026-10-11、2026-10-14、2026-10-15、2026-10-16、2026-10-17</v>
      </c>
      <c r="Y856" s="8" t="str">
        <v>2026-10-12 有记录的停售日；2026-10-13 有记录的停售日</v>
      </c>
      <c r="Z856" s="8" t="n">
        <v>1</v>
      </c>
      <c r="AA856" s="8" t="n">
        <v>0</v>
      </c>
      <c r="AB856" s="8" t="n">
        <v>7</v>
      </c>
      <c r="AC856" s="8" t="str">
        <v>2026-09-30 至 2026-10-17</v>
      </c>
      <c r="AD856" s="8" t="str">
        <v>2026-09-30、2026-10-01、2026-10-02、2026-10-03、2026-10-04、2026-10-05、2026-10-08、2026-10-09、2026-10-10、2026-10-11、2026-10-14、2026-10-15、2026-10-16、2026-10-17</v>
      </c>
      <c r="AE856" s="8" t="str">
        <v>2026-10-06 大促；2026-10-07 大促；2026-10-12 有记录的停售日；2026-10-13 有记录的停售日</v>
      </c>
      <c r="AF856" s="8" t="n">
        <v>3</v>
      </c>
      <c r="AG856" s="8" t="n">
        <v>0</v>
      </c>
      <c r="AH856" s="8" t="n">
        <v>14</v>
      </c>
      <c r="AI856" s="8" t="str">
        <v>2026-09-14 至 2026-10-17</v>
      </c>
      <c r="AJ856" s="8" t="str">
        <v>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-16、2026-10-17</v>
      </c>
      <c r="AK856" s="8" t="str">
        <v>2026-10-06 大促；2026-10-07 大促；2026-10-12 有记录的停售日；2026-10-13 有记录的停售日</v>
      </c>
      <c r="AL856" s="8" t="n">
        <v>5</v>
      </c>
      <c r="AM856" s="8" t="n">
        <v>0</v>
      </c>
      <c r="AN856" s="8" t="n">
        <v>30</v>
      </c>
      <c r="AO856" s="8" t="str">
        <v>B06 / 黑色PU / 13120</v>
      </c>
      <c r="AP856" s="11" t="n">
        <v>1.2247029157699902</v>
      </c>
      <c r="AQ856" s="11" t="n">
        <v>1.2088445086220798</v>
      </c>
      <c r="AR856" s="11" t="n">
        <v>1.0988928857299007</v>
      </c>
      <c r="AS856" s="11" t="n">
        <f>IF(AND(COUNT(I856:K856,AP856:AR856)=6,MIN(AP856:AR856)&gt;0),I856/7/AP856*0.5+J856/14/AQ856*0.3+K856/30/AR856*0.2,"")</f>
        <v>0.14183621566599708</v>
      </c>
      <c r="AT856" s="8" t="n">
        <v>18</v>
      </c>
      <c r="AU856" s="8" t="n">
        <v>0</v>
      </c>
      <c r="AV856" s="8" t="n">
        <v>86</v>
      </c>
      <c r="AW856" s="11" t="n">
        <f>IF(AND(COUNT(AT856:AV856)=3,AT856&gt;=AU856,AU856&gt;=0,AV856&gt;0),(AT856-AU856)/AV856,"")</f>
        <v>0.20930232558139536</v>
      </c>
      <c r="AX856" s="8" t="n">
        <v>45</v>
      </c>
      <c r="AY856" s="8" t="n">
        <v>0</v>
      </c>
      <c r="AZ856" s="8" t="n">
        <v>176</v>
      </c>
      <c r="BA856" s="11" t="n">
        <f>IF(AND(COUNT(AX856:AZ856)=3,AX856&gt;=AY856,AY856&gt;=0,AZ856&gt;0),(AX856-AY856)/AZ856,"")</f>
        <v>0.2556818181818182</v>
      </c>
      <c r="BB856" s="8" t="n">
        <f>IF(COUNT(AS856,AW856,BA856)=3,1,0)</f>
        <v>1</v>
      </c>
      <c r="BC856" s="11" t="n">
        <f>IF(SUMIF($AO$11:$AO$1309,AO856,$BB$11:$BB$1309)=COUNTIF($AO$11:$AO$1309,AO856),SUMIF($AO$11:$AO$1309,AO856,$AS$11:$AS$1309),"")</f>
        <v>3.356331278136211</v>
      </c>
      <c r="BD856" s="11" t="n">
        <f>IF(SUMIF($AO$11:$AO$1309,AO856,$BB$11:$BB$1309)=COUNTIF($AO$11:$AO$1309,AO856),SUMIF($AO$11:$AO$1309,AO856,$AW$11:$AW$1309),"")</f>
        <v>4.654443391412116</v>
      </c>
      <c r="BE856" s="11" t="n">
        <f>IF(SUMIF($AO$11:$AO$1309,AO856,$BB$11:$BB$1309)=COUNTIF($AO$11:$AO$1309,AO856),SUMIF($AO$11:$AO$1309,AO856,$BA$11:$BA$1309),"")</f>
        <v>4.262156775332837</v>
      </c>
      <c r="BF856" s="12" t="n">
        <f>IF(COUNT(BD856:BE856)&lt;&gt;2,"",IF(AND(BD856&gt;0,BE856&gt;0),0.7*AW856/BD856+0.3*BA856/BE856,IF(BD856&gt;0,AW856/BD856,IF(BE856&gt;0,BA856/BE856,IF(AND(ISNUMBER(BH856),BH856=0),0,"")))))</f>
        <v>0.049474448195958164</v>
      </c>
      <c r="BG856" s="11" t="n">
        <f>IF(AND(COUNT(BN856:BU856)=8,MIN(BN856:BU856)&gt;=0),SUMPRODUCT(BN856:BQ856,BR856:BU856),"")</f>
        <v>73.80791239847399</v>
      </c>
      <c r="BH856" s="11" t="n">
        <f>IF(COUNT(BC856,BG856)=2,BC856*BG856,"")</f>
        <v>247.72380495693568</v>
      </c>
      <c r="BI856" s="11" t="n">
        <f>IF(ISNUMBER(CI856),CI856,"")</f>
        <v>12.255998555247558</v>
      </c>
      <c r="BJ856" s="8" t="str">
        <v>低销提醒依据不完整</v>
      </c>
      <c r="BK856" s="8" t="str">
        <v>90天：2026-07-20 至 2026-10-17；180天：2026-04-21 至 2026-10-17</v>
      </c>
      <c r="BL856" s="8" t="str">
        <v>90天：2026-10-06、2026-10-07、2026-10-12、2026-10-13；180天：2026-10-06、2026-10-07、2026-10-12、2026-10-13</v>
      </c>
      <c r="BM856" s="8" t="str">
        <v>2026-10：12天 × 1.2247029157699902；2026-11：30天 × 0.8332682139098497；2026-12：31天 × 0.5511018253564084；2027-01：17天 × 1.0017220238758797</v>
      </c>
      <c r="BN856" s="11" t="n">
        <v>1.2247029157699902</v>
      </c>
      <c r="BO856" s="11" t="n">
        <v>0.8332682139098497</v>
      </c>
      <c r="BP856" s="11" t="n">
        <v>0.5511018253564084</v>
      </c>
      <c r="BQ856" s="11" t="n">
        <v>1.0017220238758797</v>
      </c>
      <c r="BR856" s="8" t="n">
        <v>12</v>
      </c>
      <c r="BS856" s="8" t="n">
        <v>30</v>
      </c>
      <c r="BT856" s="8" t="n">
        <v>31</v>
      </c>
      <c r="BU856" s="8" t="n">
        <v>17</v>
      </c>
      <c r="BV856" s="11" t="n">
        <f>IF(COUNT(BC856,BF856)=2,BC856*BF856,"")</f>
        <v>0.16605263794862402</v>
      </c>
      <c r="BW856" s="11" t="n">
        <f>IF(ISNUMBER(BN856),BN856,"")</f>
        <v>1.2247029157699902</v>
      </c>
      <c r="BX856" s="14" t="n">
        <f>IF(ISNUMBER(BR856),BR856,"")</f>
        <v>12</v>
      </c>
      <c r="BY856" s="13" t="n">
        <f>IF(AND(COUNT(BV856,BW856,BX856)=3,MIN(BV856,BW856,BX856)&gt;=0),BV856*BW856*BX856,"")</f>
        <v>2.4403817984037404</v>
      </c>
      <c r="BZ856" s="11" t="n">
        <f>IF(ISNUMBER(BO856),BO856,"")</f>
        <v>0.8332682139098497</v>
      </c>
      <c r="CA856" s="14" t="n">
        <f>IF(ISNUMBER(BS856),BS856,"")</f>
        <v>30</v>
      </c>
      <c r="CB856" s="13" t="n">
        <f>IF(AND(COUNT(BV856,BZ856,CA856)=3,MIN(BV856,BZ856,CA856)&gt;=0),BV856*BZ856*CA856,"")</f>
        <v>4.150991551154066</v>
      </c>
      <c r="CC856" s="11" t="n">
        <f>IF(ISNUMBER(BP856),BP856,"")</f>
        <v>0.5511018253564084</v>
      </c>
      <c r="CD856" s="14" t="n">
        <f>IF(ISNUMBER(BT856),BT856,"")</f>
        <v>31</v>
      </c>
      <c r="CE856" s="13" t="n">
        <f>IF(AND(COUNT(BV856,CC856,CD856)=3,MIN(BV856,CC856,CD856)&gt;=0),BV856*CC856*CD856,"")</f>
        <v>2.8368692682407386</v>
      </c>
      <c r="CF856" s="11" t="n">
        <f>IF(ISNUMBER(BQ856),BQ856,"")</f>
        <v>1.0017220238758797</v>
      </c>
      <c r="CG856" s="14" t="n">
        <f>IF(ISNUMBER(BU856),BU856,"")</f>
        <v>17</v>
      </c>
      <c r="CH856" s="13" t="n">
        <f>IF(AND(COUNT(BV856,CF856,CG856)=3,MIN(BV856,CF856,CG856)&gt;=0),BV856*CF856*CG856,"")</f>
        <v>2.827755937449014</v>
      </c>
      <c r="CI856" s="13" t="n">
        <f>IF(COUNT(BY856,CB856,CE856,CH856)=4,SUM(BY856,CB856,CE856,CH856),"")</f>
        <v>12.255998555247558</v>
      </c>
    </row>
    <row r="857" ht="72" customHeight="1">
      <c r="A857" s="16" t="str">
        <v>B06-BKP-37.5</v>
      </c>
      <c r="B857" s="16" t="str">
        <v>1店-MUSSHOE-US</v>
      </c>
      <c r="C857" s="16" t="str">
        <v>艾年</v>
      </c>
      <c r="D857" s="26" t="n">
        <f>IF(NOT(ISNUMBER(E857)),"",IF(OR(E857&lt;=0,L857=0),0,IF(OR(NOT(ISNUMBER(F857)),F857&lt;0),"",MIN(E857,INT(F857)))))</f>
        <v>0</v>
      </c>
      <c r="E857" s="27" t="n">
        <f>IF(OR(NOT(ISNUMBER(L857)),COUNT(M857:O857)&lt;&gt;3,MIN(M857:O857)&lt;0),"",ROUNDUP(ROUND(BI857-SUM(M857:O857),10),0))</f>
        <v>-70</v>
      </c>
      <c r="F857" s="28" t="n">
        <v>0</v>
      </c>
      <c r="G857" s="28" t="n">
        <f>IF(AND(ISNUMBER(D857),ISNUMBER(E857)),IF(OR(E857&lt;=0,L857=0),0,E857-D857),"")</f>
        <v>0</v>
      </c>
      <c r="H857" s="16" t="str">
        <f>IF(NOT(ISNUMBER(E857)),"销量或海外库存待补",IF(OR(E857&lt;=0,L857=0),IF(L857=0,"零日销，本批不发","本批无需补货"),IF(NOT(ISNUMBER(D857)),"国内库存待补",IF(D857=0,"国内无可用库存",IF(G857&gt;0,"先发国内现货","按建议量发货")))))</f>
        <v>本批无需补货</v>
      </c>
      <c r="I857" s="28" t="n">
        <f>IF(AND(COUNT(Z857,AA857,AB857)=3,Z857&gt;=AA857,AA857&gt;=0,AB857=7),Z857-AA857,"")</f>
        <v>1</v>
      </c>
      <c r="J857" s="28" t="n">
        <f>IF(AND(COUNT(AF857,AG857,AH857)=3,AF857&gt;=AG857,AG857&gt;=0,AH857=14),AF857-AG857,"")</f>
        <v>2</v>
      </c>
      <c r="K857" s="28" t="n">
        <f>IF(AND(COUNT(AL857,AM857,AN857)=3,AL857&gt;=AM857,AM857&gt;=0,AN857=30),AL857-AM857,"")</f>
        <v>7</v>
      </c>
      <c r="L857" s="29" t="n">
        <f>IF(ISNUMBER(BI857),BI857/90,"")</f>
        <v>0.1915768545359138</v>
      </c>
      <c r="M857" s="28" t="n">
        <v>52</v>
      </c>
      <c r="N857" s="28" t="n">
        <v>0</v>
      </c>
      <c r="O857" s="28" t="n">
        <v>35</v>
      </c>
      <c r="P857" s="30" t="n">
        <f>IF(AND(ISNUMBER(L857),L857&gt;0,COUNT(M857:O857)=3,MIN(M857:O857)&gt;=0),SUM(M857:O857)/L857,"")</f>
        <v>454.1258400486506</v>
      </c>
      <c r="Q857" s="16" t="str">
        <v>沿用原计划SKU店铺</v>
      </c>
      <c r="R857" s="16" t="str">
        <v>已匹配</v>
      </c>
      <c r="S857" s="16" t="str">
        <v>在售</v>
      </c>
      <c r="T857" s="16" t="str">
        <v>B06</v>
      </c>
      <c r="U857" s="16" t="str">
        <v>黑色PU</v>
      </c>
      <c r="V857" s="16" t="n">
        <v>6.5</v>
      </c>
      <c r="W857" s="8" t="str">
        <v>2026-10-11 至 2026-10-17</v>
      </c>
      <c r="X857" s="8" t="str">
        <v>2026-10-11、2026-10-12、2026-10-13、2026-10-14、2026-10-15、2026-10-16、2026-10-17</v>
      </c>
      <c r="Y857" s="8" t="str">
        <v>无</v>
      </c>
      <c r="Z857" s="8" t="n">
        <v>1</v>
      </c>
      <c r="AA857" s="8" t="n">
        <v>0</v>
      </c>
      <c r="AB857" s="8" t="n">
        <v>7</v>
      </c>
      <c r="AC857" s="8" t="str">
        <v>2026-10-02 至 2026-10-17</v>
      </c>
      <c r="AD857" s="8" t="str">
        <v>2026-10-02、2026-10-03、2026-10-04、2026-10-05、2026-10-08、2026-10-09、2026-10-10、2026-10-11、2026-10-12、2026-10-13、2026-10-14、2026-10-15、2026-10-16、2026-10-17</v>
      </c>
      <c r="AE857" s="8" t="str">
        <v>2026-10-06 大促；2026-10-07 大促</v>
      </c>
      <c r="AF857" s="8" t="n">
        <v>4</v>
      </c>
      <c r="AG857" s="8" t="n">
        <v>2</v>
      </c>
      <c r="AH857" s="8" t="n">
        <v>14</v>
      </c>
      <c r="AI857" s="8" t="str">
        <v>2026-09-16 至 2026-10-17</v>
      </c>
      <c r="AJ8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7" s="8" t="str">
        <v>2026-10-06 大促；2026-10-07 大促</v>
      </c>
      <c r="AL857" s="8" t="n">
        <v>9</v>
      </c>
      <c r="AM857" s="8" t="n">
        <v>2</v>
      </c>
      <c r="AN857" s="8" t="n">
        <v>30</v>
      </c>
      <c r="AO857" s="8" t="str">
        <v>B06 / 黑色PU / 13120</v>
      </c>
      <c r="AP857" s="11" t="n">
        <v>1.2247029157699902</v>
      </c>
      <c r="AQ857" s="11" t="n">
        <v>1.2247029157699902</v>
      </c>
      <c r="AR857" s="11" t="n">
        <v>1.1136940657346173</v>
      </c>
      <c r="AS857" s="11" t="n">
        <f>IF(AND(COUNT(I857:K857,AP857:AR857)=6,MIN(AP857:AR857)&gt;0),I857/7/AP857*0.5+J857/14/AQ857*0.3+K857/30/AR857*0.2,"")</f>
        <v>0.13521968244998334</v>
      </c>
      <c r="AT857" s="8" t="n">
        <v>30</v>
      </c>
      <c r="AU857" s="8" t="n">
        <v>2</v>
      </c>
      <c r="AV857" s="8" t="n">
        <v>88</v>
      </c>
      <c r="AW857" s="11" t="n">
        <f>IF(AND(COUNT(AT857:AV857)=3,AT857&gt;=AU857,AU857&gt;=0,AV857&gt;0),(AT857-AU857)/AV857,"")</f>
        <v>0.3181818181818182</v>
      </c>
      <c r="AX857" s="8" t="n">
        <v>57</v>
      </c>
      <c r="AY857" s="8" t="n">
        <v>2</v>
      </c>
      <c r="AZ857" s="8" t="n">
        <v>178</v>
      </c>
      <c r="BA857" s="11" t="n">
        <f>IF(AND(COUNT(AX857:AZ857)=3,AX857&gt;=AY857,AY857&gt;=0,AZ857&gt;0),(AX857-AY857)/AZ857,"")</f>
        <v>0.3089887640449438</v>
      </c>
      <c r="BB857" s="8" t="n">
        <f>IF(COUNT(AS857,AW857,BA857)=3,1,0)</f>
        <v>1</v>
      </c>
      <c r="BC857" s="11" t="n">
        <f>IF(SUMIF($AO$11:$AO$1309,AO857,$BB$11:$BB$1309)=COUNTIF($AO$11:$AO$1309,AO857),SUMIF($AO$11:$AO$1309,AO857,$AS$11:$AS$1309),"")</f>
        <v>3.356331278136211</v>
      </c>
      <c r="BD857" s="11" t="n">
        <f>IF(SUMIF($AO$11:$AO$1309,AO857,$BB$11:$BB$1309)=COUNTIF($AO$11:$AO$1309,AO857),SUMIF($AO$11:$AO$1309,AO857,$AW$11:$AW$1309),"")</f>
        <v>4.654443391412116</v>
      </c>
      <c r="BE857" s="11" t="n">
        <f>IF(SUMIF($AO$11:$AO$1309,AO857,$BB$11:$BB$1309)=COUNTIF($AO$11:$AO$1309,AO857),SUMIF($AO$11:$AO$1309,AO857,$BA$11:$BA$1309),"")</f>
        <v>4.262156775332837</v>
      </c>
      <c r="BF857" s="12" t="n">
        <f>IF(COUNT(BD857:BE857)&lt;&gt;2,"",IF(AND(BD857&gt;0,BE857&gt;0),0.7*AW857/BD857+0.3*BA857/BE857,IF(BD857&gt;0,AW857/BD857,IF(BE857&gt;0,BA857/BE857,IF(AND(ISNUMBER(BH857),BH857=0),0,"")))))</f>
        <v>0.06960137283225395</v>
      </c>
      <c r="BG857" s="11" t="n">
        <f>IF(AND(COUNT(BN857:BU857)=8,MIN(BN857:BU857)&gt;=0),SUMPRODUCT(BN857:BQ857,BR857:BU857),"")</f>
        <v>73.80791239847399</v>
      </c>
      <c r="BH857" s="11" t="n">
        <f>IF(COUNT(BC857,BG857)=2,BC857*BG857,"")</f>
        <v>247.72380495693568</v>
      </c>
      <c r="BI857" s="11" t="n">
        <f>IF(ISNUMBER(CI857),CI857,"")</f>
        <v>17.24191690823224</v>
      </c>
      <c r="BJ857" s="8" t="str">
        <v>低销提醒依据不完整</v>
      </c>
      <c r="BK857" s="8" t="str">
        <v>90天：2026-07-20 至 2026-10-17；180天：2026-04-21 至 2026-10-17</v>
      </c>
      <c r="BL857" s="8" t="str">
        <v>90天：2026-10-06、2026-10-07；180天：2026-10-06、2026-10-07</v>
      </c>
      <c r="BM857" s="8" t="str">
        <v>2026-10：12天 × 1.2247029157699902；2026-11：30天 × 0.8332682139098497；2026-12：31天 × 0.5511018253564084；2027-01：17天 × 1.0017220238758797</v>
      </c>
      <c r="BN857" s="11" t="n">
        <v>1.2247029157699902</v>
      </c>
      <c r="BO857" s="11" t="n">
        <v>0.8332682139098497</v>
      </c>
      <c r="BP857" s="11" t="n">
        <v>0.5511018253564084</v>
      </c>
      <c r="BQ857" s="11" t="n">
        <v>1.0017220238758797</v>
      </c>
      <c r="BR857" s="8" t="n">
        <v>12</v>
      </c>
      <c r="BS857" s="8" t="n">
        <v>30</v>
      </c>
      <c r="BT857" s="8" t="n">
        <v>31</v>
      </c>
      <c r="BU857" s="8" t="n">
        <v>17</v>
      </c>
      <c r="BV857" s="11" t="n">
        <f>IF(COUNT(BC857,BF857)=2,BC857*BF857,"")</f>
        <v>0.23360526463811387</v>
      </c>
      <c r="BW857" s="11" t="n">
        <f>IF(ISNUMBER(BN857),BN857,"")</f>
        <v>1.2247029157699902</v>
      </c>
      <c r="BX857" s="14" t="n">
        <f>IF(ISNUMBER(BR857),BR857,"")</f>
        <v>12</v>
      </c>
      <c r="BY857" s="13" t="n">
        <f>IF(AND(COUNT(BV857,BW857,BX857)=3,MIN(BV857,BW857,BX857)&gt;=0),BV857*BW857*BX857,"")</f>
        <v>3.4331645848982193</v>
      </c>
      <c r="BZ857" s="11" t="n">
        <f>IF(ISNUMBER(BO857),BO857,"")</f>
        <v>0.8332682139098497</v>
      </c>
      <c r="CA857" s="14" t="n">
        <f>IF(ISNUMBER(BS857),BS857,"")</f>
        <v>30</v>
      </c>
      <c r="CB857" s="13" t="n">
        <f>IF(AND(COUNT(BV857,BZ857,CA857)=3,MIN(BV857,BZ857,CA857)&gt;=0),BV857*BZ857*CA857,"")</f>
        <v>5.839675248748168</v>
      </c>
      <c r="CC857" s="11" t="n">
        <f>IF(ISNUMBER(BP857),BP857,"")</f>
        <v>0.5511018253564084</v>
      </c>
      <c r="CD857" s="14" t="n">
        <f>IF(ISNUMBER(BT857),BT857,"")</f>
        <v>31</v>
      </c>
      <c r="CE857" s="13" t="n">
        <f>IF(AND(COUNT(BV857,CC857,CD857)=3,MIN(BV857,CC857,CD857)&gt;=0),BV857*CC857*CD857,"")</f>
        <v>3.9909489204028734</v>
      </c>
      <c r="CF857" s="11" t="n">
        <f>IF(ISNUMBER(BQ857),BQ857,"")</f>
        <v>1.0017220238758797</v>
      </c>
      <c r="CG857" s="14" t="n">
        <f>IF(ISNUMBER(BU857),BU857,"")</f>
        <v>17</v>
      </c>
      <c r="CH857" s="13" t="n">
        <f>IF(AND(COUNT(BV857,CF857,CG857)=3,MIN(BV857,CF857,CG857)&gt;=0),BV857*CF857*CG857,"")</f>
        <v>3.9781281541829827</v>
      </c>
      <c r="CI857" s="13" t="n">
        <f>IF(COUNT(BY857,CB857,CE857,CH857)=4,SUM(BY857,CB857,CE857,CH857),"")</f>
        <v>17.24191690823224</v>
      </c>
    </row>
    <row r="858" ht="72" customHeight="1">
      <c r="A858" s="16" t="str">
        <v>B06-BKP-38.5</v>
      </c>
      <c r="B858" s="16" t="str">
        <v>1店-MUSSHOE-US</v>
      </c>
      <c r="C858" s="16" t="str">
        <v>艾年</v>
      </c>
      <c r="D858" s="26" t="n">
        <f>IF(NOT(ISNUMBER(E858)),"",IF(OR(E858&lt;=0,L858=0),0,IF(OR(NOT(ISNUMBER(F858)),F858&lt;0),"",MIN(E858,INT(F858)))))</f>
        <v>0</v>
      </c>
      <c r="E858" s="27" t="n">
        <f>IF(OR(NOT(ISNUMBER(L858)),COUNT(M858:O858)&lt;&gt;3,MIN(M858:O858)&lt;0),"",ROUNDUP(ROUND(BI858-SUM(M858:O858),10),0))</f>
        <v>-28</v>
      </c>
      <c r="F858" s="28" t="n">
        <v>12</v>
      </c>
      <c r="G858" s="28" t="n">
        <f>IF(AND(ISNUMBER(D858),ISNUMBER(E858)),IF(OR(E858&lt;=0,L858=0),0,E858-D858),"")</f>
        <v>0</v>
      </c>
      <c r="H858" s="16" t="str">
        <f>IF(NOT(ISNUMBER(E858)),"销量或海外库存待补",IF(OR(E858&lt;=0,L858=0),IF(L858=0,"零日销，本批不发","本批无需补货"),IF(NOT(ISNUMBER(D858)),"国内库存待补",IF(D858=0,"国内无可用库存",IF(G858&gt;0,"先发国内现货","按建议量发货")))))</f>
        <v>本批无需补货</v>
      </c>
      <c r="I858" s="28" t="n">
        <f>IF(AND(COUNT(Z858,AA858,AB858)=3,Z858&gt;=AA858,AA858&gt;=0,AB858=7),Z858-AA858,"")</f>
        <v>6</v>
      </c>
      <c r="J858" s="28" t="n">
        <f>IF(AND(COUNT(AF858,AG858,AH858)=3,AF858&gt;=AG858,AG858&gt;=0,AH858=14),AF858-AG858,"")</f>
        <v>10</v>
      </c>
      <c r="K858" s="28" t="n">
        <f>IF(AND(COUNT(AL858,AM858,AN858)=3,AL858&gt;=AM858,AM858&gt;=0,AN858=30),AL858-AM858,"")</f>
        <v>18</v>
      </c>
      <c r="L858" s="29" t="n">
        <f>IF(ISNUMBER(BI858),BI858/90,"")</f>
        <v>0.36356212420837813</v>
      </c>
      <c r="M858" s="28" t="n">
        <v>60</v>
      </c>
      <c r="N858" s="28" t="n">
        <v>0</v>
      </c>
      <c r="O858" s="28" t="n">
        <v>0</v>
      </c>
      <c r="P858" s="30" t="n">
        <f>IF(AND(ISNUMBER(L858),L858&gt;0,COUNT(M858:O858)=3,MIN(M858:O858)&gt;=0),SUM(M858:O858)/L858,"")</f>
        <v>165.0336930191622</v>
      </c>
      <c r="Q858" s="16" t="str">
        <v>沿用原计划SKU店铺</v>
      </c>
      <c r="R858" s="16" t="str">
        <v>已匹配</v>
      </c>
      <c r="S858" s="16" t="str">
        <v>在售</v>
      </c>
      <c r="T858" s="16" t="str">
        <v>B06</v>
      </c>
      <c r="U858" s="16" t="str">
        <v>黑色PU</v>
      </c>
      <c r="V858" s="16" t="n">
        <v>7.5</v>
      </c>
      <c r="W858" s="8" t="str">
        <v>2026-10-11 至 2026-10-17</v>
      </c>
      <c r="X858" s="8" t="str">
        <v>2026-10-11、2026-10-12、2026-10-13、2026-10-14、2026-10-15、2026-10-16、2026-10-17</v>
      </c>
      <c r="Y858" s="8" t="str">
        <v>无</v>
      </c>
      <c r="Z858" s="8" t="n">
        <v>6</v>
      </c>
      <c r="AA858" s="8" t="n">
        <v>0</v>
      </c>
      <c r="AB858" s="8" t="n">
        <v>7</v>
      </c>
      <c r="AC858" s="8" t="str">
        <v>2026-10-02 至 2026-10-17</v>
      </c>
      <c r="AD858" s="8" t="str">
        <v>2026-10-02、2026-10-03、2026-10-04、2026-10-05、2026-10-08、2026-10-09、2026-10-10、2026-10-11、2026-10-12、2026-10-13、2026-10-14、2026-10-15、2026-10-16、2026-10-17</v>
      </c>
      <c r="AE858" s="8" t="str">
        <v>2026-10-06 大促；2026-10-07 大促</v>
      </c>
      <c r="AF858" s="8" t="n">
        <v>14</v>
      </c>
      <c r="AG858" s="8" t="n">
        <v>4</v>
      </c>
      <c r="AH858" s="8" t="n">
        <v>14</v>
      </c>
      <c r="AI858" s="8" t="str">
        <v>2026-09-16 至 2026-10-17</v>
      </c>
      <c r="AJ8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8" s="8" t="str">
        <v>2026-10-06 大促；2026-10-07 大促</v>
      </c>
      <c r="AL858" s="8" t="n">
        <v>22</v>
      </c>
      <c r="AM858" s="8" t="n">
        <v>4</v>
      </c>
      <c r="AN858" s="8" t="n">
        <v>30</v>
      </c>
      <c r="AO858" s="8" t="str">
        <v>B06 / 黑色PU / 13120</v>
      </c>
      <c r="AP858" s="11" t="n">
        <v>1.2247029157699902</v>
      </c>
      <c r="AQ858" s="11" t="n">
        <v>1.2247029157699902</v>
      </c>
      <c r="AR858" s="11" t="n">
        <v>1.1136940657346173</v>
      </c>
      <c r="AS858" s="11" t="n">
        <f>IF(AND(COUNT(I858:K858,AP858:AR858)=6,MIN(AP858:AR858)&gt;0),I858/7/AP858*0.5+J858/14/AQ858*0.3+K858/30/AR858*0.2,"")</f>
        <v>0.6326581598578275</v>
      </c>
      <c r="AT858" s="8" t="n">
        <v>60</v>
      </c>
      <c r="AU858" s="8" t="n">
        <v>4</v>
      </c>
      <c r="AV858" s="8" t="n">
        <v>88</v>
      </c>
      <c r="AW858" s="11" t="n">
        <f>IF(AND(COUNT(AT858:AV858)=3,AT858&gt;=AU858,AU858&gt;=0,AV858&gt;0),(AT858-AU858)/AV858,"")</f>
        <v>0.6363636363636364</v>
      </c>
      <c r="AX858" s="8" t="n">
        <v>96</v>
      </c>
      <c r="AY858" s="8" t="n">
        <v>4</v>
      </c>
      <c r="AZ858" s="8" t="n">
        <v>178</v>
      </c>
      <c r="BA858" s="11" t="n">
        <f>IF(AND(COUNT(AX858:AZ858)=3,AX858&gt;=AY858,AY858&gt;=0,AZ858&gt;0),(AX858-AY858)/AZ858,"")</f>
        <v>0.5168539325842697</v>
      </c>
      <c r="BB858" s="8" t="n">
        <f>IF(COUNT(AS858,AW858,BA858)=3,1,0)</f>
        <v>1</v>
      </c>
      <c r="BC858" s="11" t="n">
        <f>IF(SUMIF($AO$11:$AO$1309,AO858,$BB$11:$BB$1309)=COUNTIF($AO$11:$AO$1309,AO858),SUMIF($AO$11:$AO$1309,AO858,$AS$11:$AS$1309),"")</f>
        <v>3.356331278136211</v>
      </c>
      <c r="BD858" s="11" t="n">
        <f>IF(SUMIF($AO$11:$AO$1309,AO858,$BB$11:$BB$1309)=COUNTIF($AO$11:$AO$1309,AO858),SUMIF($AO$11:$AO$1309,AO858,$AW$11:$AW$1309),"")</f>
        <v>4.654443391412116</v>
      </c>
      <c r="BE858" s="11" t="n">
        <f>IF(SUMIF($AO$11:$AO$1309,AO858,$BB$11:$BB$1309)=COUNTIF($AO$11:$AO$1309,AO858),SUMIF($AO$11:$AO$1309,AO858,$BA$11:$BA$1309),"")</f>
        <v>4.262156775332837</v>
      </c>
      <c r="BF858" s="12" t="n">
        <f>IF(COUNT(BD858:BE858)&lt;&gt;2,"",IF(AND(BD858&gt;0,BE858&gt;0),0.7*AW858/BD858+0.3*BA858/BE858,IF(BD858&gt;0,AW858/BD858,IF(BE858&gt;0,BA858/BE858,IF(AND(ISNUMBER(BH858),BH858=0),0,"")))))</f>
        <v>0.1320849693247776</v>
      </c>
      <c r="BG858" s="11" t="n">
        <f>IF(AND(COUNT(BN858:BU858)=8,MIN(BN858:BU858)&gt;=0),SUMPRODUCT(BN858:BQ858,BR858:BU858),"")</f>
        <v>73.80791239847399</v>
      </c>
      <c r="BH858" s="11" t="n">
        <f>IF(COUNT(BC858,BG858)=2,BC858*BG858,"")</f>
        <v>247.72380495693568</v>
      </c>
      <c r="BI858" s="11" t="n">
        <f>IF(ISNUMBER(CI858),CI858,"")</f>
        <v>32.720591178754034</v>
      </c>
      <c r="BJ858" s="8" t="str">
        <v>低销提醒依据不完整</v>
      </c>
      <c r="BK858" s="8" t="str">
        <v>90天：2026-07-20 至 2026-10-17；180天：2026-04-21 至 2026-10-17</v>
      </c>
      <c r="BL858" s="8" t="str">
        <v>90天：2026-10-06、2026-10-07；180天：2026-10-06、2026-10-07</v>
      </c>
      <c r="BM858" s="8" t="str">
        <v>2026-10：12天 × 1.2247029157699902；2026-11：30天 × 0.8332682139098497；2026-12：31天 × 0.5511018253564084；2027-01：17天 × 1.0017220238758797</v>
      </c>
      <c r="BN858" s="11" t="n">
        <v>1.2247029157699902</v>
      </c>
      <c r="BO858" s="11" t="n">
        <v>0.8332682139098497</v>
      </c>
      <c r="BP858" s="11" t="n">
        <v>0.5511018253564084</v>
      </c>
      <c r="BQ858" s="11" t="n">
        <v>1.0017220238758797</v>
      </c>
      <c r="BR858" s="8" t="n">
        <v>12</v>
      </c>
      <c r="BS858" s="8" t="n">
        <v>30</v>
      </c>
      <c r="BT858" s="8" t="n">
        <v>31</v>
      </c>
      <c r="BU858" s="8" t="n">
        <v>17</v>
      </c>
      <c r="BV858" s="11" t="n">
        <f>IF(COUNT(BC858,BF858)=2,BC858*BF858,"")</f>
        <v>0.443320913916413</v>
      </c>
      <c r="BW858" s="11" t="n">
        <f>IF(ISNUMBER(BN858),BN858,"")</f>
        <v>1.2247029157699902</v>
      </c>
      <c r="BX858" s="14" t="n">
        <f>IF(ISNUMBER(BR858),BR858,"")</f>
        <v>12</v>
      </c>
      <c r="BY858" s="13" t="n">
        <f>IF(AND(COUNT(BV858,BW858,BX858)=3,MIN(BV858,BW858,BX858)&gt;=0),BV858*BW858*BX858,"")</f>
        <v>6.515236990742974</v>
      </c>
      <c r="BZ858" s="11" t="n">
        <f>IF(ISNUMBER(BO858),BO858,"")</f>
        <v>0.8332682139098497</v>
      </c>
      <c r="CA858" s="14" t="n">
        <f>IF(ISNUMBER(BS858),BS858,"")</f>
        <v>30</v>
      </c>
      <c r="CB858" s="13" t="n">
        <f>IF(AND(COUNT(BV858,BZ858,CA858)=3,MIN(BV858,BZ858,CA858)&gt;=0),BV858*BZ858*CA858,"")</f>
        <v>11.08215678384035</v>
      </c>
      <c r="CC858" s="11" t="n">
        <f>IF(ISNUMBER(BP858),BP858,"")</f>
        <v>0.5511018253564084</v>
      </c>
      <c r="CD858" s="14" t="n">
        <f>IF(ISNUMBER(BT858),BT858,"")</f>
        <v>31</v>
      </c>
      <c r="CE858" s="13" t="n">
        <f>IF(AND(COUNT(BV858,CC858,CD858)=3,MIN(BV858,CC858,CD858)&gt;=0),BV858*CC858*CD858,"")</f>
        <v>7.573763911218198</v>
      </c>
      <c r="CF858" s="11" t="n">
        <f>IF(ISNUMBER(BQ858),BQ858,"")</f>
        <v>1.0017220238758797</v>
      </c>
      <c r="CG858" s="14" t="n">
        <f>IF(ISNUMBER(BU858),BU858,"")</f>
        <v>17</v>
      </c>
      <c r="CH858" s="13" t="n">
        <f>IF(AND(COUNT(BV858,CF858,CG858)=3,MIN(BV858,CF858,CG858)&gt;=0),BV858*CF858*CG858,"")</f>
        <v>7.549433492952516</v>
      </c>
      <c r="CI858" s="13" t="n">
        <f>IF(COUNT(BY858,CB858,CE858,CH858)=4,SUM(BY858,CB858,CE858,CH858),"")</f>
        <v>32.720591178754034</v>
      </c>
    </row>
    <row r="859" ht="72" customHeight="1">
      <c r="A859" s="16" t="str">
        <v>B06-BKP-39-N</v>
      </c>
      <c r="B859" s="16" t="str">
        <v>1店-MUSSHOE-US</v>
      </c>
      <c r="C859" s="16" t="str">
        <v>艾年</v>
      </c>
      <c r="D859" s="26" t="n">
        <f>IF(NOT(ISNUMBER(E859)),"",IF(OR(E859&lt;=0,L859=0),0,IF(OR(NOT(ISNUMBER(F859)),F859&lt;0),"",MIN(E859,INT(F859)))))</f>
        <v>0</v>
      </c>
      <c r="E859" s="27" t="n">
        <f>IF(OR(NOT(ISNUMBER(L859)),COUNT(M859:O859)&lt;&gt;3,MIN(M859:O859)&lt;0),"",ROUNDUP(ROUND(BI859-SUM(M859:O859),10),0))</f>
        <v>-56</v>
      </c>
      <c r="F859" s="28" t="n">
        <v>47</v>
      </c>
      <c r="G859" s="28" t="n">
        <f>IF(AND(ISNUMBER(D859),ISNUMBER(E859)),IF(OR(E859&lt;=0,L859=0),0,E859-D859),"")</f>
        <v>0</v>
      </c>
      <c r="H859" s="16" t="str">
        <f>IF(NOT(ISNUMBER(E859)),"销量或海外库存待补",IF(OR(E859&lt;=0,L859=0),IF(L859=0,"零日销，本批不发","本批无需补货"),IF(NOT(ISNUMBER(D859)),"国内库存待补",IF(D859=0,"国内无可用库存",IF(G859&gt;0,"先发国内现货","按建议量发货")))))</f>
        <v>本批无需补货</v>
      </c>
      <c r="I859" s="28" t="n">
        <f>IF(AND(COUNT(Z859,AA859,AB859)=3,Z859&gt;=AA859,AA859&gt;=0,AB859=7),Z859-AA859,"")</f>
        <v>3</v>
      </c>
      <c r="J859" s="28" t="n">
        <f>IF(AND(COUNT(AF859,AG859,AH859)=3,AF859&gt;=AG859,AG859&gt;=0,AH859=14),AF859-AG859,"")</f>
        <v>6</v>
      </c>
      <c r="K859" s="28" t="n">
        <f>IF(AND(COUNT(AL859,AM859,AN859)=3,AL859&gt;=AM859,AM859&gt;=0,AN859=30),AL859-AM859,"")</f>
        <v>18</v>
      </c>
      <c r="L859" s="29" t="n">
        <f>IF(ISNUMBER(BI859),BI859/90,"")</f>
        <v>0.46354769884517205</v>
      </c>
      <c r="M859" s="28" t="n">
        <v>18</v>
      </c>
      <c r="N859" s="28" t="n">
        <v>0</v>
      </c>
      <c r="O859" s="28" t="n">
        <v>79</v>
      </c>
      <c r="P859" s="30" t="n">
        <f>IF(AND(ISNUMBER(L859),L859&gt;0,COUNT(M859:O859)=3,MIN(M859:O859)&gt;=0),SUM(M859:O859)/L859,"")</f>
        <v>209.25570387180076</v>
      </c>
      <c r="Q859" s="16" t="str">
        <v>沿用原计划SKU店铺</v>
      </c>
      <c r="R859" s="16" t="str">
        <v>已匹配</v>
      </c>
      <c r="S859" s="16" t="str">
        <v>在售</v>
      </c>
      <c r="T859" s="16" t="str">
        <v>B06</v>
      </c>
      <c r="U859" s="16" t="str">
        <v>黑色PU</v>
      </c>
      <c r="V859" s="16" t="n">
        <v>8</v>
      </c>
      <c r="W859" s="8" t="str">
        <v>2026-10-11 至 2026-10-17</v>
      </c>
      <c r="X859" s="8" t="str">
        <v>2026-10-11、2026-10-12、2026-10-13、2026-10-14、2026-10-15、2026-10-16、2026-10-17</v>
      </c>
      <c r="Y859" s="8" t="str">
        <v>无</v>
      </c>
      <c r="Z859" s="8" t="n">
        <v>3</v>
      </c>
      <c r="AA859" s="8" t="n">
        <v>0</v>
      </c>
      <c r="AB859" s="8" t="n">
        <v>7</v>
      </c>
      <c r="AC859" s="8" t="str">
        <v>2026-10-02 至 2026-10-17</v>
      </c>
      <c r="AD859" s="8" t="str">
        <v>2026-10-02、2026-10-03、2026-10-04、2026-10-05、2026-10-08、2026-10-09、2026-10-10、2026-10-11、2026-10-12、2026-10-13、2026-10-14、2026-10-15、2026-10-16、2026-10-17</v>
      </c>
      <c r="AE859" s="8" t="str">
        <v>2026-10-06 大促；2026-10-07 大促</v>
      </c>
      <c r="AF859" s="8" t="n">
        <v>6</v>
      </c>
      <c r="AG859" s="8" t="n">
        <v>0</v>
      </c>
      <c r="AH859" s="8" t="n">
        <v>14</v>
      </c>
      <c r="AI859" s="8" t="str">
        <v>2026-09-16 至 2026-10-17</v>
      </c>
      <c r="AJ8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59" s="8" t="str">
        <v>2026-10-06 大促；2026-10-07 大促</v>
      </c>
      <c r="AL859" s="8" t="n">
        <v>18</v>
      </c>
      <c r="AM859" s="8" t="n">
        <v>0</v>
      </c>
      <c r="AN859" s="8" t="n">
        <v>30</v>
      </c>
      <c r="AO859" s="8" t="str">
        <v>B06 / 黑色PU / 13120</v>
      </c>
      <c r="AP859" s="11" t="n">
        <v>1.2247029157699902</v>
      </c>
      <c r="AQ859" s="11" t="n">
        <v>1.2247029157699902</v>
      </c>
      <c r="AR859" s="11" t="n">
        <v>1.1136940657346173</v>
      </c>
      <c r="AS859" s="11" t="n">
        <f>IF(AND(COUNT(I859:K859,AP859:AR859)=6,MIN(AP859:AR859)&gt;0),I859/7/AP859*0.5+J859/14/AQ859*0.3+K859/30/AR859*0.2,"")</f>
        <v>0.3877007941677284</v>
      </c>
      <c r="AT859" s="8" t="n">
        <v>68</v>
      </c>
      <c r="AU859" s="8" t="n">
        <v>0</v>
      </c>
      <c r="AV859" s="8" t="n">
        <v>88</v>
      </c>
      <c r="AW859" s="11" t="n">
        <f>IF(AND(COUNT(AT859:AV859)=3,AT859&gt;=AU859,AU859&gt;=0,AV859&gt;0),(AT859-AU859)/AV859,"")</f>
        <v>0.7727272727272727</v>
      </c>
      <c r="AX859" s="8" t="n">
        <v>132</v>
      </c>
      <c r="AY859" s="8" t="n">
        <v>0</v>
      </c>
      <c r="AZ859" s="8" t="n">
        <v>178</v>
      </c>
      <c r="BA859" s="11" t="n">
        <f>IF(AND(COUNT(AX859:AZ859)=3,AX859&gt;=AY859,AY859&gt;=0,AZ859&gt;0),(AX859-AY859)/AZ859,"")</f>
        <v>0.7415730337078652</v>
      </c>
      <c r="BB859" s="8" t="n">
        <f>IF(COUNT(AS859,AW859,BA859)=3,1,0)</f>
        <v>1</v>
      </c>
      <c r="BC859" s="11" t="n">
        <f>IF(SUMIF($AO$11:$AO$1309,AO859,$BB$11:$BB$1309)=COUNTIF($AO$11:$AO$1309,AO859),SUMIF($AO$11:$AO$1309,AO859,$AS$11:$AS$1309),"")</f>
        <v>3.356331278136211</v>
      </c>
      <c r="BD859" s="11" t="n">
        <f>IF(SUMIF($AO$11:$AO$1309,AO859,$BB$11:$BB$1309)=COUNTIF($AO$11:$AO$1309,AO859),SUMIF($AO$11:$AO$1309,AO859,$AW$11:$AW$1309),"")</f>
        <v>4.654443391412116</v>
      </c>
      <c r="BE859" s="11" t="n">
        <f>IF(SUMIF($AO$11:$AO$1309,AO859,$BB$11:$BB$1309)=COUNTIF($AO$11:$AO$1309,AO859),SUMIF($AO$11:$AO$1309,AO859,$BA$11:$BA$1309),"")</f>
        <v>4.262156775332837</v>
      </c>
      <c r="BF859" s="12" t="n">
        <f>IF(COUNT(BD859:BE859)&lt;&gt;2,"",IF(AND(BD859&gt;0,BE859&gt;0),0.7*AW859/BD859+0.3*BA859/BE859,IF(BD859&gt;0,AW859/BD859,IF(BE859&gt;0,BA859/BE859,IF(AND(ISNUMBER(BH859),BH859=0),0,"")))))</f>
        <v>0.16841051227724346</v>
      </c>
      <c r="BG859" s="11" t="n">
        <f>IF(AND(COUNT(BN859:BU859)=8,MIN(BN859:BU859)&gt;=0),SUMPRODUCT(BN859:BQ859,BR859:BU859),"")</f>
        <v>73.80791239847399</v>
      </c>
      <c r="BH859" s="11" t="n">
        <f>IF(COUNT(BC859,BG859)=2,BC859*BG859,"")</f>
        <v>247.72380495693568</v>
      </c>
      <c r="BI859" s="11" t="n">
        <f>IF(ISNUMBER(CI859),CI859,"")</f>
        <v>41.71929289606548</v>
      </c>
      <c r="BJ859" s="8" t="str">
        <v>低销提醒依据不完整</v>
      </c>
      <c r="BK859" s="8" t="str">
        <v>90天：2026-07-20 至 2026-10-17；180天：2026-04-21 至 2026-10-17</v>
      </c>
      <c r="BL859" s="8" t="str">
        <v>90天：2026-10-06、2026-10-07；180天：2026-10-06、2026-10-07</v>
      </c>
      <c r="BM859" s="8" t="str">
        <v>2026-10：12天 × 1.2247029157699902；2026-11：30天 × 0.8332682139098497；2026-12：31天 × 0.5511018253564084；2027-01：17天 × 1.0017220238758797</v>
      </c>
      <c r="BN859" s="11" t="n">
        <v>1.2247029157699902</v>
      </c>
      <c r="BO859" s="11" t="n">
        <v>0.8332682139098497</v>
      </c>
      <c r="BP859" s="11" t="n">
        <v>0.5511018253564084</v>
      </c>
      <c r="BQ859" s="11" t="n">
        <v>1.0017220238758797</v>
      </c>
      <c r="BR859" s="8" t="n">
        <v>12</v>
      </c>
      <c r="BS859" s="8" t="n">
        <v>30</v>
      </c>
      <c r="BT859" s="8" t="n">
        <v>31</v>
      </c>
      <c r="BU859" s="8" t="n">
        <v>17</v>
      </c>
      <c r="BV859" s="11" t="n">
        <f>IF(COUNT(BC859,BF859)=2,BC859*BF859,"")</f>
        <v>0.5652414699230546</v>
      </c>
      <c r="BW859" s="11" t="n">
        <f>IF(ISNUMBER(BN859),BN859,"")</f>
        <v>1.2247029157699902</v>
      </c>
      <c r="BX859" s="14" t="n">
        <f>IF(ISNUMBER(BR859),BR859,"")</f>
        <v>12</v>
      </c>
      <c r="BY859" s="13" t="n">
        <f>IF(AND(COUNT(BV859,BW859,BX859)=3,MIN(BV859,BW859,BX859)&gt;=0),BV859*BW859*BX859,"")</f>
        <v>8.307034515946562</v>
      </c>
      <c r="BZ859" s="11" t="n">
        <f>IF(ISNUMBER(BO859),BO859,"")</f>
        <v>0.8332682139098497</v>
      </c>
      <c r="CA859" s="14" t="n">
        <f>IF(ISNUMBER(BS859),BS859,"")</f>
        <v>30</v>
      </c>
      <c r="CB859" s="13" t="n">
        <f>IF(AND(COUNT(BV859,BZ859,CA859)=3,MIN(BV859,BZ859,CA859)&gt;=0),BV859*BZ859*CA859,"")</f>
        <v>14.129932502116851</v>
      </c>
      <c r="CC859" s="11" t="n">
        <f>IF(ISNUMBER(BP859),BP859,"")</f>
        <v>0.5511018253564084</v>
      </c>
      <c r="CD859" s="14" t="n">
        <f>IF(ISNUMBER(BT859),BT859,"")</f>
        <v>31</v>
      </c>
      <c r="CE859" s="13" t="n">
        <f>IF(AND(COUNT(BV859,CC859,CD859)=3,MIN(BV859,CC859,CD859)&gt;=0),BV859*CC859*CD859,"")</f>
        <v>9.65667378109378</v>
      </c>
      <c r="CF859" s="11" t="n">
        <f>IF(ISNUMBER(BQ859),BQ859,"")</f>
        <v>1.0017220238758797</v>
      </c>
      <c r="CG859" s="14" t="n">
        <f>IF(ISNUMBER(BU859),BU859,"")</f>
        <v>17</v>
      </c>
      <c r="CH859" s="13" t="n">
        <f>IF(AND(COUNT(BV859,CF859,CG859)=3,MIN(BV859,CF859,CG859)&gt;=0),BV859*CF859*CG859,"")</f>
        <v>9.62565209690829</v>
      </c>
      <c r="CI859" s="13" t="n">
        <f>IF(COUNT(BY859,CB859,CE859,CH859)=4,SUM(BY859,CB859,CE859,CH859),"")</f>
        <v>41.71929289606548</v>
      </c>
    </row>
    <row r="860" ht="72" customHeight="1">
      <c r="A860" s="16" t="str">
        <v>B06-BKP-39.5</v>
      </c>
      <c r="B860" s="16" t="str">
        <v>1店-MUSSHOE-US</v>
      </c>
      <c r="C860" s="16" t="str">
        <v>艾年</v>
      </c>
      <c r="D860" s="26" t="n">
        <f>IF(NOT(ISNUMBER(E860)),"",IF(OR(E860&lt;=0,L860=0),0,IF(OR(NOT(ISNUMBER(F860)),F860&lt;0),"",MIN(E860,INT(F860)))))</f>
        <v>0</v>
      </c>
      <c r="E860" s="27" t="n">
        <f>IF(OR(NOT(ISNUMBER(L860)),COUNT(M860:O860)&lt;&gt;3,MIN(M860:O860)&lt;0),"",ROUNDUP(ROUND(BI860-SUM(M860:O860),10),0))</f>
        <v>-41</v>
      </c>
      <c r="F860" s="28" t="n">
        <v>4</v>
      </c>
      <c r="G860" s="28" t="n">
        <f>IF(AND(ISNUMBER(D860),ISNUMBER(E860)),IF(OR(E860&lt;=0,L860=0),0,E860-D860),"")</f>
        <v>0</v>
      </c>
      <c r="H860" s="16" t="str">
        <f>IF(NOT(ISNUMBER(E860)),"销量或海外库存待补",IF(OR(E860&lt;=0,L860=0),IF(L860=0,"零日销，本批不发","本批无需补货"),IF(NOT(ISNUMBER(D860)),"国内库存待补",IF(D860=0,"国内无可用库存",IF(G860&gt;0,"先发国内现货","按建议量发货")))))</f>
        <v>本批无需补货</v>
      </c>
      <c r="I860" s="28" t="n">
        <f>IF(AND(COUNT(Z860,AA860,AB860)=3,Z860&gt;=AA860,AA860&gt;=0,AB860=7),Z860-AA860,"")</f>
        <v>0</v>
      </c>
      <c r="J860" s="28" t="n">
        <f>IF(AND(COUNT(AF860,AG860,AH860)=3,AF860&gt;=AG860,AG860&gt;=0,AH860=14),AF860-AG860,"")</f>
        <v>1</v>
      </c>
      <c r="K860" s="28" t="n">
        <f>IF(AND(COUNT(AL860,AM860,AN860)=3,AL860&gt;=AM860,AM860&gt;=0,AN860=30),AL860-AM860,"")</f>
        <v>12</v>
      </c>
      <c r="L860" s="29" t="n">
        <f>IF(ISNUMBER(BI860),BI860/90,"")</f>
        <v>0.21801204399992777</v>
      </c>
      <c r="M860" s="28" t="n">
        <v>2</v>
      </c>
      <c r="N860" s="28" t="n">
        <v>0</v>
      </c>
      <c r="O860" s="28" t="n">
        <v>58</v>
      </c>
      <c r="P860" s="30" t="n">
        <f>IF(AND(ISNUMBER(L860),L860&gt;0,COUNT(M860:O860)=3,MIN(M860:O860)&gt;=0),SUM(M860:O860)/L860,"")</f>
        <v>275.21415284753664</v>
      </c>
      <c r="Q860" s="16" t="str">
        <v>沿用原计划SKU店铺</v>
      </c>
      <c r="R860" s="16" t="str">
        <v>已匹配</v>
      </c>
      <c r="S860" s="16" t="str">
        <v>在售</v>
      </c>
      <c r="T860" s="16" t="str">
        <v>B06</v>
      </c>
      <c r="U860" s="16" t="str">
        <v>黑色PU</v>
      </c>
      <c r="V860" s="16" t="n">
        <v>8.5</v>
      </c>
      <c r="W860" s="8" t="str">
        <v>2026-10-11 至 2026-10-17</v>
      </c>
      <c r="X860" s="8" t="str">
        <v>2026-10-11、2026-10-12、2026-10-13、2026-10-14、2026-10-15、2026-10-16、2026-10-17</v>
      </c>
      <c r="Y860" s="8" t="str">
        <v>无</v>
      </c>
      <c r="Z860" s="8" t="n">
        <v>0</v>
      </c>
      <c r="AA860" s="8" t="n">
        <v>0</v>
      </c>
      <c r="AB860" s="8" t="n">
        <v>7</v>
      </c>
      <c r="AC860" s="8" t="str">
        <v>2026-10-02 至 2026-10-17</v>
      </c>
      <c r="AD860" s="8" t="str">
        <v>2026-10-02、2026-10-03、2026-10-04、2026-10-05、2026-10-08、2026-10-09、2026-10-10、2026-10-11、2026-10-12、2026-10-13、2026-10-14、2026-10-15、2026-10-16、2026-10-17</v>
      </c>
      <c r="AE860" s="8" t="str">
        <v>2026-10-06 大促；2026-10-07 大促</v>
      </c>
      <c r="AF860" s="8" t="n">
        <v>2</v>
      </c>
      <c r="AG860" s="8" t="n">
        <v>1</v>
      </c>
      <c r="AH860" s="8" t="n">
        <v>14</v>
      </c>
      <c r="AI860" s="8" t="str">
        <v>2026-09-16 至 2026-10-17</v>
      </c>
      <c r="AJ8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0" s="8" t="str">
        <v>2026-10-06 大促；2026-10-07 大促</v>
      </c>
      <c r="AL860" s="8" t="n">
        <v>13</v>
      </c>
      <c r="AM860" s="8" t="n">
        <v>1</v>
      </c>
      <c r="AN860" s="8" t="n">
        <v>30</v>
      </c>
      <c r="AO860" s="8" t="str">
        <v>B06 / 黑色PU / 13120</v>
      </c>
      <c r="AP860" s="11" t="n">
        <v>1.2247029157699902</v>
      </c>
      <c r="AQ860" s="11" t="n">
        <v>1.2247029157699902</v>
      </c>
      <c r="AR860" s="11" t="n">
        <v>1.1136940657346173</v>
      </c>
      <c r="AS860" s="11" t="n">
        <f>IF(AND(COUNT(I860:K860,AP860:AR860)=6,MIN(AP860:AR860)&gt;0),I860/7/AP860*0.5+J860/14/AQ860*0.3+K860/30/AR860*0.2,"")</f>
        <v>0.08932996742103633</v>
      </c>
      <c r="AT860" s="8" t="n">
        <v>33</v>
      </c>
      <c r="AU860" s="8" t="n">
        <v>1</v>
      </c>
      <c r="AV860" s="8" t="n">
        <v>88</v>
      </c>
      <c r="AW860" s="11" t="n">
        <f>IF(AND(COUNT(AT860:AV860)=3,AT860&gt;=AU860,AU860&gt;=0,AV860&gt;0),(AT860-AU860)/AV860,"")</f>
        <v>0.36363636363636365</v>
      </c>
      <c r="AX860" s="8" t="n">
        <v>63</v>
      </c>
      <c r="AY860" s="8" t="n">
        <v>1</v>
      </c>
      <c r="AZ860" s="8" t="n">
        <v>178</v>
      </c>
      <c r="BA860" s="11" t="n">
        <f>IF(AND(COUNT(AX860:AZ860)=3,AX860&gt;=AY860,AY860&gt;=0,AZ860&gt;0),(AX860-AY860)/AZ860,"")</f>
        <v>0.34831460674157305</v>
      </c>
      <c r="BB860" s="8" t="n">
        <f>IF(COUNT(AS860,AW860,BA860)=3,1,0)</f>
        <v>1</v>
      </c>
      <c r="BC860" s="11" t="n">
        <f>IF(SUMIF($AO$11:$AO$1309,AO860,$BB$11:$BB$1309)=COUNTIF($AO$11:$AO$1309,AO860),SUMIF($AO$11:$AO$1309,AO860,$AS$11:$AS$1309),"")</f>
        <v>3.356331278136211</v>
      </c>
      <c r="BD860" s="11" t="n">
        <f>IF(SUMIF($AO$11:$AO$1309,AO860,$BB$11:$BB$1309)=COUNTIF($AO$11:$AO$1309,AO860),SUMIF($AO$11:$AO$1309,AO860,$AW$11:$AW$1309),"")</f>
        <v>4.654443391412116</v>
      </c>
      <c r="BE860" s="11" t="n">
        <f>IF(SUMIF($AO$11:$AO$1309,AO860,$BB$11:$BB$1309)=COUNTIF($AO$11:$AO$1309,AO860),SUMIF($AO$11:$AO$1309,AO860,$BA$11:$BA$1309),"")</f>
        <v>4.262156775332837</v>
      </c>
      <c r="BF860" s="12" t="n">
        <f>IF(COUNT(BD860:BE860)&lt;&gt;2,"",IF(AND(BD860&gt;0,BE860&gt;0),0.7*AW860/BD860+0.3*BA860/BE860,IF(BD860&gt;0,AW860/BD860,IF(BE860&gt;0,BA860/BE860,IF(AND(ISNUMBER(BH860),BH860=0),0,"")))))</f>
        <v>0.07920548436354118</v>
      </c>
      <c r="BG860" s="11" t="n">
        <f>IF(AND(COUNT(BN860:BU860)=8,MIN(BN860:BU860)&gt;=0),SUMPRODUCT(BN860:BQ860,BR860:BU860),"")</f>
        <v>73.80791239847399</v>
      </c>
      <c r="BH860" s="11" t="n">
        <f>IF(COUNT(BC860,BG860)=2,BC860*BG860,"")</f>
        <v>247.72380495693568</v>
      </c>
      <c r="BI860" s="11" t="n">
        <f>IF(ISNUMBER(CI860),CI860,"")</f>
        <v>19.6210839599935</v>
      </c>
      <c r="BJ860" s="8" t="str">
        <v>低销提醒依据不完整</v>
      </c>
      <c r="BK860" s="8" t="str">
        <v>90天：2026-07-20 至 2026-10-17；180天：2026-04-21 至 2026-10-17</v>
      </c>
      <c r="BL860" s="8" t="str">
        <v>90天：2026-10-06、2026-10-07；180天：2026-10-06、2026-10-07</v>
      </c>
      <c r="BM860" s="8" t="str">
        <v>2026-10：12天 × 1.2247029157699902；2026-11：30天 × 0.8332682139098497；2026-12：31天 × 0.5511018253564084；2027-01：17天 × 1.0017220238758797</v>
      </c>
      <c r="BN860" s="11" t="n">
        <v>1.2247029157699902</v>
      </c>
      <c r="BO860" s="11" t="n">
        <v>0.8332682139098497</v>
      </c>
      <c r="BP860" s="11" t="n">
        <v>0.5511018253564084</v>
      </c>
      <c r="BQ860" s="11" t="n">
        <v>1.0017220238758797</v>
      </c>
      <c r="BR860" s="8" t="n">
        <v>12</v>
      </c>
      <c r="BS860" s="8" t="n">
        <v>30</v>
      </c>
      <c r="BT860" s="8" t="n">
        <v>31</v>
      </c>
      <c r="BU860" s="8" t="n">
        <v>17</v>
      </c>
      <c r="BV860" s="11" t="n">
        <f>IF(COUNT(BC860,BF860)=2,BC860*BF860,"")</f>
        <v>0.26583984456928184</v>
      </c>
      <c r="BW860" s="11" t="n">
        <f>IF(ISNUMBER(BN860),BN860,"")</f>
        <v>1.2247029157699902</v>
      </c>
      <c r="BX860" s="14" t="n">
        <f>IF(ISNUMBER(BR860),BR860,"")</f>
        <v>12</v>
      </c>
      <c r="BY860" s="13" t="n">
        <f>IF(AND(COUNT(BV860,BW860,BX860)=3,MIN(BV860,BW860,BX860)&gt;=0),BV860*BW860*BX860,"")</f>
        <v>3.9068979932620858</v>
      </c>
      <c r="BZ860" s="11" t="n">
        <f>IF(ISNUMBER(BO860),BO860,"")</f>
        <v>0.8332682139098497</v>
      </c>
      <c r="CA860" s="14" t="n">
        <f>IF(ISNUMBER(BS860),BS860,"")</f>
        <v>30</v>
      </c>
      <c r="CB860" s="13" t="n">
        <f>IF(AND(COUNT(BV860,BZ860,CA860)=3,MIN(BV860,BZ860,CA860)&gt;=0),BV860*BZ860*CA860,"")</f>
        <v>6.645476774109527</v>
      </c>
      <c r="CC860" s="11" t="n">
        <f>IF(ISNUMBER(BP860),BP860,"")</f>
        <v>0.5511018253564084</v>
      </c>
      <c r="CD860" s="14" t="n">
        <f>IF(ISNUMBER(BT860),BT860,"")</f>
        <v>31</v>
      </c>
      <c r="CE860" s="13" t="n">
        <f>IF(AND(COUNT(BV860,CC860,CD860)=3,MIN(BV860,CC860,CD860)&gt;=0),BV860*CC860*CD860,"")</f>
        <v>4.541649531432448</v>
      </c>
      <c r="CF860" s="11" t="n">
        <f>IF(ISNUMBER(BQ860),BQ860,"")</f>
        <v>1.0017220238758797</v>
      </c>
      <c r="CG860" s="14" t="n">
        <f>IF(ISNUMBER(BU860),BU860,"")</f>
        <v>17</v>
      </c>
      <c r="CH860" s="13" t="n">
        <f>IF(AND(COUNT(BV860,CF860,CG860)=3,MIN(BV860,CF860,CG860)&gt;=0),BV860*CF860*CG860,"")</f>
        <v>4.527059661189435</v>
      </c>
      <c r="CI860" s="13" t="n">
        <f>IF(COUNT(BY860,CB860,CE860,CH860)=4,SUM(BY860,CB860,CE860,CH860),"")</f>
        <v>19.6210839599935</v>
      </c>
    </row>
    <row r="861" ht="72" customHeight="1">
      <c r="A861" s="16" t="str">
        <v>B06-BKP-40-N</v>
      </c>
      <c r="B861" s="16" t="str">
        <v>1店-MUSSHOE-US</v>
      </c>
      <c r="C861" s="16" t="str">
        <v>艾年</v>
      </c>
      <c r="D861" s="26" t="n">
        <f>IF(NOT(ISNUMBER(E861)),"",IF(OR(E861&lt;=0,L861=0),0,IF(OR(NOT(ISNUMBER(F861)),F861&lt;0),"",MIN(E861,INT(F861)))))</f>
        <v>0</v>
      </c>
      <c r="E861" s="27" t="n">
        <f>IF(OR(NOT(ISNUMBER(L861)),COUNT(M861:O861)&lt;&gt;3,MIN(M861:O861)&lt;0),"",ROUNDUP(ROUND(BI861-SUM(M861:O861),10),0))</f>
        <v>-27</v>
      </c>
      <c r="F861" s="28" t="n">
        <v>0</v>
      </c>
      <c r="G861" s="28" t="n">
        <f>IF(AND(ISNUMBER(D861),ISNUMBER(E861)),IF(OR(E861&lt;=0,L861=0),0,E861-D861),"")</f>
        <v>0</v>
      </c>
      <c r="H861" s="16" t="str">
        <f>IF(NOT(ISNUMBER(E861)),"销量或海外库存待补",IF(OR(E861&lt;=0,L861=0),IF(L861=0,"零日销，本批不发","本批无需补货"),IF(NOT(ISNUMBER(D861)),"国内库存待补",IF(D861=0,"国内无可用库存",IF(G861&gt;0,"先发国内现货","按建议量发货")))))</f>
        <v>本批无需补货</v>
      </c>
      <c r="I861" s="28" t="n">
        <f>IF(AND(COUNT(Z861,AA861,AB861)=3,Z861&gt;=AA861,AA861&gt;=0,AB861=7),Z861-AA861,"")</f>
        <v>2</v>
      </c>
      <c r="J861" s="28" t="n">
        <f>IF(AND(COUNT(AF861,AG861,AH861)=3,AF861&gt;=AG861,AG861&gt;=0,AH861=14),AF861-AG861,"")</f>
        <v>5</v>
      </c>
      <c r="K861" s="28" t="n">
        <f>IF(AND(COUNT(AL861,AM861,AN861)=3,AL861&gt;=AM861,AM861&gt;=0,AN861=30),AL861-AM861,"")</f>
        <v>12</v>
      </c>
      <c r="L861" s="29" t="n">
        <f>IF(ISNUMBER(BI861),BI861/90,"")</f>
        <v>0.3234024274324706</v>
      </c>
      <c r="M861" s="28" t="n">
        <v>19</v>
      </c>
      <c r="N861" s="28" t="n">
        <v>0</v>
      </c>
      <c r="O861" s="28" t="n">
        <v>37</v>
      </c>
      <c r="P861" s="30" t="n">
        <f>IF(AND(ISNUMBER(L861),L861&gt;0,COUNT(M861:O861)=3,MIN(M861:O861)&gt;=0),SUM(M861:O861)/L861,"")</f>
        <v>173.1588734339148</v>
      </c>
      <c r="Q861" s="16" t="str">
        <v>沿用原计划SKU店铺</v>
      </c>
      <c r="R861" s="16" t="str">
        <v>已匹配</v>
      </c>
      <c r="S861" s="16" t="str">
        <v>在售</v>
      </c>
      <c r="T861" s="16" t="str">
        <v>B06</v>
      </c>
      <c r="U861" s="16" t="str">
        <v>黑色PU</v>
      </c>
      <c r="V861" s="16" t="n">
        <v>9</v>
      </c>
      <c r="W861" s="8" t="str">
        <v>2026-10-11 至 2026-10-17</v>
      </c>
      <c r="X861" s="8" t="str">
        <v>2026-10-11、2026-10-12、2026-10-13、2026-10-14、2026-10-15、2026-10-16、2026-10-17</v>
      </c>
      <c r="Y861" s="8" t="str">
        <v>无</v>
      </c>
      <c r="Z861" s="8" t="n">
        <v>2</v>
      </c>
      <c r="AA861" s="8" t="n">
        <v>0</v>
      </c>
      <c r="AB861" s="8" t="n">
        <v>7</v>
      </c>
      <c r="AC861" s="8" t="str">
        <v>2026-10-02 至 2026-10-17</v>
      </c>
      <c r="AD861" s="8" t="str">
        <v>2026-10-02、2026-10-03、2026-10-04、2026-10-05、2026-10-08、2026-10-09、2026-10-10、2026-10-11、2026-10-12、2026-10-13、2026-10-14、2026-10-15、2026-10-16、2026-10-17</v>
      </c>
      <c r="AE861" s="8" t="str">
        <v>2026-10-06 大促；2026-10-07 大促</v>
      </c>
      <c r="AF861" s="8" t="n">
        <v>10</v>
      </c>
      <c r="AG861" s="8" t="n">
        <v>5</v>
      </c>
      <c r="AH861" s="8" t="n">
        <v>14</v>
      </c>
      <c r="AI861" s="8" t="str">
        <v>2026-09-16 至 2026-10-17</v>
      </c>
      <c r="AJ8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1" s="8" t="str">
        <v>2026-10-06 大促；2026-10-07 大促</v>
      </c>
      <c r="AL861" s="8" t="n">
        <v>17</v>
      </c>
      <c r="AM861" s="8" t="n">
        <v>5</v>
      </c>
      <c r="AN861" s="8" t="n">
        <v>30</v>
      </c>
      <c r="AO861" s="8" t="str">
        <v>B06 / 黑色PU / 13120</v>
      </c>
      <c r="AP861" s="11" t="n">
        <v>1.2247029157699902</v>
      </c>
      <c r="AQ861" s="11" t="n">
        <v>1.2247029157699902</v>
      </c>
      <c r="AR861" s="11" t="n">
        <v>1.1136940657346173</v>
      </c>
      <c r="AS861" s="11" t="n">
        <f>IF(AND(COUNT(I861:K861,AP861:AR861)=6,MIN(AP861:AR861)&gt;0),I861/7/AP861*0.5+J861/14/AQ861*0.3+K861/30/AR861*0.2,"")</f>
        <v>0.27596415080396886</v>
      </c>
      <c r="AT861" s="8" t="n">
        <v>52</v>
      </c>
      <c r="AU861" s="8" t="n">
        <v>5</v>
      </c>
      <c r="AV861" s="8" t="n">
        <v>88</v>
      </c>
      <c r="AW861" s="11" t="n">
        <f>IF(AND(COUNT(AT861:AV861)=3,AT861&gt;=AU861,AU861&gt;=0,AV861&gt;0),(AT861-AU861)/AV861,"")</f>
        <v>0.5340909090909091</v>
      </c>
      <c r="AX861" s="8" t="n">
        <v>99</v>
      </c>
      <c r="AY861" s="8" t="n">
        <v>5</v>
      </c>
      <c r="AZ861" s="8" t="n">
        <v>178</v>
      </c>
      <c r="BA861" s="11" t="n">
        <f>IF(AND(COUNT(AX861:AZ861)=3,AX861&gt;=AY861,AY861&gt;=0,AZ861&gt;0),(AX861-AY861)/AZ861,"")</f>
        <v>0.5280898876404494</v>
      </c>
      <c r="BB861" s="8" t="n">
        <f>IF(COUNT(AS861,AW861,BA861)=3,1,0)</f>
        <v>1</v>
      </c>
      <c r="BC861" s="11" t="n">
        <f>IF(SUMIF($AO$11:$AO$1309,AO861,$BB$11:$BB$1309)=COUNTIF($AO$11:$AO$1309,AO861),SUMIF($AO$11:$AO$1309,AO861,$AS$11:$AS$1309),"")</f>
        <v>3.356331278136211</v>
      </c>
      <c r="BD861" s="11" t="n">
        <f>IF(SUMIF($AO$11:$AO$1309,AO861,$BB$11:$BB$1309)=COUNTIF($AO$11:$AO$1309,AO861),SUMIF($AO$11:$AO$1309,AO861,$AW$11:$AW$1309),"")</f>
        <v>4.654443391412116</v>
      </c>
      <c r="BE861" s="11" t="n">
        <f>IF(SUMIF($AO$11:$AO$1309,AO861,$BB$11:$BB$1309)=COUNTIF($AO$11:$AO$1309,AO861),SUMIF($AO$11:$AO$1309,AO861,$BA$11:$BA$1309),"")</f>
        <v>4.262156775332837</v>
      </c>
      <c r="BF861" s="12" t="n">
        <f>IF(COUNT(BD861:BE861)&lt;&gt;2,"",IF(AND(BD861&gt;0,BE861&gt;0),0.7*AW861/BD861+0.3*BA861/BE861,IF(BD861&gt;0,AW861/BD861,IF(BE861&gt;0,BA861/BE861,IF(AND(ISNUMBER(BH861),BH861=0),0,"")))))</f>
        <v>0.1174946367143932</v>
      </c>
      <c r="BG861" s="11" t="n">
        <f>IF(AND(COUNT(BN861:BU861)=8,MIN(BN861:BU861)&gt;=0),SUMPRODUCT(BN861:BQ861,BR861:BU861),"")</f>
        <v>73.80791239847399</v>
      </c>
      <c r="BH861" s="11" t="n">
        <f>IF(COUNT(BC861,BG861)=2,BC861*BG861,"")</f>
        <v>247.72380495693568</v>
      </c>
      <c r="BI861" s="11" t="n">
        <f>IF(ISNUMBER(CI861),CI861,"")</f>
        <v>29.106218468922354</v>
      </c>
      <c r="BJ861" s="8" t="str">
        <v>低销提醒依据不完整</v>
      </c>
      <c r="BK861" s="8" t="str">
        <v>90天：2026-07-20 至 2026-10-17；180天：2026-04-21 至 2026-10-17</v>
      </c>
      <c r="BL861" s="8" t="str">
        <v>90天：2026-10-06、2026-10-07；180天：2026-10-06、2026-10-07</v>
      </c>
      <c r="BM861" s="8" t="str">
        <v>2026-10：12天 × 1.2247029157699902；2026-11：30天 × 0.8332682139098497；2026-12：31天 × 0.5511018253564084；2027-01：17天 × 1.0017220238758797</v>
      </c>
      <c r="BN861" s="11" t="n">
        <v>1.2247029157699902</v>
      </c>
      <c r="BO861" s="11" t="n">
        <v>0.8332682139098497</v>
      </c>
      <c r="BP861" s="11" t="n">
        <v>0.5511018253564084</v>
      </c>
      <c r="BQ861" s="11" t="n">
        <v>1.0017220238758797</v>
      </c>
      <c r="BR861" s="8" t="n">
        <v>12</v>
      </c>
      <c r="BS861" s="8" t="n">
        <v>30</v>
      </c>
      <c r="BT861" s="8" t="n">
        <v>31</v>
      </c>
      <c r="BU861" s="8" t="n">
        <v>17</v>
      </c>
      <c r="BV861" s="11" t="n">
        <f>IF(COUNT(BC861,BF861)=2,BC861*BF861,"")</f>
        <v>0.39435092421776907</v>
      </c>
      <c r="BW861" s="11" t="n">
        <f>IF(ISNUMBER(BN861),BN861,"")</f>
        <v>1.2247029157699902</v>
      </c>
      <c r="BX861" s="14" t="n">
        <f>IF(ISNUMBER(BR861),BR861,"")</f>
        <v>12</v>
      </c>
      <c r="BY861" s="13" t="n">
        <f>IF(AND(COUNT(BV861,BW861,BX861)=3,MIN(BV861,BW861,BX861)&gt;=0),BV861*BW861*BX861,"")</f>
        <v>5.795552720713107</v>
      </c>
      <c r="BZ861" s="11" t="n">
        <f>IF(ISNUMBER(BO861),BO861,"")</f>
        <v>0.8332682139098497</v>
      </c>
      <c r="CA861" s="14" t="n">
        <f>IF(ISNUMBER(BS861),BS861,"")</f>
        <v>30</v>
      </c>
      <c r="CB861" s="13" t="n">
        <f>IF(AND(COUNT(BV861,BZ861,CA861)=3,MIN(BV861,BZ861,CA861)&gt;=0),BV861*BZ861*CA861,"")</f>
        <v>9.858002708299168</v>
      </c>
      <c r="CC861" s="11" t="n">
        <f>IF(ISNUMBER(BP861),BP861,"")</f>
        <v>0.5511018253564084</v>
      </c>
      <c r="CD861" s="14" t="n">
        <f>IF(ISNUMBER(BT861),BT861,"")</f>
        <v>31</v>
      </c>
      <c r="CE861" s="13" t="n">
        <f>IF(AND(COUNT(BV861,CC861,CD861)=3,MIN(BV861,CC861,CD861)&gt;=0),BV861*CC861*CD861,"")</f>
        <v>6.737152939189375</v>
      </c>
      <c r="CF861" s="11" t="n">
        <f>IF(ISNUMBER(BQ861),BQ861,"")</f>
        <v>1.0017220238758797</v>
      </c>
      <c r="CG861" s="14" t="n">
        <f>IF(ISNUMBER(BU861),BU861,"")</f>
        <v>17</v>
      </c>
      <c r="CH861" s="13" t="n">
        <f>IF(AND(COUNT(BV861,CF861,CG861)=3,MIN(BV861,CF861,CG861)&gt;=0),BV861*CF861*CG861,"")</f>
        <v>6.715510100720704</v>
      </c>
      <c r="CI861" s="13" t="n">
        <f>IF(COUNT(BY861,CB861,CE861,CH861)=4,SUM(BY861,CB861,CE861,CH861),"")</f>
        <v>29.106218468922354</v>
      </c>
    </row>
    <row r="862" ht="72" customHeight="1">
      <c r="A862" s="16" t="str">
        <v>B06-BKP-40.5</v>
      </c>
      <c r="B862" s="16" t="str">
        <v>1店-MUSSHOE-US</v>
      </c>
      <c r="C862" s="16" t="str">
        <v>艾年</v>
      </c>
      <c r="D862" s="26" t="n">
        <f>IF(NOT(ISNUMBER(E862)),"",IF(OR(E862&lt;=0,L862=0),0,IF(OR(NOT(ISNUMBER(F862)),F862&lt;0),"",MIN(E862,INT(F862)))))</f>
        <v>0</v>
      </c>
      <c r="E862" s="27" t="n">
        <f>IF(OR(NOT(ISNUMBER(L862)),COUNT(M862:O862)&lt;&gt;3,MIN(M862:O862)&lt;0),"",ROUNDUP(ROUND(BI862-SUM(M862:O862),10),0))</f>
        <v>-12</v>
      </c>
      <c r="F862" s="28" t="n">
        <v>26</v>
      </c>
      <c r="G862" s="28" t="n">
        <f>IF(AND(ISNUMBER(D862),ISNUMBER(E862)),IF(OR(E862&lt;=0,L862=0),0,E862-D862),"")</f>
        <v>0</v>
      </c>
      <c r="H862" s="16" t="str">
        <f>IF(NOT(ISNUMBER(E862)),"销量或海外库存待补",IF(OR(E862&lt;=0,L862=0),IF(L862=0,"零日销，本批不发","本批无需补货"),IF(NOT(ISNUMBER(D862)),"国内库存待补",IF(D862=0,"国内无可用库存",IF(G862&gt;0,"先发国内现货","按建议量发货")))))</f>
        <v>本批无需补货</v>
      </c>
      <c r="I862" s="28" t="n">
        <f>IF(AND(COUNT(Z862,AA862,AB862)=3,Z862&gt;=AA862,AA862&gt;=0,AB862=7),Z862-AA862,"")</f>
        <v>4</v>
      </c>
      <c r="J862" s="28" t="n">
        <f>IF(AND(COUNT(AF862,AG862,AH862)=3,AF862&gt;=AG862,AG862&gt;=0,AH862=14),AF862-AG862,"")</f>
        <v>6</v>
      </c>
      <c r="K862" s="28" t="n">
        <f>IF(AND(COUNT(AL862,AM862,AN862)=3,AL862&gt;=AM862,AM862&gt;=0,AN862=30),AL862-AM862,"")</f>
        <v>9</v>
      </c>
      <c r="L862" s="29" t="n">
        <f>IF(ISNUMBER(BI862),BI862/90,"")</f>
        <v>0.2285085852786778</v>
      </c>
      <c r="M862" s="28" t="n">
        <v>30</v>
      </c>
      <c r="N862" s="28" t="n">
        <v>1</v>
      </c>
      <c r="O862" s="28" t="n">
        <v>1</v>
      </c>
      <c r="P862" s="30" t="n">
        <f>IF(AND(ISNUMBER(L862),L862&gt;0,COUNT(M862:O862)=3,MIN(M862:O862)&gt;=0),SUM(M862:O862)/L862,"")</f>
        <v>140.03850210255504</v>
      </c>
      <c r="Q862" s="16" t="str">
        <v>沿用原计划SKU店铺</v>
      </c>
      <c r="R862" s="16" t="str">
        <v>已匹配</v>
      </c>
      <c r="S862" s="16" t="str">
        <v>在售</v>
      </c>
      <c r="T862" s="16" t="str">
        <v>B06</v>
      </c>
      <c r="U862" s="16" t="str">
        <v>黑色PU</v>
      </c>
      <c r="V862" s="16" t="n">
        <v>9.5</v>
      </c>
      <c r="W862" s="8" t="str">
        <v>2026-10-11 至 2026-10-17</v>
      </c>
      <c r="X862" s="8" t="str">
        <v>2026-10-11、2026-10-12、2026-10-13、2026-10-14、2026-10-15、2026-10-16、2026-10-17</v>
      </c>
      <c r="Y862" s="8" t="str">
        <v>无</v>
      </c>
      <c r="Z862" s="8" t="n">
        <v>4</v>
      </c>
      <c r="AA862" s="8" t="n">
        <v>0</v>
      </c>
      <c r="AB862" s="8" t="n">
        <v>7</v>
      </c>
      <c r="AC862" s="8" t="str">
        <v>2026-10-02 至 2026-10-17</v>
      </c>
      <c r="AD862" s="8" t="str">
        <v>2026-10-02、2026-10-03、2026-10-04、2026-10-05、2026-10-08、2026-10-09、2026-10-10、2026-10-11、2026-10-12、2026-10-13、2026-10-14、2026-10-15、2026-10-16、2026-10-17</v>
      </c>
      <c r="AE862" s="8" t="str">
        <v>2026-10-06 大促；2026-10-07 大促</v>
      </c>
      <c r="AF862" s="8" t="n">
        <v>6</v>
      </c>
      <c r="AG862" s="8" t="n">
        <v>0</v>
      </c>
      <c r="AH862" s="8" t="n">
        <v>14</v>
      </c>
      <c r="AI862" s="8" t="str">
        <v>2026-09-16 至 2026-10-17</v>
      </c>
      <c r="AJ8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2" s="8" t="str">
        <v>2026-10-06 大促；2026-10-07 大促</v>
      </c>
      <c r="AL862" s="8" t="n">
        <v>9</v>
      </c>
      <c r="AM862" s="8" t="n">
        <v>0</v>
      </c>
      <c r="AN862" s="8" t="n">
        <v>30</v>
      </c>
      <c r="AO862" s="8" t="str">
        <v>B06 / 黑色PU / 13120</v>
      </c>
      <c r="AP862" s="11" t="n">
        <v>1.2247029157699902</v>
      </c>
      <c r="AQ862" s="11" t="n">
        <v>1.2247029157699902</v>
      </c>
      <c r="AR862" s="11" t="n">
        <v>1.1136940657346173</v>
      </c>
      <c r="AS862" s="11" t="n">
        <f>IF(AND(COUNT(I862:K862,AP862:AR862)=6,MIN(AP862:AR862)&gt;0),I862/7/AP862*0.5+J862/14/AQ862*0.3+K862/30/AR862*0.2,"")</f>
        <v>0.39214921692823007</v>
      </c>
      <c r="AT862" s="8" t="n">
        <v>34</v>
      </c>
      <c r="AU862" s="8" t="n">
        <v>0</v>
      </c>
      <c r="AV862" s="8" t="n">
        <v>88</v>
      </c>
      <c r="AW862" s="11" t="n">
        <f>IF(AND(COUNT(AT862:AV862)=3,AT862&gt;=AU862,AU862&gt;=0,AV862&gt;0),(AT862-AU862)/AV862,"")</f>
        <v>0.38636363636363635</v>
      </c>
      <c r="AX862" s="8" t="n">
        <v>63</v>
      </c>
      <c r="AY862" s="8" t="n">
        <v>0</v>
      </c>
      <c r="AZ862" s="8" t="n">
        <v>178</v>
      </c>
      <c r="BA862" s="11" t="n">
        <f>IF(AND(COUNT(AX862:AZ862)=3,AX862&gt;=AY862,AY862&gt;=0,AZ862&gt;0),(AX862-AY862)/AZ862,"")</f>
        <v>0.3539325842696629</v>
      </c>
      <c r="BB862" s="8" t="n">
        <f>IF(COUNT(AS862,AW862,BA862)=3,1,0)</f>
        <v>1</v>
      </c>
      <c r="BC862" s="11" t="n">
        <f>IF(SUMIF($AO$11:$AO$1309,AO862,$BB$11:$BB$1309)=COUNTIF($AO$11:$AO$1309,AO862),SUMIF($AO$11:$AO$1309,AO862,$AS$11:$AS$1309),"")</f>
        <v>3.356331278136211</v>
      </c>
      <c r="BD862" s="11" t="n">
        <f>IF(SUMIF($AO$11:$AO$1309,AO862,$BB$11:$BB$1309)=COUNTIF($AO$11:$AO$1309,AO862),SUMIF($AO$11:$AO$1309,AO862,$AW$11:$AW$1309),"")</f>
        <v>4.654443391412116</v>
      </c>
      <c r="BE862" s="11" t="n">
        <f>IF(SUMIF($AO$11:$AO$1309,AO862,$BB$11:$BB$1309)=COUNTIF($AO$11:$AO$1309,AO862),SUMIF($AO$11:$AO$1309,AO862,$BA$11:$BA$1309),"")</f>
        <v>4.262156775332837</v>
      </c>
      <c r="BF862" s="12" t="n">
        <f>IF(COUNT(BD862:BE862)&lt;&gt;2,"",IF(AND(BD862&gt;0,BE862&gt;0),0.7*AW862/BD862+0.3*BA862/BE862,IF(BD862&gt;0,AW862/BD862,IF(BE862&gt;0,BA862/BE862,IF(AND(ISNUMBER(BH862),BH862=0),0,"")))))</f>
        <v>0.083018960082</v>
      </c>
      <c r="BG862" s="11" t="n">
        <f>IF(AND(COUNT(BN862:BU862)=8,MIN(BN862:BU862)&gt;=0),SUMPRODUCT(BN862:BQ862,BR862:BU862),"")</f>
        <v>73.80791239847399</v>
      </c>
      <c r="BH862" s="11" t="n">
        <f>IF(COUNT(BC862,BG862)=2,BC862*BG862,"")</f>
        <v>247.72380495693568</v>
      </c>
      <c r="BI862" s="11" t="n">
        <f>IF(ISNUMBER(CI862),CI862,"")</f>
        <v>20.565772675081</v>
      </c>
      <c r="BJ862" s="8" t="str">
        <v>低销提醒依据不完整</v>
      </c>
      <c r="BK862" s="8" t="str">
        <v>90天：2026-07-20 至 2026-10-17；180天：2026-04-21 至 2026-10-17</v>
      </c>
      <c r="BL862" s="8" t="str">
        <v>90天：2026-10-06、2026-10-07；180天：2026-10-06、2026-10-07</v>
      </c>
      <c r="BM862" s="8" t="str">
        <v>2026-10：12天 × 1.2247029157699902；2026-11：30天 × 0.8332682139098497；2026-12：31天 × 0.5511018253564084；2027-01：17天 × 1.0017220238758797</v>
      </c>
      <c r="BN862" s="11" t="n">
        <v>1.2247029157699902</v>
      </c>
      <c r="BO862" s="11" t="n">
        <v>0.8332682139098497</v>
      </c>
      <c r="BP862" s="11" t="n">
        <v>0.5511018253564084</v>
      </c>
      <c r="BQ862" s="11" t="n">
        <v>1.0017220238758797</v>
      </c>
      <c r="BR862" s="8" t="n">
        <v>12</v>
      </c>
      <c r="BS862" s="8" t="n">
        <v>30</v>
      </c>
      <c r="BT862" s="8" t="n">
        <v>31</v>
      </c>
      <c r="BU862" s="8" t="n">
        <v>17</v>
      </c>
      <c r="BV862" s="11" t="n">
        <f>IF(COUNT(BC862,BF862)=2,BC862*BF862,"")</f>
        <v>0.27863913240155813</v>
      </c>
      <c r="BW862" s="11" t="n">
        <f>IF(ISNUMBER(BN862),BN862,"")</f>
        <v>1.2247029157699902</v>
      </c>
      <c r="BX862" s="14" t="n">
        <f>IF(ISNUMBER(BR862),BR862,"")</f>
        <v>12</v>
      </c>
      <c r="BY862" s="13" t="n">
        <f>IF(AND(COUNT(BV862,BW862,BX862)=3,MIN(BV862,BW862,BX862)&gt;=0),BV862*BW862*BX862,"")</f>
        <v>4.095001894797703</v>
      </c>
      <c r="BZ862" s="11" t="n">
        <f>IF(ISNUMBER(BO862),BO862,"")</f>
        <v>0.8332682139098497</v>
      </c>
      <c r="CA862" s="14" t="n">
        <f>IF(ISNUMBER(BS862),BS862,"")</f>
        <v>30</v>
      </c>
      <c r="CB862" s="13" t="n">
        <f>IF(AND(COUNT(BV862,BZ862,CA862)=3,MIN(BV862,BZ862,CA862)&gt;=0),BV862*BZ862*CA862,"")</f>
        <v>6.965433965449095</v>
      </c>
      <c r="CC862" s="11" t="n">
        <f>IF(ISNUMBER(BP862),BP862,"")</f>
        <v>0.5511018253564084</v>
      </c>
      <c r="CD862" s="14" t="n">
        <f>IF(ISNUMBER(BT862),BT862,"")</f>
        <v>31</v>
      </c>
      <c r="CE862" s="13" t="n">
        <f>IF(AND(COUNT(BV862,CC862,CD862)=3,MIN(BV862,CC862,CD862)&gt;=0),BV862*CC862*CD862,"")</f>
        <v>4.760314568948964</v>
      </c>
      <c r="CF862" s="11" t="n">
        <f>IF(ISNUMBER(BQ862),BQ862,"")</f>
        <v>1.0017220238758797</v>
      </c>
      <c r="CG862" s="14" t="n">
        <f>IF(ISNUMBER(BU862),BU862,"")</f>
        <v>17</v>
      </c>
      <c r="CH862" s="13" t="n">
        <f>IF(AND(COUNT(BV862,CF862,CG862)=3,MIN(BV862,CF862,CG862)&gt;=0),BV862*CF862*CG862,"")</f>
        <v>4.745022245885236</v>
      </c>
      <c r="CI862" s="13" t="n">
        <f>IF(COUNT(BY862,CB862,CE862,CH862)=4,SUM(BY862,CB862,CE862,CH862),"")</f>
        <v>20.565772675081</v>
      </c>
    </row>
    <row r="863" ht="72" customHeight="1">
      <c r="A863" s="16" t="str">
        <v>B06-BKP-41-N</v>
      </c>
      <c r="B863" s="16" t="str">
        <v>1店-MUSSHOE-US</v>
      </c>
      <c r="C863" s="16" t="str">
        <v>艾年</v>
      </c>
      <c r="D863" s="26" t="n">
        <f>IF(NOT(ISNUMBER(E863)),"",IF(OR(E863&lt;=0,L863=0),0,IF(OR(NOT(ISNUMBER(F863)),F863&lt;0),"",MIN(E863,INT(F863)))))</f>
        <v>0</v>
      </c>
      <c r="E863" s="27" t="n">
        <f>IF(OR(NOT(ISNUMBER(L863)),COUNT(M863:O863)&lt;&gt;3,MIN(M863:O863)&lt;0),"",ROUNDUP(ROUND(BI863-SUM(M863:O863),10),0))</f>
        <v>-6</v>
      </c>
      <c r="F863" s="28" t="n">
        <v>19</v>
      </c>
      <c r="G863" s="28" t="n">
        <f>IF(AND(ISNUMBER(D863),ISNUMBER(E863)),IF(OR(E863&lt;=0,L863=0),0,E863-D863),"")</f>
        <v>0</v>
      </c>
      <c r="H863" s="16" t="str">
        <f>IF(NOT(ISNUMBER(E863)),"销量或海外库存待补",IF(OR(E863&lt;=0,L863=0),IF(L863=0,"零日销，本批不发","本批无需补货"),IF(NOT(ISNUMBER(D863)),"国内库存待补",IF(D863=0,"国内无可用库存",IF(G863&gt;0,"先发国内现货","按建议量发货")))))</f>
        <v>本批无需补货</v>
      </c>
      <c r="I863" s="28" t="n">
        <f>IF(AND(COUNT(Z863,AA863,AB863)=3,Z863&gt;=AA863,AA863&gt;=0,AB863=7),Z863-AA863,"")</f>
        <v>6</v>
      </c>
      <c r="J863" s="28" t="n">
        <f>IF(AND(COUNT(AF863,AG863,AH863)=3,AF863&gt;=AG863,AG863&gt;=0,AH863=14),AF863-AG863,"")</f>
        <v>9</v>
      </c>
      <c r="K863" s="28" t="n">
        <f>IF(AND(COUNT(AL863,AM863,AN863)=3,AL863&gt;=AM863,AM863&gt;=0,AN863=30),AL863-AM863,"")</f>
        <v>20</v>
      </c>
      <c r="L863" s="29" t="n">
        <f>IF(ISNUMBER(BI863),BI863/90,"")</f>
        <v>0.2545561022084143</v>
      </c>
      <c r="M863" s="28" t="n">
        <v>8</v>
      </c>
      <c r="N863" s="28" t="n">
        <v>0</v>
      </c>
      <c r="O863" s="28" t="n">
        <v>20</v>
      </c>
      <c r="P863" s="30" t="n">
        <f>IF(AND(ISNUMBER(L863),L863&gt;0,COUNT(M863:O863)=3,MIN(M863:O863)&gt;=0),SUM(M863:O863)/L863,"")</f>
        <v>109.99539888097198</v>
      </c>
      <c r="Q863" s="16" t="str">
        <v>沿用原计划SKU店铺</v>
      </c>
      <c r="R863" s="16" t="str">
        <v>已匹配</v>
      </c>
      <c r="S863" s="16" t="str">
        <v>在售</v>
      </c>
      <c r="T863" s="16" t="str">
        <v>B06</v>
      </c>
      <c r="U863" s="16" t="str">
        <v>黑色PU</v>
      </c>
      <c r="V863" s="16" t="n">
        <v>10</v>
      </c>
      <c r="W863" s="8" t="str">
        <v>2026-10-11 至 2026-10-17</v>
      </c>
      <c r="X863" s="8" t="str">
        <v>2026-10-11、2026-10-12、2026-10-13、2026-10-14、2026-10-15、2026-10-16、2026-10-17</v>
      </c>
      <c r="Y863" s="8" t="str">
        <v>无</v>
      </c>
      <c r="Z863" s="8" t="n">
        <v>6</v>
      </c>
      <c r="AA863" s="8" t="n">
        <v>0</v>
      </c>
      <c r="AB863" s="8" t="n">
        <v>7</v>
      </c>
      <c r="AC863" s="8" t="str">
        <v>2026-10-02 至 2026-10-17</v>
      </c>
      <c r="AD863" s="8" t="str">
        <v>2026-10-02、2026-10-03、2026-10-04、2026-10-05、2026-10-08、2026-10-09、2026-10-10、2026-10-11、2026-10-12、2026-10-13、2026-10-14、2026-10-15、2026-10-16、2026-10-17</v>
      </c>
      <c r="AE863" s="8" t="str">
        <v>2026-10-06 大促；2026-10-07 大促</v>
      </c>
      <c r="AF863" s="8" t="n">
        <v>14</v>
      </c>
      <c r="AG863" s="8" t="n">
        <v>5</v>
      </c>
      <c r="AH863" s="8" t="n">
        <v>14</v>
      </c>
      <c r="AI863" s="8" t="str">
        <v>2026-09-16 至 2026-10-17</v>
      </c>
      <c r="AJ8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3" s="8" t="str">
        <v>2026-10-06 大促；2026-10-07 大促</v>
      </c>
      <c r="AL863" s="8" t="n">
        <v>25</v>
      </c>
      <c r="AM863" s="8" t="n">
        <v>5</v>
      </c>
      <c r="AN863" s="8" t="n">
        <v>30</v>
      </c>
      <c r="AO863" s="8" t="str">
        <v>B06 / 黑色PU / 13120</v>
      </c>
      <c r="AP863" s="11" t="n">
        <v>1.2247029157699902</v>
      </c>
      <c r="AQ863" s="11" t="n">
        <v>1.2247029157699902</v>
      </c>
      <c r="AR863" s="11" t="n">
        <v>1.1136940657346173</v>
      </c>
      <c r="AS863" s="11" t="n">
        <f>IF(AND(COUNT(I863:K863,AP863:AR863)=6,MIN(AP863:AR863)&gt;0),I863/7/AP863*0.5+J863/14/AQ863*0.3+K863/30/AR863*0.2,"")</f>
        <v>0.6271333739538252</v>
      </c>
      <c r="AT863" s="8" t="n">
        <v>45</v>
      </c>
      <c r="AU863" s="8" t="n">
        <v>5</v>
      </c>
      <c r="AV863" s="8" t="n">
        <v>88</v>
      </c>
      <c r="AW863" s="11" t="n">
        <f>IF(AND(COUNT(AT863:AV863)=3,AT863&gt;=AU863,AU863&gt;=0,AV863&gt;0),(AT863-AU863)/AV863,"")</f>
        <v>0.45454545454545453</v>
      </c>
      <c r="AX863" s="8" t="n">
        <v>66</v>
      </c>
      <c r="AY863" s="8" t="n">
        <v>5</v>
      </c>
      <c r="AZ863" s="8" t="n">
        <v>178</v>
      </c>
      <c r="BA863" s="11" t="n">
        <f>IF(AND(COUNT(AX863:AZ863)=3,AX863&gt;=AY863,AY863&gt;=0,AZ863&gt;0),(AX863-AY863)/AZ863,"")</f>
        <v>0.34269662921348315</v>
      </c>
      <c r="BB863" s="8" t="n">
        <f>IF(COUNT(AS863,AW863,BA863)=3,1,0)</f>
        <v>1</v>
      </c>
      <c r="BC863" s="11" t="n">
        <f>IF(SUMIF($AO$11:$AO$1309,AO863,$BB$11:$BB$1309)=COUNTIF($AO$11:$AO$1309,AO863),SUMIF($AO$11:$AO$1309,AO863,$AS$11:$AS$1309),"")</f>
        <v>3.356331278136211</v>
      </c>
      <c r="BD863" s="11" t="n">
        <f>IF(SUMIF($AO$11:$AO$1309,AO863,$BB$11:$BB$1309)=COUNTIF($AO$11:$AO$1309,AO863),SUMIF($AO$11:$AO$1309,AO863,$AW$11:$AW$1309),"")</f>
        <v>4.654443391412116</v>
      </c>
      <c r="BE863" s="11" t="n">
        <f>IF(SUMIF($AO$11:$AO$1309,AO863,$BB$11:$BB$1309)=COUNTIF($AO$11:$AO$1309,AO863),SUMIF($AO$11:$AO$1309,AO863,$BA$11:$BA$1309),"")</f>
        <v>4.262156775332837</v>
      </c>
      <c r="BF863" s="12" t="n">
        <f>IF(COUNT(BD863:BE863)&lt;&gt;2,"",IF(AND(BD863&gt;0,BE863&gt;0),0.7*AW863/BD863+0.3*BA863/BE863,IF(BD863&gt;0,AW863/BD863,IF(BE863&gt;0,BA863/BE863,IF(AND(ISNUMBER(BH863),BH863=0),0,"")))))</f>
        <v>0.092482227143007</v>
      </c>
      <c r="BG863" s="11" t="n">
        <f>IF(AND(COUNT(BN863:BU863)=8,MIN(BN863:BU863)&gt;=0),SUMPRODUCT(BN863:BQ863,BR863:BU863),"")</f>
        <v>73.80791239847399</v>
      </c>
      <c r="BH863" s="11" t="n">
        <f>IF(COUNT(BC863,BG863)=2,BC863*BG863,"")</f>
        <v>247.72380495693568</v>
      </c>
      <c r="BI863" s="11" t="n">
        <f>IF(ISNUMBER(CI863),CI863,"")</f>
        <v>22.91004919875729</v>
      </c>
      <c r="BJ863" s="8" t="str">
        <v>低销提醒依据不完整</v>
      </c>
      <c r="BK863" s="8" t="str">
        <v>90天：2026-07-20 至 2026-10-17；180天：2026-04-21 至 2026-10-17</v>
      </c>
      <c r="BL863" s="8" t="str">
        <v>90天：2026-10-06、2026-10-07；180天：2026-10-06、2026-10-07</v>
      </c>
      <c r="BM863" s="8" t="str">
        <v>2026-10：12天 × 1.2247029157699902；2026-11：30天 × 0.8332682139098497；2026-12：31天 × 0.5511018253564084；2027-01：17天 × 1.0017220238758797</v>
      </c>
      <c r="BN863" s="11" t="n">
        <v>1.2247029157699902</v>
      </c>
      <c r="BO863" s="11" t="n">
        <v>0.8332682139098497</v>
      </c>
      <c r="BP863" s="11" t="n">
        <v>0.5511018253564084</v>
      </c>
      <c r="BQ863" s="11" t="n">
        <v>1.0017220238758797</v>
      </c>
      <c r="BR863" s="8" t="n">
        <v>12</v>
      </c>
      <c r="BS863" s="8" t="n">
        <v>30</v>
      </c>
      <c r="BT863" s="8" t="n">
        <v>31</v>
      </c>
      <c r="BU863" s="8" t="n">
        <v>17</v>
      </c>
      <c r="BV863" s="11" t="n">
        <f>IF(COUNT(BC863,BF863)=2,BC863*BF863,"")</f>
        <v>0.31040099163177204</v>
      </c>
      <c r="BW863" s="11" t="n">
        <f>IF(ISNUMBER(BN863),BN863,"")</f>
        <v>1.2247029157699902</v>
      </c>
      <c r="BX863" s="14" t="n">
        <f>IF(ISNUMBER(BR863),BR863,"")</f>
        <v>12</v>
      </c>
      <c r="BY863" s="13" t="n">
        <f>IF(AND(COUNT(BV863,BW863,BX863)=3,MIN(BV863,BW863,BX863)&gt;=0),BV863*BW863*BX863,"")</f>
        <v>4.561787994111931</v>
      </c>
      <c r="BZ863" s="11" t="n">
        <f>IF(ISNUMBER(BO863),BO863,"")</f>
        <v>0.8332682139098497</v>
      </c>
      <c r="CA863" s="14" t="n">
        <f>IF(ISNUMBER(BS863),BS863,"")</f>
        <v>30</v>
      </c>
      <c r="CB863" s="13" t="n">
        <f>IF(AND(COUNT(BV863,BZ863,CA863)=3,MIN(BV863,BZ863,CA863)&gt;=0),BV863*BZ863*CA863,"")</f>
        <v>7.759418396785588</v>
      </c>
      <c r="CC863" s="11" t="n">
        <f>IF(ISNUMBER(BP863),BP863,"")</f>
        <v>0.5511018253564084</v>
      </c>
      <c r="CD863" s="14" t="n">
        <f>IF(ISNUMBER(BT863),BT863,"")</f>
        <v>31</v>
      </c>
      <c r="CE863" s="13" t="n">
        <f>IF(AND(COUNT(BV863,CC863,CD863)=3,MIN(BV863,CC863,CD863)&gt;=0),BV863*CC863*CD863,"")</f>
        <v>5.302939145501973</v>
      </c>
      <c r="CF863" s="11" t="n">
        <f>IF(ISNUMBER(BQ863),BQ863,"")</f>
        <v>1.0017220238758797</v>
      </c>
      <c r="CG863" s="14" t="n">
        <f>IF(ISNUMBER(BU863),BU863,"")</f>
        <v>17</v>
      </c>
      <c r="CH863" s="13" t="n">
        <f>IF(AND(COUNT(BV863,CF863,CG863)=3,MIN(BV863,CF863,CG863)&gt;=0),BV863*CF863*CG863,"")</f>
        <v>5.285903662357797</v>
      </c>
      <c r="CI863" s="13" t="n">
        <f>IF(COUNT(BY863,CB863,CE863,CH863)=4,SUM(BY863,CB863,CE863,CH863),"")</f>
        <v>22.91004919875729</v>
      </c>
    </row>
    <row r="864" ht="72" customHeight="1">
      <c r="A864" s="16" t="str">
        <v>B06-BKP-41.5</v>
      </c>
      <c r="B864" s="16" t="str">
        <v>1店-MUSSHOE-US</v>
      </c>
      <c r="C864" s="16" t="str">
        <v>艾年</v>
      </c>
      <c r="D864" s="26" t="n">
        <f>IF(NOT(ISNUMBER(E864)),"",IF(OR(E864&lt;=0,L864=0),0,IF(OR(NOT(ISNUMBER(F864)),F864&lt;0),"",MIN(E864,INT(F864)))))</f>
        <v>0</v>
      </c>
      <c r="E864" s="27" t="n">
        <f>IF(OR(NOT(ISNUMBER(L864)),COUNT(M864:O864)&lt;&gt;3,MIN(M864:O864)&lt;0),"",ROUNDUP(ROUND(BI864-SUM(M864:O864),10),0))</f>
        <v>-8</v>
      </c>
      <c r="F864" s="28" t="n">
        <v>0</v>
      </c>
      <c r="G864" s="28" t="n">
        <f>IF(AND(ISNUMBER(D864),ISNUMBER(E864)),IF(OR(E864&lt;=0,L864=0),0,E864-D864),"")</f>
        <v>0</v>
      </c>
      <c r="H864" s="16" t="str">
        <f>IF(NOT(ISNUMBER(E864)),"销量或海外库存待补",IF(OR(E864&lt;=0,L864=0),IF(L864=0,"零日销，本批不发","本批无需补货"),IF(NOT(ISNUMBER(D864)),"国内库存待补",IF(D864=0,"国内无可用库存",IF(G864&gt;0,"先发国内现货","按建议量发货")))))</f>
        <v>本批无需补货</v>
      </c>
      <c r="I864" s="28" t="n">
        <f>IF(AND(COUNT(Z864,AA864,AB864)=3,Z864&gt;=AA864,AA864&gt;=0,AB864=7),Z864-AA864,"")</f>
        <v>1</v>
      </c>
      <c r="J864" s="28" t="n">
        <f>IF(AND(COUNT(AF864,AG864,AH864)=3,AF864&gt;=AG864,AG864&gt;=0,AH864=14),AF864-AG864,"")</f>
        <v>2</v>
      </c>
      <c r="K864" s="28" t="n">
        <f>IF(AND(COUNT(AL864,AM864,AN864)=3,AL864&gt;=AM864,AM864&gt;=0,AN864=30),AL864-AM864,"")</f>
        <v>5</v>
      </c>
      <c r="L864" s="29" t="n">
        <f>IF(ISNUMBER(BI864),BI864/90,"")</f>
        <v>0.13361474312488497</v>
      </c>
      <c r="M864" s="28" t="n">
        <v>3</v>
      </c>
      <c r="N864" s="28" t="n">
        <v>0</v>
      </c>
      <c r="O864" s="28" t="n">
        <v>17</v>
      </c>
      <c r="P864" s="30" t="n">
        <f>IF(AND(ISNUMBER(L864),L864&gt;0,COUNT(M864:O864)=3,MIN(M864:O864)&gt;=0),SUM(M864:O864)/L864,"")</f>
        <v>149.68408075527046</v>
      </c>
      <c r="Q864" s="16" t="str">
        <v>沿用原计划SKU店铺</v>
      </c>
      <c r="R864" s="16" t="str">
        <v>已匹配</v>
      </c>
      <c r="S864" s="16" t="str">
        <v>在售</v>
      </c>
      <c r="T864" s="16" t="str">
        <v>B06</v>
      </c>
      <c r="U864" s="16" t="str">
        <v>黑色PU</v>
      </c>
      <c r="V864" s="16" t="n">
        <v>10.5</v>
      </c>
      <c r="W864" s="8" t="str">
        <v>2026-10-11 至 2026-10-17</v>
      </c>
      <c r="X864" s="8" t="str">
        <v>2026-10-11、2026-10-12、2026-10-13、2026-10-14、2026-10-15、2026-10-16、2026-10-17</v>
      </c>
      <c r="Y864" s="8" t="str">
        <v>无</v>
      </c>
      <c r="Z864" s="8" t="n">
        <v>1</v>
      </c>
      <c r="AA864" s="8" t="n">
        <v>0</v>
      </c>
      <c r="AB864" s="8" t="n">
        <v>7</v>
      </c>
      <c r="AC864" s="8" t="str">
        <v>2026-10-02 至 2026-10-17</v>
      </c>
      <c r="AD864" s="8" t="str">
        <v>2026-10-02、2026-10-03、2026-10-04、2026-10-05、2026-10-08、2026-10-09、2026-10-10、2026-10-11、2026-10-12、2026-10-13、2026-10-14、2026-10-15、2026-10-16、2026-10-17</v>
      </c>
      <c r="AE864" s="8" t="str">
        <v>2026-10-06 大促；2026-10-07 大促</v>
      </c>
      <c r="AF864" s="8" t="n">
        <v>2</v>
      </c>
      <c r="AG864" s="8" t="n">
        <v>0</v>
      </c>
      <c r="AH864" s="8" t="n">
        <v>14</v>
      </c>
      <c r="AI864" s="8" t="str">
        <v>2026-09-16 至 2026-10-17</v>
      </c>
      <c r="AJ8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4" s="8" t="str">
        <v>2026-10-06 大促；2026-10-07 大促</v>
      </c>
      <c r="AL864" s="8" t="n">
        <v>5</v>
      </c>
      <c r="AM864" s="8" t="n">
        <v>0</v>
      </c>
      <c r="AN864" s="8" t="n">
        <v>30</v>
      </c>
      <c r="AO864" s="8" t="str">
        <v>B06 / 黑色PU / 13120</v>
      </c>
      <c r="AP864" s="11" t="n">
        <v>1.2247029157699902</v>
      </c>
      <c r="AQ864" s="11" t="n">
        <v>1.2247029157699902</v>
      </c>
      <c r="AR864" s="11" t="n">
        <v>1.1136940657346173</v>
      </c>
      <c r="AS864" s="11" t="n">
        <f>IF(AND(COUNT(I864:K864,AP864:AR864)=6,MIN(AP864:AR864)&gt;0),I864/7/AP864*0.5+J864/14/AQ864*0.3+K864/30/AR864*0.2,"")</f>
        <v>0.12324751366183562</v>
      </c>
      <c r="AT864" s="8" t="n">
        <v>21</v>
      </c>
      <c r="AU864" s="8" t="n">
        <v>0</v>
      </c>
      <c r="AV864" s="8" t="n">
        <v>88</v>
      </c>
      <c r="AW864" s="11" t="n">
        <f>IF(AND(COUNT(AT864:AV864)=3,AT864&gt;=AU864,AU864&gt;=0,AV864&gt;0),(AT864-AU864)/AV864,"")</f>
        <v>0.23863636363636365</v>
      </c>
      <c r="AX864" s="8" t="n">
        <v>32</v>
      </c>
      <c r="AY864" s="8" t="n">
        <v>0</v>
      </c>
      <c r="AZ864" s="8" t="n">
        <v>178</v>
      </c>
      <c r="BA864" s="11" t="n">
        <f>IF(AND(COUNT(AX864:AZ864)=3,AX864&gt;=AY864,AY864&gt;=0,AZ864&gt;0),(AX864-AY864)/AZ864,"")</f>
        <v>0.1797752808988764</v>
      </c>
      <c r="BB864" s="8" t="n">
        <f>IF(COUNT(AS864,AW864,BA864)=3,1,0)</f>
        <v>1</v>
      </c>
      <c r="BC864" s="11" t="n">
        <f>IF(SUMIF($AO$11:$AO$1309,AO864,$BB$11:$BB$1309)=COUNTIF($AO$11:$AO$1309,AO864),SUMIF($AO$11:$AO$1309,AO864,$AS$11:$AS$1309),"")</f>
        <v>3.356331278136211</v>
      </c>
      <c r="BD864" s="11" t="n">
        <f>IF(SUMIF($AO$11:$AO$1309,AO864,$BB$11:$BB$1309)=COUNTIF($AO$11:$AO$1309,AO864),SUMIF($AO$11:$AO$1309,AO864,$AW$11:$AW$1309),"")</f>
        <v>4.654443391412116</v>
      </c>
      <c r="BE864" s="11" t="n">
        <f>IF(SUMIF($AO$11:$AO$1309,AO864,$BB$11:$BB$1309)=COUNTIF($AO$11:$AO$1309,AO864),SUMIF($AO$11:$AO$1309,AO864,$BA$11:$BA$1309),"")</f>
        <v>4.262156775332837</v>
      </c>
      <c r="BF864" s="12" t="n">
        <f>IF(COUNT(BD864:BE864)&lt;&gt;2,"",IF(AND(BD864&gt;0,BE864&gt;0),0.7*AW864/BD864+0.3*BA864/BE864,IF(BD864&gt;0,AW864/BD864,IF(BE864&gt;0,BA864/BE864,IF(AND(ISNUMBER(BH864),BH864=0),0,"")))))</f>
        <v>0.048543283449606824</v>
      </c>
      <c r="BG864" s="11" t="n">
        <f>IF(AND(COUNT(BN864:BU864)=8,MIN(BN864:BU864)&gt;=0),SUMPRODUCT(BN864:BQ864,BR864:BU864),"")</f>
        <v>73.80791239847399</v>
      </c>
      <c r="BH864" s="11" t="n">
        <f>IF(COUNT(BC864,BG864)=2,BC864*BG864,"")</f>
        <v>247.72380495693568</v>
      </c>
      <c r="BI864" s="11" t="n">
        <f>IF(ISNUMBER(CI864),CI864,"")</f>
        <v>12.025326881239646</v>
      </c>
      <c r="BJ864" s="8" t="str">
        <v>低销提醒依据不完整</v>
      </c>
      <c r="BK864" s="8" t="str">
        <v>90天：2026-07-20 至 2026-10-17；180天：2026-04-21 至 2026-10-17</v>
      </c>
      <c r="BL864" s="8" t="str">
        <v>90天：2026-10-06、2026-10-07；180天：2026-10-06、2026-10-07</v>
      </c>
      <c r="BM864" s="8" t="str">
        <v>2026-10：12天 × 1.2247029157699902；2026-11：30天 × 0.8332682139098497；2026-12：31天 × 0.5511018253564084；2027-01：17天 × 1.0017220238758797</v>
      </c>
      <c r="BN864" s="11" t="n">
        <v>1.2247029157699902</v>
      </c>
      <c r="BO864" s="11" t="n">
        <v>0.8332682139098497</v>
      </c>
      <c r="BP864" s="11" t="n">
        <v>0.5511018253564084</v>
      </c>
      <c r="BQ864" s="11" t="n">
        <v>1.0017220238758797</v>
      </c>
      <c r="BR864" s="8" t="n">
        <v>12</v>
      </c>
      <c r="BS864" s="8" t="n">
        <v>30</v>
      </c>
      <c r="BT864" s="8" t="n">
        <v>31</v>
      </c>
      <c r="BU864" s="8" t="n">
        <v>17</v>
      </c>
      <c r="BV864" s="11" t="n">
        <f>IF(COUNT(BC864,BF864)=2,BC864*BF864,"")</f>
        <v>0.16292734058534725</v>
      </c>
      <c r="BW864" s="11" t="n">
        <f>IF(ISNUMBER(BN864),BN864,"")</f>
        <v>1.2247029157699902</v>
      </c>
      <c r="BX864" s="14" t="n">
        <f>IF(ISNUMBER(BR864),BR864,"")</f>
        <v>12</v>
      </c>
      <c r="BY864" s="13" t="n">
        <f>IF(AND(COUNT(BV864,BW864,BX864)=3,MIN(BV864,BW864,BX864)&gt;=0),BV864*BW864*BX864,"")</f>
        <v>2.3944510688823004</v>
      </c>
      <c r="BZ864" s="11" t="n">
        <f>IF(ISNUMBER(BO864),BO864,"")</f>
        <v>0.8332682139098497</v>
      </c>
      <c r="CA864" s="14" t="n">
        <f>IF(ISNUMBER(BS864),BS864,"")</f>
        <v>30</v>
      </c>
      <c r="CB864" s="13" t="n">
        <f>IF(AND(COUNT(BV864,BZ864,CA864)=3,MIN(BV864,BZ864,CA864)&gt;=0),BV864*BZ864*CA864,"")</f>
        <v>4.072865222599022</v>
      </c>
      <c r="CC864" s="11" t="n">
        <f>IF(ISNUMBER(BP864),BP864,"")</f>
        <v>0.5511018253564084</v>
      </c>
      <c r="CD864" s="14" t="n">
        <f>IF(ISNUMBER(BT864),BT864,"")</f>
        <v>31</v>
      </c>
      <c r="CE864" s="13" t="n">
        <f>IF(AND(COUNT(BV864,CC864,CD864)=3,MIN(BV864,CC864,CD864)&gt;=0),BV864*CC864*CD864,"")</f>
        <v>2.7834761987085535</v>
      </c>
      <c r="CF864" s="11" t="n">
        <f>IF(ISNUMBER(BQ864),BQ864,"")</f>
        <v>1.0017220238758797</v>
      </c>
      <c r="CG864" s="14" t="n">
        <f>IF(ISNUMBER(BU864),BU864,"")</f>
        <v>17</v>
      </c>
      <c r="CH864" s="13" t="n">
        <f>IF(AND(COUNT(BV864,CF864,CG864)=3,MIN(BV864,CF864,CG864)&gt;=0),BV864*CF864*CG864,"")</f>
        <v>2.7745343910497695</v>
      </c>
      <c r="CI864" s="13" t="n">
        <f>IF(COUNT(BY864,CB864,CE864,CH864)=4,SUM(BY864,CB864,CE864,CH864),"")</f>
        <v>12.025326881239646</v>
      </c>
    </row>
    <row r="865" ht="72" customHeight="1">
      <c r="A865" s="16" t="str">
        <v>B06-BKP-42-N</v>
      </c>
      <c r="B865" s="16" t="str">
        <v>1店-MUSSHOE-US</v>
      </c>
      <c r="C865" s="16" t="str">
        <v>艾年</v>
      </c>
      <c r="D865" s="26" t="n">
        <f>IF(NOT(ISNUMBER(E865)),"",IF(OR(E865&lt;=0,L865=0),0,IF(OR(NOT(ISNUMBER(F865)),F865&lt;0),"",MIN(E865,INT(F865)))))</f>
        <v>0</v>
      </c>
      <c r="E865" s="27" t="n">
        <f>IF(OR(NOT(ISNUMBER(L865)),COUNT(M865:O865)&lt;&gt;3,MIN(M865:O865)&lt;0),"",ROUNDUP(ROUND(BI865-SUM(M865:O865),10),0))</f>
        <v>-10</v>
      </c>
      <c r="F865" s="28" t="n">
        <v>31</v>
      </c>
      <c r="G865" s="28" t="n">
        <f>IF(AND(ISNUMBER(D865),ISNUMBER(E865)),IF(OR(E865&lt;=0,L865=0),0,E865-D865),"")</f>
        <v>0</v>
      </c>
      <c r="H865" s="16" t="str">
        <f>IF(NOT(ISNUMBER(E865)),"销量或海外库存待补",IF(OR(E865&lt;=0,L865=0),IF(L865=0,"零日销，本批不发","本批无需补货"),IF(NOT(ISNUMBER(D865)),"国内库存待补",IF(D865=0,"国内无可用库存",IF(G865&gt;0,"先发国内现货","按建议量发货")))))</f>
        <v>本批无需补货</v>
      </c>
      <c r="I865" s="28" t="n">
        <f>IF(AND(COUNT(Z865,AA865,AB865)=3,Z865&gt;=AA865,AA865&gt;=0,AB865=7),Z865-AA865,"")</f>
        <v>1</v>
      </c>
      <c r="J865" s="28" t="n">
        <f>IF(AND(COUNT(AF865,AG865,AH865)=3,AF865&gt;=AG865,AG865&gt;=0,AH865=14),AF865-AG865,"")</f>
        <v>1</v>
      </c>
      <c r="K865" s="28" t="n">
        <f>IF(AND(COUNT(AL865,AM865,AN865)=3,AL865&gt;=AM865,AM865&gt;=0,AN865=30),AL865-AM865,"")</f>
        <v>6</v>
      </c>
      <c r="L865" s="29" t="n">
        <f>IF(ISNUMBER(BI865),BI865/90,"")</f>
        <v>0.10092535172497341</v>
      </c>
      <c r="M865" s="28" t="n">
        <v>1</v>
      </c>
      <c r="N865" s="28" t="n">
        <v>0</v>
      </c>
      <c r="O865" s="28" t="n">
        <v>18</v>
      </c>
      <c r="P865" s="30" t="n">
        <f>IF(AND(ISNUMBER(L865),L865&gt;0,COUNT(M865:O865)=3,MIN(M865:O865)&gt;=0),SUM(M865:O865)/L865,"")</f>
        <v>188.25795179565927</v>
      </c>
      <c r="Q865" s="16" t="str">
        <v>沿用原计划SKU店铺</v>
      </c>
      <c r="R865" s="16" t="str">
        <v>已匹配</v>
      </c>
      <c r="S865" s="16" t="str">
        <v>停售</v>
      </c>
      <c r="T865" s="16" t="str">
        <v>B06</v>
      </c>
      <c r="U865" s="16" t="str">
        <v>黑色PU</v>
      </c>
      <c r="V865" s="16" t="n">
        <v>11</v>
      </c>
      <c r="W865" s="8" t="str">
        <v>2026-10-10 至 2026-10-17</v>
      </c>
      <c r="X865" s="8" t="str">
        <v>2026-10-10、2026-10-11、2026-10-12、2026-10-13、2026-10-14、2026-10-15、2026-10-17</v>
      </c>
      <c r="Y865" s="8" t="str">
        <v>2026-10-16 有记录的停售日</v>
      </c>
      <c r="Z865" s="8" t="n">
        <v>1</v>
      </c>
      <c r="AA865" s="8" t="n">
        <v>0</v>
      </c>
      <c r="AB865" s="8" t="n">
        <v>7</v>
      </c>
      <c r="AC865" s="8" t="str">
        <v>2026-10-01 至 2026-10-17</v>
      </c>
      <c r="AD865" s="8" t="str">
        <v>2026-10-01、2026-10-02、2026-10-03、2026-10-04、2026-10-05、2026-10-08、2026-10-09、2026-10-10、2026-10-11、2026-10-12、2026-10-13、2026-10-14、2026-10-15、2026-10-17</v>
      </c>
      <c r="AE865" s="8" t="str">
        <v>2026-10-06 大促；2026-10-07 大促；2026-10-16 有记录的停售日</v>
      </c>
      <c r="AF865" s="8" t="n">
        <v>1</v>
      </c>
      <c r="AG865" s="8" t="n">
        <v>0</v>
      </c>
      <c r="AH865" s="8" t="n">
        <v>14</v>
      </c>
      <c r="AI865" s="8" t="str">
        <v>2026-09-15 至 2026-10-17</v>
      </c>
      <c r="AJ865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865" s="8" t="str">
        <v>2026-10-06 大促；2026-10-07 大促；2026-10-16 有记录的停售日</v>
      </c>
      <c r="AL865" s="8" t="n">
        <v>6</v>
      </c>
      <c r="AM865" s="8" t="n">
        <v>0</v>
      </c>
      <c r="AN865" s="8" t="n">
        <v>30</v>
      </c>
      <c r="AO865" s="8" t="str">
        <v>B06 / 黑色PU / 13120</v>
      </c>
      <c r="AP865" s="11" t="n">
        <v>1.2247029157699902</v>
      </c>
      <c r="AQ865" s="11" t="n">
        <v>1.2247029157699902</v>
      </c>
      <c r="AR865" s="11" t="n">
        <v>1.106293475732259</v>
      </c>
      <c r="AS865" s="11" t="n">
        <f>IF(AND(COUNT(I865:K865,AP865:AR865)=6,MIN(AP865:AR865)&gt;0),I865/7/AP865*0.5+J865/14/AQ865*0.3+K865/30/AR865*0.2,"")</f>
        <v>0.11197690812510093</v>
      </c>
      <c r="AT865" s="8" t="n">
        <v>15</v>
      </c>
      <c r="AU865" s="8" t="n">
        <v>0</v>
      </c>
      <c r="AV865" s="8" t="n">
        <v>87</v>
      </c>
      <c r="AW865" s="11" t="n">
        <f>IF(AND(COUNT(AT865:AV865)=3,AT865&gt;=AU865,AU865&gt;=0,AV865&gt;0),(AT865-AU865)/AV865,"")</f>
        <v>0.1724137931034483</v>
      </c>
      <c r="AX865" s="8" t="n">
        <v>27</v>
      </c>
      <c r="AY865" s="8" t="n">
        <v>0</v>
      </c>
      <c r="AZ865" s="8" t="n">
        <v>177</v>
      </c>
      <c r="BA865" s="11" t="n">
        <f>IF(AND(COUNT(AX865:AZ865)=3,AX865&gt;=AY865,AY865&gt;=0,AZ865&gt;0),(AX865-AY865)/AZ865,"")</f>
        <v>0.15254237288135594</v>
      </c>
      <c r="BB865" s="8" t="n">
        <f>IF(COUNT(AS865,AW865,BA865)=3,1,0)</f>
        <v>1</v>
      </c>
      <c r="BC865" s="11" t="n">
        <f>IF(SUMIF($AO$11:$AO$1309,AO865,$BB$11:$BB$1309)=COUNTIF($AO$11:$AO$1309,AO865),SUMIF($AO$11:$AO$1309,AO865,$AS$11:$AS$1309),"")</f>
        <v>3.356331278136211</v>
      </c>
      <c r="BD865" s="11" t="n">
        <f>IF(SUMIF($AO$11:$AO$1309,AO865,$BB$11:$BB$1309)=COUNTIF($AO$11:$AO$1309,AO865),SUMIF($AO$11:$AO$1309,AO865,$AW$11:$AW$1309),"")</f>
        <v>4.654443391412116</v>
      </c>
      <c r="BE865" s="11" t="n">
        <f>IF(SUMIF($AO$11:$AO$1309,AO865,$BB$11:$BB$1309)=COUNTIF($AO$11:$AO$1309,AO865),SUMIF($AO$11:$AO$1309,AO865,$BA$11:$BA$1309),"")</f>
        <v>4.262156775332837</v>
      </c>
      <c r="BF865" s="12" t="n">
        <f>IF(COUNT(BD865:BE865)&lt;&gt;2,"",IF(AND(BD865&gt;0,BE865&gt;0),0.7*AW865/BD865+0.3*BA865/BE865,IF(BD865&gt;0,AW865/BD865,IF(BE865&gt;0,BA865/BE865,IF(AND(ISNUMBER(BH865),BH865=0),0,"")))))</f>
        <v>0.03666697133457418</v>
      </c>
      <c r="BG865" s="11" t="n">
        <f>IF(AND(COUNT(BN865:BU865)=8,MIN(BN865:BU865)&gt;=0),SUMPRODUCT(BN865:BQ865,BR865:BU865),"")</f>
        <v>73.80791239847399</v>
      </c>
      <c r="BH865" s="11" t="n">
        <f>IF(COUNT(BC865,BG865)=2,BC865*BG865,"")</f>
        <v>247.72380495693568</v>
      </c>
      <c r="BI865" s="11" t="n">
        <f>IF(ISNUMBER(CI865),CI865,"")</f>
        <v>9.083281655247607</v>
      </c>
      <c r="BJ865" s="8" t="str">
        <v>低销提醒依据不完整</v>
      </c>
      <c r="BK865" s="8" t="str">
        <v>90天：2026-07-20 至 2026-10-17；180天：2026-04-21 至 2026-10-17</v>
      </c>
      <c r="BL865" s="8" t="str">
        <v>90天：2026-10-06、2026-10-07、2026-10-16；180天：2026-10-06、2026-10-07、2026-10-16</v>
      </c>
      <c r="BM865" s="8" t="str">
        <v>2026-10：12天 × 1.2247029157699902；2026-11：30天 × 0.8332682139098497；2026-12：31天 × 0.5511018253564084；2027-01：17天 × 1.0017220238758797</v>
      </c>
      <c r="BN865" s="11" t="n">
        <v>1.2247029157699902</v>
      </c>
      <c r="BO865" s="11" t="n">
        <v>0.8332682139098497</v>
      </c>
      <c r="BP865" s="11" t="n">
        <v>0.5511018253564084</v>
      </c>
      <c r="BQ865" s="11" t="n">
        <v>1.0017220238758797</v>
      </c>
      <c r="BR865" s="8" t="n">
        <v>12</v>
      </c>
      <c r="BS865" s="8" t="n">
        <v>30</v>
      </c>
      <c r="BT865" s="8" t="n">
        <v>31</v>
      </c>
      <c r="BU865" s="8" t="n">
        <v>17</v>
      </c>
      <c r="BV865" s="11" t="n">
        <f>IF(COUNT(BC865,BF865)=2,BC865*BF865,"")</f>
        <v>0.12306650276475517</v>
      </c>
      <c r="BW865" s="11" t="n">
        <f>IF(ISNUMBER(BN865),BN865,"")</f>
        <v>1.2247029157699902</v>
      </c>
      <c r="BX865" s="14" t="n">
        <f>IF(ISNUMBER(BR865),BR865,"")</f>
        <v>12</v>
      </c>
      <c r="BY865" s="13" t="n">
        <f>IF(AND(COUNT(BV865,BW865,BX865)=3,MIN(BV865,BW865,BX865)&gt;=0),BV865*BW865*BX865,"")</f>
        <v>1.8086388572353347</v>
      </c>
      <c r="BZ865" s="11" t="n">
        <f>IF(ISNUMBER(BO865),BO865,"")</f>
        <v>0.8332682139098497</v>
      </c>
      <c r="CA865" s="14" t="n">
        <f>IF(ISNUMBER(BS865),BS865,"")</f>
        <v>30</v>
      </c>
      <c r="CB865" s="13" t="n">
        <f>IF(AND(COUNT(BV865,BZ865,CA865)=3,MIN(BV865,BZ865,CA865)&gt;=0),BV865*BZ865*CA865,"")</f>
        <v>3.076422148527574</v>
      </c>
      <c r="CC865" s="11" t="n">
        <f>IF(ISNUMBER(BP865),BP865,"")</f>
        <v>0.5511018253564084</v>
      </c>
      <c r="CD865" s="14" t="n">
        <f>IF(ISNUMBER(BT865),BT865,"")</f>
        <v>31</v>
      </c>
      <c r="CE865" s="13" t="n">
        <f>IF(AND(COUNT(BV865,CC865,CD865)=3,MIN(BV865,CC865,CD865)&gt;=0),BV865*CC865*CD865,"")</f>
        <v>2.1024874037304677</v>
      </c>
      <c r="CF865" s="11" t="n">
        <f>IF(ISNUMBER(BQ865),BQ865,"")</f>
        <v>1.0017220238758797</v>
      </c>
      <c r="CG865" s="14" t="n">
        <f>IF(ISNUMBER(BU865),BU865,"")</f>
        <v>17</v>
      </c>
      <c r="CH865" s="13" t="n">
        <f>IF(AND(COUNT(BV865,CF865,CG865)=3,MIN(BV865,CF865,CG865)&gt;=0),BV865*CF865*CG865,"")</f>
        <v>2.095733245754231</v>
      </c>
      <c r="CI865" s="13" t="n">
        <f>IF(COUNT(BY865,CB865,CE865,CH865)=4,SUM(BY865,CB865,CE865,CH865),"")</f>
        <v>9.083281655247607</v>
      </c>
    </row>
    <row r="866" ht="72" customHeight="1">
      <c r="A866" s="16" t="str">
        <v>B06-BP-37.5</v>
      </c>
      <c r="B866" s="16" t="str">
        <v>1店-MUSSHOE-US</v>
      </c>
      <c r="C866" s="16" t="str">
        <v>艾年</v>
      </c>
      <c r="D866" s="26" t="n">
        <f>IF(NOT(ISNUMBER(E866)),"",IF(OR(E866&lt;=0,L866=0),0,IF(OR(NOT(ISNUMBER(F866)),F866&lt;0),"",MIN(E866,INT(F866)))))</f>
        <v>0</v>
      </c>
      <c r="E866" s="27" t="n">
        <f>IF(OR(NOT(ISNUMBER(L866)),COUNT(M866:O866)&lt;&gt;3,MIN(M866:O866)&lt;0),"",ROUNDUP(ROUND(BI866-SUM(M866:O866),10),0))</f>
        <v>-8</v>
      </c>
      <c r="F866" s="28" t="n">
        <v>0</v>
      </c>
      <c r="G866" s="28" t="n">
        <f>IF(AND(ISNUMBER(D866),ISNUMBER(E866)),IF(OR(E866&lt;=0,L866=0),0,E866-D866),"")</f>
        <v>0</v>
      </c>
      <c r="H866" s="16" t="str">
        <f>IF(NOT(ISNUMBER(E866)),"销量或海外库存待补",IF(OR(E866&lt;=0,L866=0),IF(L866=0,"零日销，本批不发","本批无需补货"),IF(NOT(ISNUMBER(D866)),"国内库存待补",IF(D866=0,"国内无可用库存",IF(G866&gt;0,"先发国内现货","按建议量发货")))))</f>
        <v>本批无需补货</v>
      </c>
      <c r="I866" s="28" t="n">
        <f>IF(AND(COUNT(Z866,AA866,AB866)=3,Z866&gt;=AA866,AA866&gt;=0,AB866=7),Z866-AA866,"")</f>
        <v>0</v>
      </c>
      <c r="J866" s="28" t="n">
        <f>IF(AND(COUNT(AF866,AG866,AH866)=3,AF866&gt;=AG866,AG866&gt;=0,AH866=14),AF866-AG866,"")</f>
        <v>1</v>
      </c>
      <c r="K866" s="28" t="n">
        <f>IF(AND(COUNT(AL866,AM866,AN866)=3,AL866&gt;=AM866,AM866&gt;=0,AN866=30),AL866-AM866,"")</f>
        <v>3</v>
      </c>
      <c r="L866" s="29" t="n">
        <f>IF(ISNUMBER(BI866),BI866/90,"")</f>
        <v>0.03083550567047447</v>
      </c>
      <c r="M866" s="28" t="n">
        <v>10</v>
      </c>
      <c r="N866" s="28" t="n">
        <v>0</v>
      </c>
      <c r="O866" s="28" t="n">
        <v>0</v>
      </c>
      <c r="P866" s="30" t="n">
        <f>IF(AND(ISNUMBER(L866),L866&gt;0,COUNT(M866:O866)=3,MIN(M866:O866)&gt;=0),SUM(M866:O866)/L866,"")</f>
        <v>324.30147593055926</v>
      </c>
      <c r="Q866" s="16" t="str">
        <v>沿用原计划SKU店铺</v>
      </c>
      <c r="R866" s="16" t="str">
        <v>已匹配</v>
      </c>
      <c r="S866" s="16" t="str">
        <v>在售</v>
      </c>
      <c r="T866" s="16" t="str">
        <v>B06</v>
      </c>
      <c r="U866" s="16" t="str">
        <v>黑色镜面PU</v>
      </c>
      <c r="V866" s="16" t="n">
        <v>6.5</v>
      </c>
      <c r="W866" s="8" t="str">
        <v>2026-10-11 至 2026-10-17</v>
      </c>
      <c r="X866" s="8" t="str">
        <v>2026-10-11、2026-10-12、2026-10-13、2026-10-14、2026-10-15、2026-10-16、2026-10-17</v>
      </c>
      <c r="Y866" s="8" t="str">
        <v>无</v>
      </c>
      <c r="Z866" s="8" t="n">
        <v>0</v>
      </c>
      <c r="AA866" s="8" t="n">
        <v>0</v>
      </c>
      <c r="AB866" s="8" t="n">
        <v>7</v>
      </c>
      <c r="AC866" s="8" t="str">
        <v>2026-10-02 至 2026-10-17</v>
      </c>
      <c r="AD866" s="8" t="str">
        <v>2026-10-02、2026-10-03、2026-10-04、2026-10-05、2026-10-08、2026-10-09、2026-10-10、2026-10-11、2026-10-12、2026-10-13、2026-10-14、2026-10-15、2026-10-16、2026-10-17</v>
      </c>
      <c r="AE866" s="8" t="str">
        <v>2026-10-06 大促；2026-10-07 大促</v>
      </c>
      <c r="AF866" s="8" t="n">
        <v>1</v>
      </c>
      <c r="AG866" s="8" t="n">
        <v>0</v>
      </c>
      <c r="AH866" s="8" t="n">
        <v>14</v>
      </c>
      <c r="AI866" s="8" t="str">
        <v>2026-09-16 至 2026-10-17</v>
      </c>
      <c r="AJ8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6" s="8" t="str">
        <v>2026-10-06 大促；2026-10-07 大促</v>
      </c>
      <c r="AL866" s="8" t="n">
        <v>3</v>
      </c>
      <c r="AM866" s="8" t="n">
        <v>0</v>
      </c>
      <c r="AN866" s="8" t="n">
        <v>30</v>
      </c>
      <c r="AO866" s="8" t="str">
        <v>B06 / 黑色镜面 / 13120</v>
      </c>
      <c r="AP866" s="11" t="n">
        <v>1.2247029157699902</v>
      </c>
      <c r="AQ866" s="11" t="n">
        <v>1.2247029157699902</v>
      </c>
      <c r="AR866" s="11" t="n">
        <v>1.1136940657346173</v>
      </c>
      <c r="AS866" s="11" t="n">
        <f>IF(AND(COUNT(I866:K866,AP866:AR866)=6,MIN(AP866:AR866)&gt;0),I866/7/AP866*0.5+J866/14/AQ866*0.3+K866/30/AR866*0.2,"")</f>
        <v>0.03545520787437152</v>
      </c>
      <c r="AT866" s="8" t="n">
        <v>6</v>
      </c>
      <c r="AU866" s="8" t="n">
        <v>0</v>
      </c>
      <c r="AV866" s="8" t="n">
        <v>88</v>
      </c>
      <c r="AW866" s="11" t="n">
        <f>IF(AND(COUNT(AT866:AV866)=3,AT866&gt;=AU866,AU866&gt;=0,AV866&gt;0),(AT866-AU866)/AV866,"")</f>
        <v>0.06818181818181818</v>
      </c>
      <c r="AX866" s="8" t="n">
        <v>8</v>
      </c>
      <c r="AY866" s="8" t="n">
        <v>0</v>
      </c>
      <c r="AZ866" s="8" t="n">
        <v>178</v>
      </c>
      <c r="BA866" s="11" t="n">
        <f>IF(AND(COUNT(AX866:AZ866)=3,AX866&gt;=AY866,AY866&gt;=0,AZ866&gt;0),(AX866-AY866)/AZ866,"")</f>
        <v>0.0449438202247191</v>
      </c>
      <c r="BB866" s="8" t="n">
        <f>IF(COUNT(AS866,AW866,BA866)=3,1,0)</f>
        <v>1</v>
      </c>
      <c r="BC866" s="11" t="n">
        <f>IF(SUMIF($AO$11:$AO$1309,AO866,$BB$11:$BB$1309)=COUNTIF($AO$11:$AO$1309,AO866),SUMIF($AO$11:$AO$1309,AO866,$AS$11:$AS$1309),"")</f>
        <v>0.3114994469321209</v>
      </c>
      <c r="BD866" s="11" t="n">
        <f>IF(SUMIF($AO$11:$AO$1309,AO866,$BB$11:$BB$1309)=COUNTIF($AO$11:$AO$1309,AO866),SUMIF($AO$11:$AO$1309,AO866,$AW$11:$AW$1309),"")</f>
        <v>0.535135841170324</v>
      </c>
      <c r="BE866" s="11" t="n">
        <f>IF(SUMIF($AO$11:$AO$1309,AO866,$BB$11:$BB$1309)=COUNTIF($AO$11:$AO$1309,AO866),SUMIF($AO$11:$AO$1309,AO866,$BA$11:$BA$1309),"")</f>
        <v>0.427764144698062</v>
      </c>
      <c r="BF866" s="12" t="n">
        <f>IF(COUNT(BD866:BE866)&lt;&gt;2,"",IF(AND(BD866&gt;0,BE866&gt;0),0.7*AW866/BD866+0.3*BA866/BE866,IF(BD866&gt;0,AW866/BD866,IF(BE866&gt;0,BA866/BE866,IF(AND(ISNUMBER(BH866),BH866=0),0,"")))))</f>
        <v>0.12070725743808194</v>
      </c>
      <c r="BG866" s="11" t="n">
        <f>IF(AND(COUNT(BN866:BU866)=8,MIN(BN866:BU866)&gt;=0),SUMPRODUCT(BN866:BQ866,BR866:BU866),"")</f>
        <v>73.80791239847399</v>
      </c>
      <c r="BH866" s="11" t="n">
        <f>IF(COUNT(BC866,BG866)=2,BC866*BG866,"")</f>
        <v>22.991123891339075</v>
      </c>
      <c r="BI866" s="11" t="n">
        <f>IF(ISNUMBER(CI866),CI866,"")</f>
        <v>2.7751955103427024</v>
      </c>
      <c r="BJ866" s="8" t="str">
        <v>低销提醒依据不完整</v>
      </c>
      <c r="BK866" s="8" t="str">
        <v>90天：2026-07-20 至 2026-10-17；180天：2026-04-21 至 2026-10-17</v>
      </c>
      <c r="BL866" s="8" t="str">
        <v>90天：2026-10-06、2026-10-07；180天：2026-10-06、2026-10-07</v>
      </c>
      <c r="BM866" s="8" t="str">
        <v>2026-10：12天 × 1.2247029157699902；2026-11：30天 × 0.8332682139098497；2026-12：31天 × 0.5511018253564084；2027-01：17天 × 1.0017220238758797</v>
      </c>
      <c r="BN866" s="11" t="n">
        <v>1.2247029157699902</v>
      </c>
      <c r="BO866" s="11" t="n">
        <v>0.8332682139098497</v>
      </c>
      <c r="BP866" s="11" t="n">
        <v>0.5511018253564084</v>
      </c>
      <c r="BQ866" s="11" t="n">
        <v>1.0017220238758797</v>
      </c>
      <c r="BR866" s="8" t="n">
        <v>12</v>
      </c>
      <c r="BS866" s="8" t="n">
        <v>30</v>
      </c>
      <c r="BT866" s="8" t="n">
        <v>31</v>
      </c>
      <c r="BU866" s="8" t="n">
        <v>17</v>
      </c>
      <c r="BV866" s="11" t="n">
        <f>IF(COUNT(BC866,BF866)=2,BC866*BF866,"")</f>
        <v>0.03760024393265566</v>
      </c>
      <c r="BW866" s="11" t="n">
        <f>IF(ISNUMBER(BN866),BN866,"")</f>
        <v>1.2247029157699902</v>
      </c>
      <c r="BX866" s="14" t="n">
        <f>IF(ISNUMBER(BR866),BR866,"")</f>
        <v>12</v>
      </c>
      <c r="BY866" s="13" t="n">
        <f>IF(AND(COUNT(BV866,BW866,BX866)=3,MIN(BV866,BW866,BX866)&gt;=0),BV866*BW866*BX866,"")</f>
        <v>0.5525895405358352</v>
      </c>
      <c r="BZ866" s="11" t="n">
        <f>IF(ISNUMBER(BO866),BO866,"")</f>
        <v>0.8332682139098497</v>
      </c>
      <c r="CA866" s="14" t="n">
        <f>IF(ISNUMBER(BS866),BS866,"")</f>
        <v>30</v>
      </c>
      <c r="CB866" s="13" t="n">
        <f>IF(AND(COUNT(BV866,BZ866,CA866)=3,MIN(BV866,BZ866,CA866)&gt;=0),BV866*BZ866*CA866,"")</f>
        <v>0.9399326431301595</v>
      </c>
      <c r="CC866" s="11" t="n">
        <f>IF(ISNUMBER(BP866),BP866,"")</f>
        <v>0.5511018253564084</v>
      </c>
      <c r="CD866" s="14" t="n">
        <f>IF(ISNUMBER(BT866),BT866,"")</f>
        <v>31</v>
      </c>
      <c r="CE866" s="13" t="n">
        <f>IF(AND(COUNT(BV866,CC866,CD866)=3,MIN(BV866,CC866,CD866)&gt;=0),BV866*CC866*CD866,"")</f>
        <v>0.6423684550191154</v>
      </c>
      <c r="CF866" s="11" t="n">
        <f>IF(ISNUMBER(BQ866),BQ866,"")</f>
        <v>1.0017220238758797</v>
      </c>
      <c r="CG866" s="14" t="n">
        <f>IF(ISNUMBER(BU866),BU866,"")</f>
        <v>17</v>
      </c>
      <c r="CH866" s="13" t="n">
        <f>IF(AND(COUNT(BV866,CF866,CG866)=3,MIN(BV866,CF866,CG866)&gt;=0),BV866*CF866*CG866,"")</f>
        <v>0.6403048716575921</v>
      </c>
      <c r="CI866" s="13" t="n">
        <f>IF(COUNT(BY866,CB866,CE866,CH866)=4,SUM(BY866,CB866,CE866,CH866),"")</f>
        <v>2.7751955103427024</v>
      </c>
    </row>
    <row r="867" ht="72" customHeight="1">
      <c r="A867" s="16" t="str">
        <v>B06-BP-39</v>
      </c>
      <c r="B867" s="16" t="str">
        <v>1店-MUSSHOE-US</v>
      </c>
      <c r="C867" s="16" t="str">
        <v>艾年</v>
      </c>
      <c r="D867" s="26" t="n">
        <f>IF(NOT(ISNUMBER(E867)),"",IF(OR(E867&lt;=0,L867=0),0,IF(OR(NOT(ISNUMBER(F867)),F867&lt;0),"",MIN(E867,INT(F867)))))</f>
        <v>0</v>
      </c>
      <c r="E867" s="27" t="n">
        <f>IF(OR(NOT(ISNUMBER(L867)),COUNT(M867:O867)&lt;&gt;3,MIN(M867:O867)&lt;0),"",ROUNDUP(ROUND(BI867-SUM(M867:O867),10),0))</f>
        <v>-1</v>
      </c>
      <c r="F867" s="28" t="n">
        <v>0</v>
      </c>
      <c r="G867" s="28" t="n">
        <f>IF(AND(ISNUMBER(D867),ISNUMBER(E867)),IF(OR(E867&lt;=0,L867=0),0,E867-D867),"")</f>
        <v>0</v>
      </c>
      <c r="H867" s="16" t="str">
        <f>IF(NOT(ISNUMBER(E867)),"销量或海外库存待补",IF(OR(E867&lt;=0,L867=0),IF(L867=0,"零日销，本批不发","本批无需补货"),IF(NOT(ISNUMBER(D867)),"国内库存待补",IF(D867=0,"国内无可用库存",IF(G867&gt;0,"先发国内现货","按建议量发货")))))</f>
        <v>本批无需补货</v>
      </c>
      <c r="I867" s="28" t="n">
        <f>IF(AND(COUNT(Z867,AA867,AB867)=3,Z867&gt;=AA867,AA867&gt;=0,AB867=7),Z867-AA867,"")</f>
        <v>0</v>
      </c>
      <c r="J867" s="28" t="n">
        <f>IF(AND(COUNT(AF867,AG867,AH867)=3,AF867&gt;=AG867,AG867&gt;=0,AH867=14),AF867-AG867,"")</f>
        <v>0</v>
      </c>
      <c r="K867" s="28" t="n">
        <f>IF(AND(COUNT(AL867,AM867,AN867)=3,AL867&gt;=AM867,AM867&gt;=0,AN867=30),AL867-AM867,"")</f>
        <v>3</v>
      </c>
      <c r="L867" s="29" t="n">
        <f>IF(ISNUMBER(BI867),BI867/90,"")</f>
        <v>0.06848776532346891</v>
      </c>
      <c r="M867" s="28" t="n">
        <v>7</v>
      </c>
      <c r="N867" s="28" t="n">
        <v>0</v>
      </c>
      <c r="O867" s="28" t="n">
        <v>0</v>
      </c>
      <c r="P867" s="30" t="n">
        <f>IF(AND(ISNUMBER(L867),L867&gt;0,COUNT(M867:O867)=3,MIN(M867:O867)&gt;=0),SUM(M867:O867)/L867,"")</f>
        <v>102.208036237405</v>
      </c>
      <c r="Q867" s="16" t="str">
        <v>沿用原计划SKU店铺</v>
      </c>
      <c r="R867" s="16" t="str">
        <v>已匹配</v>
      </c>
      <c r="S867" s="16" t="str">
        <v>在售</v>
      </c>
      <c r="T867" s="16" t="str">
        <v>B06</v>
      </c>
      <c r="U867" s="16" t="str">
        <v>黑色镜面</v>
      </c>
      <c r="V867" s="16" t="n">
        <v>8</v>
      </c>
      <c r="W867" s="8" t="str">
        <v>2026-10-11 至 2026-10-17</v>
      </c>
      <c r="X867" s="8" t="str">
        <v>2026-10-11、2026-10-12、2026-10-13、2026-10-14、2026-10-15、2026-10-16、2026-10-17</v>
      </c>
      <c r="Y867" s="8" t="str">
        <v>无</v>
      </c>
      <c r="Z867" s="8" t="n">
        <v>0</v>
      </c>
      <c r="AA867" s="8" t="n">
        <v>0</v>
      </c>
      <c r="AB867" s="8" t="n">
        <v>7</v>
      </c>
      <c r="AC867" s="8" t="str">
        <v>2026-10-02 至 2026-10-17</v>
      </c>
      <c r="AD867" s="8" t="str">
        <v>2026-10-02、2026-10-03、2026-10-04、2026-10-05、2026-10-08、2026-10-09、2026-10-10、2026-10-11、2026-10-12、2026-10-13、2026-10-14、2026-10-15、2026-10-16、2026-10-17</v>
      </c>
      <c r="AE867" s="8" t="str">
        <v>2026-10-06 大促；2026-10-07 大促</v>
      </c>
      <c r="AF867" s="8" t="n">
        <v>1</v>
      </c>
      <c r="AG867" s="8" t="n">
        <v>1</v>
      </c>
      <c r="AH867" s="8" t="n">
        <v>14</v>
      </c>
      <c r="AI867" s="8" t="str">
        <v>2026-09-16 至 2026-10-17</v>
      </c>
      <c r="AJ8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7" s="8" t="str">
        <v>2026-10-06 大促；2026-10-07 大促</v>
      </c>
      <c r="AL867" s="8" t="n">
        <v>4</v>
      </c>
      <c r="AM867" s="8" t="n">
        <v>1</v>
      </c>
      <c r="AN867" s="8" t="n">
        <v>30</v>
      </c>
      <c r="AO867" s="8" t="str">
        <v>B06 / 黑色镜面 / 13120</v>
      </c>
      <c r="AP867" s="11" t="n">
        <v>1.2247029157699902</v>
      </c>
      <c r="AQ867" s="11" t="n">
        <v>1.2247029157699902</v>
      </c>
      <c r="AR867" s="11" t="n">
        <v>1.1136940657346173</v>
      </c>
      <c r="AS867" s="11" t="n">
        <f>IF(AND(COUNT(I867:K867,AP867:AR867)=6,MIN(AP867:AR867)&gt;0),I867/7/AP867*0.5+J867/14/AQ867*0.3+K867/30/AR867*0.2,"")</f>
        <v>0.0179582531822216</v>
      </c>
      <c r="AT867" s="8" t="n">
        <v>14</v>
      </c>
      <c r="AU867" s="8" t="n">
        <v>1</v>
      </c>
      <c r="AV867" s="8" t="n">
        <v>88</v>
      </c>
      <c r="AW867" s="11" t="n">
        <f>IF(AND(COUNT(AT867:AV867)=3,AT867&gt;=AU867,AU867&gt;=0,AV867&gt;0),(AT867-AU867)/AV867,"")</f>
        <v>0.14772727272727273</v>
      </c>
      <c r="AX867" s="8" t="n">
        <v>20</v>
      </c>
      <c r="AY867" s="8" t="n">
        <v>1</v>
      </c>
      <c r="AZ867" s="8" t="n">
        <v>178</v>
      </c>
      <c r="BA867" s="11" t="n">
        <f>IF(AND(COUNT(AX867:AZ867)=3,AX867&gt;=AY867,AY867&gt;=0,AZ867&gt;0),(AX867-AY867)/AZ867,"")</f>
        <v>0.10674157303370786</v>
      </c>
      <c r="BB867" s="8" t="n">
        <f>IF(COUNT(AS867,AW867,BA867)=3,1,0)</f>
        <v>1</v>
      </c>
      <c r="BC867" s="11" t="n">
        <f>IF(SUMIF($AO$11:$AO$1309,AO867,$BB$11:$BB$1309)=COUNTIF($AO$11:$AO$1309,AO867),SUMIF($AO$11:$AO$1309,AO867,$AS$11:$AS$1309),"")</f>
        <v>0.3114994469321209</v>
      </c>
      <c r="BD867" s="11" t="n">
        <f>IF(SUMIF($AO$11:$AO$1309,AO867,$BB$11:$BB$1309)=COUNTIF($AO$11:$AO$1309,AO867),SUMIF($AO$11:$AO$1309,AO867,$AW$11:$AW$1309),"")</f>
        <v>0.535135841170324</v>
      </c>
      <c r="BE867" s="11" t="n">
        <f>IF(SUMIF($AO$11:$AO$1309,AO867,$BB$11:$BB$1309)=COUNTIF($AO$11:$AO$1309,AO867),SUMIF($AO$11:$AO$1309,AO867,$BA$11:$BA$1309),"")</f>
        <v>0.427764144698062</v>
      </c>
      <c r="BF867" s="12" t="n">
        <f>IF(COUNT(BD867:BE867)&lt;&gt;2,"",IF(AND(BD867&gt;0,BE867&gt;0),0.7*AW867/BD867+0.3*BA867/BE867,IF(BD867&gt;0,AW867/BD867,IF(BE867&gt;0,BA867/BE867,IF(AND(ISNUMBER(BH867),BH867=0),0,"")))))</f>
        <v>0.268099067633409</v>
      </c>
      <c r="BG867" s="11" t="n">
        <f>IF(AND(COUNT(BN867:BU867)=8,MIN(BN867:BU867)&gt;=0),SUMPRODUCT(BN867:BQ867,BR867:BU867),"")</f>
        <v>73.80791239847399</v>
      </c>
      <c r="BH867" s="11" t="n">
        <f>IF(COUNT(BC867,BG867)=2,BC867*BG867,"")</f>
        <v>22.991123891339075</v>
      </c>
      <c r="BI867" s="11" t="n">
        <f>IF(ISNUMBER(CI867),CI867,"")</f>
        <v>6.163898879112201</v>
      </c>
      <c r="BJ867" s="8" t="str">
        <v>低销提醒依据不完整</v>
      </c>
      <c r="BK867" s="8" t="str">
        <v>90天：2026-07-20 至 2026-10-17；180天：2026-04-21 至 2026-10-17</v>
      </c>
      <c r="BL867" s="8" t="str">
        <v>90天：2026-10-06、2026-10-07；180天：2026-10-06、2026-10-07</v>
      </c>
      <c r="BM867" s="8" t="str">
        <v>2026-10：12天 × 1.2247029157699902；2026-11：30天 × 0.8332682139098497；2026-12：31天 × 0.5511018253564084；2027-01：17天 × 1.0017220238758797</v>
      </c>
      <c r="BN867" s="11" t="n">
        <v>1.2247029157699902</v>
      </c>
      <c r="BO867" s="11" t="n">
        <v>0.8332682139098497</v>
      </c>
      <c r="BP867" s="11" t="n">
        <v>0.5511018253564084</v>
      </c>
      <c r="BQ867" s="11" t="n">
        <v>1.0017220238758797</v>
      </c>
      <c r="BR867" s="8" t="n">
        <v>12</v>
      </c>
      <c r="BS867" s="8" t="n">
        <v>30</v>
      </c>
      <c r="BT867" s="8" t="n">
        <v>31</v>
      </c>
      <c r="BU867" s="8" t="n">
        <v>17</v>
      </c>
      <c r="BV867" s="11" t="n">
        <f>IF(COUNT(BC867,BF867)=2,BC867*BF867,"")</f>
        <v>0.08351271129082419</v>
      </c>
      <c r="BW867" s="11" t="n">
        <f>IF(ISNUMBER(BN867),BN867,"")</f>
        <v>1.2247029157699902</v>
      </c>
      <c r="BX867" s="14" t="n">
        <f>IF(ISNUMBER(BR867),BR867,"")</f>
        <v>12</v>
      </c>
      <c r="BY867" s="13" t="n">
        <f>IF(AND(COUNT(BV867,BW867,BX867)=3,MIN(BV867,BW867,BX867)&gt;=0),BV867*BW867*BX867,"")</f>
        <v>1.2273391322607572</v>
      </c>
      <c r="BZ867" s="11" t="n">
        <f>IF(ISNUMBER(BO867),BO867,"")</f>
        <v>0.8332682139098497</v>
      </c>
      <c r="CA867" s="14" t="n">
        <f>IF(ISNUMBER(BS867),BS867,"")</f>
        <v>30</v>
      </c>
      <c r="CB867" s="13" t="n">
        <f>IF(AND(COUNT(BV867,BZ867,CA867)=3,MIN(BV867,BZ867,CA867)&gt;=0),BV867*BZ867*CA867,"")</f>
        <v>2.0876546332822206</v>
      </c>
      <c r="CC867" s="11" t="n">
        <f>IF(ISNUMBER(BP867),BP867,"")</f>
        <v>0.5511018253564084</v>
      </c>
      <c r="CD867" s="14" t="n">
        <f>IF(ISNUMBER(BT867),BT867,"")</f>
        <v>31</v>
      </c>
      <c r="CE867" s="13" t="n">
        <f>IF(AND(COUNT(BV867,CC867,CD867)=3,MIN(BV867,CC867,CD867)&gt;=0),BV867*CC867*CD867,"")</f>
        <v>1.4267442366179144</v>
      </c>
      <c r="CF867" s="11" t="n">
        <f>IF(ISNUMBER(BQ867),BQ867,"")</f>
        <v>1.0017220238758797</v>
      </c>
      <c r="CG867" s="14" t="n">
        <f>IF(ISNUMBER(BU867),BU867,"")</f>
        <v>17</v>
      </c>
      <c r="CH867" s="13" t="n">
        <f>IF(AND(COUNT(BV867,CF867,CG867)=3,MIN(BV867,CF867,CG867)&gt;=0),BV867*CF867*CG867,"")</f>
        <v>1.4221608769513094</v>
      </c>
      <c r="CI867" s="13" t="n">
        <f>IF(COUNT(BY867,CB867,CE867,CH867)=4,SUM(BY867,CB867,CE867,CH867),"")</f>
        <v>6.163898879112201</v>
      </c>
    </row>
    <row r="868" ht="72" customHeight="1">
      <c r="A868" s="16" t="str">
        <v>B06-BP-41</v>
      </c>
      <c r="B868" s="16" t="str">
        <v>1店-MUSSHOE-US</v>
      </c>
      <c r="C868" s="16" t="str">
        <v>艾年</v>
      </c>
      <c r="D868" s="26" t="n">
        <f>IF(NOT(ISNUMBER(E868)),"",IF(OR(E868&lt;=0,L868=0),0,IF(OR(NOT(ISNUMBER(F868)),F868&lt;0),"",MIN(E868,INT(F868)))))</f>
        <v>0</v>
      </c>
      <c r="E868" s="27" t="n">
        <f>IF(OR(NOT(ISNUMBER(L868)),COUNT(M868:O868)&lt;&gt;3,MIN(M868:O868)&lt;0),"",ROUNDUP(ROUND(BI868-SUM(M868:O868),10),0))</f>
        <v>-38</v>
      </c>
      <c r="F868" s="28"/>
      <c r="G868" s="28" t="n">
        <f>IF(AND(ISNUMBER(D868),ISNUMBER(E868)),IF(OR(E868&lt;=0,L868=0),0,E868-D868),"")</f>
        <v>0</v>
      </c>
      <c r="H868" s="16" t="str">
        <f>IF(NOT(ISNUMBER(E868)),"销量或海外库存待补",IF(OR(E868&lt;=0,L868=0),IF(L868=0,"零日销，本批不发","本批无需补货"),IF(NOT(ISNUMBER(D868)),"国内库存待补",IF(D868=0,"国内无可用库存",IF(G868&gt;0,"先发国内现货","按建议量发货")))))</f>
        <v>本批无需补货</v>
      </c>
      <c r="I868" s="28" t="n">
        <f>IF(AND(COUNT(Z868,AA868,AB868)=3,Z868&gt;=AA868,AA868&gt;=0,AB868=7),Z868-AA868,"")</f>
        <v>0</v>
      </c>
      <c r="J868" s="28" t="n">
        <f>IF(AND(COUNT(AF868,AG868,AH868)=3,AF868&gt;=AG868,AG868&gt;=0,AH868=14),AF868-AG868,"")</f>
        <v>1</v>
      </c>
      <c r="K868" s="28" t="n">
        <f>IF(AND(COUNT(AL868,AM868,AN868)=3,AL868&gt;=AM868,AM868&gt;=0,AN868=30),AL868-AM868,"")</f>
        <v>2</v>
      </c>
      <c r="L868" s="29" t="n">
        <f>IF(ISNUMBER(BI868),BI868/90,"")</f>
        <v>0.060893268293216146</v>
      </c>
      <c r="M868" s="28" t="n">
        <v>43</v>
      </c>
      <c r="N868" s="28" t="n">
        <v>0</v>
      </c>
      <c r="O868" s="28" t="n">
        <v>0</v>
      </c>
      <c r="P868" s="30" t="n">
        <f>IF(AND(ISNUMBER(L868),L868&gt;0,COUNT(M868:O868)=3,MIN(M868:O868)&gt;=0),SUM(M868:O868)/L868,"")</f>
        <v>706.1535898014928</v>
      </c>
      <c r="Q868" s="16" t="str">
        <v>沿用原计划SKU店铺</v>
      </c>
      <c r="R868" s="16" t="str">
        <v>未匹配</v>
      </c>
      <c r="S868" s="16" t="str">
        <v>在售</v>
      </c>
      <c r="T868" s="16" t="str">
        <v>B06</v>
      </c>
      <c r="U868" s="16" t="str">
        <v>黑色镜面</v>
      </c>
      <c r="V868" s="16" t="n">
        <v>10</v>
      </c>
      <c r="W868" s="8" t="str">
        <v>2026-10-11 至 2026-10-17</v>
      </c>
      <c r="X868" s="8" t="str">
        <v>2026-10-11、2026-10-12、2026-10-13、2026-10-14、2026-10-15、2026-10-16、2026-10-17</v>
      </c>
      <c r="Y868" s="8" t="str">
        <v>无</v>
      </c>
      <c r="Z868" s="8" t="n">
        <v>0</v>
      </c>
      <c r="AA868" s="8" t="n">
        <v>0</v>
      </c>
      <c r="AB868" s="8" t="n">
        <v>7</v>
      </c>
      <c r="AC868" s="8" t="str">
        <v>2026-10-02 至 2026-10-17</v>
      </c>
      <c r="AD868" s="8" t="str">
        <v>2026-10-02、2026-10-03、2026-10-04、2026-10-05、2026-10-08、2026-10-09、2026-10-10、2026-10-11、2026-10-12、2026-10-13、2026-10-14、2026-10-15、2026-10-16、2026-10-17</v>
      </c>
      <c r="AE868" s="8" t="str">
        <v>2026-10-06 大促；2026-10-07 大促</v>
      </c>
      <c r="AF868" s="8" t="n">
        <v>2</v>
      </c>
      <c r="AG868" s="8" t="n">
        <v>1</v>
      </c>
      <c r="AH868" s="8" t="n">
        <v>14</v>
      </c>
      <c r="AI868" s="8" t="str">
        <v>2026-09-16 至 2026-10-17</v>
      </c>
      <c r="AJ8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68" s="8" t="str">
        <v>2026-10-06 大促；2026-10-07 大促</v>
      </c>
      <c r="AL868" s="8" t="n">
        <v>3</v>
      </c>
      <c r="AM868" s="8" t="n">
        <v>1</v>
      </c>
      <c r="AN868" s="8" t="n">
        <v>30</v>
      </c>
      <c r="AO868" s="8" t="str">
        <v>B06 / 黑色镜面 / 13120</v>
      </c>
      <c r="AP868" s="11" t="n">
        <v>1.2247029157699902</v>
      </c>
      <c r="AQ868" s="11" t="n">
        <v>1.2247029157699902</v>
      </c>
      <c r="AR868" s="11" t="n">
        <v>1.1136940657346173</v>
      </c>
      <c r="AS868" s="11" t="n">
        <f>IF(AND(COUNT(I868:K868,AP868:AR868)=6,MIN(AP868:AR868)&gt;0),I868/7/AP868*0.5+J868/14/AQ868*0.3+K868/30/AR868*0.2,"")</f>
        <v>0.02946912348029766</v>
      </c>
      <c r="AT868" s="8" t="n">
        <v>12</v>
      </c>
      <c r="AU868" s="8" t="n">
        <v>1</v>
      </c>
      <c r="AV868" s="8" t="n">
        <v>88</v>
      </c>
      <c r="AW868" s="11" t="n">
        <f>IF(AND(COUNT(AT868:AV868)=3,AT868&gt;=AU868,AU868&gt;=0,AV868&gt;0),(AT868-AU868)/AV868,"")</f>
        <v>0.125</v>
      </c>
      <c r="AX868" s="8" t="n">
        <v>20</v>
      </c>
      <c r="AY868" s="8" t="n">
        <v>1</v>
      </c>
      <c r="AZ868" s="8" t="n">
        <v>178</v>
      </c>
      <c r="BA868" s="11" t="n">
        <f>IF(AND(COUNT(AX868:AZ868)=3,AX868&gt;=AY868,AY868&gt;=0,AZ868&gt;0),(AX868-AY868)/AZ868,"")</f>
        <v>0.10674157303370786</v>
      </c>
      <c r="BB868" s="8" t="n">
        <f>IF(COUNT(AS868,AW868,BA868)=3,1,0)</f>
        <v>1</v>
      </c>
      <c r="BC868" s="11" t="n">
        <f>IF(SUMIF($AO$11:$AO$1309,AO868,$BB$11:$BB$1309)=COUNTIF($AO$11:$AO$1309,AO868),SUMIF($AO$11:$AO$1309,AO868,$AS$11:$AS$1309),"")</f>
        <v>0.3114994469321209</v>
      </c>
      <c r="BD868" s="11" t="n">
        <f>IF(SUMIF($AO$11:$AO$1309,AO868,$BB$11:$BB$1309)=COUNTIF($AO$11:$AO$1309,AO868),SUMIF($AO$11:$AO$1309,AO868,$AW$11:$AW$1309),"")</f>
        <v>0.535135841170324</v>
      </c>
      <c r="BE868" s="11" t="n">
        <f>IF(SUMIF($AO$11:$AO$1309,AO868,$BB$11:$BB$1309)=COUNTIF($AO$11:$AO$1309,AO868),SUMIF($AO$11:$AO$1309,AO868,$BA$11:$BA$1309),"")</f>
        <v>0.427764144698062</v>
      </c>
      <c r="BF868" s="12" t="n">
        <f>IF(COUNT(BD868:BE868)&lt;&gt;2,"",IF(AND(BD868&gt;0,BE868&gt;0),0.7*AW868/BD868+0.3*BA868/BE868,IF(BD868&gt;0,AW868/BD868,IF(BE868&gt;0,BA868/BE868,IF(AND(ISNUMBER(BH868),BH868=0),0,"")))))</f>
        <v>0.238369997582152</v>
      </c>
      <c r="BG868" s="11" t="n">
        <f>IF(AND(COUNT(BN868:BU868)=8,MIN(BN868:BU868)&gt;=0),SUMPRODUCT(BN868:BQ868,BR868:BU868),"")</f>
        <v>73.80791239847399</v>
      </c>
      <c r="BH868" s="11" t="n">
        <f>IF(COUNT(BC868,BG868)=2,BC868*BG868,"")</f>
        <v>22.991123891339075</v>
      </c>
      <c r="BI868" s="11" t="n">
        <f>IF(ISNUMBER(CI868),CI868,"")</f>
        <v>5.480394146389453</v>
      </c>
      <c r="BJ868" s="8" t="str">
        <v>低销提醒依据不完整</v>
      </c>
      <c r="BK868" s="8" t="str">
        <v>90天：2026-07-20 至 2026-10-17；180天：2026-04-21 至 2026-10-17</v>
      </c>
      <c r="BL868" s="8" t="str">
        <v>90天：2026-10-06、2026-10-07；180天：2026-10-06、2026-10-07</v>
      </c>
      <c r="BM868" s="8" t="str">
        <v>2026-10：12天 × 1.2247029157699902；2026-11：30天 × 0.8332682139098497；2026-12：31天 × 0.5511018253564084；2027-01：17天 × 1.0017220238758797</v>
      </c>
      <c r="BN868" s="11" t="n">
        <v>1.2247029157699902</v>
      </c>
      <c r="BO868" s="11" t="n">
        <v>0.8332682139098497</v>
      </c>
      <c r="BP868" s="11" t="n">
        <v>0.5511018253564084</v>
      </c>
      <c r="BQ868" s="11" t="n">
        <v>1.0017220238758797</v>
      </c>
      <c r="BR868" s="8" t="n">
        <v>12</v>
      </c>
      <c r="BS868" s="8" t="n">
        <v>30</v>
      </c>
      <c r="BT868" s="8" t="n">
        <v>31</v>
      </c>
      <c r="BU868" s="8" t="n">
        <v>17</v>
      </c>
      <c r="BV868" s="11" t="n">
        <f>IF(COUNT(BC868,BF868)=2,BC868*BF868,"")</f>
        <v>0.07425212241205134</v>
      </c>
      <c r="BW868" s="11" t="n">
        <f>IF(ISNUMBER(BN868),BN868,"")</f>
        <v>1.2247029157699902</v>
      </c>
      <c r="BX868" s="14" t="n">
        <f>IF(ISNUMBER(BR868),BR868,"")</f>
        <v>12</v>
      </c>
      <c r="BY868" s="13" t="n">
        <f>IF(AND(COUNT(BV868,BW868,BX868)=3,MIN(BV868,BW868,BX868)&gt;=0),BV868*BW868*BX868,"")</f>
        <v>1.0912414898417944</v>
      </c>
      <c r="BZ868" s="11" t="n">
        <f>IF(ISNUMBER(BO868),BO868,"")</f>
        <v>0.8332682139098497</v>
      </c>
      <c r="CA868" s="14" t="n">
        <f>IF(ISNUMBER(BS868),BS868,"")</f>
        <v>30</v>
      </c>
      <c r="CB868" s="13" t="n">
        <f>IF(AND(COUNT(BV868,BZ868,CA868)=3,MIN(BV868,BZ868,CA868)&gt;=0),BV868*BZ868*CA868,"")</f>
        <v>1.8561580026391662</v>
      </c>
      <c r="CC868" s="11" t="n">
        <f>IF(ISNUMBER(BP868),BP868,"")</f>
        <v>0.5511018253564084</v>
      </c>
      <c r="CD868" s="14" t="n">
        <f>IF(ISNUMBER(BT868),BT868,"")</f>
        <v>31</v>
      </c>
      <c r="CE868" s="13" t="n">
        <f>IF(AND(COUNT(BV868,CC868,CD868)=3,MIN(BV868,CC868,CD868)&gt;=0),BV868*CC868*CD868,"")</f>
        <v>1.2685348861339383</v>
      </c>
      <c r="CF868" s="11" t="n">
        <f>IF(ISNUMBER(BQ868),BQ868,"")</f>
        <v>1.0017220238758797</v>
      </c>
      <c r="CG868" s="14" t="n">
        <f>IF(ISNUMBER(BU868),BU868,"")</f>
        <v>17</v>
      </c>
      <c r="CH868" s="13" t="n">
        <f>IF(AND(COUNT(BV868,CF868,CG868)=3,MIN(BV868,CF868,CG868)&gt;=0),BV868*CF868*CG868,"")</f>
        <v>1.264459767774554</v>
      </c>
      <c r="CI868" s="13" t="n">
        <f>IF(COUNT(BY868,CB868,CE868,CH868)=4,SUM(BY868,CB868,CE868,CH868),"")</f>
        <v>5.480394146389453</v>
      </c>
    </row>
    <row r="869" ht="72" customHeight="1">
      <c r="A869" s="16" t="str">
        <v>B06-BP-42</v>
      </c>
      <c r="B869" s="16" t="str">
        <v>1店-MUSSHOE-US</v>
      </c>
      <c r="C869" s="16" t="str">
        <v>艾年</v>
      </c>
      <c r="D869" s="26" t="n">
        <f>IF(NOT(ISNUMBER(E869)),"",IF(OR(E869&lt;=0,L869=0),0,IF(OR(NOT(ISNUMBER(F869)),F869&lt;0),"",MIN(E869,INT(F869)))))</f>
        <v>0</v>
      </c>
      <c r="E869" s="27" t="n">
        <f>IF(OR(NOT(ISNUMBER(L869)),COUNT(M869:O869)&lt;&gt;3,MIN(M869:O869)&lt;0),"",ROUNDUP(ROUND(BI869-SUM(M869:O869),10),0))</f>
        <v>0</v>
      </c>
      <c r="F869" s="28"/>
      <c r="G869" s="28" t="n">
        <f>IF(AND(ISNUMBER(D869),ISNUMBER(E869)),IF(OR(E869&lt;=0,L869=0),0,E869-D869),"")</f>
        <v>0</v>
      </c>
      <c r="H869" s="16" t="str">
        <f>IF(NOT(ISNUMBER(E869)),"销量或海外库存待补",IF(OR(E869&lt;=0,L869=0),IF(L869=0,"零日销，本批不发","本批无需补货"),IF(NOT(ISNUMBER(D869)),"国内库存待补",IF(D869=0,"国内无可用库存",IF(G869&gt;0,"先发国内现货","按建议量发货")))))</f>
        <v>零日销，本批不发</v>
      </c>
      <c r="I869" s="28" t="n">
        <f>IF(AND(COUNT(Z869,AA869,AB869)=3,Z869&gt;=AA869,AA869&gt;=0,AB869=7),Z869-AA869,"")</f>
        <v>0</v>
      </c>
      <c r="J869" s="28" t="n">
        <f>IF(AND(COUNT(AF869,AG869,AH869)=3,AF869&gt;=AG869,AG869&gt;=0,AH869=14),AF869-AG869,"")</f>
        <v>0</v>
      </c>
      <c r="K869" s="28" t="n">
        <f>IF(AND(COUNT(AL869,AM869,AN869)=3,AL869&gt;=AM869,AM869&gt;=0,AN869=30),AL869-AM869,"")</f>
        <v>0</v>
      </c>
      <c r="L869" s="29" t="n">
        <f>IF(ISNUMBER(BI869),BI869/90,"")</f>
        <v>0</v>
      </c>
      <c r="M869" s="28" t="n">
        <v>0</v>
      </c>
      <c r="N869" s="28" t="n">
        <v>0</v>
      </c>
      <c r="O869" s="28" t="n">
        <v>0</v>
      </c>
      <c r="P869" s="30" t="str">
        <f>IF(AND(ISNUMBER(L869),L869&gt;0,COUNT(M869:O869)=3,MIN(M869:O869)&gt;=0),SUM(M869:O869)/L869,"")</f>
      </c>
      <c r="Q869" s="16" t="str">
        <v>沿用原计划SKU店铺</v>
      </c>
      <c r="R869" s="16" t="str">
        <v>未匹配</v>
      </c>
      <c r="S869" s="16" t="str">
        <v>停售</v>
      </c>
      <c r="T869" s="16" t="str">
        <v>B06</v>
      </c>
      <c r="U869" s="16" t="str">
        <v>黑色镜面</v>
      </c>
      <c r="V869" s="16" t="n">
        <v>11</v>
      </c>
      <c r="W869" s="8" t="str">
        <v>2026-10-08 至 2026-10-17</v>
      </c>
      <c r="X869" s="8" t="str">
        <v>2026-10-08、2026-10-09、2026-10-10、2026-10-11、2026-10-14、2026-10-15、2026-10-17</v>
      </c>
      <c r="Y869" s="8" t="str">
        <v>2026-10-12 有记录的停售日；2026-10-13 有记录的停售日；2026-10-16 有记录的停售日</v>
      </c>
      <c r="Z869" s="8" t="n">
        <v>0</v>
      </c>
      <c r="AA869" s="8" t="n">
        <v>0</v>
      </c>
      <c r="AB869" s="8" t="n">
        <v>7</v>
      </c>
      <c r="AC869" s="8" t="str">
        <v>2026-09-29 至 2026-10-17</v>
      </c>
      <c r="AD869" s="8" t="str">
        <v>2026-09-29、2026-09-30、2026-10-01、2026-10-02、2026-10-03、2026-10-04、2026-10-05、2026-10-08、2026-10-09、2026-10-10、2026-10-11、2026-10-14、2026-10-15、2026-10-17</v>
      </c>
      <c r="AE869" s="8" t="str">
        <v>2026-10-06 大促；2026-10-07 大促；2026-10-12 有记录的停售日；2026-10-13 有记录的停售日；2026-10-16 有记录的停售日</v>
      </c>
      <c r="AF869" s="8" t="n">
        <v>0</v>
      </c>
      <c r="AG869" s="8" t="n">
        <v>0</v>
      </c>
      <c r="AH869" s="8" t="n">
        <v>14</v>
      </c>
      <c r="AI869" s="8" t="str">
        <v>2026-09-13 至 2026-10-17</v>
      </c>
      <c r="AJ86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69" s="8" t="str">
        <v>2026-10-06 大促；2026-10-07 大促；2026-10-12 有记录的停售日；2026-10-13 有记录的停售日；2026-10-16 有记录的停售日</v>
      </c>
      <c r="AL869" s="8" t="n">
        <v>0</v>
      </c>
      <c r="AM869" s="8" t="n">
        <v>0</v>
      </c>
      <c r="AN869" s="8" t="n">
        <v>30</v>
      </c>
      <c r="AO869" s="8" t="str">
        <v>B06 / 黑色镜面 / 13120</v>
      </c>
      <c r="AP869" s="11" t="n">
        <v>1.2247029157699902</v>
      </c>
      <c r="AQ869" s="11" t="n">
        <v>1.1929861014741694</v>
      </c>
      <c r="AR869" s="11" t="n">
        <v>1.0914922957275428</v>
      </c>
      <c r="AS869" s="11" t="n">
        <f>IF(AND(COUNT(I869:K869,AP869:AR869)=6,MIN(AP869:AR869)&gt;0),I869/7/AP869*0.5+J869/14/AQ869*0.3+K869/30/AR869*0.2,"")</f>
        <v>0</v>
      </c>
      <c r="AT869" s="8" t="n">
        <v>0</v>
      </c>
      <c r="AU869" s="8" t="n">
        <v>0</v>
      </c>
      <c r="AV869" s="8" t="n">
        <v>85</v>
      </c>
      <c r="AW869" s="11" t="n">
        <f>IF(AND(COUNT(AT869:AV869)=3,AT869&gt;=AU869,AU869&gt;=0,AV869&gt;0),(AT869-AU869)/AV869,"")</f>
        <v>0</v>
      </c>
      <c r="AX869" s="8" t="n">
        <v>0</v>
      </c>
      <c r="AY869" s="8" t="n">
        <v>0</v>
      </c>
      <c r="AZ869" s="8" t="n">
        <v>175</v>
      </c>
      <c r="BA869" s="11" t="n">
        <f>IF(AND(COUNT(AX869:AZ869)=3,AX869&gt;=AY869,AY869&gt;=0,AZ869&gt;0),(AX869-AY869)/AZ869,"")</f>
        <v>0</v>
      </c>
      <c r="BB869" s="8" t="n">
        <f>IF(COUNT(AS869,AW869,BA869)=3,1,0)</f>
        <v>1</v>
      </c>
      <c r="BC869" s="11" t="n">
        <f>IF(SUMIF($AO$11:$AO$1309,AO869,$BB$11:$BB$1309)=COUNTIF($AO$11:$AO$1309,AO869),SUMIF($AO$11:$AO$1309,AO869,$AS$11:$AS$1309),"")</f>
        <v>0.3114994469321209</v>
      </c>
      <c r="BD869" s="11" t="n">
        <f>IF(SUMIF($AO$11:$AO$1309,AO869,$BB$11:$BB$1309)=COUNTIF($AO$11:$AO$1309,AO869),SUMIF($AO$11:$AO$1309,AO869,$AW$11:$AW$1309),"")</f>
        <v>0.535135841170324</v>
      </c>
      <c r="BE869" s="11" t="n">
        <f>IF(SUMIF($AO$11:$AO$1309,AO869,$BB$11:$BB$1309)=COUNTIF($AO$11:$AO$1309,AO869),SUMIF($AO$11:$AO$1309,AO869,$BA$11:$BA$1309),"")</f>
        <v>0.427764144698062</v>
      </c>
      <c r="BF869" s="12" t="n">
        <f>IF(COUNT(BD869:BE869)&lt;&gt;2,"",IF(AND(BD869&gt;0,BE869&gt;0),0.7*AW869/BD869+0.3*BA869/BE869,IF(BD869&gt;0,AW869/BD869,IF(BE869&gt;0,BA869/BE869,IF(AND(ISNUMBER(BH869),BH869=0),0,"")))))</f>
        <v>0</v>
      </c>
      <c r="BG869" s="11" t="n">
        <f>IF(AND(COUNT(BN869:BU869)=8,MIN(BN869:BU869)&gt;=0),SUMPRODUCT(BN869:BQ869,BR869:BU869),"")</f>
        <v>73.80791239847399</v>
      </c>
      <c r="BH869" s="11" t="n">
        <f>IF(COUNT(BC869,BG869)=2,BC869*BG869,"")</f>
        <v>22.991123891339075</v>
      </c>
      <c r="BI869" s="11" t="n">
        <f>IF(ISNUMBER(CI869),CI869,"")</f>
        <v>0</v>
      </c>
      <c r="BJ869" s="8" t="str">
        <v>低销提醒依据不完整</v>
      </c>
      <c r="BK869" s="8" t="str">
        <v>90天：2026-07-20 至 2026-10-17；180天：2026-04-21 至 2026-10-17</v>
      </c>
      <c r="BL869" s="8" t="str">
        <v>90天：2026-10-06、2026-10-07、2026-10-12、2026-10-13、2026-10-16；180天：2026-10-06、2026-10-07、2026-10-12、2026-10-13、2026-10-16</v>
      </c>
      <c r="BM869" s="8" t="str">
        <v>2026-10：12天 × 1.2247029157699902；2026-11：30天 × 0.8332682139098497；2026-12：31天 × 0.5511018253564084；2027-01：17天 × 1.0017220238758797</v>
      </c>
      <c r="BN869" s="11" t="n">
        <v>1.2247029157699902</v>
      </c>
      <c r="BO869" s="11" t="n">
        <v>0.8332682139098497</v>
      </c>
      <c r="BP869" s="11" t="n">
        <v>0.5511018253564084</v>
      </c>
      <c r="BQ869" s="11" t="n">
        <v>1.0017220238758797</v>
      </c>
      <c r="BR869" s="8" t="n">
        <v>12</v>
      </c>
      <c r="BS869" s="8" t="n">
        <v>30</v>
      </c>
      <c r="BT869" s="8" t="n">
        <v>31</v>
      </c>
      <c r="BU869" s="8" t="n">
        <v>17</v>
      </c>
      <c r="BV869" s="11" t="n">
        <f>IF(COUNT(BC869,BF869)=2,BC869*BF869,"")</f>
        <v>0</v>
      </c>
      <c r="BW869" s="11" t="n">
        <f>IF(ISNUMBER(BN869),BN869,"")</f>
        <v>1.2247029157699902</v>
      </c>
      <c r="BX869" s="14" t="n">
        <f>IF(ISNUMBER(BR869),BR869,"")</f>
        <v>12</v>
      </c>
      <c r="BY869" s="13" t="n">
        <f>IF(AND(COUNT(BV869,BW869,BX869)=3,MIN(BV869,BW869,BX869)&gt;=0),BV869*BW869*BX869,"")</f>
        <v>0</v>
      </c>
      <c r="BZ869" s="11" t="n">
        <f>IF(ISNUMBER(BO869),BO869,"")</f>
        <v>0.8332682139098497</v>
      </c>
      <c r="CA869" s="14" t="n">
        <f>IF(ISNUMBER(BS869),BS869,"")</f>
        <v>30</v>
      </c>
      <c r="CB869" s="13" t="n">
        <f>IF(AND(COUNT(BV869,BZ869,CA869)=3,MIN(BV869,BZ869,CA869)&gt;=0),BV869*BZ869*CA869,"")</f>
        <v>0</v>
      </c>
      <c r="CC869" s="11" t="n">
        <f>IF(ISNUMBER(BP869),BP869,"")</f>
        <v>0.5511018253564084</v>
      </c>
      <c r="CD869" s="14" t="n">
        <f>IF(ISNUMBER(BT869),BT869,"")</f>
        <v>31</v>
      </c>
      <c r="CE869" s="13" t="n">
        <f>IF(AND(COUNT(BV869,CC869,CD869)=3,MIN(BV869,CC869,CD869)&gt;=0),BV869*CC869*CD869,"")</f>
        <v>0</v>
      </c>
      <c r="CF869" s="11" t="n">
        <f>IF(ISNUMBER(BQ869),BQ869,"")</f>
        <v>1.0017220238758797</v>
      </c>
      <c r="CG869" s="14" t="n">
        <f>IF(ISNUMBER(BU869),BU869,"")</f>
        <v>17</v>
      </c>
      <c r="CH869" s="13" t="n">
        <f>IF(AND(COUNT(BV869,CF869,CG869)=3,MIN(BV869,CF869,CG869)&gt;=0),BV869*CF869*CG869,"")</f>
        <v>0</v>
      </c>
      <c r="CI869" s="13" t="n">
        <f>IF(COUNT(BY869,CB869,CE869,CH869)=4,SUM(BY869,CB869,CE869,CH869),"")</f>
        <v>0</v>
      </c>
    </row>
    <row r="870" ht="72" customHeight="1">
      <c r="A870" s="16" t="str">
        <v>B06-CFP-37</v>
      </c>
      <c r="B870" s="16" t="str">
        <v>1店-MUSSHOE-US</v>
      </c>
      <c r="C870" s="16" t="str">
        <v>艾年</v>
      </c>
      <c r="D870" s="26" t="n">
        <f>IF(NOT(ISNUMBER(E870)),"",IF(OR(E870&lt;=0,L870=0),0,IF(OR(NOT(ISNUMBER(F870)),F870&lt;0),"",MIN(E870,INT(F870)))))</f>
        <v>0</v>
      </c>
      <c r="E870" s="27" t="n">
        <f>IF(OR(NOT(ISNUMBER(L870)),COUNT(M870:O870)&lt;&gt;3,MIN(M870:O870)&lt;0),"",ROUNDUP(ROUND(BI870-SUM(M870:O870),10),0))</f>
        <v>-16</v>
      </c>
      <c r="F870" s="28" t="n">
        <v>0</v>
      </c>
      <c r="G870" s="28" t="n">
        <f>IF(AND(ISNUMBER(D870),ISNUMBER(E870)),IF(OR(E870&lt;=0,L870=0),0,E870-D870),"")</f>
        <v>0</v>
      </c>
      <c r="H870" s="16" t="str">
        <f>IF(NOT(ISNUMBER(E870)),"销量或海外库存待补",IF(OR(E870&lt;=0,L870=0),IF(L870=0,"零日销，本批不发","本批无需补货"),IF(NOT(ISNUMBER(D870)),"国内库存待补",IF(D870=0,"国内无可用库存",IF(G870&gt;0,"先发国内现货","按建议量发货")))))</f>
        <v>本批无需补货</v>
      </c>
      <c r="I870" s="28" t="n">
        <f>IF(AND(COUNT(Z870,AA870,AB870)=3,Z870&gt;=AA870,AA870&gt;=0,AB870=7),Z870-AA870,"")</f>
        <v>0</v>
      </c>
      <c r="J870" s="28" t="n">
        <f>IF(AND(COUNT(AF870,AG870,AH870)=3,AF870&gt;=AG870,AG870&gt;=0,AH870=14),AF870-AG870,"")</f>
        <v>0</v>
      </c>
      <c r="K870" s="28" t="n">
        <f>IF(AND(COUNT(AL870,AM870,AN870)=3,AL870&gt;=AM870,AM870&gt;=0,AN870=30),AL870-AM870,"")</f>
        <v>2</v>
      </c>
      <c r="L870" s="29" t="n">
        <f>IF(ISNUMBER(BI870),BI870/90,"")</f>
        <v>0.14548262805175538</v>
      </c>
      <c r="M870" s="28" t="n">
        <v>27</v>
      </c>
      <c r="N870" s="28" t="n">
        <v>0</v>
      </c>
      <c r="O870" s="28" t="n">
        <v>2</v>
      </c>
      <c r="P870" s="30" t="n">
        <f>IF(AND(ISNUMBER(L870),L870&gt;0,COUNT(M870:O870)=3,MIN(M870:O870)&gt;=0),SUM(M870:O870)/L870,"")</f>
        <v>199.33651452655408</v>
      </c>
      <c r="Q870" s="16" t="str">
        <v>沿用原计划SKU店铺</v>
      </c>
      <c r="R870" s="16" t="str">
        <v>已匹配</v>
      </c>
      <c r="S870" s="16" t="str">
        <v>在售</v>
      </c>
      <c r="T870" s="16" t="str">
        <v>B06</v>
      </c>
      <c r="U870" s="16" t="str">
        <v>咖色PU</v>
      </c>
      <c r="V870" s="16" t="n">
        <v>6</v>
      </c>
      <c r="W870" s="8" t="str">
        <v>2026-10-11 至 2026-10-17</v>
      </c>
      <c r="X870" s="8" t="str">
        <v>2026-10-11、2026-10-12、2026-10-13、2026-10-14、2026-10-15、2026-10-16、2026-10-17</v>
      </c>
      <c r="Y870" s="8" t="str">
        <v>无</v>
      </c>
      <c r="Z870" s="8" t="n">
        <v>0</v>
      </c>
      <c r="AA870" s="8" t="n">
        <v>0</v>
      </c>
      <c r="AB870" s="8" t="n">
        <v>7</v>
      </c>
      <c r="AC870" s="8" t="str">
        <v>2026-10-02 至 2026-10-17</v>
      </c>
      <c r="AD870" s="8" t="str">
        <v>2026-10-02、2026-10-03、2026-10-04、2026-10-05、2026-10-08、2026-10-09、2026-10-10、2026-10-11、2026-10-12、2026-10-13、2026-10-14、2026-10-15、2026-10-16、2026-10-17</v>
      </c>
      <c r="AE870" s="8" t="str">
        <v>2026-10-06 大促；2026-10-07 大促</v>
      </c>
      <c r="AF870" s="8" t="n">
        <v>0</v>
      </c>
      <c r="AG870" s="8" t="n">
        <v>0</v>
      </c>
      <c r="AH870" s="8" t="n">
        <v>14</v>
      </c>
      <c r="AI870" s="8" t="str">
        <v>2026-09-16 至 2026-10-17</v>
      </c>
      <c r="AJ8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0" s="8" t="str">
        <v>2026-10-06 大促；2026-10-07 大促</v>
      </c>
      <c r="AL870" s="8" t="n">
        <v>2</v>
      </c>
      <c r="AM870" s="8" t="n">
        <v>0</v>
      </c>
      <c r="AN870" s="8" t="n">
        <v>30</v>
      </c>
      <c r="AO870" s="8" t="str">
        <v>B06 / 咖色PU / 13120</v>
      </c>
      <c r="AP870" s="11" t="n">
        <v>1.2247029157699902</v>
      </c>
      <c r="AQ870" s="11" t="n">
        <v>1.2247029157699902</v>
      </c>
      <c r="AR870" s="11" t="n">
        <v>1.1136940657346173</v>
      </c>
      <c r="AS870" s="11" t="n">
        <f>IF(AND(COUNT(I870:K870,AP870:AR870)=6,MIN(AP870:AR870)&gt;0),I870/7/AP870*0.5+J870/14/AQ870*0.3+K870/30/AR870*0.2,"")</f>
        <v>0.011972168788147733</v>
      </c>
      <c r="AT870" s="8" t="n">
        <v>10</v>
      </c>
      <c r="AU870" s="8" t="n">
        <v>0</v>
      </c>
      <c r="AV870" s="8" t="n">
        <v>88</v>
      </c>
      <c r="AW870" s="11" t="n">
        <f>IF(AND(COUNT(AT870:AV870)=3,AT870&gt;=AU870,AU870&gt;=0,AV870&gt;0),(AT870-AU870)/AV870,"")</f>
        <v>0.11363636363636363</v>
      </c>
      <c r="AX870" s="8" t="n">
        <v>18</v>
      </c>
      <c r="AY870" s="8" t="n">
        <v>0</v>
      </c>
      <c r="AZ870" s="8" t="n">
        <v>178</v>
      </c>
      <c r="BA870" s="11" t="n">
        <f>IF(AND(COUNT(AX870:AZ870)=3,AX870&gt;=AY870,AY870&gt;=0,AZ870&gt;0),(AX870-AY870)/AZ870,"")</f>
        <v>0.10112359550561797</v>
      </c>
      <c r="BB870" s="8" t="n">
        <f>IF(COUNT(AS870,AW870,BA870)=3,1,0)</f>
        <v>1</v>
      </c>
      <c r="BC870" s="11" t="n">
        <f>IF(SUMIF($AO$11:$AO$1309,AO870,$BB$11:$BB$1309)=COUNTIF($AO$11:$AO$1309,AO870),SUMIF($AO$11:$AO$1309,AO870,$AS$11:$AS$1309),"")</f>
        <v>2.611458509464822</v>
      </c>
      <c r="BD870" s="11" t="n">
        <f>IF(SUMIF($AO$11:$AO$1309,AO870,$BB$11:$BB$1309)=COUNTIF($AO$11:$AO$1309,AO870),SUMIF($AO$11:$AO$1309,AO870,$AW$11:$AW$1309),"")</f>
        <v>1.6638477801268499</v>
      </c>
      <c r="BE870" s="11" t="n">
        <f>IF(SUMIF($AO$11:$AO$1309,AO870,$BB$11:$BB$1309)=COUNTIF($AO$11:$AO$1309,AO870),SUMIF($AO$11:$AO$1309,AO870,$BA$11:$BA$1309),"")</f>
        <v>1.5075970377936672</v>
      </c>
      <c r="BF870" s="12" t="n">
        <f>IF(COUNT(BD870:BE870)&lt;&gt;2,"",IF(AND(BD870&gt;0,BE870&gt;0),0.7*AW870/BD870+0.3*BA870/BE870,IF(BD870&gt;0,AW870/BD870,IF(BE870&gt;0,BA870/BE870,IF(AND(ISNUMBER(BH870),BH870=0),0,"")))))</f>
        <v>0.06793093545038055</v>
      </c>
      <c r="BG870" s="11" t="n">
        <f>IF(AND(COUNT(BN870:BU870)=8,MIN(BN870:BU870)&gt;=0),SUMPRODUCT(BN870:BQ870,BR870:BU870),"")</f>
        <v>73.80791239847399</v>
      </c>
      <c r="BH870" s="11" t="n">
        <f>IF(COUNT(BC870,BG870)=2,BC870*BG870,"")</f>
        <v>192.74630089882905</v>
      </c>
      <c r="BI870" s="11" t="n">
        <f>IF(ISNUMBER(CI870),CI870,"")</f>
        <v>13.093436524657983</v>
      </c>
      <c r="BJ870" s="8" t="str">
        <v>低销提醒依据不完整</v>
      </c>
      <c r="BK870" s="8" t="str">
        <v>90天：2026-07-20 至 2026-10-17；180天：2026-04-21 至 2026-10-17</v>
      </c>
      <c r="BL870" s="8" t="str">
        <v>90天：2026-10-06、2026-10-07；180天：2026-10-06、2026-10-07</v>
      </c>
      <c r="BM870" s="8" t="str">
        <v>2026-10：12天 × 1.2247029157699902；2026-11：30天 × 0.8332682139098497；2026-12：31天 × 0.5511018253564084；2027-01：17天 × 1.0017220238758797</v>
      </c>
      <c r="BN870" s="11" t="n">
        <v>1.2247029157699902</v>
      </c>
      <c r="BO870" s="11" t="n">
        <v>0.8332682139098497</v>
      </c>
      <c r="BP870" s="11" t="n">
        <v>0.5511018253564084</v>
      </c>
      <c r="BQ870" s="11" t="n">
        <v>1.0017220238758797</v>
      </c>
      <c r="BR870" s="8" t="n">
        <v>12</v>
      </c>
      <c r="BS870" s="8" t="n">
        <v>30</v>
      </c>
      <c r="BT870" s="8" t="n">
        <v>31</v>
      </c>
      <c r="BU870" s="8" t="n">
        <v>17</v>
      </c>
      <c r="BV870" s="11" t="n">
        <f>IF(COUNT(BC870,BF870)=2,BC870*BF870,"")</f>
        <v>0.17739881943780184</v>
      </c>
      <c r="BW870" s="11" t="n">
        <f>IF(ISNUMBER(BN870),BN870,"")</f>
        <v>1.2247029157699902</v>
      </c>
      <c r="BX870" s="14" t="n">
        <f>IF(ISNUMBER(BR870),BR870,"")</f>
        <v>12</v>
      </c>
      <c r="BY870" s="13" t="n">
        <f>IF(AND(COUNT(BV870,BW870,BX870)=3,MIN(BV870,BW870,BX870)&gt;=0),BV870*BW870*BX870,"")</f>
        <v>2.607130217035559</v>
      </c>
      <c r="BZ870" s="11" t="n">
        <f>IF(ISNUMBER(BO870),BO870,"")</f>
        <v>0.8332682139098497</v>
      </c>
      <c r="CA870" s="14" t="n">
        <f>IF(ISNUMBER(BS870),BS870,"")</f>
        <v>30</v>
      </c>
      <c r="CB870" s="13" t="n">
        <f>IF(AND(COUNT(BV870,BZ870,CA870)=3,MIN(BV870,BZ870,CA870)&gt;=0),BV870*BZ870*CA870,"")</f>
        <v>4.434623922679592</v>
      </c>
      <c r="CC870" s="11" t="n">
        <f>IF(ISNUMBER(BP870),BP870,"")</f>
        <v>0.5511018253564084</v>
      </c>
      <c r="CD870" s="14" t="n">
        <f>IF(ISNUMBER(BT870),BT870,"")</f>
        <v>31</v>
      </c>
      <c r="CE870" s="13" t="n">
        <f>IF(AND(COUNT(BV870,CC870,CD870)=3,MIN(BV870,CC870,CD870)&gt;=0),BV870*CC870*CD870,"")</f>
        <v>3.0307092094555794</v>
      </c>
      <c r="CF870" s="11" t="n">
        <f>IF(ISNUMBER(BQ870),BQ870,"")</f>
        <v>1.0017220238758797</v>
      </c>
      <c r="CG870" s="14" t="n">
        <f>IF(ISNUMBER(BU870),BU870,"")</f>
        <v>17</v>
      </c>
      <c r="CH870" s="13" t="n">
        <f>IF(AND(COUNT(BV870,CF870,CG870)=3,MIN(BV870,CF870,CG870)&gt;=0),BV870*CF870*CG870,"")</f>
        <v>3.0209731754872524</v>
      </c>
      <c r="CI870" s="13" t="n">
        <f>IF(COUNT(BY870,CB870,CE870,CH870)=4,SUM(BY870,CB870,CE870,CH870),"")</f>
        <v>13.093436524657983</v>
      </c>
    </row>
    <row r="871" ht="72" customHeight="1">
      <c r="A871" s="16" t="str">
        <v>B06-CFP-37.5</v>
      </c>
      <c r="B871" s="16" t="str">
        <v>1店-MUSSHOE-US</v>
      </c>
      <c r="C871" s="16" t="str">
        <v>艾年</v>
      </c>
      <c r="D871" s="26" t="n">
        <f>IF(NOT(ISNUMBER(E871)),"",IF(OR(E871&lt;=0,L871=0),0,IF(OR(NOT(ISNUMBER(F871)),F871&lt;0),"",MIN(E871,INT(F871)))))</f>
        <v>0</v>
      </c>
      <c r="E871" s="27" t="n">
        <f>IF(OR(NOT(ISNUMBER(L871)),COUNT(M871:O871)&lt;&gt;3,MIN(M871:O871)&lt;0),"",ROUNDUP(ROUND(BI871-SUM(M871:O871),10),0))</f>
        <v>-19</v>
      </c>
      <c r="F871" s="28" t="n">
        <v>0</v>
      </c>
      <c r="G871" s="28" t="n">
        <f>IF(AND(ISNUMBER(D871),ISNUMBER(E871)),IF(OR(E871&lt;=0,L871=0),0,E871-D871),"")</f>
        <v>0</v>
      </c>
      <c r="H871" s="16" t="str">
        <f>IF(NOT(ISNUMBER(E871)),"销量或海外库存待补",IF(OR(E871&lt;=0,L871=0),IF(L871=0,"零日销，本批不发","本批无需补货"),IF(NOT(ISNUMBER(D871)),"国内库存待补",IF(D871=0,"国内无可用库存",IF(G871&gt;0,"先发国内现货","按建议量发货")))))</f>
        <v>本批无需补货</v>
      </c>
      <c r="I871" s="28" t="n">
        <f>IF(AND(COUNT(Z871,AA871,AB871)=3,Z871&gt;=AA871,AA871&gt;=0,AB871=7),Z871-AA871,"")</f>
        <v>2</v>
      </c>
      <c r="J871" s="28" t="n">
        <f>IF(AND(COUNT(AF871,AG871,AH871)=3,AF871&gt;=AG871,AG871&gt;=0,AH871=14),AF871-AG871,"")</f>
        <v>2</v>
      </c>
      <c r="K871" s="28" t="n">
        <f>IF(AND(COUNT(AL871,AM871,AN871)=3,AL871&gt;=AM871,AM871&gt;=0,AN871=30),AL871-AM871,"")</f>
        <v>2</v>
      </c>
      <c r="L871" s="29" t="n">
        <f>IF(ISNUMBER(BI871),BI871/90,"")</f>
        <v>0.11237229763722059</v>
      </c>
      <c r="M871" s="28" t="n">
        <v>24</v>
      </c>
      <c r="N871" s="28" t="n">
        <v>0</v>
      </c>
      <c r="O871" s="28" t="n">
        <v>5</v>
      </c>
      <c r="P871" s="30" t="n">
        <f>IF(AND(ISNUMBER(L871),L871&gt;0,COUNT(M871:O871)=3,MIN(M871:O871)&gt;=0),SUM(M871:O871)/L871,"")</f>
        <v>258.0707221420598</v>
      </c>
      <c r="Q871" s="16" t="str">
        <v>沿用原计划SKU店铺</v>
      </c>
      <c r="R871" s="16" t="str">
        <v>已匹配</v>
      </c>
      <c r="S871" s="16" t="str">
        <v>在售</v>
      </c>
      <c r="T871" s="16" t="str">
        <v>B06</v>
      </c>
      <c r="U871" s="16" t="str">
        <v>咖色PU</v>
      </c>
      <c r="V871" s="16" t="n">
        <v>6.5</v>
      </c>
      <c r="W871" s="8" t="str">
        <v>2026-10-11 至 2026-10-17</v>
      </c>
      <c r="X871" s="8" t="str">
        <v>2026-10-11、2026-10-12、2026-10-13、2026-10-14、2026-10-15、2026-10-16、2026-10-17</v>
      </c>
      <c r="Y871" s="8" t="str">
        <v>无</v>
      </c>
      <c r="Z871" s="8" t="n">
        <v>2</v>
      </c>
      <c r="AA871" s="8" t="n">
        <v>0</v>
      </c>
      <c r="AB871" s="8" t="n">
        <v>7</v>
      </c>
      <c r="AC871" s="8" t="str">
        <v>2026-10-02 至 2026-10-17</v>
      </c>
      <c r="AD871" s="8" t="str">
        <v>2026-10-02、2026-10-03、2026-10-04、2026-10-05、2026-10-08、2026-10-09、2026-10-10、2026-10-11、2026-10-12、2026-10-13、2026-10-14、2026-10-15、2026-10-16、2026-10-17</v>
      </c>
      <c r="AE871" s="8" t="str">
        <v>2026-10-06 大促；2026-10-07 大促</v>
      </c>
      <c r="AF871" s="8" t="n">
        <v>2</v>
      </c>
      <c r="AG871" s="8" t="n">
        <v>0</v>
      </c>
      <c r="AH871" s="8" t="n">
        <v>14</v>
      </c>
      <c r="AI871" s="8" t="str">
        <v>2026-09-16 至 2026-10-17</v>
      </c>
      <c r="AJ8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1" s="8" t="str">
        <v>2026-10-06 大促；2026-10-07 大促</v>
      </c>
      <c r="AL871" s="8" t="n">
        <v>2</v>
      </c>
      <c r="AM871" s="8" t="n">
        <v>0</v>
      </c>
      <c r="AN871" s="8" t="n">
        <v>30</v>
      </c>
      <c r="AO871" s="8" t="str">
        <v>B06 / 咖色PU / 13120</v>
      </c>
      <c r="AP871" s="11" t="n">
        <v>1.2247029157699902</v>
      </c>
      <c r="AQ871" s="11" t="n">
        <v>1.2247029157699902</v>
      </c>
      <c r="AR871" s="11" t="n">
        <v>1.1136940657346173</v>
      </c>
      <c r="AS871" s="11" t="n">
        <f>IF(AND(COUNT(I871:K871,AP871:AR871)=6,MIN(AP871:AR871)&gt;0),I871/7/AP871*0.5+J871/14/AQ871*0.3+K871/30/AR871*0.2,"")</f>
        <v>0.16361244278678044</v>
      </c>
      <c r="AT871" s="8" t="n">
        <v>7</v>
      </c>
      <c r="AU871" s="8" t="n">
        <v>0</v>
      </c>
      <c r="AV871" s="8" t="n">
        <v>88</v>
      </c>
      <c r="AW871" s="11" t="n">
        <f>IF(AND(COUNT(AT871:AV871)=3,AT871&gt;=AU871,AU871&gt;=0,AV871&gt;0),(AT871-AU871)/AV871,"")</f>
        <v>0.07954545454545454</v>
      </c>
      <c r="AX871" s="8" t="n">
        <v>17</v>
      </c>
      <c r="AY871" s="8" t="n">
        <v>0</v>
      </c>
      <c r="AZ871" s="8" t="n">
        <v>178</v>
      </c>
      <c r="BA871" s="11" t="n">
        <f>IF(AND(COUNT(AX871:AZ871)=3,AX871&gt;=AY871,AY871&gt;=0,AZ871&gt;0),(AX871-AY871)/AZ871,"")</f>
        <v>0.09550561797752809</v>
      </c>
      <c r="BB871" s="8" t="n">
        <f>IF(COUNT(AS871,AW871,BA871)=3,1,0)</f>
        <v>1</v>
      </c>
      <c r="BC871" s="11" t="n">
        <f>IF(SUMIF($AO$11:$AO$1309,AO871,$BB$11:$BB$1309)=COUNTIF($AO$11:$AO$1309,AO871),SUMIF($AO$11:$AO$1309,AO871,$AS$11:$AS$1309),"")</f>
        <v>2.611458509464822</v>
      </c>
      <c r="BD871" s="11" t="n">
        <f>IF(SUMIF($AO$11:$AO$1309,AO871,$BB$11:$BB$1309)=COUNTIF($AO$11:$AO$1309,AO871),SUMIF($AO$11:$AO$1309,AO871,$AW$11:$AW$1309),"")</f>
        <v>1.6638477801268499</v>
      </c>
      <c r="BE871" s="11" t="n">
        <f>IF(SUMIF($AO$11:$AO$1309,AO871,$BB$11:$BB$1309)=COUNTIF($AO$11:$AO$1309,AO871),SUMIF($AO$11:$AO$1309,AO871,$BA$11:$BA$1309),"")</f>
        <v>1.5075970377936672</v>
      </c>
      <c r="BF871" s="12" t="n">
        <f>IF(COUNT(BD871:BE871)&lt;&gt;2,"",IF(AND(BD871&gt;0,BE871&gt;0),0.7*AW871/BD871+0.3*BA871/BE871,IF(BD871&gt;0,AW871/BD871,IF(BE871&gt;0,BA871/BE871,IF(AND(ISNUMBER(BH871),BH871=0),0,"")))))</f>
        <v>0.05247056228932948</v>
      </c>
      <c r="BG871" s="11" t="n">
        <f>IF(AND(COUNT(BN871:BU871)=8,MIN(BN871:BU871)&gt;=0),SUMPRODUCT(BN871:BQ871,BR871:BU871),"")</f>
        <v>73.80791239847399</v>
      </c>
      <c r="BH871" s="11" t="n">
        <f>IF(COUNT(BC871,BG871)=2,BC871*BG871,"")</f>
        <v>192.74630089882905</v>
      </c>
      <c r="BI871" s="11" t="n">
        <f>IF(ISNUMBER(CI871),CI871,"")</f>
        <v>10.113506787349854</v>
      </c>
      <c r="BJ871" s="8" t="str">
        <v>低销提醒依据不完整</v>
      </c>
      <c r="BK871" s="8" t="str">
        <v>90天：2026-07-20 至 2026-10-17；180天：2026-04-21 至 2026-10-17</v>
      </c>
      <c r="BL871" s="8" t="str">
        <v>90天：2026-10-06、2026-10-07；180天：2026-10-06、2026-10-07</v>
      </c>
      <c r="BM871" s="8" t="str">
        <v>2026-10：12天 × 1.2247029157699902；2026-11：30天 × 0.8332682139098497；2026-12：31天 × 0.5511018253564084；2027-01：17天 × 1.0017220238758797</v>
      </c>
      <c r="BN871" s="11" t="n">
        <v>1.2247029157699902</v>
      </c>
      <c r="BO871" s="11" t="n">
        <v>0.8332682139098497</v>
      </c>
      <c r="BP871" s="11" t="n">
        <v>0.5511018253564084</v>
      </c>
      <c r="BQ871" s="11" t="n">
        <v>1.0017220238758797</v>
      </c>
      <c r="BR871" s="8" t="n">
        <v>12</v>
      </c>
      <c r="BS871" s="8" t="n">
        <v>30</v>
      </c>
      <c r="BT871" s="8" t="n">
        <v>31</v>
      </c>
      <c r="BU871" s="8" t="n">
        <v>17</v>
      </c>
      <c r="BV871" s="11" t="n">
        <f>IF(COUNT(BC871,BF871)=2,BC871*BF871,"")</f>
        <v>0.13702469638687348</v>
      </c>
      <c r="BW871" s="11" t="n">
        <f>IF(ISNUMBER(BN871),BN871,"")</f>
        <v>1.2247029157699902</v>
      </c>
      <c r="BX871" s="14" t="n">
        <f>IF(ISNUMBER(BR871),BR871,"")</f>
        <v>12</v>
      </c>
      <c r="BY871" s="13" t="n">
        <f>IF(AND(COUNT(BV871,BW871,BX871)=3,MIN(BV871,BW871,BX871)&gt;=0),BV871*BW871*BX871,"")</f>
        <v>2.0137745423700193</v>
      </c>
      <c r="BZ871" s="11" t="n">
        <f>IF(ISNUMBER(BO871),BO871,"")</f>
        <v>0.8332682139098497</v>
      </c>
      <c r="CA871" s="14" t="n">
        <f>IF(ISNUMBER(BS871),BS871,"")</f>
        <v>30</v>
      </c>
      <c r="CB871" s="13" t="n">
        <f>IF(AND(COUNT(BV871,BZ871,CA871)=3,MIN(BV871,BZ871,CA871)&gt;=0),BV871*BZ871*CA871,"")</f>
        <v>3.425349720594885</v>
      </c>
      <c r="CC871" s="11" t="n">
        <f>IF(ISNUMBER(BP871),BP871,"")</f>
        <v>0.5511018253564084</v>
      </c>
      <c r="CD871" s="14" t="n">
        <f>IF(ISNUMBER(BT871),BT871,"")</f>
        <v>31</v>
      </c>
      <c r="CE871" s="13" t="n">
        <f>IF(AND(COUNT(BV871,CC871,CD871)=3,MIN(BV871,CC871,CD871)&gt;=0),BV871*CC871*CD871,"")</f>
        <v>2.3409513692291224</v>
      </c>
      <c r="CF871" s="11" t="n">
        <f>IF(ISNUMBER(BQ871),BQ871,"")</f>
        <v>1.0017220238758797</v>
      </c>
      <c r="CG871" s="14" t="n">
        <f>IF(ISNUMBER(BU871),BU871,"")</f>
        <v>17</v>
      </c>
      <c r="CH871" s="13" t="n">
        <f>IF(AND(COUNT(BV871,CF871,CG871)=3,MIN(BV871,CF871,CG871)&gt;=0),BV871*CF871*CG871,"")</f>
        <v>2.3334311551558264</v>
      </c>
      <c r="CI871" s="13" t="n">
        <f>IF(COUNT(BY871,CB871,CE871,CH871)=4,SUM(BY871,CB871,CE871,CH871),"")</f>
        <v>10.113506787349854</v>
      </c>
    </row>
    <row r="872" ht="72" customHeight="1">
      <c r="A872" s="16" t="str">
        <v>B06-CFP-38</v>
      </c>
      <c r="B872" s="16" t="str">
        <v>1店-MUSSHOE-US</v>
      </c>
      <c r="C872" s="16" t="str">
        <v>艾年</v>
      </c>
      <c r="D872" s="26" t="n">
        <f>IF(NOT(ISNUMBER(E872)),"",IF(OR(E872&lt;=0,L872=0),0,IF(OR(NOT(ISNUMBER(F872)),F872&lt;0),"",MIN(E872,INT(F872)))))</f>
        <v>0</v>
      </c>
      <c r="E872" s="27" t="n">
        <f>IF(OR(NOT(ISNUMBER(L872)),COUNT(M872:O872)&lt;&gt;3,MIN(M872:O872)&lt;0),"",ROUNDUP(ROUND(BI872-SUM(M872:O872),10),0))</f>
        <v>-43</v>
      </c>
      <c r="F872" s="28" t="n">
        <v>22</v>
      </c>
      <c r="G872" s="28" t="n">
        <f>IF(AND(ISNUMBER(D872),ISNUMBER(E872)),IF(OR(E872&lt;=0,L872=0),0,E872-D872),"")</f>
        <v>0</v>
      </c>
      <c r="H872" s="16" t="str">
        <f>IF(NOT(ISNUMBER(E872)),"销量或海外库存待补",IF(OR(E872&lt;=0,L872=0),IF(L872=0,"零日销，本批不发","本批无需补货"),IF(NOT(ISNUMBER(D872)),"国内库存待补",IF(D872=0,"国内无可用库存",IF(G872&gt;0,"先发国内现货","按建议量发货")))))</f>
        <v>本批无需补货</v>
      </c>
      <c r="I872" s="28" t="n">
        <f>IF(AND(COUNT(Z872,AA872,AB872)=3,Z872&gt;=AA872,AA872&gt;=0,AB872=7),Z872-AA872,"")</f>
        <v>5</v>
      </c>
      <c r="J872" s="28" t="n">
        <f>IF(AND(COUNT(AF872,AG872,AH872)=3,AF872&gt;=AG872,AG872&gt;=0,AH872=14),AF872-AG872,"")</f>
        <v>8</v>
      </c>
      <c r="K872" s="28" t="n">
        <f>IF(AND(COUNT(AL872,AM872,AN872)=3,AL872&gt;=AM872,AM872&gt;=0,AN872=30),AL872-AM872,"")</f>
        <v>9</v>
      </c>
      <c r="L872" s="29" t="n">
        <f>IF(ISNUMBER(BI872),BI872/90,"")</f>
        <v>0.2711497642978393</v>
      </c>
      <c r="M872" s="28" t="n">
        <v>20</v>
      </c>
      <c r="N872" s="28" t="n">
        <v>0</v>
      </c>
      <c r="O872" s="28" t="n">
        <v>47</v>
      </c>
      <c r="P872" s="30" t="n">
        <f>IF(AND(ISNUMBER(L872),L872&gt;0,COUNT(M872:O872)=3,MIN(M872:O872)&gt;=0),SUM(M872:O872)/L872,"")</f>
        <v>247.09591827786033</v>
      </c>
      <c r="Q872" s="16" t="str">
        <v>沿用原计划SKU店铺</v>
      </c>
      <c r="R872" s="16" t="str">
        <v>已匹配</v>
      </c>
      <c r="S872" s="16" t="str">
        <v>在售</v>
      </c>
      <c r="T872" s="16" t="str">
        <v>B06</v>
      </c>
      <c r="U872" s="16" t="str">
        <v>咖色PU</v>
      </c>
      <c r="V872" s="16" t="n">
        <v>7</v>
      </c>
      <c r="W872" s="8" t="str">
        <v>2026-10-11 至 2026-10-17</v>
      </c>
      <c r="X872" s="8" t="str">
        <v>2026-10-11、2026-10-12、2026-10-13、2026-10-14、2026-10-15、2026-10-16、2026-10-17</v>
      </c>
      <c r="Y872" s="8" t="str">
        <v>无</v>
      </c>
      <c r="Z872" s="8" t="n">
        <v>5</v>
      </c>
      <c r="AA872" s="8" t="n">
        <v>0</v>
      </c>
      <c r="AB872" s="8" t="n">
        <v>7</v>
      </c>
      <c r="AC872" s="8" t="str">
        <v>2026-10-02 至 2026-10-17</v>
      </c>
      <c r="AD872" s="8" t="str">
        <v>2026-10-02、2026-10-03、2026-10-04、2026-10-05、2026-10-08、2026-10-09、2026-10-10、2026-10-11、2026-10-12、2026-10-13、2026-10-14、2026-10-15、2026-10-16、2026-10-17</v>
      </c>
      <c r="AE872" s="8" t="str">
        <v>2026-10-06 大促；2026-10-07 大促</v>
      </c>
      <c r="AF872" s="8" t="n">
        <v>9</v>
      </c>
      <c r="AG872" s="8" t="n">
        <v>1</v>
      </c>
      <c r="AH872" s="8" t="n">
        <v>14</v>
      </c>
      <c r="AI872" s="8" t="str">
        <v>2026-09-16 至 2026-10-17</v>
      </c>
      <c r="AJ8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2" s="8" t="str">
        <v>2026-10-06 大促；2026-10-07 大促</v>
      </c>
      <c r="AL872" s="8" t="n">
        <v>10</v>
      </c>
      <c r="AM872" s="8" t="n">
        <v>1</v>
      </c>
      <c r="AN872" s="8" t="n">
        <v>30</v>
      </c>
      <c r="AO872" s="8" t="str">
        <v>B06 / 咖色PU / 13120</v>
      </c>
      <c r="AP872" s="11" t="n">
        <v>1.2247029157699902</v>
      </c>
      <c r="AQ872" s="11" t="n">
        <v>1.2247029157699902</v>
      </c>
      <c r="AR872" s="11" t="n">
        <v>1.1136940657346173</v>
      </c>
      <c r="AS872" s="11" t="n">
        <f>IF(AND(COUNT(I872:K872,AP872:AR872)=6,MIN(AP872:AR872)&gt;0),I872/7/AP872*0.5+J872/14/AQ872*0.3+K872/30/AR872*0.2,"")</f>
        <v>0.48546630861969636</v>
      </c>
      <c r="AT872" s="8" t="n">
        <v>20</v>
      </c>
      <c r="AU872" s="8" t="n">
        <v>1</v>
      </c>
      <c r="AV872" s="8" t="n">
        <v>88</v>
      </c>
      <c r="AW872" s="11" t="n">
        <f>IF(AND(COUNT(AT872:AV872)=3,AT872&gt;=AU872,AU872&gt;=0,AV872&gt;0),(AT872-AU872)/AV872,"")</f>
        <v>0.2159090909090909</v>
      </c>
      <c r="AX872" s="8" t="n">
        <v>33</v>
      </c>
      <c r="AY872" s="8" t="n">
        <v>1</v>
      </c>
      <c r="AZ872" s="8" t="n">
        <v>178</v>
      </c>
      <c r="BA872" s="11" t="n">
        <f>IF(AND(COUNT(AX872:AZ872)=3,AX872&gt;=AY872,AY872&gt;=0,AZ872&gt;0),(AX872-AY872)/AZ872,"")</f>
        <v>0.1797752808988764</v>
      </c>
      <c r="BB872" s="8" t="n">
        <f>IF(COUNT(AS872,AW872,BA872)=3,1,0)</f>
        <v>1</v>
      </c>
      <c r="BC872" s="11" t="n">
        <f>IF(SUMIF($AO$11:$AO$1309,AO872,$BB$11:$BB$1309)=COUNTIF($AO$11:$AO$1309,AO872),SUMIF($AO$11:$AO$1309,AO872,$AS$11:$AS$1309),"")</f>
        <v>2.611458509464822</v>
      </c>
      <c r="BD872" s="11" t="n">
        <f>IF(SUMIF($AO$11:$AO$1309,AO872,$BB$11:$BB$1309)=COUNTIF($AO$11:$AO$1309,AO872),SUMIF($AO$11:$AO$1309,AO872,$AW$11:$AW$1309),"")</f>
        <v>1.6638477801268499</v>
      </c>
      <c r="BE872" s="11" t="n">
        <f>IF(SUMIF($AO$11:$AO$1309,AO872,$BB$11:$BB$1309)=COUNTIF($AO$11:$AO$1309,AO872),SUMIF($AO$11:$AO$1309,AO872,$BA$11:$BA$1309),"")</f>
        <v>1.5075970377936672</v>
      </c>
      <c r="BF872" s="12" t="n">
        <f>IF(COUNT(BD872:BE872)&lt;&gt;2,"",IF(AND(BD872&gt;0,BE872&gt;0),0.7*AW872/BD872+0.3*BA872/BE872,IF(BD872&gt;0,AW872/BD872,IF(BE872&gt;0,BA872/BE872,IF(AND(ISNUMBER(BH872),BH872=0),0,"")))))</f>
        <v>0.1266093236186915</v>
      </c>
      <c r="BG872" s="11" t="n">
        <f>IF(AND(COUNT(BN872:BU872)=8,MIN(BN872:BU872)&gt;=0),SUMPRODUCT(BN872:BQ872,BR872:BU872),"")</f>
        <v>73.80791239847399</v>
      </c>
      <c r="BH872" s="11" t="n">
        <f>IF(COUNT(BC872,BG872)=2,BC872*BG872,"")</f>
        <v>192.74630089882905</v>
      </c>
      <c r="BI872" s="11" t="n">
        <f>IF(ISNUMBER(CI872),CI872,"")</f>
        <v>24.40347878680554</v>
      </c>
      <c r="BJ872" s="8" t="str">
        <v>低销提醒依据不完整</v>
      </c>
      <c r="BK872" s="8" t="str">
        <v>90天：2026-07-20 至 2026-10-17；180天：2026-04-21 至 2026-10-17</v>
      </c>
      <c r="BL872" s="8" t="str">
        <v>90天：2026-10-06、2026-10-07；180天：2026-10-06、2026-10-07</v>
      </c>
      <c r="BM872" s="8" t="str">
        <v>2026-10：12天 × 1.2247029157699902；2026-11：30天 × 0.8332682139098497；2026-12：31天 × 0.5511018253564084；2027-01：17天 × 1.0017220238758797</v>
      </c>
      <c r="BN872" s="11" t="n">
        <v>1.2247029157699902</v>
      </c>
      <c r="BO872" s="11" t="n">
        <v>0.8332682139098497</v>
      </c>
      <c r="BP872" s="11" t="n">
        <v>0.5511018253564084</v>
      </c>
      <c r="BQ872" s="11" t="n">
        <v>1.0017220238758797</v>
      </c>
      <c r="BR872" s="8" t="n">
        <v>12</v>
      </c>
      <c r="BS872" s="8" t="n">
        <v>30</v>
      </c>
      <c r="BT872" s="8" t="n">
        <v>31</v>
      </c>
      <c r="BU872" s="8" t="n">
        <v>17</v>
      </c>
      <c r="BV872" s="11" t="n">
        <f>IF(COUNT(BC872,BF872)=2,BC872*BF872,"")</f>
        <v>0.33063499554161746</v>
      </c>
      <c r="BW872" s="11" t="n">
        <f>IF(ISNUMBER(BN872),BN872,"")</f>
        <v>1.2247029157699902</v>
      </c>
      <c r="BX872" s="14" t="n">
        <f>IF(ISNUMBER(BR872),BR872,"")</f>
        <v>12</v>
      </c>
      <c r="BY872" s="13" t="n">
        <f>IF(AND(COUNT(BV872,BW872,BX872)=3,MIN(BV872,BW872,BX872)&gt;=0),BV872*BW872*BX872,"")</f>
        <v>4.859155717145</v>
      </c>
      <c r="BZ872" s="11" t="n">
        <f>IF(ISNUMBER(BO872),BO872,"")</f>
        <v>0.8332682139098497</v>
      </c>
      <c r="CA872" s="14" t="n">
        <f>IF(ISNUMBER(BS872),BS872,"")</f>
        <v>30</v>
      </c>
      <c r="CB872" s="13" t="n">
        <f>IF(AND(COUNT(BV872,BZ872,CA872)=3,MIN(BV872,BZ872,CA872)&gt;=0),BV872*BZ872*CA872,"")</f>
        <v>8.265228965731643</v>
      </c>
      <c r="CC872" s="11" t="n">
        <f>IF(ISNUMBER(BP872),BP872,"")</f>
        <v>0.5511018253564084</v>
      </c>
      <c r="CD872" s="14" t="n">
        <f>IF(ISNUMBER(BT872),BT872,"")</f>
        <v>31</v>
      </c>
      <c r="CE872" s="13" t="n">
        <f>IF(AND(COUNT(BV872,CC872,CD872)=3,MIN(BV872,CC872,CD872)&gt;=0),BV872*CC872*CD872,"")</f>
        <v>5.648620036660493</v>
      </c>
      <c r="CF872" s="11" t="n">
        <f>IF(ISNUMBER(BQ872),BQ872,"")</f>
        <v>1.0017220238758797</v>
      </c>
      <c r="CG872" s="14" t="n">
        <f>IF(ISNUMBER(BU872),BU872,"")</f>
        <v>17</v>
      </c>
      <c r="CH872" s="13" t="n">
        <f>IF(AND(COUNT(BV872,CF872,CG872)=3,MIN(BV872,CF872,CG872)&gt;=0),BV872*CF872*CG872,"")</f>
        <v>5.6304740672684055</v>
      </c>
      <c r="CI872" s="13" t="n">
        <f>IF(COUNT(BY872,CB872,CE872,CH872)=4,SUM(BY872,CB872,CE872,CH872),"")</f>
        <v>24.40347878680554</v>
      </c>
    </row>
    <row r="873" ht="72" customHeight="1">
      <c r="A873" s="16" t="str">
        <v>B06-CFP-38.5</v>
      </c>
      <c r="B873" s="16" t="str">
        <v>1店-MUSSHOE-US</v>
      </c>
      <c r="C873" s="16" t="str">
        <v>艾年</v>
      </c>
      <c r="D873" s="26" t="n">
        <f>IF(NOT(ISNUMBER(E873)),"",IF(OR(E873&lt;=0,L873=0),0,IF(OR(NOT(ISNUMBER(F873)),F873&lt;0),"",MIN(E873,INT(F873)))))</f>
        <v>0</v>
      </c>
      <c r="E873" s="27" t="n">
        <f>IF(OR(NOT(ISNUMBER(L873)),COUNT(M873:O873)&lt;&gt;3,MIN(M873:O873)&lt;0),"",ROUNDUP(ROUND(BI873-SUM(M873:O873),10),0))</f>
        <v>-14</v>
      </c>
      <c r="F873" s="28" t="n">
        <v>0</v>
      </c>
      <c r="G873" s="28" t="n">
        <f>IF(AND(ISNUMBER(D873),ISNUMBER(E873)),IF(OR(E873&lt;=0,L873=0),0,E873-D873),"")</f>
        <v>0</v>
      </c>
      <c r="H873" s="16" t="str">
        <f>IF(NOT(ISNUMBER(E873)),"销量或海外库存待补",IF(OR(E873&lt;=0,L873=0),IF(L873=0,"零日销，本批不发","本批无需补货"),IF(NOT(ISNUMBER(D873)),"国内库存待补",IF(D873=0,"国内无可用库存",IF(G873&gt;0,"先发国内现货","按建议量发货")))))</f>
        <v>本批无需补货</v>
      </c>
      <c r="I873" s="28" t="n">
        <f>IF(AND(COUNT(Z873,AA873,AB873)=3,Z873&gt;=AA873,AA873&gt;=0,AB873=7),Z873-AA873,"")</f>
        <v>3</v>
      </c>
      <c r="J873" s="28" t="n">
        <f>IF(AND(COUNT(AF873,AG873,AH873)=3,AF873&gt;=AG873,AG873&gt;=0,AH873=14),AF873-AG873,"")</f>
        <v>5</v>
      </c>
      <c r="K873" s="28" t="n">
        <f>IF(AND(COUNT(AL873,AM873,AN873)=3,AL873&gt;=AM873,AM873&gt;=0,AN873=30),AL873-AM873,"")</f>
        <v>10</v>
      </c>
      <c r="L873" s="29" t="n">
        <f>IF(ISNUMBER(BI873),BI873/90,"")</f>
        <v>0.298147841104187</v>
      </c>
      <c r="M873" s="28" t="n">
        <v>34</v>
      </c>
      <c r="N873" s="28" t="n">
        <v>0</v>
      </c>
      <c r="O873" s="28" t="n">
        <v>6</v>
      </c>
      <c r="P873" s="30" t="n">
        <f>IF(AND(ISNUMBER(L873),L873&gt;0,COUNT(M873:O873)=3,MIN(M873:O873)&gt;=0),SUM(M873:O873)/L873,"")</f>
        <v>134.1616288478242</v>
      </c>
      <c r="Q873" s="16" t="str">
        <v>沿用原计划SKU店铺</v>
      </c>
      <c r="R873" s="16" t="str">
        <v>已匹配</v>
      </c>
      <c r="S873" s="16" t="str">
        <v>在售</v>
      </c>
      <c r="T873" s="16" t="str">
        <v>B06</v>
      </c>
      <c r="U873" s="16" t="str">
        <v>咖色PU</v>
      </c>
      <c r="V873" s="16" t="n">
        <v>7.5</v>
      </c>
      <c r="W873" s="8" t="str">
        <v>2026-10-11 至 2026-10-17</v>
      </c>
      <c r="X873" s="8" t="str">
        <v>2026-10-11、2026-10-12、2026-10-13、2026-10-14、2026-10-15、2026-10-16、2026-10-17</v>
      </c>
      <c r="Y873" s="8" t="str">
        <v>无</v>
      </c>
      <c r="Z873" s="8" t="n">
        <v>3</v>
      </c>
      <c r="AA873" s="8" t="n">
        <v>0</v>
      </c>
      <c r="AB873" s="8" t="n">
        <v>7</v>
      </c>
      <c r="AC873" s="8" t="str">
        <v>2026-10-02 至 2026-10-17</v>
      </c>
      <c r="AD873" s="8" t="str">
        <v>2026-10-02、2026-10-03、2026-10-04、2026-10-05、2026-10-08、2026-10-09、2026-10-10、2026-10-11、2026-10-12、2026-10-13、2026-10-14、2026-10-15、2026-10-16、2026-10-17</v>
      </c>
      <c r="AE873" s="8" t="str">
        <v>2026-10-06 大促；2026-10-07 大促</v>
      </c>
      <c r="AF873" s="8" t="n">
        <v>5</v>
      </c>
      <c r="AG873" s="8" t="n">
        <v>0</v>
      </c>
      <c r="AH873" s="8" t="n">
        <v>14</v>
      </c>
      <c r="AI873" s="8" t="str">
        <v>2026-09-16 至 2026-10-17</v>
      </c>
      <c r="AJ8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3" s="8" t="str">
        <v>2026-10-06 大促；2026-10-07 大促</v>
      </c>
      <c r="AL873" s="8" t="n">
        <v>10</v>
      </c>
      <c r="AM873" s="8" t="n">
        <v>0</v>
      </c>
      <c r="AN873" s="8" t="n">
        <v>30</v>
      </c>
      <c r="AO873" s="8" t="str">
        <v>B06 / 咖色PU / 13120</v>
      </c>
      <c r="AP873" s="11" t="n">
        <v>1.2247029157699902</v>
      </c>
      <c r="AQ873" s="11" t="n">
        <v>1.2247029157699902</v>
      </c>
      <c r="AR873" s="11" t="n">
        <v>1.1136940657346173</v>
      </c>
      <c r="AS873" s="11" t="n">
        <f>IF(AND(COUNT(I873:K873,AP873:AR873)=6,MIN(AP873:AR873)&gt;0),I873/7/AP873*0.5+J873/14/AQ873*0.3+K873/30/AR873*0.2,"")</f>
        <v>0.32231516432298757</v>
      </c>
      <c r="AT873" s="8" t="n">
        <v>20</v>
      </c>
      <c r="AU873" s="8" t="n">
        <v>0</v>
      </c>
      <c r="AV873" s="8" t="n">
        <v>88</v>
      </c>
      <c r="AW873" s="11" t="n">
        <f>IF(AND(COUNT(AT873:AV873)=3,AT873&gt;=AU873,AU873&gt;=0,AV873&gt;0),(AT873-AU873)/AV873,"")</f>
        <v>0.22727272727272727</v>
      </c>
      <c r="AX873" s="8" t="n">
        <v>39</v>
      </c>
      <c r="AY873" s="8" t="n">
        <v>0</v>
      </c>
      <c r="AZ873" s="8" t="n">
        <v>178</v>
      </c>
      <c r="BA873" s="11" t="n">
        <f>IF(AND(COUNT(AX873:AZ873)=3,AX873&gt;=AY873,AY873&gt;=0,AZ873&gt;0),(AX873-AY873)/AZ873,"")</f>
        <v>0.21910112359550563</v>
      </c>
      <c r="BB873" s="8" t="n">
        <f>IF(COUNT(AS873,AW873,BA873)=3,1,0)</f>
        <v>1</v>
      </c>
      <c r="BC873" s="11" t="n">
        <f>IF(SUMIF($AO$11:$AO$1309,AO873,$BB$11:$BB$1309)=COUNTIF($AO$11:$AO$1309,AO873),SUMIF($AO$11:$AO$1309,AO873,$AS$11:$AS$1309),"")</f>
        <v>2.611458509464822</v>
      </c>
      <c r="BD873" s="11" t="n">
        <f>IF(SUMIF($AO$11:$AO$1309,AO873,$BB$11:$BB$1309)=COUNTIF($AO$11:$AO$1309,AO873),SUMIF($AO$11:$AO$1309,AO873,$AW$11:$AW$1309),"")</f>
        <v>1.6638477801268499</v>
      </c>
      <c r="BE873" s="11" t="n">
        <f>IF(SUMIF($AO$11:$AO$1309,AO873,$BB$11:$BB$1309)=COUNTIF($AO$11:$AO$1309,AO873),SUMIF($AO$11:$AO$1309,AO873,$BA$11:$BA$1309),"")</f>
        <v>1.5075970377936672</v>
      </c>
      <c r="BF873" s="12" t="n">
        <f>IF(COUNT(BD873:BE873)&lt;&gt;2,"",IF(AND(BD873&gt;0,BE873&gt;0),0.7*AW873/BD873+0.3*BA873/BE873,IF(BD873&gt;0,AW873/BD873,IF(BE873&gt;0,BA873/BE873,IF(AND(ISNUMBER(BH873),BH873=0),0,"")))))</f>
        <v>0.13921567145125868</v>
      </c>
      <c r="BG873" s="11" t="n">
        <f>IF(AND(COUNT(BN873:BU873)=8,MIN(BN873:BU873)&gt;=0),SUMPRODUCT(BN873:BQ873,BR873:BU873),"")</f>
        <v>73.80791239847399</v>
      </c>
      <c r="BH873" s="11" t="n">
        <f>IF(COUNT(BC873,BG873)=2,BC873*BG873,"")</f>
        <v>192.74630089882905</v>
      </c>
      <c r="BI873" s="11" t="n">
        <f>IF(ISNUMBER(CI873),CI873,"")</f>
        <v>26.83330569937683</v>
      </c>
      <c r="BJ873" s="8" t="str">
        <v>低销提醒依据不完整</v>
      </c>
      <c r="BK873" s="8" t="str">
        <v>90天：2026-07-20 至 2026-10-17；180天：2026-04-21 至 2026-10-17</v>
      </c>
      <c r="BL873" s="8" t="str">
        <v>90天：2026-10-06、2026-10-07；180天：2026-10-06、2026-10-07</v>
      </c>
      <c r="BM873" s="8" t="str">
        <v>2026-10：12天 × 1.2247029157699902；2026-11：30天 × 0.8332682139098497；2026-12：31天 × 0.5511018253564084；2027-01：17天 × 1.0017220238758797</v>
      </c>
      <c r="BN873" s="11" t="n">
        <v>1.2247029157699902</v>
      </c>
      <c r="BO873" s="11" t="n">
        <v>0.8332682139098497</v>
      </c>
      <c r="BP873" s="11" t="n">
        <v>0.5511018253564084</v>
      </c>
      <c r="BQ873" s="11" t="n">
        <v>1.0017220238758797</v>
      </c>
      <c r="BR873" s="8" t="n">
        <v>12</v>
      </c>
      <c r="BS873" s="8" t="n">
        <v>30</v>
      </c>
      <c r="BT873" s="8" t="n">
        <v>31</v>
      </c>
      <c r="BU873" s="8" t="n">
        <v>17</v>
      </c>
      <c r="BV873" s="11" t="n">
        <f>IF(COUNT(BC873,BF873)=2,BC873*BF873,"")</f>
        <v>0.3635559498622484</v>
      </c>
      <c r="BW873" s="11" t="n">
        <f>IF(ISNUMBER(BN873),BN873,"")</f>
        <v>1.2247029157699902</v>
      </c>
      <c r="BX873" s="14" t="n">
        <f>IF(ISNUMBER(BR873),BR873,"")</f>
        <v>12</v>
      </c>
      <c r="BY873" s="13" t="n">
        <f>IF(AND(COUNT(BV873,BW873,BX873)=3,MIN(BV873,BW873,BX873)&gt;=0),BV873*BW873*BX873,"")</f>
        <v>5.342976382101888</v>
      </c>
      <c r="BZ873" s="11" t="n">
        <f>IF(ISNUMBER(BO873),BO873,"")</f>
        <v>0.8332682139098497</v>
      </c>
      <c r="CA873" s="14" t="n">
        <f>IF(ISNUMBER(BS873),BS873,"")</f>
        <v>30</v>
      </c>
      <c r="CB873" s="13" t="n">
        <f>IF(AND(COUNT(BV873,BZ873,CA873)=3,MIN(BV873,BZ873,CA873)&gt;=0),BV873*BZ873*CA873,"")</f>
        <v>9.088188509940437</v>
      </c>
      <c r="CC873" s="11" t="n">
        <f>IF(ISNUMBER(BP873),BP873,"")</f>
        <v>0.5511018253564084</v>
      </c>
      <c r="CD873" s="14" t="n">
        <f>IF(ISNUMBER(BT873),BT873,"")</f>
        <v>31</v>
      </c>
      <c r="CE873" s="13" t="n">
        <f>IF(AND(COUNT(BV873,CC873,CD873)=3,MIN(BV873,CC873,CD873)&gt;=0),BV873*CC873*CD873,"")</f>
        <v>6.211046775236308</v>
      </c>
      <c r="CF873" s="11" t="n">
        <f>IF(ISNUMBER(BQ873),BQ873,"")</f>
        <v>1.0017220238758797</v>
      </c>
      <c r="CG873" s="14" t="n">
        <f>IF(ISNUMBER(BU873),BU873,"")</f>
        <v>17</v>
      </c>
      <c r="CH873" s="13" t="n">
        <f>IF(AND(COUNT(BV873,CF873,CG873)=3,MIN(BV873,CF873,CG873)&gt;=0),BV873*CF873*CG873,"")</f>
        <v>6.1910940320981975</v>
      </c>
      <c r="CI873" s="13" t="n">
        <f>IF(COUNT(BY873,CB873,CE873,CH873)=4,SUM(BY873,CB873,CE873,CH873),"")</f>
        <v>26.83330569937683</v>
      </c>
    </row>
    <row r="874" ht="72" customHeight="1">
      <c r="A874" s="16" t="str">
        <v>B06-CFP-40</v>
      </c>
      <c r="B874" s="16" t="str">
        <v>1店-MUSSHOE-US</v>
      </c>
      <c r="C874" s="16" t="str">
        <v>艾年</v>
      </c>
      <c r="D874" s="26" t="n">
        <f>IF(NOT(ISNUMBER(E874)),"",IF(OR(E874&lt;=0,L874=0),0,IF(OR(NOT(ISNUMBER(F874)),F874&lt;0),"",MIN(E874,INT(F874)))))</f>
        <v>0</v>
      </c>
      <c r="E874" s="27" t="n">
        <f>IF(OR(NOT(ISNUMBER(L874)),COUNT(M874:O874)&lt;&gt;3,MIN(M874:O874)&lt;0),"",ROUNDUP(ROUND(BI874-SUM(M874:O874),10),0))</f>
        <v>-13</v>
      </c>
      <c r="F874" s="28" t="n">
        <v>0</v>
      </c>
      <c r="G874" s="28" t="n">
        <f>IF(AND(ISNUMBER(D874),ISNUMBER(E874)),IF(OR(E874&lt;=0,L874=0),0,E874-D874),"")</f>
        <v>0</v>
      </c>
      <c r="H874" s="16" t="str">
        <f>IF(NOT(ISNUMBER(E874)),"销量或海外库存待补",IF(OR(E874&lt;=0,L874=0),IF(L874=0,"零日销，本批不发","本批无需补货"),IF(NOT(ISNUMBER(D874)),"国内库存待补",IF(D874=0,"国内无可用库存",IF(G874&gt;0,"先发国内现货","按建议量发货")))))</f>
        <v>本批无需补货</v>
      </c>
      <c r="I874" s="28" t="n">
        <f>IF(AND(COUNT(Z874,AA874,AB874)=3,Z874&gt;=AA874,AA874&gt;=0,AB874=7),Z874-AA874,"")</f>
        <v>3</v>
      </c>
      <c r="J874" s="28" t="n">
        <f>IF(AND(COUNT(AF874,AG874,AH874)=3,AF874&gt;=AG874,AG874&gt;=0,AH874=14),AF874-AG874,"")</f>
        <v>4</v>
      </c>
      <c r="K874" s="28" t="n">
        <f>IF(AND(COUNT(AL874,AM874,AN874)=3,AL874&gt;=AM874,AM874&gt;=0,AN874=30),AL874-AM874,"")</f>
        <v>6</v>
      </c>
      <c r="L874" s="29" t="n">
        <f>IF(ISNUMBER(BI874),BI874/90,"")</f>
        <v>0.25785492568897594</v>
      </c>
      <c r="M874" s="28" t="n">
        <v>18</v>
      </c>
      <c r="N874" s="28" t="n">
        <v>0</v>
      </c>
      <c r="O874" s="28" t="n">
        <v>18</v>
      </c>
      <c r="P874" s="30" t="n">
        <f>IF(AND(ISNUMBER(L874),L874&gt;0,COUNT(M874:O874)=3,MIN(M874:O874)&gt;=0),SUM(M874:O874)/L874,"")</f>
        <v>139.61338882245408</v>
      </c>
      <c r="Q874" s="16" t="str">
        <v>沿用原计划SKU店铺</v>
      </c>
      <c r="R874" s="16" t="str">
        <v>已匹配</v>
      </c>
      <c r="S874" s="16" t="str">
        <v>在售</v>
      </c>
      <c r="T874" s="16" t="str">
        <v>B06</v>
      </c>
      <c r="U874" s="16" t="str">
        <v>咖色PU</v>
      </c>
      <c r="V874" s="16" t="n">
        <v>9</v>
      </c>
      <c r="W874" s="8" t="str">
        <v>2026-10-11 至 2026-10-17</v>
      </c>
      <c r="X874" s="8" t="str">
        <v>2026-10-11、2026-10-12、2026-10-13、2026-10-14、2026-10-15、2026-10-16、2026-10-17</v>
      </c>
      <c r="Y874" s="8" t="str">
        <v>无</v>
      </c>
      <c r="Z874" s="8" t="n">
        <v>3</v>
      </c>
      <c r="AA874" s="8" t="n">
        <v>0</v>
      </c>
      <c r="AB874" s="8" t="n">
        <v>7</v>
      </c>
      <c r="AC874" s="8" t="str">
        <v>2026-10-02 至 2026-10-17</v>
      </c>
      <c r="AD874" s="8" t="str">
        <v>2026-10-02、2026-10-03、2026-10-04、2026-10-05、2026-10-08、2026-10-09、2026-10-10、2026-10-11、2026-10-12、2026-10-13、2026-10-14、2026-10-15、2026-10-16、2026-10-17</v>
      </c>
      <c r="AE874" s="8" t="str">
        <v>2026-10-06 大促；2026-10-07 大促</v>
      </c>
      <c r="AF874" s="8" t="n">
        <v>5</v>
      </c>
      <c r="AG874" s="8" t="n">
        <v>1</v>
      </c>
      <c r="AH874" s="8" t="n">
        <v>14</v>
      </c>
      <c r="AI874" s="8" t="str">
        <v>2026-09-16 至 2026-10-17</v>
      </c>
      <c r="AJ8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4" s="8" t="str">
        <v>2026-10-06 大促；2026-10-07 大促</v>
      </c>
      <c r="AL874" s="8" t="n">
        <v>7</v>
      </c>
      <c r="AM874" s="8" t="n">
        <v>1</v>
      </c>
      <c r="AN874" s="8" t="n">
        <v>30</v>
      </c>
      <c r="AO874" s="8" t="str">
        <v>B06 / 咖色PU / 13120</v>
      </c>
      <c r="AP874" s="11" t="n">
        <v>1.2247029157699902</v>
      </c>
      <c r="AQ874" s="11" t="n">
        <v>1.2247029157699902</v>
      </c>
      <c r="AR874" s="11" t="n">
        <v>1.1136940657346173</v>
      </c>
      <c r="AS874" s="11" t="n">
        <f>IF(AND(COUNT(I874:K874,AP874:AR874)=6,MIN(AP874:AR874)&gt;0),I874/7/AP874*0.5+J874/14/AQ874*0.3+K874/30/AR874*0.2,"")</f>
        <v>0.2808738720545422</v>
      </c>
      <c r="AT874" s="8" t="n">
        <v>18</v>
      </c>
      <c r="AU874" s="8" t="n">
        <v>1</v>
      </c>
      <c r="AV874" s="8" t="n">
        <v>88</v>
      </c>
      <c r="AW874" s="11" t="n">
        <f>IF(AND(COUNT(AT874:AV874)=3,AT874&gt;=AU874,AU874&gt;=0,AV874&gt;0),(AT874-AU874)/AV874,"")</f>
        <v>0.19318181818181818</v>
      </c>
      <c r="AX874" s="8" t="n">
        <v>36</v>
      </c>
      <c r="AY874" s="8" t="n">
        <v>1</v>
      </c>
      <c r="AZ874" s="8" t="n">
        <v>178</v>
      </c>
      <c r="BA874" s="11" t="n">
        <f>IF(AND(COUNT(AX874:AZ874)=3,AX874&gt;=AY874,AY874&gt;=0,AZ874&gt;0),(AX874-AY874)/AZ874,"")</f>
        <v>0.19662921348314608</v>
      </c>
      <c r="BB874" s="8" t="n">
        <f>IF(COUNT(AS874,AW874,BA874)=3,1,0)</f>
        <v>1</v>
      </c>
      <c r="BC874" s="11" t="n">
        <f>IF(SUMIF($AO$11:$AO$1309,AO874,$BB$11:$BB$1309)=COUNTIF($AO$11:$AO$1309,AO874),SUMIF($AO$11:$AO$1309,AO874,$AS$11:$AS$1309),"")</f>
        <v>2.611458509464822</v>
      </c>
      <c r="BD874" s="11" t="n">
        <f>IF(SUMIF($AO$11:$AO$1309,AO874,$BB$11:$BB$1309)=COUNTIF($AO$11:$AO$1309,AO874),SUMIF($AO$11:$AO$1309,AO874,$AW$11:$AW$1309),"")</f>
        <v>1.6638477801268499</v>
      </c>
      <c r="BE874" s="11" t="n">
        <f>IF(SUMIF($AO$11:$AO$1309,AO874,$BB$11:$BB$1309)=COUNTIF($AO$11:$AO$1309,AO874),SUMIF($AO$11:$AO$1309,AO874,$BA$11:$BA$1309),"")</f>
        <v>1.5075970377936672</v>
      </c>
      <c r="BF874" s="12" t="n">
        <f>IF(COUNT(BD874:BE874)&lt;&gt;2,"",IF(AND(BD874&gt;0,BE874&gt;0),0.7*AW874/BD874+0.3*BA874/BE874,IF(BD874&gt;0,AW874/BD874,IF(BE874&gt;0,BA874/BE874,IF(AND(ISNUMBER(BH874),BH874=0),0,"")))))</f>
        <v>0.12040149773971004</v>
      </c>
      <c r="BG874" s="11" t="n">
        <f>IF(AND(COUNT(BN874:BU874)=8,MIN(BN874:BU874)&gt;=0),SUMPRODUCT(BN874:BQ874,BR874:BU874),"")</f>
        <v>73.80791239847399</v>
      </c>
      <c r="BH874" s="11" t="n">
        <f>IF(COUNT(BC874,BG874)=2,BC874*BG874,"")</f>
        <v>192.74630089882905</v>
      </c>
      <c r="BI874" s="11" t="n">
        <f>IF(ISNUMBER(CI874),CI874,"")</f>
        <v>23.206943312007837</v>
      </c>
      <c r="BJ874" s="8" t="str">
        <v>低销提醒依据不完整</v>
      </c>
      <c r="BK874" s="8" t="str">
        <v>90天：2026-07-20 至 2026-10-17；180天：2026-04-21 至 2026-10-17</v>
      </c>
      <c r="BL874" s="8" t="str">
        <v>90天：2026-10-06、2026-10-07；180天：2026-10-06、2026-10-07</v>
      </c>
      <c r="BM874" s="8" t="str">
        <v>2026-10：12天 × 1.2247029157699902；2026-11：30天 × 0.8332682139098497；2026-12：31天 × 0.5511018253564084；2027-01：17天 × 1.0017220238758797</v>
      </c>
      <c r="BN874" s="11" t="n">
        <v>1.2247029157699902</v>
      </c>
      <c r="BO874" s="11" t="n">
        <v>0.8332682139098497</v>
      </c>
      <c r="BP874" s="11" t="n">
        <v>0.5511018253564084</v>
      </c>
      <c r="BQ874" s="11" t="n">
        <v>1.0017220238758797</v>
      </c>
      <c r="BR874" s="8" t="n">
        <v>12</v>
      </c>
      <c r="BS874" s="8" t="n">
        <v>30</v>
      </c>
      <c r="BT874" s="8" t="n">
        <v>31</v>
      </c>
      <c r="BU874" s="8" t="n">
        <v>17</v>
      </c>
      <c r="BV874" s="11" t="n">
        <f>IF(COUNT(BC874,BF874)=2,BC874*BF874,"")</f>
        <v>0.3144235158246753</v>
      </c>
      <c r="BW874" s="11" t="n">
        <f>IF(ISNUMBER(BN874),BN874,"")</f>
        <v>1.2247029157699902</v>
      </c>
      <c r="BX874" s="14" t="n">
        <f>IF(ISNUMBER(BR874),BR874,"")</f>
        <v>12</v>
      </c>
      <c r="BY874" s="13" t="n">
        <f>IF(AND(COUNT(BV874,BW874,BX874)=3,MIN(BV874,BW874,BX874)&gt;=0),BV874*BW874*BX874,"")</f>
        <v>4.620904759405578</v>
      </c>
      <c r="BZ874" s="11" t="n">
        <f>IF(ISNUMBER(BO874),BO874,"")</f>
        <v>0.8332682139098497</v>
      </c>
      <c r="CA874" s="14" t="n">
        <f>IF(ISNUMBER(BS874),BS874,"")</f>
        <v>30</v>
      </c>
      <c r="CB874" s="13" t="n">
        <f>IF(AND(COUNT(BV874,BZ874,CA874)=3,MIN(BV874,BZ874,CA874)&gt;=0),BV874*BZ874*CA874,"")</f>
        <v>7.8599736432744765</v>
      </c>
      <c r="CC874" s="11" t="n">
        <f>IF(ISNUMBER(BP874),BP874,"")</f>
        <v>0.5511018253564084</v>
      </c>
      <c r="CD874" s="14" t="n">
        <f>IF(ISNUMBER(BT874),BT874,"")</f>
        <v>31</v>
      </c>
      <c r="CE874" s="13" t="n">
        <f>IF(AND(COUNT(BV874,CC874,CD874)=3,MIN(BV874,CC874,CD874)&gt;=0),BV874*CC874*CD874,"")</f>
        <v>5.371660578684702</v>
      </c>
      <c r="CF874" s="11" t="n">
        <f>IF(ISNUMBER(BQ874),BQ874,"")</f>
        <v>1.0017220238758797</v>
      </c>
      <c r="CG874" s="14" t="n">
        <f>IF(ISNUMBER(BU874),BU874,"")</f>
        <v>17</v>
      </c>
      <c r="CH874" s="13" t="n">
        <f>IF(AND(COUNT(BV874,CF874,CG874)=3,MIN(BV874,CF874,CG874)&gt;=0),BV874*CF874*CG874,"")</f>
        <v>5.354404330643079</v>
      </c>
      <c r="CI874" s="13" t="n">
        <f>IF(COUNT(BY874,CB874,CE874,CH874)=4,SUM(BY874,CB874,CE874,CH874),"")</f>
        <v>23.206943312007837</v>
      </c>
    </row>
    <row r="875" ht="72" customHeight="1">
      <c r="A875" s="16" t="str">
        <v>B06-CFP-41</v>
      </c>
      <c r="B875" s="16" t="str">
        <v>1店-MUSSHOE-US</v>
      </c>
      <c r="C875" s="16" t="str">
        <v>艾年</v>
      </c>
      <c r="D875" s="26" t="n">
        <f>IF(NOT(ISNUMBER(E875)),"",IF(OR(E875&lt;=0,L875=0),0,IF(OR(NOT(ISNUMBER(F875)),F875&lt;0),"",MIN(E875,INT(F875)))))</f>
        <v>0</v>
      </c>
      <c r="E875" s="27" t="n">
        <f>IF(OR(NOT(ISNUMBER(L875)),COUNT(M875:O875)&lt;&gt;3,MIN(M875:O875)&lt;0),"",ROUNDUP(ROUND(BI875-SUM(M875:O875),10),0))</f>
        <v>-10</v>
      </c>
      <c r="F875" s="28" t="n">
        <v>0</v>
      </c>
      <c r="G875" s="28" t="n">
        <f>IF(AND(ISNUMBER(D875),ISNUMBER(E875)),IF(OR(E875&lt;=0,L875=0),0,E875-D875),"")</f>
        <v>0</v>
      </c>
      <c r="H875" s="16" t="str">
        <f>IF(NOT(ISNUMBER(E875)),"销量或海外库存待补",IF(OR(E875&lt;=0,L875=0),IF(L875=0,"零日销，本批不发","本批无需补货"),IF(NOT(ISNUMBER(D875)),"国内库存待补",IF(D875=0,"国内无可用库存",IF(G875&gt;0,"先发国内现货","按建议量发货")))))</f>
        <v>本批无需补货</v>
      </c>
      <c r="I875" s="28" t="n">
        <f>IF(AND(COUNT(Z875,AA875,AB875)=3,Z875&gt;=AA875,AA875&gt;=0,AB875=7),Z875-AA875,"")</f>
        <v>3</v>
      </c>
      <c r="J875" s="28" t="n">
        <f>IF(AND(COUNT(AF875,AG875,AH875)=3,AF875&gt;=AG875,AG875&gt;=0,AH875=14),AF875-AG875,"")</f>
        <v>4</v>
      </c>
      <c r="K875" s="28" t="n">
        <f>IF(AND(COUNT(AL875,AM875,AN875)=3,AL875&gt;=AM875,AM875&gt;=0,AN875=30),AL875-AM875,"")</f>
        <v>5</v>
      </c>
      <c r="L875" s="29" t="n">
        <f>IF(ISNUMBER(BI875),BI875/90,"")</f>
        <v>0.13830004305107912</v>
      </c>
      <c r="M875" s="28" t="n">
        <v>6</v>
      </c>
      <c r="N875" s="28" t="n">
        <v>0</v>
      </c>
      <c r="O875" s="28" t="n">
        <v>16</v>
      </c>
      <c r="P875" s="30" t="n">
        <f>IF(AND(ISNUMBER(L875),L875&gt;0,COUNT(M875:O875)=3,MIN(M875:O875)&gt;=0),SUM(M875:O875)/L875,"")</f>
        <v>159.0744262593947</v>
      </c>
      <c r="Q875" s="16" t="str">
        <v>沿用原计划SKU店铺</v>
      </c>
      <c r="R875" s="16" t="str">
        <v>已匹配</v>
      </c>
      <c r="S875" s="16" t="str">
        <v>在售</v>
      </c>
      <c r="T875" s="16" t="str">
        <v>B06</v>
      </c>
      <c r="U875" s="16" t="str">
        <v>咖色PU</v>
      </c>
      <c r="V875" s="16" t="n">
        <v>10</v>
      </c>
      <c r="W875" s="8" t="str">
        <v>2026-10-11 至 2026-10-17</v>
      </c>
      <c r="X875" s="8" t="str">
        <v>2026-10-11、2026-10-12、2026-10-13、2026-10-14、2026-10-15、2026-10-16、2026-10-17</v>
      </c>
      <c r="Y875" s="8" t="str">
        <v>无</v>
      </c>
      <c r="Z875" s="8" t="n">
        <v>3</v>
      </c>
      <c r="AA875" s="8" t="n">
        <v>0</v>
      </c>
      <c r="AB875" s="8" t="n">
        <v>7</v>
      </c>
      <c r="AC875" s="8" t="str">
        <v>2026-10-02 至 2026-10-17</v>
      </c>
      <c r="AD875" s="8" t="str">
        <v>2026-10-02、2026-10-03、2026-10-04、2026-10-05、2026-10-08、2026-10-09、2026-10-10、2026-10-11、2026-10-12、2026-10-13、2026-10-14、2026-10-15、2026-10-16、2026-10-17</v>
      </c>
      <c r="AE875" s="8" t="str">
        <v>2026-10-06 大促；2026-10-07 大促</v>
      </c>
      <c r="AF875" s="8" t="n">
        <v>5</v>
      </c>
      <c r="AG875" s="8" t="n">
        <v>1</v>
      </c>
      <c r="AH875" s="8" t="n">
        <v>14</v>
      </c>
      <c r="AI875" s="8" t="str">
        <v>2026-09-16 至 2026-10-17</v>
      </c>
      <c r="AJ8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5" s="8" t="str">
        <v>2026-10-06 大促；2026-10-07 大促</v>
      </c>
      <c r="AL875" s="8" t="n">
        <v>6</v>
      </c>
      <c r="AM875" s="8" t="n">
        <v>1</v>
      </c>
      <c r="AN875" s="8" t="n">
        <v>30</v>
      </c>
      <c r="AO875" s="8" t="str">
        <v>B06 / 咖色PU / 13120</v>
      </c>
      <c r="AP875" s="11" t="n">
        <v>1.2247029157699902</v>
      </c>
      <c r="AQ875" s="11" t="n">
        <v>1.2247029157699902</v>
      </c>
      <c r="AR875" s="11" t="n">
        <v>1.1136940657346173</v>
      </c>
      <c r="AS875" s="11" t="n">
        <f>IF(AND(COUNT(I875:K875,AP875:AR875)=6,MIN(AP875:AR875)&gt;0),I875/7/AP875*0.5+J875/14/AQ875*0.3+K875/30/AR875*0.2,"")</f>
        <v>0.2748877876604683</v>
      </c>
      <c r="AT875" s="8" t="n">
        <v>11</v>
      </c>
      <c r="AU875" s="8" t="n">
        <v>1</v>
      </c>
      <c r="AV875" s="8" t="n">
        <v>88</v>
      </c>
      <c r="AW875" s="11" t="n">
        <f>IF(AND(COUNT(AT875:AV875)=3,AT875&gt;=AU875,AU875&gt;=0,AV875&gt;0),(AT875-AU875)/AV875,"")</f>
        <v>0.11363636363636363</v>
      </c>
      <c r="AX875" s="8" t="n">
        <v>16</v>
      </c>
      <c r="AY875" s="8" t="n">
        <v>1</v>
      </c>
      <c r="AZ875" s="8" t="n">
        <v>178</v>
      </c>
      <c r="BA875" s="11" t="n">
        <f>IF(AND(COUNT(AX875:AZ875)=3,AX875&gt;=AY875,AY875&gt;=0,AZ875&gt;0),(AX875-AY875)/AZ875,"")</f>
        <v>0.08426966292134831</v>
      </c>
      <c r="BB875" s="8" t="n">
        <f>IF(COUNT(AS875,AW875,BA875)=3,1,0)</f>
        <v>1</v>
      </c>
      <c r="BC875" s="11" t="n">
        <f>IF(SUMIF($AO$11:$AO$1309,AO875,$BB$11:$BB$1309)=COUNTIF($AO$11:$AO$1309,AO875),SUMIF($AO$11:$AO$1309,AO875,$AS$11:$AS$1309),"")</f>
        <v>2.611458509464822</v>
      </c>
      <c r="BD875" s="11" t="n">
        <f>IF(SUMIF($AO$11:$AO$1309,AO875,$BB$11:$BB$1309)=COUNTIF($AO$11:$AO$1309,AO875),SUMIF($AO$11:$AO$1309,AO875,$AW$11:$AW$1309),"")</f>
        <v>1.6638477801268499</v>
      </c>
      <c r="BE875" s="11" t="n">
        <f>IF(SUMIF($AO$11:$AO$1309,AO875,$BB$11:$BB$1309)=COUNTIF($AO$11:$AO$1309,AO875),SUMIF($AO$11:$AO$1309,AO875,$BA$11:$BA$1309),"")</f>
        <v>1.5075970377936672</v>
      </c>
      <c r="BF875" s="12" t="n">
        <f>IF(COUNT(BD875:BE875)&lt;&gt;2,"",IF(AND(BD875&gt;0,BE875&gt;0),0.7*AW875/BD875+0.3*BA875/BE875,IF(BD875&gt;0,AW875/BD875,IF(BE875&gt;0,BA875/BE875,IF(AND(ISNUMBER(BH875),BH875=0),0,"")))))</f>
        <v>0.064577134899883</v>
      </c>
      <c r="BG875" s="11" t="n">
        <f>IF(AND(COUNT(BN875:BU875)=8,MIN(BN875:BU875)&gt;=0),SUMPRODUCT(BN875:BQ875,BR875:BU875),"")</f>
        <v>73.80791239847399</v>
      </c>
      <c r="BH875" s="11" t="n">
        <f>IF(COUNT(BC875,BG875)=2,BC875*BG875,"")</f>
        <v>192.74630089882905</v>
      </c>
      <c r="BI875" s="11" t="n">
        <f>IF(ISNUMBER(CI875),CI875,"")</f>
        <v>12.447003874597122</v>
      </c>
      <c r="BJ875" s="8" t="str">
        <v>低销提醒依据不完整</v>
      </c>
      <c r="BK875" s="8" t="str">
        <v>90天：2026-07-20 至 2026-10-17；180天：2026-04-21 至 2026-10-17</v>
      </c>
      <c r="BL875" s="8" t="str">
        <v>90天：2026-10-06、2026-10-07；180天：2026-10-06、2026-10-07</v>
      </c>
      <c r="BM875" s="8" t="str">
        <v>2026-10：12天 × 1.2247029157699902；2026-11：30天 × 0.8332682139098497；2026-12：31天 × 0.5511018253564084；2027-01：17天 × 1.0017220238758797</v>
      </c>
      <c r="BN875" s="11" t="n">
        <v>1.2247029157699902</v>
      </c>
      <c r="BO875" s="11" t="n">
        <v>0.8332682139098497</v>
      </c>
      <c r="BP875" s="11" t="n">
        <v>0.5511018253564084</v>
      </c>
      <c r="BQ875" s="11" t="n">
        <v>1.0017220238758797</v>
      </c>
      <c r="BR875" s="8" t="n">
        <v>12</v>
      </c>
      <c r="BS875" s="8" t="n">
        <v>30</v>
      </c>
      <c r="BT875" s="8" t="n">
        <v>31</v>
      </c>
      <c r="BU875" s="8" t="n">
        <v>17</v>
      </c>
      <c r="BV875" s="11" t="n">
        <f>IF(COUNT(BC875,BF875)=2,BC875*BF875,"")</f>
        <v>0.1686405084511572</v>
      </c>
      <c r="BW875" s="11" t="n">
        <f>IF(ISNUMBER(BN875),BN875,"")</f>
        <v>1.2247029157699902</v>
      </c>
      <c r="BX875" s="14" t="n">
        <f>IF(ISNUMBER(BR875),BR875,"")</f>
        <v>12</v>
      </c>
      <c r="BY875" s="13" t="n">
        <f>IF(AND(COUNT(BV875,BW875,BX875)=3,MIN(BV875,BW875,BX875)&gt;=0),BV875*BW875*BX875,"")</f>
        <v>2.478414269004791</v>
      </c>
      <c r="BZ875" s="11" t="n">
        <f>IF(ISNUMBER(BO875),BO875,"")</f>
        <v>0.8332682139098497</v>
      </c>
      <c r="CA875" s="14" t="n">
        <f>IF(ISNUMBER(BS875),BS875,"")</f>
        <v>30</v>
      </c>
      <c r="CB875" s="13" t="n">
        <f>IF(AND(COUNT(BV875,BZ875,CA875)=3,MIN(BV875,BZ875,CA875)&gt;=0),BV875*BZ875*CA875,"")</f>
        <v>4.21568325809834</v>
      </c>
      <c r="CC875" s="11" t="n">
        <f>IF(ISNUMBER(BP875),BP875,"")</f>
        <v>0.5511018253564084</v>
      </c>
      <c r="CD875" s="14" t="n">
        <f>IF(ISNUMBER(BT875),BT875,"")</f>
        <v>31</v>
      </c>
      <c r="CE875" s="13" t="n">
        <f>IF(AND(COUNT(BV875,CC875,CD875)=3,MIN(BV875,CC875,CD875)&gt;=0),BV875*CC875*CD875,"")</f>
        <v>2.8810808531304315</v>
      </c>
      <c r="CF875" s="11" t="n">
        <f>IF(ISNUMBER(BQ875),BQ875,"")</f>
        <v>1.0017220238758797</v>
      </c>
      <c r="CG875" s="14" t="n">
        <f>IF(ISNUMBER(BU875),BU875,"")</f>
        <v>17</v>
      </c>
      <c r="CH875" s="13" t="n">
        <f>IF(AND(COUNT(BV875,CF875,CG875)=3,MIN(BV875,CF875,CG875)&gt;=0),BV875*CF875*CG875,"")</f>
        <v>2.87182549436356</v>
      </c>
      <c r="CI875" s="13" t="n">
        <f>IF(COUNT(BY875,CB875,CE875,CH875)=4,SUM(BY875,CB875,CE875,CH875),"")</f>
        <v>12.447003874597122</v>
      </c>
    </row>
    <row r="876" ht="72" customHeight="1">
      <c r="A876" s="16" t="str">
        <v>B06-CFP-41.5</v>
      </c>
      <c r="B876" s="16" t="str">
        <v>1店-MUSSHOE-US</v>
      </c>
      <c r="C876" s="16" t="str">
        <v>艾年</v>
      </c>
      <c r="D876" s="26" t="n">
        <f>IF(NOT(ISNUMBER(E876)),"",IF(OR(E876&lt;=0,L876=0),0,IF(OR(NOT(ISNUMBER(F876)),F876&lt;0),"",MIN(E876,INT(F876)))))</f>
        <v>0</v>
      </c>
      <c r="E876" s="27" t="n">
        <f>IF(OR(NOT(ISNUMBER(L876)),COUNT(M876:O876)&lt;&gt;3,MIN(M876:O876)&lt;0),"",ROUNDUP(ROUND(BI876-SUM(M876:O876),10),0))</f>
        <v>-30</v>
      </c>
      <c r="F876" s="28" t="n">
        <v>0</v>
      </c>
      <c r="G876" s="28" t="n">
        <f>IF(AND(ISNUMBER(D876),ISNUMBER(E876)),IF(OR(E876&lt;=0,L876=0),0,E876-D876),"")</f>
        <v>0</v>
      </c>
      <c r="H876" s="16" t="str">
        <f>IF(NOT(ISNUMBER(E876)),"销量或海外库存待补",IF(OR(E876&lt;=0,L876=0),IF(L876=0,"零日销，本批不发","本批无需补货"),IF(NOT(ISNUMBER(D876)),"国内库存待补",IF(D876=0,"国内无可用库存",IF(G876&gt;0,"先发国内现货","按建议量发货")))))</f>
        <v>本批无需补货</v>
      </c>
      <c r="I876" s="28" t="n">
        <f>IF(AND(COUNT(Z876,AA876,AB876)=3,Z876&gt;=AA876,AA876&gt;=0,AB876=7),Z876-AA876,"")</f>
        <v>1</v>
      </c>
      <c r="J876" s="28" t="n">
        <f>IF(AND(COUNT(AF876,AG876,AH876)=3,AF876&gt;=AG876,AG876&gt;=0,AH876=14),AF876-AG876,"")</f>
        <v>1</v>
      </c>
      <c r="K876" s="28" t="n">
        <f>IF(AND(COUNT(AL876,AM876,AN876)=3,AL876&gt;=AM876,AM876&gt;=0,AN876=30),AL876-AM876,"")</f>
        <v>1</v>
      </c>
      <c r="L876" s="29" t="n">
        <f>IF(ISNUMBER(BI876),BI876/90,"")</f>
        <v>0.04029291541521103</v>
      </c>
      <c r="M876" s="28" t="n">
        <v>28</v>
      </c>
      <c r="N876" s="28" t="n">
        <v>0</v>
      </c>
      <c r="O876" s="28" t="n">
        <v>5</v>
      </c>
      <c r="P876" s="30" t="n">
        <f>IF(AND(ISNUMBER(L876),L876&gt;0,COUNT(M876:O876)=3,MIN(M876:O876)&gt;=0),SUM(M876:O876)/L876,"")</f>
        <v>819.0025382859769</v>
      </c>
      <c r="Q876" s="16" t="str">
        <v>沿用原计划SKU店铺</v>
      </c>
      <c r="R876" s="16" t="str">
        <v>已匹配</v>
      </c>
      <c r="S876" s="16" t="str">
        <v>在售</v>
      </c>
      <c r="T876" s="16" t="str">
        <v>B06</v>
      </c>
      <c r="U876" s="16" t="str">
        <v>咖色PU</v>
      </c>
      <c r="V876" s="16" t="n">
        <v>10.5</v>
      </c>
      <c r="W876" s="8" t="str">
        <v>2026-10-11 至 2026-10-17</v>
      </c>
      <c r="X876" s="8" t="str">
        <v>2026-10-11、2026-10-12、2026-10-13、2026-10-14、2026-10-15、2026-10-16、2026-10-17</v>
      </c>
      <c r="Y876" s="8" t="str">
        <v>无</v>
      </c>
      <c r="Z876" s="8" t="n">
        <v>1</v>
      </c>
      <c r="AA876" s="8" t="n">
        <v>0</v>
      </c>
      <c r="AB876" s="8" t="n">
        <v>7</v>
      </c>
      <c r="AC876" s="8" t="str">
        <v>2026-10-02 至 2026-10-17</v>
      </c>
      <c r="AD876" s="8" t="str">
        <v>2026-10-02、2026-10-03、2026-10-04、2026-10-05、2026-10-08、2026-10-09、2026-10-10、2026-10-11、2026-10-12、2026-10-13、2026-10-14、2026-10-15、2026-10-16、2026-10-17</v>
      </c>
      <c r="AE876" s="8" t="str">
        <v>2026-10-06 大促；2026-10-07 大促</v>
      </c>
      <c r="AF876" s="8" t="n">
        <v>1</v>
      </c>
      <c r="AG876" s="8" t="n">
        <v>0</v>
      </c>
      <c r="AH876" s="8" t="n">
        <v>14</v>
      </c>
      <c r="AI876" s="8" t="str">
        <v>2026-09-16 至 2026-10-17</v>
      </c>
      <c r="AJ8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6" s="8" t="str">
        <v>2026-10-06 大促；2026-10-07 大促</v>
      </c>
      <c r="AL876" s="8" t="n">
        <v>1</v>
      </c>
      <c r="AM876" s="8" t="n">
        <v>0</v>
      </c>
      <c r="AN876" s="8" t="n">
        <v>30</v>
      </c>
      <c r="AO876" s="8" t="str">
        <v>B06 / 咖色PU / 13120</v>
      </c>
      <c r="AP876" s="11" t="n">
        <v>1.2247029157699902</v>
      </c>
      <c r="AQ876" s="11" t="n">
        <v>1.2247029157699902</v>
      </c>
      <c r="AR876" s="11" t="n">
        <v>1.1136940657346173</v>
      </c>
      <c r="AS876" s="11" t="n">
        <f>IF(AND(COUNT(I876:K876,AP876:AR876)=6,MIN(AP876:AR876)&gt;0),I876/7/AP876*0.5+J876/14/AQ876*0.3+K876/30/AR876*0.2,"")</f>
        <v>0.08180622139339022</v>
      </c>
      <c r="AT876" s="8" t="n">
        <v>3</v>
      </c>
      <c r="AU876" s="8" t="n">
        <v>0</v>
      </c>
      <c r="AV876" s="8" t="n">
        <v>88</v>
      </c>
      <c r="AW876" s="11" t="n">
        <f>IF(AND(COUNT(AT876:AV876)=3,AT876&gt;=AU876,AU876&gt;=0,AV876&gt;0),(AT876-AU876)/AV876,"")</f>
        <v>0.03409090909090909</v>
      </c>
      <c r="AX876" s="8" t="n">
        <v>4</v>
      </c>
      <c r="AY876" s="8" t="n">
        <v>0</v>
      </c>
      <c r="AZ876" s="8" t="n">
        <v>178</v>
      </c>
      <c r="BA876" s="11" t="n">
        <f>IF(AND(COUNT(AX876:AZ876)=3,AX876&gt;=AY876,AY876&gt;=0,AZ876&gt;0),(AX876-AY876)/AZ876,"")</f>
        <v>0.02247191011235955</v>
      </c>
      <c r="BB876" s="8" t="n">
        <f>IF(COUNT(AS876,AW876,BA876)=3,1,0)</f>
        <v>1</v>
      </c>
      <c r="BC876" s="11" t="n">
        <f>IF(SUMIF($AO$11:$AO$1309,AO876,$BB$11:$BB$1309)=COUNTIF($AO$11:$AO$1309,AO876),SUMIF($AO$11:$AO$1309,AO876,$AS$11:$AS$1309),"")</f>
        <v>2.611458509464822</v>
      </c>
      <c r="BD876" s="11" t="n">
        <f>IF(SUMIF($AO$11:$AO$1309,AO876,$BB$11:$BB$1309)=COUNTIF($AO$11:$AO$1309,AO876),SUMIF($AO$11:$AO$1309,AO876,$AW$11:$AW$1309),"")</f>
        <v>1.6638477801268499</v>
      </c>
      <c r="BE876" s="11" t="n">
        <f>IF(SUMIF($AO$11:$AO$1309,AO876,$BB$11:$BB$1309)=COUNTIF($AO$11:$AO$1309,AO876),SUMIF($AO$11:$AO$1309,AO876,$BA$11:$BA$1309),"")</f>
        <v>1.5075970377936672</v>
      </c>
      <c r="BF876" s="12" t="n">
        <f>IF(COUNT(BD876:BE876)&lt;&gt;2,"",IF(AND(BD876&gt;0,BE876&gt;0),0.7*AW876/BD876+0.3*BA876/BE876,IF(BD876&gt;0,AW876/BD876,IF(BE876&gt;0,BA876/BE876,IF(AND(ISNUMBER(BH876),BH876=0),0,"")))))</f>
        <v>0.018814173711548636</v>
      </c>
      <c r="BG876" s="11" t="n">
        <f>IF(AND(COUNT(BN876:BU876)=8,MIN(BN876:BU876)&gt;=0),SUMPRODUCT(BN876:BQ876,BR876:BU876),"")</f>
        <v>73.80791239847399</v>
      </c>
      <c r="BH876" s="11" t="n">
        <f>IF(COUNT(BC876,BG876)=2,BC876*BG876,"")</f>
        <v>192.74630089882905</v>
      </c>
      <c r="BI876" s="11" t="n">
        <f>IF(ISNUMBER(CI876),CI876,"")</f>
        <v>3.6263623873689927</v>
      </c>
      <c r="BJ876" s="8" t="str">
        <v>低销提醒依据不完整</v>
      </c>
      <c r="BK876" s="8" t="str">
        <v>90天：2026-07-20 至 2026-10-17；180天：2026-04-21 至 2026-10-17</v>
      </c>
      <c r="BL876" s="8" t="str">
        <v>90天：2026-10-06、2026-10-07；180天：2026-10-06、2026-10-07</v>
      </c>
      <c r="BM876" s="8" t="str">
        <v>2026-10：12天 × 1.2247029157699902；2026-11：30天 × 0.8332682139098497；2026-12：31天 × 0.5511018253564084；2027-01：17天 × 1.0017220238758797</v>
      </c>
      <c r="BN876" s="11" t="n">
        <v>1.2247029157699902</v>
      </c>
      <c r="BO876" s="11" t="n">
        <v>0.8332682139098497</v>
      </c>
      <c r="BP876" s="11" t="n">
        <v>0.5511018253564084</v>
      </c>
      <c r="BQ876" s="11" t="n">
        <v>1.0017220238758797</v>
      </c>
      <c r="BR876" s="8" t="n">
        <v>12</v>
      </c>
      <c r="BS876" s="8" t="n">
        <v>30</v>
      </c>
      <c r="BT876" s="8" t="n">
        <v>31</v>
      </c>
      <c r="BU876" s="8" t="n">
        <v>17</v>
      </c>
      <c r="BV876" s="11" t="n">
        <f>IF(COUNT(BC876,BF876)=2,BC876*BF876,"")</f>
        <v>0.049132434037573045</v>
      </c>
      <c r="BW876" s="11" t="n">
        <f>IF(ISNUMBER(BN876),BN876,"")</f>
        <v>1.2247029157699902</v>
      </c>
      <c r="BX876" s="14" t="n">
        <f>IF(ISNUMBER(BR876),BR876,"")</f>
        <v>12</v>
      </c>
      <c r="BY876" s="13" t="n">
        <f>IF(AND(COUNT(BV876,BW876,BX876)=3,MIN(BV876,BW876,BX876)&gt;=0),BV876*BW876*BX876,"")</f>
        <v>0.7220716226963091</v>
      </c>
      <c r="BZ876" s="11" t="n">
        <f>IF(ISNUMBER(BO876),BO876,"")</f>
        <v>0.8332682139098497</v>
      </c>
      <c r="CA876" s="14" t="n">
        <f>IF(ISNUMBER(BS876),BS876,"")</f>
        <v>30</v>
      </c>
      <c r="CB876" s="13" t="n">
        <f>IF(AND(COUNT(BV876,BZ876,CA876)=3,MIN(BV876,BZ876,CA876)&gt;=0),BV876*BZ876*CA876,"")</f>
        <v>1.2282148666659598</v>
      </c>
      <c r="CC876" s="11" t="n">
        <f>IF(ISNUMBER(BP876),BP876,"")</f>
        <v>0.5511018253564084</v>
      </c>
      <c r="CD876" s="14" t="n">
        <f>IF(ISNUMBER(BT876),BT876,"")</f>
        <v>31</v>
      </c>
      <c r="CE876" s="13" t="n">
        <f>IF(AND(COUNT(BV876,CC876,CD876)=3,MIN(BV876,CC876,CD876)&gt;=0),BV876*CC876*CD876,"")</f>
        <v>0.839386196551605</v>
      </c>
      <c r="CF876" s="11" t="n">
        <f>IF(ISNUMBER(BQ876),BQ876,"")</f>
        <v>1.0017220238758797</v>
      </c>
      <c r="CG876" s="14" t="n">
        <f>IF(ISNUMBER(BU876),BU876,"")</f>
        <v>17</v>
      </c>
      <c r="CH876" s="13" t="n">
        <f>IF(AND(COUNT(BV876,CF876,CG876)=3,MIN(BV876,CF876,CG876)&gt;=0),BV876*CF876*CG876,"")</f>
        <v>0.8366897014551191</v>
      </c>
      <c r="CI876" s="13" t="n">
        <f>IF(COUNT(BY876,CB876,CE876,CH876)=4,SUM(BY876,CB876,CE876,CH876),"")</f>
        <v>3.6263623873689927</v>
      </c>
    </row>
    <row r="877" ht="72" customHeight="1">
      <c r="A877" s="16" t="str">
        <v>B06-CPG-39.5</v>
      </c>
      <c r="B877" s="16" t="str">
        <v>1店-MUSSHOE-US</v>
      </c>
      <c r="C877" s="16" t="str">
        <v>艾年</v>
      </c>
      <c r="D877" s="26" t="n">
        <f>IF(NOT(ISNUMBER(E877)),"",IF(OR(E877&lt;=0,L877=0),0,IF(OR(NOT(ISNUMBER(F877)),F877&lt;0),"",MIN(E877,INT(F877)))))</f>
        <v>0</v>
      </c>
      <c r="E877" s="27" t="n">
        <f>IF(OR(NOT(ISNUMBER(L877)),COUNT(M877:O877)&lt;&gt;3,MIN(M877:O877)&lt;0),"",ROUNDUP(ROUND(BI877-SUM(M877:O877),10),0))</f>
        <v>0</v>
      </c>
      <c r="F877" s="28"/>
      <c r="G877" s="28" t="n">
        <f>IF(AND(ISNUMBER(D877),ISNUMBER(E877)),IF(OR(E877&lt;=0,L877=0),0,E877-D877),"")</f>
        <v>0</v>
      </c>
      <c r="H877" s="16" t="str">
        <f>IF(NOT(ISNUMBER(E877)),"销量或海外库存待补",IF(OR(E877&lt;=0,L877=0),IF(L877=0,"零日销，本批不发","本批无需补货"),IF(NOT(ISNUMBER(D877)),"国内库存待补",IF(D877=0,"国内无可用库存",IF(G877&gt;0,"先发国内现货","按建议量发货")))))</f>
        <v>零日销，本批不发</v>
      </c>
      <c r="I877" s="28" t="n">
        <f>IF(AND(COUNT(Z877,AA877,AB877)=3,Z877&gt;=AA877,AA877&gt;=0,AB877=7),Z877-AA877,"")</f>
        <v>0</v>
      </c>
      <c r="J877" s="28" t="n">
        <f>IF(AND(COUNT(AF877,AG877,AH877)=3,AF877&gt;=AG877,AG877&gt;=0,AH877=14),AF877-AG877,"")</f>
        <v>0</v>
      </c>
      <c r="K877" s="28" t="n">
        <f>IF(AND(COUNT(AL877,AM877,AN877)=3,AL877&gt;=AM877,AM877&gt;=0,AN877=30),AL877-AM877,"")</f>
        <v>0</v>
      </c>
      <c r="L877" s="29" t="n">
        <f>IF(ISNUMBER(BI877),BI877/90,"")</f>
        <v>0</v>
      </c>
      <c r="M877" s="28" t="n">
        <v>0</v>
      </c>
      <c r="N877" s="28" t="n">
        <v>0</v>
      </c>
      <c r="O877" s="28" t="n">
        <v>0</v>
      </c>
      <c r="P877" s="30" t="str">
        <f>IF(AND(ISNUMBER(L877),L877&gt;0,COUNT(M877:O877)=3,MIN(M877:O877)&gt;=0),SUM(M877:O877)/L877,"")</f>
      </c>
      <c r="Q877" s="16" t="str">
        <v>按本SKU唯一未删除Listing店铺核实</v>
      </c>
      <c r="R877" s="16" t="str">
        <v>未匹配</v>
      </c>
      <c r="S877" s="16" t="str">
        <v>停售</v>
      </c>
      <c r="T877" s="16" t="str">
        <v>B06</v>
      </c>
      <c r="U877" s="16" t="str">
        <v>香槟金PU</v>
      </c>
      <c r="V877" s="16" t="n">
        <v>8.5</v>
      </c>
      <c r="W877" s="8" t="str">
        <v>2026-10-08 至 2026-10-17</v>
      </c>
      <c r="X877" s="8" t="str">
        <v>2026-10-08、2026-10-09、2026-10-10、2026-10-11、2026-10-14、2026-10-15、2026-10-17</v>
      </c>
      <c r="Y877" s="8" t="str">
        <v>2026-10-12 有记录的停售日；2026-10-13 有记录的停售日；2026-10-16 有记录的停售日</v>
      </c>
      <c r="Z877" s="8" t="n">
        <v>0</v>
      </c>
      <c r="AA877" s="8" t="n">
        <v>0</v>
      </c>
      <c r="AB877" s="8" t="n">
        <v>7</v>
      </c>
      <c r="AC877" s="8" t="str">
        <v>2026-09-29 至 2026-10-17</v>
      </c>
      <c r="AD877" s="8" t="str">
        <v>2026-09-29、2026-09-30、2026-10-01、2026-10-02、2026-10-03、2026-10-04、2026-10-05、2026-10-08、2026-10-09、2026-10-10、2026-10-11、2026-10-14、2026-10-15、2026-10-17</v>
      </c>
      <c r="AE877" s="8" t="str">
        <v>2026-10-06 大促；2026-10-07 大促；2026-10-12 有记录的停售日；2026-10-13 有记录的停售日；2026-10-16 有记录的停售日</v>
      </c>
      <c r="AF877" s="8" t="n">
        <v>0</v>
      </c>
      <c r="AG877" s="8" t="n">
        <v>0</v>
      </c>
      <c r="AH877" s="8" t="n">
        <v>14</v>
      </c>
      <c r="AI877" s="8" t="str">
        <v>2026-09-13 至 2026-10-17</v>
      </c>
      <c r="AJ87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77" s="8" t="str">
        <v>2026-10-06 大促；2026-10-07 大促；2026-10-12 有记录的停售日；2026-10-13 有记录的停售日；2026-10-16 有记录的停售日</v>
      </c>
      <c r="AL877" s="8" t="n">
        <v>0</v>
      </c>
      <c r="AM877" s="8" t="n">
        <v>0</v>
      </c>
      <c r="AN877" s="8" t="n">
        <v>30</v>
      </c>
      <c r="AO877" s="8" t="str">
        <v>B06 / 香槟金PU / 13120</v>
      </c>
      <c r="AP877" s="11" t="n">
        <v>1.2247029157699902</v>
      </c>
      <c r="AQ877" s="11" t="n">
        <v>1.1929861014741694</v>
      </c>
      <c r="AR877" s="11" t="n">
        <v>1.0914922957275428</v>
      </c>
      <c r="AS877" s="11" t="n">
        <f>IF(AND(COUNT(I877:K877,AP877:AR877)=6,MIN(AP877:AR877)&gt;0),I877/7/AP877*0.5+J877/14/AQ877*0.3+K877/30/AR877*0.2,"")</f>
        <v>0</v>
      </c>
      <c r="AT877" s="8" t="n">
        <v>0</v>
      </c>
      <c r="AU877" s="8" t="n">
        <v>0</v>
      </c>
      <c r="AV877" s="8" t="n">
        <v>85</v>
      </c>
      <c r="AW877" s="11" t="n">
        <f>IF(AND(COUNT(AT877:AV877)=3,AT877&gt;=AU877,AU877&gt;=0,AV877&gt;0),(AT877-AU877)/AV877,"")</f>
        <v>0</v>
      </c>
      <c r="AX877" s="8" t="n">
        <v>0</v>
      </c>
      <c r="AY877" s="8" t="n">
        <v>0</v>
      </c>
      <c r="AZ877" s="8" t="n">
        <v>175</v>
      </c>
      <c r="BA877" s="11" t="n">
        <f>IF(AND(COUNT(AX877:AZ877)=3,AX877&gt;=AY877,AY877&gt;=0,AZ877&gt;0),(AX877-AY877)/AZ877,"")</f>
        <v>0</v>
      </c>
      <c r="BB877" s="8" t="n">
        <f>IF(COUNT(AS877,AW877,BA877)=3,1,0)</f>
        <v>1</v>
      </c>
      <c r="BC877" s="11" t="n">
        <f>IF(SUMIF($AO$11:$AO$1309,AO877,$BB$11:$BB$1309)=COUNTIF($AO$11:$AO$1309,AO877),SUMIF($AO$11:$AO$1309,AO877,$AS$11:$AS$1309),"")</f>
        <v>0</v>
      </c>
      <c r="BD877" s="11" t="n">
        <f>IF(SUMIF($AO$11:$AO$1309,AO877,$BB$11:$BB$1309)=COUNTIF($AO$11:$AO$1309,AO877),SUMIF($AO$11:$AO$1309,AO877,$AW$11:$AW$1309),"")</f>
        <v>0</v>
      </c>
      <c r="BE877" s="11" t="n">
        <f>IF(SUMIF($AO$11:$AO$1309,AO877,$BB$11:$BB$1309)=COUNTIF($AO$11:$AO$1309,AO877),SUMIF($AO$11:$AO$1309,AO877,$BA$11:$BA$1309),"")</f>
        <v>0.011332263242375601</v>
      </c>
      <c r="BF877" s="12" t="n">
        <f>IF(COUNT(BD877:BE877)&lt;&gt;2,"",IF(AND(BD877&gt;0,BE877&gt;0),0.7*AW877/BD877+0.3*BA877/BE877,IF(BD877&gt;0,AW877/BD877,IF(BE877&gt;0,BA877/BE877,IF(AND(ISNUMBER(BH877),BH877=0),0,"")))))</f>
        <v>0</v>
      </c>
      <c r="BG877" s="11" t="n">
        <f>IF(AND(COUNT(BN877:BU877)=8,MIN(BN877:BU877)&gt;=0),SUMPRODUCT(BN877:BQ877,BR877:BU877),"")</f>
        <v>73.80791239847399</v>
      </c>
      <c r="BH877" s="11" t="n">
        <f>IF(COUNT(BC877,BG877)=2,BC877*BG877,"")</f>
        <v>0</v>
      </c>
      <c r="BI877" s="11" t="n">
        <f>IF(ISNUMBER(CI877),CI877,"")</f>
        <v>0</v>
      </c>
      <c r="BJ877" s="8" t="str">
        <v>近180天本色销量2双（＜90），无有效新采购，请运营判断</v>
      </c>
      <c r="BK877" s="8" t="str">
        <v>90天：2026-07-20 至 2026-10-17；180天：2026-04-21 至 2026-10-17</v>
      </c>
      <c r="BL877" s="8" t="str">
        <v>90天：2026-10-06、2026-10-07、2026-10-12、2026-10-13、2026-10-16；180天：2026-10-06、2026-10-07、2026-10-12、2026-10-13、2026-10-16</v>
      </c>
      <c r="BM877" s="8" t="str">
        <v>2026-10：12天 × 1.2247029157699902；2026-11：30天 × 0.8332682139098497；2026-12：31天 × 0.5511018253564084；2027-01：17天 × 1.0017220238758797</v>
      </c>
      <c r="BN877" s="11" t="n">
        <v>1.2247029157699902</v>
      </c>
      <c r="BO877" s="11" t="n">
        <v>0.8332682139098497</v>
      </c>
      <c r="BP877" s="11" t="n">
        <v>0.5511018253564084</v>
      </c>
      <c r="BQ877" s="11" t="n">
        <v>1.0017220238758797</v>
      </c>
      <c r="BR877" s="8" t="n">
        <v>12</v>
      </c>
      <c r="BS877" s="8" t="n">
        <v>30</v>
      </c>
      <c r="BT877" s="8" t="n">
        <v>31</v>
      </c>
      <c r="BU877" s="8" t="n">
        <v>17</v>
      </c>
      <c r="BV877" s="11" t="n">
        <f>IF(COUNT(BC877,BF877)=2,BC877*BF877,"")</f>
        <v>0</v>
      </c>
      <c r="BW877" s="11" t="n">
        <f>IF(ISNUMBER(BN877),BN877,"")</f>
        <v>1.2247029157699902</v>
      </c>
      <c r="BX877" s="14" t="n">
        <f>IF(ISNUMBER(BR877),BR877,"")</f>
        <v>12</v>
      </c>
      <c r="BY877" s="13" t="n">
        <f>IF(AND(COUNT(BV877,BW877,BX877)=3,MIN(BV877,BW877,BX877)&gt;=0),BV877*BW877*BX877,"")</f>
        <v>0</v>
      </c>
      <c r="BZ877" s="11" t="n">
        <f>IF(ISNUMBER(BO877),BO877,"")</f>
        <v>0.8332682139098497</v>
      </c>
      <c r="CA877" s="14" t="n">
        <f>IF(ISNUMBER(BS877),BS877,"")</f>
        <v>30</v>
      </c>
      <c r="CB877" s="13" t="n">
        <f>IF(AND(COUNT(BV877,BZ877,CA877)=3,MIN(BV877,BZ877,CA877)&gt;=0),BV877*BZ877*CA877,"")</f>
        <v>0</v>
      </c>
      <c r="CC877" s="11" t="n">
        <f>IF(ISNUMBER(BP877),BP877,"")</f>
        <v>0.5511018253564084</v>
      </c>
      <c r="CD877" s="14" t="n">
        <f>IF(ISNUMBER(BT877),BT877,"")</f>
        <v>31</v>
      </c>
      <c r="CE877" s="13" t="n">
        <f>IF(AND(COUNT(BV877,CC877,CD877)=3,MIN(BV877,CC877,CD877)&gt;=0),BV877*CC877*CD877,"")</f>
        <v>0</v>
      </c>
      <c r="CF877" s="11" t="n">
        <f>IF(ISNUMBER(BQ877),BQ877,"")</f>
        <v>1.0017220238758797</v>
      </c>
      <c r="CG877" s="14" t="n">
        <f>IF(ISNUMBER(BU877),BU877,"")</f>
        <v>17</v>
      </c>
      <c r="CH877" s="13" t="n">
        <f>IF(AND(COUNT(BV877,CF877,CG877)=3,MIN(BV877,CF877,CG877)&gt;=0),BV877*CF877*CG877,"")</f>
        <v>0</v>
      </c>
      <c r="CI877" s="13" t="n">
        <f>IF(COUNT(BY877,CB877,CE877,CH877)=4,SUM(BY877,CB877,CE877,CH877),"")</f>
        <v>0</v>
      </c>
    </row>
    <row r="878" ht="72" customHeight="1">
      <c r="A878" s="16" t="str">
        <v>B06-CPG-41</v>
      </c>
      <c r="B878" s="16" t="str">
        <v>1店-MUSSHOE-US</v>
      </c>
      <c r="C878" s="16" t="str">
        <v>艾年</v>
      </c>
      <c r="D878" s="26" t="n">
        <f>IF(NOT(ISNUMBER(E878)),"",IF(OR(E878&lt;=0,L878=0),0,IF(OR(NOT(ISNUMBER(F878)),F878&lt;0),"",MIN(E878,INT(F878)))))</f>
        <v>0</v>
      </c>
      <c r="E878" s="27" t="n">
        <f>IF(OR(NOT(ISNUMBER(L878)),COUNT(M878:O878)&lt;&gt;3,MIN(M878:O878)&lt;0),"",ROUNDUP(ROUND(BI878-SUM(M878:O878),10),0))</f>
        <v>0</v>
      </c>
      <c r="F878" s="28"/>
      <c r="G878" s="28" t="n">
        <f>IF(AND(ISNUMBER(D878),ISNUMBER(E878)),IF(OR(E878&lt;=0,L878=0),0,E878-D878),"")</f>
        <v>0</v>
      </c>
      <c r="H878" s="16" t="str">
        <f>IF(NOT(ISNUMBER(E878)),"销量或海外库存待补",IF(OR(E878&lt;=0,L878=0),IF(L878=0,"零日销，本批不发","本批无需补货"),IF(NOT(ISNUMBER(D878)),"国内库存待补",IF(D878=0,"国内无可用库存",IF(G878&gt;0,"先发国内现货","按建议量发货")))))</f>
        <v>零日销，本批不发</v>
      </c>
      <c r="I878" s="28" t="n">
        <f>IF(AND(COUNT(Z878,AA878,AB878)=3,Z878&gt;=AA878,AA878&gt;=0,AB878=7),Z878-AA878,"")</f>
        <v>0</v>
      </c>
      <c r="J878" s="28" t="n">
        <f>IF(AND(COUNT(AF878,AG878,AH878)=3,AF878&gt;=AG878,AG878&gt;=0,AH878=14),AF878-AG878,"")</f>
        <v>0</v>
      </c>
      <c r="K878" s="28" t="n">
        <f>IF(AND(COUNT(AL878,AM878,AN878)=3,AL878&gt;=AM878,AM878&gt;=0,AN878=30),AL878-AM878,"")</f>
        <v>0</v>
      </c>
      <c r="L878" s="29" t="n">
        <f>IF(ISNUMBER(BI878),BI878/90,"")</f>
        <v>0</v>
      </c>
      <c r="M878" s="28" t="n">
        <v>0</v>
      </c>
      <c r="N878" s="28" t="n">
        <v>0</v>
      </c>
      <c r="O878" s="28" t="n">
        <v>0</v>
      </c>
      <c r="P878" s="30" t="str">
        <f>IF(AND(ISNUMBER(L878),L878&gt;0,COUNT(M878:O878)=3,MIN(M878:O878)&gt;=0),SUM(M878:O878)/L878,"")</f>
      </c>
      <c r="Q878" s="16" t="str">
        <v>按本SKU唯一未删除Listing店铺核实</v>
      </c>
      <c r="R878" s="16" t="str">
        <v>未匹配</v>
      </c>
      <c r="S878" s="16" t="str">
        <v>停售</v>
      </c>
      <c r="T878" s="16" t="str">
        <v>B06</v>
      </c>
      <c r="U878" s="16" t="str">
        <v>香槟金PU</v>
      </c>
      <c r="V878" s="16" t="n">
        <v>10</v>
      </c>
      <c r="W878" s="8" t="str">
        <v>2026-10-08 至 2026-10-17</v>
      </c>
      <c r="X878" s="8" t="str">
        <v>2026-10-08、2026-10-09、2026-10-10、2026-10-11、2026-10-14、2026-10-15、2026-10-17</v>
      </c>
      <c r="Y878" s="8" t="str">
        <v>2026-10-12 有记录的停售日；2026-10-13 有记录的停售日；2026-10-16 有记录的停售日</v>
      </c>
      <c r="Z878" s="8" t="n">
        <v>0</v>
      </c>
      <c r="AA878" s="8" t="n">
        <v>0</v>
      </c>
      <c r="AB878" s="8" t="n">
        <v>7</v>
      </c>
      <c r="AC878" s="8" t="str">
        <v>2026-09-29 至 2026-10-17</v>
      </c>
      <c r="AD878" s="8" t="str">
        <v>2026-09-29、2026-09-30、2026-10-01、2026-10-02、2026-10-03、2026-10-04、2026-10-05、2026-10-08、2026-10-09、2026-10-10、2026-10-11、2026-10-14、2026-10-15、2026-10-17</v>
      </c>
      <c r="AE878" s="8" t="str">
        <v>2026-10-06 大促；2026-10-07 大促；2026-10-12 有记录的停售日；2026-10-13 有记录的停售日；2026-10-16 有记录的停售日</v>
      </c>
      <c r="AF878" s="8" t="n">
        <v>0</v>
      </c>
      <c r="AG878" s="8" t="n">
        <v>0</v>
      </c>
      <c r="AH878" s="8" t="n">
        <v>14</v>
      </c>
      <c r="AI878" s="8" t="str">
        <v>2026-09-13 至 2026-10-17</v>
      </c>
      <c r="AJ87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78" s="8" t="str">
        <v>2026-10-06 大促；2026-10-07 大促；2026-10-12 有记录的停售日；2026-10-13 有记录的停售日；2026-10-16 有记录的停售日</v>
      </c>
      <c r="AL878" s="8" t="n">
        <v>0</v>
      </c>
      <c r="AM878" s="8" t="n">
        <v>0</v>
      </c>
      <c r="AN878" s="8" t="n">
        <v>30</v>
      </c>
      <c r="AO878" s="8" t="str">
        <v>B06 / 香槟金PU / 13120</v>
      </c>
      <c r="AP878" s="11" t="n">
        <v>1.2247029157699902</v>
      </c>
      <c r="AQ878" s="11" t="n">
        <v>1.1929861014741694</v>
      </c>
      <c r="AR878" s="11" t="n">
        <v>1.0914922957275428</v>
      </c>
      <c r="AS878" s="11" t="n">
        <f>IF(AND(COUNT(I878:K878,AP878:AR878)=6,MIN(AP878:AR878)&gt;0),I878/7/AP878*0.5+J878/14/AQ878*0.3+K878/30/AR878*0.2,"")</f>
        <v>0</v>
      </c>
      <c r="AT878" s="8" t="n">
        <v>0</v>
      </c>
      <c r="AU878" s="8" t="n">
        <v>0</v>
      </c>
      <c r="AV878" s="8" t="n">
        <v>85</v>
      </c>
      <c r="AW878" s="11" t="n">
        <f>IF(AND(COUNT(AT878:AV878)=3,AT878&gt;=AU878,AU878&gt;=0,AV878&gt;0),(AT878-AU878)/AV878,"")</f>
        <v>0</v>
      </c>
      <c r="AX878" s="8" t="n">
        <v>0</v>
      </c>
      <c r="AY878" s="8" t="n">
        <v>0</v>
      </c>
      <c r="AZ878" s="8" t="n">
        <v>175</v>
      </c>
      <c r="BA878" s="11" t="n">
        <f>IF(AND(COUNT(AX878:AZ878)=3,AX878&gt;=AY878,AY878&gt;=0,AZ878&gt;0),(AX878-AY878)/AZ878,"")</f>
        <v>0</v>
      </c>
      <c r="BB878" s="8" t="n">
        <f>IF(COUNT(AS878,AW878,BA878)=3,1,0)</f>
        <v>1</v>
      </c>
      <c r="BC878" s="11" t="n">
        <f>IF(SUMIF($AO$11:$AO$1309,AO878,$BB$11:$BB$1309)=COUNTIF($AO$11:$AO$1309,AO878),SUMIF($AO$11:$AO$1309,AO878,$AS$11:$AS$1309),"")</f>
        <v>0</v>
      </c>
      <c r="BD878" s="11" t="n">
        <f>IF(SUMIF($AO$11:$AO$1309,AO878,$BB$11:$BB$1309)=COUNTIF($AO$11:$AO$1309,AO878),SUMIF($AO$11:$AO$1309,AO878,$AW$11:$AW$1309),"")</f>
        <v>0</v>
      </c>
      <c r="BE878" s="11" t="n">
        <f>IF(SUMIF($AO$11:$AO$1309,AO878,$BB$11:$BB$1309)=COUNTIF($AO$11:$AO$1309,AO878),SUMIF($AO$11:$AO$1309,AO878,$BA$11:$BA$1309),"")</f>
        <v>0.011332263242375601</v>
      </c>
      <c r="BF878" s="12" t="n">
        <f>IF(COUNT(BD878:BE878)&lt;&gt;2,"",IF(AND(BD878&gt;0,BE878&gt;0),0.7*AW878/BD878+0.3*BA878/BE878,IF(BD878&gt;0,AW878/BD878,IF(BE878&gt;0,BA878/BE878,IF(AND(ISNUMBER(BH878),BH878=0),0,"")))))</f>
        <v>0</v>
      </c>
      <c r="BG878" s="11" t="n">
        <f>IF(AND(COUNT(BN878:BU878)=8,MIN(BN878:BU878)&gt;=0),SUMPRODUCT(BN878:BQ878,BR878:BU878),"")</f>
        <v>73.80791239847399</v>
      </c>
      <c r="BH878" s="11" t="n">
        <f>IF(COUNT(BC878,BG878)=2,BC878*BG878,"")</f>
        <v>0</v>
      </c>
      <c r="BI878" s="11" t="n">
        <f>IF(ISNUMBER(CI878),CI878,"")</f>
        <v>0</v>
      </c>
      <c r="BJ878" s="8" t="str">
        <v>近180天本色销量2双（＜90），无有效新采购，请运营判断</v>
      </c>
      <c r="BK878" s="8" t="str">
        <v>90天：2026-07-20 至 2026-10-17；180天：2026-04-21 至 2026-10-17</v>
      </c>
      <c r="BL878" s="8" t="str">
        <v>90天：2026-10-06、2026-10-07、2026-10-12、2026-10-13、2026-10-16；180天：2026-10-06、2026-10-07、2026-10-12、2026-10-13、2026-10-16</v>
      </c>
      <c r="BM878" s="8" t="str">
        <v>2026-10：12天 × 1.2247029157699902；2026-11：30天 × 0.8332682139098497；2026-12：31天 × 0.5511018253564084；2027-01：17天 × 1.0017220238758797</v>
      </c>
      <c r="BN878" s="11" t="n">
        <v>1.2247029157699902</v>
      </c>
      <c r="BO878" s="11" t="n">
        <v>0.8332682139098497</v>
      </c>
      <c r="BP878" s="11" t="n">
        <v>0.5511018253564084</v>
      </c>
      <c r="BQ878" s="11" t="n">
        <v>1.0017220238758797</v>
      </c>
      <c r="BR878" s="8" t="n">
        <v>12</v>
      </c>
      <c r="BS878" s="8" t="n">
        <v>30</v>
      </c>
      <c r="BT878" s="8" t="n">
        <v>31</v>
      </c>
      <c r="BU878" s="8" t="n">
        <v>17</v>
      </c>
      <c r="BV878" s="11" t="n">
        <f>IF(COUNT(BC878,BF878)=2,BC878*BF878,"")</f>
        <v>0</v>
      </c>
      <c r="BW878" s="11" t="n">
        <f>IF(ISNUMBER(BN878),BN878,"")</f>
        <v>1.2247029157699902</v>
      </c>
      <c r="BX878" s="14" t="n">
        <f>IF(ISNUMBER(BR878),BR878,"")</f>
        <v>12</v>
      </c>
      <c r="BY878" s="13" t="n">
        <f>IF(AND(COUNT(BV878,BW878,BX878)=3,MIN(BV878,BW878,BX878)&gt;=0),BV878*BW878*BX878,"")</f>
        <v>0</v>
      </c>
      <c r="BZ878" s="11" t="n">
        <f>IF(ISNUMBER(BO878),BO878,"")</f>
        <v>0.8332682139098497</v>
      </c>
      <c r="CA878" s="14" t="n">
        <f>IF(ISNUMBER(BS878),BS878,"")</f>
        <v>30</v>
      </c>
      <c r="CB878" s="13" t="n">
        <f>IF(AND(COUNT(BV878,BZ878,CA878)=3,MIN(BV878,BZ878,CA878)&gt;=0),BV878*BZ878*CA878,"")</f>
        <v>0</v>
      </c>
      <c r="CC878" s="11" t="n">
        <f>IF(ISNUMBER(BP878),BP878,"")</f>
        <v>0.5511018253564084</v>
      </c>
      <c r="CD878" s="14" t="n">
        <f>IF(ISNUMBER(BT878),BT878,"")</f>
        <v>31</v>
      </c>
      <c r="CE878" s="13" t="n">
        <f>IF(AND(COUNT(BV878,CC878,CD878)=3,MIN(BV878,CC878,CD878)&gt;=0),BV878*CC878*CD878,"")</f>
        <v>0</v>
      </c>
      <c r="CF878" s="11" t="n">
        <f>IF(ISNUMBER(BQ878),BQ878,"")</f>
        <v>1.0017220238758797</v>
      </c>
      <c r="CG878" s="14" t="n">
        <f>IF(ISNUMBER(BU878),BU878,"")</f>
        <v>17</v>
      </c>
      <c r="CH878" s="13" t="n">
        <f>IF(AND(COUNT(BV878,CF878,CG878)=3,MIN(BV878,CF878,CG878)&gt;=0),BV878*CF878*CG878,"")</f>
        <v>0</v>
      </c>
      <c r="CI878" s="13" t="n">
        <f>IF(COUNT(BY878,CB878,CE878,CH878)=4,SUM(BY878,CB878,CE878,CH878),"")</f>
        <v>0</v>
      </c>
    </row>
    <row r="879" ht="72" customHeight="1">
      <c r="A879" s="16" t="str">
        <v>B06-CPG-41.5</v>
      </c>
      <c r="B879" s="16" t="str">
        <v>1店-MUSSHOE-US</v>
      </c>
      <c r="C879" s="16" t="str">
        <v>艾年</v>
      </c>
      <c r="D879" s="26" t="n">
        <f>IF(NOT(ISNUMBER(E879)),"",IF(OR(E879&lt;=0,L879=0),0,IF(OR(NOT(ISNUMBER(F879)),F879&lt;0),"",MIN(E879,INT(F879)))))</f>
        <v>0</v>
      </c>
      <c r="E879" s="27" t="n">
        <f>IF(OR(NOT(ISNUMBER(L879)),COUNT(M879:O879)&lt;&gt;3,MIN(M879:O879)&lt;0),"",ROUNDUP(ROUND(BI879-SUM(M879:O879),10),0))</f>
        <v>-1</v>
      </c>
      <c r="F879" s="28"/>
      <c r="G879" s="28" t="n">
        <f>IF(AND(ISNUMBER(D879),ISNUMBER(E879)),IF(OR(E879&lt;=0,L879=0),0,E879-D879),"")</f>
        <v>0</v>
      </c>
      <c r="H879" s="16" t="str">
        <f>IF(NOT(ISNUMBER(E879)),"销量或海外库存待补",IF(OR(E879&lt;=0,L879=0),IF(L879=0,"零日销，本批不发","本批无需补货"),IF(NOT(ISNUMBER(D879)),"国内库存待补",IF(D879=0,"国内无可用库存",IF(G879&gt;0,"先发国内现货","按建议量发货")))))</f>
        <v>零日销，本批不发</v>
      </c>
      <c r="I879" s="28" t="n">
        <f>IF(AND(COUNT(Z879,AA879,AB879)=3,Z879&gt;=AA879,AA879&gt;=0,AB879=7),Z879-AA879,"")</f>
        <v>0</v>
      </c>
      <c r="J879" s="28" t="n">
        <f>IF(AND(COUNT(AF879,AG879,AH879)=3,AF879&gt;=AG879,AG879&gt;=0,AH879=14),AF879-AG879,"")</f>
        <v>0</v>
      </c>
      <c r="K879" s="28" t="n">
        <f>IF(AND(COUNT(AL879,AM879,AN879)=3,AL879&gt;=AM879,AM879&gt;=0,AN879=30),AL879-AM879,"")</f>
        <v>0</v>
      </c>
      <c r="L879" s="29" t="n">
        <f>IF(ISNUMBER(BI879),BI879/90,"")</f>
        <v>0</v>
      </c>
      <c r="M879" s="28" t="n">
        <v>1</v>
      </c>
      <c r="N879" s="28" t="n">
        <v>0</v>
      </c>
      <c r="O879" s="28" t="n">
        <v>0</v>
      </c>
      <c r="P879" s="30" t="str">
        <f>IF(AND(ISNUMBER(L879),L879&gt;0,COUNT(M879:O879)=3,MIN(M879:O879)&gt;=0),SUM(M879:O879)/L879,"")</f>
      </c>
      <c r="Q879" s="16" t="str">
        <v>按本SKU唯一未删除Listing店铺核实</v>
      </c>
      <c r="R879" s="16" t="str">
        <v>未匹配</v>
      </c>
      <c r="S879" s="16" t="str">
        <v>在售</v>
      </c>
      <c r="T879" s="16" t="str">
        <v>B06</v>
      </c>
      <c r="U879" s="16" t="str">
        <v>香槟金PU</v>
      </c>
      <c r="V879" s="16" t="n">
        <v>10.5</v>
      </c>
      <c r="W879" s="8" t="str">
        <v>2026-10-11 至 2026-10-17</v>
      </c>
      <c r="X879" s="8" t="str">
        <v>2026-10-11、2026-10-12、2026-10-13、2026-10-14、2026-10-15、2026-10-16、2026-10-17</v>
      </c>
      <c r="Y879" s="8" t="str">
        <v>无</v>
      </c>
      <c r="Z879" s="8" t="n">
        <v>0</v>
      </c>
      <c r="AA879" s="8" t="n">
        <v>0</v>
      </c>
      <c r="AB879" s="8" t="n">
        <v>7</v>
      </c>
      <c r="AC879" s="8" t="str">
        <v>2026-10-02 至 2026-10-17</v>
      </c>
      <c r="AD879" s="8" t="str">
        <v>2026-10-02、2026-10-03、2026-10-04、2026-10-05、2026-10-08、2026-10-09、2026-10-10、2026-10-11、2026-10-12、2026-10-13、2026-10-14、2026-10-15、2026-10-16、2026-10-17</v>
      </c>
      <c r="AE879" s="8" t="str">
        <v>2026-10-06 大促；2026-10-07 大促</v>
      </c>
      <c r="AF879" s="8" t="n">
        <v>0</v>
      </c>
      <c r="AG879" s="8" t="n">
        <v>0</v>
      </c>
      <c r="AH879" s="8" t="n">
        <v>14</v>
      </c>
      <c r="AI879" s="8" t="str">
        <v>2026-09-16 至 2026-10-17</v>
      </c>
      <c r="AJ8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79" s="8" t="str">
        <v>2026-10-06 大促；2026-10-07 大促</v>
      </c>
      <c r="AL879" s="8" t="n">
        <v>0</v>
      </c>
      <c r="AM879" s="8" t="n">
        <v>0</v>
      </c>
      <c r="AN879" s="8" t="n">
        <v>30</v>
      </c>
      <c r="AO879" s="8" t="str">
        <v>B06 / 香槟金PU / 13120</v>
      </c>
      <c r="AP879" s="11" t="n">
        <v>1.2247029157699902</v>
      </c>
      <c r="AQ879" s="11" t="n">
        <v>1.2247029157699902</v>
      </c>
      <c r="AR879" s="11" t="n">
        <v>1.1136940657346173</v>
      </c>
      <c r="AS879" s="11" t="n">
        <f>IF(AND(COUNT(I879:K879,AP879:AR879)=6,MIN(AP879:AR879)&gt;0),I879/7/AP879*0.5+J879/14/AQ879*0.3+K879/30/AR879*0.2,"")</f>
        <v>0</v>
      </c>
      <c r="AT879" s="8" t="n">
        <v>0</v>
      </c>
      <c r="AU879" s="8" t="n">
        <v>0</v>
      </c>
      <c r="AV879" s="8" t="n">
        <v>88</v>
      </c>
      <c r="AW879" s="11" t="n">
        <f>IF(AND(COUNT(AT879:AV879)=3,AT879&gt;=AU879,AU879&gt;=0,AV879&gt;0),(AT879-AU879)/AV879,"")</f>
        <v>0</v>
      </c>
      <c r="AX879" s="8" t="n">
        <v>1</v>
      </c>
      <c r="AY879" s="8" t="n">
        <v>0</v>
      </c>
      <c r="AZ879" s="8" t="n">
        <v>178</v>
      </c>
      <c r="BA879" s="11" t="n">
        <f>IF(AND(COUNT(AX879:AZ879)=3,AX879&gt;=AY879,AY879&gt;=0,AZ879&gt;0),(AX879-AY879)/AZ879,"")</f>
        <v>0.0056179775280898875</v>
      </c>
      <c r="BB879" s="8" t="n">
        <f>IF(COUNT(AS879,AW879,BA879)=3,1,0)</f>
        <v>1</v>
      </c>
      <c r="BC879" s="11" t="n">
        <f>IF(SUMIF($AO$11:$AO$1309,AO879,$BB$11:$BB$1309)=COUNTIF($AO$11:$AO$1309,AO879),SUMIF($AO$11:$AO$1309,AO879,$AS$11:$AS$1309),"")</f>
        <v>0</v>
      </c>
      <c r="BD879" s="11" t="n">
        <f>IF(SUMIF($AO$11:$AO$1309,AO879,$BB$11:$BB$1309)=COUNTIF($AO$11:$AO$1309,AO879),SUMIF($AO$11:$AO$1309,AO879,$AW$11:$AW$1309),"")</f>
        <v>0</v>
      </c>
      <c r="BE879" s="11" t="n">
        <f>IF(SUMIF($AO$11:$AO$1309,AO879,$BB$11:$BB$1309)=COUNTIF($AO$11:$AO$1309,AO879),SUMIF($AO$11:$AO$1309,AO879,$BA$11:$BA$1309),"")</f>
        <v>0.011332263242375601</v>
      </c>
      <c r="BF879" s="12" t="n">
        <f>IF(COUNT(BD879:BE879)&lt;&gt;2,"",IF(AND(BD879&gt;0,BE879&gt;0),0.7*AW879/BD879+0.3*BA879/BE879,IF(BD879&gt;0,AW879/BD879,IF(BE879&gt;0,BA879/BE879,IF(AND(ISNUMBER(BH879),BH879=0),0,"")))))</f>
        <v>0.4957507082152975</v>
      </c>
      <c r="BG879" s="11" t="n">
        <f>IF(AND(COUNT(BN879:BU879)=8,MIN(BN879:BU879)&gt;=0),SUMPRODUCT(BN879:BQ879,BR879:BU879),"")</f>
        <v>73.80791239847399</v>
      </c>
      <c r="BH879" s="11" t="n">
        <f>IF(COUNT(BC879,BG879)=2,BC879*BG879,"")</f>
        <v>0</v>
      </c>
      <c r="BI879" s="11" t="n">
        <f>IF(ISNUMBER(CI879),CI879,"")</f>
        <v>0</v>
      </c>
      <c r="BJ879" s="8" t="str">
        <v>近180天本色销量2双（＜90），无有效新采购，请运营判断</v>
      </c>
      <c r="BK879" s="8" t="str">
        <v>90天：2026-07-20 至 2026-10-17；180天：2026-04-21 至 2026-10-17</v>
      </c>
      <c r="BL879" s="8" t="str">
        <v>90天：2026-10-06、2026-10-07；180天：2026-10-06、2026-10-07</v>
      </c>
      <c r="BM879" s="8" t="str">
        <v>2026-10：12天 × 1.2247029157699902；2026-11：30天 × 0.8332682139098497；2026-12：31天 × 0.5511018253564084；2027-01：17天 × 1.0017220238758797</v>
      </c>
      <c r="BN879" s="11" t="n">
        <v>1.2247029157699902</v>
      </c>
      <c r="BO879" s="11" t="n">
        <v>0.8332682139098497</v>
      </c>
      <c r="BP879" s="11" t="n">
        <v>0.5511018253564084</v>
      </c>
      <c r="BQ879" s="11" t="n">
        <v>1.0017220238758797</v>
      </c>
      <c r="BR879" s="8" t="n">
        <v>12</v>
      </c>
      <c r="BS879" s="8" t="n">
        <v>30</v>
      </c>
      <c r="BT879" s="8" t="n">
        <v>31</v>
      </c>
      <c r="BU879" s="8" t="n">
        <v>17</v>
      </c>
      <c r="BV879" s="11" t="n">
        <f>IF(COUNT(BC879,BF879)=2,BC879*BF879,"")</f>
        <v>0</v>
      </c>
      <c r="BW879" s="11" t="n">
        <f>IF(ISNUMBER(BN879),BN879,"")</f>
        <v>1.2247029157699902</v>
      </c>
      <c r="BX879" s="14" t="n">
        <f>IF(ISNUMBER(BR879),BR879,"")</f>
        <v>12</v>
      </c>
      <c r="BY879" s="13" t="n">
        <f>IF(AND(COUNT(BV879,BW879,BX879)=3,MIN(BV879,BW879,BX879)&gt;=0),BV879*BW879*BX879,"")</f>
        <v>0</v>
      </c>
      <c r="BZ879" s="11" t="n">
        <f>IF(ISNUMBER(BO879),BO879,"")</f>
        <v>0.8332682139098497</v>
      </c>
      <c r="CA879" s="14" t="n">
        <f>IF(ISNUMBER(BS879),BS879,"")</f>
        <v>30</v>
      </c>
      <c r="CB879" s="13" t="n">
        <f>IF(AND(COUNT(BV879,BZ879,CA879)=3,MIN(BV879,BZ879,CA879)&gt;=0),BV879*BZ879*CA879,"")</f>
        <v>0</v>
      </c>
      <c r="CC879" s="11" t="n">
        <f>IF(ISNUMBER(BP879),BP879,"")</f>
        <v>0.5511018253564084</v>
      </c>
      <c r="CD879" s="14" t="n">
        <f>IF(ISNUMBER(BT879),BT879,"")</f>
        <v>31</v>
      </c>
      <c r="CE879" s="13" t="n">
        <f>IF(AND(COUNT(BV879,CC879,CD879)=3,MIN(BV879,CC879,CD879)&gt;=0),BV879*CC879*CD879,"")</f>
        <v>0</v>
      </c>
      <c r="CF879" s="11" t="n">
        <f>IF(ISNUMBER(BQ879),BQ879,"")</f>
        <v>1.0017220238758797</v>
      </c>
      <c r="CG879" s="14" t="n">
        <f>IF(ISNUMBER(BU879),BU879,"")</f>
        <v>17</v>
      </c>
      <c r="CH879" s="13" t="n">
        <f>IF(AND(COUNT(BV879,CF879,CG879)=3,MIN(BV879,CF879,CG879)&gt;=0),BV879*CF879*CG879,"")</f>
        <v>0</v>
      </c>
      <c r="CI879" s="13" t="n">
        <f>IF(COUNT(BY879,CB879,CE879,CH879)=4,SUM(BY879,CB879,CE879,CH879),"")</f>
        <v>0</v>
      </c>
    </row>
    <row r="880" ht="72" customHeight="1">
      <c r="A880" s="16" t="str">
        <v>B06-CPG-42</v>
      </c>
      <c r="B880" s="16" t="str">
        <v>1店-MUSSHOE-US</v>
      </c>
      <c r="C880" s="16" t="str">
        <v>艾年</v>
      </c>
      <c r="D880" s="26" t="n">
        <f>IF(NOT(ISNUMBER(E880)),"",IF(OR(E880&lt;=0,L880=0),0,IF(OR(NOT(ISNUMBER(F880)),F880&lt;0),"",MIN(E880,INT(F880)))))</f>
        <v>0</v>
      </c>
      <c r="E880" s="27" t="n">
        <f>IF(OR(NOT(ISNUMBER(L880)),COUNT(M880:O880)&lt;&gt;3,MIN(M880:O880)&lt;0),"",ROUNDUP(ROUND(BI880-SUM(M880:O880),10),0))</f>
        <v>0</v>
      </c>
      <c r="F880" s="28" t="n">
        <v>0</v>
      </c>
      <c r="G880" s="28" t="n">
        <f>IF(AND(ISNUMBER(D880),ISNUMBER(E880)),IF(OR(E880&lt;=0,L880=0),0,E880-D880),"")</f>
        <v>0</v>
      </c>
      <c r="H880" s="16" t="str">
        <f>IF(NOT(ISNUMBER(E880)),"销量或海外库存待补",IF(OR(E880&lt;=0,L880=0),IF(L880=0,"零日销，本批不发","本批无需补货"),IF(NOT(ISNUMBER(D880)),"国内库存待补",IF(D880=0,"国内无可用库存",IF(G880&gt;0,"先发国内现货","按建议量发货")))))</f>
        <v>零日销，本批不发</v>
      </c>
      <c r="I880" s="28" t="n">
        <f>IF(AND(COUNT(Z880,AA880,AB880)=3,Z880&gt;=AA880,AA880&gt;=0,AB880=7),Z880-AA880,"")</f>
        <v>0</v>
      </c>
      <c r="J880" s="28" t="n">
        <f>IF(AND(COUNT(AF880,AG880,AH880)=3,AF880&gt;=AG880,AG880&gt;=0,AH880=14),AF880-AG880,"")</f>
        <v>0</v>
      </c>
      <c r="K880" s="28" t="n">
        <f>IF(AND(COUNT(AL880,AM880,AN880)=3,AL880&gt;=AM880,AM880&gt;=0,AN880=30),AL880-AM880,"")</f>
        <v>0</v>
      </c>
      <c r="L880" s="29" t="n">
        <f>IF(ISNUMBER(BI880),BI880/90,"")</f>
        <v>0</v>
      </c>
      <c r="M880" s="28" t="n">
        <v>0</v>
      </c>
      <c r="N880" s="28" t="n">
        <v>0</v>
      </c>
      <c r="O880" s="28" t="n">
        <v>0</v>
      </c>
      <c r="P880" s="30" t="str">
        <f>IF(AND(ISNUMBER(L880),L880&gt;0,COUNT(M880:O880)=3,MIN(M880:O880)&gt;=0),SUM(M880:O880)/L880,"")</f>
      </c>
      <c r="Q880" s="16" t="str">
        <v>按本SKU唯一未删除Listing店铺核实</v>
      </c>
      <c r="R880" s="16" t="str">
        <v>已匹配</v>
      </c>
      <c r="S880" s="16" t="str">
        <v>停售</v>
      </c>
      <c r="T880" s="16" t="str">
        <v>B06</v>
      </c>
      <c r="U880" s="16" t="str">
        <v>香槟金PU</v>
      </c>
      <c r="V880" s="16" t="n">
        <v>11</v>
      </c>
      <c r="W880" s="8" t="str">
        <v>2026-10-08 至 2026-10-17</v>
      </c>
      <c r="X880" s="8" t="str">
        <v>2026-10-08、2026-10-09、2026-10-10、2026-10-11、2026-10-14、2026-10-15、2026-10-17</v>
      </c>
      <c r="Y880" s="8" t="str">
        <v>2026-10-12 有记录的停售日；2026-10-13 有记录的停售日；2026-10-16 有记录的停售日</v>
      </c>
      <c r="Z880" s="8" t="n">
        <v>0</v>
      </c>
      <c r="AA880" s="8" t="n">
        <v>0</v>
      </c>
      <c r="AB880" s="8" t="n">
        <v>7</v>
      </c>
      <c r="AC880" s="8" t="str">
        <v>2026-09-29 至 2026-10-17</v>
      </c>
      <c r="AD880" s="8" t="str">
        <v>2026-09-29、2026-09-30、2026-10-01、2026-10-02、2026-10-03、2026-10-04、2026-10-05、2026-10-08、2026-10-09、2026-10-10、2026-10-11、2026-10-14、2026-10-15、2026-10-17</v>
      </c>
      <c r="AE880" s="8" t="str">
        <v>2026-10-06 大促；2026-10-07 大促；2026-10-12 有记录的停售日；2026-10-13 有记录的停售日；2026-10-16 有记录的停售日</v>
      </c>
      <c r="AF880" s="8" t="n">
        <v>0</v>
      </c>
      <c r="AG880" s="8" t="n">
        <v>0</v>
      </c>
      <c r="AH880" s="8" t="n">
        <v>14</v>
      </c>
      <c r="AI880" s="8" t="str">
        <v>2026-09-13 至 2026-10-17</v>
      </c>
      <c r="AJ88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0" s="8" t="str">
        <v>2026-10-06 大促；2026-10-07 大促；2026-10-12 有记录的停售日；2026-10-13 有记录的停售日；2026-10-16 有记录的停售日</v>
      </c>
      <c r="AL880" s="8" t="n">
        <v>0</v>
      </c>
      <c r="AM880" s="8" t="n">
        <v>0</v>
      </c>
      <c r="AN880" s="8" t="n">
        <v>30</v>
      </c>
      <c r="AO880" s="8" t="str">
        <v>B06 / 香槟金PU / 13120</v>
      </c>
      <c r="AP880" s="11" t="n">
        <v>1.2247029157699902</v>
      </c>
      <c r="AQ880" s="11" t="n">
        <v>1.1929861014741694</v>
      </c>
      <c r="AR880" s="11" t="n">
        <v>1.0914922957275428</v>
      </c>
      <c r="AS880" s="11" t="n">
        <f>IF(AND(COUNT(I880:K880,AP880:AR880)=6,MIN(AP880:AR880)&gt;0),I880/7/AP880*0.5+J880/14/AQ880*0.3+K880/30/AR880*0.2,"")</f>
        <v>0</v>
      </c>
      <c r="AT880" s="8" t="n">
        <v>0</v>
      </c>
      <c r="AU880" s="8" t="n">
        <v>0</v>
      </c>
      <c r="AV880" s="8" t="n">
        <v>85</v>
      </c>
      <c r="AW880" s="11" t="n">
        <f>IF(AND(COUNT(AT880:AV880)=3,AT880&gt;=AU880,AU880&gt;=0,AV880&gt;0),(AT880-AU880)/AV880,"")</f>
        <v>0</v>
      </c>
      <c r="AX880" s="8" t="n">
        <v>1</v>
      </c>
      <c r="AY880" s="8" t="n">
        <v>0</v>
      </c>
      <c r="AZ880" s="8" t="n">
        <v>175</v>
      </c>
      <c r="BA880" s="11" t="n">
        <f>IF(AND(COUNT(AX880:AZ880)=3,AX880&gt;=AY880,AY880&gt;=0,AZ880&gt;0),(AX880-AY880)/AZ880,"")</f>
        <v>0.005714285714285714</v>
      </c>
      <c r="BB880" s="8" t="n">
        <f>IF(COUNT(AS880,AW880,BA880)=3,1,0)</f>
        <v>1</v>
      </c>
      <c r="BC880" s="11" t="n">
        <f>IF(SUMIF($AO$11:$AO$1309,AO880,$BB$11:$BB$1309)=COUNTIF($AO$11:$AO$1309,AO880),SUMIF($AO$11:$AO$1309,AO880,$AS$11:$AS$1309),"")</f>
        <v>0</v>
      </c>
      <c r="BD880" s="11" t="n">
        <f>IF(SUMIF($AO$11:$AO$1309,AO880,$BB$11:$BB$1309)=COUNTIF($AO$11:$AO$1309,AO880),SUMIF($AO$11:$AO$1309,AO880,$AW$11:$AW$1309),"")</f>
        <v>0</v>
      </c>
      <c r="BE880" s="11" t="n">
        <f>IF(SUMIF($AO$11:$AO$1309,AO880,$BB$11:$BB$1309)=COUNTIF($AO$11:$AO$1309,AO880),SUMIF($AO$11:$AO$1309,AO880,$BA$11:$BA$1309),"")</f>
        <v>0.011332263242375601</v>
      </c>
      <c r="BF880" s="12" t="n">
        <f>IF(COUNT(BD880:BE880)&lt;&gt;2,"",IF(AND(BD880&gt;0,BE880&gt;0),0.7*AW880/BD880+0.3*BA880/BE880,IF(BD880&gt;0,AW880/BD880,IF(BE880&gt;0,BA880/BE880,IF(AND(ISNUMBER(BH880),BH880=0),0,"")))))</f>
        <v>0.5042492917847026</v>
      </c>
      <c r="BG880" s="11" t="n">
        <f>IF(AND(COUNT(BN880:BU880)=8,MIN(BN880:BU880)&gt;=0),SUMPRODUCT(BN880:BQ880,BR880:BU880),"")</f>
        <v>73.80791239847399</v>
      </c>
      <c r="BH880" s="11" t="n">
        <f>IF(COUNT(BC880,BG880)=2,BC880*BG880,"")</f>
        <v>0</v>
      </c>
      <c r="BI880" s="11" t="n">
        <f>IF(ISNUMBER(CI880),CI880,"")</f>
        <v>0</v>
      </c>
      <c r="BJ880" s="8" t="str">
        <v>近180天本色销量2双（＜90），无有效新采购，请运营判断</v>
      </c>
      <c r="BK880" s="8" t="str">
        <v>90天：2026-07-20 至 2026-10-17；180天：2026-04-21 至 2026-10-17</v>
      </c>
      <c r="BL880" s="8" t="str">
        <v>90天：2026-10-06、2026-10-07、2026-10-12、2026-10-13、2026-10-16；180天：2026-10-06、2026-10-07、2026-10-12、2026-10-13、2026-10-16</v>
      </c>
      <c r="BM880" s="8" t="str">
        <v>2026-10：12天 × 1.2247029157699902；2026-11：30天 × 0.8332682139098497；2026-12：31天 × 0.5511018253564084；2027-01：17天 × 1.0017220238758797</v>
      </c>
      <c r="BN880" s="11" t="n">
        <v>1.2247029157699902</v>
      </c>
      <c r="BO880" s="11" t="n">
        <v>0.8332682139098497</v>
      </c>
      <c r="BP880" s="11" t="n">
        <v>0.5511018253564084</v>
      </c>
      <c r="BQ880" s="11" t="n">
        <v>1.0017220238758797</v>
      </c>
      <c r="BR880" s="8" t="n">
        <v>12</v>
      </c>
      <c r="BS880" s="8" t="n">
        <v>30</v>
      </c>
      <c r="BT880" s="8" t="n">
        <v>31</v>
      </c>
      <c r="BU880" s="8" t="n">
        <v>17</v>
      </c>
      <c r="BV880" s="11" t="n">
        <f>IF(COUNT(BC880,BF880)=2,BC880*BF880,"")</f>
        <v>0</v>
      </c>
      <c r="BW880" s="11" t="n">
        <f>IF(ISNUMBER(BN880),BN880,"")</f>
        <v>1.2247029157699902</v>
      </c>
      <c r="BX880" s="14" t="n">
        <f>IF(ISNUMBER(BR880),BR880,"")</f>
        <v>12</v>
      </c>
      <c r="BY880" s="13" t="n">
        <f>IF(AND(COUNT(BV880,BW880,BX880)=3,MIN(BV880,BW880,BX880)&gt;=0),BV880*BW880*BX880,"")</f>
        <v>0</v>
      </c>
      <c r="BZ880" s="11" t="n">
        <f>IF(ISNUMBER(BO880),BO880,"")</f>
        <v>0.8332682139098497</v>
      </c>
      <c r="CA880" s="14" t="n">
        <f>IF(ISNUMBER(BS880),BS880,"")</f>
        <v>30</v>
      </c>
      <c r="CB880" s="13" t="n">
        <f>IF(AND(COUNT(BV880,BZ880,CA880)=3,MIN(BV880,BZ880,CA880)&gt;=0),BV880*BZ880*CA880,"")</f>
        <v>0</v>
      </c>
      <c r="CC880" s="11" t="n">
        <f>IF(ISNUMBER(BP880),BP880,"")</f>
        <v>0.5511018253564084</v>
      </c>
      <c r="CD880" s="14" t="n">
        <f>IF(ISNUMBER(BT880),BT880,"")</f>
        <v>31</v>
      </c>
      <c r="CE880" s="13" t="n">
        <f>IF(AND(COUNT(BV880,CC880,CD880)=3,MIN(BV880,CC880,CD880)&gt;=0),BV880*CC880*CD880,"")</f>
        <v>0</v>
      </c>
      <c r="CF880" s="11" t="n">
        <f>IF(ISNUMBER(BQ880),BQ880,"")</f>
        <v>1.0017220238758797</v>
      </c>
      <c r="CG880" s="14" t="n">
        <f>IF(ISNUMBER(BU880),BU880,"")</f>
        <v>17</v>
      </c>
      <c r="CH880" s="13" t="n">
        <f>IF(AND(COUNT(BV880,CF880,CG880)=3,MIN(BV880,CF880,CG880)&gt;=0),BV880*CF880*CG880,"")</f>
        <v>0</v>
      </c>
      <c r="CI880" s="13" t="n">
        <f>IF(COUNT(BY880,CB880,CE880,CH880)=4,SUM(BY880,CB880,CE880,CH880),"")</f>
        <v>0</v>
      </c>
    </row>
    <row r="881" ht="72" customHeight="1">
      <c r="A881" s="16" t="str">
        <v>B06-GG-40</v>
      </c>
      <c r="B881" s="16" t="str">
        <v>1店-MUSSHOE-US</v>
      </c>
      <c r="C881" s="16" t="str">
        <v>艾年</v>
      </c>
      <c r="D881" s="26" t="n">
        <f>IF(NOT(ISNUMBER(E881)),"",IF(OR(E881&lt;=0,L881=0),0,IF(OR(NOT(ISNUMBER(F881)),F881&lt;0),"",MIN(E881,INT(F881)))))</f>
        <v>0</v>
      </c>
      <c r="E881" s="27" t="n">
        <f>IF(OR(NOT(ISNUMBER(L881)),COUNT(M881:O881)&lt;&gt;3,MIN(M881:O881)&lt;0),"",ROUNDUP(ROUND(BI881-SUM(M881:O881),10),0))</f>
        <v>0</v>
      </c>
      <c r="F881" s="28"/>
      <c r="G881" s="28" t="n">
        <f>IF(AND(ISNUMBER(D881),ISNUMBER(E881)),IF(OR(E881&lt;=0,L881=0),0,E881-D881),"")</f>
        <v>0</v>
      </c>
      <c r="H881" s="16" t="str">
        <f>IF(NOT(ISNUMBER(E881)),"销量或海外库存待补",IF(OR(E881&lt;=0,L881=0),IF(L881=0,"零日销，本批不发","本批无需补货"),IF(NOT(ISNUMBER(D881)),"国内库存待补",IF(D881=0,"国内无可用库存",IF(G881&gt;0,"先发国内现货","按建议量发货")))))</f>
        <v>零日销，本批不发</v>
      </c>
      <c r="I881" s="28" t="n">
        <f>IF(AND(COUNT(Z881,AA881,AB881)=3,Z881&gt;=AA881,AA881&gt;=0,AB881=7),Z881-AA881,"")</f>
        <v>0</v>
      </c>
      <c r="J881" s="28" t="n">
        <f>IF(AND(COUNT(AF881,AG881,AH881)=3,AF881&gt;=AG881,AG881&gt;=0,AH881=14),AF881-AG881,"")</f>
        <v>0</v>
      </c>
      <c r="K881" s="28" t="n">
        <f>IF(AND(COUNT(AL881,AM881,AN881)=3,AL881&gt;=AM881,AM881&gt;=0,AN881=30),AL881-AM881,"")</f>
        <v>0</v>
      </c>
      <c r="L881" s="29" t="n">
        <f>IF(ISNUMBER(BI881),BI881/90,"")</f>
        <v>0</v>
      </c>
      <c r="M881" s="28" t="n">
        <v>0</v>
      </c>
      <c r="N881" s="28" t="n">
        <v>0</v>
      </c>
      <c r="O881" s="28" t="n">
        <v>0</v>
      </c>
      <c r="P881" s="30" t="str">
        <f>IF(AND(ISNUMBER(L881),L881&gt;0,COUNT(M881:O881)=3,MIN(M881:O881)&gt;=0),SUM(M881:O881)/L881,"")</f>
      </c>
      <c r="Q881" s="16" t="str">
        <v>按本SKU唯一未删除Listing店铺核实</v>
      </c>
      <c r="R881" s="16" t="str">
        <v>未匹配</v>
      </c>
      <c r="S881" s="16" t="str">
        <v>停售</v>
      </c>
      <c r="T881" s="16" t="str">
        <v>B06</v>
      </c>
      <c r="U881" s="16" t="str">
        <v>金色格利特</v>
      </c>
      <c r="V881" s="16" t="n">
        <v>9</v>
      </c>
      <c r="W881" s="8" t="str">
        <v>2026-10-08 至 2026-10-17</v>
      </c>
      <c r="X881" s="8" t="str">
        <v>2026-10-08、2026-10-09、2026-10-10、2026-10-11、2026-10-14、2026-10-15、2026-10-17</v>
      </c>
      <c r="Y881" s="8" t="str">
        <v>2026-10-12 有记录的停售日；2026-10-13 有记录的停售日；2026-10-16 有记录的停售日</v>
      </c>
      <c r="Z881" s="8" t="n">
        <v>0</v>
      </c>
      <c r="AA881" s="8" t="n">
        <v>0</v>
      </c>
      <c r="AB881" s="8" t="n">
        <v>7</v>
      </c>
      <c r="AC881" s="8" t="str">
        <v>2026-09-29 至 2026-10-17</v>
      </c>
      <c r="AD881" s="8" t="str">
        <v>2026-09-29、2026-09-30、2026-10-01、2026-10-02、2026-10-03、2026-10-04、2026-10-05、2026-10-08、2026-10-09、2026-10-10、2026-10-11、2026-10-14、2026-10-15、2026-10-17</v>
      </c>
      <c r="AE881" s="8" t="str">
        <v>2026-10-06 大促；2026-10-07 大促；2026-10-12 有记录的停售日；2026-10-13 有记录的停售日；2026-10-16 有记录的停售日</v>
      </c>
      <c r="AF881" s="8" t="n">
        <v>0</v>
      </c>
      <c r="AG881" s="8" t="n">
        <v>0</v>
      </c>
      <c r="AH881" s="8" t="n">
        <v>14</v>
      </c>
      <c r="AI881" s="8" t="str">
        <v>2026-09-13 至 2026-10-17</v>
      </c>
      <c r="AJ88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1" s="8" t="str">
        <v>2026-10-06 大促；2026-10-07 大促；2026-10-12 有记录的停售日；2026-10-13 有记录的停售日；2026-10-16 有记录的停售日</v>
      </c>
      <c r="AL881" s="8" t="n">
        <v>0</v>
      </c>
      <c r="AM881" s="8" t="n">
        <v>0</v>
      </c>
      <c r="AN881" s="8" t="n">
        <v>30</v>
      </c>
      <c r="AO881" s="8" t="str">
        <v>B06 / 金色格利特 / 13120</v>
      </c>
      <c r="AP881" s="11" t="n">
        <v>1.2247029157699902</v>
      </c>
      <c r="AQ881" s="11" t="n">
        <v>1.1929861014741694</v>
      </c>
      <c r="AR881" s="11" t="n">
        <v>1.0914922957275428</v>
      </c>
      <c r="AS881" s="11" t="n">
        <f>IF(AND(COUNT(I881:K881,AP881:AR881)=6,MIN(AP881:AR881)&gt;0),I881/7/AP881*0.5+J881/14/AQ881*0.3+K881/30/AR881*0.2,"")</f>
        <v>0</v>
      </c>
      <c r="AT881" s="8" t="n">
        <v>0</v>
      </c>
      <c r="AU881" s="8" t="n">
        <v>0</v>
      </c>
      <c r="AV881" s="8" t="n">
        <v>85</v>
      </c>
      <c r="AW881" s="11" t="n">
        <f>IF(AND(COUNT(AT881:AV881)=3,AT881&gt;=AU881,AU881&gt;=0,AV881&gt;0),(AT881-AU881)/AV881,"")</f>
        <v>0</v>
      </c>
      <c r="AX881" s="8" t="n">
        <v>0</v>
      </c>
      <c r="AY881" s="8" t="n">
        <v>0</v>
      </c>
      <c r="AZ881" s="8" t="n">
        <v>175</v>
      </c>
      <c r="BA881" s="11" t="n">
        <f>IF(AND(COUNT(AX881:AZ881)=3,AX881&gt;=AY881,AY881&gt;=0,AZ881&gt;0),(AX881-AY881)/AZ881,"")</f>
        <v>0</v>
      </c>
      <c r="BB881" s="8" t="n">
        <f>IF(COUNT(AS881,AW881,BA881)=3,1,0)</f>
        <v>1</v>
      </c>
      <c r="BC881" s="11" t="n">
        <f>IF(SUMIF($AO$11:$AO$1309,AO881,$BB$11:$BB$1309)=COUNTIF($AO$11:$AO$1309,AO881),SUMIF($AO$11:$AO$1309,AO881,$AS$11:$AS$1309),"")</f>
        <v>0</v>
      </c>
      <c r="BD881" s="11" t="n">
        <f>IF(SUMIF($AO$11:$AO$1309,AO881,$BB$11:$BB$1309)=COUNTIF($AO$11:$AO$1309,AO881),SUMIF($AO$11:$AO$1309,AO881,$AW$11:$AW$1309),"")</f>
        <v>0</v>
      </c>
      <c r="BE881" s="11" t="n">
        <f>IF(SUMIF($AO$11:$AO$1309,AO881,$BB$11:$BB$1309)=COUNTIF($AO$11:$AO$1309,AO881),SUMIF($AO$11:$AO$1309,AO881,$BA$11:$BA$1309),"")</f>
        <v>0.005714285714285714</v>
      </c>
      <c r="BF881" s="12" t="n">
        <f>IF(COUNT(BD881:BE881)&lt;&gt;2,"",IF(AND(BD881&gt;0,BE881&gt;0),0.7*AW881/BD881+0.3*BA881/BE881,IF(BD881&gt;0,AW881/BD881,IF(BE881&gt;0,BA881/BE881,IF(AND(ISNUMBER(BH881),BH881=0),0,"")))))</f>
        <v>0</v>
      </c>
      <c r="BG881" s="11" t="n">
        <f>IF(AND(COUNT(BN881:BU881)=8,MIN(BN881:BU881)&gt;=0),SUMPRODUCT(BN881:BQ881,BR881:BU881),"")</f>
        <v>73.80791239847399</v>
      </c>
      <c r="BH881" s="11" t="n">
        <f>IF(COUNT(BC881,BG881)=2,BC881*BG881,"")</f>
        <v>0</v>
      </c>
      <c r="BI881" s="11" t="n">
        <f>IF(ISNUMBER(CI881),CI881,"")</f>
        <v>0</v>
      </c>
      <c r="BJ881" s="8" t="str">
        <v>近180天本色销量1双（＜90），无有效新采购，请运营判断</v>
      </c>
      <c r="BK881" s="8" t="str">
        <v>90天：2026-07-20 至 2026-10-17；180天：2026-04-21 至 2026-10-17</v>
      </c>
      <c r="BL881" s="8" t="str">
        <v>90天：2026-10-06、2026-10-07、2026-10-12、2026-10-13、2026-10-16；180天：2026-10-06、2026-10-07、2026-10-12、2026-10-13、2026-10-16</v>
      </c>
      <c r="BM881" s="8" t="str">
        <v>2026-10：12天 × 1.2247029157699902；2026-11：30天 × 0.8332682139098497；2026-12：31天 × 0.5511018253564084；2027-01：17天 × 1.0017220238758797</v>
      </c>
      <c r="BN881" s="11" t="n">
        <v>1.2247029157699902</v>
      </c>
      <c r="BO881" s="11" t="n">
        <v>0.8332682139098497</v>
      </c>
      <c r="BP881" s="11" t="n">
        <v>0.5511018253564084</v>
      </c>
      <c r="BQ881" s="11" t="n">
        <v>1.0017220238758797</v>
      </c>
      <c r="BR881" s="8" t="n">
        <v>12</v>
      </c>
      <c r="BS881" s="8" t="n">
        <v>30</v>
      </c>
      <c r="BT881" s="8" t="n">
        <v>31</v>
      </c>
      <c r="BU881" s="8" t="n">
        <v>17</v>
      </c>
      <c r="BV881" s="11" t="n">
        <f>IF(COUNT(BC881,BF881)=2,BC881*BF881,"")</f>
        <v>0</v>
      </c>
      <c r="BW881" s="11" t="n">
        <f>IF(ISNUMBER(BN881),BN881,"")</f>
        <v>1.2247029157699902</v>
      </c>
      <c r="BX881" s="14" t="n">
        <f>IF(ISNUMBER(BR881),BR881,"")</f>
        <v>12</v>
      </c>
      <c r="BY881" s="13" t="n">
        <f>IF(AND(COUNT(BV881,BW881,BX881)=3,MIN(BV881,BW881,BX881)&gt;=0),BV881*BW881*BX881,"")</f>
        <v>0</v>
      </c>
      <c r="BZ881" s="11" t="n">
        <f>IF(ISNUMBER(BO881),BO881,"")</f>
        <v>0.8332682139098497</v>
      </c>
      <c r="CA881" s="14" t="n">
        <f>IF(ISNUMBER(BS881),BS881,"")</f>
        <v>30</v>
      </c>
      <c r="CB881" s="13" t="n">
        <f>IF(AND(COUNT(BV881,BZ881,CA881)=3,MIN(BV881,BZ881,CA881)&gt;=0),BV881*BZ881*CA881,"")</f>
        <v>0</v>
      </c>
      <c r="CC881" s="11" t="n">
        <f>IF(ISNUMBER(BP881),BP881,"")</f>
        <v>0.5511018253564084</v>
      </c>
      <c r="CD881" s="14" t="n">
        <f>IF(ISNUMBER(BT881),BT881,"")</f>
        <v>31</v>
      </c>
      <c r="CE881" s="13" t="n">
        <f>IF(AND(COUNT(BV881,CC881,CD881)=3,MIN(BV881,CC881,CD881)&gt;=0),BV881*CC881*CD881,"")</f>
        <v>0</v>
      </c>
      <c r="CF881" s="11" t="n">
        <f>IF(ISNUMBER(BQ881),BQ881,"")</f>
        <v>1.0017220238758797</v>
      </c>
      <c r="CG881" s="14" t="n">
        <f>IF(ISNUMBER(BU881),BU881,"")</f>
        <v>17</v>
      </c>
      <c r="CH881" s="13" t="n">
        <f>IF(AND(COUNT(BV881,CF881,CG881)=3,MIN(BV881,CF881,CG881)&gt;=0),BV881*CF881*CG881,"")</f>
        <v>0</v>
      </c>
      <c r="CI881" s="13" t="n">
        <f>IF(COUNT(BY881,CB881,CE881,CH881)=4,SUM(BY881,CB881,CE881,CH881),"")</f>
        <v>0</v>
      </c>
    </row>
    <row r="882" ht="72" customHeight="1">
      <c r="A882" s="16" t="str">
        <v>B06-GG-41</v>
      </c>
      <c r="B882" s="16" t="str">
        <v>1店-MUSSHOE-US</v>
      </c>
      <c r="C882" s="16" t="str">
        <v>艾年</v>
      </c>
      <c r="D882" s="26" t="n">
        <f>IF(NOT(ISNUMBER(E882)),"",IF(OR(E882&lt;=0,L882=0),0,IF(OR(NOT(ISNUMBER(F882)),F882&lt;0),"",MIN(E882,INT(F882)))))</f>
        <v>0</v>
      </c>
      <c r="E882" s="27" t="n">
        <f>IF(OR(NOT(ISNUMBER(L882)),COUNT(M882:O882)&lt;&gt;3,MIN(M882:O882)&lt;0),"",ROUNDUP(ROUND(BI882-SUM(M882:O882),10),0))</f>
        <v>0</v>
      </c>
      <c r="F882" s="28"/>
      <c r="G882" s="28" t="n">
        <f>IF(AND(ISNUMBER(D882),ISNUMBER(E882)),IF(OR(E882&lt;=0,L882=0),0,E882-D882),"")</f>
        <v>0</v>
      </c>
      <c r="H882" s="16" t="str">
        <f>IF(NOT(ISNUMBER(E882)),"销量或海外库存待补",IF(OR(E882&lt;=0,L882=0),IF(L882=0,"零日销，本批不发","本批无需补货"),IF(NOT(ISNUMBER(D882)),"国内库存待补",IF(D882=0,"国内无可用库存",IF(G882&gt;0,"先发国内现货","按建议量发货")))))</f>
        <v>零日销，本批不发</v>
      </c>
      <c r="I882" s="28" t="n">
        <f>IF(AND(COUNT(Z882,AA882,AB882)=3,Z882&gt;=AA882,AA882&gt;=0,AB882=7),Z882-AA882,"")</f>
        <v>0</v>
      </c>
      <c r="J882" s="28" t="n">
        <f>IF(AND(COUNT(AF882,AG882,AH882)=3,AF882&gt;=AG882,AG882&gt;=0,AH882=14),AF882-AG882,"")</f>
        <v>0</v>
      </c>
      <c r="K882" s="28" t="n">
        <f>IF(AND(COUNT(AL882,AM882,AN882)=3,AL882&gt;=AM882,AM882&gt;=0,AN882=30),AL882-AM882,"")</f>
        <v>0</v>
      </c>
      <c r="L882" s="29" t="n">
        <f>IF(ISNUMBER(BI882),BI882/90,"")</f>
        <v>0</v>
      </c>
      <c r="M882" s="28" t="n">
        <v>0</v>
      </c>
      <c r="N882" s="28" t="n">
        <v>0</v>
      </c>
      <c r="O882" s="28" t="n">
        <v>0</v>
      </c>
      <c r="P882" s="30" t="str">
        <f>IF(AND(ISNUMBER(L882),L882&gt;0,COUNT(M882:O882)=3,MIN(M882:O882)&gt;=0),SUM(M882:O882)/L882,"")</f>
      </c>
      <c r="Q882" s="16" t="str">
        <v>按本SKU唯一未删除Listing店铺核实</v>
      </c>
      <c r="R882" s="16" t="str">
        <v>未匹配</v>
      </c>
      <c r="S882" s="16" t="str">
        <v>停售</v>
      </c>
      <c r="T882" s="16" t="str">
        <v>B06</v>
      </c>
      <c r="U882" s="16" t="str">
        <v>金色格利特</v>
      </c>
      <c r="V882" s="16" t="n">
        <v>10</v>
      </c>
      <c r="W882" s="8" t="str">
        <v>2026-10-08 至 2026-10-17</v>
      </c>
      <c r="X882" s="8" t="str">
        <v>2026-10-08、2026-10-09、2026-10-10、2026-10-11、2026-10-14、2026-10-15、2026-10-17</v>
      </c>
      <c r="Y882" s="8" t="str">
        <v>2026-10-12 有记录的停售日；2026-10-13 有记录的停售日；2026-10-16 有记录的停售日</v>
      </c>
      <c r="Z882" s="8" t="n">
        <v>0</v>
      </c>
      <c r="AA882" s="8" t="n">
        <v>0</v>
      </c>
      <c r="AB882" s="8" t="n">
        <v>7</v>
      </c>
      <c r="AC882" s="8" t="str">
        <v>2026-09-29 至 2026-10-17</v>
      </c>
      <c r="AD882" s="8" t="str">
        <v>2026-09-29、2026-09-30、2026-10-01、2026-10-02、2026-10-03、2026-10-04、2026-10-05、2026-10-08、2026-10-09、2026-10-10、2026-10-11、2026-10-14、2026-10-15、2026-10-17</v>
      </c>
      <c r="AE882" s="8" t="str">
        <v>2026-10-06 大促；2026-10-07 大促；2026-10-12 有记录的停售日；2026-10-13 有记录的停售日；2026-10-16 有记录的停售日</v>
      </c>
      <c r="AF882" s="8" t="n">
        <v>0</v>
      </c>
      <c r="AG882" s="8" t="n">
        <v>0</v>
      </c>
      <c r="AH882" s="8" t="n">
        <v>14</v>
      </c>
      <c r="AI882" s="8" t="str">
        <v>2026-09-13 至 2026-10-17</v>
      </c>
      <c r="AJ88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2" s="8" t="str">
        <v>2026-10-06 大促；2026-10-07 大促；2026-10-12 有记录的停售日；2026-10-13 有记录的停售日；2026-10-16 有记录的停售日</v>
      </c>
      <c r="AL882" s="8" t="n">
        <v>0</v>
      </c>
      <c r="AM882" s="8" t="n">
        <v>0</v>
      </c>
      <c r="AN882" s="8" t="n">
        <v>30</v>
      </c>
      <c r="AO882" s="8" t="str">
        <v>B06 / 金色格利特 / 13120</v>
      </c>
      <c r="AP882" s="11" t="n">
        <v>1.2247029157699902</v>
      </c>
      <c r="AQ882" s="11" t="n">
        <v>1.1929861014741694</v>
      </c>
      <c r="AR882" s="11" t="n">
        <v>1.0914922957275428</v>
      </c>
      <c r="AS882" s="11" t="n">
        <f>IF(AND(COUNT(I882:K882,AP882:AR882)=6,MIN(AP882:AR882)&gt;0),I882/7/AP882*0.5+J882/14/AQ882*0.3+K882/30/AR882*0.2,"")</f>
        <v>0</v>
      </c>
      <c r="AT882" s="8" t="n">
        <v>0</v>
      </c>
      <c r="AU882" s="8" t="n">
        <v>0</v>
      </c>
      <c r="AV882" s="8" t="n">
        <v>85</v>
      </c>
      <c r="AW882" s="11" t="n">
        <f>IF(AND(COUNT(AT882:AV882)=3,AT882&gt;=AU882,AU882&gt;=0,AV882&gt;0),(AT882-AU882)/AV882,"")</f>
        <v>0</v>
      </c>
      <c r="AX882" s="8" t="n">
        <v>1</v>
      </c>
      <c r="AY882" s="8" t="n">
        <v>0</v>
      </c>
      <c r="AZ882" s="8" t="n">
        <v>175</v>
      </c>
      <c r="BA882" s="11" t="n">
        <f>IF(AND(COUNT(AX882:AZ882)=3,AX882&gt;=AY882,AY882&gt;=0,AZ882&gt;0),(AX882-AY882)/AZ882,"")</f>
        <v>0.005714285714285714</v>
      </c>
      <c r="BB882" s="8" t="n">
        <f>IF(COUNT(AS882,AW882,BA882)=3,1,0)</f>
        <v>1</v>
      </c>
      <c r="BC882" s="11" t="n">
        <f>IF(SUMIF($AO$11:$AO$1309,AO882,$BB$11:$BB$1309)=COUNTIF($AO$11:$AO$1309,AO882),SUMIF($AO$11:$AO$1309,AO882,$AS$11:$AS$1309),"")</f>
        <v>0</v>
      </c>
      <c r="BD882" s="11" t="n">
        <f>IF(SUMIF($AO$11:$AO$1309,AO882,$BB$11:$BB$1309)=COUNTIF($AO$11:$AO$1309,AO882),SUMIF($AO$11:$AO$1309,AO882,$AW$11:$AW$1309),"")</f>
        <v>0</v>
      </c>
      <c r="BE882" s="11" t="n">
        <f>IF(SUMIF($AO$11:$AO$1309,AO882,$BB$11:$BB$1309)=COUNTIF($AO$11:$AO$1309,AO882),SUMIF($AO$11:$AO$1309,AO882,$BA$11:$BA$1309),"")</f>
        <v>0.005714285714285714</v>
      </c>
      <c r="BF882" s="12" t="n">
        <f>IF(COUNT(BD882:BE882)&lt;&gt;2,"",IF(AND(BD882&gt;0,BE882&gt;0),0.7*AW882/BD882+0.3*BA882/BE882,IF(BD882&gt;0,AW882/BD882,IF(BE882&gt;0,BA882/BE882,IF(AND(ISNUMBER(BH882),BH882=0),0,"")))))</f>
        <v>1</v>
      </c>
      <c r="BG882" s="11" t="n">
        <f>IF(AND(COUNT(BN882:BU882)=8,MIN(BN882:BU882)&gt;=0),SUMPRODUCT(BN882:BQ882,BR882:BU882),"")</f>
        <v>73.80791239847399</v>
      </c>
      <c r="BH882" s="11" t="n">
        <f>IF(COUNT(BC882,BG882)=2,BC882*BG882,"")</f>
        <v>0</v>
      </c>
      <c r="BI882" s="11" t="n">
        <f>IF(ISNUMBER(CI882),CI882,"")</f>
        <v>0</v>
      </c>
      <c r="BJ882" s="8" t="str">
        <v>近180天本色销量1双（＜90），无有效新采购，请运营判断</v>
      </c>
      <c r="BK882" s="8" t="str">
        <v>90天：2026-07-20 至 2026-10-17；180天：2026-04-21 至 2026-10-17</v>
      </c>
      <c r="BL882" s="8" t="str">
        <v>90天：2026-10-06、2026-10-07、2026-10-12、2026-10-13、2026-10-16；180天：2026-10-06、2026-10-07、2026-10-12、2026-10-13、2026-10-16</v>
      </c>
      <c r="BM882" s="8" t="str">
        <v>2026-10：12天 × 1.2247029157699902；2026-11：30天 × 0.8332682139098497；2026-12：31天 × 0.5511018253564084；2027-01：17天 × 1.0017220238758797</v>
      </c>
      <c r="BN882" s="11" t="n">
        <v>1.2247029157699902</v>
      </c>
      <c r="BO882" s="11" t="n">
        <v>0.8332682139098497</v>
      </c>
      <c r="BP882" s="11" t="n">
        <v>0.5511018253564084</v>
      </c>
      <c r="BQ882" s="11" t="n">
        <v>1.0017220238758797</v>
      </c>
      <c r="BR882" s="8" t="n">
        <v>12</v>
      </c>
      <c r="BS882" s="8" t="n">
        <v>30</v>
      </c>
      <c r="BT882" s="8" t="n">
        <v>31</v>
      </c>
      <c r="BU882" s="8" t="n">
        <v>17</v>
      </c>
      <c r="BV882" s="11" t="n">
        <f>IF(COUNT(BC882,BF882)=2,BC882*BF882,"")</f>
        <v>0</v>
      </c>
      <c r="BW882" s="11" t="n">
        <f>IF(ISNUMBER(BN882),BN882,"")</f>
        <v>1.2247029157699902</v>
      </c>
      <c r="BX882" s="14" t="n">
        <f>IF(ISNUMBER(BR882),BR882,"")</f>
        <v>12</v>
      </c>
      <c r="BY882" s="13" t="n">
        <f>IF(AND(COUNT(BV882,BW882,BX882)=3,MIN(BV882,BW882,BX882)&gt;=0),BV882*BW882*BX882,"")</f>
        <v>0</v>
      </c>
      <c r="BZ882" s="11" t="n">
        <f>IF(ISNUMBER(BO882),BO882,"")</f>
        <v>0.8332682139098497</v>
      </c>
      <c r="CA882" s="14" t="n">
        <f>IF(ISNUMBER(BS882),BS882,"")</f>
        <v>30</v>
      </c>
      <c r="CB882" s="13" t="n">
        <f>IF(AND(COUNT(BV882,BZ882,CA882)=3,MIN(BV882,BZ882,CA882)&gt;=0),BV882*BZ882*CA882,"")</f>
        <v>0</v>
      </c>
      <c r="CC882" s="11" t="n">
        <f>IF(ISNUMBER(BP882),BP882,"")</f>
        <v>0.5511018253564084</v>
      </c>
      <c r="CD882" s="14" t="n">
        <f>IF(ISNUMBER(BT882),BT882,"")</f>
        <v>31</v>
      </c>
      <c r="CE882" s="13" t="n">
        <f>IF(AND(COUNT(BV882,CC882,CD882)=3,MIN(BV882,CC882,CD882)&gt;=0),BV882*CC882*CD882,"")</f>
        <v>0</v>
      </c>
      <c r="CF882" s="11" t="n">
        <f>IF(ISNUMBER(BQ882),BQ882,"")</f>
        <v>1.0017220238758797</v>
      </c>
      <c r="CG882" s="14" t="n">
        <f>IF(ISNUMBER(BU882),BU882,"")</f>
        <v>17</v>
      </c>
      <c r="CH882" s="13" t="n">
        <f>IF(AND(COUNT(BV882,CF882,CG882)=3,MIN(BV882,CF882,CG882)&gt;=0),BV882*CF882*CG882,"")</f>
        <v>0</v>
      </c>
      <c r="CI882" s="13" t="n">
        <f>IF(COUNT(BY882,CB882,CE882,CH882)=4,SUM(BY882,CB882,CE882,CH882),"")</f>
        <v>0</v>
      </c>
    </row>
    <row r="883" ht="72" customHeight="1">
      <c r="A883" s="16" t="str">
        <v>B06-GN-40.5</v>
      </c>
      <c r="B883" s="16" t="str">
        <v>1店-MUSSHOE-US</v>
      </c>
      <c r="C883" s="16" t="str">
        <v>艾年</v>
      </c>
      <c r="D883" s="26" t="n">
        <f>IF(NOT(ISNUMBER(E883)),"",IF(OR(E883&lt;=0,L883=0),0,IF(OR(NOT(ISNUMBER(F883)),F883&lt;0),"",MIN(E883,INT(F883)))))</f>
        <v>0</v>
      </c>
      <c r="E883" s="27" t="n">
        <f>IF(OR(NOT(ISNUMBER(L883)),COUNT(M883:O883)&lt;&gt;3,MIN(M883:O883)&lt;0),"",ROUNDUP(ROUND(BI883-SUM(M883:O883),10),0))</f>
        <v>-18</v>
      </c>
      <c r="F883" s="28" t="n">
        <v>0</v>
      </c>
      <c r="G883" s="28" t="n">
        <f>IF(AND(ISNUMBER(D883),ISNUMBER(E883)),IF(OR(E883&lt;=0,L883=0),0,E883-D883),"")</f>
        <v>0</v>
      </c>
      <c r="H883" s="16" t="str">
        <f>IF(NOT(ISNUMBER(E883)),"销量或海外库存待补",IF(OR(E883&lt;=0,L883=0),IF(L883=0,"零日销，本批不发","本批无需补货"),IF(NOT(ISNUMBER(D883)),"国内库存待补",IF(D883=0,"国内无可用库存",IF(G883&gt;0,"先发国内现货","按建议量发货")))))</f>
        <v>零日销，本批不发</v>
      </c>
      <c r="I883" s="28" t="n">
        <f>IF(AND(COUNT(Z883,AA883,AB883)=3,Z883&gt;=AA883,AA883&gt;=0,AB883=7),Z883-AA883,"")</f>
        <v>0</v>
      </c>
      <c r="J883" s="28" t="n">
        <f>IF(AND(COUNT(AF883,AG883,AH883)=3,AF883&gt;=AG883,AG883&gt;=0,AH883=14),AF883-AG883,"")</f>
        <v>0</v>
      </c>
      <c r="K883" s="28" t="n">
        <f>IF(AND(COUNT(AL883,AM883,AN883)=3,AL883&gt;=AM883,AM883&gt;=0,AN883=30),AL883-AM883,"")</f>
        <v>0</v>
      </c>
      <c r="L883" s="29" t="n">
        <f>IF(ISNUMBER(BI883),BI883/90,"")</f>
        <v>0</v>
      </c>
      <c r="M883" s="28" t="n">
        <v>8</v>
      </c>
      <c r="N883" s="28" t="n">
        <v>0</v>
      </c>
      <c r="O883" s="28" t="n">
        <v>10</v>
      </c>
      <c r="P883" s="30" t="str">
        <f>IF(AND(ISNUMBER(L883),L883&gt;0,COUNT(M883:O883)=3,MIN(M883:O883)&gt;=0),SUM(M883:O883)/L883,"")</f>
      </c>
      <c r="Q883" s="16" t="str">
        <v>沿用原计划SKU店铺</v>
      </c>
      <c r="R883" s="16" t="str">
        <v>已匹配</v>
      </c>
      <c r="S883" s="16" t="str">
        <v>在售</v>
      </c>
      <c r="T883" s="16" t="str">
        <v>B06</v>
      </c>
      <c r="U883" s="16" t="str">
        <v>绿色羊京绒</v>
      </c>
      <c r="V883" s="16" t="n">
        <v>9.5</v>
      </c>
      <c r="W883" s="8" t="str">
        <v>2026-10-11 至 2026-10-17</v>
      </c>
      <c r="X883" s="8" t="str">
        <v>2026-10-11、2026-10-12、2026-10-13、2026-10-14、2026-10-15、2026-10-16、2026-10-17</v>
      </c>
      <c r="Y883" s="8" t="str">
        <v>无</v>
      </c>
      <c r="Z883" s="8" t="n">
        <v>0</v>
      </c>
      <c r="AA883" s="8" t="n">
        <v>0</v>
      </c>
      <c r="AB883" s="8" t="n">
        <v>7</v>
      </c>
      <c r="AC883" s="8" t="str">
        <v>2026-10-02 至 2026-10-17</v>
      </c>
      <c r="AD883" s="8" t="str">
        <v>2026-10-02、2026-10-03、2026-10-04、2026-10-05、2026-10-08、2026-10-09、2026-10-10、2026-10-11、2026-10-12、2026-10-13、2026-10-14、2026-10-15、2026-10-16、2026-10-17</v>
      </c>
      <c r="AE883" s="8" t="str">
        <v>2026-10-06 大促；2026-10-07 大促</v>
      </c>
      <c r="AF883" s="8" t="n">
        <v>0</v>
      </c>
      <c r="AG883" s="8" t="n">
        <v>0</v>
      </c>
      <c r="AH883" s="8" t="n">
        <v>14</v>
      </c>
      <c r="AI883" s="8" t="str">
        <v>2026-09-16 至 2026-10-17</v>
      </c>
      <c r="AJ8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83" s="8" t="str">
        <v>2026-10-06 大促；2026-10-07 大促</v>
      </c>
      <c r="AL883" s="8" t="n">
        <v>0</v>
      </c>
      <c r="AM883" s="8" t="n">
        <v>0</v>
      </c>
      <c r="AN883" s="8" t="n">
        <v>30</v>
      </c>
      <c r="AO883" s="8" t="str">
        <v>B06 / 绿色羊京绒 / 13120</v>
      </c>
      <c r="AP883" s="11" t="n">
        <v>1.2247029157699902</v>
      </c>
      <c r="AQ883" s="11" t="n">
        <v>1.2247029157699902</v>
      </c>
      <c r="AR883" s="11" t="n">
        <v>1.1136940657346173</v>
      </c>
      <c r="AS883" s="11" t="n">
        <f>IF(AND(COUNT(I883:K883,AP883:AR883)=6,MIN(AP883:AR883)&gt;0),I883/7/AP883*0.5+J883/14/AQ883*0.3+K883/30/AR883*0.2,"")</f>
        <v>0</v>
      </c>
      <c r="AT883" s="8" t="n">
        <v>1</v>
      </c>
      <c r="AU883" s="8" t="n">
        <v>0</v>
      </c>
      <c r="AV883" s="8" t="n">
        <v>88</v>
      </c>
      <c r="AW883" s="11" t="n">
        <f>IF(AND(COUNT(AT883:AV883)=3,AT883&gt;=AU883,AU883&gt;=0,AV883&gt;0),(AT883-AU883)/AV883,"")</f>
        <v>0.011363636363636364</v>
      </c>
      <c r="AX883" s="8" t="n">
        <v>4</v>
      </c>
      <c r="AY883" s="8" t="n">
        <v>0</v>
      </c>
      <c r="AZ883" s="8" t="n">
        <v>178</v>
      </c>
      <c r="BA883" s="11" t="n">
        <f>IF(AND(COUNT(AX883:AZ883)=3,AX883&gt;=AY883,AY883&gt;=0,AZ883&gt;0),(AX883-AY883)/AZ883,"")</f>
        <v>0.02247191011235955</v>
      </c>
      <c r="BB883" s="8" t="n">
        <f>IF(COUNT(AS883,AW883,BA883)=3,1,0)</f>
        <v>1</v>
      </c>
      <c r="BC883" s="11" t="n">
        <f>IF(SUMIF($AO$11:$AO$1309,AO883,$BB$11:$BB$1309)=COUNTIF($AO$11:$AO$1309,AO883),SUMIF($AO$11:$AO$1309,AO883,$AS$11:$AS$1309),"")</f>
        <v>0</v>
      </c>
      <c r="BD883" s="11" t="n">
        <f>IF(SUMIF($AO$11:$AO$1309,AO883,$BB$11:$BB$1309)=COUNTIF($AO$11:$AO$1309,AO883),SUMIF($AO$11:$AO$1309,AO883,$AW$11:$AW$1309),"")</f>
        <v>0.011363636363636364</v>
      </c>
      <c r="BE883" s="11" t="n">
        <f>IF(SUMIF($AO$11:$AO$1309,AO883,$BB$11:$BB$1309)=COUNTIF($AO$11:$AO$1309,AO883),SUMIF($AO$11:$AO$1309,AO883,$BA$11:$BA$1309),"")</f>
        <v>0.02247191011235955</v>
      </c>
      <c r="BF883" s="12" t="n">
        <f>IF(COUNT(BD883:BE883)&lt;&gt;2,"",IF(AND(BD883&gt;0,BE883&gt;0),0.7*AW883/BD883+0.3*BA883/BE883,IF(BD883&gt;0,AW883/BD883,IF(BE883&gt;0,BA883/BE883,IF(AND(ISNUMBER(BH883),BH883=0),0,"")))))</f>
        <v>1</v>
      </c>
      <c r="BG883" s="11" t="n">
        <f>IF(AND(COUNT(BN883:BU883)=8,MIN(BN883:BU883)&gt;=0),SUMPRODUCT(BN883:BQ883,BR883:BU883),"")</f>
        <v>73.80791239847399</v>
      </c>
      <c r="BH883" s="11" t="n">
        <f>IF(COUNT(BC883,BG883)=2,BC883*BG883,"")</f>
        <v>0</v>
      </c>
      <c r="BI883" s="11" t="n">
        <f>IF(ISNUMBER(CI883),CI883,"")</f>
        <v>0</v>
      </c>
      <c r="BJ883" s="8" t="str">
        <v>近180天本色销量7双（＜90），无有效新采购，请运营判断</v>
      </c>
      <c r="BK883" s="8" t="str">
        <v>90天：2026-07-20 至 2026-10-17；180天：2026-04-21 至 2026-10-17</v>
      </c>
      <c r="BL883" s="8" t="str">
        <v>90天：2026-10-06、2026-10-07；180天：2026-10-06、2026-10-07</v>
      </c>
      <c r="BM883" s="8" t="str">
        <v>2026-10：12天 × 1.2247029157699902；2026-11：30天 × 0.8332682139098497；2026-12：31天 × 0.5511018253564084；2027-01：17天 × 1.0017220238758797</v>
      </c>
      <c r="BN883" s="11" t="n">
        <v>1.2247029157699902</v>
      </c>
      <c r="BO883" s="11" t="n">
        <v>0.8332682139098497</v>
      </c>
      <c r="BP883" s="11" t="n">
        <v>0.5511018253564084</v>
      </c>
      <c r="BQ883" s="11" t="n">
        <v>1.0017220238758797</v>
      </c>
      <c r="BR883" s="8" t="n">
        <v>12</v>
      </c>
      <c r="BS883" s="8" t="n">
        <v>30</v>
      </c>
      <c r="BT883" s="8" t="n">
        <v>31</v>
      </c>
      <c r="BU883" s="8" t="n">
        <v>17</v>
      </c>
      <c r="BV883" s="11" t="n">
        <f>IF(COUNT(BC883,BF883)=2,BC883*BF883,"")</f>
        <v>0</v>
      </c>
      <c r="BW883" s="11" t="n">
        <f>IF(ISNUMBER(BN883),BN883,"")</f>
        <v>1.2247029157699902</v>
      </c>
      <c r="BX883" s="14" t="n">
        <f>IF(ISNUMBER(BR883),BR883,"")</f>
        <v>12</v>
      </c>
      <c r="BY883" s="13" t="n">
        <f>IF(AND(COUNT(BV883,BW883,BX883)=3,MIN(BV883,BW883,BX883)&gt;=0),BV883*BW883*BX883,"")</f>
        <v>0</v>
      </c>
      <c r="BZ883" s="11" t="n">
        <f>IF(ISNUMBER(BO883),BO883,"")</f>
        <v>0.8332682139098497</v>
      </c>
      <c r="CA883" s="14" t="n">
        <f>IF(ISNUMBER(BS883),BS883,"")</f>
        <v>30</v>
      </c>
      <c r="CB883" s="13" t="n">
        <f>IF(AND(COUNT(BV883,BZ883,CA883)=3,MIN(BV883,BZ883,CA883)&gt;=0),BV883*BZ883*CA883,"")</f>
        <v>0</v>
      </c>
      <c r="CC883" s="11" t="n">
        <f>IF(ISNUMBER(BP883),BP883,"")</f>
        <v>0.5511018253564084</v>
      </c>
      <c r="CD883" s="14" t="n">
        <f>IF(ISNUMBER(BT883),BT883,"")</f>
        <v>31</v>
      </c>
      <c r="CE883" s="13" t="n">
        <f>IF(AND(COUNT(BV883,CC883,CD883)=3,MIN(BV883,CC883,CD883)&gt;=0),BV883*CC883*CD883,"")</f>
        <v>0</v>
      </c>
      <c r="CF883" s="11" t="n">
        <f>IF(ISNUMBER(BQ883),BQ883,"")</f>
        <v>1.0017220238758797</v>
      </c>
      <c r="CG883" s="14" t="n">
        <f>IF(ISNUMBER(BU883),BU883,"")</f>
        <v>17</v>
      </c>
      <c r="CH883" s="13" t="n">
        <f>IF(AND(COUNT(BV883,CF883,CG883)=3,MIN(BV883,CF883,CG883)&gt;=0),BV883*CF883*CG883,"")</f>
        <v>0</v>
      </c>
      <c r="CI883" s="13" t="n">
        <f>IF(COUNT(BY883,CB883,CE883,CH883)=4,SUM(BY883,CB883,CE883,CH883),"")</f>
        <v>0</v>
      </c>
    </row>
    <row r="884" ht="72" customHeight="1">
      <c r="A884" s="16" t="str">
        <v>B06-GY-40</v>
      </c>
      <c r="B884" s="16" t="str">
        <v>1店-MUSSHOE-US</v>
      </c>
      <c r="C884" s="16" t="str">
        <v>艾年</v>
      </c>
      <c r="D884" s="26" t="n">
        <f>IF(NOT(ISNUMBER(E884)),"",IF(OR(E884&lt;=0,L884=0),0,IF(OR(NOT(ISNUMBER(F884)),F884&lt;0),"",MIN(E884,INT(F884)))))</f>
        <v>0</v>
      </c>
      <c r="E884" s="27" t="n">
        <f>IF(OR(NOT(ISNUMBER(L884)),COUNT(M884:O884)&lt;&gt;3,MIN(M884:O884)&lt;0),"",ROUNDUP(ROUND(BI884-SUM(M884:O884),10),0))</f>
        <v>0</v>
      </c>
      <c r="F884" s="28" t="n">
        <v>0</v>
      </c>
      <c r="G884" s="28" t="n">
        <f>IF(AND(ISNUMBER(D884),ISNUMBER(E884)),IF(OR(E884&lt;=0,L884=0),0,E884-D884),"")</f>
        <v>0</v>
      </c>
      <c r="H884" s="16" t="str">
        <f>IF(NOT(ISNUMBER(E884)),"销量或海外库存待补",IF(OR(E884&lt;=0,L884=0),IF(L884=0,"零日销，本批不发","本批无需补货"),IF(NOT(ISNUMBER(D884)),"国内库存待补",IF(D884=0,"国内无可用库存",IF(G884&gt;0,"先发国内现货","按建议量发货")))))</f>
        <v>零日销，本批不发</v>
      </c>
      <c r="I884" s="28" t="n">
        <f>IF(AND(COUNT(Z884,AA884,AB884)=3,Z884&gt;=AA884,AA884&gt;=0,AB884=7),Z884-AA884,"")</f>
        <v>0</v>
      </c>
      <c r="J884" s="28" t="n">
        <f>IF(AND(COUNT(AF884,AG884,AH884)=3,AF884&gt;=AG884,AG884&gt;=0,AH884=14),AF884-AG884,"")</f>
        <v>0</v>
      </c>
      <c r="K884" s="28" t="n">
        <f>IF(AND(COUNT(AL884,AM884,AN884)=3,AL884&gt;=AM884,AM884&gt;=0,AN884=30),AL884-AM884,"")</f>
        <v>0</v>
      </c>
      <c r="L884" s="29" t="n">
        <f>IF(ISNUMBER(BI884),BI884/90,"")</f>
        <v>0</v>
      </c>
      <c r="M884" s="28" t="n">
        <v>0</v>
      </c>
      <c r="N884" s="28" t="n">
        <v>0</v>
      </c>
      <c r="O884" s="28" t="n">
        <v>0</v>
      </c>
      <c r="P884" s="30" t="str">
        <f>IF(AND(ISNUMBER(L884),L884&gt;0,COUNT(M884:O884)=3,MIN(M884:O884)&gt;=0),SUM(M884:O884)/L884,"")</f>
      </c>
      <c r="Q884" s="16" t="str">
        <v>沿用原计划SKU店铺</v>
      </c>
      <c r="R884" s="16" t="str">
        <v>已匹配</v>
      </c>
      <c r="S884" s="16" t="str">
        <v>停售</v>
      </c>
      <c r="T884" s="16" t="str">
        <v>B06</v>
      </c>
      <c r="U884" s="16" t="str">
        <v>灰色羊京绒</v>
      </c>
      <c r="V884" s="16" t="n">
        <v>9</v>
      </c>
      <c r="W884" s="8" t="str">
        <v>2026-10-08 至 2026-10-17</v>
      </c>
      <c r="X884" s="8" t="str">
        <v>2026-10-08、2026-10-09、2026-10-10、2026-10-11、2026-10-14、2026-10-15、2026-10-17</v>
      </c>
      <c r="Y884" s="8" t="str">
        <v>2026-10-12 有记录的停售日；2026-10-13 有记录的停售日；2026-10-16 有记录的停售日</v>
      </c>
      <c r="Z884" s="8" t="n">
        <v>0</v>
      </c>
      <c r="AA884" s="8" t="n">
        <v>0</v>
      </c>
      <c r="AB884" s="8" t="n">
        <v>7</v>
      </c>
      <c r="AC884" s="8" t="str">
        <v>2026-09-29 至 2026-10-17</v>
      </c>
      <c r="AD884" s="8" t="str">
        <v>2026-09-29、2026-09-30、2026-10-01、2026-10-02、2026-10-03、2026-10-04、2026-10-05、2026-10-08、2026-10-09、2026-10-10、2026-10-11、2026-10-14、2026-10-15、2026-10-17</v>
      </c>
      <c r="AE884" s="8" t="str">
        <v>2026-10-06 大促；2026-10-07 大促；2026-10-12 有记录的停售日；2026-10-13 有记录的停售日；2026-10-16 有记录的停售日</v>
      </c>
      <c r="AF884" s="8" t="n">
        <v>0</v>
      </c>
      <c r="AG884" s="8" t="n">
        <v>0</v>
      </c>
      <c r="AH884" s="8" t="n">
        <v>14</v>
      </c>
      <c r="AI884" s="8" t="str">
        <v>2026-09-13 至 2026-10-17</v>
      </c>
      <c r="AJ88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4" s="8" t="str">
        <v>2026-10-06 大促；2026-10-07 大促；2026-10-12 有记录的停售日；2026-10-13 有记录的停售日；2026-10-16 有记录的停售日</v>
      </c>
      <c r="AL884" s="8" t="n">
        <v>0</v>
      </c>
      <c r="AM884" s="8" t="n">
        <v>0</v>
      </c>
      <c r="AN884" s="8" t="n">
        <v>30</v>
      </c>
      <c r="AO884" s="8" t="str">
        <v>B06 / 灰色羊京绒 / 13120</v>
      </c>
      <c r="AP884" s="11" t="n">
        <v>1.2247029157699902</v>
      </c>
      <c r="AQ884" s="11" t="n">
        <v>1.1929861014741694</v>
      </c>
      <c r="AR884" s="11" t="n">
        <v>1.0914922957275428</v>
      </c>
      <c r="AS884" s="11" t="n">
        <f>IF(AND(COUNT(I884:K884,AP884:AR884)=6,MIN(AP884:AR884)&gt;0),I884/7/AP884*0.5+J884/14/AQ884*0.3+K884/30/AR884*0.2,"")</f>
        <v>0</v>
      </c>
      <c r="AT884" s="8" t="n">
        <v>0</v>
      </c>
      <c r="AU884" s="8" t="n">
        <v>0</v>
      </c>
      <c r="AV884" s="8" t="n">
        <v>85</v>
      </c>
      <c r="AW884" s="11" t="n">
        <f>IF(AND(COUNT(AT884:AV884)=3,AT884&gt;=AU884,AU884&gt;=0,AV884&gt;0),(AT884-AU884)/AV884,"")</f>
        <v>0</v>
      </c>
      <c r="AX884" s="8" t="n">
        <v>7</v>
      </c>
      <c r="AY884" s="8" t="n">
        <v>0</v>
      </c>
      <c r="AZ884" s="8" t="n">
        <v>175</v>
      </c>
      <c r="BA884" s="11" t="n">
        <f>IF(AND(COUNT(AX884:AZ884)=3,AX884&gt;=AY884,AY884&gt;=0,AZ884&gt;0),(AX884-AY884)/AZ884,"")</f>
        <v>0.04</v>
      </c>
      <c r="BB884" s="8" t="n">
        <f>IF(COUNT(AS884,AW884,BA884)=3,1,0)</f>
        <v>1</v>
      </c>
      <c r="BC884" s="11" t="n">
        <f>IF(SUMIF($AO$11:$AO$1309,AO884,$BB$11:$BB$1309)=COUNTIF($AO$11:$AO$1309,AO884),SUMIF($AO$11:$AO$1309,AO884,$AS$11:$AS$1309),"")</f>
        <v>0</v>
      </c>
      <c r="BD884" s="11" t="n">
        <f>IF(SUMIF($AO$11:$AO$1309,AO884,$BB$11:$BB$1309)=COUNTIF($AO$11:$AO$1309,AO884),SUMIF($AO$11:$AO$1309,AO884,$AW$11:$AW$1309),"")</f>
        <v>0</v>
      </c>
      <c r="BE884" s="11" t="n">
        <f>IF(SUMIF($AO$11:$AO$1309,AO884,$BB$11:$BB$1309)=COUNTIF($AO$11:$AO$1309,AO884),SUMIF($AO$11:$AO$1309,AO884,$BA$11:$BA$1309),"")</f>
        <v>0.045714285714285714</v>
      </c>
      <c r="BF884" s="12" t="n">
        <f>IF(COUNT(BD884:BE884)&lt;&gt;2,"",IF(AND(BD884&gt;0,BE884&gt;0),0.7*AW884/BD884+0.3*BA884/BE884,IF(BD884&gt;0,AW884/BD884,IF(BE884&gt;0,BA884/BE884,IF(AND(ISNUMBER(BH884),BH884=0),0,"")))))</f>
        <v>0.875</v>
      </c>
      <c r="BG884" s="11" t="n">
        <f>IF(AND(COUNT(BN884:BU884)=8,MIN(BN884:BU884)&gt;=0),SUMPRODUCT(BN884:BQ884,BR884:BU884),"")</f>
        <v>73.80791239847399</v>
      </c>
      <c r="BH884" s="11" t="n">
        <f>IF(COUNT(BC884,BG884)=2,BC884*BG884,"")</f>
        <v>0</v>
      </c>
      <c r="BI884" s="11" t="n">
        <f>IF(ISNUMBER(CI884),CI884,"")</f>
        <v>0</v>
      </c>
      <c r="BJ884" s="8" t="str">
        <v>低销提醒依据不完整</v>
      </c>
      <c r="BK884" s="8" t="str">
        <v>90天：2026-07-20 至 2026-10-17；180天：2026-04-21 至 2026-10-17</v>
      </c>
      <c r="BL884" s="8" t="str">
        <v>90天：2026-10-06、2026-10-07、2026-10-12、2026-10-13、2026-10-16；180天：2026-10-06、2026-10-07、2026-10-12、2026-10-13、2026-10-16</v>
      </c>
      <c r="BM884" s="8" t="str">
        <v>2026-10：12天 × 1.2247029157699902；2026-11：30天 × 0.8332682139098497；2026-12：31天 × 0.5511018253564084；2027-01：17天 × 1.0017220238758797</v>
      </c>
      <c r="BN884" s="11" t="n">
        <v>1.2247029157699902</v>
      </c>
      <c r="BO884" s="11" t="n">
        <v>0.8332682139098497</v>
      </c>
      <c r="BP884" s="11" t="n">
        <v>0.5511018253564084</v>
      </c>
      <c r="BQ884" s="11" t="n">
        <v>1.0017220238758797</v>
      </c>
      <c r="BR884" s="8" t="n">
        <v>12</v>
      </c>
      <c r="BS884" s="8" t="n">
        <v>30</v>
      </c>
      <c r="BT884" s="8" t="n">
        <v>31</v>
      </c>
      <c r="BU884" s="8" t="n">
        <v>17</v>
      </c>
      <c r="BV884" s="11" t="n">
        <f>IF(COUNT(BC884,BF884)=2,BC884*BF884,"")</f>
        <v>0</v>
      </c>
      <c r="BW884" s="11" t="n">
        <f>IF(ISNUMBER(BN884),BN884,"")</f>
        <v>1.2247029157699902</v>
      </c>
      <c r="BX884" s="14" t="n">
        <f>IF(ISNUMBER(BR884),BR884,"")</f>
        <v>12</v>
      </c>
      <c r="BY884" s="13" t="n">
        <f>IF(AND(COUNT(BV884,BW884,BX884)=3,MIN(BV884,BW884,BX884)&gt;=0),BV884*BW884*BX884,"")</f>
        <v>0</v>
      </c>
      <c r="BZ884" s="11" t="n">
        <f>IF(ISNUMBER(BO884),BO884,"")</f>
        <v>0.8332682139098497</v>
      </c>
      <c r="CA884" s="14" t="n">
        <f>IF(ISNUMBER(BS884),BS884,"")</f>
        <v>30</v>
      </c>
      <c r="CB884" s="13" t="n">
        <f>IF(AND(COUNT(BV884,BZ884,CA884)=3,MIN(BV884,BZ884,CA884)&gt;=0),BV884*BZ884*CA884,"")</f>
        <v>0</v>
      </c>
      <c r="CC884" s="11" t="n">
        <f>IF(ISNUMBER(BP884),BP884,"")</f>
        <v>0.5511018253564084</v>
      </c>
      <c r="CD884" s="14" t="n">
        <f>IF(ISNUMBER(BT884),BT884,"")</f>
        <v>31</v>
      </c>
      <c r="CE884" s="13" t="n">
        <f>IF(AND(COUNT(BV884,CC884,CD884)=3,MIN(BV884,CC884,CD884)&gt;=0),BV884*CC884*CD884,"")</f>
        <v>0</v>
      </c>
      <c r="CF884" s="11" t="n">
        <f>IF(ISNUMBER(BQ884),BQ884,"")</f>
        <v>1.0017220238758797</v>
      </c>
      <c r="CG884" s="14" t="n">
        <f>IF(ISNUMBER(BU884),BU884,"")</f>
        <v>17</v>
      </c>
      <c r="CH884" s="13" t="n">
        <f>IF(AND(COUNT(BV884,CF884,CG884)=3,MIN(BV884,CF884,CG884)&gt;=0),BV884*CF884*CG884,"")</f>
        <v>0</v>
      </c>
      <c r="CI884" s="13" t="n">
        <f>IF(COUNT(BY884,CB884,CE884,CH884)=4,SUM(BY884,CB884,CE884,CH884),"")</f>
        <v>0</v>
      </c>
    </row>
    <row r="885" ht="72" customHeight="1">
      <c r="A885" s="16" t="str">
        <v>B06-GY-40.5</v>
      </c>
      <c r="B885" s="16" t="str">
        <v>1店-MUSSHOE-US</v>
      </c>
      <c r="C885" s="16" t="str">
        <v>艾年</v>
      </c>
      <c r="D885" s="26" t="n">
        <f>IF(NOT(ISNUMBER(E885)),"",IF(OR(E885&lt;=0,L885=0),0,IF(OR(NOT(ISNUMBER(F885)),F885&lt;0),"",MIN(E885,INT(F885)))))</f>
        <v>0</v>
      </c>
      <c r="E885" s="27" t="n">
        <f>IF(OR(NOT(ISNUMBER(L885)),COUNT(M885:O885)&lt;&gt;3,MIN(M885:O885)&lt;0),"",ROUNDUP(ROUND(BI885-SUM(M885:O885),10),0))</f>
        <v>0</v>
      </c>
      <c r="F885" s="28"/>
      <c r="G885" s="28" t="n">
        <f>IF(AND(ISNUMBER(D885),ISNUMBER(E885)),IF(OR(E885&lt;=0,L885=0),0,E885-D885),"")</f>
        <v>0</v>
      </c>
      <c r="H885" s="16" t="str">
        <f>IF(NOT(ISNUMBER(E885)),"销量或海外库存待补",IF(OR(E885&lt;=0,L885=0),IF(L885=0,"零日销，本批不发","本批无需补货"),IF(NOT(ISNUMBER(D885)),"国内库存待补",IF(D885=0,"国内无可用库存",IF(G885&gt;0,"先发国内现货","按建议量发货")))))</f>
        <v>零日销，本批不发</v>
      </c>
      <c r="I885" s="28" t="n">
        <f>IF(AND(COUNT(Z885,AA885,AB885)=3,Z885&gt;=AA885,AA885&gt;=0,AB885=7),Z885-AA885,"")</f>
        <v>0</v>
      </c>
      <c r="J885" s="28" t="n">
        <f>IF(AND(COUNT(AF885,AG885,AH885)=3,AF885&gt;=AG885,AG885&gt;=0,AH885=14),AF885-AG885,"")</f>
        <v>0</v>
      </c>
      <c r="K885" s="28" t="n">
        <f>IF(AND(COUNT(AL885,AM885,AN885)=3,AL885&gt;=AM885,AM885&gt;=0,AN885=30),AL885-AM885,"")</f>
        <v>0</v>
      </c>
      <c r="L885" s="29" t="n">
        <f>IF(ISNUMBER(BI885),BI885/90,"")</f>
        <v>0</v>
      </c>
      <c r="M885" s="28" t="n">
        <v>0</v>
      </c>
      <c r="N885" s="28" t="n">
        <v>0</v>
      </c>
      <c r="O885" s="28" t="n">
        <v>0</v>
      </c>
      <c r="P885" s="30" t="str">
        <f>IF(AND(ISNUMBER(L885),L885&gt;0,COUNT(M885:O885)=3,MIN(M885:O885)&gt;=0),SUM(M885:O885)/L885,"")</f>
      </c>
      <c r="Q885" s="16" t="str">
        <v>沿用原计划SKU店铺</v>
      </c>
      <c r="R885" s="16" t="str">
        <v>未匹配</v>
      </c>
      <c r="S885" s="16" t="str">
        <v>停售</v>
      </c>
      <c r="T885" s="16" t="str">
        <v>B06</v>
      </c>
      <c r="U885" s="16" t="str">
        <v>灰色羊京绒</v>
      </c>
      <c r="V885" s="16" t="n">
        <v>9.5</v>
      </c>
      <c r="W885" s="8" t="str">
        <v>2026-10-08 至 2026-10-17</v>
      </c>
      <c r="X885" s="8" t="str">
        <v>2026-10-08、2026-10-09、2026-10-10、2026-10-11、2026-10-14、2026-10-15、2026-10-17</v>
      </c>
      <c r="Y885" s="8" t="str">
        <v>2026-10-12 有记录的停售日；2026-10-13 有记录的停售日；2026-10-16 有记录的停售日</v>
      </c>
      <c r="Z885" s="8" t="n">
        <v>0</v>
      </c>
      <c r="AA885" s="8" t="n">
        <v>0</v>
      </c>
      <c r="AB885" s="8" t="n">
        <v>7</v>
      </c>
      <c r="AC885" s="8" t="str">
        <v>2026-09-29 至 2026-10-17</v>
      </c>
      <c r="AD885" s="8" t="str">
        <v>2026-09-29、2026-09-30、2026-10-01、2026-10-02、2026-10-03、2026-10-04、2026-10-05、2026-10-08、2026-10-09、2026-10-10、2026-10-11、2026-10-14、2026-10-15、2026-10-17</v>
      </c>
      <c r="AE885" s="8" t="str">
        <v>2026-10-06 大促；2026-10-07 大促；2026-10-12 有记录的停售日；2026-10-13 有记录的停售日；2026-10-16 有记录的停售日</v>
      </c>
      <c r="AF885" s="8" t="n">
        <v>0</v>
      </c>
      <c r="AG885" s="8" t="n">
        <v>0</v>
      </c>
      <c r="AH885" s="8" t="n">
        <v>14</v>
      </c>
      <c r="AI885" s="8" t="str">
        <v>2026-09-13 至 2026-10-17</v>
      </c>
      <c r="AJ88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5" s="8" t="str">
        <v>2026-10-06 大促；2026-10-07 大促；2026-10-12 有记录的停售日；2026-10-13 有记录的停售日；2026-10-16 有记录的停售日</v>
      </c>
      <c r="AL885" s="8" t="n">
        <v>0</v>
      </c>
      <c r="AM885" s="8" t="n">
        <v>0</v>
      </c>
      <c r="AN885" s="8" t="n">
        <v>30</v>
      </c>
      <c r="AO885" s="8" t="str">
        <v>B06 / 灰色羊京绒 / 13120</v>
      </c>
      <c r="AP885" s="11" t="n">
        <v>1.2247029157699902</v>
      </c>
      <c r="AQ885" s="11" t="n">
        <v>1.1929861014741694</v>
      </c>
      <c r="AR885" s="11" t="n">
        <v>1.0914922957275428</v>
      </c>
      <c r="AS885" s="11" t="n">
        <f>IF(AND(COUNT(I885:K885,AP885:AR885)=6,MIN(AP885:AR885)&gt;0),I885/7/AP885*0.5+J885/14/AQ885*0.3+K885/30/AR885*0.2,"")</f>
        <v>0</v>
      </c>
      <c r="AT885" s="8" t="n">
        <v>0</v>
      </c>
      <c r="AU885" s="8" t="n">
        <v>0</v>
      </c>
      <c r="AV885" s="8" t="n">
        <v>85</v>
      </c>
      <c r="AW885" s="11" t="n">
        <f>IF(AND(COUNT(AT885:AV885)=3,AT885&gt;=AU885,AU885&gt;=0,AV885&gt;0),(AT885-AU885)/AV885,"")</f>
        <v>0</v>
      </c>
      <c r="AX885" s="8" t="n">
        <v>1</v>
      </c>
      <c r="AY885" s="8" t="n">
        <v>0</v>
      </c>
      <c r="AZ885" s="8" t="n">
        <v>175</v>
      </c>
      <c r="BA885" s="11" t="n">
        <f>IF(AND(COUNT(AX885:AZ885)=3,AX885&gt;=AY885,AY885&gt;=0,AZ885&gt;0),(AX885-AY885)/AZ885,"")</f>
        <v>0.005714285714285714</v>
      </c>
      <c r="BB885" s="8" t="n">
        <f>IF(COUNT(AS885,AW885,BA885)=3,1,0)</f>
        <v>1</v>
      </c>
      <c r="BC885" s="11" t="n">
        <f>IF(SUMIF($AO$11:$AO$1309,AO885,$BB$11:$BB$1309)=COUNTIF($AO$11:$AO$1309,AO885),SUMIF($AO$11:$AO$1309,AO885,$AS$11:$AS$1309),"")</f>
        <v>0</v>
      </c>
      <c r="BD885" s="11" t="n">
        <f>IF(SUMIF($AO$11:$AO$1309,AO885,$BB$11:$BB$1309)=COUNTIF($AO$11:$AO$1309,AO885),SUMIF($AO$11:$AO$1309,AO885,$AW$11:$AW$1309),"")</f>
        <v>0</v>
      </c>
      <c r="BE885" s="11" t="n">
        <f>IF(SUMIF($AO$11:$AO$1309,AO885,$BB$11:$BB$1309)=COUNTIF($AO$11:$AO$1309,AO885),SUMIF($AO$11:$AO$1309,AO885,$BA$11:$BA$1309),"")</f>
        <v>0.045714285714285714</v>
      </c>
      <c r="BF885" s="12" t="n">
        <f>IF(COUNT(BD885:BE885)&lt;&gt;2,"",IF(AND(BD885&gt;0,BE885&gt;0),0.7*AW885/BD885+0.3*BA885/BE885,IF(BD885&gt;0,AW885/BD885,IF(BE885&gt;0,BA885/BE885,IF(AND(ISNUMBER(BH885),BH885=0),0,"")))))</f>
        <v>0.125</v>
      </c>
      <c r="BG885" s="11" t="n">
        <f>IF(AND(COUNT(BN885:BU885)=8,MIN(BN885:BU885)&gt;=0),SUMPRODUCT(BN885:BQ885,BR885:BU885),"")</f>
        <v>73.80791239847399</v>
      </c>
      <c r="BH885" s="11" t="n">
        <f>IF(COUNT(BC885,BG885)=2,BC885*BG885,"")</f>
        <v>0</v>
      </c>
      <c r="BI885" s="11" t="n">
        <f>IF(ISNUMBER(CI885),CI885,"")</f>
        <v>0</v>
      </c>
      <c r="BJ885" s="8" t="str">
        <v>低销提醒依据不完整</v>
      </c>
      <c r="BK885" s="8" t="str">
        <v>90天：2026-07-20 至 2026-10-17；180天：2026-04-21 至 2026-10-17</v>
      </c>
      <c r="BL885" s="8" t="str">
        <v>90天：2026-10-06、2026-10-07、2026-10-12、2026-10-13、2026-10-16；180天：2026-10-06、2026-10-07、2026-10-12、2026-10-13、2026-10-16</v>
      </c>
      <c r="BM885" s="8" t="str">
        <v>2026-10：12天 × 1.2247029157699902；2026-11：30天 × 0.8332682139098497；2026-12：31天 × 0.5511018253564084；2027-01：17天 × 1.0017220238758797</v>
      </c>
      <c r="BN885" s="11" t="n">
        <v>1.2247029157699902</v>
      </c>
      <c r="BO885" s="11" t="n">
        <v>0.8332682139098497</v>
      </c>
      <c r="BP885" s="11" t="n">
        <v>0.5511018253564084</v>
      </c>
      <c r="BQ885" s="11" t="n">
        <v>1.0017220238758797</v>
      </c>
      <c r="BR885" s="8" t="n">
        <v>12</v>
      </c>
      <c r="BS885" s="8" t="n">
        <v>30</v>
      </c>
      <c r="BT885" s="8" t="n">
        <v>31</v>
      </c>
      <c r="BU885" s="8" t="n">
        <v>17</v>
      </c>
      <c r="BV885" s="11" t="n">
        <f>IF(COUNT(BC885,BF885)=2,BC885*BF885,"")</f>
        <v>0</v>
      </c>
      <c r="BW885" s="11" t="n">
        <f>IF(ISNUMBER(BN885),BN885,"")</f>
        <v>1.2247029157699902</v>
      </c>
      <c r="BX885" s="14" t="n">
        <f>IF(ISNUMBER(BR885),BR885,"")</f>
        <v>12</v>
      </c>
      <c r="BY885" s="13" t="n">
        <f>IF(AND(COUNT(BV885,BW885,BX885)=3,MIN(BV885,BW885,BX885)&gt;=0),BV885*BW885*BX885,"")</f>
        <v>0</v>
      </c>
      <c r="BZ885" s="11" t="n">
        <f>IF(ISNUMBER(BO885),BO885,"")</f>
        <v>0.8332682139098497</v>
      </c>
      <c r="CA885" s="14" t="n">
        <f>IF(ISNUMBER(BS885),BS885,"")</f>
        <v>30</v>
      </c>
      <c r="CB885" s="13" t="n">
        <f>IF(AND(COUNT(BV885,BZ885,CA885)=3,MIN(BV885,BZ885,CA885)&gt;=0),BV885*BZ885*CA885,"")</f>
        <v>0</v>
      </c>
      <c r="CC885" s="11" t="n">
        <f>IF(ISNUMBER(BP885),BP885,"")</f>
        <v>0.5511018253564084</v>
      </c>
      <c r="CD885" s="14" t="n">
        <f>IF(ISNUMBER(BT885),BT885,"")</f>
        <v>31</v>
      </c>
      <c r="CE885" s="13" t="n">
        <f>IF(AND(COUNT(BV885,CC885,CD885)=3,MIN(BV885,CC885,CD885)&gt;=0),BV885*CC885*CD885,"")</f>
        <v>0</v>
      </c>
      <c r="CF885" s="11" t="n">
        <f>IF(ISNUMBER(BQ885),BQ885,"")</f>
        <v>1.0017220238758797</v>
      </c>
      <c r="CG885" s="14" t="n">
        <f>IF(ISNUMBER(BU885),BU885,"")</f>
        <v>17</v>
      </c>
      <c r="CH885" s="13" t="n">
        <f>IF(AND(COUNT(BV885,CF885,CG885)=3,MIN(BV885,CF885,CG885)&gt;=0),BV885*CF885*CG885,"")</f>
        <v>0</v>
      </c>
      <c r="CI885" s="13" t="n">
        <f>IF(COUNT(BY885,CB885,CE885,CH885)=4,SUM(BY885,CB885,CE885,CH885),"")</f>
        <v>0</v>
      </c>
    </row>
    <row r="886" ht="72" customHeight="1">
      <c r="A886" s="16" t="str">
        <v>B06-GY-41</v>
      </c>
      <c r="B886" s="16" t="str">
        <v>1店-MUSSHOE-US</v>
      </c>
      <c r="C886" s="16" t="str">
        <v>艾年</v>
      </c>
      <c r="D886" s="26" t="n">
        <f>IF(NOT(ISNUMBER(E886)),"",IF(OR(E886&lt;=0,L886=0),0,IF(OR(NOT(ISNUMBER(F886)),F886&lt;0),"",MIN(E886,INT(F886)))))</f>
        <v>0</v>
      </c>
      <c r="E886" s="27" t="n">
        <f>IF(OR(NOT(ISNUMBER(L886)),COUNT(M886:O886)&lt;&gt;3,MIN(M886:O886)&lt;0),"",ROUNDUP(ROUND(BI886-SUM(M886:O886),10),0))</f>
        <v>0</v>
      </c>
      <c r="F886" s="28"/>
      <c r="G886" s="28" t="n">
        <f>IF(AND(ISNUMBER(D886),ISNUMBER(E886)),IF(OR(E886&lt;=0,L886=0),0,E886-D886),"")</f>
        <v>0</v>
      </c>
      <c r="H886" s="16" t="str">
        <f>IF(NOT(ISNUMBER(E886)),"销量或海外库存待补",IF(OR(E886&lt;=0,L886=0),IF(L886=0,"零日销，本批不发","本批无需补货"),IF(NOT(ISNUMBER(D886)),"国内库存待补",IF(D886=0,"国内无可用库存",IF(G886&gt;0,"先发国内现货","按建议量发货")))))</f>
        <v>零日销，本批不发</v>
      </c>
      <c r="I886" s="28" t="n">
        <f>IF(AND(COUNT(Z886,AA886,AB886)=3,Z886&gt;=AA886,AA886&gt;=0,AB886=7),Z886-AA886,"")</f>
        <v>0</v>
      </c>
      <c r="J886" s="28" t="n">
        <f>IF(AND(COUNT(AF886,AG886,AH886)=3,AF886&gt;=AG886,AG886&gt;=0,AH886=14),AF886-AG886,"")</f>
        <v>0</v>
      </c>
      <c r="K886" s="28" t="n">
        <f>IF(AND(COUNT(AL886,AM886,AN886)=3,AL886&gt;=AM886,AM886&gt;=0,AN886=30),AL886-AM886,"")</f>
        <v>0</v>
      </c>
      <c r="L886" s="29" t="n">
        <f>IF(ISNUMBER(BI886),BI886/90,"")</f>
        <v>0</v>
      </c>
      <c r="M886" s="28" t="n">
        <v>0</v>
      </c>
      <c r="N886" s="28" t="n">
        <v>0</v>
      </c>
      <c r="O886" s="28" t="n">
        <v>0</v>
      </c>
      <c r="P886" s="30" t="str">
        <f>IF(AND(ISNUMBER(L886),L886&gt;0,COUNT(M886:O886)=3,MIN(M886:O886)&gt;=0),SUM(M886:O886)/L886,"")</f>
      </c>
      <c r="Q886" s="16" t="str">
        <v>沿用原计划SKU店铺</v>
      </c>
      <c r="R886" s="16" t="str">
        <v>未匹配</v>
      </c>
      <c r="S886" s="16" t="str">
        <v>停售</v>
      </c>
      <c r="T886" s="16" t="str">
        <v>B06</v>
      </c>
      <c r="U886" s="16" t="str">
        <v>灰色羊京绒</v>
      </c>
      <c r="V886" s="16" t="n">
        <v>10</v>
      </c>
      <c r="W886" s="8" t="str">
        <v>2026-10-08 至 2026-10-17</v>
      </c>
      <c r="X886" s="8" t="str">
        <v>2026-10-08、2026-10-09、2026-10-10、2026-10-11、2026-10-14、2026-10-15、2026-10-17</v>
      </c>
      <c r="Y886" s="8" t="str">
        <v>2026-10-12 有记录的停售日；2026-10-13 有记录的停售日；2026-10-16 有记录的停售日</v>
      </c>
      <c r="Z886" s="8" t="n">
        <v>0</v>
      </c>
      <c r="AA886" s="8" t="n">
        <v>0</v>
      </c>
      <c r="AB886" s="8" t="n">
        <v>7</v>
      </c>
      <c r="AC886" s="8" t="str">
        <v>2026-09-29 至 2026-10-17</v>
      </c>
      <c r="AD886" s="8" t="str">
        <v>2026-09-29、2026-09-30、2026-10-01、2026-10-02、2026-10-03、2026-10-04、2026-10-05、2026-10-08、2026-10-09、2026-10-10、2026-10-11、2026-10-14、2026-10-15、2026-10-17</v>
      </c>
      <c r="AE886" s="8" t="str">
        <v>2026-10-06 大促；2026-10-07 大促；2026-10-12 有记录的停售日；2026-10-13 有记录的停售日；2026-10-16 有记录的停售日</v>
      </c>
      <c r="AF886" s="8" t="n">
        <v>0</v>
      </c>
      <c r="AG886" s="8" t="n">
        <v>0</v>
      </c>
      <c r="AH886" s="8" t="n">
        <v>14</v>
      </c>
      <c r="AI886" s="8" t="str">
        <v>2026-09-13 至 2026-10-17</v>
      </c>
      <c r="AJ88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6" s="8" t="str">
        <v>2026-10-06 大促；2026-10-07 大促；2026-10-12 有记录的停售日；2026-10-13 有记录的停售日；2026-10-16 有记录的停售日</v>
      </c>
      <c r="AL886" s="8" t="n">
        <v>0</v>
      </c>
      <c r="AM886" s="8" t="n">
        <v>0</v>
      </c>
      <c r="AN886" s="8" t="n">
        <v>30</v>
      </c>
      <c r="AO886" s="8" t="str">
        <v>B06 / 灰色羊京绒 / 13120</v>
      </c>
      <c r="AP886" s="11" t="n">
        <v>1.2247029157699902</v>
      </c>
      <c r="AQ886" s="11" t="n">
        <v>1.1929861014741694</v>
      </c>
      <c r="AR886" s="11" t="n">
        <v>1.0914922957275428</v>
      </c>
      <c r="AS886" s="11" t="n">
        <f>IF(AND(COUNT(I886:K886,AP886:AR886)=6,MIN(AP886:AR886)&gt;0),I886/7/AP886*0.5+J886/14/AQ886*0.3+K886/30/AR886*0.2,"")</f>
        <v>0</v>
      </c>
      <c r="AT886" s="8" t="n">
        <v>0</v>
      </c>
      <c r="AU886" s="8" t="n">
        <v>0</v>
      </c>
      <c r="AV886" s="8" t="n">
        <v>85</v>
      </c>
      <c r="AW886" s="11" t="n">
        <f>IF(AND(COUNT(AT886:AV886)=3,AT886&gt;=AU886,AU886&gt;=0,AV886&gt;0),(AT886-AU886)/AV886,"")</f>
        <v>0</v>
      </c>
      <c r="AX886" s="8" t="n">
        <v>0</v>
      </c>
      <c r="AY886" s="8" t="n">
        <v>0</v>
      </c>
      <c r="AZ886" s="8" t="n">
        <v>175</v>
      </c>
      <c r="BA886" s="11" t="n">
        <f>IF(AND(COUNT(AX886:AZ886)=3,AX886&gt;=AY886,AY886&gt;=0,AZ886&gt;0),(AX886-AY886)/AZ886,"")</f>
        <v>0</v>
      </c>
      <c r="BB886" s="8" t="n">
        <f>IF(COUNT(AS886,AW886,BA886)=3,1,0)</f>
        <v>1</v>
      </c>
      <c r="BC886" s="11" t="n">
        <f>IF(SUMIF($AO$11:$AO$1309,AO886,$BB$11:$BB$1309)=COUNTIF($AO$11:$AO$1309,AO886),SUMIF($AO$11:$AO$1309,AO886,$AS$11:$AS$1309),"")</f>
        <v>0</v>
      </c>
      <c r="BD886" s="11" t="n">
        <f>IF(SUMIF($AO$11:$AO$1309,AO886,$BB$11:$BB$1309)=COUNTIF($AO$11:$AO$1309,AO886),SUMIF($AO$11:$AO$1309,AO886,$AW$11:$AW$1309),"")</f>
        <v>0</v>
      </c>
      <c r="BE886" s="11" t="n">
        <f>IF(SUMIF($AO$11:$AO$1309,AO886,$BB$11:$BB$1309)=COUNTIF($AO$11:$AO$1309,AO886),SUMIF($AO$11:$AO$1309,AO886,$BA$11:$BA$1309),"")</f>
        <v>0.045714285714285714</v>
      </c>
      <c r="BF886" s="12" t="n">
        <f>IF(COUNT(BD886:BE886)&lt;&gt;2,"",IF(AND(BD886&gt;0,BE886&gt;0),0.7*AW886/BD886+0.3*BA886/BE886,IF(BD886&gt;0,AW886/BD886,IF(BE886&gt;0,BA886/BE886,IF(AND(ISNUMBER(BH886),BH886=0),0,"")))))</f>
        <v>0</v>
      </c>
      <c r="BG886" s="11" t="n">
        <f>IF(AND(COUNT(BN886:BU886)=8,MIN(BN886:BU886)&gt;=0),SUMPRODUCT(BN886:BQ886,BR886:BU886),"")</f>
        <v>73.80791239847399</v>
      </c>
      <c r="BH886" s="11" t="n">
        <f>IF(COUNT(BC886,BG886)=2,BC886*BG886,"")</f>
        <v>0</v>
      </c>
      <c r="BI886" s="11" t="n">
        <f>IF(ISNUMBER(CI886),CI886,"")</f>
        <v>0</v>
      </c>
      <c r="BJ886" s="8" t="str">
        <v>低销提醒依据不完整</v>
      </c>
      <c r="BK886" s="8" t="str">
        <v>90天：2026-07-20 至 2026-10-17；180天：2026-04-21 至 2026-10-17</v>
      </c>
      <c r="BL886" s="8" t="str">
        <v>90天：2026-10-06、2026-10-07、2026-10-12、2026-10-13、2026-10-16；180天：2026-10-06、2026-10-07、2026-10-12、2026-10-13、2026-10-16</v>
      </c>
      <c r="BM886" s="8" t="str">
        <v>2026-10：12天 × 1.2247029157699902；2026-11：30天 × 0.8332682139098497；2026-12：31天 × 0.5511018253564084；2027-01：17天 × 1.0017220238758797</v>
      </c>
      <c r="BN886" s="11" t="n">
        <v>1.2247029157699902</v>
      </c>
      <c r="BO886" s="11" t="n">
        <v>0.8332682139098497</v>
      </c>
      <c r="BP886" s="11" t="n">
        <v>0.5511018253564084</v>
      </c>
      <c r="BQ886" s="11" t="n">
        <v>1.0017220238758797</v>
      </c>
      <c r="BR886" s="8" t="n">
        <v>12</v>
      </c>
      <c r="BS886" s="8" t="n">
        <v>30</v>
      </c>
      <c r="BT886" s="8" t="n">
        <v>31</v>
      </c>
      <c r="BU886" s="8" t="n">
        <v>17</v>
      </c>
      <c r="BV886" s="11" t="n">
        <f>IF(COUNT(BC886,BF886)=2,BC886*BF886,"")</f>
        <v>0</v>
      </c>
      <c r="BW886" s="11" t="n">
        <f>IF(ISNUMBER(BN886),BN886,"")</f>
        <v>1.2247029157699902</v>
      </c>
      <c r="BX886" s="14" t="n">
        <f>IF(ISNUMBER(BR886),BR886,"")</f>
        <v>12</v>
      </c>
      <c r="BY886" s="13" t="n">
        <f>IF(AND(COUNT(BV886,BW886,BX886)=3,MIN(BV886,BW886,BX886)&gt;=0),BV886*BW886*BX886,"")</f>
        <v>0</v>
      </c>
      <c r="BZ886" s="11" t="n">
        <f>IF(ISNUMBER(BO886),BO886,"")</f>
        <v>0.8332682139098497</v>
      </c>
      <c r="CA886" s="14" t="n">
        <f>IF(ISNUMBER(BS886),BS886,"")</f>
        <v>30</v>
      </c>
      <c r="CB886" s="13" t="n">
        <f>IF(AND(COUNT(BV886,BZ886,CA886)=3,MIN(BV886,BZ886,CA886)&gt;=0),BV886*BZ886*CA886,"")</f>
        <v>0</v>
      </c>
      <c r="CC886" s="11" t="n">
        <f>IF(ISNUMBER(BP886),BP886,"")</f>
        <v>0.5511018253564084</v>
      </c>
      <c r="CD886" s="14" t="n">
        <f>IF(ISNUMBER(BT886),BT886,"")</f>
        <v>31</v>
      </c>
      <c r="CE886" s="13" t="n">
        <f>IF(AND(COUNT(BV886,CC886,CD886)=3,MIN(BV886,CC886,CD886)&gt;=0),BV886*CC886*CD886,"")</f>
        <v>0</v>
      </c>
      <c r="CF886" s="11" t="n">
        <f>IF(ISNUMBER(BQ886),BQ886,"")</f>
        <v>1.0017220238758797</v>
      </c>
      <c r="CG886" s="14" t="n">
        <f>IF(ISNUMBER(BU886),BU886,"")</f>
        <v>17</v>
      </c>
      <c r="CH886" s="13" t="n">
        <f>IF(AND(COUNT(BV886,CF886,CG886)=3,MIN(BV886,CF886,CG886)&gt;=0),BV886*CF886*CG886,"")</f>
        <v>0</v>
      </c>
      <c r="CI886" s="13" t="n">
        <f>IF(COUNT(BY886,CB886,CE886,CH886)=4,SUM(BY886,CB886,CE886,CH886),"")</f>
        <v>0</v>
      </c>
    </row>
    <row r="887" ht="72" customHeight="1">
      <c r="A887" s="16" t="str">
        <v>B06-HP-38</v>
      </c>
      <c r="B887" s="16" t="str">
        <v>1店-MUSSHOE-US</v>
      </c>
      <c r="C887" s="16" t="str">
        <v>艾年</v>
      </c>
      <c r="D887" s="26" t="n">
        <f>IF(NOT(ISNUMBER(E887)),"",IF(OR(E887&lt;=0,L887=0),0,IF(OR(NOT(ISNUMBER(F887)),F887&lt;0),"",MIN(E887,INT(F887)))))</f>
        <v>0</v>
      </c>
      <c r="E887" s="27" t="n">
        <f>IF(OR(NOT(ISNUMBER(L887)),COUNT(M887:O887)&lt;&gt;3,MIN(M887:O887)&lt;0),"",ROUNDUP(ROUND(BI887-SUM(M887:O887),10),0))</f>
        <v>0</v>
      </c>
      <c r="F887" s="28"/>
      <c r="G887" s="28" t="n">
        <f>IF(AND(ISNUMBER(D887),ISNUMBER(E887)),IF(OR(E887&lt;=0,L887=0),0,E887-D887),"")</f>
        <v>0</v>
      </c>
      <c r="H887" s="16" t="str">
        <f>IF(NOT(ISNUMBER(E887)),"销量或海外库存待补",IF(OR(E887&lt;=0,L887=0),IF(L887=0,"零日销，本批不发","本批无需补货"),IF(NOT(ISNUMBER(D887)),"国内库存待补",IF(D887=0,"国内无可用库存",IF(G887&gt;0,"先发国内现货","按建议量发货")))))</f>
        <v>零日销，本批不发</v>
      </c>
      <c r="I887" s="28" t="n">
        <f>IF(AND(COUNT(Z887,AA887,AB887)=3,Z887&gt;=AA887,AA887&gt;=0,AB887=7),Z887-AA887,"")</f>
        <v>0</v>
      </c>
      <c r="J887" s="28" t="n">
        <f>IF(AND(COUNT(AF887,AG887,AH887)=3,AF887&gt;=AG887,AG887&gt;=0,AH887=14),AF887-AG887,"")</f>
        <v>0</v>
      </c>
      <c r="K887" s="28" t="n">
        <f>IF(AND(COUNT(AL887,AM887,AN887)=3,AL887&gt;=AM887,AM887&gt;=0,AN887=30),AL887-AM887,"")</f>
        <v>0</v>
      </c>
      <c r="L887" s="29" t="n">
        <f>IF(ISNUMBER(BI887),BI887/90,"")</f>
        <v>0</v>
      </c>
      <c r="M887" s="28" t="n">
        <v>0</v>
      </c>
      <c r="N887" s="28" t="n">
        <v>0</v>
      </c>
      <c r="O887" s="28" t="n">
        <v>0</v>
      </c>
      <c r="P887" s="30" t="str">
        <f>IF(AND(ISNUMBER(L887),L887&gt;0,COUNT(M887:O887)=3,MIN(M887:O887)&gt;=0),SUM(M887:O887)/L887,"")</f>
      </c>
      <c r="Q887" s="16" t="str">
        <v>按本SKU唯一未删除Listing店铺核实</v>
      </c>
      <c r="R887" s="16" t="str">
        <v>未匹配</v>
      </c>
      <c r="S887" s="16" t="str">
        <v>停售</v>
      </c>
      <c r="T887" s="16" t="str">
        <v>B06</v>
      </c>
      <c r="U887" s="16" t="str">
        <v>芭比粉羊京绒</v>
      </c>
      <c r="V887" s="16" t="n">
        <v>7</v>
      </c>
      <c r="W887" s="8" t="str">
        <v>2026-10-08 至 2026-10-17</v>
      </c>
      <c r="X887" s="8" t="str">
        <v>2026-10-08、2026-10-09、2026-10-10、2026-10-11、2026-10-14、2026-10-15、2026-10-17</v>
      </c>
      <c r="Y887" s="8" t="str">
        <v>2026-10-12 有记录的停售日；2026-10-13 有记录的停售日；2026-10-16 有记录的停售日</v>
      </c>
      <c r="Z887" s="8" t="n">
        <v>0</v>
      </c>
      <c r="AA887" s="8" t="n">
        <v>0</v>
      </c>
      <c r="AB887" s="8" t="n">
        <v>7</v>
      </c>
      <c r="AC887" s="8" t="str">
        <v>2026-09-29 至 2026-10-17</v>
      </c>
      <c r="AD887" s="8" t="str">
        <v>2026-09-29、2026-09-30、2026-10-01、2026-10-02、2026-10-03、2026-10-04、2026-10-05、2026-10-08、2026-10-09、2026-10-10、2026-10-11、2026-10-14、2026-10-15、2026-10-17</v>
      </c>
      <c r="AE887" s="8" t="str">
        <v>2026-10-06 大促；2026-10-07 大促；2026-10-12 有记录的停售日；2026-10-13 有记录的停售日；2026-10-16 有记录的停售日</v>
      </c>
      <c r="AF887" s="8" t="n">
        <v>0</v>
      </c>
      <c r="AG887" s="8" t="n">
        <v>0</v>
      </c>
      <c r="AH887" s="8" t="n">
        <v>14</v>
      </c>
      <c r="AI887" s="8" t="str">
        <v>2026-09-13 至 2026-10-17</v>
      </c>
      <c r="AJ8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7" s="8" t="str">
        <v>2026-10-06 大促；2026-10-07 大促；2026-10-12 有记录的停售日；2026-10-13 有记录的停售日；2026-10-16 有记录的停售日</v>
      </c>
      <c r="AL887" s="8" t="n">
        <v>0</v>
      </c>
      <c r="AM887" s="8" t="n">
        <v>0</v>
      </c>
      <c r="AN887" s="8" t="n">
        <v>30</v>
      </c>
      <c r="AO887" s="8" t="str">
        <v>B06 / 芭比粉羊京绒 / 13120</v>
      </c>
      <c r="AP887" s="11" t="n">
        <v>1.2247029157699902</v>
      </c>
      <c r="AQ887" s="11" t="n">
        <v>1.1929861014741694</v>
      </c>
      <c r="AR887" s="11" t="n">
        <v>1.0914922957275428</v>
      </c>
      <c r="AS887" s="11" t="n">
        <f>IF(AND(COUNT(I887:K887,AP887:AR887)=6,MIN(AP887:AR887)&gt;0),I887/7/AP887*0.5+J887/14/AQ887*0.3+K887/30/AR887*0.2,"")</f>
        <v>0</v>
      </c>
      <c r="AT887" s="8" t="n">
        <v>0</v>
      </c>
      <c r="AU887" s="8" t="n">
        <v>0</v>
      </c>
      <c r="AV887" s="8" t="n">
        <v>85</v>
      </c>
      <c r="AW887" s="11" t="n">
        <f>IF(AND(COUNT(AT887:AV887)=3,AT887&gt;=AU887,AU887&gt;=0,AV887&gt;0),(AT887-AU887)/AV887,"")</f>
        <v>0</v>
      </c>
      <c r="AX887" s="8" t="n">
        <v>0</v>
      </c>
      <c r="AY887" s="8" t="n">
        <v>0</v>
      </c>
      <c r="AZ887" s="8" t="n">
        <v>175</v>
      </c>
      <c r="BA887" s="11" t="n">
        <f>IF(AND(COUNT(AX887:AZ887)=3,AX887&gt;=AY887,AY887&gt;=0,AZ887&gt;0),(AX887-AY887)/AZ887,"")</f>
        <v>0</v>
      </c>
      <c r="BB887" s="8" t="n">
        <f>IF(COUNT(AS887,AW887,BA887)=3,1,0)</f>
        <v>1</v>
      </c>
      <c r="BC887" s="11" t="n">
        <f>IF(SUMIF($AO$11:$AO$1309,AO887,$BB$11:$BB$1309)=COUNTIF($AO$11:$AO$1309,AO887),SUMIF($AO$11:$AO$1309,AO887,$AS$11:$AS$1309),"")</f>
        <v>0.08779230578746408</v>
      </c>
      <c r="BD887" s="11" t="n">
        <f>IF(SUMIF($AO$11:$AO$1309,AO887,$BB$11:$BB$1309)=COUNTIF($AO$11:$AO$1309,AO887),SUMIF($AO$11:$AO$1309,AO887,$AW$11:$AW$1309),"")</f>
        <v>0.045454545454545456</v>
      </c>
      <c r="BE887" s="11" t="n">
        <f>IF(SUMIF($AO$11:$AO$1309,AO887,$BB$11:$BB$1309)=COUNTIF($AO$11:$AO$1309,AO887),SUMIF($AO$11:$AO$1309,AO887,$BA$11:$BA$1309),"")</f>
        <v>0.07865168539325842</v>
      </c>
      <c r="BF887" s="12" t="n">
        <f>IF(COUNT(BD887:BE887)&lt;&gt;2,"",IF(AND(BD887&gt;0,BE887&gt;0),0.7*AW887/BD887+0.3*BA887/BE887,IF(BD887&gt;0,AW887/BD887,IF(BE887&gt;0,BA887/BE887,IF(AND(ISNUMBER(BH887),BH887=0),0,"")))))</f>
        <v>0</v>
      </c>
      <c r="BG887" s="11" t="n">
        <f>IF(AND(COUNT(BN887:BU887)=8,MIN(BN887:BU887)&gt;=0),SUMPRODUCT(BN887:BQ887,BR887:BU887),"")</f>
        <v>73.80791239847399</v>
      </c>
      <c r="BH887" s="11" t="n">
        <f>IF(COUNT(BC887,BG887)=2,BC887*BG887,"")</f>
        <v>6.47976681482119</v>
      </c>
      <c r="BI887" s="11" t="n">
        <f>IF(ISNUMBER(CI887),CI887,"")</f>
        <v>0</v>
      </c>
      <c r="BJ887" s="8" t="str">
        <v>近180天本色销量14双（＜90），无有效新采购，请运营判断</v>
      </c>
      <c r="BK887" s="8" t="str">
        <v>90天：2026-07-20 至 2026-10-17；180天：2026-04-21 至 2026-10-17</v>
      </c>
      <c r="BL887" s="8" t="str">
        <v>90天：2026-10-06、2026-10-07、2026-10-12、2026-10-13、2026-10-16；180天：2026-10-06、2026-10-07、2026-10-12、2026-10-13、2026-10-16</v>
      </c>
      <c r="BM887" s="8" t="str">
        <v>2026-10：12天 × 1.2247029157699902；2026-11：30天 × 0.8332682139098497；2026-12：31天 × 0.5511018253564084；2027-01：17天 × 1.0017220238758797</v>
      </c>
      <c r="BN887" s="11" t="n">
        <v>1.2247029157699902</v>
      </c>
      <c r="BO887" s="11" t="n">
        <v>0.8332682139098497</v>
      </c>
      <c r="BP887" s="11" t="n">
        <v>0.5511018253564084</v>
      </c>
      <c r="BQ887" s="11" t="n">
        <v>1.0017220238758797</v>
      </c>
      <c r="BR887" s="8" t="n">
        <v>12</v>
      </c>
      <c r="BS887" s="8" t="n">
        <v>30</v>
      </c>
      <c r="BT887" s="8" t="n">
        <v>31</v>
      </c>
      <c r="BU887" s="8" t="n">
        <v>17</v>
      </c>
      <c r="BV887" s="11" t="n">
        <f>IF(COUNT(BC887,BF887)=2,BC887*BF887,"")</f>
        <v>0</v>
      </c>
      <c r="BW887" s="11" t="n">
        <f>IF(ISNUMBER(BN887),BN887,"")</f>
        <v>1.2247029157699902</v>
      </c>
      <c r="BX887" s="14" t="n">
        <f>IF(ISNUMBER(BR887),BR887,"")</f>
        <v>12</v>
      </c>
      <c r="BY887" s="13" t="n">
        <f>IF(AND(COUNT(BV887,BW887,BX887)=3,MIN(BV887,BW887,BX887)&gt;=0),BV887*BW887*BX887,"")</f>
        <v>0</v>
      </c>
      <c r="BZ887" s="11" t="n">
        <f>IF(ISNUMBER(BO887),BO887,"")</f>
        <v>0.8332682139098497</v>
      </c>
      <c r="CA887" s="14" t="n">
        <f>IF(ISNUMBER(BS887),BS887,"")</f>
        <v>30</v>
      </c>
      <c r="CB887" s="13" t="n">
        <f>IF(AND(COUNT(BV887,BZ887,CA887)=3,MIN(BV887,BZ887,CA887)&gt;=0),BV887*BZ887*CA887,"")</f>
        <v>0</v>
      </c>
      <c r="CC887" s="11" t="n">
        <f>IF(ISNUMBER(BP887),BP887,"")</f>
        <v>0.5511018253564084</v>
      </c>
      <c r="CD887" s="14" t="n">
        <f>IF(ISNUMBER(BT887),BT887,"")</f>
        <v>31</v>
      </c>
      <c r="CE887" s="13" t="n">
        <f>IF(AND(COUNT(BV887,CC887,CD887)=3,MIN(BV887,CC887,CD887)&gt;=0),BV887*CC887*CD887,"")</f>
        <v>0</v>
      </c>
      <c r="CF887" s="11" t="n">
        <f>IF(ISNUMBER(BQ887),BQ887,"")</f>
        <v>1.0017220238758797</v>
      </c>
      <c r="CG887" s="14" t="n">
        <f>IF(ISNUMBER(BU887),BU887,"")</f>
        <v>17</v>
      </c>
      <c r="CH887" s="13" t="n">
        <f>IF(AND(COUNT(BV887,CF887,CG887)=3,MIN(BV887,CF887,CG887)&gt;=0),BV887*CF887*CG887,"")</f>
        <v>0</v>
      </c>
      <c r="CI887" s="13" t="n">
        <f>IF(COUNT(BY887,CB887,CE887,CH887)=4,SUM(BY887,CB887,CE887,CH887),"")</f>
        <v>0</v>
      </c>
    </row>
    <row r="888" ht="72" customHeight="1">
      <c r="A888" s="16" t="str">
        <v>B06-HP-38.5</v>
      </c>
      <c r="B888" s="16" t="str">
        <v>1店-MUSSHOE-US</v>
      </c>
      <c r="C888" s="16" t="str">
        <v>艾年</v>
      </c>
      <c r="D888" s="26" t="n">
        <f>IF(NOT(ISNUMBER(E888)),"",IF(OR(E888&lt;=0,L888=0),0,IF(OR(NOT(ISNUMBER(F888)),F888&lt;0),"",MIN(E888,INT(F888)))))</f>
        <v>0</v>
      </c>
      <c r="E888" s="27" t="n">
        <f>IF(OR(NOT(ISNUMBER(L888)),COUNT(M888:O888)&lt;&gt;3,MIN(M888:O888)&lt;0),"",ROUNDUP(ROUND(BI888-SUM(M888:O888),10),0))</f>
        <v>0</v>
      </c>
      <c r="F888" s="28" t="n">
        <v>0</v>
      </c>
      <c r="G888" s="28" t="n">
        <f>IF(AND(ISNUMBER(D888),ISNUMBER(E888)),IF(OR(E888&lt;=0,L888=0),0,E888-D888),"")</f>
        <v>0</v>
      </c>
      <c r="H888" s="16" t="str">
        <f>IF(NOT(ISNUMBER(E888)),"销量或海外库存待补",IF(OR(E888&lt;=0,L888=0),IF(L888=0,"零日销，本批不发","本批无需补货"),IF(NOT(ISNUMBER(D888)),"国内库存待补",IF(D888=0,"国内无可用库存",IF(G888&gt;0,"先发国内现货","按建议量发货")))))</f>
        <v>零日销，本批不发</v>
      </c>
      <c r="I888" s="28" t="n">
        <f>IF(AND(COUNT(Z888,AA888,AB888)=3,Z888&gt;=AA888,AA888&gt;=0,AB888=7),Z888-AA888,"")</f>
        <v>0</v>
      </c>
      <c r="J888" s="28" t="n">
        <f>IF(AND(COUNT(AF888,AG888,AH888)=3,AF888&gt;=AG888,AG888&gt;=0,AH888=14),AF888-AG888,"")</f>
        <v>0</v>
      </c>
      <c r="K888" s="28" t="n">
        <f>IF(AND(COUNT(AL888,AM888,AN888)=3,AL888&gt;=AM888,AM888&gt;=0,AN888=30),AL888-AM888,"")</f>
        <v>0</v>
      </c>
      <c r="L888" s="29" t="n">
        <f>IF(ISNUMBER(BI888),BI888/90,"")</f>
        <v>0</v>
      </c>
      <c r="M888" s="28" t="n">
        <v>0</v>
      </c>
      <c r="N888" s="28" t="n">
        <v>0</v>
      </c>
      <c r="O888" s="28" t="n">
        <v>0</v>
      </c>
      <c r="P888" s="30" t="str">
        <f>IF(AND(ISNUMBER(L888),L888&gt;0,COUNT(M888:O888)=3,MIN(M888:O888)&gt;=0),SUM(M888:O888)/L888,"")</f>
      </c>
      <c r="Q888" s="16" t="str">
        <v>按本SKU唯一未删除Listing店铺核实</v>
      </c>
      <c r="R888" s="16" t="str">
        <v>已匹配</v>
      </c>
      <c r="S888" s="16" t="str">
        <v>停售</v>
      </c>
      <c r="T888" s="16" t="str">
        <v>B06</v>
      </c>
      <c r="U888" s="16" t="str">
        <v>芭比粉羊京绒</v>
      </c>
      <c r="V888" s="16" t="n">
        <v>7.5</v>
      </c>
      <c r="W888" s="8" t="str">
        <v>2026-10-08 至 2026-10-17</v>
      </c>
      <c r="X888" s="8" t="str">
        <v>2026-10-08、2026-10-09、2026-10-10、2026-10-11、2026-10-14、2026-10-15、2026-10-17</v>
      </c>
      <c r="Y888" s="8" t="str">
        <v>2026-10-12 有记录的停售日；2026-10-13 有记录的停售日；2026-10-16 有记录的停售日</v>
      </c>
      <c r="Z888" s="8" t="n">
        <v>0</v>
      </c>
      <c r="AA888" s="8" t="n">
        <v>0</v>
      </c>
      <c r="AB888" s="8" t="n">
        <v>7</v>
      </c>
      <c r="AC888" s="8" t="str">
        <v>2026-09-29 至 2026-10-17</v>
      </c>
      <c r="AD888" s="8" t="str">
        <v>2026-09-29、2026-09-30、2026-10-01、2026-10-02、2026-10-03、2026-10-04、2026-10-05、2026-10-08、2026-10-09、2026-10-10、2026-10-11、2026-10-14、2026-10-15、2026-10-17</v>
      </c>
      <c r="AE888" s="8" t="str">
        <v>2026-10-06 大促；2026-10-07 大促；2026-10-12 有记录的停售日；2026-10-13 有记录的停售日；2026-10-16 有记录的停售日</v>
      </c>
      <c r="AF888" s="8" t="n">
        <v>0</v>
      </c>
      <c r="AG888" s="8" t="n">
        <v>0</v>
      </c>
      <c r="AH888" s="8" t="n">
        <v>14</v>
      </c>
      <c r="AI888" s="8" t="str">
        <v>2026-09-13 至 2026-10-17</v>
      </c>
      <c r="AJ88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8" s="8" t="str">
        <v>2026-10-06 大促；2026-10-07 大促；2026-10-12 有记录的停售日；2026-10-13 有记录的停售日；2026-10-16 有记录的停售日</v>
      </c>
      <c r="AL888" s="8" t="n">
        <v>0</v>
      </c>
      <c r="AM888" s="8" t="n">
        <v>0</v>
      </c>
      <c r="AN888" s="8" t="n">
        <v>30</v>
      </c>
      <c r="AO888" s="8" t="str">
        <v>B06 / 芭比粉羊京绒 / 13120</v>
      </c>
      <c r="AP888" s="11" t="n">
        <v>1.2247029157699902</v>
      </c>
      <c r="AQ888" s="11" t="n">
        <v>1.1929861014741694</v>
      </c>
      <c r="AR888" s="11" t="n">
        <v>1.0914922957275428</v>
      </c>
      <c r="AS888" s="11" t="n">
        <f>IF(AND(COUNT(I888:K888,AP888:AR888)=6,MIN(AP888:AR888)&gt;0),I888/7/AP888*0.5+J888/14/AQ888*0.3+K888/30/AR888*0.2,"")</f>
        <v>0</v>
      </c>
      <c r="AT888" s="8" t="n">
        <v>0</v>
      </c>
      <c r="AU888" s="8" t="n">
        <v>0</v>
      </c>
      <c r="AV888" s="8" t="n">
        <v>85</v>
      </c>
      <c r="AW888" s="11" t="n">
        <f>IF(AND(COUNT(AT888:AV888)=3,AT888&gt;=AU888,AU888&gt;=0,AV888&gt;0),(AT888-AU888)/AV888,"")</f>
        <v>0</v>
      </c>
      <c r="AX888" s="8" t="n">
        <v>0</v>
      </c>
      <c r="AY888" s="8" t="n">
        <v>0</v>
      </c>
      <c r="AZ888" s="8" t="n">
        <v>175</v>
      </c>
      <c r="BA888" s="11" t="n">
        <f>IF(AND(COUNT(AX888:AZ888)=3,AX888&gt;=AY888,AY888&gt;=0,AZ888&gt;0),(AX888-AY888)/AZ888,"")</f>
        <v>0</v>
      </c>
      <c r="BB888" s="8" t="n">
        <f>IF(COUNT(AS888,AW888,BA888)=3,1,0)</f>
        <v>1</v>
      </c>
      <c r="BC888" s="11" t="n">
        <f>IF(SUMIF($AO$11:$AO$1309,AO888,$BB$11:$BB$1309)=COUNTIF($AO$11:$AO$1309,AO888),SUMIF($AO$11:$AO$1309,AO888,$AS$11:$AS$1309),"")</f>
        <v>0.08779230578746408</v>
      </c>
      <c r="BD888" s="11" t="n">
        <f>IF(SUMIF($AO$11:$AO$1309,AO888,$BB$11:$BB$1309)=COUNTIF($AO$11:$AO$1309,AO888),SUMIF($AO$11:$AO$1309,AO888,$AW$11:$AW$1309),"")</f>
        <v>0.045454545454545456</v>
      </c>
      <c r="BE888" s="11" t="n">
        <f>IF(SUMIF($AO$11:$AO$1309,AO888,$BB$11:$BB$1309)=COUNTIF($AO$11:$AO$1309,AO888),SUMIF($AO$11:$AO$1309,AO888,$BA$11:$BA$1309),"")</f>
        <v>0.07865168539325842</v>
      </c>
      <c r="BF888" s="12" t="n">
        <f>IF(COUNT(BD888:BE888)&lt;&gt;2,"",IF(AND(BD888&gt;0,BE888&gt;0),0.7*AW888/BD888+0.3*BA888/BE888,IF(BD888&gt;0,AW888/BD888,IF(BE888&gt;0,BA888/BE888,IF(AND(ISNUMBER(BH888),BH888=0),0,"")))))</f>
        <v>0</v>
      </c>
      <c r="BG888" s="11" t="n">
        <f>IF(AND(COUNT(BN888:BU888)=8,MIN(BN888:BU888)&gt;=0),SUMPRODUCT(BN888:BQ888,BR888:BU888),"")</f>
        <v>73.80791239847399</v>
      </c>
      <c r="BH888" s="11" t="n">
        <f>IF(COUNT(BC888,BG888)=2,BC888*BG888,"")</f>
        <v>6.47976681482119</v>
      </c>
      <c r="BI888" s="11" t="n">
        <f>IF(ISNUMBER(CI888),CI888,"")</f>
        <v>0</v>
      </c>
      <c r="BJ888" s="8" t="str">
        <v>近180天本色销量14双（＜90），无有效新采购，请运营判断</v>
      </c>
      <c r="BK888" s="8" t="str">
        <v>90天：2026-07-20 至 2026-10-17；180天：2026-04-21 至 2026-10-17</v>
      </c>
      <c r="BL888" s="8" t="str">
        <v>90天：2026-10-06、2026-10-07、2026-10-12、2026-10-13、2026-10-16；180天：2026-10-06、2026-10-07、2026-10-12、2026-10-13、2026-10-16</v>
      </c>
      <c r="BM888" s="8" t="str">
        <v>2026-10：12天 × 1.2247029157699902；2026-11：30天 × 0.8332682139098497；2026-12：31天 × 0.5511018253564084；2027-01：17天 × 1.0017220238758797</v>
      </c>
      <c r="BN888" s="11" t="n">
        <v>1.2247029157699902</v>
      </c>
      <c r="BO888" s="11" t="n">
        <v>0.8332682139098497</v>
      </c>
      <c r="BP888" s="11" t="n">
        <v>0.5511018253564084</v>
      </c>
      <c r="BQ888" s="11" t="n">
        <v>1.0017220238758797</v>
      </c>
      <c r="BR888" s="8" t="n">
        <v>12</v>
      </c>
      <c r="BS888" s="8" t="n">
        <v>30</v>
      </c>
      <c r="BT888" s="8" t="n">
        <v>31</v>
      </c>
      <c r="BU888" s="8" t="n">
        <v>17</v>
      </c>
      <c r="BV888" s="11" t="n">
        <f>IF(COUNT(BC888,BF888)=2,BC888*BF888,"")</f>
        <v>0</v>
      </c>
      <c r="BW888" s="11" t="n">
        <f>IF(ISNUMBER(BN888),BN888,"")</f>
        <v>1.2247029157699902</v>
      </c>
      <c r="BX888" s="14" t="n">
        <f>IF(ISNUMBER(BR888),BR888,"")</f>
        <v>12</v>
      </c>
      <c r="BY888" s="13" t="n">
        <f>IF(AND(COUNT(BV888,BW888,BX888)=3,MIN(BV888,BW888,BX888)&gt;=0),BV888*BW888*BX888,"")</f>
        <v>0</v>
      </c>
      <c r="BZ888" s="11" t="n">
        <f>IF(ISNUMBER(BO888),BO888,"")</f>
        <v>0.8332682139098497</v>
      </c>
      <c r="CA888" s="14" t="n">
        <f>IF(ISNUMBER(BS888),BS888,"")</f>
        <v>30</v>
      </c>
      <c r="CB888" s="13" t="n">
        <f>IF(AND(COUNT(BV888,BZ888,CA888)=3,MIN(BV888,BZ888,CA888)&gt;=0),BV888*BZ888*CA888,"")</f>
        <v>0</v>
      </c>
      <c r="CC888" s="11" t="n">
        <f>IF(ISNUMBER(BP888),BP888,"")</f>
        <v>0.5511018253564084</v>
      </c>
      <c r="CD888" s="14" t="n">
        <f>IF(ISNUMBER(BT888),BT888,"")</f>
        <v>31</v>
      </c>
      <c r="CE888" s="13" t="n">
        <f>IF(AND(COUNT(BV888,CC888,CD888)=3,MIN(BV888,CC888,CD888)&gt;=0),BV888*CC888*CD888,"")</f>
        <v>0</v>
      </c>
      <c r="CF888" s="11" t="n">
        <f>IF(ISNUMBER(BQ888),BQ888,"")</f>
        <v>1.0017220238758797</v>
      </c>
      <c r="CG888" s="14" t="n">
        <f>IF(ISNUMBER(BU888),BU888,"")</f>
        <v>17</v>
      </c>
      <c r="CH888" s="13" t="n">
        <f>IF(AND(COUNT(BV888,CF888,CG888)=3,MIN(BV888,CF888,CG888)&gt;=0),BV888*CF888*CG888,"")</f>
        <v>0</v>
      </c>
      <c r="CI888" s="13" t="n">
        <f>IF(COUNT(BY888,CB888,CE888,CH888)=4,SUM(BY888,CB888,CE888,CH888),"")</f>
        <v>0</v>
      </c>
    </row>
    <row r="889" ht="72" customHeight="1">
      <c r="A889" s="16" t="str">
        <v>B06-HP-39.5</v>
      </c>
      <c r="B889" s="16" t="str">
        <v>1店-MUSSHOE-US</v>
      </c>
      <c r="C889" s="16" t="str">
        <v>艾年</v>
      </c>
      <c r="D889" s="26" t="n">
        <f>IF(NOT(ISNUMBER(E889)),"",IF(OR(E889&lt;=0,L889=0),0,IF(OR(NOT(ISNUMBER(F889)),F889&lt;0),"",MIN(E889,INT(F889)))))</f>
        <v>0</v>
      </c>
      <c r="E889" s="27" t="n">
        <f>IF(OR(NOT(ISNUMBER(L889)),COUNT(M889:O889)&lt;&gt;3,MIN(M889:O889)&lt;0),"",ROUNDUP(ROUND(BI889-SUM(M889:O889),10),0))</f>
        <v>0</v>
      </c>
      <c r="F889" s="28" t="n">
        <v>0</v>
      </c>
      <c r="G889" s="28" t="n">
        <f>IF(AND(ISNUMBER(D889),ISNUMBER(E889)),IF(OR(E889&lt;=0,L889=0),0,E889-D889),"")</f>
        <v>0</v>
      </c>
      <c r="H889" s="16" t="str">
        <f>IF(NOT(ISNUMBER(E889)),"销量或海外库存待补",IF(OR(E889&lt;=0,L889=0),IF(L889=0,"零日销，本批不发","本批无需补货"),IF(NOT(ISNUMBER(D889)),"国内库存待补",IF(D889=0,"国内无可用库存",IF(G889&gt;0,"先发国内现货","按建议量发货")))))</f>
        <v>零日销，本批不发</v>
      </c>
      <c r="I889" s="28" t="n">
        <f>IF(AND(COUNT(Z889,AA889,AB889)=3,Z889&gt;=AA889,AA889&gt;=0,AB889=7),Z889-AA889,"")</f>
        <v>0</v>
      </c>
      <c r="J889" s="28" t="n">
        <f>IF(AND(COUNT(AF889,AG889,AH889)=3,AF889&gt;=AG889,AG889&gt;=0,AH889=14),AF889-AG889,"")</f>
        <v>0</v>
      </c>
      <c r="K889" s="28" t="n">
        <f>IF(AND(COUNT(AL889,AM889,AN889)=3,AL889&gt;=AM889,AM889&gt;=0,AN889=30),AL889-AM889,"")</f>
        <v>0</v>
      </c>
      <c r="L889" s="29" t="n">
        <f>IF(ISNUMBER(BI889),BI889/90,"")</f>
        <v>0</v>
      </c>
      <c r="M889" s="28" t="n">
        <v>0</v>
      </c>
      <c r="N889" s="28" t="n">
        <v>0</v>
      </c>
      <c r="O889" s="28" t="n">
        <v>0</v>
      </c>
      <c r="P889" s="30" t="str">
        <f>IF(AND(ISNUMBER(L889),L889&gt;0,COUNT(M889:O889)=3,MIN(M889:O889)&gt;=0),SUM(M889:O889)/L889,"")</f>
      </c>
      <c r="Q889" s="16" t="str">
        <v>按本SKU唯一未删除Listing店铺核实</v>
      </c>
      <c r="R889" s="16" t="str">
        <v>已匹配</v>
      </c>
      <c r="S889" s="16" t="str">
        <v>停售</v>
      </c>
      <c r="T889" s="16" t="str">
        <v>B06</v>
      </c>
      <c r="U889" s="16" t="str">
        <v>芭比粉羊京绒</v>
      </c>
      <c r="V889" s="16" t="n">
        <v>8.5</v>
      </c>
      <c r="W889" s="8" t="str">
        <v>2026-10-08 至 2026-10-17</v>
      </c>
      <c r="X889" s="8" t="str">
        <v>2026-10-08、2026-10-09、2026-10-10、2026-10-11、2026-10-14、2026-10-15、2026-10-17</v>
      </c>
      <c r="Y889" s="8" t="str">
        <v>2026-10-12 有记录的停售日；2026-10-13 有记录的停售日；2026-10-16 有记录的停售日</v>
      </c>
      <c r="Z889" s="8" t="n">
        <v>0</v>
      </c>
      <c r="AA889" s="8" t="n">
        <v>0</v>
      </c>
      <c r="AB889" s="8" t="n">
        <v>7</v>
      </c>
      <c r="AC889" s="8" t="str">
        <v>2026-09-29 至 2026-10-17</v>
      </c>
      <c r="AD889" s="8" t="str">
        <v>2026-09-29、2026-09-30、2026-10-01、2026-10-02、2026-10-03、2026-10-04、2026-10-05、2026-10-08、2026-10-09、2026-10-10、2026-10-11、2026-10-14、2026-10-15、2026-10-17</v>
      </c>
      <c r="AE889" s="8" t="str">
        <v>2026-10-06 大促；2026-10-07 大促；2026-10-12 有记录的停售日；2026-10-13 有记录的停售日；2026-10-16 有记录的停售日</v>
      </c>
      <c r="AF889" s="8" t="n">
        <v>0</v>
      </c>
      <c r="AG889" s="8" t="n">
        <v>0</v>
      </c>
      <c r="AH889" s="8" t="n">
        <v>14</v>
      </c>
      <c r="AI889" s="8" t="str">
        <v>2026-09-13 至 2026-10-17</v>
      </c>
      <c r="AJ88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89" s="8" t="str">
        <v>2026-10-06 大促；2026-10-07 大促；2026-10-12 有记录的停售日；2026-10-13 有记录的停售日；2026-10-16 有记录的停售日</v>
      </c>
      <c r="AL889" s="8" t="n">
        <v>0</v>
      </c>
      <c r="AM889" s="8" t="n">
        <v>0</v>
      </c>
      <c r="AN889" s="8" t="n">
        <v>30</v>
      </c>
      <c r="AO889" s="8" t="str">
        <v>B06 / 芭比粉羊京绒 / 13120</v>
      </c>
      <c r="AP889" s="11" t="n">
        <v>1.2247029157699902</v>
      </c>
      <c r="AQ889" s="11" t="n">
        <v>1.1929861014741694</v>
      </c>
      <c r="AR889" s="11" t="n">
        <v>1.0914922957275428</v>
      </c>
      <c r="AS889" s="11" t="n">
        <f>IF(AND(COUNT(I889:K889,AP889:AR889)=6,MIN(AP889:AR889)&gt;0),I889/7/AP889*0.5+J889/14/AQ889*0.3+K889/30/AR889*0.2,"")</f>
        <v>0</v>
      </c>
      <c r="AT889" s="8" t="n">
        <v>0</v>
      </c>
      <c r="AU889" s="8" t="n">
        <v>0</v>
      </c>
      <c r="AV889" s="8" t="n">
        <v>85</v>
      </c>
      <c r="AW889" s="11" t="n">
        <f>IF(AND(COUNT(AT889:AV889)=3,AT889&gt;=AU889,AU889&gt;=0,AV889&gt;0),(AT889-AU889)/AV889,"")</f>
        <v>0</v>
      </c>
      <c r="AX889" s="8" t="n">
        <v>0</v>
      </c>
      <c r="AY889" s="8" t="n">
        <v>0</v>
      </c>
      <c r="AZ889" s="8" t="n">
        <v>175</v>
      </c>
      <c r="BA889" s="11" t="n">
        <f>IF(AND(COUNT(AX889:AZ889)=3,AX889&gt;=AY889,AY889&gt;=0,AZ889&gt;0),(AX889-AY889)/AZ889,"")</f>
        <v>0</v>
      </c>
      <c r="BB889" s="8" t="n">
        <f>IF(COUNT(AS889,AW889,BA889)=3,1,0)</f>
        <v>1</v>
      </c>
      <c r="BC889" s="11" t="n">
        <f>IF(SUMIF($AO$11:$AO$1309,AO889,$BB$11:$BB$1309)=COUNTIF($AO$11:$AO$1309,AO889),SUMIF($AO$11:$AO$1309,AO889,$AS$11:$AS$1309),"")</f>
        <v>0.08779230578746408</v>
      </c>
      <c r="BD889" s="11" t="n">
        <f>IF(SUMIF($AO$11:$AO$1309,AO889,$BB$11:$BB$1309)=COUNTIF($AO$11:$AO$1309,AO889),SUMIF($AO$11:$AO$1309,AO889,$AW$11:$AW$1309),"")</f>
        <v>0.045454545454545456</v>
      </c>
      <c r="BE889" s="11" t="n">
        <f>IF(SUMIF($AO$11:$AO$1309,AO889,$BB$11:$BB$1309)=COUNTIF($AO$11:$AO$1309,AO889),SUMIF($AO$11:$AO$1309,AO889,$BA$11:$BA$1309),"")</f>
        <v>0.07865168539325842</v>
      </c>
      <c r="BF889" s="12" t="n">
        <f>IF(COUNT(BD889:BE889)&lt;&gt;2,"",IF(AND(BD889&gt;0,BE889&gt;0),0.7*AW889/BD889+0.3*BA889/BE889,IF(BD889&gt;0,AW889/BD889,IF(BE889&gt;0,BA889/BE889,IF(AND(ISNUMBER(BH889),BH889=0),0,"")))))</f>
        <v>0</v>
      </c>
      <c r="BG889" s="11" t="n">
        <f>IF(AND(COUNT(BN889:BU889)=8,MIN(BN889:BU889)&gt;=0),SUMPRODUCT(BN889:BQ889,BR889:BU889),"")</f>
        <v>73.80791239847399</v>
      </c>
      <c r="BH889" s="11" t="n">
        <f>IF(COUNT(BC889,BG889)=2,BC889*BG889,"")</f>
        <v>6.47976681482119</v>
      </c>
      <c r="BI889" s="11" t="n">
        <f>IF(ISNUMBER(CI889),CI889,"")</f>
        <v>0</v>
      </c>
      <c r="BJ889" s="8" t="str">
        <v>近180天本色销量14双（＜90），无有效新采购，请运营判断</v>
      </c>
      <c r="BK889" s="8" t="str">
        <v>90天：2026-07-20 至 2026-10-17；180天：2026-04-21 至 2026-10-17</v>
      </c>
      <c r="BL889" s="8" t="str">
        <v>90天：2026-10-06、2026-10-07、2026-10-12、2026-10-13、2026-10-16；180天：2026-10-06、2026-10-07、2026-10-12、2026-10-13、2026-10-16</v>
      </c>
      <c r="BM889" s="8" t="str">
        <v>2026-10：12天 × 1.2247029157699902；2026-11：30天 × 0.8332682139098497；2026-12：31天 × 0.5511018253564084；2027-01：17天 × 1.0017220238758797</v>
      </c>
      <c r="BN889" s="11" t="n">
        <v>1.2247029157699902</v>
      </c>
      <c r="BO889" s="11" t="n">
        <v>0.8332682139098497</v>
      </c>
      <c r="BP889" s="11" t="n">
        <v>0.5511018253564084</v>
      </c>
      <c r="BQ889" s="11" t="n">
        <v>1.0017220238758797</v>
      </c>
      <c r="BR889" s="8" t="n">
        <v>12</v>
      </c>
      <c r="BS889" s="8" t="n">
        <v>30</v>
      </c>
      <c r="BT889" s="8" t="n">
        <v>31</v>
      </c>
      <c r="BU889" s="8" t="n">
        <v>17</v>
      </c>
      <c r="BV889" s="11" t="n">
        <f>IF(COUNT(BC889,BF889)=2,BC889*BF889,"")</f>
        <v>0</v>
      </c>
      <c r="BW889" s="11" t="n">
        <f>IF(ISNUMBER(BN889),BN889,"")</f>
        <v>1.2247029157699902</v>
      </c>
      <c r="BX889" s="14" t="n">
        <f>IF(ISNUMBER(BR889),BR889,"")</f>
        <v>12</v>
      </c>
      <c r="BY889" s="13" t="n">
        <f>IF(AND(COUNT(BV889,BW889,BX889)=3,MIN(BV889,BW889,BX889)&gt;=0),BV889*BW889*BX889,"")</f>
        <v>0</v>
      </c>
      <c r="BZ889" s="11" t="n">
        <f>IF(ISNUMBER(BO889),BO889,"")</f>
        <v>0.8332682139098497</v>
      </c>
      <c r="CA889" s="14" t="n">
        <f>IF(ISNUMBER(BS889),BS889,"")</f>
        <v>30</v>
      </c>
      <c r="CB889" s="13" t="n">
        <f>IF(AND(COUNT(BV889,BZ889,CA889)=3,MIN(BV889,BZ889,CA889)&gt;=0),BV889*BZ889*CA889,"")</f>
        <v>0</v>
      </c>
      <c r="CC889" s="11" t="n">
        <f>IF(ISNUMBER(BP889),BP889,"")</f>
        <v>0.5511018253564084</v>
      </c>
      <c r="CD889" s="14" t="n">
        <f>IF(ISNUMBER(BT889),BT889,"")</f>
        <v>31</v>
      </c>
      <c r="CE889" s="13" t="n">
        <f>IF(AND(COUNT(BV889,CC889,CD889)=3,MIN(BV889,CC889,CD889)&gt;=0),BV889*CC889*CD889,"")</f>
        <v>0</v>
      </c>
      <c r="CF889" s="11" t="n">
        <f>IF(ISNUMBER(BQ889),BQ889,"")</f>
        <v>1.0017220238758797</v>
      </c>
      <c r="CG889" s="14" t="n">
        <f>IF(ISNUMBER(BU889),BU889,"")</f>
        <v>17</v>
      </c>
      <c r="CH889" s="13" t="n">
        <f>IF(AND(COUNT(BV889,CF889,CG889)=3,MIN(BV889,CF889,CG889)&gt;=0),BV889*CF889*CG889,"")</f>
        <v>0</v>
      </c>
      <c r="CI889" s="13" t="n">
        <f>IF(COUNT(BY889,CB889,CE889,CH889)=4,SUM(BY889,CB889,CE889,CH889),"")</f>
        <v>0</v>
      </c>
    </row>
    <row r="890" ht="72" customHeight="1">
      <c r="A890" s="16" t="str">
        <v>B06-HP-40.5</v>
      </c>
      <c r="B890" s="16" t="str">
        <v>1店-MUSSHOE-US</v>
      </c>
      <c r="C890" s="16" t="str">
        <v>艾年</v>
      </c>
      <c r="D890" s="26" t="n">
        <f>IF(NOT(ISNUMBER(E890)),"",IF(OR(E890&lt;=0,L890=0),0,IF(OR(NOT(ISNUMBER(F890)),F890&lt;0),"",MIN(E890,INT(F890)))))</f>
        <v>0</v>
      </c>
      <c r="E890" s="27" t="n">
        <f>IF(OR(NOT(ISNUMBER(L890)),COUNT(M890:O890)&lt;&gt;3,MIN(M890:O890)&lt;0),"",ROUNDUP(ROUND(BI890-SUM(M890:O890),10),0))</f>
        <v>0</v>
      </c>
      <c r="F890" s="28" t="n">
        <v>0</v>
      </c>
      <c r="G890" s="28" t="n">
        <f>IF(AND(ISNUMBER(D890),ISNUMBER(E890)),IF(OR(E890&lt;=0,L890=0),0,E890-D890),"")</f>
        <v>0</v>
      </c>
      <c r="H890" s="16" t="str">
        <f>IF(NOT(ISNUMBER(E890)),"销量或海外库存待补",IF(OR(E890&lt;=0,L890=0),IF(L890=0,"零日销，本批不发","本批无需补货"),IF(NOT(ISNUMBER(D890)),"国内库存待补",IF(D890=0,"国内无可用库存",IF(G890&gt;0,"先发国内现货","按建议量发货")))))</f>
        <v>零日销，本批不发</v>
      </c>
      <c r="I890" s="28" t="n">
        <f>IF(AND(COUNT(Z890,AA890,AB890)=3,Z890&gt;=AA890,AA890&gt;=0,AB890=7),Z890-AA890,"")</f>
        <v>0</v>
      </c>
      <c r="J890" s="28" t="n">
        <f>IF(AND(COUNT(AF890,AG890,AH890)=3,AF890&gt;=AG890,AG890&gt;=0,AH890=14),AF890-AG890,"")</f>
        <v>0</v>
      </c>
      <c r="K890" s="28" t="n">
        <f>IF(AND(COUNT(AL890,AM890,AN890)=3,AL890&gt;=AM890,AM890&gt;=0,AN890=30),AL890-AM890,"")</f>
        <v>0</v>
      </c>
      <c r="L890" s="29" t="n">
        <f>IF(ISNUMBER(BI890),BI890/90,"")</f>
        <v>0</v>
      </c>
      <c r="M890" s="28" t="n">
        <v>0</v>
      </c>
      <c r="N890" s="28" t="n">
        <v>0</v>
      </c>
      <c r="O890" s="28" t="n">
        <v>0</v>
      </c>
      <c r="P890" s="30" t="str">
        <f>IF(AND(ISNUMBER(L890),L890&gt;0,COUNT(M890:O890)=3,MIN(M890:O890)&gt;=0),SUM(M890:O890)/L890,"")</f>
      </c>
      <c r="Q890" s="16" t="str">
        <v>按本SKU唯一未删除Listing店铺核实</v>
      </c>
      <c r="R890" s="16" t="str">
        <v>已匹配</v>
      </c>
      <c r="S890" s="16" t="str">
        <v>停售</v>
      </c>
      <c r="T890" s="16" t="str">
        <v>B06</v>
      </c>
      <c r="U890" s="16" t="str">
        <v>芭比粉羊京绒</v>
      </c>
      <c r="V890" s="16" t="n">
        <v>9.5</v>
      </c>
      <c r="W890" s="8" t="str">
        <v>2026-10-08 至 2026-10-17</v>
      </c>
      <c r="X890" s="8" t="str">
        <v>2026-10-08、2026-10-09、2026-10-10、2026-10-11、2026-10-14、2026-10-15、2026-10-17</v>
      </c>
      <c r="Y890" s="8" t="str">
        <v>2026-10-12 有记录的停售日；2026-10-13 有记录的停售日；2026-10-16 有记录的停售日</v>
      </c>
      <c r="Z890" s="8" t="n">
        <v>0</v>
      </c>
      <c r="AA890" s="8" t="n">
        <v>0</v>
      </c>
      <c r="AB890" s="8" t="n">
        <v>7</v>
      </c>
      <c r="AC890" s="8" t="str">
        <v>2026-09-29 至 2026-10-17</v>
      </c>
      <c r="AD890" s="8" t="str">
        <v>2026-09-29、2026-09-30、2026-10-01、2026-10-02、2026-10-03、2026-10-04、2026-10-05、2026-10-08、2026-10-09、2026-10-10、2026-10-11、2026-10-14、2026-10-15、2026-10-17</v>
      </c>
      <c r="AE890" s="8" t="str">
        <v>2026-10-06 大促；2026-10-07 大促；2026-10-12 有记录的停售日；2026-10-13 有记录的停售日；2026-10-16 有记录的停售日</v>
      </c>
      <c r="AF890" s="8" t="n">
        <v>0</v>
      </c>
      <c r="AG890" s="8" t="n">
        <v>0</v>
      </c>
      <c r="AH890" s="8" t="n">
        <v>14</v>
      </c>
      <c r="AI890" s="8" t="str">
        <v>2026-09-13 至 2026-10-17</v>
      </c>
      <c r="AJ89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90" s="8" t="str">
        <v>2026-10-06 大促；2026-10-07 大促；2026-10-12 有记录的停售日；2026-10-13 有记录的停售日；2026-10-16 有记录的停售日</v>
      </c>
      <c r="AL890" s="8" t="n">
        <v>0</v>
      </c>
      <c r="AM890" s="8" t="n">
        <v>0</v>
      </c>
      <c r="AN890" s="8" t="n">
        <v>30</v>
      </c>
      <c r="AO890" s="8" t="str">
        <v>B06 / 芭比粉羊京绒 / 13120</v>
      </c>
      <c r="AP890" s="11" t="n">
        <v>1.2247029157699902</v>
      </c>
      <c r="AQ890" s="11" t="n">
        <v>1.1929861014741694</v>
      </c>
      <c r="AR890" s="11" t="n">
        <v>1.0914922957275428</v>
      </c>
      <c r="AS890" s="11" t="n">
        <f>IF(AND(COUNT(I890:K890,AP890:AR890)=6,MIN(AP890:AR890)&gt;0),I890/7/AP890*0.5+J890/14/AQ890*0.3+K890/30/AR890*0.2,"")</f>
        <v>0</v>
      </c>
      <c r="AT890" s="8" t="n">
        <v>0</v>
      </c>
      <c r="AU890" s="8" t="n">
        <v>0</v>
      </c>
      <c r="AV890" s="8" t="n">
        <v>85</v>
      </c>
      <c r="AW890" s="11" t="n">
        <f>IF(AND(COUNT(AT890:AV890)=3,AT890&gt;=AU890,AU890&gt;=0,AV890&gt;0),(AT890-AU890)/AV890,"")</f>
        <v>0</v>
      </c>
      <c r="AX890" s="8" t="n">
        <v>0</v>
      </c>
      <c r="AY890" s="8" t="n">
        <v>0</v>
      </c>
      <c r="AZ890" s="8" t="n">
        <v>175</v>
      </c>
      <c r="BA890" s="11" t="n">
        <f>IF(AND(COUNT(AX890:AZ890)=3,AX890&gt;=AY890,AY890&gt;=0,AZ890&gt;0),(AX890-AY890)/AZ890,"")</f>
        <v>0</v>
      </c>
      <c r="BB890" s="8" t="n">
        <f>IF(COUNT(AS890,AW890,BA890)=3,1,0)</f>
        <v>1</v>
      </c>
      <c r="BC890" s="11" t="n">
        <f>IF(SUMIF($AO$11:$AO$1309,AO890,$BB$11:$BB$1309)=COUNTIF($AO$11:$AO$1309,AO890),SUMIF($AO$11:$AO$1309,AO890,$AS$11:$AS$1309),"")</f>
        <v>0.08779230578746408</v>
      </c>
      <c r="BD890" s="11" t="n">
        <f>IF(SUMIF($AO$11:$AO$1309,AO890,$BB$11:$BB$1309)=COUNTIF($AO$11:$AO$1309,AO890),SUMIF($AO$11:$AO$1309,AO890,$AW$11:$AW$1309),"")</f>
        <v>0.045454545454545456</v>
      </c>
      <c r="BE890" s="11" t="n">
        <f>IF(SUMIF($AO$11:$AO$1309,AO890,$BB$11:$BB$1309)=COUNTIF($AO$11:$AO$1309,AO890),SUMIF($AO$11:$AO$1309,AO890,$BA$11:$BA$1309),"")</f>
        <v>0.07865168539325842</v>
      </c>
      <c r="BF890" s="12" t="n">
        <f>IF(COUNT(BD890:BE890)&lt;&gt;2,"",IF(AND(BD890&gt;0,BE890&gt;0),0.7*AW890/BD890+0.3*BA890/BE890,IF(BD890&gt;0,AW890/BD890,IF(BE890&gt;0,BA890/BE890,IF(AND(ISNUMBER(BH890),BH890=0),0,"")))))</f>
        <v>0</v>
      </c>
      <c r="BG890" s="11" t="n">
        <f>IF(AND(COUNT(BN890:BU890)=8,MIN(BN890:BU890)&gt;=0),SUMPRODUCT(BN890:BQ890,BR890:BU890),"")</f>
        <v>73.80791239847399</v>
      </c>
      <c r="BH890" s="11" t="n">
        <f>IF(COUNT(BC890,BG890)=2,BC890*BG890,"")</f>
        <v>6.47976681482119</v>
      </c>
      <c r="BI890" s="11" t="n">
        <f>IF(ISNUMBER(CI890),CI890,"")</f>
        <v>0</v>
      </c>
      <c r="BJ890" s="8" t="str">
        <v>近180天本色销量14双（＜90），无有效新采购，请运营判断</v>
      </c>
      <c r="BK890" s="8" t="str">
        <v>90天：2026-07-20 至 2026-10-17；180天：2026-04-21 至 2026-10-17</v>
      </c>
      <c r="BL890" s="8" t="str">
        <v>90天：2026-10-06、2026-10-07、2026-10-12、2026-10-13、2026-10-16；180天：2026-10-06、2026-10-07、2026-10-12、2026-10-13、2026-10-16</v>
      </c>
      <c r="BM890" s="8" t="str">
        <v>2026-10：12天 × 1.2247029157699902；2026-11：30天 × 0.8332682139098497；2026-12：31天 × 0.5511018253564084；2027-01：17天 × 1.0017220238758797</v>
      </c>
      <c r="BN890" s="11" t="n">
        <v>1.2247029157699902</v>
      </c>
      <c r="BO890" s="11" t="n">
        <v>0.8332682139098497</v>
      </c>
      <c r="BP890" s="11" t="n">
        <v>0.5511018253564084</v>
      </c>
      <c r="BQ890" s="11" t="n">
        <v>1.0017220238758797</v>
      </c>
      <c r="BR890" s="8" t="n">
        <v>12</v>
      </c>
      <c r="BS890" s="8" t="n">
        <v>30</v>
      </c>
      <c r="BT890" s="8" t="n">
        <v>31</v>
      </c>
      <c r="BU890" s="8" t="n">
        <v>17</v>
      </c>
      <c r="BV890" s="11" t="n">
        <f>IF(COUNT(BC890,BF890)=2,BC890*BF890,"")</f>
        <v>0</v>
      </c>
      <c r="BW890" s="11" t="n">
        <f>IF(ISNUMBER(BN890),BN890,"")</f>
        <v>1.2247029157699902</v>
      </c>
      <c r="BX890" s="14" t="n">
        <f>IF(ISNUMBER(BR890),BR890,"")</f>
        <v>12</v>
      </c>
      <c r="BY890" s="13" t="n">
        <f>IF(AND(COUNT(BV890,BW890,BX890)=3,MIN(BV890,BW890,BX890)&gt;=0),BV890*BW890*BX890,"")</f>
        <v>0</v>
      </c>
      <c r="BZ890" s="11" t="n">
        <f>IF(ISNUMBER(BO890),BO890,"")</f>
        <v>0.8332682139098497</v>
      </c>
      <c r="CA890" s="14" t="n">
        <f>IF(ISNUMBER(BS890),BS890,"")</f>
        <v>30</v>
      </c>
      <c r="CB890" s="13" t="n">
        <f>IF(AND(COUNT(BV890,BZ890,CA890)=3,MIN(BV890,BZ890,CA890)&gt;=0),BV890*BZ890*CA890,"")</f>
        <v>0</v>
      </c>
      <c r="CC890" s="11" t="n">
        <f>IF(ISNUMBER(BP890),BP890,"")</f>
        <v>0.5511018253564084</v>
      </c>
      <c r="CD890" s="14" t="n">
        <f>IF(ISNUMBER(BT890),BT890,"")</f>
        <v>31</v>
      </c>
      <c r="CE890" s="13" t="n">
        <f>IF(AND(COUNT(BV890,CC890,CD890)=3,MIN(BV890,CC890,CD890)&gt;=0),BV890*CC890*CD890,"")</f>
        <v>0</v>
      </c>
      <c r="CF890" s="11" t="n">
        <f>IF(ISNUMBER(BQ890),BQ890,"")</f>
        <v>1.0017220238758797</v>
      </c>
      <c r="CG890" s="14" t="n">
        <f>IF(ISNUMBER(BU890),BU890,"")</f>
        <v>17</v>
      </c>
      <c r="CH890" s="13" t="n">
        <f>IF(AND(COUNT(BV890,CF890,CG890)=3,MIN(BV890,CF890,CG890)&gt;=0),BV890*CF890*CG890,"")</f>
        <v>0</v>
      </c>
      <c r="CI890" s="13" t="n">
        <f>IF(COUNT(BY890,CB890,CE890,CH890)=4,SUM(BY890,CB890,CE890,CH890),"")</f>
        <v>0</v>
      </c>
    </row>
    <row r="891" ht="72" customHeight="1">
      <c r="A891" s="16" t="str">
        <v>B06-HP-41.5</v>
      </c>
      <c r="B891" s="16" t="str">
        <v>1店-MUSSHOE-US</v>
      </c>
      <c r="C891" s="16" t="str">
        <v>艾年</v>
      </c>
      <c r="D891" s="26" t="n">
        <f>IF(NOT(ISNUMBER(E891)),"",IF(OR(E891&lt;=0,L891=0),0,IF(OR(NOT(ISNUMBER(F891)),F891&lt;0),"",MIN(E891,INT(F891)))))</f>
        <v>0</v>
      </c>
      <c r="E891" s="27" t="n">
        <f>IF(OR(NOT(ISNUMBER(L891)),COUNT(M891:O891)&lt;&gt;3,MIN(M891:O891)&lt;0),"",ROUNDUP(ROUND(BI891-SUM(M891:O891),10),0))</f>
        <v>-12</v>
      </c>
      <c r="F891" s="28" t="n">
        <v>0</v>
      </c>
      <c r="G891" s="28" t="n">
        <f>IF(AND(ISNUMBER(D891),ISNUMBER(E891)),IF(OR(E891&lt;=0,L891=0),0,E891-D891),"")</f>
        <v>0</v>
      </c>
      <c r="H891" s="16" t="str">
        <f>IF(NOT(ISNUMBER(E891)),"销量或海外库存待补",IF(OR(E891&lt;=0,L891=0),IF(L891=0,"零日销，本批不发","本批无需补货"),IF(NOT(ISNUMBER(D891)),"国内库存待补",IF(D891=0,"国内无可用库存",IF(G891&gt;0,"先发国内现货","按建议量发货")))))</f>
        <v>本批无需补货</v>
      </c>
      <c r="I891" s="28" t="n">
        <f>IF(AND(COUNT(Z891,AA891,AB891)=3,Z891&gt;=AA891,AA891&gt;=0,AB891=7),Z891-AA891,"")</f>
        <v>1</v>
      </c>
      <c r="J891" s="28" t="n">
        <f>IF(AND(COUNT(AF891,AG891,AH891)=3,AF891&gt;=AG891,AG891&gt;=0,AH891=14),AF891-AG891,"")</f>
        <v>1</v>
      </c>
      <c r="K891" s="28" t="n">
        <f>IF(AND(COUNT(AL891,AM891,AN891)=3,AL891&gt;=AM891,AM891&gt;=0,AN891=30),AL891-AM891,"")</f>
        <v>1</v>
      </c>
      <c r="L891" s="29" t="n">
        <f>IF(ISNUMBER(BI891),BI891/90,"")</f>
        <v>0.03137029965905497</v>
      </c>
      <c r="M891" s="28" t="n">
        <v>14</v>
      </c>
      <c r="N891" s="28" t="n">
        <v>0</v>
      </c>
      <c r="O891" s="28" t="n">
        <v>0</v>
      </c>
      <c r="P891" s="30" t="n">
        <f>IF(AND(ISNUMBER(L891),L891&gt;0,COUNT(M891:O891)=3,MIN(M891:O891)&gt;=0),SUM(M891:O891)/L891,"")</f>
        <v>446.28199769073393</v>
      </c>
      <c r="Q891" s="16" t="str">
        <v>按本SKU唯一未删除Listing店铺核实</v>
      </c>
      <c r="R891" s="16" t="str">
        <v>已匹配</v>
      </c>
      <c r="S891" s="16" t="str">
        <v>在售</v>
      </c>
      <c r="T891" s="16" t="str">
        <v>B06</v>
      </c>
      <c r="U891" s="16" t="str">
        <v>芭比粉羊京绒</v>
      </c>
      <c r="V891" s="16" t="n">
        <v>10.5</v>
      </c>
      <c r="W891" s="8" t="str">
        <v>2026-10-11 至 2026-10-17</v>
      </c>
      <c r="X891" s="8" t="str">
        <v>2026-10-11、2026-10-12、2026-10-13、2026-10-14、2026-10-15、2026-10-16、2026-10-17</v>
      </c>
      <c r="Y891" s="8" t="str">
        <v>无</v>
      </c>
      <c r="Z891" s="8" t="n">
        <v>1</v>
      </c>
      <c r="AA891" s="8" t="n">
        <v>0</v>
      </c>
      <c r="AB891" s="8" t="n">
        <v>7</v>
      </c>
      <c r="AC891" s="8" t="str">
        <v>2026-10-02 至 2026-10-17</v>
      </c>
      <c r="AD891" s="8" t="str">
        <v>2026-10-02、2026-10-03、2026-10-04、2026-10-05、2026-10-08、2026-10-09、2026-10-10、2026-10-11、2026-10-12、2026-10-13、2026-10-14、2026-10-15、2026-10-16、2026-10-17</v>
      </c>
      <c r="AE891" s="8" t="str">
        <v>2026-10-06 大促；2026-10-07 大促</v>
      </c>
      <c r="AF891" s="8" t="n">
        <v>1</v>
      </c>
      <c r="AG891" s="8" t="n">
        <v>0</v>
      </c>
      <c r="AH891" s="8" t="n">
        <v>14</v>
      </c>
      <c r="AI891" s="8" t="str">
        <v>2026-09-16 至 2026-10-17</v>
      </c>
      <c r="AJ8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1" s="8" t="str">
        <v>2026-10-06 大促；2026-10-07 大促</v>
      </c>
      <c r="AL891" s="8" t="n">
        <v>1</v>
      </c>
      <c r="AM891" s="8" t="n">
        <v>0</v>
      </c>
      <c r="AN891" s="8" t="n">
        <v>30</v>
      </c>
      <c r="AO891" s="8" t="str">
        <v>B06 / 芭比粉羊京绒 / 13120</v>
      </c>
      <c r="AP891" s="11" t="n">
        <v>1.2247029157699902</v>
      </c>
      <c r="AQ891" s="11" t="n">
        <v>1.2247029157699902</v>
      </c>
      <c r="AR891" s="11" t="n">
        <v>1.1136940657346173</v>
      </c>
      <c r="AS891" s="11" t="n">
        <f>IF(AND(COUNT(I891:K891,AP891:AR891)=6,MIN(AP891:AR891)&gt;0),I891/7/AP891*0.5+J891/14/AQ891*0.3+K891/30/AR891*0.2,"")</f>
        <v>0.08180622139339022</v>
      </c>
      <c r="AT891" s="8" t="n">
        <v>2</v>
      </c>
      <c r="AU891" s="8" t="n">
        <v>0</v>
      </c>
      <c r="AV891" s="8" t="n">
        <v>88</v>
      </c>
      <c r="AW891" s="11" t="n">
        <f>IF(AND(COUNT(AT891:AV891)=3,AT891&gt;=AU891,AU891&gt;=0,AV891&gt;0),(AT891-AU891)/AV891,"")</f>
        <v>0.022727272727272728</v>
      </c>
      <c r="AX891" s="8" t="n">
        <v>4</v>
      </c>
      <c r="AY891" s="8" t="n">
        <v>0</v>
      </c>
      <c r="AZ891" s="8" t="n">
        <v>178</v>
      </c>
      <c r="BA891" s="11" t="n">
        <f>IF(AND(COUNT(AX891:AZ891)=3,AX891&gt;=AY891,AY891&gt;=0,AZ891&gt;0),(AX891-AY891)/AZ891,"")</f>
        <v>0.02247191011235955</v>
      </c>
      <c r="BB891" s="8" t="n">
        <f>IF(COUNT(AS891,AW891,BA891)=3,1,0)</f>
        <v>1</v>
      </c>
      <c r="BC891" s="11" t="n">
        <f>IF(SUMIF($AO$11:$AO$1309,AO891,$BB$11:$BB$1309)=COUNTIF($AO$11:$AO$1309,AO891),SUMIF($AO$11:$AO$1309,AO891,$AS$11:$AS$1309),"")</f>
        <v>0.08779230578746408</v>
      </c>
      <c r="BD891" s="11" t="n">
        <f>IF(SUMIF($AO$11:$AO$1309,AO891,$BB$11:$BB$1309)=COUNTIF($AO$11:$AO$1309,AO891),SUMIF($AO$11:$AO$1309,AO891,$AW$11:$AW$1309),"")</f>
        <v>0.045454545454545456</v>
      </c>
      <c r="BE891" s="11" t="n">
        <f>IF(SUMIF($AO$11:$AO$1309,AO891,$BB$11:$BB$1309)=COUNTIF($AO$11:$AO$1309,AO891),SUMIF($AO$11:$AO$1309,AO891,$BA$11:$BA$1309),"")</f>
        <v>0.07865168539325842</v>
      </c>
      <c r="BF891" s="12" t="n">
        <f>IF(COUNT(BD891:BE891)&lt;&gt;2,"",IF(AND(BD891&gt;0,BE891&gt;0),0.7*AW891/BD891+0.3*BA891/BE891,IF(BD891&gt;0,AW891/BD891,IF(BE891&gt;0,BA891/BE891,IF(AND(ISNUMBER(BH891),BH891=0),0,"")))))</f>
        <v>0.43571428571428567</v>
      </c>
      <c r="BG891" s="11" t="n">
        <f>IF(AND(COUNT(BN891:BU891)=8,MIN(BN891:BU891)&gt;=0),SUMPRODUCT(BN891:BQ891,BR891:BU891),"")</f>
        <v>73.80791239847399</v>
      </c>
      <c r="BH891" s="11" t="n">
        <f>IF(COUNT(BC891,BG891)=2,BC891*BG891,"")</f>
        <v>6.47976681482119</v>
      </c>
      <c r="BI891" s="11" t="n">
        <f>IF(ISNUMBER(CI891),CI891,"")</f>
        <v>2.823326969314947</v>
      </c>
      <c r="BJ891" s="8" t="str">
        <v>近180天本色销量14双（＜90），无有效新采购，请运营判断</v>
      </c>
      <c r="BK891" s="8" t="str">
        <v>90天：2026-07-20 至 2026-10-17；180天：2026-04-21 至 2026-10-17</v>
      </c>
      <c r="BL891" s="8" t="str">
        <v>90天：2026-10-06、2026-10-07；180天：2026-10-06、2026-10-07</v>
      </c>
      <c r="BM891" s="8" t="str">
        <v>2026-10：12天 × 1.2247029157699902；2026-11：30天 × 0.8332682139098497；2026-12：31天 × 0.5511018253564084；2027-01：17天 × 1.0017220238758797</v>
      </c>
      <c r="BN891" s="11" t="n">
        <v>1.2247029157699902</v>
      </c>
      <c r="BO891" s="11" t="n">
        <v>0.8332682139098497</v>
      </c>
      <c r="BP891" s="11" t="n">
        <v>0.5511018253564084</v>
      </c>
      <c r="BQ891" s="11" t="n">
        <v>1.0017220238758797</v>
      </c>
      <c r="BR891" s="8" t="n">
        <v>12</v>
      </c>
      <c r="BS891" s="8" t="n">
        <v>30</v>
      </c>
      <c r="BT891" s="8" t="n">
        <v>31</v>
      </c>
      <c r="BU891" s="8" t="n">
        <v>17</v>
      </c>
      <c r="BV891" s="11" t="n">
        <f>IF(COUNT(BC891,BF891)=2,BC891*BF891,"")</f>
        <v>0.03825236180739506</v>
      </c>
      <c r="BW891" s="11" t="n">
        <f>IF(ISNUMBER(BN891),BN891,"")</f>
        <v>1.2247029157699902</v>
      </c>
      <c r="BX891" s="14" t="n">
        <f>IF(ISNUMBER(BR891),BR891,"")</f>
        <v>12</v>
      </c>
      <c r="BY891" s="13" t="n">
        <f>IF(AND(COUNT(BV891,BW891,BX891)=3,MIN(BV891,BW891,BX891)&gt;=0),BV891*BW891*BX891,"")</f>
        <v>0.5621733484872642</v>
      </c>
      <c r="BZ891" s="11" t="n">
        <f>IF(ISNUMBER(BO891),BO891,"")</f>
        <v>0.8332682139098497</v>
      </c>
      <c r="CA891" s="14" t="n">
        <f>IF(ISNUMBER(BS891),BS891,"")</f>
        <v>30</v>
      </c>
      <c r="CB891" s="13" t="n">
        <f>IF(AND(COUNT(BV891,BZ891,CA891)=3,MIN(BV891,BZ891,CA891)&gt;=0),BV891*BZ891*CA891,"")</f>
        <v>0.956234316032443</v>
      </c>
      <c r="CC891" s="11" t="n">
        <f>IF(ISNUMBER(BP891),BP891,"")</f>
        <v>0.5511018253564084</v>
      </c>
      <c r="CD891" s="14" t="n">
        <f>IF(ISNUMBER(BT891),BT891,"")</f>
        <v>31</v>
      </c>
      <c r="CE891" s="13" t="n">
        <f>IF(AND(COUNT(BV891,CC891,CD891)=3,MIN(BV891,CC891,CD891)&gt;=0),BV891*CC891*CD891,"")</f>
        <v>0.6535093389037245</v>
      </c>
      <c r="CF891" s="11" t="n">
        <f>IF(ISNUMBER(BQ891),BQ891,"")</f>
        <v>1.0017220238758797</v>
      </c>
      <c r="CG891" s="14" t="n">
        <f>IF(ISNUMBER(BU891),BU891,"")</f>
        <v>17</v>
      </c>
      <c r="CH891" s="13" t="n">
        <f>IF(AND(COUNT(BV891,CF891,CG891)=3,MIN(BV891,CF891,CG891)&gt;=0),BV891*CF891*CG891,"")</f>
        <v>0.6514099658915151</v>
      </c>
      <c r="CI891" s="13" t="n">
        <f>IF(COUNT(BY891,CB891,CE891,CH891)=4,SUM(BY891,CB891,CE891,CH891),"")</f>
        <v>2.823326969314947</v>
      </c>
    </row>
    <row r="892" ht="72" customHeight="1">
      <c r="A892" s="16" t="str">
        <v>B06-IV-P-0-37</v>
      </c>
      <c r="B892" s="16" t="str">
        <v>1店-MUSSHOE-US</v>
      </c>
      <c r="C892" s="16" t="str">
        <v>艾年</v>
      </c>
      <c r="D892" s="26" t="n">
        <f>IF(NOT(ISNUMBER(E892)),"",IF(OR(E892&lt;=0,L892=0),0,IF(OR(NOT(ISNUMBER(F892)),F892&lt;0),"",MIN(E892,INT(F892)))))</f>
        <v>0</v>
      </c>
      <c r="E892" s="27" t="n">
        <f>IF(OR(NOT(ISNUMBER(L892)),COUNT(M892:O892)&lt;&gt;3,MIN(M892:O892)&lt;0),"",ROUNDUP(ROUND(BI892-SUM(M892:O892),10),0))</f>
        <v>-1</v>
      </c>
      <c r="F892" s="28" t="n">
        <v>0</v>
      </c>
      <c r="G892" s="28" t="n">
        <f>IF(AND(ISNUMBER(D892),ISNUMBER(E892)),IF(OR(E892&lt;=0,L892=0),0,E892-D892),"")</f>
        <v>0</v>
      </c>
      <c r="H892" s="16" t="str">
        <f>IF(NOT(ISNUMBER(E892)),"销量或海外库存待补",IF(OR(E892&lt;=0,L892=0),IF(L892=0,"零日销，本批不发","本批无需补货"),IF(NOT(ISNUMBER(D892)),"国内库存待补",IF(D892=0,"国内无可用库存",IF(G892&gt;0,"先发国内现货","按建议量发货")))))</f>
        <v>本批无需补货</v>
      </c>
      <c r="I892" s="28" t="n">
        <f>IF(AND(COUNT(Z892,AA892,AB892)=3,Z892&gt;=AA892,AA892&gt;=0,AB892=7),Z892-AA892,"")</f>
        <v>0</v>
      </c>
      <c r="J892" s="28" t="n">
        <f>IF(AND(COUNT(AF892,AG892,AH892)=3,AF892&gt;=AG892,AG892&gt;=0,AH892=14),AF892-AG892,"")</f>
        <v>0</v>
      </c>
      <c r="K892" s="28" t="n">
        <f>IF(AND(COUNT(AL892,AM892,AN892)=3,AL892&gt;=AM892,AM892&gt;=0,AN892=30),AL892-AM892,"")</f>
        <v>0</v>
      </c>
      <c r="L892" s="29" t="n">
        <f>IF(ISNUMBER(BI892),BI892/90,"")</f>
        <v>0.00335489197801656</v>
      </c>
      <c r="M892" s="28" t="n">
        <v>1</v>
      </c>
      <c r="N892" s="28" t="n">
        <v>0</v>
      </c>
      <c r="O892" s="28" t="n">
        <v>0</v>
      </c>
      <c r="P892" s="30" t="n">
        <f>IF(AND(ISNUMBER(L892),L892&gt;0,COUNT(M892:O892)=3,MIN(M892:O892)&gt;=0),SUM(M892:O892)/L892,"")</f>
        <v>298.0721902680182</v>
      </c>
      <c r="Q892" s="16" t="str">
        <v>沿用原计划SKU店铺</v>
      </c>
      <c r="R892" s="16" t="str">
        <v>已匹配</v>
      </c>
      <c r="S892" s="16" t="str">
        <v>在售</v>
      </c>
      <c r="T892" s="16" t="str">
        <v>B06</v>
      </c>
      <c r="U892" s="16" t="str">
        <v>米白色PU</v>
      </c>
      <c r="V892" s="16" t="n">
        <v>6</v>
      </c>
      <c r="W892" s="8" t="str">
        <v>2026-10-11 至 2026-10-17</v>
      </c>
      <c r="X892" s="8" t="str">
        <v>2026-10-11、2026-10-12、2026-10-13、2026-10-14、2026-10-15、2026-10-16、2026-10-17</v>
      </c>
      <c r="Y892" s="8" t="str">
        <v>无</v>
      </c>
      <c r="Z892" s="8" t="n">
        <v>0</v>
      </c>
      <c r="AA892" s="8" t="n">
        <v>0</v>
      </c>
      <c r="AB892" s="8" t="n">
        <v>7</v>
      </c>
      <c r="AC892" s="8" t="str">
        <v>2026-10-02 至 2026-10-17</v>
      </c>
      <c r="AD892" s="8" t="str">
        <v>2026-10-02、2026-10-03、2026-10-04、2026-10-05、2026-10-08、2026-10-09、2026-10-10、2026-10-11、2026-10-12、2026-10-13、2026-10-14、2026-10-15、2026-10-16、2026-10-17</v>
      </c>
      <c r="AE892" s="8" t="str">
        <v>2026-10-06 大促；2026-10-07 大促</v>
      </c>
      <c r="AF892" s="8" t="n">
        <v>0</v>
      </c>
      <c r="AG892" s="8" t="n">
        <v>0</v>
      </c>
      <c r="AH892" s="8" t="n">
        <v>14</v>
      </c>
      <c r="AI892" s="8" t="str">
        <v>2026-09-16 至 2026-10-17</v>
      </c>
      <c r="AJ8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2" s="8" t="str">
        <v>2026-10-06 大促；2026-10-07 大促</v>
      </c>
      <c r="AL892" s="8" t="n">
        <v>0</v>
      </c>
      <c r="AM892" s="8" t="n">
        <v>0</v>
      </c>
      <c r="AN892" s="8" t="n">
        <v>30</v>
      </c>
      <c r="AO892" s="8" t="str">
        <v>B06 / 米白色PU / 13120</v>
      </c>
      <c r="AP892" s="11" t="n">
        <v>1.2247029157699902</v>
      </c>
      <c r="AQ892" s="11" t="n">
        <v>1.2247029157699902</v>
      </c>
      <c r="AR892" s="11" t="n">
        <v>1.1136940657346173</v>
      </c>
      <c r="AS892" s="11" t="n">
        <f>IF(AND(COUNT(I892:K892,AP892:AR892)=6,MIN(AP892:AR892)&gt;0),I892/7/AP892*0.5+J892/14/AQ892*0.3+K892/30/AR892*0.2,"")</f>
        <v>0</v>
      </c>
      <c r="AT892" s="8" t="n">
        <v>1</v>
      </c>
      <c r="AU892" s="8" t="n">
        <v>0</v>
      </c>
      <c r="AV892" s="8" t="n">
        <v>88</v>
      </c>
      <c r="AW892" s="11" t="n">
        <f>IF(AND(COUNT(AT892:AV892)=3,AT892&gt;=AU892,AU892&gt;=0,AV892&gt;0),(AT892-AU892)/AV892,"")</f>
        <v>0.011363636363636364</v>
      </c>
      <c r="AX892" s="8" t="n">
        <v>2</v>
      </c>
      <c r="AY892" s="8" t="n">
        <v>0</v>
      </c>
      <c r="AZ892" s="8" t="n">
        <v>178</v>
      </c>
      <c r="BA892" s="11" t="n">
        <f>IF(AND(COUNT(AX892:AZ892)=3,AX892&gt;=AY892,AY892&gt;=0,AZ892&gt;0),(AX892-AY892)/AZ892,"")</f>
        <v>0.011235955056179775</v>
      </c>
      <c r="BB892" s="8" t="n">
        <f>IF(COUNT(AS892,AW892,BA892)=3,1,0)</f>
        <v>1</v>
      </c>
      <c r="BC892" s="11" t="n">
        <f>IF(SUMIF($AO$11:$AO$1309,AO892,$BB$11:$BB$1309)=COUNTIF($AO$11:$AO$1309,AO892),SUMIF($AO$11:$AO$1309,AO892,$AS$11:$AS$1309),"")</f>
        <v>0.02946912348029766</v>
      </c>
      <c r="BD892" s="11" t="n">
        <f>IF(SUMIF($AO$11:$AO$1309,AO892,$BB$11:$BB$1309)=COUNTIF($AO$11:$AO$1309,AO892),SUMIF($AO$11:$AO$1309,AO892,$AW$11:$AW$1309),"")</f>
        <v>0.0803475935828877</v>
      </c>
      <c r="BE892" s="11" t="n">
        <f>IF(SUMIF($AO$11:$AO$1309,AO892,$BB$11:$BB$1309)=COUNTIF($AO$11:$AO$1309,AO892),SUMIF($AO$11:$AO$1309,AO892,$BA$11:$BA$1309),"")</f>
        <v>0.08465489566613162</v>
      </c>
      <c r="BF892" s="12" t="n">
        <f>IF(COUNT(BD892:BE892)&lt;&gt;2,"",IF(AND(BD892&gt;0,BE892&gt;0),0.7*AW892/BD892+0.3*BA892/BE892,IF(BD892&gt;0,AW892/BD892,IF(BE892&gt;0,BA892/BE892,IF(AND(ISNUMBER(BH892),BH892=0),0,"")))))</f>
        <v>0.13881963886506937</v>
      </c>
      <c r="BG892" s="11" t="n">
        <f>IF(AND(COUNT(BN892:BU892)=8,MIN(BN892:BU892)&gt;=0),SUMPRODUCT(BN892:BQ892,BR892:BU892),"")</f>
        <v>73.80791239847399</v>
      </c>
      <c r="BH892" s="11" t="n">
        <f>IF(COUNT(BC892,BG892)=2,BC892*BG892,"")</f>
        <v>2.1750544842936224</v>
      </c>
      <c r="BI892" s="11" t="n">
        <f>IF(ISNUMBER(CI892),CI892,"")</f>
        <v>0.3019402780214904</v>
      </c>
      <c r="BJ892" s="8" t="str">
        <v>低销提醒依据不完整</v>
      </c>
      <c r="BK892" s="8" t="str">
        <v>90天：2026-07-20 至 2026-10-17；180天：2026-04-21 至 2026-10-17</v>
      </c>
      <c r="BL892" s="8" t="str">
        <v>90天：2026-10-06、2026-10-07；180天：2026-10-06、2026-10-07</v>
      </c>
      <c r="BM892" s="8" t="str">
        <v>2026-10：12天 × 1.2247029157699902；2026-11：30天 × 0.8332682139098497；2026-12：31天 × 0.5511018253564084；2027-01：17天 × 1.0017220238758797</v>
      </c>
      <c r="BN892" s="11" t="n">
        <v>1.2247029157699902</v>
      </c>
      <c r="BO892" s="11" t="n">
        <v>0.8332682139098497</v>
      </c>
      <c r="BP892" s="11" t="n">
        <v>0.5511018253564084</v>
      </c>
      <c r="BQ892" s="11" t="n">
        <v>1.0017220238758797</v>
      </c>
      <c r="BR892" s="8" t="n">
        <v>12</v>
      </c>
      <c r="BS892" s="8" t="n">
        <v>30</v>
      </c>
      <c r="BT892" s="8" t="n">
        <v>31</v>
      </c>
      <c r="BU892" s="8" t="n">
        <v>17</v>
      </c>
      <c r="BV892" s="11" t="n">
        <f>IF(COUNT(BC892,BF892)=2,BC892*BF892,"")</f>
        <v>0.004090893079205057</v>
      </c>
      <c r="BW892" s="11" t="n">
        <f>IF(ISNUMBER(BN892),BN892,"")</f>
        <v>1.2247029157699902</v>
      </c>
      <c r="BX892" s="14" t="n">
        <f>IF(ISNUMBER(BR892),BR892,"")</f>
        <v>12</v>
      </c>
      <c r="BY892" s="13" t="n">
        <f>IF(AND(COUNT(BV892,BW892,BX892)=3,MIN(BV892,BW892,BX892)&gt;=0),BV892*BW892*BX892,"")</f>
        <v>0.06012154418646849</v>
      </c>
      <c r="BZ892" s="11" t="n">
        <f>IF(ISNUMBER(BO892),BO892,"")</f>
        <v>0.8332682139098497</v>
      </c>
      <c r="CA892" s="14" t="n">
        <f>IF(ISNUMBER(BS892),BS892,"")</f>
        <v>30</v>
      </c>
      <c r="CB892" s="13" t="n">
        <f>IF(AND(COUNT(BV892,BZ892,CA892)=3,MIN(BV892,BZ892,CA892)&gt;=0),BV892*BZ892*CA892,"")</f>
        <v>0.10226433508216091</v>
      </c>
      <c r="CC892" s="11" t="n">
        <f>IF(ISNUMBER(BP892),BP892,"")</f>
        <v>0.5511018253564084</v>
      </c>
      <c r="CD892" s="14" t="n">
        <f>IF(ISNUMBER(BT892),BT892,"")</f>
        <v>31</v>
      </c>
      <c r="CE892" s="13" t="n">
        <f>IF(AND(COUNT(BV892,CC892,CD892)=3,MIN(BV892,CC892,CD892)&gt;=0),BV892*CC892*CD892,"")</f>
        <v>0.06988945794192196</v>
      </c>
      <c r="CF892" s="11" t="n">
        <f>IF(ISNUMBER(BQ892),BQ892,"")</f>
        <v>1.0017220238758797</v>
      </c>
      <c r="CG892" s="14" t="n">
        <f>IF(ISNUMBER(BU892),BU892,"")</f>
        <v>17</v>
      </c>
      <c r="CH892" s="13" t="n">
        <f>IF(AND(COUNT(BV892,CF892,CG892)=3,MIN(BV892,CF892,CG892)&gt;=0),BV892*CF892*CG892,"")</f>
        <v>0.06966494081093903</v>
      </c>
      <c r="CI892" s="13" t="n">
        <f>IF(COUNT(BY892,CB892,CE892,CH892)=4,SUM(BY892,CB892,CE892,CH892),"")</f>
        <v>0.3019402780214904</v>
      </c>
    </row>
    <row r="893" ht="72" customHeight="1">
      <c r="A893" s="16" t="str">
        <v>B06-IV-P-0-37.5</v>
      </c>
      <c r="B893" s="16" t="str">
        <v>1店-MUSSHOE-US</v>
      </c>
      <c r="C893" s="16" t="str">
        <v>艾年</v>
      </c>
      <c r="D893" s="26" t="n">
        <f>IF(NOT(ISNUMBER(E893)),"",IF(OR(E893&lt;=0,L893=0),0,IF(OR(NOT(ISNUMBER(F893)),F893&lt;0),"",MIN(E893,INT(F893)))))</f>
        <v>0</v>
      </c>
      <c r="E893" s="27" t="n">
        <f>IF(OR(NOT(ISNUMBER(L893)),COUNT(M893:O893)&lt;&gt;3,MIN(M893:O893)&lt;0),"",ROUNDUP(ROUND(BI893-SUM(M893:O893),10),0))</f>
        <v>0</v>
      </c>
      <c r="F893" s="28" t="n">
        <v>0</v>
      </c>
      <c r="G893" s="28" t="n">
        <f>IF(AND(ISNUMBER(D893),ISNUMBER(E893)),IF(OR(E893&lt;=0,L893=0),0,E893-D893),"")</f>
        <v>0</v>
      </c>
      <c r="H893" s="16" t="str">
        <f>IF(NOT(ISNUMBER(E893)),"销量或海外库存待补",IF(OR(E893&lt;=0,L893=0),IF(L893=0,"零日销，本批不发","本批无需补货"),IF(NOT(ISNUMBER(D893)),"国内库存待补",IF(D893=0,"国内无可用库存",IF(G893&gt;0,"先发国内现货","按建议量发货")))))</f>
        <v>零日销，本批不发</v>
      </c>
      <c r="I893" s="28" t="n">
        <f>IF(AND(COUNT(Z893,AA893,AB893)=3,Z893&gt;=AA893,AA893&gt;=0,AB893=7),Z893-AA893,"")</f>
        <v>0</v>
      </c>
      <c r="J893" s="28" t="n">
        <f>IF(AND(COUNT(AF893,AG893,AH893)=3,AF893&gt;=AG893,AG893&gt;=0,AH893=14),AF893-AG893,"")</f>
        <v>0</v>
      </c>
      <c r="K893" s="28" t="n">
        <f>IF(AND(COUNT(AL893,AM893,AN893)=3,AL893&gt;=AM893,AM893&gt;=0,AN893=30),AL893-AM893,"")</f>
        <v>0</v>
      </c>
      <c r="L893" s="29" t="n">
        <f>IF(ISNUMBER(BI893),BI893/90,"")</f>
        <v>0</v>
      </c>
      <c r="M893" s="28" t="n">
        <v>0</v>
      </c>
      <c r="N893" s="28" t="n">
        <v>0</v>
      </c>
      <c r="O893" s="28" t="n">
        <v>0</v>
      </c>
      <c r="P893" s="30" t="str">
        <f>IF(AND(ISNUMBER(L893),L893&gt;0,COUNT(M893:O893)=3,MIN(M893:O893)&gt;=0),SUM(M893:O893)/L893,"")</f>
      </c>
      <c r="Q893" s="16" t="str">
        <v>沿用原计划SKU店铺</v>
      </c>
      <c r="R893" s="16" t="str">
        <v>已匹配</v>
      </c>
      <c r="S893" s="16" t="str">
        <v>停售</v>
      </c>
      <c r="T893" s="16" t="str">
        <v>B06</v>
      </c>
      <c r="U893" s="16" t="str">
        <v>米白色PU</v>
      </c>
      <c r="V893" s="16" t="n">
        <v>6.5</v>
      </c>
      <c r="W893" s="8" t="str">
        <v>2026-10-08 至 2026-10-17</v>
      </c>
      <c r="X893" s="8" t="str">
        <v>2026-10-08、2026-10-09、2026-10-10、2026-10-11、2026-10-14、2026-10-15、2026-10-17</v>
      </c>
      <c r="Y893" s="8" t="str">
        <v>2026-10-12 有记录的停售日；2026-10-13 有记录的停售日；2026-10-16 有记录的停售日</v>
      </c>
      <c r="Z893" s="8" t="n">
        <v>0</v>
      </c>
      <c r="AA893" s="8" t="n">
        <v>0</v>
      </c>
      <c r="AB893" s="8" t="n">
        <v>7</v>
      </c>
      <c r="AC893" s="8" t="str">
        <v>2026-09-29 至 2026-10-17</v>
      </c>
      <c r="AD893" s="8" t="str">
        <v>2026-09-29、2026-09-30、2026-10-01、2026-10-02、2026-10-03、2026-10-04、2026-10-05、2026-10-08、2026-10-09、2026-10-10、2026-10-11、2026-10-14、2026-10-15、2026-10-17</v>
      </c>
      <c r="AE893" s="8" t="str">
        <v>2026-10-06 大促；2026-10-07 大促；2026-10-12 有记录的停售日；2026-10-13 有记录的停售日；2026-10-16 有记录的停售日</v>
      </c>
      <c r="AF893" s="8" t="n">
        <v>0</v>
      </c>
      <c r="AG893" s="8" t="n">
        <v>0</v>
      </c>
      <c r="AH893" s="8" t="n">
        <v>14</v>
      </c>
      <c r="AI893" s="8" t="str">
        <v>2026-09-13 至 2026-10-17</v>
      </c>
      <c r="AJ89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93" s="8" t="str">
        <v>2026-10-06 大促；2026-10-07 大促；2026-10-12 有记录的停售日；2026-10-13 有记录的停售日；2026-10-16 有记录的停售日</v>
      </c>
      <c r="AL893" s="8" t="n">
        <v>0</v>
      </c>
      <c r="AM893" s="8" t="n">
        <v>0</v>
      </c>
      <c r="AN893" s="8" t="n">
        <v>30</v>
      </c>
      <c r="AO893" s="8" t="str">
        <v>B06 / 米白色PU / 13120</v>
      </c>
      <c r="AP893" s="11" t="n">
        <v>1.2247029157699902</v>
      </c>
      <c r="AQ893" s="11" t="n">
        <v>1.1929861014741694</v>
      </c>
      <c r="AR893" s="11" t="n">
        <v>1.0914922957275428</v>
      </c>
      <c r="AS893" s="11" t="n">
        <f>IF(AND(COUNT(I893:K893,AP893:AR893)=6,MIN(AP893:AR893)&gt;0),I893/7/AP893*0.5+J893/14/AQ893*0.3+K893/30/AR893*0.2,"")</f>
        <v>0</v>
      </c>
      <c r="AT893" s="8" t="n">
        <v>0</v>
      </c>
      <c r="AU893" s="8" t="n">
        <v>0</v>
      </c>
      <c r="AV893" s="8" t="n">
        <v>85</v>
      </c>
      <c r="AW893" s="11" t="n">
        <f>IF(AND(COUNT(AT893:AV893)=3,AT893&gt;=AU893,AU893&gt;=0,AV893&gt;0),(AT893-AU893)/AV893,"")</f>
        <v>0</v>
      </c>
      <c r="AX893" s="8" t="n">
        <v>0</v>
      </c>
      <c r="AY893" s="8" t="n">
        <v>0</v>
      </c>
      <c r="AZ893" s="8" t="n">
        <v>175</v>
      </c>
      <c r="BA893" s="11" t="n">
        <f>IF(AND(COUNT(AX893:AZ893)=3,AX893&gt;=AY893,AY893&gt;=0,AZ893&gt;0),(AX893-AY893)/AZ893,"")</f>
        <v>0</v>
      </c>
      <c r="BB893" s="8" t="n">
        <f>IF(COUNT(AS893,AW893,BA893)=3,1,0)</f>
        <v>1</v>
      </c>
      <c r="BC893" s="11" t="n">
        <f>IF(SUMIF($AO$11:$AO$1309,AO893,$BB$11:$BB$1309)=COUNTIF($AO$11:$AO$1309,AO893),SUMIF($AO$11:$AO$1309,AO893,$AS$11:$AS$1309),"")</f>
        <v>0.02946912348029766</v>
      </c>
      <c r="BD893" s="11" t="n">
        <f>IF(SUMIF($AO$11:$AO$1309,AO893,$BB$11:$BB$1309)=COUNTIF($AO$11:$AO$1309,AO893),SUMIF($AO$11:$AO$1309,AO893,$AW$11:$AW$1309),"")</f>
        <v>0.0803475935828877</v>
      </c>
      <c r="BE893" s="11" t="n">
        <f>IF(SUMIF($AO$11:$AO$1309,AO893,$BB$11:$BB$1309)=COUNTIF($AO$11:$AO$1309,AO893),SUMIF($AO$11:$AO$1309,AO893,$BA$11:$BA$1309),"")</f>
        <v>0.08465489566613162</v>
      </c>
      <c r="BF893" s="12" t="n">
        <f>IF(COUNT(BD893:BE893)&lt;&gt;2,"",IF(AND(BD893&gt;0,BE893&gt;0),0.7*AW893/BD893+0.3*BA893/BE893,IF(BD893&gt;0,AW893/BD893,IF(BE893&gt;0,BA893/BE893,IF(AND(ISNUMBER(BH893),BH893=0),0,"")))))</f>
        <v>0</v>
      </c>
      <c r="BG893" s="11" t="n">
        <f>IF(AND(COUNT(BN893:BU893)=8,MIN(BN893:BU893)&gt;=0),SUMPRODUCT(BN893:BQ893,BR893:BU893),"")</f>
        <v>73.80791239847399</v>
      </c>
      <c r="BH893" s="11" t="n">
        <f>IF(COUNT(BC893,BG893)=2,BC893*BG893,"")</f>
        <v>2.1750544842936224</v>
      </c>
      <c r="BI893" s="11" t="n">
        <f>IF(ISNUMBER(CI893),CI893,"")</f>
        <v>0</v>
      </c>
      <c r="BJ893" s="8" t="str">
        <v>低销提醒依据不完整</v>
      </c>
      <c r="BK893" s="8" t="str">
        <v>90天：2026-07-20 至 2026-10-17；180天：2026-04-21 至 2026-10-17</v>
      </c>
      <c r="BL893" s="8" t="str">
        <v>90天：2026-10-06、2026-10-07、2026-10-12、2026-10-13、2026-10-16；180天：2026-10-06、2026-10-07、2026-10-12、2026-10-13、2026-10-16</v>
      </c>
      <c r="BM893" s="8" t="str">
        <v>2026-10：12天 × 1.2247029157699902；2026-11：30天 × 0.8332682139098497；2026-12：31天 × 0.5511018253564084；2027-01：17天 × 1.0017220238758797</v>
      </c>
      <c r="BN893" s="11" t="n">
        <v>1.2247029157699902</v>
      </c>
      <c r="BO893" s="11" t="n">
        <v>0.8332682139098497</v>
      </c>
      <c r="BP893" s="11" t="n">
        <v>0.5511018253564084</v>
      </c>
      <c r="BQ893" s="11" t="n">
        <v>1.0017220238758797</v>
      </c>
      <c r="BR893" s="8" t="n">
        <v>12</v>
      </c>
      <c r="BS893" s="8" t="n">
        <v>30</v>
      </c>
      <c r="BT893" s="8" t="n">
        <v>31</v>
      </c>
      <c r="BU893" s="8" t="n">
        <v>17</v>
      </c>
      <c r="BV893" s="11" t="n">
        <f>IF(COUNT(BC893,BF893)=2,BC893*BF893,"")</f>
        <v>0</v>
      </c>
      <c r="BW893" s="11" t="n">
        <f>IF(ISNUMBER(BN893),BN893,"")</f>
        <v>1.2247029157699902</v>
      </c>
      <c r="BX893" s="14" t="n">
        <f>IF(ISNUMBER(BR893),BR893,"")</f>
        <v>12</v>
      </c>
      <c r="BY893" s="13" t="n">
        <f>IF(AND(COUNT(BV893,BW893,BX893)=3,MIN(BV893,BW893,BX893)&gt;=0),BV893*BW893*BX893,"")</f>
        <v>0</v>
      </c>
      <c r="BZ893" s="11" t="n">
        <f>IF(ISNUMBER(BO893),BO893,"")</f>
        <v>0.8332682139098497</v>
      </c>
      <c r="CA893" s="14" t="n">
        <f>IF(ISNUMBER(BS893),BS893,"")</f>
        <v>30</v>
      </c>
      <c r="CB893" s="13" t="n">
        <f>IF(AND(COUNT(BV893,BZ893,CA893)=3,MIN(BV893,BZ893,CA893)&gt;=0),BV893*BZ893*CA893,"")</f>
        <v>0</v>
      </c>
      <c r="CC893" s="11" t="n">
        <f>IF(ISNUMBER(BP893),BP893,"")</f>
        <v>0.5511018253564084</v>
      </c>
      <c r="CD893" s="14" t="n">
        <f>IF(ISNUMBER(BT893),BT893,"")</f>
        <v>31</v>
      </c>
      <c r="CE893" s="13" t="n">
        <f>IF(AND(COUNT(BV893,CC893,CD893)=3,MIN(BV893,CC893,CD893)&gt;=0),BV893*CC893*CD893,"")</f>
        <v>0</v>
      </c>
      <c r="CF893" s="11" t="n">
        <f>IF(ISNUMBER(BQ893),BQ893,"")</f>
        <v>1.0017220238758797</v>
      </c>
      <c r="CG893" s="14" t="n">
        <f>IF(ISNUMBER(BU893),BU893,"")</f>
        <v>17</v>
      </c>
      <c r="CH893" s="13" t="n">
        <f>IF(AND(COUNT(BV893,CF893,CG893)=3,MIN(BV893,CF893,CG893)&gt;=0),BV893*CF893*CG893,"")</f>
        <v>0</v>
      </c>
      <c r="CI893" s="13" t="n">
        <f>IF(COUNT(BY893,CB893,CE893,CH893)=4,SUM(BY893,CB893,CE893,CH893),"")</f>
        <v>0</v>
      </c>
    </row>
    <row r="894" ht="72" customHeight="1">
      <c r="A894" s="16" t="str">
        <v>B06-IV-P-0-38</v>
      </c>
      <c r="B894" s="16" t="str">
        <v>1店-MUSSHOE-US</v>
      </c>
      <c r="C894" s="16" t="str">
        <v>艾年</v>
      </c>
      <c r="D894" s="26" t="n">
        <f>IF(NOT(ISNUMBER(E894)),"",IF(OR(E894&lt;=0,L894=0),0,IF(OR(NOT(ISNUMBER(F894)),F894&lt;0),"",MIN(E894,INT(F894)))))</f>
        <v>0</v>
      </c>
      <c r="E894" s="27" t="n">
        <f>IF(OR(NOT(ISNUMBER(L894)),COUNT(M894:O894)&lt;&gt;3,MIN(M894:O894)&lt;0),"",ROUNDUP(ROUND(BI894-SUM(M894:O894),10),0))</f>
        <v>0</v>
      </c>
      <c r="F894" s="28" t="n">
        <v>0</v>
      </c>
      <c r="G894" s="28" t="n">
        <f>IF(AND(ISNUMBER(D894),ISNUMBER(E894)),IF(OR(E894&lt;=0,L894=0),0,E894-D894),"")</f>
        <v>0</v>
      </c>
      <c r="H894" s="16" t="str">
        <f>IF(NOT(ISNUMBER(E894)),"销量或海外库存待补",IF(OR(E894&lt;=0,L894=0),IF(L894=0,"零日销，本批不发","本批无需补货"),IF(NOT(ISNUMBER(D894)),"国内库存待补",IF(D894=0,"国内无可用库存",IF(G894&gt;0,"先发国内现货","按建议量发货")))))</f>
        <v>零日销，本批不发</v>
      </c>
      <c r="I894" s="28" t="n">
        <f>IF(AND(COUNT(Z894,AA894,AB894)=3,Z894&gt;=AA894,AA894&gt;=0,AB894=7),Z894-AA894,"")</f>
        <v>0</v>
      </c>
      <c r="J894" s="28" t="n">
        <f>IF(AND(COUNT(AF894,AG894,AH894)=3,AF894&gt;=AG894,AG894&gt;=0,AH894=14),AF894-AG894,"")</f>
        <v>0</v>
      </c>
      <c r="K894" s="28" t="n">
        <f>IF(AND(COUNT(AL894,AM894,AN894)=3,AL894&gt;=AM894,AM894&gt;=0,AN894=30),AL894-AM894,"")</f>
        <v>0</v>
      </c>
      <c r="L894" s="29" t="n">
        <f>IF(ISNUMBER(BI894),BI894/90,"")</f>
        <v>0</v>
      </c>
      <c r="M894" s="28" t="n">
        <v>0</v>
      </c>
      <c r="N894" s="28" t="n">
        <v>0</v>
      </c>
      <c r="O894" s="28" t="n">
        <v>0</v>
      </c>
      <c r="P894" s="30" t="str">
        <f>IF(AND(ISNUMBER(L894),L894&gt;0,COUNT(M894:O894)=3,MIN(M894:O894)&gt;=0),SUM(M894:O894)/L894,"")</f>
      </c>
      <c r="Q894" s="16" t="str">
        <v>沿用原计划SKU店铺</v>
      </c>
      <c r="R894" s="16" t="str">
        <v>已匹配</v>
      </c>
      <c r="S894" s="16" t="str">
        <v>停售</v>
      </c>
      <c r="T894" s="16" t="str">
        <v>B06</v>
      </c>
      <c r="U894" s="16" t="str">
        <v>米白色PU</v>
      </c>
      <c r="V894" s="16" t="n">
        <v>7</v>
      </c>
      <c r="W894" s="8" t="str">
        <v>2026-10-08 至 2026-10-17</v>
      </c>
      <c r="X894" s="8" t="str">
        <v>2026-10-08、2026-10-09、2026-10-10、2026-10-11、2026-10-14、2026-10-15、2026-10-17</v>
      </c>
      <c r="Y894" s="8" t="str">
        <v>2026-10-12 有记录的停售日；2026-10-13 有记录的停售日；2026-10-16 有记录的停售日</v>
      </c>
      <c r="Z894" s="8" t="n">
        <v>0</v>
      </c>
      <c r="AA894" s="8" t="n">
        <v>0</v>
      </c>
      <c r="AB894" s="8" t="n">
        <v>7</v>
      </c>
      <c r="AC894" s="8" t="str">
        <v>2026-09-29 至 2026-10-17</v>
      </c>
      <c r="AD894" s="8" t="str">
        <v>2026-09-29、2026-09-30、2026-10-01、2026-10-02、2026-10-03、2026-10-04、2026-10-05、2026-10-08、2026-10-09、2026-10-10、2026-10-11、2026-10-14、2026-10-15、2026-10-17</v>
      </c>
      <c r="AE894" s="8" t="str">
        <v>2026-10-06 大促；2026-10-07 大促；2026-10-12 有记录的停售日；2026-10-13 有记录的停售日；2026-10-16 有记录的停售日</v>
      </c>
      <c r="AF894" s="8" t="n">
        <v>0</v>
      </c>
      <c r="AG894" s="8" t="n">
        <v>0</v>
      </c>
      <c r="AH894" s="8" t="n">
        <v>14</v>
      </c>
      <c r="AI894" s="8" t="str">
        <v>2026-09-13 至 2026-10-17</v>
      </c>
      <c r="AJ89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894" s="8" t="str">
        <v>2026-10-06 大促；2026-10-07 大促；2026-10-12 有记录的停售日；2026-10-13 有记录的停售日；2026-10-16 有记录的停售日</v>
      </c>
      <c r="AL894" s="8" t="n">
        <v>0</v>
      </c>
      <c r="AM894" s="8" t="n">
        <v>0</v>
      </c>
      <c r="AN894" s="8" t="n">
        <v>30</v>
      </c>
      <c r="AO894" s="8" t="str">
        <v>B06 / 米白色PU / 13120</v>
      </c>
      <c r="AP894" s="11" t="n">
        <v>1.2247029157699902</v>
      </c>
      <c r="AQ894" s="11" t="n">
        <v>1.1929861014741694</v>
      </c>
      <c r="AR894" s="11" t="n">
        <v>1.0914922957275428</v>
      </c>
      <c r="AS894" s="11" t="n">
        <f>IF(AND(COUNT(I894:K894,AP894:AR894)=6,MIN(AP894:AR894)&gt;0),I894/7/AP894*0.5+J894/14/AQ894*0.3+K894/30/AR894*0.2,"")</f>
        <v>0</v>
      </c>
      <c r="AT894" s="8" t="n">
        <v>0</v>
      </c>
      <c r="AU894" s="8" t="n">
        <v>0</v>
      </c>
      <c r="AV894" s="8" t="n">
        <v>85</v>
      </c>
      <c r="AW894" s="11" t="n">
        <f>IF(AND(COUNT(AT894:AV894)=3,AT894&gt;=AU894,AU894&gt;=0,AV894&gt;0),(AT894-AU894)/AV894,"")</f>
        <v>0</v>
      </c>
      <c r="AX894" s="8" t="n">
        <v>0</v>
      </c>
      <c r="AY894" s="8" t="n">
        <v>0</v>
      </c>
      <c r="AZ894" s="8" t="n">
        <v>175</v>
      </c>
      <c r="BA894" s="11" t="n">
        <f>IF(AND(COUNT(AX894:AZ894)=3,AX894&gt;=AY894,AY894&gt;=0,AZ894&gt;0),(AX894-AY894)/AZ894,"")</f>
        <v>0</v>
      </c>
      <c r="BB894" s="8" t="n">
        <f>IF(COUNT(AS894,AW894,BA894)=3,1,0)</f>
        <v>1</v>
      </c>
      <c r="BC894" s="11" t="n">
        <f>IF(SUMIF($AO$11:$AO$1309,AO894,$BB$11:$BB$1309)=COUNTIF($AO$11:$AO$1309,AO894),SUMIF($AO$11:$AO$1309,AO894,$AS$11:$AS$1309),"")</f>
        <v>0.02946912348029766</v>
      </c>
      <c r="BD894" s="11" t="n">
        <f>IF(SUMIF($AO$11:$AO$1309,AO894,$BB$11:$BB$1309)=COUNTIF($AO$11:$AO$1309,AO894),SUMIF($AO$11:$AO$1309,AO894,$AW$11:$AW$1309),"")</f>
        <v>0.0803475935828877</v>
      </c>
      <c r="BE894" s="11" t="n">
        <f>IF(SUMIF($AO$11:$AO$1309,AO894,$BB$11:$BB$1309)=COUNTIF($AO$11:$AO$1309,AO894),SUMIF($AO$11:$AO$1309,AO894,$BA$11:$BA$1309),"")</f>
        <v>0.08465489566613162</v>
      </c>
      <c r="BF894" s="12" t="n">
        <f>IF(COUNT(BD894:BE894)&lt;&gt;2,"",IF(AND(BD894&gt;0,BE894&gt;0),0.7*AW894/BD894+0.3*BA894/BE894,IF(BD894&gt;0,AW894/BD894,IF(BE894&gt;0,BA894/BE894,IF(AND(ISNUMBER(BH894),BH894=0),0,"")))))</f>
        <v>0</v>
      </c>
      <c r="BG894" s="11" t="n">
        <f>IF(AND(COUNT(BN894:BU894)=8,MIN(BN894:BU894)&gt;=0),SUMPRODUCT(BN894:BQ894,BR894:BU894),"")</f>
        <v>73.80791239847399</v>
      </c>
      <c r="BH894" s="11" t="n">
        <f>IF(COUNT(BC894,BG894)=2,BC894*BG894,"")</f>
        <v>2.1750544842936224</v>
      </c>
      <c r="BI894" s="11" t="n">
        <f>IF(ISNUMBER(CI894),CI894,"")</f>
        <v>0</v>
      </c>
      <c r="BJ894" s="8" t="str">
        <v>低销提醒依据不完整</v>
      </c>
      <c r="BK894" s="8" t="str">
        <v>90天：2026-07-20 至 2026-10-17；180天：2026-04-21 至 2026-10-17</v>
      </c>
      <c r="BL894" s="8" t="str">
        <v>90天：2026-10-06、2026-10-07、2026-10-12、2026-10-13、2026-10-16；180天：2026-10-06、2026-10-07、2026-10-12、2026-10-13、2026-10-16</v>
      </c>
      <c r="BM894" s="8" t="str">
        <v>2026-10：12天 × 1.2247029157699902；2026-11：30天 × 0.8332682139098497；2026-12：31天 × 0.5511018253564084；2027-01：17天 × 1.0017220238758797</v>
      </c>
      <c r="BN894" s="11" t="n">
        <v>1.2247029157699902</v>
      </c>
      <c r="BO894" s="11" t="n">
        <v>0.8332682139098497</v>
      </c>
      <c r="BP894" s="11" t="n">
        <v>0.5511018253564084</v>
      </c>
      <c r="BQ894" s="11" t="n">
        <v>1.0017220238758797</v>
      </c>
      <c r="BR894" s="8" t="n">
        <v>12</v>
      </c>
      <c r="BS894" s="8" t="n">
        <v>30</v>
      </c>
      <c r="BT894" s="8" t="n">
        <v>31</v>
      </c>
      <c r="BU894" s="8" t="n">
        <v>17</v>
      </c>
      <c r="BV894" s="11" t="n">
        <f>IF(COUNT(BC894,BF894)=2,BC894*BF894,"")</f>
        <v>0</v>
      </c>
      <c r="BW894" s="11" t="n">
        <f>IF(ISNUMBER(BN894),BN894,"")</f>
        <v>1.2247029157699902</v>
      </c>
      <c r="BX894" s="14" t="n">
        <f>IF(ISNUMBER(BR894),BR894,"")</f>
        <v>12</v>
      </c>
      <c r="BY894" s="13" t="n">
        <f>IF(AND(COUNT(BV894,BW894,BX894)=3,MIN(BV894,BW894,BX894)&gt;=0),BV894*BW894*BX894,"")</f>
        <v>0</v>
      </c>
      <c r="BZ894" s="11" t="n">
        <f>IF(ISNUMBER(BO894),BO894,"")</f>
        <v>0.8332682139098497</v>
      </c>
      <c r="CA894" s="14" t="n">
        <f>IF(ISNUMBER(BS894),BS894,"")</f>
        <v>30</v>
      </c>
      <c r="CB894" s="13" t="n">
        <f>IF(AND(COUNT(BV894,BZ894,CA894)=3,MIN(BV894,BZ894,CA894)&gt;=0),BV894*BZ894*CA894,"")</f>
        <v>0</v>
      </c>
      <c r="CC894" s="11" t="n">
        <f>IF(ISNUMBER(BP894),BP894,"")</f>
        <v>0.5511018253564084</v>
      </c>
      <c r="CD894" s="14" t="n">
        <f>IF(ISNUMBER(BT894),BT894,"")</f>
        <v>31</v>
      </c>
      <c r="CE894" s="13" t="n">
        <f>IF(AND(COUNT(BV894,CC894,CD894)=3,MIN(BV894,CC894,CD894)&gt;=0),BV894*CC894*CD894,"")</f>
        <v>0</v>
      </c>
      <c r="CF894" s="11" t="n">
        <f>IF(ISNUMBER(BQ894),BQ894,"")</f>
        <v>1.0017220238758797</v>
      </c>
      <c r="CG894" s="14" t="n">
        <f>IF(ISNUMBER(BU894),BU894,"")</f>
        <v>17</v>
      </c>
      <c r="CH894" s="13" t="n">
        <f>IF(AND(COUNT(BV894,CF894,CG894)=3,MIN(BV894,CF894,CG894)&gt;=0),BV894*CF894*CG894,"")</f>
        <v>0</v>
      </c>
      <c r="CI894" s="13" t="n">
        <f>IF(COUNT(BY894,CB894,CE894,CH894)=4,SUM(BY894,CB894,CE894,CH894),"")</f>
        <v>0</v>
      </c>
    </row>
    <row r="895" ht="72" customHeight="1">
      <c r="A895" s="16" t="str">
        <v>B06-IV-P-0-39.5</v>
      </c>
      <c r="B895" s="16" t="str">
        <v>1店-MUSSHOE-US</v>
      </c>
      <c r="C895" s="16" t="str">
        <v>艾年</v>
      </c>
      <c r="D895" s="26" t="n">
        <f>IF(NOT(ISNUMBER(E895)),"",IF(OR(E895&lt;=0,L895=0),0,IF(OR(NOT(ISNUMBER(F895)),F895&lt;0),"",MIN(E895,INT(F895)))))</f>
        <v>0</v>
      </c>
      <c r="E895" s="27" t="n">
        <f>IF(OR(NOT(ISNUMBER(L895)),COUNT(M895:O895)&lt;&gt;3,MIN(M895:O895)&lt;0),"",ROUNDUP(ROUND(BI895-SUM(M895:O895),10),0))</f>
        <v>-1</v>
      </c>
      <c r="F895" s="28" t="n">
        <v>39</v>
      </c>
      <c r="G895" s="28" t="n">
        <f>IF(AND(ISNUMBER(D895),ISNUMBER(E895)),IF(OR(E895&lt;=0,L895=0),0,E895-D895),"")</f>
        <v>0</v>
      </c>
      <c r="H895" s="16" t="str">
        <f>IF(NOT(ISNUMBER(E895)),"销量或海外库存待补",IF(OR(E895&lt;=0,L895=0),IF(L895=0,"零日销，本批不发","本批无需补货"),IF(NOT(ISNUMBER(D895)),"国内库存待补",IF(D895=0,"国内无可用库存",IF(G895&gt;0,"先发国内现货","按建议量发货")))))</f>
        <v>本批无需补货</v>
      </c>
      <c r="I895" s="28" t="n">
        <f>IF(AND(COUNT(Z895,AA895,AB895)=3,Z895&gt;=AA895,AA895&gt;=0,AB895=7),Z895-AA895,"")</f>
        <v>0</v>
      </c>
      <c r="J895" s="28" t="n">
        <f>IF(AND(COUNT(AF895,AG895,AH895)=3,AF895&gt;=AG895,AG895&gt;=0,AH895=14),AF895-AG895,"")</f>
        <v>0</v>
      </c>
      <c r="K895" s="28" t="n">
        <f>IF(AND(COUNT(AL895,AM895,AN895)=3,AL895&gt;=AM895,AM895&gt;=0,AN895=30),AL895-AM895,"")</f>
        <v>0</v>
      </c>
      <c r="L895" s="29" t="n">
        <f>IF(ISNUMBER(BI895),BI895/90,"")</f>
        <v>0.00048114591676322066</v>
      </c>
      <c r="M895" s="28" t="n">
        <v>1</v>
      </c>
      <c r="N895" s="28" t="n">
        <v>0</v>
      </c>
      <c r="O895" s="28" t="n">
        <v>0</v>
      </c>
      <c r="P895" s="30" t="n">
        <f>IF(AND(ISNUMBER(L895),L895&gt;0,COUNT(M895:O895)=3,MIN(M895:O895)&gt;=0),SUM(M895:O895)/L895,"")</f>
        <v>2078.3715815926075</v>
      </c>
      <c r="Q895" s="16" t="str">
        <v>沿用原计划SKU店铺</v>
      </c>
      <c r="R895" s="16" t="str">
        <v>已匹配</v>
      </c>
      <c r="S895" s="16" t="str">
        <v>在售</v>
      </c>
      <c r="T895" s="16" t="str">
        <v>B06</v>
      </c>
      <c r="U895" s="16" t="str">
        <v>米白色PU</v>
      </c>
      <c r="V895" s="16" t="n">
        <v>8</v>
      </c>
      <c r="W895" s="8" t="str">
        <v>2026-10-11 至 2026-10-17</v>
      </c>
      <c r="X895" s="8" t="str">
        <v>2026-10-11、2026-10-12、2026-10-13、2026-10-14、2026-10-15、2026-10-16、2026-10-17</v>
      </c>
      <c r="Y895" s="8" t="str">
        <v>无</v>
      </c>
      <c r="Z895" s="8" t="n">
        <v>0</v>
      </c>
      <c r="AA895" s="8" t="n">
        <v>0</v>
      </c>
      <c r="AB895" s="8" t="n">
        <v>7</v>
      </c>
      <c r="AC895" s="8" t="str">
        <v>2026-10-02 至 2026-10-17</v>
      </c>
      <c r="AD895" s="8" t="str">
        <v>2026-10-02、2026-10-03、2026-10-04、2026-10-05、2026-10-08、2026-10-09、2026-10-10、2026-10-11、2026-10-12、2026-10-13、2026-10-14、2026-10-15、2026-10-16、2026-10-17</v>
      </c>
      <c r="AE895" s="8" t="str">
        <v>2026-10-06 大促；2026-10-07 大促</v>
      </c>
      <c r="AF895" s="8" t="n">
        <v>0</v>
      </c>
      <c r="AG895" s="8" t="n">
        <v>0</v>
      </c>
      <c r="AH895" s="8" t="n">
        <v>14</v>
      </c>
      <c r="AI895" s="8" t="str">
        <v>2026-09-16 至 2026-10-17</v>
      </c>
      <c r="AJ8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5" s="8" t="str">
        <v>2026-10-06 大促；2026-10-07 大促</v>
      </c>
      <c r="AL895" s="8" t="n">
        <v>0</v>
      </c>
      <c r="AM895" s="8" t="n">
        <v>0</v>
      </c>
      <c r="AN895" s="8" t="n">
        <v>30</v>
      </c>
      <c r="AO895" s="8" t="str">
        <v>B06 / 米白色PU / 13120</v>
      </c>
      <c r="AP895" s="11" t="n">
        <v>1.2247029157699902</v>
      </c>
      <c r="AQ895" s="11" t="n">
        <v>1.2247029157699902</v>
      </c>
      <c r="AR895" s="11" t="n">
        <v>1.1136940657346173</v>
      </c>
      <c r="AS895" s="11" t="n">
        <f>IF(AND(COUNT(I895:K895,AP895:AR895)=6,MIN(AP895:AR895)&gt;0),I895/7/AP895*0.5+J895/14/AQ895*0.3+K895/30/AR895*0.2,"")</f>
        <v>0</v>
      </c>
      <c r="AT895" s="8" t="n">
        <v>0</v>
      </c>
      <c r="AU895" s="8" t="n">
        <v>0</v>
      </c>
      <c r="AV895" s="8" t="n">
        <v>88</v>
      </c>
      <c r="AW895" s="11" t="n">
        <f>IF(AND(COUNT(AT895:AV895)=3,AT895&gt;=AU895,AU895&gt;=0,AV895&gt;0),(AT895-AU895)/AV895,"")</f>
        <v>0</v>
      </c>
      <c r="AX895" s="8" t="n">
        <v>1</v>
      </c>
      <c r="AY895" s="8" t="n">
        <v>0</v>
      </c>
      <c r="AZ895" s="8" t="n">
        <v>178</v>
      </c>
      <c r="BA895" s="11" t="n">
        <f>IF(AND(COUNT(AX895:AZ895)=3,AX895&gt;=AY895,AY895&gt;=0,AZ895&gt;0),(AX895-AY895)/AZ895,"")</f>
        <v>0.0056179775280898875</v>
      </c>
      <c r="BB895" s="8" t="n">
        <f>IF(COUNT(AS895,AW895,BA895)=3,1,0)</f>
        <v>1</v>
      </c>
      <c r="BC895" s="11" t="n">
        <f>IF(SUMIF($AO$11:$AO$1309,AO895,$BB$11:$BB$1309)=COUNTIF($AO$11:$AO$1309,AO895),SUMIF($AO$11:$AO$1309,AO895,$AS$11:$AS$1309),"")</f>
        <v>0.02946912348029766</v>
      </c>
      <c r="BD895" s="11" t="n">
        <f>IF(SUMIF($AO$11:$AO$1309,AO895,$BB$11:$BB$1309)=COUNTIF($AO$11:$AO$1309,AO895),SUMIF($AO$11:$AO$1309,AO895,$AW$11:$AW$1309),"")</f>
        <v>0.0803475935828877</v>
      </c>
      <c r="BE895" s="11" t="n">
        <f>IF(SUMIF($AO$11:$AO$1309,AO895,$BB$11:$BB$1309)=COUNTIF($AO$11:$AO$1309,AO895),SUMIF($AO$11:$AO$1309,AO895,$BA$11:$BA$1309),"")</f>
        <v>0.08465489566613162</v>
      </c>
      <c r="BF895" s="12" t="n">
        <f>IF(COUNT(BD895:BE895)&lt;&gt;2,"",IF(AND(BD895&gt;0,BE895&gt;0),0.7*AW895/BD895+0.3*BA895/BE895,IF(BD895&gt;0,AW895/BD895,IF(BE895&gt;0,BA895/BE895,IF(AND(ISNUMBER(BH895),BH895=0),0,"")))))</f>
        <v>0.019908987485779295</v>
      </c>
      <c r="BG895" s="11" t="n">
        <f>IF(AND(COUNT(BN895:BU895)=8,MIN(BN895:BU895)&gt;=0),SUMPRODUCT(BN895:BQ895,BR895:BU895),"")</f>
        <v>73.80791239847399</v>
      </c>
      <c r="BH895" s="11" t="n">
        <f>IF(COUNT(BC895,BG895)=2,BC895*BG895,"")</f>
        <v>2.1750544842936224</v>
      </c>
      <c r="BI895" s="11" t="n">
        <f>IF(ISNUMBER(CI895),CI895,"")</f>
        <v>0.04330313250868986</v>
      </c>
      <c r="BJ895" s="8" t="str">
        <v>低销提醒依据不完整</v>
      </c>
      <c r="BK895" s="8" t="str">
        <v>90天：2026-07-20 至 2026-10-17；180天：2026-04-21 至 2026-10-17</v>
      </c>
      <c r="BL895" s="8" t="str">
        <v>90天：2026-10-06、2026-10-07；180天：2026-10-06、2026-10-07</v>
      </c>
      <c r="BM895" s="8" t="str">
        <v>2026-10：12天 × 1.2247029157699902；2026-11：30天 × 0.8332682139098497；2026-12：31天 × 0.5511018253564084；2027-01：17天 × 1.0017220238758797</v>
      </c>
      <c r="BN895" s="11" t="n">
        <v>1.2247029157699902</v>
      </c>
      <c r="BO895" s="11" t="n">
        <v>0.8332682139098497</v>
      </c>
      <c r="BP895" s="11" t="n">
        <v>0.5511018253564084</v>
      </c>
      <c r="BQ895" s="11" t="n">
        <v>1.0017220238758797</v>
      </c>
      <c r="BR895" s="8" t="n">
        <v>12</v>
      </c>
      <c r="BS895" s="8" t="n">
        <v>30</v>
      </c>
      <c r="BT895" s="8" t="n">
        <v>31</v>
      </c>
      <c r="BU895" s="8" t="n">
        <v>17</v>
      </c>
      <c r="BV895" s="11" t="n">
        <f>IF(COUNT(BC895,BF895)=2,BC895*BF895,"")</f>
        <v>0.0005867004105861309</v>
      </c>
      <c r="BW895" s="11" t="n">
        <f>IF(ISNUMBER(BN895),BN895,"")</f>
        <v>1.2247029157699902</v>
      </c>
      <c r="BX895" s="14" t="n">
        <f>IF(ISNUMBER(BR895),BR895,"")</f>
        <v>12</v>
      </c>
      <c r="BY895" s="13" t="n">
        <f>IF(AND(COUNT(BV895,BW895,BX895)=3,MIN(BV895,BW895,BX895)&gt;=0),BV895*BW895*BX895,"")</f>
        <v>0.008622404442339419</v>
      </c>
      <c r="BZ895" s="11" t="n">
        <f>IF(ISNUMBER(BO895),BO895,"")</f>
        <v>0.8332682139098497</v>
      </c>
      <c r="CA895" s="14" t="n">
        <f>IF(ISNUMBER(BS895),BS895,"")</f>
        <v>30</v>
      </c>
      <c r="CB895" s="13" t="n">
        <f>IF(AND(COUNT(BV895,BZ895,CA895)=3,MIN(BV895,BZ895,CA895)&gt;=0),BV895*BZ895*CA895,"")</f>
        <v>0.014666364096878421</v>
      </c>
      <c r="CC895" s="11" t="n">
        <f>IF(ISNUMBER(BP895),BP895,"")</f>
        <v>0.5511018253564084</v>
      </c>
      <c r="CD895" s="14" t="n">
        <f>IF(ISNUMBER(BT895),BT895,"")</f>
        <v>31</v>
      </c>
      <c r="CE895" s="13" t="n">
        <f>IF(AND(COUNT(BV895,CC895,CD895)=3,MIN(BV895,CC895,CD895)&gt;=0),BV895*CC895*CD895,"")</f>
        <v>0.010023281683552501</v>
      </c>
      <c r="CF895" s="11" t="n">
        <f>IF(ISNUMBER(BQ895),BQ895,"")</f>
        <v>1.0017220238758797</v>
      </c>
      <c r="CG895" s="14" t="n">
        <f>IF(ISNUMBER(BU895),BU895,"")</f>
        <v>17</v>
      </c>
      <c r="CH895" s="13" t="n">
        <f>IF(AND(COUNT(BV895,CF895,CG895)=3,MIN(BV895,CF895,CG895)&gt;=0),BV895*CF895*CG895,"")</f>
        <v>0.009991082285919526</v>
      </c>
      <c r="CI895" s="13" t="n">
        <f>IF(COUNT(BY895,CB895,CE895,CH895)=4,SUM(BY895,CB895,CE895,CH895),"")</f>
        <v>0.04330313250868986</v>
      </c>
    </row>
    <row r="896" ht="72" customHeight="1">
      <c r="A896" s="16" t="str">
        <v>B06-IV-P-0-40.5</v>
      </c>
      <c r="B896" s="16" t="str">
        <v>1店-MUSSHOE-US</v>
      </c>
      <c r="C896" s="16" t="str">
        <v>艾年</v>
      </c>
      <c r="D896" s="26" t="n">
        <f>IF(NOT(ISNUMBER(E896)),"",IF(OR(E896&lt;=0,L896=0),0,IF(OR(NOT(ISNUMBER(F896)),F896&lt;0),"",MIN(E896,INT(F896)))))</f>
        <v>0</v>
      </c>
      <c r="E896" s="27" t="n">
        <f>IF(OR(NOT(ISNUMBER(L896)),COUNT(M896:O896)&lt;&gt;3,MIN(M896:O896)&lt;0),"",ROUNDUP(ROUND(BI896-SUM(M896:O896),10),0))</f>
        <v>-3</v>
      </c>
      <c r="F896" s="28" t="n">
        <v>0</v>
      </c>
      <c r="G896" s="28" t="n">
        <f>IF(AND(ISNUMBER(D896),ISNUMBER(E896)),IF(OR(E896&lt;=0,L896=0),0,E896-D896),"")</f>
        <v>0</v>
      </c>
      <c r="H896" s="16" t="str">
        <f>IF(NOT(ISNUMBER(E896)),"销量或海外库存待补",IF(OR(E896&lt;=0,L896=0),IF(L896=0,"零日销，本批不发","本批无需补货"),IF(NOT(ISNUMBER(D896)),"国内库存待补",IF(D896=0,"国内无可用库存",IF(G896&gt;0,"先发国内现货","按建议量发货")))))</f>
        <v>本批无需补货</v>
      </c>
      <c r="I896" s="28" t="n">
        <f>IF(AND(COUNT(Z896,AA896,AB896)=3,Z896&gt;=AA896,AA896&gt;=0,AB896=7),Z896-AA896,"")</f>
        <v>0</v>
      </c>
      <c r="J896" s="28" t="n">
        <f>IF(AND(COUNT(AF896,AG896,AH896)=3,AF896&gt;=AG896,AG896&gt;=0,AH896=14),AF896-AG896,"")</f>
        <v>1</v>
      </c>
      <c r="K896" s="28" t="n">
        <f>IF(AND(COUNT(AL896,AM896,AN896)=3,AL896&gt;=AM896,AM896&gt;=0,AN896=30),AL896-AM896,"")</f>
        <v>1</v>
      </c>
      <c r="L896" s="29" t="n">
        <f>IF(ISNUMBER(BI896),BI896/90,"")</f>
        <v>0.010064675934049682</v>
      </c>
      <c r="M896" s="28" t="n">
        <v>3</v>
      </c>
      <c r="N896" s="28" t="n">
        <v>0</v>
      </c>
      <c r="O896" s="28" t="n">
        <v>0</v>
      </c>
      <c r="P896" s="30" t="n">
        <f>IF(AND(ISNUMBER(L896),L896&gt;0,COUNT(M896:O896)=3,MIN(M896:O896)&gt;=0),SUM(M896:O896)/L896,"")</f>
        <v>298.0721902680182</v>
      </c>
      <c r="Q896" s="16" t="str">
        <v>沿用原计划SKU店铺</v>
      </c>
      <c r="R896" s="16" t="str">
        <v>已匹配</v>
      </c>
      <c r="S896" s="16" t="str">
        <v>在售</v>
      </c>
      <c r="T896" s="16" t="str">
        <v>B06</v>
      </c>
      <c r="U896" s="16" t="str">
        <v>米白色PU</v>
      </c>
      <c r="V896" s="16" t="n">
        <v>9.5</v>
      </c>
      <c r="W896" s="8" t="str">
        <v>2026-10-11 至 2026-10-17</v>
      </c>
      <c r="X896" s="8" t="str">
        <v>2026-10-11、2026-10-12、2026-10-13、2026-10-14、2026-10-15、2026-10-16、2026-10-17</v>
      </c>
      <c r="Y896" s="8" t="str">
        <v>无</v>
      </c>
      <c r="Z896" s="8" t="n">
        <v>0</v>
      </c>
      <c r="AA896" s="8" t="n">
        <v>0</v>
      </c>
      <c r="AB896" s="8" t="n">
        <v>7</v>
      </c>
      <c r="AC896" s="8" t="str">
        <v>2026-10-02 至 2026-10-17</v>
      </c>
      <c r="AD896" s="8" t="str">
        <v>2026-10-02、2026-10-03、2026-10-04、2026-10-05、2026-10-08、2026-10-09、2026-10-10、2026-10-11、2026-10-12、2026-10-13、2026-10-14、2026-10-15、2026-10-16、2026-10-17</v>
      </c>
      <c r="AE896" s="8" t="str">
        <v>2026-10-06 大促；2026-10-07 大促</v>
      </c>
      <c r="AF896" s="8" t="n">
        <v>1</v>
      </c>
      <c r="AG896" s="8" t="n">
        <v>0</v>
      </c>
      <c r="AH896" s="8" t="n">
        <v>14</v>
      </c>
      <c r="AI896" s="8" t="str">
        <v>2026-09-16 至 2026-10-17</v>
      </c>
      <c r="AJ8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6" s="8" t="str">
        <v>2026-10-06 大促；2026-10-07 大促</v>
      </c>
      <c r="AL896" s="8" t="n">
        <v>1</v>
      </c>
      <c r="AM896" s="8" t="n">
        <v>0</v>
      </c>
      <c r="AN896" s="8" t="n">
        <v>30</v>
      </c>
      <c r="AO896" s="8" t="str">
        <v>B06 / 米白色PU / 13120</v>
      </c>
      <c r="AP896" s="11" t="n">
        <v>1.2247029157699902</v>
      </c>
      <c r="AQ896" s="11" t="n">
        <v>1.2247029157699902</v>
      </c>
      <c r="AR896" s="11" t="n">
        <v>1.1136940657346173</v>
      </c>
      <c r="AS896" s="11" t="n">
        <f>IF(AND(COUNT(I896:K896,AP896:AR896)=6,MIN(AP896:AR896)&gt;0),I896/7/AP896*0.5+J896/14/AQ896*0.3+K896/30/AR896*0.2,"")</f>
        <v>0.023483039086223793</v>
      </c>
      <c r="AT896" s="8" t="n">
        <v>3</v>
      </c>
      <c r="AU896" s="8" t="n">
        <v>0</v>
      </c>
      <c r="AV896" s="8" t="n">
        <v>88</v>
      </c>
      <c r="AW896" s="11" t="n">
        <f>IF(AND(COUNT(AT896:AV896)=3,AT896&gt;=AU896,AU896&gt;=0,AV896&gt;0),(AT896-AU896)/AV896,"")</f>
        <v>0.03409090909090909</v>
      </c>
      <c r="AX896" s="8" t="n">
        <v>6</v>
      </c>
      <c r="AY896" s="8" t="n">
        <v>0</v>
      </c>
      <c r="AZ896" s="8" t="n">
        <v>178</v>
      </c>
      <c r="BA896" s="11" t="n">
        <f>IF(AND(COUNT(AX896:AZ896)=3,AX896&gt;=AY896,AY896&gt;=0,AZ896&gt;0),(AX896-AY896)/AZ896,"")</f>
        <v>0.033707865168539325</v>
      </c>
      <c r="BB896" s="8" t="n">
        <f>IF(COUNT(AS896,AW896,BA896)=3,1,0)</f>
        <v>1</v>
      </c>
      <c r="BC896" s="11" t="n">
        <f>IF(SUMIF($AO$11:$AO$1309,AO896,$BB$11:$BB$1309)=COUNTIF($AO$11:$AO$1309,AO896),SUMIF($AO$11:$AO$1309,AO896,$AS$11:$AS$1309),"")</f>
        <v>0.02946912348029766</v>
      </c>
      <c r="BD896" s="11" t="n">
        <f>IF(SUMIF($AO$11:$AO$1309,AO896,$BB$11:$BB$1309)=COUNTIF($AO$11:$AO$1309,AO896),SUMIF($AO$11:$AO$1309,AO896,$AW$11:$AW$1309),"")</f>
        <v>0.0803475935828877</v>
      </c>
      <c r="BE896" s="11" t="n">
        <f>IF(SUMIF($AO$11:$AO$1309,AO896,$BB$11:$BB$1309)=COUNTIF($AO$11:$AO$1309,AO896),SUMIF($AO$11:$AO$1309,AO896,$BA$11:$BA$1309),"")</f>
        <v>0.08465489566613162</v>
      </c>
      <c r="BF896" s="12" t="n">
        <f>IF(COUNT(BD896:BE896)&lt;&gt;2,"",IF(AND(BD896&gt;0,BE896&gt;0),0.7*AW896/BD896+0.3*BA896/BE896,IF(BD896&gt;0,AW896/BD896,IF(BE896&gt;0,BA896/BE896,IF(AND(ISNUMBER(BH896),BH896=0),0,"")))))</f>
        <v>0.4164589165952082</v>
      </c>
      <c r="BG896" s="11" t="n">
        <f>IF(AND(COUNT(BN896:BU896)=8,MIN(BN896:BU896)&gt;=0),SUMPRODUCT(BN896:BQ896,BR896:BU896),"")</f>
        <v>73.80791239847399</v>
      </c>
      <c r="BH896" s="11" t="n">
        <f>IF(COUNT(BC896,BG896)=2,BC896*BG896,"")</f>
        <v>2.1750544842936224</v>
      </c>
      <c r="BI896" s="11" t="n">
        <f>IF(ISNUMBER(CI896),CI896,"")</f>
        <v>0.9058208340644713</v>
      </c>
      <c r="BJ896" s="8" t="str">
        <v>低销提醒依据不完整</v>
      </c>
      <c r="BK896" s="8" t="str">
        <v>90天：2026-07-20 至 2026-10-17；180天：2026-04-21 至 2026-10-17</v>
      </c>
      <c r="BL896" s="8" t="str">
        <v>90天：2026-10-06、2026-10-07；180天：2026-10-06、2026-10-07</v>
      </c>
      <c r="BM896" s="8" t="str">
        <v>2026-10：12天 × 1.2247029157699902；2026-11：30天 × 0.8332682139098497；2026-12：31天 × 0.5511018253564084；2027-01：17天 × 1.0017220238758797</v>
      </c>
      <c r="BN896" s="11" t="n">
        <v>1.2247029157699902</v>
      </c>
      <c r="BO896" s="11" t="n">
        <v>0.8332682139098497</v>
      </c>
      <c r="BP896" s="11" t="n">
        <v>0.5511018253564084</v>
      </c>
      <c r="BQ896" s="11" t="n">
        <v>1.0017220238758797</v>
      </c>
      <c r="BR896" s="8" t="n">
        <v>12</v>
      </c>
      <c r="BS896" s="8" t="n">
        <v>30</v>
      </c>
      <c r="BT896" s="8" t="n">
        <v>31</v>
      </c>
      <c r="BU896" s="8" t="n">
        <v>17</v>
      </c>
      <c r="BV896" s="11" t="n">
        <f>IF(COUNT(BC896,BF896)=2,BC896*BF896,"")</f>
        <v>0.012272679237615174</v>
      </c>
      <c r="BW896" s="11" t="n">
        <f>IF(ISNUMBER(BN896),BN896,"")</f>
        <v>1.2247029157699902</v>
      </c>
      <c r="BX896" s="14" t="n">
        <f>IF(ISNUMBER(BR896),BR896,"")</f>
        <v>12</v>
      </c>
      <c r="BY896" s="13" t="n">
        <f>IF(AND(COUNT(BV896,BW896,BX896)=3,MIN(BV896,BW896,BX896)&gt;=0),BV896*BW896*BX896,"")</f>
        <v>0.1803646325594055</v>
      </c>
      <c r="BZ896" s="11" t="n">
        <f>IF(ISNUMBER(BO896),BO896,"")</f>
        <v>0.8332682139098497</v>
      </c>
      <c r="CA896" s="14" t="n">
        <f>IF(ISNUMBER(BS896),BS896,"")</f>
        <v>30</v>
      </c>
      <c r="CB896" s="13" t="n">
        <f>IF(AND(COUNT(BV896,BZ896,CA896)=3,MIN(BV896,BZ896,CA896)&gt;=0),BV896*BZ896*CA896,"")</f>
        <v>0.3067930052464828</v>
      </c>
      <c r="CC896" s="11" t="n">
        <f>IF(ISNUMBER(BP896),BP896,"")</f>
        <v>0.5511018253564084</v>
      </c>
      <c r="CD896" s="14" t="n">
        <f>IF(ISNUMBER(BT896),BT896,"")</f>
        <v>31</v>
      </c>
      <c r="CE896" s="13" t="n">
        <f>IF(AND(COUNT(BV896,CC896,CD896)=3,MIN(BV896,CC896,CD896)&gt;=0),BV896*CC896*CD896,"")</f>
        <v>0.20966837382576592</v>
      </c>
      <c r="CF896" s="11" t="n">
        <f>IF(ISNUMBER(BQ896),BQ896,"")</f>
        <v>1.0017220238758797</v>
      </c>
      <c r="CG896" s="14" t="n">
        <f>IF(ISNUMBER(BU896),BU896,"")</f>
        <v>17</v>
      </c>
      <c r="CH896" s="13" t="n">
        <f>IF(AND(COUNT(BV896,CF896,CG896)=3,MIN(BV896,CF896,CG896)&gt;=0),BV896*CF896*CG896,"")</f>
        <v>0.20899482243281714</v>
      </c>
      <c r="CI896" s="13" t="n">
        <f>IF(COUNT(BY896,CB896,CE896,CH896)=4,SUM(BY896,CB896,CE896,CH896),"")</f>
        <v>0.9058208340644713</v>
      </c>
    </row>
    <row r="897" ht="72" customHeight="1">
      <c r="A897" s="16" t="str">
        <v>B06-IV-P-0-42</v>
      </c>
      <c r="B897" s="16" t="str">
        <v>1店-MUSSHOE-US</v>
      </c>
      <c r="C897" s="16" t="str">
        <v>艾年</v>
      </c>
      <c r="D897" s="26" t="n">
        <f>IF(NOT(ISNUMBER(E897)),"",IF(OR(E897&lt;=0,L897=0),0,IF(OR(NOT(ISNUMBER(F897)),F897&lt;0),"",MIN(E897,INT(F897)))))</f>
        <v>0</v>
      </c>
      <c r="E897" s="27" t="n">
        <f>IF(OR(NOT(ISNUMBER(L897)),COUNT(M897:O897)&lt;&gt;3,MIN(M897:O897)&lt;0),"",ROUNDUP(ROUND(BI897-SUM(M897:O897),10),0))</f>
        <v>-6</v>
      </c>
      <c r="F897" s="28" t="n">
        <v>0</v>
      </c>
      <c r="G897" s="28" t="n">
        <f>IF(AND(ISNUMBER(D897),ISNUMBER(E897)),IF(OR(E897&lt;=0,L897=0),0,E897-D897),"")</f>
        <v>0</v>
      </c>
      <c r="H897" s="16" t="str">
        <f>IF(NOT(ISNUMBER(E897)),"销量或海外库存待补",IF(OR(E897&lt;=0,L897=0),IF(L897=0,"零日销，本批不发","本批无需补货"),IF(NOT(ISNUMBER(D897)),"国内库存待补",IF(D897=0,"国内无可用库存",IF(G897&gt;0,"先发国内现货","按建议量发货")))))</f>
        <v>本批无需补货</v>
      </c>
      <c r="I897" s="28" t="n">
        <f>IF(AND(COUNT(Z897,AA897,AB897)=3,Z897&gt;=AA897,AA897&gt;=0,AB897=7),Z897-AA897,"")</f>
        <v>0</v>
      </c>
      <c r="J897" s="28" t="n">
        <f>IF(AND(COUNT(AF897,AG897,AH897)=3,AF897&gt;=AG897,AG897&gt;=0,AH897=14),AF897-AG897,"")</f>
        <v>0</v>
      </c>
      <c r="K897" s="28" t="n">
        <f>IF(AND(COUNT(AL897,AM897,AN897)=3,AL897&gt;=AM897,AM897&gt;=0,AN897=30),AL897-AM897,"")</f>
        <v>1</v>
      </c>
      <c r="L897" s="29" t="n">
        <f>IF(ISNUMBER(BI897),BI897/90,"")</f>
        <v>0.00335489197801656</v>
      </c>
      <c r="M897" s="28" t="n">
        <v>6</v>
      </c>
      <c r="N897" s="28" t="n">
        <v>0</v>
      </c>
      <c r="O897" s="28" t="n">
        <v>0</v>
      </c>
      <c r="P897" s="30" t="n">
        <f>IF(AND(ISNUMBER(L897),L897&gt;0,COUNT(M897:O897)=3,MIN(M897:O897)&gt;=0),SUM(M897:O897)/L897,"")</f>
        <v>1788.433141608109</v>
      </c>
      <c r="Q897" s="16" t="str">
        <v>沿用原计划SKU店铺</v>
      </c>
      <c r="R897" s="16" t="str">
        <v>已匹配</v>
      </c>
      <c r="S897" s="16" t="str">
        <v>在售</v>
      </c>
      <c r="T897" s="16" t="str">
        <v>B06</v>
      </c>
      <c r="U897" s="16" t="str">
        <v>米白色PU</v>
      </c>
      <c r="V897" s="16" t="n">
        <v>11</v>
      </c>
      <c r="W897" s="8" t="str">
        <v>2026-10-11 至 2026-10-17</v>
      </c>
      <c r="X897" s="8" t="str">
        <v>2026-10-11、2026-10-12、2026-10-13、2026-10-14、2026-10-15、2026-10-16、2026-10-17</v>
      </c>
      <c r="Y897" s="8" t="str">
        <v>无</v>
      </c>
      <c r="Z897" s="8" t="n">
        <v>0</v>
      </c>
      <c r="AA897" s="8" t="n">
        <v>0</v>
      </c>
      <c r="AB897" s="8" t="n">
        <v>7</v>
      </c>
      <c r="AC897" s="8" t="str">
        <v>2026-10-02 至 2026-10-17</v>
      </c>
      <c r="AD897" s="8" t="str">
        <v>2026-10-02、2026-10-03、2026-10-04、2026-10-05、2026-10-08、2026-10-09、2026-10-10、2026-10-11、2026-10-12、2026-10-13、2026-10-14、2026-10-15、2026-10-16、2026-10-17</v>
      </c>
      <c r="AE897" s="8" t="str">
        <v>2026-10-06 大促；2026-10-07 大促</v>
      </c>
      <c r="AF897" s="8" t="n">
        <v>0</v>
      </c>
      <c r="AG897" s="8" t="n">
        <v>0</v>
      </c>
      <c r="AH897" s="8" t="n">
        <v>14</v>
      </c>
      <c r="AI897" s="8" t="str">
        <v>2026-09-16 至 2026-10-17</v>
      </c>
      <c r="AJ8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7" s="8" t="str">
        <v>2026-10-06 大促；2026-10-07 大促</v>
      </c>
      <c r="AL897" s="8" t="n">
        <v>1</v>
      </c>
      <c r="AM897" s="8" t="n">
        <v>0</v>
      </c>
      <c r="AN897" s="8" t="n">
        <v>30</v>
      </c>
      <c r="AO897" s="8" t="str">
        <v>B06 / 米白色PU / 13120</v>
      </c>
      <c r="AP897" s="11" t="n">
        <v>1.2247029157699902</v>
      </c>
      <c r="AQ897" s="11" t="n">
        <v>1.2247029157699902</v>
      </c>
      <c r="AR897" s="11" t="n">
        <v>1.1136940657346173</v>
      </c>
      <c r="AS897" s="11" t="n">
        <f>IF(AND(COUNT(I897:K897,AP897:AR897)=6,MIN(AP897:AR897)&gt;0),I897/7/AP897*0.5+J897/14/AQ897*0.3+K897/30/AR897*0.2,"")</f>
        <v>0.0059860843940738664</v>
      </c>
      <c r="AT897" s="8" t="n">
        <v>1</v>
      </c>
      <c r="AU897" s="8" t="n">
        <v>0</v>
      </c>
      <c r="AV897" s="8" t="n">
        <v>88</v>
      </c>
      <c r="AW897" s="11" t="n">
        <f>IF(AND(COUNT(AT897:AV897)=3,AT897&gt;=AU897,AU897&gt;=0,AV897&gt;0),(AT897-AU897)/AV897,"")</f>
        <v>0.011363636363636364</v>
      </c>
      <c r="AX897" s="8" t="n">
        <v>2</v>
      </c>
      <c r="AY897" s="8" t="n">
        <v>0</v>
      </c>
      <c r="AZ897" s="8" t="n">
        <v>178</v>
      </c>
      <c r="BA897" s="11" t="n">
        <f>IF(AND(COUNT(AX897:AZ897)=3,AX897&gt;=AY897,AY897&gt;=0,AZ897&gt;0),(AX897-AY897)/AZ897,"")</f>
        <v>0.011235955056179775</v>
      </c>
      <c r="BB897" s="8" t="n">
        <f>IF(COUNT(AS897,AW897,BA897)=3,1,0)</f>
        <v>1</v>
      </c>
      <c r="BC897" s="11" t="n">
        <f>IF(SUMIF($AO$11:$AO$1309,AO897,$BB$11:$BB$1309)=COUNTIF($AO$11:$AO$1309,AO897),SUMIF($AO$11:$AO$1309,AO897,$AS$11:$AS$1309),"")</f>
        <v>0.02946912348029766</v>
      </c>
      <c r="BD897" s="11" t="n">
        <f>IF(SUMIF($AO$11:$AO$1309,AO897,$BB$11:$BB$1309)=COUNTIF($AO$11:$AO$1309,AO897),SUMIF($AO$11:$AO$1309,AO897,$AW$11:$AW$1309),"")</f>
        <v>0.0803475935828877</v>
      </c>
      <c r="BE897" s="11" t="n">
        <f>IF(SUMIF($AO$11:$AO$1309,AO897,$BB$11:$BB$1309)=COUNTIF($AO$11:$AO$1309,AO897),SUMIF($AO$11:$AO$1309,AO897,$BA$11:$BA$1309),"")</f>
        <v>0.08465489566613162</v>
      </c>
      <c r="BF897" s="12" t="n">
        <f>IF(COUNT(BD897:BE897)&lt;&gt;2,"",IF(AND(BD897&gt;0,BE897&gt;0),0.7*AW897/BD897+0.3*BA897/BE897,IF(BD897&gt;0,AW897/BD897,IF(BE897&gt;0,BA897/BE897,IF(AND(ISNUMBER(BH897),BH897=0),0,"")))))</f>
        <v>0.13881963886506937</v>
      </c>
      <c r="BG897" s="11" t="n">
        <f>IF(AND(COUNT(BN897:BU897)=8,MIN(BN897:BU897)&gt;=0),SUMPRODUCT(BN897:BQ897,BR897:BU897),"")</f>
        <v>73.80791239847399</v>
      </c>
      <c r="BH897" s="11" t="n">
        <f>IF(COUNT(BC897,BG897)=2,BC897*BG897,"")</f>
        <v>2.1750544842936224</v>
      </c>
      <c r="BI897" s="11" t="n">
        <f>IF(ISNUMBER(CI897),CI897,"")</f>
        <v>0.3019402780214904</v>
      </c>
      <c r="BJ897" s="8" t="str">
        <v>低销提醒依据不完整</v>
      </c>
      <c r="BK897" s="8" t="str">
        <v>90天：2026-07-20 至 2026-10-17；180天：2026-04-21 至 2026-10-17</v>
      </c>
      <c r="BL897" s="8" t="str">
        <v>90天：2026-10-06、2026-10-07；180天：2026-10-06、2026-10-07</v>
      </c>
      <c r="BM897" s="8" t="str">
        <v>2026-10：12天 × 1.2247029157699902；2026-11：30天 × 0.8332682139098497；2026-12：31天 × 0.5511018253564084；2027-01：17天 × 1.0017220238758797</v>
      </c>
      <c r="BN897" s="11" t="n">
        <v>1.2247029157699902</v>
      </c>
      <c r="BO897" s="11" t="n">
        <v>0.8332682139098497</v>
      </c>
      <c r="BP897" s="11" t="n">
        <v>0.5511018253564084</v>
      </c>
      <c r="BQ897" s="11" t="n">
        <v>1.0017220238758797</v>
      </c>
      <c r="BR897" s="8" t="n">
        <v>12</v>
      </c>
      <c r="BS897" s="8" t="n">
        <v>30</v>
      </c>
      <c r="BT897" s="8" t="n">
        <v>31</v>
      </c>
      <c r="BU897" s="8" t="n">
        <v>17</v>
      </c>
      <c r="BV897" s="11" t="n">
        <f>IF(COUNT(BC897,BF897)=2,BC897*BF897,"")</f>
        <v>0.004090893079205057</v>
      </c>
      <c r="BW897" s="11" t="n">
        <f>IF(ISNUMBER(BN897),BN897,"")</f>
        <v>1.2247029157699902</v>
      </c>
      <c r="BX897" s="14" t="n">
        <f>IF(ISNUMBER(BR897),BR897,"")</f>
        <v>12</v>
      </c>
      <c r="BY897" s="13" t="n">
        <f>IF(AND(COUNT(BV897,BW897,BX897)=3,MIN(BV897,BW897,BX897)&gt;=0),BV897*BW897*BX897,"")</f>
        <v>0.06012154418646849</v>
      </c>
      <c r="BZ897" s="11" t="n">
        <f>IF(ISNUMBER(BO897),BO897,"")</f>
        <v>0.8332682139098497</v>
      </c>
      <c r="CA897" s="14" t="n">
        <f>IF(ISNUMBER(BS897),BS897,"")</f>
        <v>30</v>
      </c>
      <c r="CB897" s="13" t="n">
        <f>IF(AND(COUNT(BV897,BZ897,CA897)=3,MIN(BV897,BZ897,CA897)&gt;=0),BV897*BZ897*CA897,"")</f>
        <v>0.10226433508216091</v>
      </c>
      <c r="CC897" s="11" t="n">
        <f>IF(ISNUMBER(BP897),BP897,"")</f>
        <v>0.5511018253564084</v>
      </c>
      <c r="CD897" s="14" t="n">
        <f>IF(ISNUMBER(BT897),BT897,"")</f>
        <v>31</v>
      </c>
      <c r="CE897" s="13" t="n">
        <f>IF(AND(COUNT(BV897,CC897,CD897)=3,MIN(BV897,CC897,CD897)&gt;=0),BV897*CC897*CD897,"")</f>
        <v>0.06988945794192196</v>
      </c>
      <c r="CF897" s="11" t="n">
        <f>IF(ISNUMBER(BQ897),BQ897,"")</f>
        <v>1.0017220238758797</v>
      </c>
      <c r="CG897" s="14" t="n">
        <f>IF(ISNUMBER(BU897),BU897,"")</f>
        <v>17</v>
      </c>
      <c r="CH897" s="13" t="n">
        <f>IF(AND(COUNT(BV897,CF897,CG897)=3,MIN(BV897,CF897,CG897)&gt;=0),BV897*CF897*CG897,"")</f>
        <v>0.06966494081093903</v>
      </c>
      <c r="CI897" s="13" t="n">
        <f>IF(COUNT(BY897,CB897,CE897,CH897)=4,SUM(BY897,CB897,CE897,CH897),"")</f>
        <v>0.3019402780214904</v>
      </c>
    </row>
    <row r="898" ht="72" customHeight="1">
      <c r="A898" s="16" t="str">
        <v>B06-LP-37.5</v>
      </c>
      <c r="B898" s="16" t="str">
        <v>1店-MUSSHOE-US</v>
      </c>
      <c r="C898" s="16" t="str">
        <v>艾年</v>
      </c>
      <c r="D898" s="26" t="n">
        <f>IF(NOT(ISNUMBER(E898)),"",IF(OR(E898&lt;=0,L898=0),0,IF(OR(NOT(ISNUMBER(F898)),F898&lt;0),"",MIN(E898,INT(F898)))))</f>
        <v>0</v>
      </c>
      <c r="E898" s="27" t="n">
        <f>IF(OR(NOT(ISNUMBER(L898)),COUNT(M898:O898)&lt;&gt;3,MIN(M898:O898)&lt;0),"",ROUNDUP(ROUND(BI898-SUM(M898:O898),10),0))</f>
        <v>-26</v>
      </c>
      <c r="F898" s="28" t="n">
        <v>73</v>
      </c>
      <c r="G898" s="28" t="n">
        <f>IF(AND(ISNUMBER(D898),ISNUMBER(E898)),IF(OR(E898&lt;=0,L898=0),0,E898-D898),"")</f>
        <v>0</v>
      </c>
      <c r="H898" s="16" t="str">
        <f>IF(NOT(ISNUMBER(E898)),"销量或海外库存待补",IF(OR(E898&lt;=0,L898=0),IF(L898=0,"零日销，本批不发","本批无需补货"),IF(NOT(ISNUMBER(D898)),"国内库存待补",IF(D898=0,"国内无可用库存",IF(G898&gt;0,"先发国内现货","按建议量发货")))))</f>
        <v>本批无需补货</v>
      </c>
      <c r="I898" s="28" t="n">
        <f>IF(AND(COUNT(Z898,AA898,AB898)=3,Z898&gt;=AA898,AA898&gt;=0,AB898=7),Z898-AA898,"")</f>
        <v>6</v>
      </c>
      <c r="J898" s="28" t="n">
        <f>IF(AND(COUNT(AF898,AG898,AH898)=3,AF898&gt;=AG898,AG898&gt;=0,AH898=14),AF898-AG898,"")</f>
        <v>9</v>
      </c>
      <c r="K898" s="28" t="n">
        <f>IF(AND(COUNT(AL898,AM898,AN898)=3,AL898&gt;=AM898,AM898&gt;=0,AN898=30),AL898-AM898,"")</f>
        <v>20</v>
      </c>
      <c r="L898" s="29" t="n">
        <f>IF(ISNUMBER(BI898),BI898/90,"")</f>
        <v>0.5115628960281088</v>
      </c>
      <c r="M898" s="28" t="n">
        <v>72</v>
      </c>
      <c r="N898" s="28" t="n">
        <v>0</v>
      </c>
      <c r="O898" s="28" t="n">
        <v>0</v>
      </c>
      <c r="P898" s="30" t="n">
        <f>IF(AND(ISNUMBER(L898),L898&gt;0,COUNT(M898:O898)=3,MIN(M898:O898)&gt;=0),SUM(M898:O898)/L898,"")</f>
        <v>140.7451567715807</v>
      </c>
      <c r="Q898" s="16" t="str">
        <v>沿用原计划SKU店铺</v>
      </c>
      <c r="R898" s="16" t="str">
        <v>已匹配</v>
      </c>
      <c r="S898" s="16" t="str">
        <v>在售</v>
      </c>
      <c r="T898" s="16" t="str">
        <v>B06</v>
      </c>
      <c r="U898" s="16" t="str">
        <v>豹纹羊京绒</v>
      </c>
      <c r="V898" s="16" t="n">
        <v>6.5</v>
      </c>
      <c r="W898" s="8" t="str">
        <v>2026-10-11 至 2026-10-17</v>
      </c>
      <c r="X898" s="8" t="str">
        <v>2026-10-11、2026-10-12、2026-10-13、2026-10-14、2026-10-15、2026-10-16、2026-10-17</v>
      </c>
      <c r="Y898" s="8" t="str">
        <v>无</v>
      </c>
      <c r="Z898" s="8" t="n">
        <v>6</v>
      </c>
      <c r="AA898" s="8" t="n">
        <v>0</v>
      </c>
      <c r="AB898" s="8" t="n">
        <v>7</v>
      </c>
      <c r="AC898" s="8" t="str">
        <v>2026-10-02 至 2026-10-17</v>
      </c>
      <c r="AD898" s="8" t="str">
        <v>2026-10-02、2026-10-03、2026-10-04、2026-10-05、2026-10-08、2026-10-09、2026-10-10、2026-10-11、2026-10-12、2026-10-13、2026-10-14、2026-10-15、2026-10-16、2026-10-17</v>
      </c>
      <c r="AE898" s="8" t="str">
        <v>2026-10-06 大促；2026-10-07 大促</v>
      </c>
      <c r="AF898" s="8" t="n">
        <v>14</v>
      </c>
      <c r="AG898" s="8" t="n">
        <v>5</v>
      </c>
      <c r="AH898" s="8" t="n">
        <v>14</v>
      </c>
      <c r="AI898" s="8" t="str">
        <v>2026-09-16 至 2026-10-17</v>
      </c>
      <c r="AJ8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8" s="8" t="str">
        <v>2026-10-06 大促；2026-10-07 大促</v>
      </c>
      <c r="AL898" s="8" t="n">
        <v>25</v>
      </c>
      <c r="AM898" s="8" t="n">
        <v>5</v>
      </c>
      <c r="AN898" s="8" t="n">
        <v>30</v>
      </c>
      <c r="AO898" s="8" t="str">
        <v>B06 / 豹纹羊京绒 / 13120</v>
      </c>
      <c r="AP898" s="11" t="n">
        <v>1.2247029157699902</v>
      </c>
      <c r="AQ898" s="11" t="n">
        <v>1.2247029157699902</v>
      </c>
      <c r="AR898" s="11" t="n">
        <v>1.1136940657346173</v>
      </c>
      <c r="AS898" s="11" t="n">
        <f>IF(AND(COUNT(I898:K898,AP898:AR898)=6,MIN(AP898:AR898)&gt;0),I898/7/AP898*0.5+J898/14/AQ898*0.3+K898/30/AR898*0.2,"")</f>
        <v>0.6271333739538252</v>
      </c>
      <c r="AT898" s="8" t="n">
        <v>39</v>
      </c>
      <c r="AU898" s="8" t="n">
        <v>5</v>
      </c>
      <c r="AV898" s="8" t="n">
        <v>88</v>
      </c>
      <c r="AW898" s="11" t="n">
        <f>IF(AND(COUNT(AT898:AV898)=3,AT898&gt;=AU898,AU898&gt;=0,AV898&gt;0),(AT898-AU898)/AV898,"")</f>
        <v>0.38636363636363635</v>
      </c>
      <c r="AX898" s="8" t="n">
        <v>65</v>
      </c>
      <c r="AY898" s="8" t="n">
        <v>5</v>
      </c>
      <c r="AZ898" s="8" t="n">
        <v>178</v>
      </c>
      <c r="BA898" s="11" t="n">
        <f>IF(AND(COUNT(AX898:AZ898)=3,AX898&gt;=AY898,AY898&gt;=0,AZ898&gt;0),(AX898-AY898)/AZ898,"")</f>
        <v>0.33707865168539325</v>
      </c>
      <c r="BB898" s="8" t="n">
        <f>IF(COUNT(AS898,AW898,BA898)=3,1,0)</f>
        <v>1</v>
      </c>
      <c r="BC898" s="11" t="n">
        <f>IF(SUMIF($AO$11:$AO$1309,AO898,$BB$11:$BB$1309)=COUNTIF($AO$11:$AO$1309,AO898),SUMIF($AO$11:$AO$1309,AO898,$AS$11:$AS$1309),"")</f>
        <v>10.232422007128712</v>
      </c>
      <c r="BD898" s="11" t="n">
        <f>IF(SUMIF($AO$11:$AO$1309,AO898,$BB$11:$BB$1309)=COUNTIF($AO$11:$AO$1309,AO898),SUMIF($AO$11:$AO$1309,AO898,$AW$11:$AW$1309),"")</f>
        <v>6.3522727272727275</v>
      </c>
      <c r="BE898" s="11" t="n">
        <f>IF(SUMIF($AO$11:$AO$1309,AO898,$BB$11:$BB$1309)=COUNTIF($AO$11:$AO$1309,AO898),SUMIF($AO$11:$AO$1309,AO898,$BA$11:$BA$1309),"")</f>
        <v>5.5</v>
      </c>
      <c r="BF898" s="12" t="n">
        <f>IF(COUNT(BD898:BE898)&lt;&gt;2,"",IF(AND(BD898&gt;0,BE898&gt;0),0.7*AW898/BD898+0.3*BA898/BE898,IF(BD898&gt;0,AW898/BD898,IF(BE898&gt;0,BA898/BE898,IF(AND(ISNUMBER(BH898),BH898=0),0,"")))))</f>
        <v>0.060962136896288974</v>
      </c>
      <c r="BG898" s="11" t="n">
        <f>IF(AND(COUNT(BN898:BU898)=8,MIN(BN898:BU898)&gt;=0),SUMPRODUCT(BN898:BQ898,BR898:BU898),"")</f>
        <v>73.80791239847399</v>
      </c>
      <c r="BH898" s="11" t="n">
        <f>IF(COUNT(BC898,BG898)=2,BC898*BG898,"")</f>
        <v>755.2337071263734</v>
      </c>
      <c r="BI898" s="11" t="n">
        <f>IF(ISNUMBER(CI898),CI898,"")</f>
        <v>46.04066064252979</v>
      </c>
      <c r="BJ898" s="8" t="str">
        <v>低销提醒依据不完整</v>
      </c>
      <c r="BK898" s="8" t="str">
        <v>90天：2026-07-20 至 2026-10-17；180天：2026-04-21 至 2026-10-17</v>
      </c>
      <c r="BL898" s="8" t="str">
        <v>90天：2026-10-06、2026-10-07；180天：2026-10-06、2026-10-07</v>
      </c>
      <c r="BM898" s="8" t="str">
        <v>2026-10：12天 × 1.2247029157699902；2026-11：30天 × 0.8332682139098497；2026-12：31天 × 0.5511018253564084；2027-01：17天 × 1.0017220238758797</v>
      </c>
      <c r="BN898" s="11" t="n">
        <v>1.2247029157699902</v>
      </c>
      <c r="BO898" s="11" t="n">
        <v>0.8332682139098497</v>
      </c>
      <c r="BP898" s="11" t="n">
        <v>0.5511018253564084</v>
      </c>
      <c r="BQ898" s="11" t="n">
        <v>1.0017220238758797</v>
      </c>
      <c r="BR898" s="8" t="n">
        <v>12</v>
      </c>
      <c r="BS898" s="8" t="n">
        <v>30</v>
      </c>
      <c r="BT898" s="8" t="n">
        <v>31</v>
      </c>
      <c r="BU898" s="8" t="n">
        <v>17</v>
      </c>
      <c r="BV898" s="11" t="n">
        <f>IF(COUNT(BC898,BF898)=2,BC898*BF898,"")</f>
        <v>0.6237903111791805</v>
      </c>
      <c r="BW898" s="11" t="n">
        <f>IF(ISNUMBER(BN898),BN898,"")</f>
        <v>1.2247029157699902</v>
      </c>
      <c r="BX898" s="14" t="n">
        <f>IF(ISNUMBER(BR898),BR898,"")</f>
        <v>12</v>
      </c>
      <c r="BY898" s="13" t="n">
        <f>IF(AND(COUNT(BV898,BW898,BX898)=3,MIN(BV898,BW898,BX898)&gt;=0),BV898*BW898*BX898,"")</f>
        <v>9.167493755162543</v>
      </c>
      <c r="BZ898" s="11" t="n">
        <f>IF(ISNUMBER(BO898),BO898,"")</f>
        <v>0.8332682139098497</v>
      </c>
      <c r="CA898" s="14" t="n">
        <f>IF(ISNUMBER(BS898),BS898,"")</f>
        <v>30</v>
      </c>
      <c r="CB898" s="13" t="n">
        <f>IF(AND(COUNT(BV898,BZ898,CA898)=3,MIN(BV898,BZ898,CA898)&gt;=0),BV898*BZ898*CA898,"")</f>
        <v>15.593539153516353</v>
      </c>
      <c r="CC898" s="11" t="n">
        <f>IF(ISNUMBER(BP898),BP898,"")</f>
        <v>0.5511018253564084</v>
      </c>
      <c r="CD898" s="14" t="n">
        <f>IF(ISNUMBER(BT898),BT898,"")</f>
        <v>31</v>
      </c>
      <c r="CE898" s="13" t="n">
        <f>IF(AND(COUNT(BV898,CC898,CD898)=3,MIN(BV898,CC898,CD898)&gt;=0),BV898*CC898*CD898,"")</f>
        <v>10.656931353045138</v>
      </c>
      <c r="CF898" s="11" t="n">
        <f>IF(ISNUMBER(BQ898),BQ898,"")</f>
        <v>1.0017220238758797</v>
      </c>
      <c r="CG898" s="14" t="n">
        <f>IF(ISNUMBER(BU898),BU898,"")</f>
        <v>17</v>
      </c>
      <c r="CH898" s="13" t="n">
        <f>IF(AND(COUNT(BV898,CF898,CG898)=3,MIN(BV898,CF898,CG898)&gt;=0),BV898*CF898*CG898,"")</f>
        <v>10.622696380805749</v>
      </c>
      <c r="CI898" s="13" t="n">
        <f>IF(COUNT(BY898,CB898,CE898,CH898)=4,SUM(BY898,CB898,CE898,CH898),"")</f>
        <v>46.04066064252979</v>
      </c>
    </row>
    <row r="899" ht="72" customHeight="1">
      <c r="A899" s="16" t="str">
        <v>B06-LP-40.5</v>
      </c>
      <c r="B899" s="16" t="str">
        <v>1店-MUSSHOE-US</v>
      </c>
      <c r="C899" s="16" t="str">
        <v>艾年</v>
      </c>
      <c r="D899" s="26" t="n">
        <f>IF(NOT(ISNUMBER(E899)),"",IF(OR(E899&lt;=0,L899=0),0,IF(OR(NOT(ISNUMBER(F899)),F899&lt;0),"",MIN(E899,INT(F899)))))</f>
        <v>0</v>
      </c>
      <c r="E899" s="27" t="n">
        <f>IF(OR(NOT(ISNUMBER(L899)),COUNT(M899:O899)&lt;&gt;3,MIN(M899:O899)&lt;0),"",ROUNDUP(ROUND(BI899-SUM(M899:O899),10),0))</f>
        <v>-19</v>
      </c>
      <c r="F899" s="28" t="n">
        <v>132</v>
      </c>
      <c r="G899" s="28" t="n">
        <f>IF(AND(ISNUMBER(D899),ISNUMBER(E899)),IF(OR(E899&lt;=0,L899=0),0,E899-D899),"")</f>
        <v>0</v>
      </c>
      <c r="H899" s="16" t="str">
        <f>IF(NOT(ISNUMBER(E899)),"销量或海外库存待补",IF(OR(E899&lt;=0,L899=0),IF(L899=0,"零日销，本批不发","本批无需补货"),IF(NOT(ISNUMBER(D899)),"国内库存待补",IF(D899=0,"国内无可用库存",IF(G899&gt;0,"先发国内现货","按建议量发货")))))</f>
        <v>本批无需补货</v>
      </c>
      <c r="I899" s="28" t="n">
        <f>IF(AND(COUNT(Z899,AA899,AB899)=3,Z899&gt;=AA899,AA899&gt;=0,AB899=7),Z899-AA899,"")</f>
        <v>10</v>
      </c>
      <c r="J899" s="28" t="n">
        <f>IF(AND(COUNT(AF899,AG899,AH899)=3,AF899&gt;=AG899,AG899&gt;=0,AH899=14),AF899-AG899,"")</f>
        <v>14</v>
      </c>
      <c r="K899" s="28" t="n">
        <f>IF(AND(COUNT(AL899,AM899,AN899)=3,AL899&gt;=AM899,AM899&gt;=0,AN899=30),AL899-AM899,"")</f>
        <v>21</v>
      </c>
      <c r="L899" s="29" t="n">
        <f>IF(ISNUMBER(BI899),BI899/90,"")</f>
        <v>0.6108342074277039</v>
      </c>
      <c r="M899" s="28" t="n">
        <v>24</v>
      </c>
      <c r="N899" s="28" t="n">
        <v>0</v>
      </c>
      <c r="O899" s="28" t="n">
        <v>49</v>
      </c>
      <c r="P899" s="30" t="n">
        <f>IF(AND(ISNUMBER(L899),L899&gt;0,COUNT(M899:O899)=3,MIN(M899:O899)&gt;=0),SUM(M899:O899)/L899,"")</f>
        <v>119.50869665176702</v>
      </c>
      <c r="Q899" s="16" t="str">
        <v>沿用原计划SKU店铺</v>
      </c>
      <c r="R899" s="16" t="str">
        <v>已匹配</v>
      </c>
      <c r="S899" s="16" t="str">
        <v>在售</v>
      </c>
      <c r="T899" s="16" t="str">
        <v>B06</v>
      </c>
      <c r="U899" s="16" t="str">
        <v>豹纹羊京绒</v>
      </c>
      <c r="V899" s="16" t="n">
        <v>9.5</v>
      </c>
      <c r="W899" s="8" t="str">
        <v>2026-10-11 至 2026-10-17</v>
      </c>
      <c r="X899" s="8" t="str">
        <v>2026-10-11、2026-10-12、2026-10-13、2026-10-14、2026-10-15、2026-10-16、2026-10-17</v>
      </c>
      <c r="Y899" s="8" t="str">
        <v>无</v>
      </c>
      <c r="Z899" s="8" t="n">
        <v>10</v>
      </c>
      <c r="AA899" s="8" t="n">
        <v>0</v>
      </c>
      <c r="AB899" s="8" t="n">
        <v>7</v>
      </c>
      <c r="AC899" s="8" t="str">
        <v>2026-10-02 至 2026-10-17</v>
      </c>
      <c r="AD899" s="8" t="str">
        <v>2026-10-02、2026-10-03、2026-10-04、2026-10-05、2026-10-08、2026-10-09、2026-10-10、2026-10-11、2026-10-12、2026-10-13、2026-10-14、2026-10-15、2026-10-16、2026-10-17</v>
      </c>
      <c r="AE899" s="8" t="str">
        <v>2026-10-06 大促；2026-10-07 大促</v>
      </c>
      <c r="AF899" s="8" t="n">
        <v>16</v>
      </c>
      <c r="AG899" s="8" t="n">
        <v>2</v>
      </c>
      <c r="AH899" s="8" t="n">
        <v>14</v>
      </c>
      <c r="AI899" s="8" t="str">
        <v>2026-09-16 至 2026-10-17</v>
      </c>
      <c r="AJ8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899" s="8" t="str">
        <v>2026-10-06 大促；2026-10-07 大促</v>
      </c>
      <c r="AL899" s="8" t="n">
        <v>23</v>
      </c>
      <c r="AM899" s="8" t="n">
        <v>2</v>
      </c>
      <c r="AN899" s="8" t="n">
        <v>30</v>
      </c>
      <c r="AO899" s="8" t="str">
        <v>B06 / 豹纹羊京绒 / 13120</v>
      </c>
      <c r="AP899" s="11" t="n">
        <v>1.2247029157699902</v>
      </c>
      <c r="AQ899" s="11" t="n">
        <v>1.2247029157699902</v>
      </c>
      <c r="AR899" s="11" t="n">
        <v>1.1136940657346173</v>
      </c>
      <c r="AS899" s="11" t="n">
        <f>IF(AND(COUNT(I899:K899,AP899:AR899)=6,MIN(AP899:AR899)&gt;0),I899/7/AP899*0.5+J899/14/AQ899*0.3+K899/30/AR899*0.2,"")</f>
        <v>0.9538969610373145</v>
      </c>
      <c r="AT899" s="8" t="n">
        <v>43</v>
      </c>
      <c r="AU899" s="8" t="n">
        <v>2</v>
      </c>
      <c r="AV899" s="8" t="n">
        <v>88</v>
      </c>
      <c r="AW899" s="11" t="n">
        <f>IF(AND(COUNT(AT899:AV899)=3,AT899&gt;=AU899,AU899&gt;=0,AV899&gt;0),(AT899-AU899)/AV899,"")</f>
        <v>0.4659090909090909</v>
      </c>
      <c r="AX899" s="8" t="n">
        <v>72</v>
      </c>
      <c r="AY899" s="8" t="n">
        <v>2</v>
      </c>
      <c r="AZ899" s="8" t="n">
        <v>178</v>
      </c>
      <c r="BA899" s="11" t="n">
        <f>IF(AND(COUNT(AX899:AZ899)=3,AX899&gt;=AY899,AY899&gt;=0,AZ899&gt;0),(AX899-AY899)/AZ899,"")</f>
        <v>0.39325842696629215</v>
      </c>
      <c r="BB899" s="8" t="n">
        <f>IF(COUNT(AS899,AW899,BA899)=3,1,0)</f>
        <v>1</v>
      </c>
      <c r="BC899" s="11" t="n">
        <f>IF(SUMIF($AO$11:$AO$1309,AO899,$BB$11:$BB$1309)=COUNTIF($AO$11:$AO$1309,AO899),SUMIF($AO$11:$AO$1309,AO899,$AS$11:$AS$1309),"")</f>
        <v>10.232422007128712</v>
      </c>
      <c r="BD899" s="11" t="n">
        <f>IF(SUMIF($AO$11:$AO$1309,AO899,$BB$11:$BB$1309)=COUNTIF($AO$11:$AO$1309,AO899),SUMIF($AO$11:$AO$1309,AO899,$AW$11:$AW$1309),"")</f>
        <v>6.3522727272727275</v>
      </c>
      <c r="BE899" s="11" t="n">
        <f>IF(SUMIF($AO$11:$AO$1309,AO899,$BB$11:$BB$1309)=COUNTIF($AO$11:$AO$1309,AO899),SUMIF($AO$11:$AO$1309,AO899,$BA$11:$BA$1309),"")</f>
        <v>5.5</v>
      </c>
      <c r="BF899" s="12" t="n">
        <f>IF(COUNT(BD899:BE899)&lt;&gt;2,"",IF(AND(BD899&gt;0,BE899&gt;0),0.7*AW899/BD899+0.3*BA899/BE899,IF(BD899&gt;0,AW899/BD899,IF(BE899&gt;0,BA899/BE899,IF(AND(ISNUMBER(BH899),BH899=0),0,"")))))</f>
        <v>0.07279214122694655</v>
      </c>
      <c r="BG899" s="11" t="n">
        <f>IF(AND(COUNT(BN899:BU899)=8,MIN(BN899:BU899)&gt;=0),SUMPRODUCT(BN899:BQ899,BR899:BU899),"")</f>
        <v>73.80791239847399</v>
      </c>
      <c r="BH899" s="11" t="n">
        <f>IF(COUNT(BC899,BG899)=2,BC899*BG899,"")</f>
        <v>755.2337071263734</v>
      </c>
      <c r="BI899" s="11" t="n">
        <f>IF(ISNUMBER(CI899),CI899,"")</f>
        <v>54.97507866849335</v>
      </c>
      <c r="BJ899" s="8" t="str">
        <v>低销提醒依据不完整</v>
      </c>
      <c r="BK899" s="8" t="str">
        <v>90天：2026-07-20 至 2026-10-17；180天：2026-04-21 至 2026-10-17</v>
      </c>
      <c r="BL899" s="8" t="str">
        <v>90天：2026-10-06、2026-10-07；180天：2026-10-06、2026-10-07</v>
      </c>
      <c r="BM899" s="8" t="str">
        <v>2026-10：12天 × 1.2247029157699902；2026-11：30天 × 0.8332682139098497；2026-12：31天 × 0.5511018253564084；2027-01：17天 × 1.0017220238758797</v>
      </c>
      <c r="BN899" s="11" t="n">
        <v>1.2247029157699902</v>
      </c>
      <c r="BO899" s="11" t="n">
        <v>0.8332682139098497</v>
      </c>
      <c r="BP899" s="11" t="n">
        <v>0.5511018253564084</v>
      </c>
      <c r="BQ899" s="11" t="n">
        <v>1.0017220238758797</v>
      </c>
      <c r="BR899" s="8" t="n">
        <v>12</v>
      </c>
      <c r="BS899" s="8" t="n">
        <v>30</v>
      </c>
      <c r="BT899" s="8" t="n">
        <v>31</v>
      </c>
      <c r="BU899" s="8" t="n">
        <v>17</v>
      </c>
      <c r="BV899" s="11" t="n">
        <f>IF(COUNT(BC899,BF899)=2,BC899*BF899,"")</f>
        <v>0.744839907836629</v>
      </c>
      <c r="BW899" s="11" t="n">
        <f>IF(ISNUMBER(BN899),BN899,"")</f>
        <v>1.2247029157699902</v>
      </c>
      <c r="BX899" s="14" t="n">
        <f>IF(ISNUMBER(BR899),BR899,"")</f>
        <v>12</v>
      </c>
      <c r="BY899" s="13" t="n">
        <f>IF(AND(COUNT(BV899,BW899,BX899)=3,MIN(BV899,BW899,BX899)&gt;=0),BV899*BW899*BX899,"")</f>
        <v>10.946491282912444</v>
      </c>
      <c r="BZ899" s="11" t="n">
        <f>IF(ISNUMBER(BO899),BO899,"")</f>
        <v>0.8332682139098497</v>
      </c>
      <c r="CA899" s="14" t="n">
        <f>IF(ISNUMBER(BS899),BS899,"")</f>
        <v>30</v>
      </c>
      <c r="CB899" s="13" t="n">
        <f>IF(AND(COUNT(BV899,BZ899,CA899)=3,MIN(BV899,BZ899,CA899)&gt;=0),BV899*BZ899*CA899,"")</f>
        <v>18.619542589554147</v>
      </c>
      <c r="CC899" s="11" t="n">
        <f>IF(ISNUMBER(BP899),BP899,"")</f>
        <v>0.5511018253564084</v>
      </c>
      <c r="CD899" s="14" t="n">
        <f>IF(ISNUMBER(BT899),BT899,"")</f>
        <v>31</v>
      </c>
      <c r="CE899" s="13" t="n">
        <f>IF(AND(COUNT(BV899,CC899,CD899)=3,MIN(BV899,CC899,CD899)&gt;=0),BV899*CC899*CD899,"")</f>
        <v>12.724961617019023</v>
      </c>
      <c r="CF899" s="11" t="n">
        <f>IF(ISNUMBER(BQ899),BQ899,"")</f>
        <v>1.0017220238758797</v>
      </c>
      <c r="CG899" s="14" t="n">
        <f>IF(ISNUMBER(BU899),BU899,"")</f>
        <v>17</v>
      </c>
      <c r="CH899" s="13" t="n">
        <f>IF(AND(COUNT(BV899,CF899,CG899)=3,MIN(BV899,CF899,CG899)&gt;=0),BV899*CF899*CG899,"")</f>
        <v>12.68408317900774</v>
      </c>
      <c r="CI899" s="13" t="n">
        <f>IF(COUNT(BY899,CB899,CE899,CH899)=4,SUM(BY899,CB899,CE899,CH899),"")</f>
        <v>54.97507866849335</v>
      </c>
    </row>
    <row r="900" ht="72" customHeight="1">
      <c r="A900" s="16" t="str">
        <v>B06-LP-41.5</v>
      </c>
      <c r="B900" s="16" t="str">
        <v>1店-MUSSHOE-US</v>
      </c>
      <c r="C900" s="16" t="str">
        <v>艾年</v>
      </c>
      <c r="D900" s="26" t="n">
        <f>IF(NOT(ISNUMBER(E900)),"",IF(OR(E900&lt;=0,L900=0),0,IF(OR(NOT(ISNUMBER(F900)),F900&lt;0),"",MIN(E900,INT(F900)))))</f>
        <v>0</v>
      </c>
      <c r="E900" s="27" t="n">
        <f>IF(OR(NOT(ISNUMBER(L900)),COUNT(M900:O900)&lt;&gt;3,MIN(M900:O900)&lt;0),"",ROUNDUP(ROUND(BI900-SUM(M900:O900),10),0))</f>
        <v>-6</v>
      </c>
      <c r="F900" s="28" t="n">
        <v>38</v>
      </c>
      <c r="G900" s="28" t="n">
        <f>IF(AND(ISNUMBER(D900),ISNUMBER(E900)),IF(OR(E900&lt;=0,L900=0),0,E900-D900),"")</f>
        <v>0</v>
      </c>
      <c r="H900" s="16" t="str">
        <f>IF(NOT(ISNUMBER(E900)),"销量或海外库存待补",IF(OR(E900&lt;=0,L900=0),IF(L900=0,"零日销，本批不发","本批无需补货"),IF(NOT(ISNUMBER(D900)),"国内库存待补",IF(D900=0,"国内无可用库存",IF(G900&gt;0,"先发国内现货","按建议量发货")))))</f>
        <v>本批无需补货</v>
      </c>
      <c r="I900" s="28" t="n">
        <f>IF(AND(COUNT(Z900,AA900,AB900)=3,Z900&gt;=AA900,AA900&gt;=0,AB900=7),Z900-AA900,"")</f>
        <v>7</v>
      </c>
      <c r="J900" s="28" t="n">
        <f>IF(AND(COUNT(AF900,AG900,AH900)=3,AF900&gt;=AG900,AG900&gt;=0,AH900=14),AF900-AG900,"")</f>
        <v>7</v>
      </c>
      <c r="K900" s="28" t="n">
        <f>IF(AND(COUNT(AL900,AM900,AN900)=3,AL900&gt;=AM900,AM900&gt;=0,AN900=30),AL900-AM900,"")</f>
        <v>12</v>
      </c>
      <c r="L900" s="29" t="n">
        <f>IF(ISNUMBER(BI900),BI900/90,"")</f>
        <v>0.3732752191327271</v>
      </c>
      <c r="M900" s="28" t="n">
        <v>39</v>
      </c>
      <c r="N900" s="28" t="n">
        <v>0</v>
      </c>
      <c r="O900" s="28" t="n">
        <v>0</v>
      </c>
      <c r="P900" s="30" t="n">
        <f>IF(AND(ISNUMBER(L900),L900&gt;0,COUNT(M900:O900)=3,MIN(M900:O900)&gt;=0),SUM(M900:O900)/L900,"")</f>
        <v>104.48054947395958</v>
      </c>
      <c r="Q900" s="16" t="str">
        <v>沿用原计划SKU店铺</v>
      </c>
      <c r="R900" s="16" t="str">
        <v>已匹配</v>
      </c>
      <c r="S900" s="16" t="str">
        <v>在售</v>
      </c>
      <c r="T900" s="16" t="str">
        <v>B06</v>
      </c>
      <c r="U900" s="16" t="str">
        <v>豹纹羊京绒</v>
      </c>
      <c r="V900" s="16" t="n">
        <v>10.5</v>
      </c>
      <c r="W900" s="8" t="str">
        <v>2026-10-11 至 2026-10-17</v>
      </c>
      <c r="X900" s="8" t="str">
        <v>2026-10-11、2026-10-12、2026-10-13、2026-10-14、2026-10-15、2026-10-16、2026-10-17</v>
      </c>
      <c r="Y900" s="8" t="str">
        <v>无</v>
      </c>
      <c r="Z900" s="8" t="n">
        <v>7</v>
      </c>
      <c r="AA900" s="8" t="n">
        <v>0</v>
      </c>
      <c r="AB900" s="8" t="n">
        <v>7</v>
      </c>
      <c r="AC900" s="8" t="str">
        <v>2026-10-02 至 2026-10-17</v>
      </c>
      <c r="AD900" s="8" t="str">
        <v>2026-10-02、2026-10-03、2026-10-04、2026-10-05、2026-10-08、2026-10-09、2026-10-10、2026-10-11、2026-10-12、2026-10-13、2026-10-14、2026-10-15、2026-10-16、2026-10-17</v>
      </c>
      <c r="AE900" s="8" t="str">
        <v>2026-10-06 大促；2026-10-07 大促</v>
      </c>
      <c r="AF900" s="8" t="n">
        <v>8</v>
      </c>
      <c r="AG900" s="8" t="n">
        <v>1</v>
      </c>
      <c r="AH900" s="8" t="n">
        <v>14</v>
      </c>
      <c r="AI900" s="8" t="str">
        <v>2026-09-16 至 2026-10-17</v>
      </c>
      <c r="AJ9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0" s="8" t="str">
        <v>2026-10-06 大促；2026-10-07 大促</v>
      </c>
      <c r="AL900" s="8" t="n">
        <v>13</v>
      </c>
      <c r="AM900" s="8" t="n">
        <v>1</v>
      </c>
      <c r="AN900" s="8" t="n">
        <v>30</v>
      </c>
      <c r="AO900" s="8" t="str">
        <v>B06 / 豹纹羊京绒 / 13120</v>
      </c>
      <c r="AP900" s="11" t="n">
        <v>1.2247029157699902</v>
      </c>
      <c r="AQ900" s="11" t="n">
        <v>1.2247029157699902</v>
      </c>
      <c r="AR900" s="11" t="n">
        <v>1.1136940657346173</v>
      </c>
      <c r="AS900" s="11" t="n">
        <f>IF(AND(COUNT(I900:K900,AP900:AR900)=6,MIN(AP900:AR900)&gt;0),I900/7/AP900*0.5+J900/14/AQ900*0.3+K900/30/AR900*0.2,"")</f>
        <v>0.6025739717241009</v>
      </c>
      <c r="AT900" s="8" t="n">
        <v>26</v>
      </c>
      <c r="AU900" s="8" t="n">
        <v>1</v>
      </c>
      <c r="AV900" s="8" t="n">
        <v>88</v>
      </c>
      <c r="AW900" s="11" t="n">
        <f>IF(AND(COUNT(AT900:AV900)=3,AT900&gt;=AU900,AU900&gt;=0,AV900&gt;0),(AT900-AU900)/AV900,"")</f>
        <v>0.2840909090909091</v>
      </c>
      <c r="AX900" s="8" t="n">
        <v>44</v>
      </c>
      <c r="AY900" s="8" t="n">
        <v>1</v>
      </c>
      <c r="AZ900" s="8" t="n">
        <v>178</v>
      </c>
      <c r="BA900" s="11" t="n">
        <f>IF(AND(COUNT(AX900:AZ900)=3,AX900&gt;=AY900,AY900&gt;=0,AZ900&gt;0),(AX900-AY900)/AZ900,"")</f>
        <v>0.24157303370786518</v>
      </c>
      <c r="BB900" s="8" t="n">
        <f>IF(COUNT(AS900,AW900,BA900)=3,1,0)</f>
        <v>1</v>
      </c>
      <c r="BC900" s="11" t="n">
        <f>IF(SUMIF($AO$11:$AO$1309,AO900,$BB$11:$BB$1309)=COUNTIF($AO$11:$AO$1309,AO900),SUMIF($AO$11:$AO$1309,AO900,$AS$11:$AS$1309),"")</f>
        <v>10.232422007128712</v>
      </c>
      <c r="BD900" s="11" t="n">
        <f>IF(SUMIF($AO$11:$AO$1309,AO900,$BB$11:$BB$1309)=COUNTIF($AO$11:$AO$1309,AO900),SUMIF($AO$11:$AO$1309,AO900,$AW$11:$AW$1309),"")</f>
        <v>6.3522727272727275</v>
      </c>
      <c r="BE900" s="11" t="n">
        <f>IF(SUMIF($AO$11:$AO$1309,AO900,$BB$11:$BB$1309)=COUNTIF($AO$11:$AO$1309,AO900),SUMIF($AO$11:$AO$1309,AO900,$BA$11:$BA$1309),"")</f>
        <v>5.5</v>
      </c>
      <c r="BF900" s="12" t="n">
        <f>IF(COUNT(BD900:BE900)&lt;&gt;2,"",IF(AND(BD900&gt;0,BE900&gt;0),0.7*AW900/BD900+0.3*BA900/BE900,IF(BD900&gt;0,AW900/BD900,IF(BE900&gt;0,BA900/BE900,IF(AND(ISNUMBER(BH900),BH900=0),0,"")))))</f>
        <v>0.04448261432844658</v>
      </c>
      <c r="BG900" s="11" t="n">
        <f>IF(AND(COUNT(BN900:BU900)=8,MIN(BN900:BU900)&gt;=0),SUMPRODUCT(BN900:BQ900,BR900:BU900),"")</f>
        <v>73.80791239847399</v>
      </c>
      <c r="BH900" s="11" t="n">
        <f>IF(COUNT(BC900,BG900)=2,BC900*BG900,"")</f>
        <v>755.2337071263734</v>
      </c>
      <c r="BI900" s="11" t="n">
        <f>IF(ISNUMBER(CI900),CI900,"")</f>
        <v>33.59476972194544</v>
      </c>
      <c r="BJ900" s="8" t="str">
        <v>低销提醒依据不完整</v>
      </c>
      <c r="BK900" s="8" t="str">
        <v>90天：2026-07-20 至 2026-10-17；180天：2026-04-21 至 2026-10-17</v>
      </c>
      <c r="BL900" s="8" t="str">
        <v>90天：2026-10-06、2026-10-07；180天：2026-10-06、2026-10-07</v>
      </c>
      <c r="BM900" s="8" t="str">
        <v>2026-10：12天 × 1.2247029157699902；2026-11：30天 × 0.8332682139098497；2026-12：31天 × 0.5511018253564084；2027-01：17天 × 1.0017220238758797</v>
      </c>
      <c r="BN900" s="11" t="n">
        <v>1.2247029157699902</v>
      </c>
      <c r="BO900" s="11" t="n">
        <v>0.8332682139098497</v>
      </c>
      <c r="BP900" s="11" t="n">
        <v>0.5511018253564084</v>
      </c>
      <c r="BQ900" s="11" t="n">
        <v>1.0017220238758797</v>
      </c>
      <c r="BR900" s="8" t="n">
        <v>12</v>
      </c>
      <c r="BS900" s="8" t="n">
        <v>30</v>
      </c>
      <c r="BT900" s="8" t="n">
        <v>31</v>
      </c>
      <c r="BU900" s="8" t="n">
        <v>17</v>
      </c>
      <c r="BV900" s="11" t="n">
        <f>IF(COUNT(BC900,BF900)=2,BC900*BF900,"")</f>
        <v>0.4551648817890157</v>
      </c>
      <c r="BW900" s="11" t="n">
        <f>IF(ISNUMBER(BN900),BN900,"")</f>
        <v>1.2247029157699902</v>
      </c>
      <c r="BX900" s="14" t="n">
        <f>IF(ISNUMBER(BR900),BR900,"")</f>
        <v>12</v>
      </c>
      <c r="BY900" s="13" t="n">
        <f>IF(AND(COUNT(BV900,BW900,BX900)=3,MIN(BV900,BW900,BX900)&gt;=0),BV900*BW900*BX900,"")</f>
        <v>6.689301094597326</v>
      </c>
      <c r="BZ900" s="11" t="n">
        <f>IF(ISNUMBER(BO900),BO900,"")</f>
        <v>0.8332682139098497</v>
      </c>
      <c r="CA900" s="14" t="n">
        <f>IF(ISNUMBER(BS900),BS900,"")</f>
        <v>30</v>
      </c>
      <c r="CB900" s="13" t="n">
        <f>IF(AND(COUNT(BV900,BZ900,CA900)=3,MIN(BV900,BZ900,CA900)&gt;=0),BV900*BZ900*CA900,"")</f>
        <v>11.37823284248463</v>
      </c>
      <c r="CC900" s="11" t="n">
        <f>IF(ISNUMBER(BP900),BP900,"")</f>
        <v>0.5511018253564084</v>
      </c>
      <c r="CD900" s="14" t="n">
        <f>IF(ISNUMBER(BT900),BT900,"")</f>
        <v>31</v>
      </c>
      <c r="CE900" s="13" t="n">
        <f>IF(AND(COUNT(BV900,CC900,CD900)=3,MIN(BV900,CC900,CD900)&gt;=0),BV900*CC900*CD900,"")</f>
        <v>7.776108112953873</v>
      </c>
      <c r="CF900" s="11" t="n">
        <f>IF(ISNUMBER(BQ900),BQ900,"")</f>
        <v>1.0017220238758797</v>
      </c>
      <c r="CG900" s="14" t="n">
        <f>IF(ISNUMBER(BU900),BU900,"")</f>
        <v>17</v>
      </c>
      <c r="CH900" s="13" t="n">
        <f>IF(AND(COUNT(BV900,CF900,CG900)=3,MIN(BV900,CF900,CG900)&gt;=0),BV900*CF900*CG900,"")</f>
        <v>7.751127671909613</v>
      </c>
      <c r="CI900" s="13" t="n">
        <f>IF(COUNT(BY900,CB900,CE900,CH900)=4,SUM(BY900,CB900,CE900,CH900),"")</f>
        <v>33.59476972194544</v>
      </c>
    </row>
    <row r="901" ht="72" customHeight="1">
      <c r="A901" s="16" t="str">
        <v>B06-MT-37.5</v>
      </c>
      <c r="B901" s="16" t="str">
        <v>1店-MUSSHOE-US</v>
      </c>
      <c r="C901" s="16" t="str">
        <v>艾年</v>
      </c>
      <c r="D901" s="26" t="n">
        <f>IF(NOT(ISNUMBER(E901)),"",IF(OR(E901&lt;=0,L901=0),0,IF(OR(NOT(ISNUMBER(F901)),F901&lt;0),"",MIN(E901,INT(F901)))))</f>
        <v>0</v>
      </c>
      <c r="E901" s="27" t="n">
        <f>IF(OR(NOT(ISNUMBER(L901)),COUNT(M901:O901)&lt;&gt;3,MIN(M901:O901)&lt;0),"",ROUNDUP(ROUND(BI901-SUM(M901:O901),10),0))</f>
        <v>0</v>
      </c>
      <c r="F901" s="28"/>
      <c r="G901" s="28" t="n">
        <f>IF(AND(ISNUMBER(D901),ISNUMBER(E901)),IF(OR(E901&lt;=0,L901=0),0,E901-D901),"")</f>
        <v>0</v>
      </c>
      <c r="H901" s="16" t="str">
        <f>IF(NOT(ISNUMBER(E901)),"销量或海外库存待补",IF(OR(E901&lt;=0,L901=0),IF(L901=0,"零日销，本批不发","本批无需补货"),IF(NOT(ISNUMBER(D901)),"国内库存待补",IF(D901=0,"国内无可用库存",IF(G901&gt;0,"先发国内现货","按建议量发货")))))</f>
        <v>零日销，本批不发</v>
      </c>
      <c r="I901" s="28" t="n">
        <f>IF(AND(COUNT(Z901,AA901,AB901)=3,Z901&gt;=AA901,AA901&gt;=0,AB901=7),Z901-AA901,"")</f>
        <v>0</v>
      </c>
      <c r="J901" s="28" t="n">
        <f>IF(AND(COUNT(AF901,AG901,AH901)=3,AF901&gt;=AG901,AG901&gt;=0,AH901=14),AF901-AG901,"")</f>
        <v>0</v>
      </c>
      <c r="K901" s="28" t="n">
        <f>IF(AND(COUNT(AL901,AM901,AN901)=3,AL901&gt;=AM901,AM901&gt;=0,AN901=30),AL901-AM901,"")</f>
        <v>0</v>
      </c>
      <c r="L901" s="29" t="n">
        <f>IF(ISNUMBER(BI901),BI901/90,"")</f>
        <v>0</v>
      </c>
      <c r="M901" s="28" t="n">
        <v>0</v>
      </c>
      <c r="N901" s="28" t="n">
        <v>0</v>
      </c>
      <c r="O901" s="28" t="n">
        <v>0</v>
      </c>
      <c r="P901" s="30" t="str">
        <f>IF(AND(ISNUMBER(L901),L901&gt;0,COUNT(M901:O901)=3,MIN(M901:O901)&gt;=0),SUM(M901:O901)/L901,"")</f>
      </c>
      <c r="Q901" s="16" t="str">
        <v>沿用原计划SKU店铺</v>
      </c>
      <c r="R901" s="16" t="str">
        <v>未匹配</v>
      </c>
      <c r="S901" s="16" t="str">
        <v>停售</v>
      </c>
      <c r="T901" s="16" t="str">
        <v>B06</v>
      </c>
      <c r="U901" s="16" t="str">
        <v>黄色羊京绒</v>
      </c>
      <c r="V901" s="16" t="n">
        <v>6.5</v>
      </c>
      <c r="W901" s="8" t="str">
        <v>2026-10-08 至 2026-10-17</v>
      </c>
      <c r="X901" s="8" t="str">
        <v>2026-10-08、2026-10-09、2026-10-10、2026-10-11、2026-10-14、2026-10-15、2026-10-17</v>
      </c>
      <c r="Y901" s="8" t="str">
        <v>2026-10-12 有记录的停售日；2026-10-13 有记录的停售日；2026-10-16 有记录的停售日</v>
      </c>
      <c r="Z901" s="8" t="n">
        <v>0</v>
      </c>
      <c r="AA901" s="8" t="n">
        <v>0</v>
      </c>
      <c r="AB901" s="8" t="n">
        <v>7</v>
      </c>
      <c r="AC901" s="8" t="str">
        <v>2026-09-29 至 2026-10-17</v>
      </c>
      <c r="AD901" s="8" t="str">
        <v>2026-09-29、2026-09-30、2026-10-01、2026-10-02、2026-10-03、2026-10-04、2026-10-05、2026-10-08、2026-10-09、2026-10-10、2026-10-11、2026-10-14、2026-10-15、2026-10-17</v>
      </c>
      <c r="AE901" s="8" t="str">
        <v>2026-10-06 大促；2026-10-07 大促；2026-10-12 有记录的停售日；2026-10-13 有记录的停售日；2026-10-16 有记录的停售日</v>
      </c>
      <c r="AF901" s="8" t="n">
        <v>0</v>
      </c>
      <c r="AG901" s="8" t="n">
        <v>0</v>
      </c>
      <c r="AH901" s="8" t="n">
        <v>14</v>
      </c>
      <c r="AI901" s="8" t="str">
        <v>2026-09-13 至 2026-10-17</v>
      </c>
      <c r="AJ9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01" s="8" t="str">
        <v>2026-10-06 大促；2026-10-07 大促；2026-10-12 有记录的停售日；2026-10-13 有记录的停售日；2026-10-16 有记录的停售日</v>
      </c>
      <c r="AL901" s="8" t="n">
        <v>0</v>
      </c>
      <c r="AM901" s="8" t="n">
        <v>0</v>
      </c>
      <c r="AN901" s="8" t="n">
        <v>30</v>
      </c>
      <c r="AO901" s="8" t="str">
        <v>B06 / 黄色羊京绒 / 13120</v>
      </c>
      <c r="AP901" s="11" t="n">
        <v>1.2247029157699902</v>
      </c>
      <c r="AQ901" s="11" t="n">
        <v>1.1929861014741694</v>
      </c>
      <c r="AR901" s="11" t="n">
        <v>1.0914922957275428</v>
      </c>
      <c r="AS901" s="11" t="n">
        <f>IF(AND(COUNT(I901:K901,AP901:AR901)=6,MIN(AP901:AR901)&gt;0),I901/7/AP901*0.5+J901/14/AQ901*0.3+K901/30/AR901*0.2,"")</f>
        <v>0</v>
      </c>
      <c r="AT901" s="8" t="n">
        <v>0</v>
      </c>
      <c r="AU901" s="8" t="n">
        <v>0</v>
      </c>
      <c r="AV901" s="8" t="n">
        <v>85</v>
      </c>
      <c r="AW901" s="11" t="n">
        <f>IF(AND(COUNT(AT901:AV901)=3,AT901&gt;=AU901,AU901&gt;=0,AV901&gt;0),(AT901-AU901)/AV901,"")</f>
        <v>0</v>
      </c>
      <c r="AX901" s="8" t="n">
        <v>0</v>
      </c>
      <c r="AY901" s="8" t="n">
        <v>0</v>
      </c>
      <c r="AZ901" s="8" t="n">
        <v>175</v>
      </c>
      <c r="BA901" s="11" t="n">
        <f>IF(AND(COUNT(AX901:AZ901)=3,AX901&gt;=AY901,AY901&gt;=0,AZ901&gt;0),(AX901-AY901)/AZ901,"")</f>
        <v>0</v>
      </c>
      <c r="BB901" s="8" t="n">
        <f>IF(COUNT(AS901,AW901,BA901)=3,1,0)</f>
        <v>1</v>
      </c>
      <c r="BC901" s="11" t="n">
        <f>IF(SUMIF($AO$11:$AO$1309,AO901,$BB$11:$BB$1309)=COUNTIF($AO$11:$AO$1309,AO901),SUMIF($AO$11:$AO$1309,AO901,$AS$11:$AS$1309),"")</f>
        <v>0.18709548187300423</v>
      </c>
      <c r="BD901" s="11" t="n">
        <f>IF(SUMIF($AO$11:$AO$1309,AO901,$BB$11:$BB$1309)=COUNTIF($AO$11:$AO$1309,AO901),SUMIF($AO$11:$AO$1309,AO901,$AW$11:$AW$1309),"")</f>
        <v>0.06858288770053475</v>
      </c>
      <c r="BE901" s="11" t="n">
        <f>IF(SUMIF($AO$11:$AO$1309,AO901,$BB$11:$BB$1309)=COUNTIF($AO$11:$AO$1309,AO901),SUMIF($AO$11:$AO$1309,AO901,$BA$11:$BA$1309),"")</f>
        <v>0.10141252006420545</v>
      </c>
      <c r="BF901" s="12" t="n">
        <f>IF(COUNT(BD901:BE901)&lt;&gt;2,"",IF(AND(BD901&gt;0,BE901&gt;0),0.7*AW901/BD901+0.3*BA901/BE901,IF(BD901&gt;0,AW901/BD901,IF(BE901&gt;0,BA901/BE901,IF(AND(ISNUMBER(BH901),BH901=0),0,"")))))</f>
        <v>0</v>
      </c>
      <c r="BG901" s="11" t="n">
        <f>IF(AND(COUNT(BN901:BU901)=8,MIN(BN901:BU901)&gt;=0),SUMPRODUCT(BN901:BQ901,BR901:BU901),"")</f>
        <v>73.80791239847399</v>
      </c>
      <c r="BH901" s="11" t="n">
        <f>IF(COUNT(BC901,BG901)=2,BC901*BG901,"")</f>
        <v>13.809126936232975</v>
      </c>
      <c r="BI901" s="11" t="n">
        <f>IF(ISNUMBER(CI901),CI901,"")</f>
        <v>0</v>
      </c>
      <c r="BJ901" s="8" t="str">
        <v>低销提醒依据不完整</v>
      </c>
      <c r="BK901" s="8" t="str">
        <v>90天：2026-07-20 至 2026-10-17；180天：2026-04-21 至 2026-10-17</v>
      </c>
      <c r="BL901" s="8" t="str">
        <v>90天：2026-10-06、2026-10-07、2026-10-12、2026-10-13、2026-10-16；180天：2026-10-06、2026-10-07、2026-10-12、2026-10-13、2026-10-16</v>
      </c>
      <c r="BM901" s="8" t="str">
        <v>2026-10：12天 × 1.2247029157699902；2026-11：30天 × 0.8332682139098497；2026-12：31天 × 0.5511018253564084；2027-01：17天 × 1.0017220238758797</v>
      </c>
      <c r="BN901" s="11" t="n">
        <v>1.2247029157699902</v>
      </c>
      <c r="BO901" s="11" t="n">
        <v>0.8332682139098497</v>
      </c>
      <c r="BP901" s="11" t="n">
        <v>0.5511018253564084</v>
      </c>
      <c r="BQ901" s="11" t="n">
        <v>1.0017220238758797</v>
      </c>
      <c r="BR901" s="8" t="n">
        <v>12</v>
      </c>
      <c r="BS901" s="8" t="n">
        <v>30</v>
      </c>
      <c r="BT901" s="8" t="n">
        <v>31</v>
      </c>
      <c r="BU901" s="8" t="n">
        <v>17</v>
      </c>
      <c r="BV901" s="11" t="n">
        <f>IF(COUNT(BC901,BF901)=2,BC901*BF901,"")</f>
        <v>0</v>
      </c>
      <c r="BW901" s="11" t="n">
        <f>IF(ISNUMBER(BN901),BN901,"")</f>
        <v>1.2247029157699902</v>
      </c>
      <c r="BX901" s="14" t="n">
        <f>IF(ISNUMBER(BR901),BR901,"")</f>
        <v>12</v>
      </c>
      <c r="BY901" s="13" t="n">
        <f>IF(AND(COUNT(BV901,BW901,BX901)=3,MIN(BV901,BW901,BX901)&gt;=0),BV901*BW901*BX901,"")</f>
        <v>0</v>
      </c>
      <c r="BZ901" s="11" t="n">
        <f>IF(ISNUMBER(BO901),BO901,"")</f>
        <v>0.8332682139098497</v>
      </c>
      <c r="CA901" s="14" t="n">
        <f>IF(ISNUMBER(BS901),BS901,"")</f>
        <v>30</v>
      </c>
      <c r="CB901" s="13" t="n">
        <f>IF(AND(COUNT(BV901,BZ901,CA901)=3,MIN(BV901,BZ901,CA901)&gt;=0),BV901*BZ901*CA901,"")</f>
        <v>0</v>
      </c>
      <c r="CC901" s="11" t="n">
        <f>IF(ISNUMBER(BP901),BP901,"")</f>
        <v>0.5511018253564084</v>
      </c>
      <c r="CD901" s="14" t="n">
        <f>IF(ISNUMBER(BT901),BT901,"")</f>
        <v>31</v>
      </c>
      <c r="CE901" s="13" t="n">
        <f>IF(AND(COUNT(BV901,CC901,CD901)=3,MIN(BV901,CC901,CD901)&gt;=0),BV901*CC901*CD901,"")</f>
        <v>0</v>
      </c>
      <c r="CF901" s="11" t="n">
        <f>IF(ISNUMBER(BQ901),BQ901,"")</f>
        <v>1.0017220238758797</v>
      </c>
      <c r="CG901" s="14" t="n">
        <f>IF(ISNUMBER(BU901),BU901,"")</f>
        <v>17</v>
      </c>
      <c r="CH901" s="13" t="n">
        <f>IF(AND(COUNT(BV901,CF901,CG901)=3,MIN(BV901,CF901,CG901)&gt;=0),BV901*CF901*CG901,"")</f>
        <v>0</v>
      </c>
      <c r="CI901" s="13" t="n">
        <f>IF(COUNT(BY901,CB901,CE901,CH901)=4,SUM(BY901,CB901,CE901,CH901),"")</f>
        <v>0</v>
      </c>
    </row>
    <row r="902" ht="72" customHeight="1">
      <c r="A902" s="16" t="str">
        <v>B06-MT-38</v>
      </c>
      <c r="B902" s="16" t="str">
        <v>1店-MUSSHOE-US</v>
      </c>
      <c r="C902" s="16" t="str">
        <v>艾年</v>
      </c>
      <c r="D902" s="26" t="n">
        <f>IF(NOT(ISNUMBER(E902)),"",IF(OR(E902&lt;=0,L902=0),0,IF(OR(NOT(ISNUMBER(F902)),F902&lt;0),"",MIN(E902,INT(F902)))))</f>
        <v>0</v>
      </c>
      <c r="E902" s="27" t="n">
        <f>IF(OR(NOT(ISNUMBER(L902)),COUNT(M902:O902)&lt;&gt;3,MIN(M902:O902)&lt;0),"",ROUNDUP(ROUND(BI902-SUM(M902:O902),10),0))</f>
        <v>0</v>
      </c>
      <c r="F902" s="28"/>
      <c r="G902" s="28" t="n">
        <f>IF(AND(ISNUMBER(D902),ISNUMBER(E902)),IF(OR(E902&lt;=0,L902=0),0,E902-D902),"")</f>
        <v>0</v>
      </c>
      <c r="H902" s="16" t="str">
        <f>IF(NOT(ISNUMBER(E902)),"销量或海外库存待补",IF(OR(E902&lt;=0,L902=0),IF(L902=0,"零日销，本批不发","本批无需补货"),IF(NOT(ISNUMBER(D902)),"国内库存待补",IF(D902=0,"国内无可用库存",IF(G902&gt;0,"先发国内现货","按建议量发货")))))</f>
        <v>零日销，本批不发</v>
      </c>
      <c r="I902" s="28" t="n">
        <f>IF(AND(COUNT(Z902,AA902,AB902)=3,Z902&gt;=AA902,AA902&gt;=0,AB902=7),Z902-AA902,"")</f>
        <v>0</v>
      </c>
      <c r="J902" s="28" t="n">
        <f>IF(AND(COUNT(AF902,AG902,AH902)=3,AF902&gt;=AG902,AG902&gt;=0,AH902=14),AF902-AG902,"")</f>
        <v>0</v>
      </c>
      <c r="K902" s="28" t="n">
        <f>IF(AND(COUNT(AL902,AM902,AN902)=3,AL902&gt;=AM902,AM902&gt;=0,AN902=30),AL902-AM902,"")</f>
        <v>0</v>
      </c>
      <c r="L902" s="29" t="n">
        <f>IF(ISNUMBER(BI902),BI902/90,"")</f>
        <v>0</v>
      </c>
      <c r="M902" s="28" t="n">
        <v>0</v>
      </c>
      <c r="N902" s="28" t="n">
        <v>0</v>
      </c>
      <c r="O902" s="28" t="n">
        <v>0</v>
      </c>
      <c r="P902" s="30" t="str">
        <f>IF(AND(ISNUMBER(L902),L902&gt;0,COUNT(M902:O902)=3,MIN(M902:O902)&gt;=0),SUM(M902:O902)/L902,"")</f>
      </c>
      <c r="Q902" s="16" t="str">
        <v>沿用原计划SKU店铺</v>
      </c>
      <c r="R902" s="16" t="str">
        <v>未匹配</v>
      </c>
      <c r="S902" s="16" t="str">
        <v>停售</v>
      </c>
      <c r="T902" s="16" t="str">
        <v>B06</v>
      </c>
      <c r="U902" s="16" t="str">
        <v>黄色羊京绒</v>
      </c>
      <c r="V902" s="16" t="n">
        <v>7</v>
      </c>
      <c r="W902" s="8" t="str">
        <v>2026-10-08 至 2026-10-17</v>
      </c>
      <c r="X902" s="8" t="str">
        <v>2026-10-08、2026-10-09、2026-10-10、2026-10-11、2026-10-14、2026-10-15、2026-10-17</v>
      </c>
      <c r="Y902" s="8" t="str">
        <v>2026-10-12 有记录的停售日；2026-10-13 有记录的停售日；2026-10-16 有记录的停售日</v>
      </c>
      <c r="Z902" s="8" t="n">
        <v>0</v>
      </c>
      <c r="AA902" s="8" t="n">
        <v>0</v>
      </c>
      <c r="AB902" s="8" t="n">
        <v>7</v>
      </c>
      <c r="AC902" s="8" t="str">
        <v>2026-09-29 至 2026-10-17</v>
      </c>
      <c r="AD902" s="8" t="str">
        <v>2026-09-29、2026-09-30、2026-10-01、2026-10-02、2026-10-03、2026-10-04、2026-10-05、2026-10-08、2026-10-09、2026-10-10、2026-10-11、2026-10-14、2026-10-15、2026-10-17</v>
      </c>
      <c r="AE902" s="8" t="str">
        <v>2026-10-06 大促；2026-10-07 大促；2026-10-12 有记录的停售日；2026-10-13 有记录的停售日；2026-10-16 有记录的停售日</v>
      </c>
      <c r="AF902" s="8" t="n">
        <v>0</v>
      </c>
      <c r="AG902" s="8" t="n">
        <v>0</v>
      </c>
      <c r="AH902" s="8" t="n">
        <v>14</v>
      </c>
      <c r="AI902" s="8" t="str">
        <v>2026-09-13 至 2026-10-17</v>
      </c>
      <c r="AJ9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02" s="8" t="str">
        <v>2026-10-06 大促；2026-10-07 大促；2026-10-12 有记录的停售日；2026-10-13 有记录的停售日；2026-10-16 有记录的停售日</v>
      </c>
      <c r="AL902" s="8" t="n">
        <v>0</v>
      </c>
      <c r="AM902" s="8" t="n">
        <v>0</v>
      </c>
      <c r="AN902" s="8" t="n">
        <v>30</v>
      </c>
      <c r="AO902" s="8" t="str">
        <v>B06 / 黄色羊京绒 / 13120</v>
      </c>
      <c r="AP902" s="11" t="n">
        <v>1.2247029157699902</v>
      </c>
      <c r="AQ902" s="11" t="n">
        <v>1.1929861014741694</v>
      </c>
      <c r="AR902" s="11" t="n">
        <v>1.0914922957275428</v>
      </c>
      <c r="AS902" s="11" t="n">
        <f>IF(AND(COUNT(I902:K902,AP902:AR902)=6,MIN(AP902:AR902)&gt;0),I902/7/AP902*0.5+J902/14/AQ902*0.3+K902/30/AR902*0.2,"")</f>
        <v>0</v>
      </c>
      <c r="AT902" s="8" t="n">
        <v>0</v>
      </c>
      <c r="AU902" s="8" t="n">
        <v>0</v>
      </c>
      <c r="AV902" s="8" t="n">
        <v>85</v>
      </c>
      <c r="AW902" s="11" t="n">
        <f>IF(AND(COUNT(AT902:AV902)=3,AT902&gt;=AU902,AU902&gt;=0,AV902&gt;0),(AT902-AU902)/AV902,"")</f>
        <v>0</v>
      </c>
      <c r="AX902" s="8" t="n">
        <v>0</v>
      </c>
      <c r="AY902" s="8" t="n">
        <v>0</v>
      </c>
      <c r="AZ902" s="8" t="n">
        <v>175</v>
      </c>
      <c r="BA902" s="11" t="n">
        <f>IF(AND(COUNT(AX902:AZ902)=3,AX902&gt;=AY902,AY902&gt;=0,AZ902&gt;0),(AX902-AY902)/AZ902,"")</f>
        <v>0</v>
      </c>
      <c r="BB902" s="8" t="n">
        <f>IF(COUNT(AS902,AW902,BA902)=3,1,0)</f>
        <v>1</v>
      </c>
      <c r="BC902" s="11" t="n">
        <f>IF(SUMIF($AO$11:$AO$1309,AO902,$BB$11:$BB$1309)=COUNTIF($AO$11:$AO$1309,AO902),SUMIF($AO$11:$AO$1309,AO902,$AS$11:$AS$1309),"")</f>
        <v>0.18709548187300423</v>
      </c>
      <c r="BD902" s="11" t="n">
        <f>IF(SUMIF($AO$11:$AO$1309,AO902,$BB$11:$BB$1309)=COUNTIF($AO$11:$AO$1309,AO902),SUMIF($AO$11:$AO$1309,AO902,$AW$11:$AW$1309),"")</f>
        <v>0.06858288770053475</v>
      </c>
      <c r="BE902" s="11" t="n">
        <f>IF(SUMIF($AO$11:$AO$1309,AO902,$BB$11:$BB$1309)=COUNTIF($AO$11:$AO$1309,AO902),SUMIF($AO$11:$AO$1309,AO902,$BA$11:$BA$1309),"")</f>
        <v>0.10141252006420545</v>
      </c>
      <c r="BF902" s="12" t="n">
        <f>IF(COUNT(BD902:BE902)&lt;&gt;2,"",IF(AND(BD902&gt;0,BE902&gt;0),0.7*AW902/BD902+0.3*BA902/BE902,IF(BD902&gt;0,AW902/BD902,IF(BE902&gt;0,BA902/BE902,IF(AND(ISNUMBER(BH902),BH902=0),0,"")))))</f>
        <v>0</v>
      </c>
      <c r="BG902" s="11" t="n">
        <f>IF(AND(COUNT(BN902:BU902)=8,MIN(BN902:BU902)&gt;=0),SUMPRODUCT(BN902:BQ902,BR902:BU902),"")</f>
        <v>73.80791239847399</v>
      </c>
      <c r="BH902" s="11" t="n">
        <f>IF(COUNT(BC902,BG902)=2,BC902*BG902,"")</f>
        <v>13.809126936232975</v>
      </c>
      <c r="BI902" s="11" t="n">
        <f>IF(ISNUMBER(CI902),CI902,"")</f>
        <v>0</v>
      </c>
      <c r="BJ902" s="8" t="str">
        <v>低销提醒依据不完整</v>
      </c>
      <c r="BK902" s="8" t="str">
        <v>90天：2026-07-20 至 2026-10-17；180天：2026-04-21 至 2026-10-17</v>
      </c>
      <c r="BL902" s="8" t="str">
        <v>90天：2026-10-06、2026-10-07、2026-10-12、2026-10-13、2026-10-16；180天：2026-10-06、2026-10-07、2026-10-12、2026-10-13、2026-10-16</v>
      </c>
      <c r="BM902" s="8" t="str">
        <v>2026-10：12天 × 1.2247029157699902；2026-11：30天 × 0.8332682139098497；2026-12：31天 × 0.5511018253564084；2027-01：17天 × 1.0017220238758797</v>
      </c>
      <c r="BN902" s="11" t="n">
        <v>1.2247029157699902</v>
      </c>
      <c r="BO902" s="11" t="n">
        <v>0.8332682139098497</v>
      </c>
      <c r="BP902" s="11" t="n">
        <v>0.5511018253564084</v>
      </c>
      <c r="BQ902" s="11" t="n">
        <v>1.0017220238758797</v>
      </c>
      <c r="BR902" s="8" t="n">
        <v>12</v>
      </c>
      <c r="BS902" s="8" t="n">
        <v>30</v>
      </c>
      <c r="BT902" s="8" t="n">
        <v>31</v>
      </c>
      <c r="BU902" s="8" t="n">
        <v>17</v>
      </c>
      <c r="BV902" s="11" t="n">
        <f>IF(COUNT(BC902,BF902)=2,BC902*BF902,"")</f>
        <v>0</v>
      </c>
      <c r="BW902" s="11" t="n">
        <f>IF(ISNUMBER(BN902),BN902,"")</f>
        <v>1.2247029157699902</v>
      </c>
      <c r="BX902" s="14" t="n">
        <f>IF(ISNUMBER(BR902),BR902,"")</f>
        <v>12</v>
      </c>
      <c r="BY902" s="13" t="n">
        <f>IF(AND(COUNT(BV902,BW902,BX902)=3,MIN(BV902,BW902,BX902)&gt;=0),BV902*BW902*BX902,"")</f>
        <v>0</v>
      </c>
      <c r="BZ902" s="11" t="n">
        <f>IF(ISNUMBER(BO902),BO902,"")</f>
        <v>0.8332682139098497</v>
      </c>
      <c r="CA902" s="14" t="n">
        <f>IF(ISNUMBER(BS902),BS902,"")</f>
        <v>30</v>
      </c>
      <c r="CB902" s="13" t="n">
        <f>IF(AND(COUNT(BV902,BZ902,CA902)=3,MIN(BV902,BZ902,CA902)&gt;=0),BV902*BZ902*CA902,"")</f>
        <v>0</v>
      </c>
      <c r="CC902" s="11" t="n">
        <f>IF(ISNUMBER(BP902),BP902,"")</f>
        <v>0.5511018253564084</v>
      </c>
      <c r="CD902" s="14" t="n">
        <f>IF(ISNUMBER(BT902),BT902,"")</f>
        <v>31</v>
      </c>
      <c r="CE902" s="13" t="n">
        <f>IF(AND(COUNT(BV902,CC902,CD902)=3,MIN(BV902,CC902,CD902)&gt;=0),BV902*CC902*CD902,"")</f>
        <v>0</v>
      </c>
      <c r="CF902" s="11" t="n">
        <f>IF(ISNUMBER(BQ902),BQ902,"")</f>
        <v>1.0017220238758797</v>
      </c>
      <c r="CG902" s="14" t="n">
        <f>IF(ISNUMBER(BU902),BU902,"")</f>
        <v>17</v>
      </c>
      <c r="CH902" s="13" t="n">
        <f>IF(AND(COUNT(BV902,CF902,CG902)=3,MIN(BV902,CF902,CG902)&gt;=0),BV902*CF902*CG902,"")</f>
        <v>0</v>
      </c>
      <c r="CI902" s="13" t="n">
        <f>IF(COUNT(BY902,CB902,CE902,CH902)=4,SUM(BY902,CB902,CE902,CH902),"")</f>
        <v>0</v>
      </c>
    </row>
    <row r="903" ht="72" customHeight="1">
      <c r="A903" s="16" t="str">
        <v>B06-MT-40.5</v>
      </c>
      <c r="B903" s="16" t="str">
        <v>1店-MUSSHOE-US</v>
      </c>
      <c r="C903" s="16" t="str">
        <v>艾年</v>
      </c>
      <c r="D903" s="26" t="n">
        <f>IF(NOT(ISNUMBER(E903)),"",IF(OR(E903&lt;=0,L903=0),0,IF(OR(NOT(ISNUMBER(F903)),F903&lt;0),"",MIN(E903,INT(F903)))))</f>
        <v>0</v>
      </c>
      <c r="E903" s="27" t="n">
        <f>IF(OR(NOT(ISNUMBER(L903)),COUNT(M903:O903)&lt;&gt;3,MIN(M903:O903)&lt;0),"",ROUNDUP(ROUND(BI903-SUM(M903:O903),10),0))</f>
        <v>0</v>
      </c>
      <c r="F903" s="28"/>
      <c r="G903" s="28" t="n">
        <f>IF(AND(ISNUMBER(D903),ISNUMBER(E903)),IF(OR(E903&lt;=0,L903=0),0,E903-D903),"")</f>
        <v>0</v>
      </c>
      <c r="H903" s="16" t="str">
        <f>IF(NOT(ISNUMBER(E903)),"销量或海外库存待补",IF(OR(E903&lt;=0,L903=0),IF(L903=0,"零日销，本批不发","本批无需补货"),IF(NOT(ISNUMBER(D903)),"国内库存待补",IF(D903=0,"国内无可用库存",IF(G903&gt;0,"先发国内现货","按建议量发货")))))</f>
        <v>零日销，本批不发</v>
      </c>
      <c r="I903" s="28" t="n">
        <f>IF(AND(COUNT(Z903,AA903,AB903)=3,Z903&gt;=AA903,AA903&gt;=0,AB903=7),Z903-AA903,"")</f>
        <v>0</v>
      </c>
      <c r="J903" s="28" t="n">
        <f>IF(AND(COUNT(AF903,AG903,AH903)=3,AF903&gt;=AG903,AG903&gt;=0,AH903=14),AF903-AG903,"")</f>
        <v>0</v>
      </c>
      <c r="K903" s="28" t="n">
        <f>IF(AND(COUNT(AL903,AM903,AN903)=3,AL903&gt;=AM903,AM903&gt;=0,AN903=30),AL903-AM903,"")</f>
        <v>0</v>
      </c>
      <c r="L903" s="29" t="n">
        <f>IF(ISNUMBER(BI903),BI903/90,"")</f>
        <v>0</v>
      </c>
      <c r="M903" s="28" t="n">
        <v>0</v>
      </c>
      <c r="N903" s="28" t="n">
        <v>0</v>
      </c>
      <c r="O903" s="28" t="n">
        <v>0</v>
      </c>
      <c r="P903" s="30" t="str">
        <f>IF(AND(ISNUMBER(L903),L903&gt;0,COUNT(M903:O903)=3,MIN(M903:O903)&gt;=0),SUM(M903:O903)/L903,"")</f>
      </c>
      <c r="Q903" s="16" t="str">
        <v>沿用原计划SKU店铺</v>
      </c>
      <c r="R903" s="16" t="str">
        <v>未匹配</v>
      </c>
      <c r="S903" s="16" t="str">
        <v>停售</v>
      </c>
      <c r="T903" s="16" t="str">
        <v>B06</v>
      </c>
      <c r="U903" s="16" t="str">
        <v>黄色羊京绒</v>
      </c>
      <c r="V903" s="16" t="n">
        <v>9.5</v>
      </c>
      <c r="W903" s="8" t="str">
        <v>2026-10-08 至 2026-10-17</v>
      </c>
      <c r="X903" s="8" t="str">
        <v>2026-10-08、2026-10-09、2026-10-10、2026-10-11、2026-10-14、2026-10-15、2026-10-17</v>
      </c>
      <c r="Y903" s="8" t="str">
        <v>2026-10-12 有记录的停售日；2026-10-13 有记录的停售日；2026-10-16 有记录的停售日</v>
      </c>
      <c r="Z903" s="8" t="n">
        <v>0</v>
      </c>
      <c r="AA903" s="8" t="n">
        <v>0</v>
      </c>
      <c r="AB903" s="8" t="n">
        <v>7</v>
      </c>
      <c r="AC903" s="8" t="str">
        <v>2026-09-29 至 2026-10-17</v>
      </c>
      <c r="AD903" s="8" t="str">
        <v>2026-09-29、2026-09-30、2026-10-01、2026-10-02、2026-10-03、2026-10-04、2026-10-05、2026-10-08、2026-10-09、2026-10-10、2026-10-11、2026-10-14、2026-10-15、2026-10-17</v>
      </c>
      <c r="AE903" s="8" t="str">
        <v>2026-10-06 大促；2026-10-07 大促；2026-10-12 有记录的停售日；2026-10-13 有记录的停售日；2026-10-16 有记录的停售日</v>
      </c>
      <c r="AF903" s="8" t="n">
        <v>0</v>
      </c>
      <c r="AG903" s="8" t="n">
        <v>0</v>
      </c>
      <c r="AH903" s="8" t="n">
        <v>14</v>
      </c>
      <c r="AI903" s="8" t="str">
        <v>2026-09-13 至 2026-10-17</v>
      </c>
      <c r="AJ90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03" s="8" t="str">
        <v>2026-10-06 大促；2026-10-07 大促；2026-10-12 有记录的停售日；2026-10-13 有记录的停售日；2026-10-16 有记录的停售日</v>
      </c>
      <c r="AL903" s="8" t="n">
        <v>0</v>
      </c>
      <c r="AM903" s="8" t="n">
        <v>0</v>
      </c>
      <c r="AN903" s="8" t="n">
        <v>30</v>
      </c>
      <c r="AO903" s="8" t="str">
        <v>B06 / 黄色羊京绒 / 13120</v>
      </c>
      <c r="AP903" s="11" t="n">
        <v>1.2247029157699902</v>
      </c>
      <c r="AQ903" s="11" t="n">
        <v>1.1929861014741694</v>
      </c>
      <c r="AR903" s="11" t="n">
        <v>1.0914922957275428</v>
      </c>
      <c r="AS903" s="11" t="n">
        <f>IF(AND(COUNT(I903:K903,AP903:AR903)=6,MIN(AP903:AR903)&gt;0),I903/7/AP903*0.5+J903/14/AQ903*0.3+K903/30/AR903*0.2,"")</f>
        <v>0</v>
      </c>
      <c r="AT903" s="8" t="n">
        <v>0</v>
      </c>
      <c r="AU903" s="8" t="n">
        <v>0</v>
      </c>
      <c r="AV903" s="8" t="n">
        <v>85</v>
      </c>
      <c r="AW903" s="11" t="n">
        <f>IF(AND(COUNT(AT903:AV903)=3,AT903&gt;=AU903,AU903&gt;=0,AV903&gt;0),(AT903-AU903)/AV903,"")</f>
        <v>0</v>
      </c>
      <c r="AX903" s="8" t="n">
        <v>0</v>
      </c>
      <c r="AY903" s="8" t="n">
        <v>0</v>
      </c>
      <c r="AZ903" s="8" t="n">
        <v>175</v>
      </c>
      <c r="BA903" s="11" t="n">
        <f>IF(AND(COUNT(AX903:AZ903)=3,AX903&gt;=AY903,AY903&gt;=0,AZ903&gt;0),(AX903-AY903)/AZ903,"")</f>
        <v>0</v>
      </c>
      <c r="BB903" s="8" t="n">
        <f>IF(COUNT(AS903,AW903,BA903)=3,1,0)</f>
        <v>1</v>
      </c>
      <c r="BC903" s="11" t="n">
        <f>IF(SUMIF($AO$11:$AO$1309,AO903,$BB$11:$BB$1309)=COUNTIF($AO$11:$AO$1309,AO903),SUMIF($AO$11:$AO$1309,AO903,$AS$11:$AS$1309),"")</f>
        <v>0.18709548187300423</v>
      </c>
      <c r="BD903" s="11" t="n">
        <f>IF(SUMIF($AO$11:$AO$1309,AO903,$BB$11:$BB$1309)=COUNTIF($AO$11:$AO$1309,AO903),SUMIF($AO$11:$AO$1309,AO903,$AW$11:$AW$1309),"")</f>
        <v>0.06858288770053475</v>
      </c>
      <c r="BE903" s="11" t="n">
        <f>IF(SUMIF($AO$11:$AO$1309,AO903,$BB$11:$BB$1309)=COUNTIF($AO$11:$AO$1309,AO903),SUMIF($AO$11:$AO$1309,AO903,$BA$11:$BA$1309),"")</f>
        <v>0.10141252006420545</v>
      </c>
      <c r="BF903" s="12" t="n">
        <f>IF(COUNT(BD903:BE903)&lt;&gt;2,"",IF(AND(BD903&gt;0,BE903&gt;0),0.7*AW903/BD903+0.3*BA903/BE903,IF(BD903&gt;0,AW903/BD903,IF(BE903&gt;0,BA903/BE903,IF(AND(ISNUMBER(BH903),BH903=0),0,"")))))</f>
        <v>0</v>
      </c>
      <c r="BG903" s="11" t="n">
        <f>IF(AND(COUNT(BN903:BU903)=8,MIN(BN903:BU903)&gt;=0),SUMPRODUCT(BN903:BQ903,BR903:BU903),"")</f>
        <v>73.80791239847399</v>
      </c>
      <c r="BH903" s="11" t="n">
        <f>IF(COUNT(BC903,BG903)=2,BC903*BG903,"")</f>
        <v>13.809126936232975</v>
      </c>
      <c r="BI903" s="11" t="n">
        <f>IF(ISNUMBER(CI903),CI903,"")</f>
        <v>0</v>
      </c>
      <c r="BJ903" s="8" t="str">
        <v>低销提醒依据不完整</v>
      </c>
      <c r="BK903" s="8" t="str">
        <v>90天：2026-07-20 至 2026-10-17；180天：2026-04-21 至 2026-10-17</v>
      </c>
      <c r="BL903" s="8" t="str">
        <v>90天：2026-10-06、2026-10-07、2026-10-12、2026-10-13、2026-10-16；180天：2026-10-06、2026-10-07、2026-10-12、2026-10-13、2026-10-16</v>
      </c>
      <c r="BM903" s="8" t="str">
        <v>2026-10：12天 × 1.2247029157699902；2026-11：30天 × 0.8332682139098497；2026-12：31天 × 0.5511018253564084；2027-01：17天 × 1.0017220238758797</v>
      </c>
      <c r="BN903" s="11" t="n">
        <v>1.2247029157699902</v>
      </c>
      <c r="BO903" s="11" t="n">
        <v>0.8332682139098497</v>
      </c>
      <c r="BP903" s="11" t="n">
        <v>0.5511018253564084</v>
      </c>
      <c r="BQ903" s="11" t="n">
        <v>1.0017220238758797</v>
      </c>
      <c r="BR903" s="8" t="n">
        <v>12</v>
      </c>
      <c r="BS903" s="8" t="n">
        <v>30</v>
      </c>
      <c r="BT903" s="8" t="n">
        <v>31</v>
      </c>
      <c r="BU903" s="8" t="n">
        <v>17</v>
      </c>
      <c r="BV903" s="11" t="n">
        <f>IF(COUNT(BC903,BF903)=2,BC903*BF903,"")</f>
        <v>0</v>
      </c>
      <c r="BW903" s="11" t="n">
        <f>IF(ISNUMBER(BN903),BN903,"")</f>
        <v>1.2247029157699902</v>
      </c>
      <c r="BX903" s="14" t="n">
        <f>IF(ISNUMBER(BR903),BR903,"")</f>
        <v>12</v>
      </c>
      <c r="BY903" s="13" t="n">
        <f>IF(AND(COUNT(BV903,BW903,BX903)=3,MIN(BV903,BW903,BX903)&gt;=0),BV903*BW903*BX903,"")</f>
        <v>0</v>
      </c>
      <c r="BZ903" s="11" t="n">
        <f>IF(ISNUMBER(BO903),BO903,"")</f>
        <v>0.8332682139098497</v>
      </c>
      <c r="CA903" s="14" t="n">
        <f>IF(ISNUMBER(BS903),BS903,"")</f>
        <v>30</v>
      </c>
      <c r="CB903" s="13" t="n">
        <f>IF(AND(COUNT(BV903,BZ903,CA903)=3,MIN(BV903,BZ903,CA903)&gt;=0),BV903*BZ903*CA903,"")</f>
        <v>0</v>
      </c>
      <c r="CC903" s="11" t="n">
        <f>IF(ISNUMBER(BP903),BP903,"")</f>
        <v>0.5511018253564084</v>
      </c>
      <c r="CD903" s="14" t="n">
        <f>IF(ISNUMBER(BT903),BT903,"")</f>
        <v>31</v>
      </c>
      <c r="CE903" s="13" t="n">
        <f>IF(AND(COUNT(BV903,CC903,CD903)=3,MIN(BV903,CC903,CD903)&gt;=0),BV903*CC903*CD903,"")</f>
        <v>0</v>
      </c>
      <c r="CF903" s="11" t="n">
        <f>IF(ISNUMBER(BQ903),BQ903,"")</f>
        <v>1.0017220238758797</v>
      </c>
      <c r="CG903" s="14" t="n">
        <f>IF(ISNUMBER(BU903),BU903,"")</f>
        <v>17</v>
      </c>
      <c r="CH903" s="13" t="n">
        <f>IF(AND(COUNT(BV903,CF903,CG903)=3,MIN(BV903,CF903,CG903)&gt;=0),BV903*CF903*CG903,"")</f>
        <v>0</v>
      </c>
      <c r="CI903" s="13" t="n">
        <f>IF(COUNT(BY903,CB903,CE903,CH903)=4,SUM(BY903,CB903,CE903,CH903),"")</f>
        <v>0</v>
      </c>
    </row>
    <row r="904" ht="72" customHeight="1">
      <c r="A904" s="16" t="str">
        <v>B06-MT-41</v>
      </c>
      <c r="B904" s="16" t="str">
        <v>1店-MUSSHOE-US</v>
      </c>
      <c r="C904" s="16" t="str">
        <v>艾年</v>
      </c>
      <c r="D904" s="26" t="n">
        <f>IF(NOT(ISNUMBER(E904)),"",IF(OR(E904&lt;=0,L904=0),0,IF(OR(NOT(ISNUMBER(F904)),F904&lt;0),"",MIN(E904,INT(F904)))))</f>
        <v>0</v>
      </c>
      <c r="E904" s="27" t="n">
        <f>IF(OR(NOT(ISNUMBER(L904)),COUNT(M904:O904)&lt;&gt;3,MIN(M904:O904)&lt;0),"",ROUNDUP(ROUND(BI904-SUM(M904:O904),10),0))</f>
        <v>-4</v>
      </c>
      <c r="F904" s="28"/>
      <c r="G904" s="28" t="n">
        <f>IF(AND(ISNUMBER(D904),ISNUMBER(E904)),IF(OR(E904&lt;=0,L904=0),0,E904-D904),"")</f>
        <v>0</v>
      </c>
      <c r="H904" s="16" t="str">
        <f>IF(NOT(ISNUMBER(E904)),"销量或海外库存待补",IF(OR(E904&lt;=0,L904=0),IF(L904=0,"零日销，本批不发","本批无需补货"),IF(NOT(ISNUMBER(D904)),"国内库存待补",IF(D904=0,"国内无可用库存",IF(G904&gt;0,"先发国内现货","按建议量发货")))))</f>
        <v>本批无需补货</v>
      </c>
      <c r="I904" s="28" t="n">
        <f>IF(AND(COUNT(Z904,AA904,AB904)=3,Z904&gt;=AA904,AA904&gt;=0,AB904=7),Z904-AA904,"")</f>
        <v>2</v>
      </c>
      <c r="J904" s="28" t="n">
        <f>IF(AND(COUNT(AF904,AG904,AH904)=3,AF904&gt;=AG904,AG904&gt;=0,AH904=14),AF904-AG904,"")</f>
        <v>3</v>
      </c>
      <c r="K904" s="28" t="n">
        <f>IF(AND(COUNT(AL904,AM904,AN904)=3,AL904&gt;=AM904,AM904&gt;=0,AN904=30),AL904-AM904,"")</f>
        <v>3</v>
      </c>
      <c r="L904" s="29" t="n">
        <f>IF(ISNUMBER(BI904),BI904/90,"")</f>
        <v>0.12722958957259686</v>
      </c>
      <c r="M904" s="28" t="n">
        <v>15</v>
      </c>
      <c r="N904" s="28" t="n">
        <v>0</v>
      </c>
      <c r="O904" s="28" t="n">
        <v>0</v>
      </c>
      <c r="P904" s="30" t="n">
        <f>IF(AND(ISNUMBER(L904),L904&gt;0,COUNT(M904:O904)=3,MIN(M904:O904)&gt;=0),SUM(M904:O904)/L904,"")</f>
        <v>117.89710279180804</v>
      </c>
      <c r="Q904" s="16" t="str">
        <v>沿用原计划SKU店铺</v>
      </c>
      <c r="R904" s="16" t="str">
        <v>未匹配</v>
      </c>
      <c r="S904" s="16" t="str">
        <v>在售</v>
      </c>
      <c r="T904" s="16" t="str">
        <v>B06</v>
      </c>
      <c r="U904" s="16" t="str">
        <v>黄色羊京绒</v>
      </c>
      <c r="V904" s="16" t="n">
        <v>10</v>
      </c>
      <c r="W904" s="8" t="str">
        <v>2026-10-11 至 2026-10-17</v>
      </c>
      <c r="X904" s="8" t="str">
        <v>2026-10-11、2026-10-12、2026-10-13、2026-10-14、2026-10-15、2026-10-16、2026-10-17</v>
      </c>
      <c r="Y904" s="8" t="str">
        <v>无</v>
      </c>
      <c r="Z904" s="8" t="n">
        <v>2</v>
      </c>
      <c r="AA904" s="8" t="n">
        <v>0</v>
      </c>
      <c r="AB904" s="8" t="n">
        <v>7</v>
      </c>
      <c r="AC904" s="8" t="str">
        <v>2026-10-02 至 2026-10-17</v>
      </c>
      <c r="AD904" s="8" t="str">
        <v>2026-10-02、2026-10-03、2026-10-04、2026-10-05、2026-10-08、2026-10-09、2026-10-10、2026-10-11、2026-10-12、2026-10-13、2026-10-14、2026-10-15、2026-10-16、2026-10-17</v>
      </c>
      <c r="AE904" s="8" t="str">
        <v>2026-10-06 大促；2026-10-07 大促</v>
      </c>
      <c r="AF904" s="8" t="n">
        <v>3</v>
      </c>
      <c r="AG904" s="8" t="n">
        <v>0</v>
      </c>
      <c r="AH904" s="8" t="n">
        <v>14</v>
      </c>
      <c r="AI904" s="8" t="str">
        <v>2026-09-16 至 2026-10-17</v>
      </c>
      <c r="AJ9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4" s="8" t="str">
        <v>2026-10-06 大促；2026-10-07 大促</v>
      </c>
      <c r="AL904" s="8" t="n">
        <v>3</v>
      </c>
      <c r="AM904" s="8" t="n">
        <v>0</v>
      </c>
      <c r="AN904" s="8" t="n">
        <v>30</v>
      </c>
      <c r="AO904" s="8" t="str">
        <v>B06 / 黄色羊京绒 / 13120</v>
      </c>
      <c r="AP904" s="11" t="n">
        <v>1.2247029157699902</v>
      </c>
      <c r="AQ904" s="11" t="n">
        <v>1.2247029157699902</v>
      </c>
      <c r="AR904" s="11" t="n">
        <v>1.1136940657346173</v>
      </c>
      <c r="AS904" s="11" t="n">
        <f>IF(AND(COUNT(I904:K904,AP904:AR904)=6,MIN(AP904:AR904)&gt;0),I904/7/AP904*0.5+J904/14/AQ904*0.3+K904/30/AR904*0.2,"")</f>
        <v>0.18709548187300423</v>
      </c>
      <c r="AT904" s="8" t="n">
        <v>5</v>
      </c>
      <c r="AU904" s="8" t="n">
        <v>0</v>
      </c>
      <c r="AV904" s="8" t="n">
        <v>88</v>
      </c>
      <c r="AW904" s="11" t="n">
        <f>IF(AND(COUNT(AT904:AV904)=3,AT904&gt;=AU904,AU904&gt;=0,AV904&gt;0),(AT904-AU904)/AV904,"")</f>
        <v>0.056818181818181816</v>
      </c>
      <c r="AX904" s="8" t="n">
        <v>15</v>
      </c>
      <c r="AY904" s="8" t="n">
        <v>0</v>
      </c>
      <c r="AZ904" s="8" t="n">
        <v>178</v>
      </c>
      <c r="BA904" s="11" t="n">
        <f>IF(AND(COUNT(AX904:AZ904)=3,AX904&gt;=AY904,AY904&gt;=0,AZ904&gt;0),(AX904-AY904)/AZ904,"")</f>
        <v>0.08426966292134831</v>
      </c>
      <c r="BB904" s="8" t="n">
        <f>IF(COUNT(AS904,AW904,BA904)=3,1,0)</f>
        <v>1</v>
      </c>
      <c r="BC904" s="11" t="n">
        <f>IF(SUMIF($AO$11:$AO$1309,AO904,$BB$11:$BB$1309)=COUNTIF($AO$11:$AO$1309,AO904),SUMIF($AO$11:$AO$1309,AO904,$AS$11:$AS$1309),"")</f>
        <v>0.18709548187300423</v>
      </c>
      <c r="BD904" s="11" t="n">
        <f>IF(SUMIF($AO$11:$AO$1309,AO904,$BB$11:$BB$1309)=COUNTIF($AO$11:$AO$1309,AO904),SUMIF($AO$11:$AO$1309,AO904,$AW$11:$AW$1309),"")</f>
        <v>0.06858288770053475</v>
      </c>
      <c r="BE904" s="11" t="n">
        <f>IF(SUMIF($AO$11:$AO$1309,AO904,$BB$11:$BB$1309)=COUNTIF($AO$11:$AO$1309,AO904),SUMIF($AO$11:$AO$1309,AO904,$BA$11:$BA$1309),"")</f>
        <v>0.10141252006420545</v>
      </c>
      <c r="BF904" s="12" t="n">
        <f>IF(COUNT(BD904:BE904)&lt;&gt;2,"",IF(AND(BD904&gt;0,BE904&gt;0),0.7*AW904/BD904+0.3*BA904/BE904,IF(BD904&gt;0,AW904/BD904,IF(BE904&gt;0,BA904/BE904,IF(AND(ISNUMBER(BH904),BH904=0),0,"")))))</f>
        <v>0.8292097765781977</v>
      </c>
      <c r="BG904" s="11" t="n">
        <f>IF(AND(COUNT(BN904:BU904)=8,MIN(BN904:BU904)&gt;=0),SUMPRODUCT(BN904:BQ904,BR904:BU904),"")</f>
        <v>73.80791239847399</v>
      </c>
      <c r="BH904" s="11" t="n">
        <f>IF(COUNT(BC904,BG904)=2,BC904*BG904,"")</f>
        <v>13.809126936232975</v>
      </c>
      <c r="BI904" s="11" t="n">
        <f>IF(ISNUMBER(CI904),CI904,"")</f>
        <v>11.450663061533717</v>
      </c>
      <c r="BJ904" s="8" t="str">
        <v>低销提醒依据不完整</v>
      </c>
      <c r="BK904" s="8" t="str">
        <v>90天：2026-07-20 至 2026-10-17；180天：2026-04-21 至 2026-10-17</v>
      </c>
      <c r="BL904" s="8" t="str">
        <v>90天：2026-10-06、2026-10-07；180天：2026-10-06、2026-10-07</v>
      </c>
      <c r="BM904" s="8" t="str">
        <v>2026-10：12天 × 1.2247029157699902；2026-11：30天 × 0.8332682139098497；2026-12：31天 × 0.5511018253564084；2027-01：17天 × 1.0017220238758797</v>
      </c>
      <c r="BN904" s="11" t="n">
        <v>1.2247029157699902</v>
      </c>
      <c r="BO904" s="11" t="n">
        <v>0.8332682139098497</v>
      </c>
      <c r="BP904" s="11" t="n">
        <v>0.5511018253564084</v>
      </c>
      <c r="BQ904" s="11" t="n">
        <v>1.0017220238758797</v>
      </c>
      <c r="BR904" s="8" t="n">
        <v>12</v>
      </c>
      <c r="BS904" s="8" t="n">
        <v>30</v>
      </c>
      <c r="BT904" s="8" t="n">
        <v>31</v>
      </c>
      <c r="BU904" s="8" t="n">
        <v>17</v>
      </c>
      <c r="BV904" s="11" t="n">
        <f>IF(COUNT(BC904,BF904)=2,BC904*BF904,"")</f>
        <v>0.15514140272270407</v>
      </c>
      <c r="BW904" s="11" t="n">
        <f>IF(ISNUMBER(BN904),BN904,"")</f>
        <v>1.2247029157699902</v>
      </c>
      <c r="BX904" s="14" t="n">
        <f>IF(ISNUMBER(BR904),BR904,"")</f>
        <v>12</v>
      </c>
      <c r="BY904" s="13" t="n">
        <f>IF(AND(COUNT(BV904,BW904,BX904)=3,MIN(BV904,BW904,BX904)&gt;=0),BV904*BW904*BX904,"")</f>
        <v>2.280025539253704</v>
      </c>
      <c r="BZ904" s="11" t="n">
        <f>IF(ISNUMBER(BO904),BO904,"")</f>
        <v>0.8332682139098497</v>
      </c>
      <c r="CA904" s="14" t="n">
        <f>IF(ISNUMBER(BS904),BS904,"")</f>
        <v>30</v>
      </c>
      <c r="CB904" s="13" t="n">
        <f>IF(AND(COUNT(BV904,BZ904,CA904)=3,MIN(BV904,BZ904,CA904)&gt;=0),BV904*BZ904*CA904,"")</f>
        <v>3.87823198650649</v>
      </c>
      <c r="CC904" s="11" t="n">
        <f>IF(ISNUMBER(BP904),BP904,"")</f>
        <v>0.5511018253564084</v>
      </c>
      <c r="CD904" s="14" t="n">
        <f>IF(ISNUMBER(BT904),BT904,"")</f>
        <v>31</v>
      </c>
      <c r="CE904" s="13" t="n">
        <f>IF(AND(COUNT(BV904,CC904,CD904)=3,MIN(BV904,CC904,CD904)&gt;=0),BV904*CC904*CD904,"")</f>
        <v>2.6504600170939123</v>
      </c>
      <c r="CF904" s="11" t="n">
        <f>IF(ISNUMBER(BQ904),BQ904,"")</f>
        <v>1.0017220238758797</v>
      </c>
      <c r="CG904" s="14" t="n">
        <f>IF(ISNUMBER(BU904),BU904,"")</f>
        <v>17</v>
      </c>
      <c r="CH904" s="13" t="n">
        <f>IF(AND(COUNT(BV904,CF904,CG904)=3,MIN(BV904,CF904,CG904)&gt;=0),BV904*CF904*CG904,"")</f>
        <v>2.641945518679611</v>
      </c>
      <c r="CI904" s="13" t="n">
        <f>IF(COUNT(BY904,CB904,CE904,CH904)=4,SUM(BY904,CB904,CE904,CH904),"")</f>
        <v>11.450663061533717</v>
      </c>
    </row>
    <row r="905" ht="72" customHeight="1">
      <c r="A905" s="16" t="str">
        <v>B06-MT-41.5</v>
      </c>
      <c r="B905" s="16" t="str">
        <v>1店-MUSSHOE-US</v>
      </c>
      <c r="C905" s="16" t="str">
        <v>艾年</v>
      </c>
      <c r="D905" s="26" t="n">
        <f>IF(NOT(ISNUMBER(E905)),"",IF(OR(E905&lt;=0,L905=0),0,IF(OR(NOT(ISNUMBER(F905)),F905&lt;0),"",MIN(E905,INT(F905)))))</f>
        <v>0</v>
      </c>
      <c r="E905" s="27" t="n">
        <f>IF(OR(NOT(ISNUMBER(L905)),COUNT(M905:O905)&lt;&gt;3,MIN(M905:O905)&lt;0),"",ROUNDUP(ROUND(BI905-SUM(M905:O905),10),0))</f>
        <v>0</v>
      </c>
      <c r="F905" s="28"/>
      <c r="G905" s="28" t="n">
        <f>IF(AND(ISNUMBER(D905),ISNUMBER(E905)),IF(OR(E905&lt;=0,L905=0),0,E905-D905),"")</f>
        <v>0</v>
      </c>
      <c r="H905" s="16" t="str">
        <f>IF(NOT(ISNUMBER(E905)),"销量或海外库存待补",IF(OR(E905&lt;=0,L905=0),IF(L905=0,"零日销，本批不发","本批无需补货"),IF(NOT(ISNUMBER(D905)),"国内库存待补",IF(D905=0,"国内无可用库存",IF(G905&gt;0,"先发国内现货","按建议量发货")))))</f>
        <v>零日销，本批不发</v>
      </c>
      <c r="I905" s="28" t="n">
        <f>IF(AND(COUNT(Z905,AA905,AB905)=3,Z905&gt;=AA905,AA905&gt;=0,AB905=7),Z905-AA905,"")</f>
        <v>0</v>
      </c>
      <c r="J905" s="28" t="n">
        <f>IF(AND(COUNT(AF905,AG905,AH905)=3,AF905&gt;=AG905,AG905&gt;=0,AH905=14),AF905-AG905,"")</f>
        <v>0</v>
      </c>
      <c r="K905" s="28" t="n">
        <f>IF(AND(COUNT(AL905,AM905,AN905)=3,AL905&gt;=AM905,AM905&gt;=0,AN905=30),AL905-AM905,"")</f>
        <v>0</v>
      </c>
      <c r="L905" s="29" t="n">
        <f>IF(ISNUMBER(BI905),BI905/90,"")</f>
        <v>0</v>
      </c>
      <c r="M905" s="28" t="n">
        <v>0</v>
      </c>
      <c r="N905" s="28" t="n">
        <v>0</v>
      </c>
      <c r="O905" s="28" t="n">
        <v>0</v>
      </c>
      <c r="P905" s="30" t="str">
        <f>IF(AND(ISNUMBER(L905),L905&gt;0,COUNT(M905:O905)=3,MIN(M905:O905)&gt;=0),SUM(M905:O905)/L905,"")</f>
      </c>
      <c r="Q905" s="16" t="str">
        <v>沿用原计划SKU店铺</v>
      </c>
      <c r="R905" s="16" t="str">
        <v>未匹配</v>
      </c>
      <c r="S905" s="16" t="str">
        <v>停售</v>
      </c>
      <c r="T905" s="16" t="str">
        <v>B06</v>
      </c>
      <c r="U905" s="16" t="str">
        <v>黄色羊京绒</v>
      </c>
      <c r="V905" s="16" t="n">
        <v>10.5</v>
      </c>
      <c r="W905" s="8" t="str">
        <v>2026-10-08 至 2026-10-17</v>
      </c>
      <c r="X905" s="8" t="str">
        <v>2026-10-08、2026-10-09、2026-10-10、2026-10-11、2026-10-14、2026-10-15、2026-10-17</v>
      </c>
      <c r="Y905" s="8" t="str">
        <v>2026-10-12 有记录的停售日；2026-10-13 有记录的停售日；2026-10-16 有记录的停售日</v>
      </c>
      <c r="Z905" s="8" t="n">
        <v>0</v>
      </c>
      <c r="AA905" s="8" t="n">
        <v>0</v>
      </c>
      <c r="AB905" s="8" t="n">
        <v>7</v>
      </c>
      <c r="AC905" s="8" t="str">
        <v>2026-09-29 至 2026-10-17</v>
      </c>
      <c r="AD905" s="8" t="str">
        <v>2026-09-29、2026-09-30、2026-10-01、2026-10-02、2026-10-03、2026-10-04、2026-10-05、2026-10-08、2026-10-09、2026-10-10、2026-10-11、2026-10-14、2026-10-15、2026-10-17</v>
      </c>
      <c r="AE905" s="8" t="str">
        <v>2026-10-06 大促；2026-10-07 大促；2026-10-12 有记录的停售日；2026-10-13 有记录的停售日；2026-10-16 有记录的停售日</v>
      </c>
      <c r="AF905" s="8" t="n">
        <v>0</v>
      </c>
      <c r="AG905" s="8" t="n">
        <v>0</v>
      </c>
      <c r="AH905" s="8" t="n">
        <v>14</v>
      </c>
      <c r="AI905" s="8" t="str">
        <v>2026-09-13 至 2026-10-17</v>
      </c>
      <c r="AJ90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05" s="8" t="str">
        <v>2026-10-06 大促；2026-10-07 大促；2026-10-12 有记录的停售日；2026-10-13 有记录的停售日；2026-10-16 有记录的停售日</v>
      </c>
      <c r="AL905" s="8" t="n">
        <v>0</v>
      </c>
      <c r="AM905" s="8" t="n">
        <v>0</v>
      </c>
      <c r="AN905" s="8" t="n">
        <v>30</v>
      </c>
      <c r="AO905" s="8" t="str">
        <v>B06 / 黄色羊京绒 / 13120</v>
      </c>
      <c r="AP905" s="11" t="n">
        <v>1.2247029157699902</v>
      </c>
      <c r="AQ905" s="11" t="n">
        <v>1.1929861014741694</v>
      </c>
      <c r="AR905" s="11" t="n">
        <v>1.0914922957275428</v>
      </c>
      <c r="AS905" s="11" t="n">
        <f>IF(AND(COUNT(I905:K905,AP905:AR905)=6,MIN(AP905:AR905)&gt;0),I905/7/AP905*0.5+J905/14/AQ905*0.3+K905/30/AR905*0.2,"")</f>
        <v>0</v>
      </c>
      <c r="AT905" s="8" t="n">
        <v>0</v>
      </c>
      <c r="AU905" s="8" t="n">
        <v>0</v>
      </c>
      <c r="AV905" s="8" t="n">
        <v>85</v>
      </c>
      <c r="AW905" s="11" t="n">
        <f>IF(AND(COUNT(AT905:AV905)=3,AT905&gt;=AU905,AU905&gt;=0,AV905&gt;0),(AT905-AU905)/AV905,"")</f>
        <v>0</v>
      </c>
      <c r="AX905" s="8" t="n">
        <v>0</v>
      </c>
      <c r="AY905" s="8" t="n">
        <v>0</v>
      </c>
      <c r="AZ905" s="8" t="n">
        <v>175</v>
      </c>
      <c r="BA905" s="11" t="n">
        <f>IF(AND(COUNT(AX905:AZ905)=3,AX905&gt;=AY905,AY905&gt;=0,AZ905&gt;0),(AX905-AY905)/AZ905,"")</f>
        <v>0</v>
      </c>
      <c r="BB905" s="8" t="n">
        <f>IF(COUNT(AS905,AW905,BA905)=3,1,0)</f>
        <v>1</v>
      </c>
      <c r="BC905" s="11" t="n">
        <f>IF(SUMIF($AO$11:$AO$1309,AO905,$BB$11:$BB$1309)=COUNTIF($AO$11:$AO$1309,AO905),SUMIF($AO$11:$AO$1309,AO905,$AS$11:$AS$1309),"")</f>
        <v>0.18709548187300423</v>
      </c>
      <c r="BD905" s="11" t="n">
        <f>IF(SUMIF($AO$11:$AO$1309,AO905,$BB$11:$BB$1309)=COUNTIF($AO$11:$AO$1309,AO905),SUMIF($AO$11:$AO$1309,AO905,$AW$11:$AW$1309),"")</f>
        <v>0.06858288770053475</v>
      </c>
      <c r="BE905" s="11" t="n">
        <f>IF(SUMIF($AO$11:$AO$1309,AO905,$BB$11:$BB$1309)=COUNTIF($AO$11:$AO$1309,AO905),SUMIF($AO$11:$AO$1309,AO905,$BA$11:$BA$1309),"")</f>
        <v>0.10141252006420545</v>
      </c>
      <c r="BF905" s="12" t="n">
        <f>IF(COUNT(BD905:BE905)&lt;&gt;2,"",IF(AND(BD905&gt;0,BE905&gt;0),0.7*AW905/BD905+0.3*BA905/BE905,IF(BD905&gt;0,AW905/BD905,IF(BE905&gt;0,BA905/BE905,IF(AND(ISNUMBER(BH905),BH905=0),0,"")))))</f>
        <v>0</v>
      </c>
      <c r="BG905" s="11" t="n">
        <f>IF(AND(COUNT(BN905:BU905)=8,MIN(BN905:BU905)&gt;=0),SUMPRODUCT(BN905:BQ905,BR905:BU905),"")</f>
        <v>73.80791239847399</v>
      </c>
      <c r="BH905" s="11" t="n">
        <f>IF(COUNT(BC905,BG905)=2,BC905*BG905,"")</f>
        <v>13.809126936232975</v>
      </c>
      <c r="BI905" s="11" t="n">
        <f>IF(ISNUMBER(CI905),CI905,"")</f>
        <v>0</v>
      </c>
      <c r="BJ905" s="8" t="str">
        <v>低销提醒依据不完整</v>
      </c>
      <c r="BK905" s="8" t="str">
        <v>90天：2026-07-20 至 2026-10-17；180天：2026-04-21 至 2026-10-17</v>
      </c>
      <c r="BL905" s="8" t="str">
        <v>90天：2026-10-06、2026-10-07、2026-10-12、2026-10-13、2026-10-16；180天：2026-10-06、2026-10-07、2026-10-12、2026-10-13、2026-10-16</v>
      </c>
      <c r="BM905" s="8" t="str">
        <v>2026-10：12天 × 1.2247029157699902；2026-11：30天 × 0.8332682139098497；2026-12：31天 × 0.5511018253564084；2027-01：17天 × 1.0017220238758797</v>
      </c>
      <c r="BN905" s="11" t="n">
        <v>1.2247029157699902</v>
      </c>
      <c r="BO905" s="11" t="n">
        <v>0.8332682139098497</v>
      </c>
      <c r="BP905" s="11" t="n">
        <v>0.5511018253564084</v>
      </c>
      <c r="BQ905" s="11" t="n">
        <v>1.0017220238758797</v>
      </c>
      <c r="BR905" s="8" t="n">
        <v>12</v>
      </c>
      <c r="BS905" s="8" t="n">
        <v>30</v>
      </c>
      <c r="BT905" s="8" t="n">
        <v>31</v>
      </c>
      <c r="BU905" s="8" t="n">
        <v>17</v>
      </c>
      <c r="BV905" s="11" t="n">
        <f>IF(COUNT(BC905,BF905)=2,BC905*BF905,"")</f>
        <v>0</v>
      </c>
      <c r="BW905" s="11" t="n">
        <f>IF(ISNUMBER(BN905),BN905,"")</f>
        <v>1.2247029157699902</v>
      </c>
      <c r="BX905" s="14" t="n">
        <f>IF(ISNUMBER(BR905),BR905,"")</f>
        <v>12</v>
      </c>
      <c r="BY905" s="13" t="n">
        <f>IF(AND(COUNT(BV905,BW905,BX905)=3,MIN(BV905,BW905,BX905)&gt;=0),BV905*BW905*BX905,"")</f>
        <v>0</v>
      </c>
      <c r="BZ905" s="11" t="n">
        <f>IF(ISNUMBER(BO905),BO905,"")</f>
        <v>0.8332682139098497</v>
      </c>
      <c r="CA905" s="14" t="n">
        <f>IF(ISNUMBER(BS905),BS905,"")</f>
        <v>30</v>
      </c>
      <c r="CB905" s="13" t="n">
        <f>IF(AND(COUNT(BV905,BZ905,CA905)=3,MIN(BV905,BZ905,CA905)&gt;=0),BV905*BZ905*CA905,"")</f>
        <v>0</v>
      </c>
      <c r="CC905" s="11" t="n">
        <f>IF(ISNUMBER(BP905),BP905,"")</f>
        <v>0.5511018253564084</v>
      </c>
      <c r="CD905" s="14" t="n">
        <f>IF(ISNUMBER(BT905),BT905,"")</f>
        <v>31</v>
      </c>
      <c r="CE905" s="13" t="n">
        <f>IF(AND(COUNT(BV905,CC905,CD905)=3,MIN(BV905,CC905,CD905)&gt;=0),BV905*CC905*CD905,"")</f>
        <v>0</v>
      </c>
      <c r="CF905" s="11" t="n">
        <f>IF(ISNUMBER(BQ905),BQ905,"")</f>
        <v>1.0017220238758797</v>
      </c>
      <c r="CG905" s="14" t="n">
        <f>IF(ISNUMBER(BU905),BU905,"")</f>
        <v>17</v>
      </c>
      <c r="CH905" s="13" t="n">
        <f>IF(AND(COUNT(BV905,CF905,CG905)=3,MIN(BV905,CF905,CG905)&gt;=0),BV905*CF905*CG905,"")</f>
        <v>0</v>
      </c>
      <c r="CI905" s="13" t="n">
        <f>IF(COUNT(BY905,CB905,CE905,CH905)=4,SUM(BY905,CB905,CE905,CH905),"")</f>
        <v>0</v>
      </c>
    </row>
    <row r="906" ht="72" customHeight="1">
      <c r="A906" s="16" t="str">
        <v>B06-ND-37-N</v>
      </c>
      <c r="B906" s="16" t="str">
        <v>1店-MUSSHOE-US</v>
      </c>
      <c r="C906" s="16" t="str">
        <v>艾年</v>
      </c>
      <c r="D906" s="26" t="n">
        <f>IF(NOT(ISNUMBER(E906)),"",IF(OR(E906&lt;=0,L906=0),0,IF(OR(NOT(ISNUMBER(F906)),F906&lt;0),"",MIN(E906,INT(F906)))))</f>
        <v>0</v>
      </c>
      <c r="E906" s="27" t="n">
        <f>IF(OR(NOT(ISNUMBER(L906)),COUNT(M906:O906)&lt;&gt;3,MIN(M906:O906)&lt;0),"",ROUNDUP(ROUND(BI906-SUM(M906:O906),10),0))</f>
        <v>-46</v>
      </c>
      <c r="F906" s="28" t="n">
        <v>37</v>
      </c>
      <c r="G906" s="28" t="n">
        <f>IF(AND(ISNUMBER(D906),ISNUMBER(E906)),IF(OR(E906&lt;=0,L906=0),0,E906-D906),"")</f>
        <v>0</v>
      </c>
      <c r="H906" s="16" t="str">
        <f>IF(NOT(ISNUMBER(E906)),"销量或海外库存待补",IF(OR(E906&lt;=0,L906=0),IF(L906=0,"零日销，本批不发","本批无需补货"),IF(NOT(ISNUMBER(D906)),"国内库存待补",IF(D906=0,"国内无可用库存",IF(G906&gt;0,"先发国内现货","按建议量发货")))))</f>
        <v>本批无需补货</v>
      </c>
      <c r="I906" s="28" t="n">
        <f>IF(AND(COUNT(Z906,AA906,AB906)=3,Z906&gt;=AA906,AA906&gt;=0,AB906=7),Z906-AA906,"")</f>
        <v>1</v>
      </c>
      <c r="J906" s="28" t="n">
        <f>IF(AND(COUNT(AF906,AG906,AH906)=3,AF906&gt;=AG906,AG906&gt;=0,AH906=14),AF906-AG906,"")</f>
        <v>3</v>
      </c>
      <c r="K906" s="28" t="n">
        <f>IF(AND(COUNT(AL906,AM906,AN906)=3,AL906&gt;=AM906,AM906&gt;=0,AN906=30),AL906-AM906,"")</f>
        <v>16</v>
      </c>
      <c r="L906" s="29" t="n">
        <f>IF(ISNUMBER(BI906),BI906/90,"")</f>
        <v>0.530237126395055</v>
      </c>
      <c r="M906" s="28" t="n">
        <v>16</v>
      </c>
      <c r="N906" s="28" t="n">
        <v>0</v>
      </c>
      <c r="O906" s="28" t="n">
        <v>77</v>
      </c>
      <c r="P906" s="30" t="n">
        <f>IF(AND(ISNUMBER(L906),L906&gt;0,COUNT(M906:O906)=3,MIN(M906:O906)&gt;=0),SUM(M906:O906)/L906,"")</f>
        <v>175.39322572955788</v>
      </c>
      <c r="Q906" s="16" t="str">
        <v>沿用原计划SKU店铺</v>
      </c>
      <c r="R906" s="16" t="str">
        <v>已匹配</v>
      </c>
      <c r="S906" s="16" t="str">
        <v>在售</v>
      </c>
      <c r="T906" s="16" t="str">
        <v>B06</v>
      </c>
      <c r="U906" s="16" t="str">
        <v>裸色羊京绒</v>
      </c>
      <c r="V906" s="16" t="n">
        <v>6</v>
      </c>
      <c r="W906" s="8" t="str">
        <v>2026-10-11 至 2026-10-17</v>
      </c>
      <c r="X906" s="8" t="str">
        <v>2026-10-11、2026-10-12、2026-10-13、2026-10-14、2026-10-15、2026-10-16、2026-10-17</v>
      </c>
      <c r="Y906" s="8" t="str">
        <v>无</v>
      </c>
      <c r="Z906" s="8" t="n">
        <v>1</v>
      </c>
      <c r="AA906" s="8" t="n">
        <v>0</v>
      </c>
      <c r="AB906" s="8" t="n">
        <v>7</v>
      </c>
      <c r="AC906" s="8" t="str">
        <v>2026-10-02 至 2026-10-17</v>
      </c>
      <c r="AD906" s="8" t="str">
        <v>2026-10-02、2026-10-03、2026-10-04、2026-10-05、2026-10-08、2026-10-09、2026-10-10、2026-10-11、2026-10-12、2026-10-13、2026-10-14、2026-10-15、2026-10-16、2026-10-17</v>
      </c>
      <c r="AE906" s="8" t="str">
        <v>2026-10-06 大促；2026-10-07 大促</v>
      </c>
      <c r="AF906" s="8" t="n">
        <v>6</v>
      </c>
      <c r="AG906" s="8" t="n">
        <v>3</v>
      </c>
      <c r="AH906" s="8" t="n">
        <v>14</v>
      </c>
      <c r="AI906" s="8" t="str">
        <v>2026-09-16 至 2026-10-17</v>
      </c>
      <c r="AJ9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6" s="8" t="str">
        <v>2026-10-06 大促；2026-10-07 大促</v>
      </c>
      <c r="AL906" s="8" t="n">
        <v>19</v>
      </c>
      <c r="AM906" s="8" t="n">
        <v>3</v>
      </c>
      <c r="AN906" s="8" t="n">
        <v>30</v>
      </c>
      <c r="AO906" s="8" t="str">
        <v>B06 / 裸色羊京绒 / 13120</v>
      </c>
      <c r="AP906" s="11" t="n">
        <v>1.2247029157699902</v>
      </c>
      <c r="AQ906" s="11" t="n">
        <v>1.2247029157699902</v>
      </c>
      <c r="AR906" s="11" t="n">
        <v>1.1136940657346173</v>
      </c>
      <c r="AS906" s="11" t="n">
        <f>IF(AND(COUNT(I906:K906,AP906:AR906)=6,MIN(AP906:AR906)&gt;0),I906/7/AP906*0.5+J906/14/AQ906*0.3+K906/30/AR906*0.2,"")</f>
        <v>0.20659139668879806</v>
      </c>
      <c r="AT906" s="8" t="n">
        <v>87</v>
      </c>
      <c r="AU906" s="8" t="n">
        <v>3</v>
      </c>
      <c r="AV906" s="8" t="n">
        <v>88</v>
      </c>
      <c r="AW906" s="11" t="n">
        <f>IF(AND(COUNT(AT906:AV906)=3,AT906&gt;=AU906,AU906&gt;=0,AV906&gt;0),(AT906-AU906)/AV906,"")</f>
        <v>0.9545454545454546</v>
      </c>
      <c r="AX906" s="8" t="n">
        <v>158</v>
      </c>
      <c r="AY906" s="8" t="n">
        <v>3</v>
      </c>
      <c r="AZ906" s="8" t="n">
        <v>178</v>
      </c>
      <c r="BA906" s="11" t="n">
        <f>IF(AND(COUNT(AX906:AZ906)=3,AX906&gt;=AY906,AY906&gt;=0,AZ906&gt;0),(AX906-AY906)/AZ906,"")</f>
        <v>0.8707865168539326</v>
      </c>
      <c r="BB906" s="8" t="n">
        <f>IF(COUNT(AS906,AW906,BA906)=3,1,0)</f>
        <v>1</v>
      </c>
      <c r="BC906" s="11" t="n">
        <f>IF(SUMIF($AO$11:$AO$1309,AO906,$BB$11:$BB$1309)=COUNTIF($AO$11:$AO$1309,AO906),SUMIF($AO$11:$AO$1309,AO906,$AS$11:$AS$1309),"")</f>
        <v>10.520823885219587</v>
      </c>
      <c r="BD906" s="11" t="n">
        <f>IF(SUMIF($AO$11:$AO$1309,AO906,$BB$11:$BB$1309)=COUNTIF($AO$11:$AO$1309,AO906),SUMIF($AO$11:$AO$1309,AO906,$AW$11:$AW$1309),"")</f>
        <v>15.750802139037434</v>
      </c>
      <c r="BE906" s="11" t="n">
        <f>IF(SUMIF($AO$11:$AO$1309,AO906,$BB$11:$BB$1309)=COUNTIF($AO$11:$AO$1309,AO906),SUMIF($AO$11:$AO$1309,AO906,$BA$11:$BA$1309),"")</f>
        <v>13.725200642054572</v>
      </c>
      <c r="BF906" s="12" t="n">
        <f>IF(COUNT(BD906:BE906)&lt;&gt;2,"",IF(AND(BD906&gt;0,BE906&gt;0),0.7*AW906/BD906+0.3*BA906/BE906,IF(BD906&gt;0,AW906/BD906,IF(BE906&gt;0,BA906/BE906,IF(AND(ISNUMBER(BH906),BH906=0),0,"")))))</f>
        <v>0.061455388715497765</v>
      </c>
      <c r="BG906" s="11" t="n">
        <f>IF(AND(COUNT(BN906:BU906)=8,MIN(BN906:BU906)&gt;=0),SUMPRODUCT(BN906:BQ906,BR906:BU906),"")</f>
        <v>73.80791239847399</v>
      </c>
      <c r="BH906" s="11" t="n">
        <f>IF(COUNT(BC906,BG906)=2,BC906*BG906,"")</f>
        <v>776.52004768006</v>
      </c>
      <c r="BI906" s="11" t="n">
        <f>IF(ISNUMBER(CI906),CI906,"")</f>
        <v>47.72134137555495</v>
      </c>
      <c r="BJ906" s="8" t="str">
        <v>低销提醒依据不完整</v>
      </c>
      <c r="BK906" s="8" t="str">
        <v>90天：2026-07-20 至 2026-10-17；180天：2026-04-21 至 2026-10-17</v>
      </c>
      <c r="BL906" s="8" t="str">
        <v>90天：2026-10-06、2026-10-07；180天：2026-10-06、2026-10-07</v>
      </c>
      <c r="BM906" s="8" t="str">
        <v>2026-10：12天 × 1.2247029157699902；2026-11：30天 × 0.8332682139098497；2026-12：31天 × 0.5511018253564084；2027-01：17天 × 1.0017220238758797</v>
      </c>
      <c r="BN906" s="11" t="n">
        <v>1.2247029157699902</v>
      </c>
      <c r="BO906" s="11" t="n">
        <v>0.8332682139098497</v>
      </c>
      <c r="BP906" s="11" t="n">
        <v>0.5511018253564084</v>
      </c>
      <c r="BQ906" s="11" t="n">
        <v>1.0017220238758797</v>
      </c>
      <c r="BR906" s="8" t="n">
        <v>12</v>
      </c>
      <c r="BS906" s="8" t="n">
        <v>30</v>
      </c>
      <c r="BT906" s="8" t="n">
        <v>31</v>
      </c>
      <c r="BU906" s="8" t="n">
        <v>17</v>
      </c>
      <c r="BV906" s="11" t="n">
        <f>IF(COUNT(BC906,BF906)=2,BC906*BF906,"")</f>
        <v>0.6465613214734631</v>
      </c>
      <c r="BW906" s="11" t="n">
        <f>IF(ISNUMBER(BN906),BN906,"")</f>
        <v>1.2247029157699902</v>
      </c>
      <c r="BX906" s="14" t="n">
        <f>IF(ISNUMBER(BR906),BR906,"")</f>
        <v>12</v>
      </c>
      <c r="BY906" s="13" t="n">
        <f>IF(AND(COUNT(BV906,BW906,BX906)=3,MIN(BV906,BW906,BX906)&gt;=0),BV906*BW906*BX906,"")</f>
        <v>9.502146427591779</v>
      </c>
      <c r="BZ906" s="11" t="n">
        <f>IF(ISNUMBER(BO906),BO906,"")</f>
        <v>0.8332682139098497</v>
      </c>
      <c r="CA906" s="14" t="n">
        <f>IF(ISNUMBER(BS906),BS906,"")</f>
        <v>30</v>
      </c>
      <c r="CB906" s="13" t="n">
        <f>IF(AND(COUNT(BV906,BZ906,CA906)=3,MIN(BV906,BZ906,CA906)&gt;=0),BV906*BZ906*CA906,"")</f>
        <v>16.162769925821543</v>
      </c>
      <c r="CC906" s="11" t="n">
        <f>IF(ISNUMBER(BP906),BP906,"")</f>
        <v>0.5511018253564084</v>
      </c>
      <c r="CD906" s="14" t="n">
        <f>IF(ISNUMBER(BT906),BT906,"")</f>
        <v>31</v>
      </c>
      <c r="CE906" s="13" t="n">
        <f>IF(AND(COUNT(BV906,CC906,CD906)=3,MIN(BV906,CC906,CD906)&gt;=0),BV906*CC906*CD906,"")</f>
        <v>11.04595485853519</v>
      </c>
      <c r="CF906" s="11" t="n">
        <f>IF(ISNUMBER(BQ906),BQ906,"")</f>
        <v>1.0017220238758797</v>
      </c>
      <c r="CG906" s="14" t="n">
        <f>IF(ISNUMBER(BU906),BU906,"")</f>
        <v>17</v>
      </c>
      <c r="CH906" s="13" t="n">
        <f>IF(AND(COUNT(BV906,CF906,CG906)=3,MIN(BV906,CF906,CG906)&gt;=0),BV906*CF906*CG906,"")</f>
        <v>11.010470163606433</v>
      </c>
      <c r="CI906" s="13" t="n">
        <f>IF(COUNT(BY906,CB906,CE906,CH906)=4,SUM(BY906,CB906,CE906,CH906),"")</f>
        <v>47.72134137555495</v>
      </c>
    </row>
    <row r="907" ht="72" customHeight="1">
      <c r="A907" s="16" t="str">
        <v>B06-ND-38</v>
      </c>
      <c r="B907" s="16" t="str">
        <v>1店-MUSSHOE-US</v>
      </c>
      <c r="C907" s="16" t="str">
        <v>艾年</v>
      </c>
      <c r="D907" s="26" t="n">
        <f>IF(NOT(ISNUMBER(E907)),"",IF(OR(E907&lt;=0,L907=0),0,IF(OR(NOT(ISNUMBER(F907)),F907&lt;0),"",MIN(E907,INT(F907)))))</f>
        <v>0</v>
      </c>
      <c r="E907" s="27" t="n">
        <f>IF(OR(NOT(ISNUMBER(L907)),COUNT(M907:O907)&lt;&gt;3,MIN(M907:O907)&lt;0),"",ROUNDUP(ROUND(BI907-SUM(M907:O907),10),0))</f>
        <v>-121</v>
      </c>
      <c r="F907" s="28" t="n">
        <v>36</v>
      </c>
      <c r="G907" s="28" t="n">
        <f>IF(AND(ISNUMBER(D907),ISNUMBER(E907)),IF(OR(E907&lt;=0,L907=0),0,E907-D907),"")</f>
        <v>0</v>
      </c>
      <c r="H907" s="16" t="str">
        <f>IF(NOT(ISNUMBER(E907)),"销量或海外库存待补",IF(OR(E907&lt;=0,L907=0),IF(L907=0,"零日销，本批不发","本批无需补货"),IF(NOT(ISNUMBER(D907)),"国内库存待补",IF(D907=0,"国内无可用库存",IF(G907&gt;0,"先发国内现货","按建议量发货")))))</f>
        <v>本批无需补货</v>
      </c>
      <c r="I907" s="28" t="n">
        <f>IF(AND(COUNT(Z907,AA907,AB907)=3,Z907&gt;=AA907,AA907&gt;=0,AB907=7),Z907-AA907,"")</f>
        <v>10</v>
      </c>
      <c r="J907" s="28" t="n">
        <f>IF(AND(COUNT(AF907,AG907,AH907)=3,AF907&gt;=AG907,AG907&gt;=0,AH907=14),AF907-AG907,"")</f>
        <v>20</v>
      </c>
      <c r="K907" s="28" t="n">
        <f>IF(AND(COUNT(AL907,AM907,AN907)=3,AL907&gt;=AM907,AM907&gt;=0,AN907=30),AL907-AM907,"")</f>
        <v>47</v>
      </c>
      <c r="L907" s="29" t="n">
        <f>IF(ISNUMBER(BI907),BI907/90,"")</f>
        <v>1.0890802095449423</v>
      </c>
      <c r="M907" s="28" t="n">
        <v>48</v>
      </c>
      <c r="N907" s="28" t="n">
        <v>0</v>
      </c>
      <c r="O907" s="28" t="n">
        <v>171</v>
      </c>
      <c r="P907" s="30" t="n">
        <f>IF(AND(ISNUMBER(L907),L907&gt;0,COUNT(M907:O907)=3,MIN(M907:O907)&gt;=0),SUM(M907:O907)/L907,"")</f>
        <v>201.0871174415209</v>
      </c>
      <c r="Q907" s="16" t="str">
        <v>沿用原计划SKU店铺</v>
      </c>
      <c r="R907" s="16" t="str">
        <v>已匹配</v>
      </c>
      <c r="S907" s="16" t="str">
        <v>在售</v>
      </c>
      <c r="T907" s="16" t="str">
        <v>B06</v>
      </c>
      <c r="U907" s="16" t="str">
        <v>裸色羊京绒</v>
      </c>
      <c r="V907" s="16" t="n">
        <v>7</v>
      </c>
      <c r="W907" s="8" t="str">
        <v>2026-10-11 至 2026-10-17</v>
      </c>
      <c r="X907" s="8" t="str">
        <v>2026-10-11、2026-10-12、2026-10-13、2026-10-14、2026-10-15、2026-10-16、2026-10-17</v>
      </c>
      <c r="Y907" s="8" t="str">
        <v>无</v>
      </c>
      <c r="Z907" s="8" t="n">
        <v>10</v>
      </c>
      <c r="AA907" s="8" t="n">
        <v>0</v>
      </c>
      <c r="AB907" s="8" t="n">
        <v>7</v>
      </c>
      <c r="AC907" s="8" t="str">
        <v>2026-10-02 至 2026-10-17</v>
      </c>
      <c r="AD907" s="8" t="str">
        <v>2026-10-02、2026-10-03、2026-10-04、2026-10-05、2026-10-08、2026-10-09、2026-10-10、2026-10-11、2026-10-12、2026-10-13、2026-10-14、2026-10-15、2026-10-16、2026-10-17</v>
      </c>
      <c r="AE907" s="8" t="str">
        <v>2026-10-06 大促；2026-10-07 大促</v>
      </c>
      <c r="AF907" s="8" t="n">
        <v>33</v>
      </c>
      <c r="AG907" s="8" t="n">
        <v>13</v>
      </c>
      <c r="AH907" s="8" t="n">
        <v>14</v>
      </c>
      <c r="AI907" s="8" t="str">
        <v>2026-09-16 至 2026-10-17</v>
      </c>
      <c r="AJ9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7" s="8" t="str">
        <v>2026-10-06 大促；2026-10-07 大促</v>
      </c>
      <c r="AL907" s="8" t="n">
        <v>60</v>
      </c>
      <c r="AM907" s="8" t="n">
        <v>13</v>
      </c>
      <c r="AN907" s="8" t="n">
        <v>30</v>
      </c>
      <c r="AO907" s="8" t="str">
        <v>B06 / 裸色羊京绒 / 13120</v>
      </c>
      <c r="AP907" s="11" t="n">
        <v>1.2247029157699902</v>
      </c>
      <c r="AQ907" s="11" t="n">
        <v>1.2247029157699902</v>
      </c>
      <c r="AR907" s="11" t="n">
        <v>1.1136940657346173</v>
      </c>
      <c r="AS907" s="11" t="n">
        <f>IF(AND(COUNT(I907:K907,AP907:AR907)=6,MIN(AP907:AR907)&gt;0),I907/7/AP907*0.5+J907/14/AQ907*0.3+K907/30/AR907*0.2,"")</f>
        <v>1.2145168834361346</v>
      </c>
      <c r="AT907" s="8" t="n">
        <v>181</v>
      </c>
      <c r="AU907" s="8" t="n">
        <v>13</v>
      </c>
      <c r="AV907" s="8" t="n">
        <v>88</v>
      </c>
      <c r="AW907" s="11" t="n">
        <f>IF(AND(COUNT(AT907:AV907)=3,AT907&gt;=AU907,AU907&gt;=0,AV907&gt;0),(AT907-AU907)/AV907,"")</f>
        <v>1.9090909090909092</v>
      </c>
      <c r="AX907" s="8" t="n">
        <v>350</v>
      </c>
      <c r="AY907" s="8" t="n">
        <v>13</v>
      </c>
      <c r="AZ907" s="8" t="n">
        <v>178</v>
      </c>
      <c r="BA907" s="11" t="n">
        <f>IF(AND(COUNT(AX907:AZ907)=3,AX907&gt;=AY907,AY907&gt;=0,AZ907&gt;0),(AX907-AY907)/AZ907,"")</f>
        <v>1.8932584269662922</v>
      </c>
      <c r="BB907" s="8" t="n">
        <f>IF(COUNT(AS907,AW907,BA907)=3,1,0)</f>
        <v>1</v>
      </c>
      <c r="BC907" s="11" t="n">
        <f>IF(SUMIF($AO$11:$AO$1309,AO907,$BB$11:$BB$1309)=COUNTIF($AO$11:$AO$1309,AO907),SUMIF($AO$11:$AO$1309,AO907,$AS$11:$AS$1309),"")</f>
        <v>10.520823885219587</v>
      </c>
      <c r="BD907" s="11" t="n">
        <f>IF(SUMIF($AO$11:$AO$1309,AO907,$BB$11:$BB$1309)=COUNTIF($AO$11:$AO$1309,AO907),SUMIF($AO$11:$AO$1309,AO907,$AW$11:$AW$1309),"")</f>
        <v>15.750802139037434</v>
      </c>
      <c r="BE907" s="11" t="n">
        <f>IF(SUMIF($AO$11:$AO$1309,AO907,$BB$11:$BB$1309)=COUNTIF($AO$11:$AO$1309,AO907),SUMIF($AO$11:$AO$1309,AO907,$BA$11:$BA$1309),"")</f>
        <v>13.725200642054572</v>
      </c>
      <c r="BF907" s="12" t="n">
        <f>IF(COUNT(BD907:BE907)&lt;&gt;2,"",IF(AND(BD907&gt;0,BE907&gt;0),0.7*AW907/BD907+0.3*BA907/BE907,IF(BD907&gt;0,AW907/BD907,IF(BE907&gt;0,BA907/BE907,IF(AND(ISNUMBER(BH907),BH907=0),0,"")))))</f>
        <v>0.12622625668439874</v>
      </c>
      <c r="BG907" s="11" t="n">
        <f>IF(AND(COUNT(BN907:BU907)=8,MIN(BN907:BU907)&gt;=0),SUMPRODUCT(BN907:BQ907,BR907:BU907),"")</f>
        <v>73.80791239847399</v>
      </c>
      <c r="BH907" s="11" t="n">
        <f>IF(COUNT(BC907,BG907)=2,BC907*BG907,"")</f>
        <v>776.52004768006</v>
      </c>
      <c r="BI907" s="11" t="n">
        <f>IF(ISNUMBER(CI907),CI907,"")</f>
        <v>98.01721885904482</v>
      </c>
      <c r="BJ907" s="8" t="str">
        <v>低销提醒依据不完整</v>
      </c>
      <c r="BK907" s="8" t="str">
        <v>90天：2026-07-20 至 2026-10-17；180天：2026-04-21 至 2026-10-17</v>
      </c>
      <c r="BL907" s="8" t="str">
        <v>90天：2026-10-06、2026-10-07；180天：2026-10-06、2026-10-07</v>
      </c>
      <c r="BM907" s="8" t="str">
        <v>2026-10：12天 × 1.2247029157699902；2026-11：30天 × 0.8332682139098497；2026-12：31天 × 0.5511018253564084；2027-01：17天 × 1.0017220238758797</v>
      </c>
      <c r="BN907" s="11" t="n">
        <v>1.2247029157699902</v>
      </c>
      <c r="BO907" s="11" t="n">
        <v>0.8332682139098497</v>
      </c>
      <c r="BP907" s="11" t="n">
        <v>0.5511018253564084</v>
      </c>
      <c r="BQ907" s="11" t="n">
        <v>1.0017220238758797</v>
      </c>
      <c r="BR907" s="8" t="n">
        <v>12</v>
      </c>
      <c r="BS907" s="8" t="n">
        <v>30</v>
      </c>
      <c r="BT907" s="8" t="n">
        <v>31</v>
      </c>
      <c r="BU907" s="8" t="n">
        <v>17</v>
      </c>
      <c r="BV907" s="11" t="n">
        <f>IF(COUNT(BC907,BF907)=2,BC907*BF907,"")</f>
        <v>1.3280042162670809</v>
      </c>
      <c r="BW907" s="11" t="n">
        <f>IF(ISNUMBER(BN907),BN907,"")</f>
        <v>1.2247029157699902</v>
      </c>
      <c r="BX907" s="14" t="n">
        <f>IF(ISNUMBER(BR907),BR907,"")</f>
        <v>12</v>
      </c>
      <c r="BY907" s="13" t="n">
        <f>IF(AND(COUNT(BV907,BW907,BX907)=3,MIN(BV907,BW907,BX907)&gt;=0),BV907*BW907*BX907,"")</f>
        <v>19.516927629805615</v>
      </c>
      <c r="BZ907" s="11" t="n">
        <f>IF(ISNUMBER(BO907),BO907,"")</f>
        <v>0.8332682139098497</v>
      </c>
      <c r="CA907" s="14" t="n">
        <f>IF(ISNUMBER(BS907),BS907,"")</f>
        <v>30</v>
      </c>
      <c r="CB907" s="13" t="n">
        <f>IF(AND(COUNT(BV907,BZ907,CA907)=3,MIN(BV907,BZ907,CA907)&gt;=0),BV907*BZ907*CA907,"")</f>
        <v>33.19751104060861</v>
      </c>
      <c r="CC907" s="11" t="n">
        <f>IF(ISNUMBER(BP907),BP907,"")</f>
        <v>0.5511018253564084</v>
      </c>
      <c r="CD907" s="14" t="n">
        <f>IF(ISNUMBER(BT907),BT907,"")</f>
        <v>31</v>
      </c>
      <c r="CE907" s="13" t="n">
        <f>IF(AND(COUNT(BV907,CC907,CD907)=3,MIN(BV907,CC907,CD907)&gt;=0),BV907*CC907*CD907,"")</f>
        <v>22.68783197763964</v>
      </c>
      <c r="CF907" s="11" t="n">
        <f>IF(ISNUMBER(BQ907),BQ907,"")</f>
        <v>1.0017220238758797</v>
      </c>
      <c r="CG907" s="14" t="n">
        <f>IF(ISNUMBER(BU907),BU907,"")</f>
        <v>17</v>
      </c>
      <c r="CH907" s="13" t="n">
        <f>IF(AND(COUNT(BV907,CF907,CG907)=3,MIN(BV907,CF907,CG907)&gt;=0),BV907*CF907*CG907,"")</f>
        <v>22.61494821099095</v>
      </c>
      <c r="CI907" s="13" t="n">
        <f>IF(COUNT(BY907,CB907,CE907,CH907)=4,SUM(BY907,CB907,CE907,CH907),"")</f>
        <v>98.01721885904482</v>
      </c>
    </row>
    <row r="908" ht="72" customHeight="1">
      <c r="A908" s="16" t="str">
        <v>B06-ND-39</v>
      </c>
      <c r="B908" s="16" t="str">
        <v>1店-MUSSHOE-US</v>
      </c>
      <c r="C908" s="16" t="str">
        <v>艾年</v>
      </c>
      <c r="D908" s="26" t="n">
        <f>IF(NOT(ISNUMBER(E908)),"",IF(OR(E908&lt;=0,L908=0),0,IF(OR(NOT(ISNUMBER(F908)),F908&lt;0),"",MIN(E908,INT(F908)))))</f>
        <v>0</v>
      </c>
      <c r="E908" s="27" t="n">
        <f>IF(OR(NOT(ISNUMBER(L908)),COUNT(M908:O908)&lt;&gt;3,MIN(M908:O908)&lt;0),"",ROUNDUP(ROUND(BI908-SUM(M908:O908),10),0))</f>
        <v>-206</v>
      </c>
      <c r="F908" s="28" t="n">
        <v>179</v>
      </c>
      <c r="G908" s="28" t="n">
        <f>IF(AND(ISNUMBER(D908),ISNUMBER(E908)),IF(OR(E908&lt;=0,L908=0),0,E908-D908),"")</f>
        <v>0</v>
      </c>
      <c r="H908" s="16" t="str">
        <f>IF(NOT(ISNUMBER(E908)),"销量或海外库存待补",IF(OR(E908&lt;=0,L908=0),IF(L908=0,"零日销，本批不发","本批无需补货"),IF(NOT(ISNUMBER(D908)),"国内库存待补",IF(D908=0,"国内无可用库存",IF(G908&gt;0,"先发国内现货","按建议量发货")))))</f>
        <v>本批无需补货</v>
      </c>
      <c r="I908" s="28" t="n">
        <f>IF(AND(COUNT(Z908,AA908,AB908)=3,Z908&gt;=AA908,AA908&gt;=0,AB908=7),Z908-AA908,"")</f>
        <v>16</v>
      </c>
      <c r="J908" s="28" t="n">
        <f>IF(AND(COUNT(AF908,AG908,AH908)=3,AF908&gt;=AG908,AG908&gt;=0,AH908=14),AF908-AG908,"")</f>
        <v>35</v>
      </c>
      <c r="K908" s="28" t="n">
        <f>IF(AND(COUNT(AL908,AM908,AN908)=3,AL908&gt;=AM908,AM908&gt;=0,AN908=30),AL908-AM908,"")</f>
        <v>85</v>
      </c>
      <c r="L908" s="29" t="n">
        <f>IF(ISNUMBER(BI908),BI908/90,"")</f>
        <v>1.6109763629037475</v>
      </c>
      <c r="M908" s="28" t="n">
        <v>53</v>
      </c>
      <c r="N908" s="28" t="n">
        <v>0</v>
      </c>
      <c r="O908" s="28" t="n">
        <v>297</v>
      </c>
      <c r="P908" s="30" t="n">
        <f>IF(AND(ISNUMBER(L908),L908&gt;0,COUNT(M908:O908)=3,MIN(M908:O908)&gt;=0),SUM(M908:O908)/L908,"")</f>
        <v>217.25955020788334</v>
      </c>
      <c r="Q908" s="16" t="str">
        <v>沿用原计划SKU店铺</v>
      </c>
      <c r="R908" s="16" t="str">
        <v>已匹配</v>
      </c>
      <c r="S908" s="16" t="str">
        <v>在售</v>
      </c>
      <c r="T908" s="16" t="str">
        <v>B06</v>
      </c>
      <c r="U908" s="16" t="str">
        <v>裸色羊京绒</v>
      </c>
      <c r="V908" s="16" t="n">
        <v>8</v>
      </c>
      <c r="W908" s="8" t="str">
        <v>2026-10-11 至 2026-10-17</v>
      </c>
      <c r="X908" s="8" t="str">
        <v>2026-10-11、2026-10-12、2026-10-13、2026-10-14、2026-10-15、2026-10-16、2026-10-17</v>
      </c>
      <c r="Y908" s="8" t="str">
        <v>无</v>
      </c>
      <c r="Z908" s="8" t="n">
        <v>16</v>
      </c>
      <c r="AA908" s="8" t="n">
        <v>0</v>
      </c>
      <c r="AB908" s="8" t="n">
        <v>7</v>
      </c>
      <c r="AC908" s="8" t="str">
        <v>2026-10-02 至 2026-10-17</v>
      </c>
      <c r="AD908" s="8" t="str">
        <v>2026-10-02、2026-10-03、2026-10-04、2026-10-05、2026-10-08、2026-10-09、2026-10-10、2026-10-11、2026-10-12、2026-10-13、2026-10-14、2026-10-15、2026-10-16、2026-10-17</v>
      </c>
      <c r="AE908" s="8" t="str">
        <v>2026-10-06 大促；2026-10-07 大促</v>
      </c>
      <c r="AF908" s="8" t="n">
        <v>46</v>
      </c>
      <c r="AG908" s="8" t="n">
        <v>11</v>
      </c>
      <c r="AH908" s="8" t="n">
        <v>14</v>
      </c>
      <c r="AI908" s="8" t="str">
        <v>2026-09-16 至 2026-10-17</v>
      </c>
      <c r="AJ9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8" s="8" t="str">
        <v>2026-10-06 大促；2026-10-07 大促</v>
      </c>
      <c r="AL908" s="8" t="n">
        <v>96</v>
      </c>
      <c r="AM908" s="8" t="n">
        <v>11</v>
      </c>
      <c r="AN908" s="8" t="n">
        <v>30</v>
      </c>
      <c r="AO908" s="8" t="str">
        <v>B06 / 裸色羊京绒 / 13120</v>
      </c>
      <c r="AP908" s="11" t="n">
        <v>1.2247029157699902</v>
      </c>
      <c r="AQ908" s="11" t="n">
        <v>1.2247029157699902</v>
      </c>
      <c r="AR908" s="11" t="n">
        <v>1.1136940657346173</v>
      </c>
      <c r="AS908" s="11" t="n">
        <f>IF(AND(COUNT(I908:K908,AP908:AR908)=6,MIN(AP908:AR908)&gt;0),I908/7/AP908*0.5+J908/14/AQ908*0.3+K908/30/AR908*0.2,"")</f>
        <v>2.054381504636189</v>
      </c>
      <c r="AT908" s="8" t="n">
        <v>273</v>
      </c>
      <c r="AU908" s="8" t="n">
        <v>11</v>
      </c>
      <c r="AV908" s="8" t="n">
        <v>88</v>
      </c>
      <c r="AW908" s="11" t="n">
        <f>IF(AND(COUNT(AT908:AV908)=3,AT908&gt;=AU908,AU908&gt;=0,AV908&gt;0),(AT908-AU908)/AV908,"")</f>
        <v>2.977272727272727</v>
      </c>
      <c r="AX908" s="8" t="n">
        <v>454</v>
      </c>
      <c r="AY908" s="8" t="n">
        <v>11</v>
      </c>
      <c r="AZ908" s="8" t="n">
        <v>178</v>
      </c>
      <c r="BA908" s="11" t="n">
        <f>IF(AND(COUNT(AX908:AZ908)=3,AX908&gt;=AY908,AY908&gt;=0,AZ908&gt;0),(AX908-AY908)/AZ908,"")</f>
        <v>2.4887640449438204</v>
      </c>
      <c r="BB908" s="8" t="n">
        <f>IF(COUNT(AS908,AW908,BA908)=3,1,0)</f>
        <v>1</v>
      </c>
      <c r="BC908" s="11" t="n">
        <f>IF(SUMIF($AO$11:$AO$1309,AO908,$BB$11:$BB$1309)=COUNTIF($AO$11:$AO$1309,AO908),SUMIF($AO$11:$AO$1309,AO908,$AS$11:$AS$1309),"")</f>
        <v>10.520823885219587</v>
      </c>
      <c r="BD908" s="11" t="n">
        <f>IF(SUMIF($AO$11:$AO$1309,AO908,$BB$11:$BB$1309)=COUNTIF($AO$11:$AO$1309,AO908),SUMIF($AO$11:$AO$1309,AO908,$AW$11:$AW$1309),"")</f>
        <v>15.750802139037434</v>
      </c>
      <c r="BE908" s="11" t="n">
        <f>IF(SUMIF($AO$11:$AO$1309,AO908,$BB$11:$BB$1309)=COUNTIF($AO$11:$AO$1309,AO908),SUMIF($AO$11:$AO$1309,AO908,$BA$11:$BA$1309),"")</f>
        <v>13.725200642054572</v>
      </c>
      <c r="BF908" s="12" t="n">
        <f>IF(COUNT(BD908:BE908)&lt;&gt;2,"",IF(AND(BD908&gt;0,BE908&gt;0),0.7*AW908/BD908+0.3*BA908/BE908,IF(BD908&gt;0,AW908/BD908,IF(BE908&gt;0,BA908/BE908,IF(AND(ISNUMBER(BH908),BH908=0),0,"")))))</f>
        <v>0.1867149123767051</v>
      </c>
      <c r="BG908" s="11" t="n">
        <f>IF(AND(COUNT(BN908:BU908)=8,MIN(BN908:BU908)&gt;=0),SUMPRODUCT(BN908:BQ908,BR908:BU908),"")</f>
        <v>73.80791239847399</v>
      </c>
      <c r="BH908" s="11" t="n">
        <f>IF(COUNT(BC908,BG908)=2,BC908*BG908,"")</f>
        <v>776.52004768006</v>
      </c>
      <c r="BI908" s="11" t="n">
        <f>IF(ISNUMBER(CI908),CI908,"")</f>
        <v>144.98787266133726</v>
      </c>
      <c r="BJ908" s="8" t="str">
        <v>低销提醒依据不完整</v>
      </c>
      <c r="BK908" s="8" t="str">
        <v>90天：2026-07-20 至 2026-10-17；180天：2026-04-21 至 2026-10-17</v>
      </c>
      <c r="BL908" s="8" t="str">
        <v>90天：2026-10-06、2026-10-07；180天：2026-10-06、2026-10-07</v>
      </c>
      <c r="BM908" s="8" t="str">
        <v>2026-10：12天 × 1.2247029157699902；2026-11：30天 × 0.8332682139098497；2026-12：31天 × 0.5511018253564084；2027-01：17天 × 1.0017220238758797</v>
      </c>
      <c r="BN908" s="11" t="n">
        <v>1.2247029157699902</v>
      </c>
      <c r="BO908" s="11" t="n">
        <v>0.8332682139098497</v>
      </c>
      <c r="BP908" s="11" t="n">
        <v>0.5511018253564084</v>
      </c>
      <c r="BQ908" s="11" t="n">
        <v>1.0017220238758797</v>
      </c>
      <c r="BR908" s="8" t="n">
        <v>12</v>
      </c>
      <c r="BS908" s="8" t="n">
        <v>30</v>
      </c>
      <c r="BT908" s="8" t="n">
        <v>31</v>
      </c>
      <c r="BU908" s="8" t="n">
        <v>17</v>
      </c>
      <c r="BV908" s="11" t="n">
        <f>IF(COUNT(BC908,BF908)=2,BC908*BF908,"")</f>
        <v>1.9643947098595211</v>
      </c>
      <c r="BW908" s="11" t="n">
        <f>IF(ISNUMBER(BN908),BN908,"")</f>
        <v>1.2247029157699902</v>
      </c>
      <c r="BX908" s="14" t="n">
        <f>IF(ISNUMBER(BR908),BR908,"")</f>
        <v>12</v>
      </c>
      <c r="BY908" s="13" t="n">
        <f>IF(AND(COUNT(BV908,BW908,BX908)=3,MIN(BV908,BW908,BX908)&gt;=0),BV908*BW908*BX908,"")</f>
        <v>28.869599146657194</v>
      </c>
      <c r="BZ908" s="11" t="n">
        <f>IF(ISNUMBER(BO908),BO908,"")</f>
        <v>0.8332682139098497</v>
      </c>
      <c r="CA908" s="14" t="n">
        <f>IF(ISNUMBER(BS908),BS908,"")</f>
        <v>30</v>
      </c>
      <c r="CB908" s="13" t="n">
        <f>IF(AND(COUNT(BV908,BZ908,CA908)=3,MIN(BV908,BZ908,CA908)&gt;=0),BV908*BZ908*CA908,"")</f>
        <v>49.10603013895802</v>
      </c>
      <c r="CC908" s="11" t="n">
        <f>IF(ISNUMBER(BP908),BP908,"")</f>
        <v>0.5511018253564084</v>
      </c>
      <c r="CD908" s="14" t="n">
        <f>IF(ISNUMBER(BT908),BT908,"")</f>
        <v>31</v>
      </c>
      <c r="CE908" s="13" t="n">
        <f>IF(AND(COUNT(BV908,CC908,CD908)=3,MIN(BV908,CC908,CD908)&gt;=0),BV908*CC908*CD908,"")</f>
        <v>33.560026820045685</v>
      </c>
      <c r="CF908" s="11" t="n">
        <f>IF(ISNUMBER(BQ908),BQ908,"")</f>
        <v>1.0017220238758797</v>
      </c>
      <c r="CG908" s="14" t="n">
        <f>IF(ISNUMBER(BU908),BU908,"")</f>
        <v>17</v>
      </c>
      <c r="CH908" s="13" t="n">
        <f>IF(AND(COUNT(BV908,CF908,CG908)=3,MIN(BV908,CF908,CG908)&gt;=0),BV908*CF908*CG908,"")</f>
        <v>33.452216555676365</v>
      </c>
      <c r="CI908" s="13" t="n">
        <f>IF(COUNT(BY908,CB908,CE908,CH908)=4,SUM(BY908,CB908,CE908,CH908),"")</f>
        <v>144.98787266133726</v>
      </c>
    </row>
    <row r="909" ht="72" customHeight="1">
      <c r="A909" s="16" t="str">
        <v>B06-ND-39.5</v>
      </c>
      <c r="B909" s="16" t="str">
        <v>1店-MUSSHOE-US</v>
      </c>
      <c r="C909" s="16" t="str">
        <v>艾年</v>
      </c>
      <c r="D909" s="26" t="n">
        <f>IF(NOT(ISNUMBER(E909)),"",IF(OR(E909&lt;=0,L909=0),0,IF(OR(NOT(ISNUMBER(F909)),F909&lt;0),"",MIN(E909,INT(F909)))))</f>
        <v>0</v>
      </c>
      <c r="E909" s="27" t="n">
        <f>IF(OR(NOT(ISNUMBER(L909)),COUNT(M909:O909)&lt;&gt;3,MIN(M909:O909)&lt;0),"",ROUNDUP(ROUND(BI909-SUM(M909:O909),10),0))</f>
        <v>-59</v>
      </c>
      <c r="F909" s="28" t="n">
        <v>0</v>
      </c>
      <c r="G909" s="28" t="n">
        <f>IF(AND(ISNUMBER(D909),ISNUMBER(E909)),IF(OR(E909&lt;=0,L909=0),0,E909-D909),"")</f>
        <v>0</v>
      </c>
      <c r="H909" s="16" t="str">
        <f>IF(NOT(ISNUMBER(E909)),"销量或海外库存待补",IF(OR(E909&lt;=0,L909=0),IF(L909=0,"零日销，本批不发","本批无需补货"),IF(NOT(ISNUMBER(D909)),"国内库存待补",IF(D909=0,"国内无可用库存",IF(G909&gt;0,"先发国内现货","按建议量发货")))))</f>
        <v>本批无需补货</v>
      </c>
      <c r="I909" s="28" t="n">
        <f>IF(AND(COUNT(Z909,AA909,AB909)=3,Z909&gt;=AA909,AA909&gt;=0,AB909=7),Z909-AA909,"")</f>
        <v>14</v>
      </c>
      <c r="J909" s="28" t="n">
        <f>IF(AND(COUNT(AF909,AG909,AH909)=3,AF909&gt;=AG909,AG909&gt;=0,AH909=14),AF909-AG909,"")</f>
        <v>31</v>
      </c>
      <c r="K909" s="28" t="n">
        <f>IF(AND(COUNT(AL909,AM909,AN909)=3,AL909&gt;=AM909,AM909&gt;=0,AN909=30),AL909-AM909,"")</f>
        <v>65</v>
      </c>
      <c r="L909" s="29" t="n">
        <f>IF(ISNUMBER(BI909),BI909/90,"")</f>
        <v>1.3087085709118094</v>
      </c>
      <c r="M909" s="28" t="n">
        <v>80</v>
      </c>
      <c r="N909" s="28" t="n">
        <v>0</v>
      </c>
      <c r="O909" s="28" t="n">
        <v>96</v>
      </c>
      <c r="P909" s="30" t="n">
        <f>IF(AND(ISNUMBER(L909),L909&gt;0,COUNT(M909:O909)=3,MIN(M909:O909)&gt;=0),SUM(M909:O909)/L909,"")</f>
        <v>134.48372228308742</v>
      </c>
      <c r="Q909" s="16" t="str">
        <v>沿用原计划SKU店铺</v>
      </c>
      <c r="R909" s="16" t="str">
        <v>已匹配</v>
      </c>
      <c r="S909" s="16" t="str">
        <v>在售</v>
      </c>
      <c r="T909" s="16" t="str">
        <v>B06</v>
      </c>
      <c r="U909" s="16" t="str">
        <v>裸色羊京绒</v>
      </c>
      <c r="V909" s="16" t="n">
        <v>8.5</v>
      </c>
      <c r="W909" s="8" t="str">
        <v>2026-10-11 至 2026-10-17</v>
      </c>
      <c r="X909" s="8" t="str">
        <v>2026-10-11、2026-10-12、2026-10-13、2026-10-14、2026-10-15、2026-10-16、2026-10-17</v>
      </c>
      <c r="Y909" s="8" t="str">
        <v>无</v>
      </c>
      <c r="Z909" s="8" t="n">
        <v>14</v>
      </c>
      <c r="AA909" s="8" t="n">
        <v>0</v>
      </c>
      <c r="AB909" s="8" t="n">
        <v>7</v>
      </c>
      <c r="AC909" s="8" t="str">
        <v>2026-10-02 至 2026-10-17</v>
      </c>
      <c r="AD909" s="8" t="str">
        <v>2026-10-02、2026-10-03、2026-10-04、2026-10-05、2026-10-08、2026-10-09、2026-10-10、2026-10-11、2026-10-12、2026-10-13、2026-10-14、2026-10-15、2026-10-16、2026-10-17</v>
      </c>
      <c r="AE909" s="8" t="str">
        <v>2026-10-06 大促；2026-10-07 大促</v>
      </c>
      <c r="AF909" s="8" t="n">
        <v>48</v>
      </c>
      <c r="AG909" s="8" t="n">
        <v>17</v>
      </c>
      <c r="AH909" s="8" t="n">
        <v>14</v>
      </c>
      <c r="AI909" s="8" t="str">
        <v>2026-09-16 至 2026-10-17</v>
      </c>
      <c r="AJ9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09" s="8" t="str">
        <v>2026-10-06 大促；2026-10-07 大促</v>
      </c>
      <c r="AL909" s="8" t="n">
        <v>82</v>
      </c>
      <c r="AM909" s="8" t="n">
        <v>17</v>
      </c>
      <c r="AN909" s="8" t="n">
        <v>30</v>
      </c>
      <c r="AO909" s="8" t="str">
        <v>B06 / 裸色羊京绒 / 13120</v>
      </c>
      <c r="AP909" s="11" t="n">
        <v>1.2247029157699902</v>
      </c>
      <c r="AQ909" s="11" t="n">
        <v>1.2247029157699902</v>
      </c>
      <c r="AR909" s="11" t="n">
        <v>1.1136940657346173</v>
      </c>
      <c r="AS909" s="11" t="n">
        <f>IF(AND(COUNT(I909:K909,AP909:AR909)=6,MIN(AP909:AR909)&gt;0),I909/7/AP909*0.5+J909/14/AQ909*0.3+K909/30/AR909*0.2,"")</f>
        <v>1.748025633371779</v>
      </c>
      <c r="AT909" s="8" t="n">
        <v>232</v>
      </c>
      <c r="AU909" s="8" t="n">
        <v>17</v>
      </c>
      <c r="AV909" s="8" t="n">
        <v>88</v>
      </c>
      <c r="AW909" s="11" t="n">
        <f>IF(AND(COUNT(AT909:AV909)=3,AT909&gt;=AU909,AU909&gt;=0,AV909&gt;0),(AT909-AU909)/AV909,"")</f>
        <v>2.4431818181818183</v>
      </c>
      <c r="AX909" s="8" t="n">
        <v>368</v>
      </c>
      <c r="AY909" s="8" t="n">
        <v>17</v>
      </c>
      <c r="AZ909" s="8" t="n">
        <v>178</v>
      </c>
      <c r="BA909" s="11" t="n">
        <f>IF(AND(COUNT(AX909:AZ909)=3,AX909&gt;=AY909,AY909&gt;=0,AZ909&gt;0),(AX909-AY909)/AZ909,"")</f>
        <v>1.9719101123595506</v>
      </c>
      <c r="BB909" s="8" t="n">
        <f>IF(COUNT(AS909,AW909,BA909)=3,1,0)</f>
        <v>1</v>
      </c>
      <c r="BC909" s="11" t="n">
        <f>IF(SUMIF($AO$11:$AO$1309,AO909,$BB$11:$BB$1309)=COUNTIF($AO$11:$AO$1309,AO909),SUMIF($AO$11:$AO$1309,AO909,$AS$11:$AS$1309),"")</f>
        <v>10.520823885219587</v>
      </c>
      <c r="BD909" s="11" t="n">
        <f>IF(SUMIF($AO$11:$AO$1309,AO909,$BB$11:$BB$1309)=COUNTIF($AO$11:$AO$1309,AO909),SUMIF($AO$11:$AO$1309,AO909,$AW$11:$AW$1309),"")</f>
        <v>15.750802139037434</v>
      </c>
      <c r="BE909" s="11" t="n">
        <f>IF(SUMIF($AO$11:$AO$1309,AO909,$BB$11:$BB$1309)=COUNTIF($AO$11:$AO$1309,AO909),SUMIF($AO$11:$AO$1309,AO909,$BA$11:$BA$1309),"")</f>
        <v>13.725200642054572</v>
      </c>
      <c r="BF909" s="12" t="n">
        <f>IF(COUNT(BD909:BE909)&lt;&gt;2,"",IF(AND(BD909&gt;0,BE909&gt;0),0.7*AW909/BD909+0.3*BA909/BE909,IF(BD909&gt;0,AW909/BD909,IF(BE909&gt;0,BA909/BE909,IF(AND(ISNUMBER(BH909),BH909=0),0,"")))))</f>
        <v>0.15168155894230284</v>
      </c>
      <c r="BG909" s="11" t="n">
        <f>IF(AND(COUNT(BN909:BU909)=8,MIN(BN909:BU909)&gt;=0),SUMPRODUCT(BN909:BQ909,BR909:BU909),"")</f>
        <v>73.80791239847399</v>
      </c>
      <c r="BH909" s="11" t="n">
        <f>IF(COUNT(BC909,BG909)=2,BC909*BG909,"")</f>
        <v>776.52004768006</v>
      </c>
      <c r="BI909" s="11" t="n">
        <f>IF(ISNUMBER(CI909),CI909,"")</f>
        <v>117.78377138206284</v>
      </c>
      <c r="BJ909" s="8" t="str">
        <v>低销提醒依据不完整</v>
      </c>
      <c r="BK909" s="8" t="str">
        <v>90天：2026-07-20 至 2026-10-17；180天：2026-04-21 至 2026-10-17</v>
      </c>
      <c r="BL909" s="8" t="str">
        <v>90天：2026-10-06、2026-10-07；180天：2026-10-06、2026-10-07</v>
      </c>
      <c r="BM909" s="8" t="str">
        <v>2026-10：12天 × 1.2247029157699902；2026-11：30天 × 0.8332682139098497；2026-12：31天 × 0.5511018253564084；2027-01：17天 × 1.0017220238758797</v>
      </c>
      <c r="BN909" s="11" t="n">
        <v>1.2247029157699902</v>
      </c>
      <c r="BO909" s="11" t="n">
        <v>0.8332682139098497</v>
      </c>
      <c r="BP909" s="11" t="n">
        <v>0.5511018253564084</v>
      </c>
      <c r="BQ909" s="11" t="n">
        <v>1.0017220238758797</v>
      </c>
      <c r="BR909" s="8" t="n">
        <v>12</v>
      </c>
      <c r="BS909" s="8" t="n">
        <v>30</v>
      </c>
      <c r="BT909" s="8" t="n">
        <v>31</v>
      </c>
      <c r="BU909" s="8" t="n">
        <v>17</v>
      </c>
      <c r="BV909" s="11" t="n">
        <f>IF(COUNT(BC909,BF909)=2,BC909*BF909,"")</f>
        <v>1.5958149682675222</v>
      </c>
      <c r="BW909" s="11" t="n">
        <f>IF(ISNUMBER(BN909),BN909,"")</f>
        <v>1.2247029157699902</v>
      </c>
      <c r="BX909" s="14" t="n">
        <f>IF(ISNUMBER(BR909),BR909,"")</f>
        <v>12</v>
      </c>
      <c r="BY909" s="13" t="n">
        <f>IF(AND(COUNT(BV909,BW909,BX909)=3,MIN(BV909,BW909,BX909)&gt;=0),BV909*BW909*BX909,"")</f>
        <v>23.45279093599955</v>
      </c>
      <c r="BZ909" s="11" t="n">
        <f>IF(ISNUMBER(BO909),BO909,"")</f>
        <v>0.8332682139098497</v>
      </c>
      <c r="CA909" s="14" t="n">
        <f>IF(ISNUMBER(BS909),BS909,"")</f>
        <v>30</v>
      </c>
      <c r="CB909" s="13" t="n">
        <f>IF(AND(COUNT(BV909,BZ909,CA909)=3,MIN(BV909,BZ909,CA909)&gt;=0),BV909*BZ909*CA909,"")</f>
        <v>39.89225665016646</v>
      </c>
      <c r="CC909" s="11" t="n">
        <f>IF(ISNUMBER(BP909),BP909,"")</f>
        <v>0.5511018253564084</v>
      </c>
      <c r="CD909" s="14" t="n">
        <f>IF(ISNUMBER(BT909),BT909,"")</f>
        <v>31</v>
      </c>
      <c r="CE909" s="13" t="n">
        <f>IF(AND(COUNT(BV909,CC909,CD909)=3,MIN(BV909,CC909,CD909)&gt;=0),BV909*CC909*CD909,"")</f>
        <v>27.263152800242626</v>
      </c>
      <c r="CF909" s="11" t="n">
        <f>IF(ISNUMBER(BQ909),BQ909,"")</f>
        <v>1.0017220238758797</v>
      </c>
      <c r="CG909" s="14" t="n">
        <f>IF(ISNUMBER(BU909),BU909,"")</f>
        <v>17</v>
      </c>
      <c r="CH909" s="13" t="n">
        <f>IF(AND(COUNT(BV909,CF909,CG909)=3,MIN(BV909,CF909,CG909)&gt;=0),BV909*CF909*CG909,"")</f>
        <v>27.17557099565421</v>
      </c>
      <c r="CI909" s="13" t="n">
        <f>IF(COUNT(BY909,CB909,CE909,CH909)=4,SUM(BY909,CB909,CE909,CH909),"")</f>
        <v>117.78377138206284</v>
      </c>
    </row>
    <row r="910" ht="72" customHeight="1">
      <c r="A910" s="16" t="str">
        <v>B06-ND-40-N</v>
      </c>
      <c r="B910" s="16" t="str">
        <v>1店-MUSSHOE-US</v>
      </c>
      <c r="C910" s="16" t="str">
        <v>艾年</v>
      </c>
      <c r="D910" s="26" t="n">
        <f>IF(NOT(ISNUMBER(E910)),"",IF(OR(E910&lt;=0,L910=0),0,IF(OR(NOT(ISNUMBER(F910)),F910&lt;0),"",MIN(E910,INT(F910)))))</f>
        <v>0</v>
      </c>
      <c r="E910" s="27" t="n">
        <f>IF(OR(NOT(ISNUMBER(L910)),COUNT(M910:O910)&lt;&gt;3,MIN(M910:O910)&lt;0),"",ROUNDUP(ROUND(BI910-SUM(M910:O910),10),0))</f>
        <v>-96</v>
      </c>
      <c r="F910" s="28" t="n">
        <v>0</v>
      </c>
      <c r="G910" s="28" t="n">
        <f>IF(AND(ISNUMBER(D910),ISNUMBER(E910)),IF(OR(E910&lt;=0,L910=0),0,E910-D910),"")</f>
        <v>0</v>
      </c>
      <c r="H910" s="16" t="str">
        <f>IF(NOT(ISNUMBER(E910)),"销量或海外库存待补",IF(OR(E910&lt;=0,L910=0),IF(L910=0,"零日销，本批不发","本批无需补货"),IF(NOT(ISNUMBER(D910)),"国内库存待补",IF(D910=0,"国内无可用库存",IF(G910&gt;0,"先发国内现货","按建议量发货")))))</f>
        <v>本批无需补货</v>
      </c>
      <c r="I910" s="28" t="n">
        <f>IF(AND(COUNT(Z910,AA910,AB910)=3,Z910&gt;=AA910,AA910&gt;=0,AB910=7),Z910-AA910,"")</f>
        <v>10</v>
      </c>
      <c r="J910" s="28" t="n">
        <f>IF(AND(COUNT(AF910,AG910,AH910)=3,AF910&gt;=AG910,AG910&gt;=0,AH910=14),AF910-AG910,"")</f>
        <v>25</v>
      </c>
      <c r="K910" s="28" t="n">
        <f>IF(AND(COUNT(AL910,AM910,AN910)=3,AL910&gt;=AM910,AM910&gt;=0,AN910=30),AL910-AM910,"")</f>
        <v>47</v>
      </c>
      <c r="L910" s="29" t="n">
        <f>IF(ISNUMBER(BI910),BI910/90,"")</f>
        <v>1.1503220362254678</v>
      </c>
      <c r="M910" s="28" t="n">
        <v>17</v>
      </c>
      <c r="N910" s="28" t="n">
        <v>0</v>
      </c>
      <c r="O910" s="28" t="n">
        <v>182</v>
      </c>
      <c r="P910" s="30" t="n">
        <f>IF(AND(ISNUMBER(L910),L910&gt;0,COUNT(M910:O910)=3,MIN(M910:O910)&gt;=0),SUM(M910:O910)/L910,"")</f>
        <v>172.9950342018791</v>
      </c>
      <c r="Q910" s="16" t="str">
        <v>沿用原计划SKU店铺</v>
      </c>
      <c r="R910" s="16" t="str">
        <v>已匹配</v>
      </c>
      <c r="S910" s="16" t="str">
        <v>在售</v>
      </c>
      <c r="T910" s="16" t="str">
        <v>B06</v>
      </c>
      <c r="U910" s="16" t="str">
        <v>裸色羊京绒</v>
      </c>
      <c r="V910" s="16" t="n">
        <v>9</v>
      </c>
      <c r="W910" s="8" t="str">
        <v>2026-10-11 至 2026-10-17</v>
      </c>
      <c r="X910" s="8" t="str">
        <v>2026-10-11、2026-10-12、2026-10-13、2026-10-14、2026-10-15、2026-10-16、2026-10-17</v>
      </c>
      <c r="Y910" s="8" t="str">
        <v>无</v>
      </c>
      <c r="Z910" s="8" t="n">
        <v>10</v>
      </c>
      <c r="AA910" s="8" t="n">
        <v>0</v>
      </c>
      <c r="AB910" s="8" t="n">
        <v>7</v>
      </c>
      <c r="AC910" s="8" t="str">
        <v>2026-10-02 至 2026-10-17</v>
      </c>
      <c r="AD910" s="8" t="str">
        <v>2026-10-02、2026-10-03、2026-10-04、2026-10-05、2026-10-08、2026-10-09、2026-10-10、2026-10-11、2026-10-12、2026-10-13、2026-10-14、2026-10-15、2026-10-16、2026-10-17</v>
      </c>
      <c r="AE910" s="8" t="str">
        <v>2026-10-06 大促；2026-10-07 大促</v>
      </c>
      <c r="AF910" s="8" t="n">
        <v>40</v>
      </c>
      <c r="AG910" s="8" t="n">
        <v>15</v>
      </c>
      <c r="AH910" s="8" t="n">
        <v>14</v>
      </c>
      <c r="AI910" s="8" t="str">
        <v>2026-09-16 至 2026-10-17</v>
      </c>
      <c r="AJ9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0" s="8" t="str">
        <v>2026-10-06 大促；2026-10-07 大促</v>
      </c>
      <c r="AL910" s="8" t="n">
        <v>62</v>
      </c>
      <c r="AM910" s="8" t="n">
        <v>15</v>
      </c>
      <c r="AN910" s="8" t="n">
        <v>30</v>
      </c>
      <c r="AO910" s="8" t="str">
        <v>B06 / 裸色羊京绒 / 13120</v>
      </c>
      <c r="AP910" s="11" t="n">
        <v>1.2247029157699902</v>
      </c>
      <c r="AQ910" s="11" t="n">
        <v>1.2247029157699902</v>
      </c>
      <c r="AR910" s="11" t="n">
        <v>1.1136940657346173</v>
      </c>
      <c r="AS910" s="11" t="n">
        <f>IF(AND(COUNT(I910:K910,AP910:AR910)=6,MIN(AP910:AR910)&gt;0),I910/7/AP910*0.5+J910/14/AQ910*0.3+K910/30/AR910*0.2,"")</f>
        <v>1.3020016568968842</v>
      </c>
      <c r="AT910" s="8" t="n">
        <v>199</v>
      </c>
      <c r="AU910" s="8" t="n">
        <v>15</v>
      </c>
      <c r="AV910" s="8" t="n">
        <v>88</v>
      </c>
      <c r="AW910" s="11" t="n">
        <f>IF(AND(COUNT(AT910:AV910)=3,AT910&gt;=AU910,AU910&gt;=0,AV910&gt;0),(AT910-AU910)/AV910,"")</f>
        <v>2.090909090909091</v>
      </c>
      <c r="AX910" s="8" t="n">
        <v>344</v>
      </c>
      <c r="AY910" s="8" t="n">
        <v>15</v>
      </c>
      <c r="AZ910" s="8" t="n">
        <v>178</v>
      </c>
      <c r="BA910" s="11" t="n">
        <f>IF(AND(COUNT(AX910:AZ910)=3,AX910&gt;=AY910,AY910&gt;=0,AZ910&gt;0),(AX910-AY910)/AZ910,"")</f>
        <v>1.848314606741573</v>
      </c>
      <c r="BB910" s="8" t="n">
        <f>IF(COUNT(AS910,AW910,BA910)=3,1,0)</f>
        <v>1</v>
      </c>
      <c r="BC910" s="11" t="n">
        <f>IF(SUMIF($AO$11:$AO$1309,AO910,$BB$11:$BB$1309)=COUNTIF($AO$11:$AO$1309,AO910),SUMIF($AO$11:$AO$1309,AO910,$AS$11:$AS$1309),"")</f>
        <v>10.520823885219587</v>
      </c>
      <c r="BD910" s="11" t="n">
        <f>IF(SUMIF($AO$11:$AO$1309,AO910,$BB$11:$BB$1309)=COUNTIF($AO$11:$AO$1309,AO910),SUMIF($AO$11:$AO$1309,AO910,$AW$11:$AW$1309),"")</f>
        <v>15.750802139037434</v>
      </c>
      <c r="BE910" s="11" t="n">
        <f>IF(SUMIF($AO$11:$AO$1309,AO910,$BB$11:$BB$1309)=COUNTIF($AO$11:$AO$1309,AO910),SUMIF($AO$11:$AO$1309,AO910,$BA$11:$BA$1309),"")</f>
        <v>13.725200642054572</v>
      </c>
      <c r="BF910" s="12" t="n">
        <f>IF(COUNT(BD910:BE910)&lt;&gt;2,"",IF(AND(BD910&gt;0,BE910&gt;0),0.7*AW910/BD910+0.3*BA910/BE910,IF(BD910&gt;0,AW910/BD910,IF(BE910&gt;0,BA910/BE910,IF(AND(ISNUMBER(BH910),BH910=0),0,"")))))</f>
        <v>0.13332428901172153</v>
      </c>
      <c r="BG910" s="11" t="n">
        <f>IF(AND(COUNT(BN910:BU910)=8,MIN(BN910:BU910)&gt;=0),SUMPRODUCT(BN910:BQ910,BR910:BU910),"")</f>
        <v>73.80791239847399</v>
      </c>
      <c r="BH910" s="11" t="n">
        <f>IF(COUNT(BC910,BG910)=2,BC910*BG910,"")</f>
        <v>776.52004768006</v>
      </c>
      <c r="BI910" s="11" t="n">
        <f>IF(ISNUMBER(CI910),CI910,"")</f>
        <v>103.52898326029211</v>
      </c>
      <c r="BJ910" s="8" t="str">
        <v>低销提醒依据不完整</v>
      </c>
      <c r="BK910" s="8" t="str">
        <v>90天：2026-07-20 至 2026-10-17；180天：2026-04-21 至 2026-10-17</v>
      </c>
      <c r="BL910" s="8" t="str">
        <v>90天：2026-10-06、2026-10-07；180天：2026-10-06、2026-10-07</v>
      </c>
      <c r="BM910" s="8" t="str">
        <v>2026-10：12天 × 1.2247029157699902；2026-11：30天 × 0.8332682139098497；2026-12：31天 × 0.5511018253564084；2027-01：17天 × 1.0017220238758797</v>
      </c>
      <c r="BN910" s="11" t="n">
        <v>1.2247029157699902</v>
      </c>
      <c r="BO910" s="11" t="n">
        <v>0.8332682139098497</v>
      </c>
      <c r="BP910" s="11" t="n">
        <v>0.5511018253564084</v>
      </c>
      <c r="BQ910" s="11" t="n">
        <v>1.0017220238758797</v>
      </c>
      <c r="BR910" s="8" t="n">
        <v>12</v>
      </c>
      <c r="BS910" s="8" t="n">
        <v>30</v>
      </c>
      <c r="BT910" s="8" t="n">
        <v>31</v>
      </c>
      <c r="BU910" s="8" t="n">
        <v>17</v>
      </c>
      <c r="BV910" s="11" t="n">
        <f>IF(COUNT(BC910,BF910)=2,BC910*BF910,"")</f>
        <v>1.4026813643144391</v>
      </c>
      <c r="BW910" s="11" t="n">
        <f>IF(ISNUMBER(BN910),BN910,"")</f>
        <v>1.2247029157699902</v>
      </c>
      <c r="BX910" s="14" t="n">
        <f>IF(ISNUMBER(BR910),BR910,"")</f>
        <v>12</v>
      </c>
      <c r="BY910" s="13" t="n">
        <f>IF(AND(COUNT(BV910,BW910,BX910)=3,MIN(BV910,BW910,BX910)&gt;=0),BV910*BW910*BX910,"")</f>
        <v>20.61441548126546</v>
      </c>
      <c r="BZ910" s="11" t="n">
        <f>IF(ISNUMBER(BO910),BO910,"")</f>
        <v>0.8332682139098497</v>
      </c>
      <c r="CA910" s="14" t="n">
        <f>IF(ISNUMBER(BS910),BS910,"")</f>
        <v>30</v>
      </c>
      <c r="CB910" s="13" t="n">
        <f>IF(AND(COUNT(BV910,BZ910,CA910)=3,MIN(BV910,BZ910,CA910)&gt;=0),BV910*BZ910*CA910,"")</f>
        <v>35.06429385380771</v>
      </c>
      <c r="CC910" s="11" t="n">
        <f>IF(ISNUMBER(BP910),BP910,"")</f>
        <v>0.5511018253564084</v>
      </c>
      <c r="CD910" s="14" t="n">
        <f>IF(ISNUMBER(BT910),BT910,"")</f>
        <v>31</v>
      </c>
      <c r="CE910" s="13" t="n">
        <f>IF(AND(COUNT(BV910,CC910,CD910)=3,MIN(BV910,CC910,CD910)&gt;=0),BV910*CC910*CD910,"")</f>
        <v>23.963628068280244</v>
      </c>
      <c r="CF910" s="11" t="n">
        <f>IF(ISNUMBER(BQ910),BQ910,"")</f>
        <v>1.0017220238758797</v>
      </c>
      <c r="CG910" s="14" t="n">
        <f>IF(ISNUMBER(BU910),BU910,"")</f>
        <v>17</v>
      </c>
      <c r="CH910" s="13" t="n">
        <f>IF(AND(COUNT(BV910,CF910,CG910)=3,MIN(BV910,CF910,CG910)&gt;=0),BV910*CF910*CG910,"")</f>
        <v>23.88664585693868</v>
      </c>
      <c r="CI910" s="13" t="n">
        <f>IF(COUNT(BY910,CB910,CE910,CH910)=4,SUM(BY910,CB910,CE910,CH910),"")</f>
        <v>103.52898326029211</v>
      </c>
    </row>
    <row r="911" ht="72" customHeight="1">
      <c r="A911" s="16" t="str">
        <v>B06-ND-40.5</v>
      </c>
      <c r="B911" s="16" t="str">
        <v>1店-MUSSHOE-US</v>
      </c>
      <c r="C911" s="16" t="str">
        <v>艾年</v>
      </c>
      <c r="D911" s="26" t="n">
        <f>IF(NOT(ISNUMBER(E911)),"",IF(OR(E911&lt;=0,L911=0),0,IF(OR(NOT(ISNUMBER(F911)),F911&lt;0),"",MIN(E911,INT(F911)))))</f>
        <v>0</v>
      </c>
      <c r="E911" s="27" t="n">
        <f>IF(OR(NOT(ISNUMBER(L911)),COUNT(M911:O911)&lt;&gt;3,MIN(M911:O911)&lt;0),"",ROUNDUP(ROUND(BI911-SUM(M911:O911),10),0))</f>
        <v>-51</v>
      </c>
      <c r="F911" s="28" t="n">
        <v>10</v>
      </c>
      <c r="G911" s="28" t="n">
        <f>IF(AND(ISNUMBER(D911),ISNUMBER(E911)),IF(OR(E911&lt;=0,L911=0),0,E911-D911),"")</f>
        <v>0</v>
      </c>
      <c r="H911" s="16" t="str">
        <f>IF(NOT(ISNUMBER(E911)),"销量或海外库存待补",IF(OR(E911&lt;=0,L911=0),IF(L911=0,"零日销，本批不发","本批无需补货"),IF(NOT(ISNUMBER(D911)),"国内库存待补",IF(D911=0,"国内无可用库存",IF(G911&gt;0,"先发国内现货","按建议量发货")))))</f>
        <v>本批无需补货</v>
      </c>
      <c r="I911" s="28" t="n">
        <f>IF(AND(COUNT(Z911,AA911,AB911)=3,Z911&gt;=AA911,AA911&gt;=0,AB911=7),Z911-AA911,"")</f>
        <v>8</v>
      </c>
      <c r="J911" s="28" t="n">
        <f>IF(AND(COUNT(AF911,AG911,AH911)=3,AF911&gt;=AG911,AG911&gt;=0,AH911=14),AF911-AG911,"")</f>
        <v>13</v>
      </c>
      <c r="K911" s="28" t="n">
        <f>IF(AND(COUNT(AL911,AM911,AN911)=3,AL911&gt;=AM911,AM911&gt;=0,AN911=30),AL911-AM911,"")</f>
        <v>24</v>
      </c>
      <c r="L911" s="29" t="n">
        <f>IF(ISNUMBER(BI911),BI911/90,"")</f>
        <v>0.5189257200677523</v>
      </c>
      <c r="M911" s="28" t="n">
        <v>38</v>
      </c>
      <c r="N911" s="28" t="n">
        <v>0</v>
      </c>
      <c r="O911" s="28" t="n">
        <v>59</v>
      </c>
      <c r="P911" s="30" t="n">
        <f>IF(AND(ISNUMBER(L911),L911&gt;0,COUNT(M911:O911)=3,MIN(M911:O911)&gt;=0),SUM(M911:O911)/L911,"")</f>
        <v>186.9246334279508</v>
      </c>
      <c r="Q911" s="16" t="str">
        <v>沿用原计划SKU店铺</v>
      </c>
      <c r="R911" s="16" t="str">
        <v>已匹配</v>
      </c>
      <c r="S911" s="16" t="str">
        <v>在售</v>
      </c>
      <c r="T911" s="16" t="str">
        <v>B06</v>
      </c>
      <c r="U911" s="16" t="str">
        <v>裸色羊京绒</v>
      </c>
      <c r="V911" s="16" t="n">
        <v>9.5</v>
      </c>
      <c r="W911" s="8" t="str">
        <v>2026-10-11 至 2026-10-17</v>
      </c>
      <c r="X911" s="8" t="str">
        <v>2026-10-11、2026-10-12、2026-10-13、2026-10-14、2026-10-15、2026-10-16、2026-10-17</v>
      </c>
      <c r="Y911" s="8" t="str">
        <v>无</v>
      </c>
      <c r="Z911" s="8" t="n">
        <v>8</v>
      </c>
      <c r="AA911" s="8" t="n">
        <v>0</v>
      </c>
      <c r="AB911" s="8" t="n">
        <v>7</v>
      </c>
      <c r="AC911" s="8" t="str">
        <v>2026-10-02 至 2026-10-17</v>
      </c>
      <c r="AD911" s="8" t="str">
        <v>2026-10-02、2026-10-03、2026-10-04、2026-10-05、2026-10-08、2026-10-09、2026-10-10、2026-10-11、2026-10-12、2026-10-13、2026-10-14、2026-10-15、2026-10-16、2026-10-17</v>
      </c>
      <c r="AE911" s="8" t="str">
        <v>2026-10-06 大促；2026-10-07 大促</v>
      </c>
      <c r="AF911" s="8" t="n">
        <v>16</v>
      </c>
      <c r="AG911" s="8" t="n">
        <v>3</v>
      </c>
      <c r="AH911" s="8" t="n">
        <v>14</v>
      </c>
      <c r="AI911" s="8" t="str">
        <v>2026-09-16 至 2026-10-17</v>
      </c>
      <c r="AJ9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1" s="8" t="str">
        <v>2026-10-06 大促；2026-10-07 大促</v>
      </c>
      <c r="AL911" s="8" t="n">
        <v>27</v>
      </c>
      <c r="AM911" s="8" t="n">
        <v>3</v>
      </c>
      <c r="AN911" s="8" t="n">
        <v>30</v>
      </c>
      <c r="AO911" s="8" t="str">
        <v>B06 / 裸色羊京绒 / 13120</v>
      </c>
      <c r="AP911" s="11" t="n">
        <v>1.2247029157699902</v>
      </c>
      <c r="AQ911" s="11" t="n">
        <v>1.2247029157699902</v>
      </c>
      <c r="AR911" s="11" t="n">
        <v>1.1136940657346173</v>
      </c>
      <c r="AS911" s="11" t="n">
        <f>IF(AND(COUNT(I911:K911,AP911:AR911)=6,MIN(AP911:AR911)&gt;0),I911/7/AP911*0.5+J911/14/AQ911*0.3+K911/30/AR911*0.2,"")</f>
        <v>0.8377118949130533</v>
      </c>
      <c r="AT911" s="8" t="n">
        <v>81</v>
      </c>
      <c r="AU911" s="8" t="n">
        <v>3</v>
      </c>
      <c r="AV911" s="8" t="n">
        <v>88</v>
      </c>
      <c r="AW911" s="11" t="n">
        <f>IF(AND(COUNT(AT911:AV911)=3,AT911&gt;=AU911,AU911&gt;=0,AV911&gt;0),(AT911-AU911)/AV911,"")</f>
        <v>0.8863636363636364</v>
      </c>
      <c r="AX911" s="8" t="n">
        <v>172</v>
      </c>
      <c r="AY911" s="8" t="n">
        <v>3</v>
      </c>
      <c r="AZ911" s="8" t="n">
        <v>178</v>
      </c>
      <c r="BA911" s="11" t="n">
        <f>IF(AND(COUNT(AX911:AZ911)=3,AX911&gt;=AY911,AY911&gt;=0,AZ911&gt;0),(AX911-AY911)/AZ911,"")</f>
        <v>0.949438202247191</v>
      </c>
      <c r="BB911" s="8" t="n">
        <f>IF(COUNT(AS911,AW911,BA911)=3,1,0)</f>
        <v>1</v>
      </c>
      <c r="BC911" s="11" t="n">
        <f>IF(SUMIF($AO$11:$AO$1309,AO911,$BB$11:$BB$1309)=COUNTIF($AO$11:$AO$1309,AO911),SUMIF($AO$11:$AO$1309,AO911,$AS$11:$AS$1309),"")</f>
        <v>10.520823885219587</v>
      </c>
      <c r="BD911" s="11" t="n">
        <f>IF(SUMIF($AO$11:$AO$1309,AO911,$BB$11:$BB$1309)=COUNTIF($AO$11:$AO$1309,AO911),SUMIF($AO$11:$AO$1309,AO911,$AW$11:$AW$1309),"")</f>
        <v>15.750802139037434</v>
      </c>
      <c r="BE911" s="11" t="n">
        <f>IF(SUMIF($AO$11:$AO$1309,AO911,$BB$11:$BB$1309)=COUNTIF($AO$11:$AO$1309,AO911),SUMIF($AO$11:$AO$1309,AO911,$BA$11:$BA$1309),"")</f>
        <v>13.725200642054572</v>
      </c>
      <c r="BF911" s="12" t="n">
        <f>IF(COUNT(BD911:BE911)&lt;&gt;2,"",IF(AND(BD911&gt;0,BE911&gt;0),0.7*AW911/BD911+0.3*BA911/BE911,IF(BD911&gt;0,AW911/BD911,IF(BE911&gt;0,BA911/BE911,IF(AND(ISNUMBER(BH911),BH911=0),0,"")))))</f>
        <v>0.060144377399693735</v>
      </c>
      <c r="BG911" s="11" t="n">
        <f>IF(AND(COUNT(BN911:BU911)=8,MIN(BN911:BU911)&gt;=0),SUMPRODUCT(BN911:BQ911,BR911:BU911),"")</f>
        <v>73.80791239847399</v>
      </c>
      <c r="BH911" s="11" t="n">
        <f>IF(COUNT(BC911,BG911)=2,BC911*BG911,"")</f>
        <v>776.52004768006</v>
      </c>
      <c r="BI911" s="11" t="n">
        <f>IF(ISNUMBER(CI911),CI911,"")</f>
        <v>46.70331480609771</v>
      </c>
      <c r="BJ911" s="8" t="str">
        <v>低销提醒依据不完整</v>
      </c>
      <c r="BK911" s="8" t="str">
        <v>90天：2026-07-20 至 2026-10-17；180天：2026-04-21 至 2026-10-17</v>
      </c>
      <c r="BL911" s="8" t="str">
        <v>90天：2026-10-06、2026-10-07；180天：2026-10-06、2026-10-07</v>
      </c>
      <c r="BM911" s="8" t="str">
        <v>2026-10：12天 × 1.2247029157699902；2026-11：30天 × 0.8332682139098497；2026-12：31天 × 0.5511018253564084；2027-01：17天 × 1.0017220238758797</v>
      </c>
      <c r="BN911" s="11" t="n">
        <v>1.2247029157699902</v>
      </c>
      <c r="BO911" s="11" t="n">
        <v>0.8332682139098497</v>
      </c>
      <c r="BP911" s="11" t="n">
        <v>0.5511018253564084</v>
      </c>
      <c r="BQ911" s="11" t="n">
        <v>1.0017220238758797</v>
      </c>
      <c r="BR911" s="8" t="n">
        <v>12</v>
      </c>
      <c r="BS911" s="8" t="n">
        <v>30</v>
      </c>
      <c r="BT911" s="8" t="n">
        <v>31</v>
      </c>
      <c r="BU911" s="8" t="n">
        <v>17</v>
      </c>
      <c r="BV911" s="11" t="n">
        <f>IF(COUNT(BC911,BF911)=2,BC911*BF911,"")</f>
        <v>0.632768402308359</v>
      </c>
      <c r="BW911" s="11" t="n">
        <f>IF(ISNUMBER(BN911),BN911,"")</f>
        <v>1.2247029157699902</v>
      </c>
      <c r="BX911" s="14" t="n">
        <f>IF(ISNUMBER(BR911),BR911,"")</f>
        <v>12</v>
      </c>
      <c r="BY911" s="13" t="n">
        <f>IF(AND(COUNT(BV911,BW911,BX911)=3,MIN(BV911,BW911,BX911)&gt;=0),BV911*BW911*BX911,"")</f>
        <v>9.299439687769986</v>
      </c>
      <c r="BZ911" s="11" t="n">
        <f>IF(ISNUMBER(BO911),BO911,"")</f>
        <v>0.8332682139098497</v>
      </c>
      <c r="CA911" s="14" t="n">
        <f>IF(ISNUMBER(BS911),BS911,"")</f>
        <v>30</v>
      </c>
      <c r="CB911" s="13" t="n">
        <f>IF(AND(COUNT(BV911,BZ911,CA911)=3,MIN(BV911,BZ911,CA911)&gt;=0),BV911*BZ911*CA911,"")</f>
        <v>15.817973892302266</v>
      </c>
      <c r="CC911" s="11" t="n">
        <f>IF(ISNUMBER(BP911),BP911,"")</f>
        <v>0.5511018253564084</v>
      </c>
      <c r="CD911" s="14" t="n">
        <f>IF(ISNUMBER(BT911),BT911,"")</f>
        <v>31</v>
      </c>
      <c r="CE911" s="13" t="n">
        <f>IF(AND(COUNT(BV911,CC911,CD911)=3,MIN(BV911,CC911,CD911)&gt;=0),BV911*CC911*CD911,"")</f>
        <v>10.81031446773984</v>
      </c>
      <c r="CF911" s="11" t="n">
        <f>IF(ISNUMBER(BQ911),BQ911,"")</f>
        <v>1.0017220238758797</v>
      </c>
      <c r="CG911" s="14" t="n">
        <f>IF(ISNUMBER(BU911),BU911,"")</f>
        <v>17</v>
      </c>
      <c r="CH911" s="13" t="n">
        <f>IF(AND(COUNT(BV911,CF911,CG911)=3,MIN(BV911,CF911,CG911)&gt;=0),BV911*CF911*CG911,"")</f>
        <v>10.775586758285616</v>
      </c>
      <c r="CI911" s="13" t="n">
        <f>IF(COUNT(BY911,CB911,CE911,CH911)=4,SUM(BY911,CB911,CE911,CH911),"")</f>
        <v>46.70331480609771</v>
      </c>
    </row>
    <row r="912" ht="72" customHeight="1">
      <c r="A912" s="16" t="str">
        <v>B06-ND-41-N</v>
      </c>
      <c r="B912" s="16" t="str">
        <v>1店-MUSSHOE-US</v>
      </c>
      <c r="C912" s="16" t="str">
        <v>艾年</v>
      </c>
      <c r="D912" s="26" t="n">
        <f>IF(NOT(ISNUMBER(E912)),"",IF(OR(E912&lt;=0,L912=0),0,IF(OR(NOT(ISNUMBER(F912)),F912&lt;0),"",MIN(E912,INT(F912)))))</f>
        <v>0</v>
      </c>
      <c r="E912" s="27" t="n">
        <f>IF(OR(NOT(ISNUMBER(L912)),COUNT(M912:O912)&lt;&gt;3,MIN(M912:O912)&lt;0),"",ROUNDUP(ROUND(BI912-SUM(M912:O912),10),0))</f>
        <v>-19</v>
      </c>
      <c r="F912" s="28" t="n">
        <v>18</v>
      </c>
      <c r="G912" s="28" t="n">
        <f>IF(AND(ISNUMBER(D912),ISNUMBER(E912)),IF(OR(E912&lt;=0,L912=0),0,E912-D912),"")</f>
        <v>0</v>
      </c>
      <c r="H912" s="16" t="str">
        <f>IF(NOT(ISNUMBER(E912)),"销量或海外库存待补",IF(OR(E912&lt;=0,L912=0),IF(L912=0,"零日销，本批不发","本批无需补货"),IF(NOT(ISNUMBER(D912)),"国内库存待补",IF(D912=0,"国内无可用库存",IF(G912&gt;0,"先发国内现货","按建议量发货")))))</f>
        <v>本批无需补货</v>
      </c>
      <c r="I912" s="28" t="n">
        <f>IF(AND(COUNT(Z912,AA912,AB912)=3,Z912&gt;=AA912,AA912&gt;=0,AB912=7),Z912-AA912,"")</f>
        <v>5</v>
      </c>
      <c r="J912" s="28" t="n">
        <f>IF(AND(COUNT(AF912,AG912,AH912)=3,AF912&gt;=AG912,AG912&gt;=0,AH912=14),AF912-AG912,"")</f>
        <v>7</v>
      </c>
      <c r="K912" s="28" t="n">
        <f>IF(AND(COUNT(AL912,AM912,AN912)=3,AL912&gt;=AM912,AM912&gt;=0,AN912=30),AL912-AM912,"")</f>
        <v>21</v>
      </c>
      <c r="L912" s="29" t="n">
        <f>IF(ISNUMBER(BI912),BI912/90,"")</f>
        <v>0.3910560955474875</v>
      </c>
      <c r="M912" s="28" t="n">
        <v>7</v>
      </c>
      <c r="N912" s="28" t="n">
        <v>0</v>
      </c>
      <c r="O912" s="28" t="n">
        <v>47</v>
      </c>
      <c r="P912" s="30" t="n">
        <f>IF(AND(ISNUMBER(L912),L912&gt;0,COUNT(M912:O912)=3,MIN(M912:O912)&gt;=0),SUM(M912:O912)/L912,"")</f>
        <v>138.08760588272833</v>
      </c>
      <c r="Q912" s="16" t="str">
        <v>沿用原计划SKU店铺</v>
      </c>
      <c r="R912" s="16" t="str">
        <v>已匹配</v>
      </c>
      <c r="S912" s="16" t="str">
        <v>在售</v>
      </c>
      <c r="T912" s="16" t="str">
        <v>B06</v>
      </c>
      <c r="U912" s="16" t="str">
        <v>裸色羊京绒</v>
      </c>
      <c r="V912" s="16" t="n">
        <v>10</v>
      </c>
      <c r="W912" s="8" t="str">
        <v>2026-10-11 至 2026-10-17</v>
      </c>
      <c r="X912" s="8" t="str">
        <v>2026-10-11、2026-10-12、2026-10-13、2026-10-14、2026-10-15、2026-10-16、2026-10-17</v>
      </c>
      <c r="Y912" s="8" t="str">
        <v>无</v>
      </c>
      <c r="Z912" s="8" t="n">
        <v>5</v>
      </c>
      <c r="AA912" s="8" t="n">
        <v>0</v>
      </c>
      <c r="AB912" s="8" t="n">
        <v>7</v>
      </c>
      <c r="AC912" s="8" t="str">
        <v>2026-10-02 至 2026-10-17</v>
      </c>
      <c r="AD912" s="8" t="str">
        <v>2026-10-02、2026-10-03、2026-10-04、2026-10-05、2026-10-08、2026-10-09、2026-10-10、2026-10-11、2026-10-12、2026-10-13、2026-10-14、2026-10-15、2026-10-16、2026-10-17</v>
      </c>
      <c r="AE912" s="8" t="str">
        <v>2026-10-06 大促；2026-10-07 大促</v>
      </c>
      <c r="AF912" s="8" t="n">
        <v>7</v>
      </c>
      <c r="AG912" s="8" t="n">
        <v>0</v>
      </c>
      <c r="AH912" s="8" t="n">
        <v>14</v>
      </c>
      <c r="AI912" s="8" t="str">
        <v>2026-09-16 至 2026-10-17</v>
      </c>
      <c r="AJ9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2" s="8" t="str">
        <v>2026-10-06 大促；2026-10-07 大促</v>
      </c>
      <c r="AL912" s="8" t="n">
        <v>21</v>
      </c>
      <c r="AM912" s="8" t="n">
        <v>0</v>
      </c>
      <c r="AN912" s="8" t="n">
        <v>30</v>
      </c>
      <c r="AO912" s="8" t="str">
        <v>B06 / 裸色羊京绒 / 13120</v>
      </c>
      <c r="AP912" s="11" t="n">
        <v>1.2247029157699902</v>
      </c>
      <c r="AQ912" s="11" t="n">
        <v>1.2247029157699902</v>
      </c>
      <c r="AR912" s="11" t="n">
        <v>1.1136940657346173</v>
      </c>
      <c r="AS912" s="11" t="n">
        <f>IF(AND(COUNT(I912:K912,AP912:AR912)=6,MIN(AP912:AR912)&gt;0),I912/7/AP912*0.5+J912/14/AQ912*0.3+K912/30/AR912*0.2,"")</f>
        <v>0.5398023666564329</v>
      </c>
      <c r="AT912" s="8" t="n">
        <v>63</v>
      </c>
      <c r="AU912" s="8" t="n">
        <v>0</v>
      </c>
      <c r="AV912" s="8" t="n">
        <v>88</v>
      </c>
      <c r="AW912" s="11" t="n">
        <f>IF(AND(COUNT(AT912:AV912)=3,AT912&gt;=AU912,AU912&gt;=0,AV912&gt;0),(AT912-AU912)/AV912,"")</f>
        <v>0.7159090909090909</v>
      </c>
      <c r="AX912" s="8" t="n">
        <v>110</v>
      </c>
      <c r="AY912" s="8" t="n">
        <v>0</v>
      </c>
      <c r="AZ912" s="8" t="n">
        <v>178</v>
      </c>
      <c r="BA912" s="11" t="n">
        <f>IF(AND(COUNT(AX912:AZ912)=3,AX912&gt;=AY912,AY912&gt;=0,AZ912&gt;0),(AX912-AY912)/AZ912,"")</f>
        <v>0.6179775280898876</v>
      </c>
      <c r="BB912" s="8" t="n">
        <f>IF(COUNT(AS912,AW912,BA912)=3,1,0)</f>
        <v>1</v>
      </c>
      <c r="BC912" s="11" t="n">
        <f>IF(SUMIF($AO$11:$AO$1309,AO912,$BB$11:$BB$1309)=COUNTIF($AO$11:$AO$1309,AO912),SUMIF($AO$11:$AO$1309,AO912,$AS$11:$AS$1309),"")</f>
        <v>10.520823885219587</v>
      </c>
      <c r="BD912" s="11" t="n">
        <f>IF(SUMIF($AO$11:$AO$1309,AO912,$BB$11:$BB$1309)=COUNTIF($AO$11:$AO$1309,AO912),SUMIF($AO$11:$AO$1309,AO912,$AW$11:$AW$1309),"")</f>
        <v>15.750802139037434</v>
      </c>
      <c r="BE912" s="11" t="n">
        <f>IF(SUMIF($AO$11:$AO$1309,AO912,$BB$11:$BB$1309)=COUNTIF($AO$11:$AO$1309,AO912),SUMIF($AO$11:$AO$1309,AO912,$BA$11:$BA$1309),"")</f>
        <v>13.725200642054572</v>
      </c>
      <c r="BF912" s="12" t="n">
        <f>IF(COUNT(BD912:BE912)&lt;&gt;2,"",IF(AND(BD912&gt;0,BE912&gt;0),0.7*AW912/BD912+0.3*BA912/BE912,IF(BD912&gt;0,AW912/BD912,IF(BE912&gt;0,BA912/BE912,IF(AND(ISNUMBER(BH912),BH912=0),0,"")))))</f>
        <v>0.045324069487224436</v>
      </c>
      <c r="BG912" s="11" t="n">
        <f>IF(AND(COUNT(BN912:BU912)=8,MIN(BN912:BU912)&gt;=0),SUMPRODUCT(BN912:BQ912,BR912:BU912),"")</f>
        <v>73.80791239847399</v>
      </c>
      <c r="BH912" s="11" t="n">
        <f>IF(COUNT(BC912,BG912)=2,BC912*BG912,"")</f>
        <v>776.52004768006</v>
      </c>
      <c r="BI912" s="11" t="n">
        <f>IF(ISNUMBER(CI912),CI912,"")</f>
        <v>35.195048599273875</v>
      </c>
      <c r="BJ912" s="8" t="str">
        <v>低销提醒依据不完整</v>
      </c>
      <c r="BK912" s="8" t="str">
        <v>90天：2026-07-20 至 2026-10-17；180天：2026-04-21 至 2026-10-17</v>
      </c>
      <c r="BL912" s="8" t="str">
        <v>90天：2026-10-06、2026-10-07；180天：2026-10-06、2026-10-07</v>
      </c>
      <c r="BM912" s="8" t="str">
        <v>2026-10：12天 × 1.2247029157699902；2026-11：30天 × 0.8332682139098497；2026-12：31天 × 0.5511018253564084；2027-01：17天 × 1.0017220238758797</v>
      </c>
      <c r="BN912" s="11" t="n">
        <v>1.2247029157699902</v>
      </c>
      <c r="BO912" s="11" t="n">
        <v>0.8332682139098497</v>
      </c>
      <c r="BP912" s="11" t="n">
        <v>0.5511018253564084</v>
      </c>
      <c r="BQ912" s="11" t="n">
        <v>1.0017220238758797</v>
      </c>
      <c r="BR912" s="8" t="n">
        <v>12</v>
      </c>
      <c r="BS912" s="8" t="n">
        <v>30</v>
      </c>
      <c r="BT912" s="8" t="n">
        <v>31</v>
      </c>
      <c r="BU912" s="8" t="n">
        <v>17</v>
      </c>
      <c r="BV912" s="11" t="n">
        <f>IF(COUNT(BC912,BF912)=2,BC912*BF912,"")</f>
        <v>0.4768465528365431</v>
      </c>
      <c r="BW912" s="11" t="n">
        <f>IF(ISNUMBER(BN912),BN912,"")</f>
        <v>1.2247029157699902</v>
      </c>
      <c r="BX912" s="14" t="n">
        <f>IF(ISNUMBER(BR912),BR912,"")</f>
        <v>12</v>
      </c>
      <c r="BY912" s="13" t="n">
        <f>IF(AND(COUNT(BV912,BW912,BX912)=3,MIN(BV912,BW912,BX912)&gt;=0),BV912*BW912*BX912,"")</f>
        <v>7.007944363605397</v>
      </c>
      <c r="BZ912" s="11" t="n">
        <f>IF(ISNUMBER(BO912),BO912,"")</f>
        <v>0.8332682139098497</v>
      </c>
      <c r="CA912" s="14" t="n">
        <f>IF(ISNUMBER(BS912),BS912,"")</f>
        <v>30</v>
      </c>
      <c r="CB912" s="13" t="n">
        <f>IF(AND(COUNT(BV912,BZ912,CA912)=3,MIN(BV912,BZ912,CA912)&gt;=0),BV912*BZ912*CA912,"")</f>
        <v>11.92023226173525</v>
      </c>
      <c r="CC912" s="11" t="n">
        <f>IF(ISNUMBER(BP912),BP912,"")</f>
        <v>0.5511018253564084</v>
      </c>
      <c r="CD912" s="14" t="n">
        <f>IF(ISNUMBER(BT912),BT912,"")</f>
        <v>31</v>
      </c>
      <c r="CE912" s="13" t="n">
        <f>IF(AND(COUNT(BV912,CC912,CD912)=3,MIN(BV912,CC912,CD912)&gt;=0),BV912*CC912*CD912,"")</f>
        <v>8.146521176177028</v>
      </c>
      <c r="CF912" s="11" t="n">
        <f>IF(ISNUMBER(BQ912),BQ912,"")</f>
        <v>1.0017220238758797</v>
      </c>
      <c r="CG912" s="14" t="n">
        <f>IF(ISNUMBER(BU912),BU912,"")</f>
        <v>17</v>
      </c>
      <c r="CH912" s="13" t="n">
        <f>IF(AND(COUNT(BV912,CF912,CG912)=3,MIN(BV912,CF912,CG912)&gt;=0),BV912*CF912*CG912,"")</f>
        <v>8.120350797756196</v>
      </c>
      <c r="CI912" s="13" t="n">
        <f>IF(COUNT(BY912,CB912,CE912,CH912)=4,SUM(BY912,CB912,CE912,CH912),"")</f>
        <v>35.195048599273875</v>
      </c>
    </row>
    <row r="913" ht="72" customHeight="1">
      <c r="A913" s="16" t="str">
        <v>B06-ND-41.5</v>
      </c>
      <c r="B913" s="16" t="str">
        <v>1店-MUSSHOE-US</v>
      </c>
      <c r="C913" s="16" t="str">
        <v>艾年</v>
      </c>
      <c r="D913" s="26" t="n">
        <f>IF(NOT(ISNUMBER(E913)),"",IF(OR(E913&lt;=0,L913=0),0,IF(OR(NOT(ISNUMBER(F913)),F913&lt;0),"",MIN(E913,INT(F913)))))</f>
        <v>0</v>
      </c>
      <c r="E913" s="27" t="n">
        <f>IF(OR(NOT(ISNUMBER(L913)),COUNT(M913:O913)&lt;&gt;3,MIN(M913:O913)&lt;0),"",ROUNDUP(ROUND(BI913-SUM(M913:O913),10),0))</f>
        <v>-10</v>
      </c>
      <c r="F913" s="28" t="n">
        <v>11</v>
      </c>
      <c r="G913" s="28" t="n">
        <f>IF(AND(ISNUMBER(D913),ISNUMBER(E913)),IF(OR(E913&lt;=0,L913=0),0,E913-D913),"")</f>
        <v>0</v>
      </c>
      <c r="H913" s="16" t="str">
        <f>IF(NOT(ISNUMBER(E913)),"销量或海外库存待补",IF(OR(E913&lt;=0,L913=0),IF(L913=0,"零日销，本批不发","本批无需补货"),IF(NOT(ISNUMBER(D913)),"国内库存待补",IF(D913=0,"国内无可用库存",IF(G913&gt;0,"先发国内现货","按建议量发货")))))</f>
        <v>本批无需补货</v>
      </c>
      <c r="I913" s="28" t="n">
        <f>IF(AND(COUNT(Z913,AA913,AB913)=3,Z913&gt;=AA913,AA913&gt;=0,AB913=7),Z913-AA913,"")</f>
        <v>1</v>
      </c>
      <c r="J913" s="28" t="n">
        <f>IF(AND(COUNT(AF913,AG913,AH913)=3,AF913&gt;=AG913,AG913&gt;=0,AH913=14),AF913-AG913,"")</f>
        <v>1</v>
      </c>
      <c r="K913" s="28" t="n">
        <f>IF(AND(COUNT(AL913,AM913,AN913)=3,AL913&gt;=AM913,AM913&gt;=0,AN913=30),AL913-AM913,"")</f>
        <v>2</v>
      </c>
      <c r="L913" s="29" t="n">
        <f>IF(ISNUMBER(BI913),BI913/90,"")</f>
        <v>0.1589682762133389</v>
      </c>
      <c r="M913" s="28" t="n">
        <v>13</v>
      </c>
      <c r="N913" s="28" t="n">
        <v>0</v>
      </c>
      <c r="O913" s="28" t="n">
        <v>11</v>
      </c>
      <c r="P913" s="30" t="n">
        <f>IF(AND(ISNUMBER(L913),L913&gt;0,COUNT(M913:O913)=3,MIN(M913:O913)&gt;=0),SUM(M913:O913)/L913,"")</f>
        <v>150.97351856411575</v>
      </c>
      <c r="Q913" s="16" t="str">
        <v>沿用原计划SKU店铺</v>
      </c>
      <c r="R913" s="16" t="str">
        <v>已匹配</v>
      </c>
      <c r="S913" s="16" t="str">
        <v>在售</v>
      </c>
      <c r="T913" s="16" t="str">
        <v>B06</v>
      </c>
      <c r="U913" s="16" t="str">
        <v>裸色羊京绒</v>
      </c>
      <c r="V913" s="16" t="n">
        <v>10.5</v>
      </c>
      <c r="W913" s="8" t="str">
        <v>2026-10-11 至 2026-10-17</v>
      </c>
      <c r="X913" s="8" t="str">
        <v>2026-10-11、2026-10-12、2026-10-13、2026-10-14、2026-10-15、2026-10-16、2026-10-17</v>
      </c>
      <c r="Y913" s="8" t="str">
        <v>无</v>
      </c>
      <c r="Z913" s="8" t="n">
        <v>1</v>
      </c>
      <c r="AA913" s="8" t="n">
        <v>0</v>
      </c>
      <c r="AB913" s="8" t="n">
        <v>7</v>
      </c>
      <c r="AC913" s="8" t="str">
        <v>2026-10-02 至 2026-10-17</v>
      </c>
      <c r="AD913" s="8" t="str">
        <v>2026-10-02、2026-10-03、2026-10-04、2026-10-05、2026-10-08、2026-10-09、2026-10-10、2026-10-11、2026-10-12、2026-10-13、2026-10-14、2026-10-15、2026-10-16、2026-10-17</v>
      </c>
      <c r="AE913" s="8" t="str">
        <v>2026-10-06 大促；2026-10-07 大促</v>
      </c>
      <c r="AF913" s="8" t="n">
        <v>1</v>
      </c>
      <c r="AG913" s="8" t="n">
        <v>0</v>
      </c>
      <c r="AH913" s="8" t="n">
        <v>14</v>
      </c>
      <c r="AI913" s="8" t="str">
        <v>2026-09-16 至 2026-10-17</v>
      </c>
      <c r="AJ9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3" s="8" t="str">
        <v>2026-10-06 大促；2026-10-07 大促</v>
      </c>
      <c r="AL913" s="8" t="n">
        <v>2</v>
      </c>
      <c r="AM913" s="8" t="n">
        <v>0</v>
      </c>
      <c r="AN913" s="8" t="n">
        <v>30</v>
      </c>
      <c r="AO913" s="8" t="str">
        <v>B06 / 裸色羊京绒 / 13120</v>
      </c>
      <c r="AP913" s="11" t="n">
        <v>1.2247029157699902</v>
      </c>
      <c r="AQ913" s="11" t="n">
        <v>1.2247029157699902</v>
      </c>
      <c r="AR913" s="11" t="n">
        <v>1.1136940657346173</v>
      </c>
      <c r="AS913" s="11" t="n">
        <f>IF(AND(COUNT(I913:K913,AP913:AR913)=6,MIN(AP913:AR913)&gt;0),I913/7/AP913*0.5+J913/14/AQ913*0.3+K913/30/AR913*0.2,"")</f>
        <v>0.08779230578746408</v>
      </c>
      <c r="AT913" s="8" t="n">
        <v>27</v>
      </c>
      <c r="AU913" s="8" t="n">
        <v>0</v>
      </c>
      <c r="AV913" s="8" t="n">
        <v>88</v>
      </c>
      <c r="AW913" s="11" t="n">
        <f>IF(AND(COUNT(AT913:AV913)=3,AT913&gt;=AU913,AU913&gt;=0,AV913&gt;0),(AT913-AU913)/AV913,"")</f>
        <v>0.3068181818181818</v>
      </c>
      <c r="AX913" s="8" t="n">
        <v>39</v>
      </c>
      <c r="AY913" s="8" t="n">
        <v>0</v>
      </c>
      <c r="AZ913" s="8" t="n">
        <v>178</v>
      </c>
      <c r="BA913" s="11" t="n">
        <f>IF(AND(COUNT(AX913:AZ913)=3,AX913&gt;=AY913,AY913&gt;=0,AZ913&gt;0),(AX913-AY913)/AZ913,"")</f>
        <v>0.21910112359550563</v>
      </c>
      <c r="BB913" s="8" t="n">
        <f>IF(COUNT(AS913,AW913,BA913)=3,1,0)</f>
        <v>1</v>
      </c>
      <c r="BC913" s="11" t="n">
        <f>IF(SUMIF($AO$11:$AO$1309,AO913,$BB$11:$BB$1309)=COUNTIF($AO$11:$AO$1309,AO913),SUMIF($AO$11:$AO$1309,AO913,$AS$11:$AS$1309),"")</f>
        <v>10.520823885219587</v>
      </c>
      <c r="BD913" s="11" t="n">
        <f>IF(SUMIF($AO$11:$AO$1309,AO913,$BB$11:$BB$1309)=COUNTIF($AO$11:$AO$1309,AO913),SUMIF($AO$11:$AO$1309,AO913,$AW$11:$AW$1309),"")</f>
        <v>15.750802139037434</v>
      </c>
      <c r="BE913" s="11" t="n">
        <f>IF(SUMIF($AO$11:$AO$1309,AO913,$BB$11:$BB$1309)=COUNTIF($AO$11:$AO$1309,AO913),SUMIF($AO$11:$AO$1309,AO913,$BA$11:$BA$1309),"")</f>
        <v>13.725200642054572</v>
      </c>
      <c r="BF913" s="12" t="n">
        <f>IF(COUNT(BD913:BE913)&lt;&gt;2,"",IF(AND(BD913&gt;0,BE913&gt;0),0.7*AW913/BD913+0.3*BA913/BE913,IF(BD913&gt;0,AW913/BD913,IF(BE913&gt;0,BA913/BE913,IF(AND(ISNUMBER(BH913),BH913=0),0,"")))))</f>
        <v>0.018424694767307924</v>
      </c>
      <c r="BG913" s="11" t="n">
        <f>IF(AND(COUNT(BN913:BU913)=8,MIN(BN913:BU913)&gt;=0),SUMPRODUCT(BN913:BQ913,BR913:BU913),"")</f>
        <v>73.80791239847399</v>
      </c>
      <c r="BH913" s="11" t="n">
        <f>IF(COUNT(BC913,BG913)=2,BC913*BG913,"")</f>
        <v>776.52004768006</v>
      </c>
      <c r="BI913" s="11" t="n">
        <f>IF(ISNUMBER(CI913),CI913,"")</f>
        <v>14.3071448592005</v>
      </c>
      <c r="BJ913" s="8" t="str">
        <v>低销提醒依据不完整</v>
      </c>
      <c r="BK913" s="8" t="str">
        <v>90天：2026-07-20 至 2026-10-17；180天：2026-04-21 至 2026-10-17</v>
      </c>
      <c r="BL913" s="8" t="str">
        <v>90天：2026-10-06、2026-10-07；180天：2026-10-06、2026-10-07</v>
      </c>
      <c r="BM913" s="8" t="str">
        <v>2026-10：12天 × 1.2247029157699902；2026-11：30天 × 0.8332682139098497；2026-12：31天 × 0.5511018253564084；2027-01：17天 × 1.0017220238758797</v>
      </c>
      <c r="BN913" s="11" t="n">
        <v>1.2247029157699902</v>
      </c>
      <c r="BO913" s="11" t="n">
        <v>0.8332682139098497</v>
      </c>
      <c r="BP913" s="11" t="n">
        <v>0.5511018253564084</v>
      </c>
      <c r="BQ913" s="11" t="n">
        <v>1.0017220238758797</v>
      </c>
      <c r="BR913" s="8" t="n">
        <v>12</v>
      </c>
      <c r="BS913" s="8" t="n">
        <v>30</v>
      </c>
      <c r="BT913" s="8" t="n">
        <v>31</v>
      </c>
      <c r="BU913" s="8" t="n">
        <v>17</v>
      </c>
      <c r="BV913" s="11" t="n">
        <f>IF(COUNT(BC913,BF913)=2,BC913*BF913,"")</f>
        <v>0.19384296878577353</v>
      </c>
      <c r="BW913" s="11" t="n">
        <f>IF(ISNUMBER(BN913),BN913,"")</f>
        <v>1.2247029157699902</v>
      </c>
      <c r="BX913" s="14" t="n">
        <f>IF(ISNUMBER(BR913),BR913,"")</f>
        <v>12</v>
      </c>
      <c r="BY913" s="13" t="n">
        <f>IF(AND(COUNT(BV913,BW913,BX913)=3,MIN(BV913,BW913,BX913)&gt;=0),BV913*BW913*BX913,"")</f>
        <v>2.8488005888813768</v>
      </c>
      <c r="BZ913" s="11" t="n">
        <f>IF(ISNUMBER(BO913),BO913,"")</f>
        <v>0.8332682139098497</v>
      </c>
      <c r="CA913" s="14" t="n">
        <f>IF(ISNUMBER(BS913),BS913,"")</f>
        <v>30</v>
      </c>
      <c r="CB913" s="13" t="n">
        <f>IF(AND(COUNT(BV913,BZ913,CA913)=3,MIN(BV913,BZ913,CA913)&gt;=0),BV913*BZ913*CA913,"")</f>
        <v>4.845695531373128</v>
      </c>
      <c r="CC913" s="11" t="n">
        <f>IF(ISNUMBER(BP913),BP913,"")</f>
        <v>0.5511018253564084</v>
      </c>
      <c r="CD913" s="14" t="n">
        <f>IF(ISNUMBER(BT913),BT913,"")</f>
        <v>31</v>
      </c>
      <c r="CE913" s="13" t="n">
        <f>IF(AND(COUNT(BV913,CC913,CD913)=3,MIN(BV913,CC913,CD913)&gt;=0),BV913*CC913*CD913,"")</f>
        <v>3.3116436318406977</v>
      </c>
      <c r="CF913" s="11" t="n">
        <f>IF(ISNUMBER(BQ913),BQ913,"")</f>
        <v>1.0017220238758797</v>
      </c>
      <c r="CG913" s="14" t="n">
        <f>IF(ISNUMBER(BU913),BU913,"")</f>
        <v>17</v>
      </c>
      <c r="CH913" s="13" t="n">
        <f>IF(AND(COUNT(BV913,CF913,CG913)=3,MIN(BV913,CF913,CG913)&gt;=0),BV913*CF913*CG913,"")</f>
        <v>3.301005107105299</v>
      </c>
      <c r="CI913" s="13" t="n">
        <f>IF(COUNT(BY913,CB913,CE913,CH913)=4,SUM(BY913,CB913,CE913,CH913),"")</f>
        <v>14.3071448592005</v>
      </c>
    </row>
    <row r="914" ht="72" customHeight="1">
      <c r="A914" s="16" t="str">
        <v>B06-ND-42-N</v>
      </c>
      <c r="B914" s="16" t="str">
        <v>1店-MUSSHOE-US</v>
      </c>
      <c r="C914" s="16" t="str">
        <v>艾年</v>
      </c>
      <c r="D914" s="26" t="n">
        <f>IF(NOT(ISNUMBER(E914)),"",IF(OR(E914&lt;=0,L914=0),0,IF(OR(NOT(ISNUMBER(F914)),F914&lt;0),"",MIN(E914,INT(F914)))))</f>
        <v>0</v>
      </c>
      <c r="E914" s="27" t="n">
        <f>IF(OR(NOT(ISNUMBER(L914)),COUNT(M914:O914)&lt;&gt;3,MIN(M914:O914)&lt;0),"",ROUNDUP(ROUND(BI914-SUM(M914:O914),10),0))</f>
        <v>-8</v>
      </c>
      <c r="F914" s="28" t="n">
        <v>0</v>
      </c>
      <c r="G914" s="28" t="n">
        <f>IF(AND(ISNUMBER(D914),ISNUMBER(E914)),IF(OR(E914&lt;=0,L914=0),0,E914-D914),"")</f>
        <v>0</v>
      </c>
      <c r="H914" s="16" t="str">
        <f>IF(NOT(ISNUMBER(E914)),"销量或海外库存待补",IF(OR(E914&lt;=0,L914=0),IF(L914=0,"零日销，本批不发","本批无需补货"),IF(NOT(ISNUMBER(D914)),"国内库存待补",IF(D914=0,"国内无可用库存",IF(G914&gt;0,"先发国内现货","按建议量发货")))))</f>
        <v>本批无需补货</v>
      </c>
      <c r="I914" s="28" t="n">
        <f>IF(AND(COUNT(Z914,AA914,AB914)=3,Z914&gt;=AA914,AA914&gt;=0,AB914=7),Z914-AA914,"")</f>
        <v>4</v>
      </c>
      <c r="J914" s="28" t="n">
        <f>IF(AND(COUNT(AF914,AG914,AH914)=3,AF914&gt;=AG914,AG914&gt;=0,AH914=14),AF914-AG914,"")</f>
        <v>9</v>
      </c>
      <c r="K914" s="28" t="n">
        <f>IF(AND(COUNT(AL914,AM914,AN914)=3,AL914&gt;=AM914,AM914&gt;=0,AN914=30),AL914-AM914,"")</f>
        <v>19</v>
      </c>
      <c r="L914" s="29" t="n">
        <f>IF(ISNUMBER(BI914),BI914/90,"")</f>
        <v>0.25057671564370587</v>
      </c>
      <c r="M914" s="28" t="n">
        <v>3</v>
      </c>
      <c r="N914" s="28" t="n">
        <v>0</v>
      </c>
      <c r="O914" s="28" t="n">
        <v>27</v>
      </c>
      <c r="P914" s="30" t="n">
        <f>IF(AND(ISNUMBER(L914),L914&gt;0,COUNT(M914:O914)=3,MIN(M914:O914)&gt;=0),SUM(M914:O914)/L914,"")</f>
        <v>119.72381361505629</v>
      </c>
      <c r="Q914" s="16" t="str">
        <v>沿用原计划SKU店铺</v>
      </c>
      <c r="R914" s="16" t="str">
        <v>已匹配</v>
      </c>
      <c r="S914" s="16" t="str">
        <v>在售</v>
      </c>
      <c r="T914" s="16" t="str">
        <v>B06</v>
      </c>
      <c r="U914" s="16" t="str">
        <v>裸色羊京绒</v>
      </c>
      <c r="V914" s="16" t="n">
        <v>11</v>
      </c>
      <c r="W914" s="8" t="str">
        <v>2026-10-11 至 2026-10-17</v>
      </c>
      <c r="X914" s="8" t="str">
        <v>2026-10-11、2026-10-12、2026-10-13、2026-10-14、2026-10-15、2026-10-16、2026-10-17</v>
      </c>
      <c r="Y914" s="8" t="str">
        <v>无</v>
      </c>
      <c r="Z914" s="8" t="n">
        <v>4</v>
      </c>
      <c r="AA914" s="8" t="n">
        <v>0</v>
      </c>
      <c r="AB914" s="8" t="n">
        <v>7</v>
      </c>
      <c r="AC914" s="8" t="str">
        <v>2026-10-02 至 2026-10-17</v>
      </c>
      <c r="AD914" s="8" t="str">
        <v>2026-10-02、2026-10-03、2026-10-04、2026-10-05、2026-10-08、2026-10-09、2026-10-10、2026-10-11、2026-10-12、2026-10-13、2026-10-14、2026-10-15、2026-10-16、2026-10-17</v>
      </c>
      <c r="AE914" s="8" t="str">
        <v>2026-10-06 大促；2026-10-07 大促</v>
      </c>
      <c r="AF914" s="8" t="n">
        <v>12</v>
      </c>
      <c r="AG914" s="8" t="n">
        <v>3</v>
      </c>
      <c r="AH914" s="8" t="n">
        <v>14</v>
      </c>
      <c r="AI914" s="8" t="str">
        <v>2026-09-16 至 2026-10-17</v>
      </c>
      <c r="AJ9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4" s="8" t="str">
        <v>2026-10-06 大促；2026-10-07 大促</v>
      </c>
      <c r="AL914" s="8" t="n">
        <v>22</v>
      </c>
      <c r="AM914" s="8" t="n">
        <v>3</v>
      </c>
      <c r="AN914" s="8" t="n">
        <v>30</v>
      </c>
      <c r="AO914" s="8" t="str">
        <v>B06 / 裸色羊京绒 / 13120</v>
      </c>
      <c r="AP914" s="11" t="n">
        <v>1.2247029157699902</v>
      </c>
      <c r="AQ914" s="11" t="n">
        <v>1.2247029157699902</v>
      </c>
      <c r="AR914" s="11" t="n">
        <v>1.1136940657346173</v>
      </c>
      <c r="AS914" s="11" t="n">
        <f>IF(AND(COUNT(I914:K914,AP914:AR914)=6,MIN(AP914:AR914)&gt;0),I914/7/AP914*0.5+J914/14/AQ914*0.3+K914/30/AR914*0.2,"")</f>
        <v>0.5045009249454184</v>
      </c>
      <c r="AT914" s="8" t="n">
        <v>43</v>
      </c>
      <c r="AU914" s="8" t="n">
        <v>3</v>
      </c>
      <c r="AV914" s="8" t="n">
        <v>88</v>
      </c>
      <c r="AW914" s="11" t="n">
        <f>IF(AND(COUNT(AT914:AV914)=3,AT914&gt;=AU914,AU914&gt;=0,AV914&gt;0),(AT914-AU914)/AV914,"")</f>
        <v>0.45454545454545453</v>
      </c>
      <c r="AX914" s="8" t="n">
        <v>75</v>
      </c>
      <c r="AY914" s="8" t="n">
        <v>3</v>
      </c>
      <c r="AZ914" s="8" t="n">
        <v>178</v>
      </c>
      <c r="BA914" s="11" t="n">
        <f>IF(AND(COUNT(AX914:AZ914)=3,AX914&gt;=AY914,AY914&gt;=0,AZ914&gt;0),(AX914-AY914)/AZ914,"")</f>
        <v>0.4044943820224719</v>
      </c>
      <c r="BB914" s="8" t="n">
        <f>IF(COUNT(AS914,AW914,BA914)=3,1,0)</f>
        <v>1</v>
      </c>
      <c r="BC914" s="11" t="n">
        <f>IF(SUMIF($AO$11:$AO$1309,AO914,$BB$11:$BB$1309)=COUNTIF($AO$11:$AO$1309,AO914),SUMIF($AO$11:$AO$1309,AO914,$AS$11:$AS$1309),"")</f>
        <v>10.520823885219587</v>
      </c>
      <c r="BD914" s="11" t="n">
        <f>IF(SUMIF($AO$11:$AO$1309,AO914,$BB$11:$BB$1309)=COUNTIF($AO$11:$AO$1309,AO914),SUMIF($AO$11:$AO$1309,AO914,$AW$11:$AW$1309),"")</f>
        <v>15.750802139037434</v>
      </c>
      <c r="BE914" s="11" t="n">
        <f>IF(SUMIF($AO$11:$AO$1309,AO914,$BB$11:$BB$1309)=COUNTIF($AO$11:$AO$1309,AO914),SUMIF($AO$11:$AO$1309,AO914,$BA$11:$BA$1309),"")</f>
        <v>13.725200642054572</v>
      </c>
      <c r="BF914" s="12" t="n">
        <f>IF(COUNT(BD914:BE914)&lt;&gt;2,"",IF(AND(BD914&gt;0,BE914&gt;0),0.7*AW914/BD914+0.3*BA914/BE914,IF(BD914&gt;0,AW914/BD914,IF(BE914&gt;0,BA914/BE914,IF(AND(ISNUMBER(BH914),BH914=0),0,"")))))</f>
        <v>0.02904226938545869</v>
      </c>
      <c r="BG914" s="11" t="n">
        <f>IF(AND(COUNT(BN914:BU914)=8,MIN(BN914:BU914)&gt;=0),SUMPRODUCT(BN914:BQ914,BR914:BU914),"")</f>
        <v>73.80791239847399</v>
      </c>
      <c r="BH914" s="11" t="n">
        <f>IF(COUNT(BC914,BG914)=2,BC914*BG914,"")</f>
        <v>776.52004768006</v>
      </c>
      <c r="BI914" s="11" t="n">
        <f>IF(ISNUMBER(CI914),CI914,"")</f>
        <v>22.551904407933527</v>
      </c>
      <c r="BJ914" s="8" t="str">
        <v>低销提醒依据不完整</v>
      </c>
      <c r="BK914" s="8" t="str">
        <v>90天：2026-07-20 至 2026-10-17；180天：2026-04-21 至 2026-10-17</v>
      </c>
      <c r="BL914" s="8" t="str">
        <v>90天：2026-10-06、2026-10-07；180天：2026-10-06、2026-10-07</v>
      </c>
      <c r="BM914" s="8" t="str">
        <v>2026-10：12天 × 1.2247029157699902；2026-11：30天 × 0.8332682139098497；2026-12：31天 × 0.5511018253564084；2027-01：17天 × 1.0017220238758797</v>
      </c>
      <c r="BN914" s="11" t="n">
        <v>1.2247029157699902</v>
      </c>
      <c r="BO914" s="11" t="n">
        <v>0.8332682139098497</v>
      </c>
      <c r="BP914" s="11" t="n">
        <v>0.5511018253564084</v>
      </c>
      <c r="BQ914" s="11" t="n">
        <v>1.0017220238758797</v>
      </c>
      <c r="BR914" s="8" t="n">
        <v>12</v>
      </c>
      <c r="BS914" s="8" t="n">
        <v>30</v>
      </c>
      <c r="BT914" s="8" t="n">
        <v>31</v>
      </c>
      <c r="BU914" s="8" t="n">
        <v>17</v>
      </c>
      <c r="BV914" s="11" t="n">
        <f>IF(COUNT(BC914,BF914)=2,BC914*BF914,"")</f>
        <v>0.30554860143151535</v>
      </c>
      <c r="BW914" s="11" t="n">
        <f>IF(ISNUMBER(BN914),BN914,"")</f>
        <v>1.2247029157699902</v>
      </c>
      <c r="BX914" s="14" t="n">
        <f>IF(ISNUMBER(BR914),BR914,"")</f>
        <v>12</v>
      </c>
      <c r="BY914" s="13" t="n">
        <f>IF(AND(COUNT(BV914,BW914,BX914)=3,MIN(BV914,BW914,BX914)&gt;=0),BV914*BW914*BX914,"")</f>
        <v>4.490475156991433</v>
      </c>
      <c r="BZ914" s="11" t="n">
        <f>IF(ISNUMBER(BO914),BO914,"")</f>
        <v>0.8332682139098497</v>
      </c>
      <c r="CA914" s="14" t="n">
        <f>IF(ISNUMBER(BS914),BS914,"")</f>
        <v>30</v>
      </c>
      <c r="CB914" s="13" t="n">
        <f>IF(AND(COUNT(BV914,BZ914,CA914)=3,MIN(BV914,BZ914,CA914)&gt;=0),BV914*BZ914*CA914,"")</f>
        <v>7.638118121324741</v>
      </c>
      <c r="CC914" s="11" t="n">
        <f>IF(ISNUMBER(BP914),BP914,"")</f>
        <v>0.5511018253564084</v>
      </c>
      <c r="CD914" s="14" t="n">
        <f>IF(ISNUMBER(BT914),BT914,"")</f>
        <v>31</v>
      </c>
      <c r="CE914" s="13" t="n">
        <f>IF(AND(COUNT(BV914,CC914,CD914)=3,MIN(BV914,CC914,CD914)&gt;=0),BV914*CC914*CD914,"")</f>
        <v>5.220040151504181</v>
      </c>
      <c r="CF914" s="11" t="n">
        <f>IF(ISNUMBER(BQ914),BQ914,"")</f>
        <v>1.0017220238758797</v>
      </c>
      <c r="CG914" s="14" t="n">
        <f>IF(ISNUMBER(BU914),BU914,"")</f>
        <v>17</v>
      </c>
      <c r="CH914" s="13" t="n">
        <f>IF(AND(COUNT(BV914,CF914,CG914)=3,MIN(BV914,CF914,CG914)&gt;=0),BV914*CF914*CG914,"")</f>
        <v>5.203270978113176</v>
      </c>
      <c r="CI914" s="13" t="n">
        <f>IF(COUNT(BY914,CB914,CE914,CH914)=4,SUM(BY914,CB914,CE914,CH914),"")</f>
        <v>22.551904407933527</v>
      </c>
    </row>
    <row r="915" ht="72" customHeight="1">
      <c r="A915" s="16" t="str">
        <v>B06-ND-Z-0-37.5</v>
      </c>
      <c r="B915" s="16" t="str">
        <v>1店-MUSSHOE-US</v>
      </c>
      <c r="C915" s="16" t="str">
        <v>艾年</v>
      </c>
      <c r="D915" s="26" t="n">
        <f>IF(NOT(ISNUMBER(E915)),"",IF(OR(E915&lt;=0,L915=0),0,IF(OR(NOT(ISNUMBER(F915)),F915&lt;0),"",MIN(E915,INT(F915)))))</f>
        <v>0</v>
      </c>
      <c r="E915" s="27" t="n">
        <f>IF(OR(NOT(ISNUMBER(L915)),COUNT(M915:O915)&lt;&gt;3,MIN(M915:O915)&lt;0),"",ROUNDUP(ROUND(BI915-SUM(M915:O915),10),0))</f>
        <v>0</v>
      </c>
      <c r="F915" s="28"/>
      <c r="G915" s="28" t="n">
        <f>IF(AND(ISNUMBER(D915),ISNUMBER(E915)),IF(OR(E915&lt;=0,L915=0),0,E915-D915),"")</f>
        <v>0</v>
      </c>
      <c r="H915" s="16" t="str">
        <f>IF(NOT(ISNUMBER(E915)),"销量或海外库存待补",IF(OR(E915&lt;=0,L915=0),IF(L915=0,"零日销，本批不发","本批无需补货"),IF(NOT(ISNUMBER(D915)),"国内库存待补",IF(D915=0,"国内无可用库存",IF(G915&gt;0,"先发国内现货","按建议量发货")))))</f>
        <v>零日销，本批不发</v>
      </c>
      <c r="I915" s="28" t="n">
        <f>IF(AND(COUNT(Z915,AA915,AB915)=3,Z915&gt;=AA915,AA915&gt;=0,AB915=7),Z915-AA915,"")</f>
        <v>0</v>
      </c>
      <c r="J915" s="28" t="n">
        <f>IF(AND(COUNT(AF915,AG915,AH915)=3,AF915&gt;=AG915,AG915&gt;=0,AH915=14),AF915-AG915,"")</f>
        <v>0</v>
      </c>
      <c r="K915" s="28" t="n">
        <f>IF(AND(COUNT(AL915,AM915,AN915)=3,AL915&gt;=AM915,AM915&gt;=0,AN915=30),AL915-AM915,"")</f>
        <v>0</v>
      </c>
      <c r="L915" s="29" t="n">
        <f>IF(ISNUMBER(BI915),BI915/90,"")</f>
        <v>0</v>
      </c>
      <c r="M915" s="28" t="n">
        <v>0</v>
      </c>
      <c r="N915" s="28" t="n">
        <v>0</v>
      </c>
      <c r="O915" s="28" t="n">
        <v>0</v>
      </c>
      <c r="P915" s="30" t="str">
        <f>IF(AND(ISNUMBER(L915),L915&gt;0,COUNT(M915:O915)=3,MIN(M915:O915)&gt;=0),SUM(M915:O915)/L915,"")</f>
      </c>
      <c r="Q915" s="16" t="str">
        <v>沿用原计划SKU店铺</v>
      </c>
      <c r="R915" s="16" t="str">
        <v>未匹配</v>
      </c>
      <c r="S915" s="16" t="str">
        <v>停售</v>
      </c>
      <c r="T915" s="16" t="str">
        <v>B06</v>
      </c>
      <c r="U915" s="16" t="str">
        <v>裸色镜面PU</v>
      </c>
      <c r="V915" s="16" t="n">
        <v>6.5</v>
      </c>
      <c r="W915" s="8" t="str">
        <v>2026-10-08 至 2026-10-17</v>
      </c>
      <c r="X915" s="8" t="str">
        <v>2026-10-08、2026-10-09、2026-10-10、2026-10-11、2026-10-14、2026-10-15、2026-10-17</v>
      </c>
      <c r="Y915" s="8" t="str">
        <v>2026-10-12 有记录的停售日；2026-10-13 有记录的停售日；2026-10-16 有记录的停售日</v>
      </c>
      <c r="Z915" s="8" t="n">
        <v>0</v>
      </c>
      <c r="AA915" s="8" t="n">
        <v>0</v>
      </c>
      <c r="AB915" s="8" t="n">
        <v>7</v>
      </c>
      <c r="AC915" s="8" t="str">
        <v>2026-09-29 至 2026-10-17</v>
      </c>
      <c r="AD915" s="8" t="str">
        <v>2026-09-29、2026-09-30、2026-10-01、2026-10-02、2026-10-03、2026-10-04、2026-10-05、2026-10-08、2026-10-09、2026-10-10、2026-10-11、2026-10-14、2026-10-15、2026-10-17</v>
      </c>
      <c r="AE915" s="8" t="str">
        <v>2026-10-06 大促；2026-10-07 大促；2026-10-12 有记录的停售日；2026-10-13 有记录的停售日；2026-10-16 有记录的停售日</v>
      </c>
      <c r="AF915" s="8" t="n">
        <v>0</v>
      </c>
      <c r="AG915" s="8" t="n">
        <v>0</v>
      </c>
      <c r="AH915" s="8" t="n">
        <v>14</v>
      </c>
      <c r="AI915" s="8" t="str">
        <v>2026-09-13 至 2026-10-17</v>
      </c>
      <c r="AJ9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15" s="8" t="str">
        <v>2026-10-06 大促；2026-10-07 大促；2026-10-12 有记录的停售日；2026-10-13 有记录的停售日；2026-10-16 有记录的停售日</v>
      </c>
      <c r="AL915" s="8" t="n">
        <v>0</v>
      </c>
      <c r="AM915" s="8" t="n">
        <v>0</v>
      </c>
      <c r="AN915" s="8" t="n">
        <v>30</v>
      </c>
      <c r="AO915" s="8" t="str">
        <v>B06 / 裸色羊京绒 / 13120</v>
      </c>
      <c r="AP915" s="11" t="n">
        <v>1.2247029157699902</v>
      </c>
      <c r="AQ915" s="11" t="n">
        <v>1.1929861014741694</v>
      </c>
      <c r="AR915" s="11" t="n">
        <v>1.0914922957275428</v>
      </c>
      <c r="AS915" s="11" t="n">
        <f>IF(AND(COUNT(I915:K915,AP915:AR915)=6,MIN(AP915:AR915)&gt;0),I915/7/AP915*0.5+J915/14/AQ915*0.3+K915/30/AR915*0.2,"")</f>
        <v>0</v>
      </c>
      <c r="AT915" s="8" t="n">
        <v>0</v>
      </c>
      <c r="AU915" s="8" t="n">
        <v>0</v>
      </c>
      <c r="AV915" s="8" t="n">
        <v>85</v>
      </c>
      <c r="AW915" s="11" t="n">
        <f>IF(AND(COUNT(AT915:AV915)=3,AT915&gt;=AU915,AU915&gt;=0,AV915&gt;0),(AT915-AU915)/AV915,"")</f>
        <v>0</v>
      </c>
      <c r="AX915" s="8" t="n">
        <v>0</v>
      </c>
      <c r="AY915" s="8" t="n">
        <v>0</v>
      </c>
      <c r="AZ915" s="8" t="n">
        <v>175</v>
      </c>
      <c r="BA915" s="11" t="n">
        <f>IF(AND(COUNT(AX915:AZ915)=3,AX915&gt;=AY915,AY915&gt;=0,AZ915&gt;0),(AX915-AY915)/AZ915,"")</f>
        <v>0</v>
      </c>
      <c r="BB915" s="8" t="n">
        <f>IF(COUNT(AS915,AW915,BA915)=3,1,0)</f>
        <v>1</v>
      </c>
      <c r="BC915" s="11" t="n">
        <f>IF(SUMIF($AO$11:$AO$1309,AO915,$BB$11:$BB$1309)=COUNTIF($AO$11:$AO$1309,AO915),SUMIF($AO$11:$AO$1309,AO915,$AS$11:$AS$1309),"")</f>
        <v>10.520823885219587</v>
      </c>
      <c r="BD915" s="11" t="n">
        <f>IF(SUMIF($AO$11:$AO$1309,AO915,$BB$11:$BB$1309)=COUNTIF($AO$11:$AO$1309,AO915),SUMIF($AO$11:$AO$1309,AO915,$AW$11:$AW$1309),"")</f>
        <v>15.750802139037434</v>
      </c>
      <c r="BE915" s="11" t="n">
        <f>IF(SUMIF($AO$11:$AO$1309,AO915,$BB$11:$BB$1309)=COUNTIF($AO$11:$AO$1309,AO915),SUMIF($AO$11:$AO$1309,AO915,$BA$11:$BA$1309),"")</f>
        <v>13.725200642054572</v>
      </c>
      <c r="BF915" s="12" t="n">
        <f>IF(COUNT(BD915:BE915)&lt;&gt;2,"",IF(AND(BD915&gt;0,BE915&gt;0),0.7*AW915/BD915+0.3*BA915/BE915,IF(BD915&gt;0,AW915/BD915,IF(BE915&gt;0,BA915/BE915,IF(AND(ISNUMBER(BH915),BH915=0),0,"")))))</f>
        <v>0</v>
      </c>
      <c r="BG915" s="11" t="n">
        <f>IF(AND(COUNT(BN915:BU915)=8,MIN(BN915:BU915)&gt;=0),SUMPRODUCT(BN915:BQ915,BR915:BU915),"")</f>
        <v>73.80791239847399</v>
      </c>
      <c r="BH915" s="11" t="n">
        <f>IF(COUNT(BC915,BG915)=2,BC915*BG915,"")</f>
        <v>776.52004768006</v>
      </c>
      <c r="BI915" s="11" t="n">
        <f>IF(ISNUMBER(CI915),CI915,"")</f>
        <v>0</v>
      </c>
      <c r="BJ915" s="8" t="str">
        <v>低销提醒依据不完整</v>
      </c>
      <c r="BK915" s="8" t="str">
        <v>90天：2026-07-20 至 2026-10-17；180天：2026-04-21 至 2026-10-17</v>
      </c>
      <c r="BL915" s="8" t="str">
        <v>90天：2026-10-06、2026-10-07、2026-10-12、2026-10-13、2026-10-16；180天：2026-10-06、2026-10-07、2026-10-12、2026-10-13、2026-10-16</v>
      </c>
      <c r="BM915" s="8" t="str">
        <v>2026-10：12天 × 1.2247029157699902；2026-11：30天 × 0.8332682139098497；2026-12：31天 × 0.5511018253564084；2027-01：17天 × 1.0017220238758797</v>
      </c>
      <c r="BN915" s="11" t="n">
        <v>1.2247029157699902</v>
      </c>
      <c r="BO915" s="11" t="n">
        <v>0.8332682139098497</v>
      </c>
      <c r="BP915" s="11" t="n">
        <v>0.5511018253564084</v>
      </c>
      <c r="BQ915" s="11" t="n">
        <v>1.0017220238758797</v>
      </c>
      <c r="BR915" s="8" t="n">
        <v>12</v>
      </c>
      <c r="BS915" s="8" t="n">
        <v>30</v>
      </c>
      <c r="BT915" s="8" t="n">
        <v>31</v>
      </c>
      <c r="BU915" s="8" t="n">
        <v>17</v>
      </c>
      <c r="BV915" s="11" t="n">
        <f>IF(COUNT(BC915,BF915)=2,BC915*BF915,"")</f>
        <v>0</v>
      </c>
      <c r="BW915" s="11" t="n">
        <f>IF(ISNUMBER(BN915),BN915,"")</f>
        <v>1.2247029157699902</v>
      </c>
      <c r="BX915" s="14" t="n">
        <f>IF(ISNUMBER(BR915),BR915,"")</f>
        <v>12</v>
      </c>
      <c r="BY915" s="13" t="n">
        <f>IF(AND(COUNT(BV915,BW915,BX915)=3,MIN(BV915,BW915,BX915)&gt;=0),BV915*BW915*BX915,"")</f>
        <v>0</v>
      </c>
      <c r="BZ915" s="11" t="n">
        <f>IF(ISNUMBER(BO915),BO915,"")</f>
        <v>0.8332682139098497</v>
      </c>
      <c r="CA915" s="14" t="n">
        <f>IF(ISNUMBER(BS915),BS915,"")</f>
        <v>30</v>
      </c>
      <c r="CB915" s="13" t="n">
        <f>IF(AND(COUNT(BV915,BZ915,CA915)=3,MIN(BV915,BZ915,CA915)&gt;=0),BV915*BZ915*CA915,"")</f>
        <v>0</v>
      </c>
      <c r="CC915" s="11" t="n">
        <f>IF(ISNUMBER(BP915),BP915,"")</f>
        <v>0.5511018253564084</v>
      </c>
      <c r="CD915" s="14" t="n">
        <f>IF(ISNUMBER(BT915),BT915,"")</f>
        <v>31</v>
      </c>
      <c r="CE915" s="13" t="n">
        <f>IF(AND(COUNT(BV915,CC915,CD915)=3,MIN(BV915,CC915,CD915)&gt;=0),BV915*CC915*CD915,"")</f>
        <v>0</v>
      </c>
      <c r="CF915" s="11" t="n">
        <f>IF(ISNUMBER(BQ915),BQ915,"")</f>
        <v>1.0017220238758797</v>
      </c>
      <c r="CG915" s="14" t="n">
        <f>IF(ISNUMBER(BU915),BU915,"")</f>
        <v>17</v>
      </c>
      <c r="CH915" s="13" t="n">
        <f>IF(AND(COUNT(BV915,CF915,CG915)=3,MIN(BV915,CF915,CG915)&gt;=0),BV915*CF915*CG915,"")</f>
        <v>0</v>
      </c>
      <c r="CI915" s="13" t="n">
        <f>IF(COUNT(BY915,CB915,CE915,CH915)=4,SUM(BY915,CB915,CE915,CH915),"")</f>
        <v>0</v>
      </c>
    </row>
    <row r="916" ht="72" customHeight="1">
      <c r="A916" s="16" t="str">
        <v>B06-ND-Z-0-38</v>
      </c>
      <c r="B916" s="16" t="str">
        <v>1店-MUSSHOE-US</v>
      </c>
      <c r="C916" s="16" t="str">
        <v>艾年</v>
      </c>
      <c r="D916" s="26" t="n">
        <f>IF(NOT(ISNUMBER(E916)),"",IF(OR(E916&lt;=0,L916=0),0,IF(OR(NOT(ISNUMBER(F916)),F916&lt;0),"",MIN(E916,INT(F916)))))</f>
        <v>0</v>
      </c>
      <c r="E916" s="27" t="n">
        <f>IF(OR(NOT(ISNUMBER(L916)),COUNT(M916:O916)&lt;&gt;3,MIN(M916:O916)&lt;0),"",ROUNDUP(ROUND(BI916-SUM(M916:O916),10),0))</f>
        <v>-2</v>
      </c>
      <c r="F916" s="28" t="n">
        <v>0</v>
      </c>
      <c r="G916" s="28" t="n">
        <f>IF(AND(ISNUMBER(D916),ISNUMBER(E916)),IF(OR(E916&lt;=0,L916=0),0,E916-D916),"")</f>
        <v>0</v>
      </c>
      <c r="H916" s="16" t="str">
        <f>IF(NOT(ISNUMBER(E916)),"销量或海外库存待补",IF(OR(E916&lt;=0,L916=0),IF(L916=0,"零日销，本批不发","本批无需补货"),IF(NOT(ISNUMBER(D916)),"国内库存待补",IF(D916=0,"国内无可用库存",IF(G916&gt;0,"先发国内现货","按建议量发货")))))</f>
        <v>本批无需补货</v>
      </c>
      <c r="I916" s="28" t="n">
        <f>IF(AND(COUNT(Z916,AA916,AB916)=3,Z916&gt;=AA916,AA916&gt;=0,AB916=7),Z916-AA916,"")</f>
        <v>0</v>
      </c>
      <c r="J916" s="28" t="n">
        <f>IF(AND(COUNT(AF916,AG916,AH916)=3,AF916&gt;=AG916,AG916&gt;=0,AH916=14),AF916-AG916,"")</f>
        <v>0</v>
      </c>
      <c r="K916" s="28" t="n">
        <f>IF(AND(COUNT(AL916,AM916,AN916)=3,AL916&gt;=AM916,AM916&gt;=0,AN916=30),AL916-AM916,"")</f>
        <v>2</v>
      </c>
      <c r="L916" s="29" t="n">
        <f>IF(ISNUMBER(BI916),BI916/90,"")</f>
        <v>0.025905255468217456</v>
      </c>
      <c r="M916" s="28" t="n">
        <v>4</v>
      </c>
      <c r="N916" s="28" t="n">
        <v>0</v>
      </c>
      <c r="O916" s="28" t="n">
        <v>0</v>
      </c>
      <c r="P916" s="30" t="n">
        <f>IF(AND(ISNUMBER(L916),L916&gt;0,COUNT(M916:O916)=3,MIN(M916:O916)&gt;=0),SUM(M916:O916)/L916,"")</f>
        <v>154.4088227544216</v>
      </c>
      <c r="Q916" s="16" t="str">
        <v>沿用原计划SKU店铺</v>
      </c>
      <c r="R916" s="16" t="str">
        <v>已匹配</v>
      </c>
      <c r="S916" s="16" t="str">
        <v>在售</v>
      </c>
      <c r="T916" s="16" t="str">
        <v>B06</v>
      </c>
      <c r="U916" s="16" t="str">
        <v>裸色镜面PU</v>
      </c>
      <c r="V916" s="16" t="n">
        <v>7</v>
      </c>
      <c r="W916" s="8" t="str">
        <v>2026-10-11 至 2026-10-17</v>
      </c>
      <c r="X916" s="8" t="str">
        <v>2026-10-11、2026-10-12、2026-10-13、2026-10-14、2026-10-15、2026-10-16、2026-10-17</v>
      </c>
      <c r="Y916" s="8" t="str">
        <v>无</v>
      </c>
      <c r="Z916" s="8" t="n">
        <v>0</v>
      </c>
      <c r="AA916" s="8" t="n">
        <v>0</v>
      </c>
      <c r="AB916" s="8" t="n">
        <v>7</v>
      </c>
      <c r="AC916" s="8" t="str">
        <v>2026-10-02 至 2026-10-17</v>
      </c>
      <c r="AD916" s="8" t="str">
        <v>2026-10-02、2026-10-03、2026-10-04、2026-10-05、2026-10-08、2026-10-09、2026-10-10、2026-10-11、2026-10-12、2026-10-13、2026-10-14、2026-10-15、2026-10-16、2026-10-17</v>
      </c>
      <c r="AE916" s="8" t="str">
        <v>2026-10-06 大促；2026-10-07 大促</v>
      </c>
      <c r="AF916" s="8" t="n">
        <v>0</v>
      </c>
      <c r="AG916" s="8" t="n">
        <v>0</v>
      </c>
      <c r="AH916" s="8" t="n">
        <v>14</v>
      </c>
      <c r="AI916" s="8" t="str">
        <v>2026-09-16 至 2026-10-17</v>
      </c>
      <c r="AJ9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6" s="8" t="str">
        <v>2026-10-06 大促；2026-10-07 大促</v>
      </c>
      <c r="AL916" s="8" t="n">
        <v>2</v>
      </c>
      <c r="AM916" s="8" t="n">
        <v>0</v>
      </c>
      <c r="AN916" s="8" t="n">
        <v>30</v>
      </c>
      <c r="AO916" s="8" t="str">
        <v>B06 / 裸色羊京绒 / 13120</v>
      </c>
      <c r="AP916" s="11" t="n">
        <v>1.2247029157699902</v>
      </c>
      <c r="AQ916" s="11" t="n">
        <v>1.2247029157699902</v>
      </c>
      <c r="AR916" s="11" t="n">
        <v>1.1136940657346173</v>
      </c>
      <c r="AS916" s="11" t="n">
        <f>IF(AND(COUNT(I916:K916,AP916:AR916)=6,MIN(AP916:AR916)&gt;0),I916/7/AP916*0.5+J916/14/AQ916*0.3+K916/30/AR916*0.2,"")</f>
        <v>0.011972168788147733</v>
      </c>
      <c r="AT916" s="8" t="n">
        <v>4</v>
      </c>
      <c r="AU916" s="8" t="n">
        <v>0</v>
      </c>
      <c r="AV916" s="8" t="n">
        <v>88</v>
      </c>
      <c r="AW916" s="11" t="n">
        <f>IF(AND(COUNT(AT916:AV916)=3,AT916&gt;=AU916,AU916&gt;=0,AV916&gt;0),(AT916-AU916)/AV916,"")</f>
        <v>0.045454545454545456</v>
      </c>
      <c r="AX916" s="8" t="n">
        <v>8</v>
      </c>
      <c r="AY916" s="8" t="n">
        <v>0</v>
      </c>
      <c r="AZ916" s="8" t="n">
        <v>178</v>
      </c>
      <c r="BA916" s="11" t="n">
        <f>IF(AND(COUNT(AX916:AZ916)=3,AX916&gt;=AY916,AY916&gt;=0,AZ916&gt;0),(AX916-AY916)/AZ916,"")</f>
        <v>0.0449438202247191</v>
      </c>
      <c r="BB916" s="8" t="n">
        <f>IF(COUNT(AS916,AW916,BA916)=3,1,0)</f>
        <v>1</v>
      </c>
      <c r="BC916" s="11" t="n">
        <f>IF(SUMIF($AO$11:$AO$1309,AO916,$BB$11:$BB$1309)=COUNTIF($AO$11:$AO$1309,AO916),SUMIF($AO$11:$AO$1309,AO916,$AS$11:$AS$1309),"")</f>
        <v>10.520823885219587</v>
      </c>
      <c r="BD916" s="11" t="n">
        <f>IF(SUMIF($AO$11:$AO$1309,AO916,$BB$11:$BB$1309)=COUNTIF($AO$11:$AO$1309,AO916),SUMIF($AO$11:$AO$1309,AO916,$AW$11:$AW$1309),"")</f>
        <v>15.750802139037434</v>
      </c>
      <c r="BE916" s="11" t="n">
        <f>IF(SUMIF($AO$11:$AO$1309,AO916,$BB$11:$BB$1309)=COUNTIF($AO$11:$AO$1309,AO916),SUMIF($AO$11:$AO$1309,AO916,$BA$11:$BA$1309),"")</f>
        <v>13.725200642054572</v>
      </c>
      <c r="BF916" s="12" t="n">
        <f>IF(COUNT(BD916:BE916)&lt;&gt;2,"",IF(AND(BD916&gt;0,BE916&gt;0),0.7*AW916/BD916+0.3*BA916/BE916,IF(BD916&gt;0,AW916/BD916,IF(BE916&gt;0,BA916/BE916,IF(AND(ISNUMBER(BH916),BH916=0),0,"")))))</f>
        <v>0.003002463360868926</v>
      </c>
      <c r="BG916" s="11" t="n">
        <f>IF(AND(COUNT(BN916:BU916)=8,MIN(BN916:BU916)&gt;=0),SUMPRODUCT(BN916:BQ916,BR916:BU916),"")</f>
        <v>73.80791239847399</v>
      </c>
      <c r="BH916" s="11" t="n">
        <f>IF(COUNT(BC916,BG916)=2,BC916*BG916,"")</f>
        <v>776.52004768006</v>
      </c>
      <c r="BI916" s="11" t="n">
        <f>IF(ISNUMBER(CI916),CI916,"")</f>
        <v>2.331472992139571</v>
      </c>
      <c r="BJ916" s="8" t="str">
        <v>低销提醒依据不完整</v>
      </c>
      <c r="BK916" s="8" t="str">
        <v>90天：2026-07-20 至 2026-10-17；180天：2026-04-21 至 2026-10-17</v>
      </c>
      <c r="BL916" s="8" t="str">
        <v>90天：2026-10-06、2026-10-07；180天：2026-10-06、2026-10-07</v>
      </c>
      <c r="BM916" s="8" t="str">
        <v>2026-10：12天 × 1.2247029157699902；2026-11：30天 × 0.8332682139098497；2026-12：31天 × 0.5511018253564084；2027-01：17天 × 1.0017220238758797</v>
      </c>
      <c r="BN916" s="11" t="n">
        <v>1.2247029157699902</v>
      </c>
      <c r="BO916" s="11" t="n">
        <v>0.8332682139098497</v>
      </c>
      <c r="BP916" s="11" t="n">
        <v>0.5511018253564084</v>
      </c>
      <c r="BQ916" s="11" t="n">
        <v>1.0017220238758797</v>
      </c>
      <c r="BR916" s="8" t="n">
        <v>12</v>
      </c>
      <c r="BS916" s="8" t="n">
        <v>30</v>
      </c>
      <c r="BT916" s="8" t="n">
        <v>31</v>
      </c>
      <c r="BU916" s="8" t="n">
        <v>17</v>
      </c>
      <c r="BV916" s="11" t="n">
        <f>IF(COUNT(BC916,BF916)=2,BC916*BF916,"")</f>
        <v>0.03158838824152647</v>
      </c>
      <c r="BW916" s="11" t="n">
        <f>IF(ISNUMBER(BN916),BN916,"")</f>
        <v>1.2247029157699902</v>
      </c>
      <c r="BX916" s="14" t="n">
        <f>IF(ISNUMBER(BR916),BR916,"")</f>
        <v>12</v>
      </c>
      <c r="BY916" s="13" t="n">
        <f>IF(AND(COUNT(BV916,BW916,BX916)=3,MIN(BV916,BW916,BX916)&gt;=0),BV916*BW916*BX916,"")</f>
        <v>0.4642366942064633</v>
      </c>
      <c r="BZ916" s="11" t="n">
        <f>IF(ISNUMBER(BO916),BO916,"")</f>
        <v>0.8332682139098497</v>
      </c>
      <c r="CA916" s="14" t="n">
        <f>IF(ISNUMBER(BS916),BS916,"")</f>
        <v>30</v>
      </c>
      <c r="CB916" s="13" t="n">
        <f>IF(AND(COUNT(BV916,BZ916,CA916)=3,MIN(BV916,BZ916,CA916)&gt;=0),BV916*BZ916*CA916,"")</f>
        <v>0.7896479955092297</v>
      </c>
      <c r="CC916" s="11" t="n">
        <f>IF(ISNUMBER(BP916),BP916,"")</f>
        <v>0.5511018253564084</v>
      </c>
      <c r="CD916" s="14" t="n">
        <f>IF(ISNUMBER(BT916),BT916,"")</f>
        <v>31</v>
      </c>
      <c r="CE916" s="13" t="n">
        <f>IF(AND(COUNT(BV916,CC916,CD916)=3,MIN(BV916,CC916,CD916)&gt;=0),BV916*CC916*CD916,"")</f>
        <v>0.5396609710191365</v>
      </c>
      <c r="CF916" s="11" t="n">
        <f>IF(ISNUMBER(BQ916),BQ916,"")</f>
        <v>1.0017220238758797</v>
      </c>
      <c r="CG916" s="14" t="n">
        <f>IF(ISNUMBER(BU916),BU916,"")</f>
        <v>17</v>
      </c>
      <c r="CH916" s="13" t="n">
        <f>IF(AND(COUNT(BV916,CF916,CG916)=3,MIN(BV916,CF916,CG916)&gt;=0),BV916*CF916*CG916,"")</f>
        <v>0.5379273314047418</v>
      </c>
      <c r="CI916" s="13" t="n">
        <f>IF(COUNT(BY916,CB916,CE916,CH916)=4,SUM(BY916,CB916,CE916,CH916),"")</f>
        <v>2.331472992139571</v>
      </c>
    </row>
    <row r="917" ht="72" customHeight="1">
      <c r="A917" s="16" t="str">
        <v>B06-ND-Z-0-39.5</v>
      </c>
      <c r="B917" s="16" t="str">
        <v>1店-MUSSHOE-US</v>
      </c>
      <c r="C917" s="16" t="str">
        <v>艾年</v>
      </c>
      <c r="D917" s="26" t="n">
        <f>IF(NOT(ISNUMBER(E917)),"",IF(OR(E917&lt;=0,L917=0),0,IF(OR(NOT(ISNUMBER(F917)),F917&lt;0),"",MIN(E917,INT(F917)))))</f>
        <v>0</v>
      </c>
      <c r="E917" s="27" t="n">
        <f>IF(OR(NOT(ISNUMBER(L917)),COUNT(M917:O917)&lt;&gt;3,MIN(M917:O917)&lt;0),"",ROUNDUP(ROUND(BI917-SUM(M917:O917),10),0))</f>
        <v>-9</v>
      </c>
      <c r="F917" s="28" t="n">
        <v>0</v>
      </c>
      <c r="G917" s="28" t="n">
        <f>IF(AND(ISNUMBER(D917),ISNUMBER(E917)),IF(OR(E917&lt;=0,L917=0),0,E917-D917),"")</f>
        <v>0</v>
      </c>
      <c r="H917" s="16" t="str">
        <f>IF(NOT(ISNUMBER(E917)),"销量或海外库存待补",IF(OR(E917&lt;=0,L917=0),IF(L917=0,"零日销，本批不发","本批无需补货"),IF(NOT(ISNUMBER(D917)),"国内库存待补",IF(D917=0,"国内无可用库存",IF(G917&gt;0,"先发国内现货","按建议量发货")))))</f>
        <v>本批无需补货</v>
      </c>
      <c r="I917" s="28" t="n">
        <f>IF(AND(COUNT(Z917,AA917,AB917)=3,Z917&gt;=AA917,AA917&gt;=0,AB917=7),Z917-AA917,"")</f>
        <v>1</v>
      </c>
      <c r="J917" s="28" t="n">
        <f>IF(AND(COUNT(AF917,AG917,AH917)=3,AF917&gt;=AG917,AG917&gt;=0,AH917=14),AF917-AG917,"")</f>
        <v>1</v>
      </c>
      <c r="K917" s="28" t="n">
        <f>IF(AND(COUNT(AL917,AM917,AN917)=3,AL917&gt;=AM917,AM917&gt;=0,AN917=30),AL917-AM917,"")</f>
        <v>1</v>
      </c>
      <c r="L917" s="29" t="n">
        <f>IF(ISNUMBER(BI917),BI917/90,"")</f>
        <v>0.03885788320232619</v>
      </c>
      <c r="M917" s="28" t="n">
        <v>12</v>
      </c>
      <c r="N917" s="28" t="n">
        <v>0</v>
      </c>
      <c r="O917" s="28" t="n">
        <v>0</v>
      </c>
      <c r="P917" s="30" t="n">
        <f>IF(AND(ISNUMBER(L917),L917&gt;0,COUNT(M917:O917)=3,MIN(M917:O917)&gt;=0),SUM(M917:O917)/L917,"")</f>
        <v>308.8176455088431</v>
      </c>
      <c r="Q917" s="16" t="str">
        <v>沿用原计划SKU店铺</v>
      </c>
      <c r="R917" s="16" t="str">
        <v>已匹配</v>
      </c>
      <c r="S917" s="16" t="str">
        <v>在售</v>
      </c>
      <c r="T917" s="16" t="str">
        <v>B06</v>
      </c>
      <c r="U917" s="16" t="str">
        <v>裸色镜面PU</v>
      </c>
      <c r="V917" s="16" t="n">
        <v>8.5</v>
      </c>
      <c r="W917" s="8" t="str">
        <v>2026-10-11 至 2026-10-17</v>
      </c>
      <c r="X917" s="8" t="str">
        <v>2026-10-11、2026-10-12、2026-10-13、2026-10-14、2026-10-15、2026-10-16、2026-10-17</v>
      </c>
      <c r="Y917" s="8" t="str">
        <v>无</v>
      </c>
      <c r="Z917" s="8" t="n">
        <v>1</v>
      </c>
      <c r="AA917" s="8" t="n">
        <v>0</v>
      </c>
      <c r="AB917" s="8" t="n">
        <v>7</v>
      </c>
      <c r="AC917" s="8" t="str">
        <v>2026-10-02 至 2026-10-17</v>
      </c>
      <c r="AD917" s="8" t="str">
        <v>2026-10-02、2026-10-03、2026-10-04、2026-10-05、2026-10-08、2026-10-09、2026-10-10、2026-10-11、2026-10-12、2026-10-13、2026-10-14、2026-10-15、2026-10-16、2026-10-17</v>
      </c>
      <c r="AE917" s="8" t="str">
        <v>2026-10-06 大促；2026-10-07 大促</v>
      </c>
      <c r="AF917" s="8" t="n">
        <v>2</v>
      </c>
      <c r="AG917" s="8" t="n">
        <v>1</v>
      </c>
      <c r="AH917" s="8" t="n">
        <v>14</v>
      </c>
      <c r="AI917" s="8" t="str">
        <v>2026-09-16 至 2026-10-17</v>
      </c>
      <c r="AJ9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7" s="8" t="str">
        <v>2026-10-06 大促；2026-10-07 大促</v>
      </c>
      <c r="AL917" s="8" t="n">
        <v>2</v>
      </c>
      <c r="AM917" s="8" t="n">
        <v>1</v>
      </c>
      <c r="AN917" s="8" t="n">
        <v>30</v>
      </c>
      <c r="AO917" s="8" t="str">
        <v>B06 / 裸色羊京绒 / 13120</v>
      </c>
      <c r="AP917" s="11" t="n">
        <v>1.2247029157699902</v>
      </c>
      <c r="AQ917" s="11" t="n">
        <v>1.2247029157699902</v>
      </c>
      <c r="AR917" s="11" t="n">
        <v>1.1136940657346173</v>
      </c>
      <c r="AS917" s="11" t="n">
        <f>IF(AND(COUNT(I917:K917,AP917:AR917)=6,MIN(AP917:AR917)&gt;0),I917/7/AP917*0.5+J917/14/AQ917*0.3+K917/30/AR917*0.2,"")</f>
        <v>0.08180622139339022</v>
      </c>
      <c r="AT917" s="8" t="n">
        <v>7</v>
      </c>
      <c r="AU917" s="8" t="n">
        <v>1</v>
      </c>
      <c r="AV917" s="8" t="n">
        <v>88</v>
      </c>
      <c r="AW917" s="11" t="n">
        <f>IF(AND(COUNT(AT917:AV917)=3,AT917&gt;=AU917,AU917&gt;=0,AV917&gt;0),(AT917-AU917)/AV917,"")</f>
        <v>0.06818181818181818</v>
      </c>
      <c r="AX917" s="8" t="n">
        <v>13</v>
      </c>
      <c r="AY917" s="8" t="n">
        <v>1</v>
      </c>
      <c r="AZ917" s="8" t="n">
        <v>178</v>
      </c>
      <c r="BA917" s="11" t="n">
        <f>IF(AND(COUNT(AX917:AZ917)=3,AX917&gt;=AY917,AY917&gt;=0,AZ917&gt;0),(AX917-AY917)/AZ917,"")</f>
        <v>0.06741573033707865</v>
      </c>
      <c r="BB917" s="8" t="n">
        <f>IF(COUNT(AS917,AW917,BA917)=3,1,0)</f>
        <v>1</v>
      </c>
      <c r="BC917" s="11" t="n">
        <f>IF(SUMIF($AO$11:$AO$1309,AO917,$BB$11:$BB$1309)=COUNTIF($AO$11:$AO$1309,AO917),SUMIF($AO$11:$AO$1309,AO917,$AS$11:$AS$1309),"")</f>
        <v>10.520823885219587</v>
      </c>
      <c r="BD917" s="11" t="n">
        <f>IF(SUMIF($AO$11:$AO$1309,AO917,$BB$11:$BB$1309)=COUNTIF($AO$11:$AO$1309,AO917),SUMIF($AO$11:$AO$1309,AO917,$AW$11:$AW$1309),"")</f>
        <v>15.750802139037434</v>
      </c>
      <c r="BE917" s="11" t="n">
        <f>IF(SUMIF($AO$11:$AO$1309,AO917,$BB$11:$BB$1309)=COUNTIF($AO$11:$AO$1309,AO917),SUMIF($AO$11:$AO$1309,AO917,$BA$11:$BA$1309),"")</f>
        <v>13.725200642054572</v>
      </c>
      <c r="BF917" s="12" t="n">
        <f>IF(COUNT(BD917:BE917)&lt;&gt;2,"",IF(AND(BD917&gt;0,BE917&gt;0),0.7*AW917/BD917+0.3*BA917/BE917,IF(BD917&gt;0,AW917/BD917,IF(BE917&gt;0,BA917/BE917,IF(AND(ISNUMBER(BH917),BH917=0),0,"")))))</f>
        <v>0.004503695041303389</v>
      </c>
      <c r="BG917" s="11" t="n">
        <f>IF(AND(COUNT(BN917:BU917)=8,MIN(BN917:BU917)&gt;=0),SUMPRODUCT(BN917:BQ917,BR917:BU917),"")</f>
        <v>73.80791239847399</v>
      </c>
      <c r="BH917" s="11" t="n">
        <f>IF(COUNT(BC917,BG917)=2,BC917*BG917,"")</f>
        <v>776.52004768006</v>
      </c>
      <c r="BI917" s="11" t="n">
        <f>IF(ISNUMBER(CI917),CI917,"")</f>
        <v>3.497209488209357</v>
      </c>
      <c r="BJ917" s="8" t="str">
        <v>低销提醒依据不完整</v>
      </c>
      <c r="BK917" s="8" t="str">
        <v>90天：2026-07-20 至 2026-10-17；180天：2026-04-21 至 2026-10-17</v>
      </c>
      <c r="BL917" s="8" t="str">
        <v>90天：2026-10-06、2026-10-07；180天：2026-10-06、2026-10-07</v>
      </c>
      <c r="BM917" s="8" t="str">
        <v>2026-10：12天 × 1.2247029157699902；2026-11：30天 × 0.8332682139098497；2026-12：31天 × 0.5511018253564084；2027-01：17天 × 1.0017220238758797</v>
      </c>
      <c r="BN917" s="11" t="n">
        <v>1.2247029157699902</v>
      </c>
      <c r="BO917" s="11" t="n">
        <v>0.8332682139098497</v>
      </c>
      <c r="BP917" s="11" t="n">
        <v>0.5511018253564084</v>
      </c>
      <c r="BQ917" s="11" t="n">
        <v>1.0017220238758797</v>
      </c>
      <c r="BR917" s="8" t="n">
        <v>12</v>
      </c>
      <c r="BS917" s="8" t="n">
        <v>30</v>
      </c>
      <c r="BT917" s="8" t="n">
        <v>31</v>
      </c>
      <c r="BU917" s="8" t="n">
        <v>17</v>
      </c>
      <c r="BV917" s="11" t="n">
        <f>IF(COUNT(BC917,BF917)=2,BC917*BF917,"")</f>
        <v>0.047382582362289705</v>
      </c>
      <c r="BW917" s="11" t="n">
        <f>IF(ISNUMBER(BN917),BN917,"")</f>
        <v>1.2247029157699902</v>
      </c>
      <c r="BX917" s="14" t="n">
        <f>IF(ISNUMBER(BR917),BR917,"")</f>
        <v>12</v>
      </c>
      <c r="BY917" s="13" t="n">
        <f>IF(AND(COUNT(BV917,BW917,BX917)=3,MIN(BV917,BW917,BX917)&gt;=0),BV917*BW917*BX917,"")</f>
        <v>0.6963550413096949</v>
      </c>
      <c r="BZ917" s="11" t="n">
        <f>IF(ISNUMBER(BO917),BO917,"")</f>
        <v>0.8332682139098497</v>
      </c>
      <c r="CA917" s="14" t="n">
        <f>IF(ISNUMBER(BS917),BS917,"")</f>
        <v>30</v>
      </c>
      <c r="CB917" s="13" t="n">
        <f>IF(AND(COUNT(BV917,BZ917,CA917)=3,MIN(BV917,BZ917,CA917)&gt;=0),BV917*BZ917*CA917,"")</f>
        <v>1.1844719932638446</v>
      </c>
      <c r="CC917" s="11" t="n">
        <f>IF(ISNUMBER(BP917),BP917,"")</f>
        <v>0.5511018253564084</v>
      </c>
      <c r="CD917" s="14" t="n">
        <f>IF(ISNUMBER(BT917),BT917,"")</f>
        <v>31</v>
      </c>
      <c r="CE917" s="13" t="n">
        <f>IF(AND(COUNT(BV917,CC917,CD917)=3,MIN(BV917,CC917,CD917)&gt;=0),BV917*CC917*CD917,"")</f>
        <v>0.8094914565287047</v>
      </c>
      <c r="CF917" s="11" t="n">
        <f>IF(ISNUMBER(BQ917),BQ917,"")</f>
        <v>1.0017220238758797</v>
      </c>
      <c r="CG917" s="14" t="n">
        <f>IF(ISNUMBER(BU917),BU917,"")</f>
        <v>17</v>
      </c>
      <c r="CH917" s="13" t="n">
        <f>IF(AND(COUNT(BV917,CF917,CG917)=3,MIN(BV917,CF917,CG917)&gt;=0),BV917*CF917*CG917,"")</f>
        <v>0.8068909971071129</v>
      </c>
      <c r="CI917" s="13" t="n">
        <f>IF(COUNT(BY917,CB917,CE917,CH917)=4,SUM(BY917,CB917,CE917,CH917),"")</f>
        <v>3.497209488209357</v>
      </c>
    </row>
    <row r="918" ht="72" customHeight="1">
      <c r="A918" s="16" t="str">
        <v>B06-NY-37.5</v>
      </c>
      <c r="B918" s="16" t="str">
        <v>1店-MUSSHOE-US</v>
      </c>
      <c r="C918" s="16" t="str">
        <v>艾年</v>
      </c>
      <c r="D918" s="26" t="n">
        <f>IF(NOT(ISNUMBER(E918)),"",IF(OR(E918&lt;=0,L918=0),0,IF(OR(NOT(ISNUMBER(F918)),F918&lt;0),"",MIN(E918,INT(F918)))))</f>
        <v>0</v>
      </c>
      <c r="E918" s="27" t="n">
        <f>IF(OR(NOT(ISNUMBER(L918)),COUNT(M918:O918)&lt;&gt;3,MIN(M918:O918)&lt;0),"",ROUNDUP(ROUND(BI918-SUM(M918:O918),10),0))</f>
        <v>-34</v>
      </c>
      <c r="F918" s="28" t="n">
        <v>30</v>
      </c>
      <c r="G918" s="28" t="n">
        <f>IF(AND(ISNUMBER(D918),ISNUMBER(E918)),IF(OR(E918&lt;=0,L918=0),0,E918-D918),"")</f>
        <v>0</v>
      </c>
      <c r="H918" s="16" t="str">
        <f>IF(NOT(ISNUMBER(E918)),"销量或海外库存待补",IF(OR(E918&lt;=0,L918=0),IF(L918=0,"零日销，本批不发","本批无需补货"),IF(NOT(ISNUMBER(D918)),"国内库存待补",IF(D918=0,"国内无可用库存",IF(G918&gt;0,"先发国内现货","按建议量发货")))))</f>
        <v>本批无需补货</v>
      </c>
      <c r="I918" s="28" t="n">
        <f>IF(AND(COUNT(Z918,AA918,AB918)=3,Z918&gt;=AA918,AA918&gt;=0,AB918=7),Z918-AA918,"")</f>
        <v>1</v>
      </c>
      <c r="J918" s="28" t="n">
        <f>IF(AND(COUNT(AF918,AG918,AH918)=3,AF918&gt;=AG918,AG918&gt;=0,AH918=14),AF918-AG918,"")</f>
        <v>1</v>
      </c>
      <c r="K918" s="28" t="n">
        <f>IF(AND(COUNT(AL918,AM918,AN918)=3,AL918&gt;=AM918,AM918&gt;=0,AN918=30),AL918-AM918,"")</f>
        <v>3</v>
      </c>
      <c r="L918" s="29" t="n">
        <f>IF(ISNUMBER(BI918),BI918/90,"")</f>
        <v>0.10687409326933366</v>
      </c>
      <c r="M918" s="28" t="n">
        <v>34</v>
      </c>
      <c r="N918" s="28" t="n">
        <v>0</v>
      </c>
      <c r="O918" s="28" t="n">
        <v>9</v>
      </c>
      <c r="P918" s="30" t="n">
        <f>IF(AND(ISNUMBER(L918),L918&gt;0,COUNT(M918:O918)=3,MIN(M918:O918)&gt;=0),SUM(M918:O918)/L918,"")</f>
        <v>402.3425947730438</v>
      </c>
      <c r="Q918" s="16" t="str">
        <v>沿用原计划SKU店铺</v>
      </c>
      <c r="R918" s="16" t="str">
        <v>已匹配</v>
      </c>
      <c r="S918" s="16" t="str">
        <v>在售</v>
      </c>
      <c r="T918" s="16" t="str">
        <v>B06</v>
      </c>
      <c r="U918" s="16" t="str">
        <v>藏青色羊京绒</v>
      </c>
      <c r="V918" s="16" t="n">
        <v>6.5</v>
      </c>
      <c r="W918" s="8" t="str">
        <v>2026-10-11 至 2026-10-17</v>
      </c>
      <c r="X918" s="8" t="str">
        <v>2026-10-11、2026-10-12、2026-10-13、2026-10-14、2026-10-15、2026-10-16、2026-10-17</v>
      </c>
      <c r="Y918" s="8" t="str">
        <v>无</v>
      </c>
      <c r="Z918" s="8" t="n">
        <v>1</v>
      </c>
      <c r="AA918" s="8" t="n">
        <v>0</v>
      </c>
      <c r="AB918" s="8" t="n">
        <v>7</v>
      </c>
      <c r="AC918" s="8" t="str">
        <v>2026-10-02 至 2026-10-17</v>
      </c>
      <c r="AD918" s="8" t="str">
        <v>2026-10-02、2026-10-03、2026-10-04、2026-10-05、2026-10-08、2026-10-09、2026-10-10、2026-10-11、2026-10-12、2026-10-13、2026-10-14、2026-10-15、2026-10-16、2026-10-17</v>
      </c>
      <c r="AE918" s="8" t="str">
        <v>2026-10-06 大促；2026-10-07 大促</v>
      </c>
      <c r="AF918" s="8" t="n">
        <v>2</v>
      </c>
      <c r="AG918" s="8" t="n">
        <v>1</v>
      </c>
      <c r="AH918" s="8" t="n">
        <v>14</v>
      </c>
      <c r="AI918" s="8" t="str">
        <v>2026-09-16 至 2026-10-17</v>
      </c>
      <c r="AJ9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8" s="8" t="str">
        <v>2026-10-06 大促；2026-10-07 大促</v>
      </c>
      <c r="AL918" s="8" t="n">
        <v>4</v>
      </c>
      <c r="AM918" s="8" t="n">
        <v>1</v>
      </c>
      <c r="AN918" s="8" t="n">
        <v>30</v>
      </c>
      <c r="AO918" s="8" t="str">
        <v>B06 / 藏青色羊京绒 / 13120</v>
      </c>
      <c r="AP918" s="11" t="n">
        <v>1.2247029157699902</v>
      </c>
      <c r="AQ918" s="11" t="n">
        <v>1.2247029157699902</v>
      </c>
      <c r="AR918" s="11" t="n">
        <v>1.1136940657346173</v>
      </c>
      <c r="AS918" s="11" t="n">
        <f>IF(AND(COUNT(I918:K918,AP918:AR918)=6,MIN(AP918:AR918)&gt;0),I918/7/AP918*0.5+J918/14/AQ918*0.3+K918/30/AR918*0.2,"")</f>
        <v>0.09377839018153794</v>
      </c>
      <c r="AT918" s="8" t="n">
        <v>10</v>
      </c>
      <c r="AU918" s="8" t="n">
        <v>1</v>
      </c>
      <c r="AV918" s="8" t="n">
        <v>88</v>
      </c>
      <c r="AW918" s="11" t="n">
        <f>IF(AND(COUNT(AT918:AV918)=3,AT918&gt;=AU918,AU918&gt;=0,AV918&gt;0),(AT918-AU918)/AV918,"")</f>
        <v>0.10227272727272728</v>
      </c>
      <c r="AX918" s="8" t="n">
        <v>23</v>
      </c>
      <c r="AY918" s="8" t="n">
        <v>1</v>
      </c>
      <c r="AZ918" s="8" t="n">
        <v>178</v>
      </c>
      <c r="BA918" s="11" t="n">
        <f>IF(AND(COUNT(AX918:AZ918)=3,AX918&gt;=AY918,AY918&gt;=0,AZ918&gt;0),(AX918-AY918)/AZ918,"")</f>
        <v>0.12359550561797752</v>
      </c>
      <c r="BB918" s="8" t="n">
        <f>IF(COUNT(AS918,AW918,BA918)=3,1,0)</f>
        <v>1</v>
      </c>
      <c r="BC918" s="11" t="n">
        <f>IF(SUMIF($AO$11:$AO$1309,AO918,$BB$11:$BB$1309)=COUNTIF($AO$11:$AO$1309,AO918),SUMIF($AO$11:$AO$1309,AO918,$AS$11:$AS$1309),"")</f>
        <v>1.8232025777957794</v>
      </c>
      <c r="BD918" s="11" t="n">
        <f>IF(SUMIF($AO$11:$AO$1309,AO918,$BB$11:$BB$1309)=COUNTIF($AO$11:$AO$1309,AO918),SUMIF($AO$11:$AO$1309,AO918,$AW$11:$AW$1309),"")</f>
        <v>1.5588235294117647</v>
      </c>
      <c r="BE918" s="11" t="n">
        <f>IF(SUMIF($AO$11:$AO$1309,AO918,$BB$11:$BB$1309)=COUNTIF($AO$11:$AO$1309,AO918),SUMIF($AO$11:$AO$1309,AO918,$BA$11:$BA$1309),"")</f>
        <v>1.4510754414125202</v>
      </c>
      <c r="BF918" s="12" t="n">
        <f>IF(COUNT(BD918:BE918)&lt;&gt;2,"",IF(AND(BD918&gt;0,BE918&gt;0),0.7*AW918/BD918+0.3*BA918/BE918,IF(BD918&gt;0,AW918/BD918,IF(BE918&gt;0,BA918/BE918,IF(AND(ISNUMBER(BH918),BH918=0),0,"")))))</f>
        <v>0.0714787755913808</v>
      </c>
      <c r="BG918" s="11" t="n">
        <f>IF(AND(COUNT(BN918:BU918)=8,MIN(BN918:BU918)&gt;=0),SUMPRODUCT(BN918:BQ918,BR918:BU918),"")</f>
        <v>73.80791239847399</v>
      </c>
      <c r="BH918" s="11" t="n">
        <f>IF(COUNT(BC918,BG918)=2,BC918*BG918,"")</f>
        <v>134.56677614662286</v>
      </c>
      <c r="BI918" s="11" t="n">
        <f>IF(ISNUMBER(CI918),CI918,"")</f>
        <v>9.618668394240029</v>
      </c>
      <c r="BJ918" s="8" t="str">
        <v>低销提醒依据不完整</v>
      </c>
      <c r="BK918" s="8" t="str">
        <v>90天：2026-07-20 至 2026-10-17；180天：2026-04-21 至 2026-10-17</v>
      </c>
      <c r="BL918" s="8" t="str">
        <v>90天：2026-10-06、2026-10-07；180天：2026-10-06、2026-10-07</v>
      </c>
      <c r="BM918" s="8" t="str">
        <v>2026-10：12天 × 1.2247029157699902；2026-11：30天 × 0.8332682139098497；2026-12：31天 × 0.5511018253564084；2027-01：17天 × 1.0017220238758797</v>
      </c>
      <c r="BN918" s="11" t="n">
        <v>1.2247029157699902</v>
      </c>
      <c r="BO918" s="11" t="n">
        <v>0.8332682139098497</v>
      </c>
      <c r="BP918" s="11" t="n">
        <v>0.5511018253564084</v>
      </c>
      <c r="BQ918" s="11" t="n">
        <v>1.0017220238758797</v>
      </c>
      <c r="BR918" s="8" t="n">
        <v>12</v>
      </c>
      <c r="BS918" s="8" t="n">
        <v>30</v>
      </c>
      <c r="BT918" s="8" t="n">
        <v>31</v>
      </c>
      <c r="BU918" s="8" t="n">
        <v>17</v>
      </c>
      <c r="BV918" s="11" t="n">
        <f>IF(COUNT(BC918,BF918)=2,BC918*BF918,"")</f>
        <v>0.1303202879158915</v>
      </c>
      <c r="BW918" s="11" t="n">
        <f>IF(ISNUMBER(BN918),BN918,"")</f>
        <v>1.2247029157699902</v>
      </c>
      <c r="BX918" s="14" t="n">
        <f>IF(ISNUMBER(BR918),BR918,"")</f>
        <v>12</v>
      </c>
      <c r="BY918" s="13" t="n">
        <f>IF(AND(COUNT(BV918,BW918,BX918)=3,MIN(BV918,BW918,BX918)&gt;=0),BV918*BW918*BX918,"")</f>
        <v>1.9152436391349235</v>
      </c>
      <c r="BZ918" s="11" t="n">
        <f>IF(ISNUMBER(BO918),BO918,"")</f>
        <v>0.8332682139098497</v>
      </c>
      <c r="CA918" s="14" t="n">
        <f>IF(ISNUMBER(BS918),BS918,"")</f>
        <v>30</v>
      </c>
      <c r="CB918" s="13" t="n">
        <f>IF(AND(COUNT(BV918,BZ918,CA918)=3,MIN(BV918,BZ918,CA918)&gt;=0),BV918*BZ918*CA918,"")</f>
        <v>3.257752606436769</v>
      </c>
      <c r="CC918" s="11" t="n">
        <f>IF(ISNUMBER(BP918),BP918,"")</f>
        <v>0.5511018253564084</v>
      </c>
      <c r="CD918" s="14" t="n">
        <f>IF(ISNUMBER(BT918),BT918,"")</f>
        <v>31</v>
      </c>
      <c r="CE918" s="13" t="n">
        <f>IF(AND(COUNT(BV918,CC918,CD918)=3,MIN(BV918,CC918,CD918)&gt;=0),BV918*CC918*CD918,"")</f>
        <v>2.2264122050940354</v>
      </c>
      <c r="CF918" s="11" t="n">
        <f>IF(ISNUMBER(BQ918),BQ918,"")</f>
        <v>1.0017220238758797</v>
      </c>
      <c r="CG918" s="14" t="n">
        <f>IF(ISNUMBER(BU918),BU918,"")</f>
        <v>17</v>
      </c>
      <c r="CH918" s="13" t="n">
        <f>IF(AND(COUNT(BV918,CF918,CG918)=3,MIN(BV918,CF918,CG918)&gt;=0),BV918*CF918*CG918,"")</f>
        <v>2.2192599435743015</v>
      </c>
      <c r="CI918" s="13" t="n">
        <f>IF(COUNT(BY918,CB918,CE918,CH918)=4,SUM(BY918,CB918,CE918,CH918),"")</f>
        <v>9.618668394240029</v>
      </c>
    </row>
    <row r="919" ht="72" customHeight="1">
      <c r="A919" s="16" t="str">
        <v>B06-NY-38-N</v>
      </c>
      <c r="B919" s="16" t="str">
        <v>1店-MUSSHOE-US</v>
      </c>
      <c r="C919" s="16" t="str">
        <v>艾年</v>
      </c>
      <c r="D919" s="26" t="n">
        <f>IF(NOT(ISNUMBER(E919)),"",IF(OR(E919&lt;=0,L919=0),0,IF(OR(NOT(ISNUMBER(F919)),F919&lt;0),"",MIN(E919,INT(F919)))))</f>
        <v>0</v>
      </c>
      <c r="E919" s="27" t="n">
        <f>IF(OR(NOT(ISNUMBER(L919)),COUNT(M919:O919)&lt;&gt;3,MIN(M919:O919)&lt;0),"",ROUNDUP(ROUND(BI919-SUM(M919:O919),10),0))</f>
        <v>-19</v>
      </c>
      <c r="F919" s="28" t="n">
        <v>21</v>
      </c>
      <c r="G919" s="28" t="n">
        <f>IF(AND(ISNUMBER(D919),ISNUMBER(E919)),IF(OR(E919&lt;=0,L919=0),0,E919-D919),"")</f>
        <v>0</v>
      </c>
      <c r="H919" s="16" t="str">
        <f>IF(NOT(ISNUMBER(E919)),"销量或海外库存待补",IF(OR(E919&lt;=0,L919=0),IF(L919=0,"零日销，本批不发","本批无需补货"),IF(NOT(ISNUMBER(D919)),"国内库存待补",IF(D919=0,"国内无可用库存",IF(G919&gt;0,"先发国内现货","按建议量发货")))))</f>
        <v>本批无需补货</v>
      </c>
      <c r="I919" s="28" t="n">
        <f>IF(AND(COUNT(Z919,AA919,AB919)=3,Z919&gt;=AA919,AA919&gt;=0,AB919=7),Z919-AA919,"")</f>
        <v>2</v>
      </c>
      <c r="J919" s="28" t="n">
        <f>IF(AND(COUNT(AF919,AG919,AH919)=3,AF919&gt;=AG919,AG919&gt;=0,AH919=14),AF919-AG919,"")</f>
        <v>3</v>
      </c>
      <c r="K919" s="28" t="n">
        <f>IF(AND(COUNT(AL919,AM919,AN919)=3,AL919&gt;=AM919,AM919&gt;=0,AN919=30),AL919-AM919,"")</f>
        <v>7</v>
      </c>
      <c r="L919" s="29" t="n">
        <f>IF(ISNUMBER(BI919),BI919/90,"")</f>
        <v>0.1800689679925387</v>
      </c>
      <c r="M919" s="28" t="n">
        <v>35</v>
      </c>
      <c r="N919" s="28" t="n">
        <v>0</v>
      </c>
      <c r="O919" s="28" t="n">
        <v>0</v>
      </c>
      <c r="P919" s="30" t="n">
        <f>IF(AND(ISNUMBER(L919),L919&gt;0,COUNT(M919:O919)=3,MIN(M919:O919)&gt;=0),SUM(M919:O919)/L919,"")</f>
        <v>194.3699705184641</v>
      </c>
      <c r="Q919" s="16" t="str">
        <v>沿用原计划SKU店铺</v>
      </c>
      <c r="R919" s="16" t="str">
        <v>已匹配</v>
      </c>
      <c r="S919" s="16" t="str">
        <v>在售</v>
      </c>
      <c r="T919" s="16" t="str">
        <v>B06</v>
      </c>
      <c r="U919" s="16" t="str">
        <v>藏青色羊京绒</v>
      </c>
      <c r="V919" s="16" t="n">
        <v>7</v>
      </c>
      <c r="W919" s="8" t="str">
        <v>2026-10-11 至 2026-10-17</v>
      </c>
      <c r="X919" s="8" t="str">
        <v>2026-10-11、2026-10-12、2026-10-13、2026-10-14、2026-10-15、2026-10-16、2026-10-17</v>
      </c>
      <c r="Y919" s="8" t="str">
        <v>无</v>
      </c>
      <c r="Z919" s="8" t="n">
        <v>2</v>
      </c>
      <c r="AA919" s="8" t="n">
        <v>0</v>
      </c>
      <c r="AB919" s="8" t="n">
        <v>7</v>
      </c>
      <c r="AC919" s="8" t="str">
        <v>2026-10-02 至 2026-10-17</v>
      </c>
      <c r="AD919" s="8" t="str">
        <v>2026-10-02、2026-10-03、2026-10-04、2026-10-05、2026-10-08、2026-10-09、2026-10-10、2026-10-11、2026-10-12、2026-10-13、2026-10-14、2026-10-15、2026-10-16、2026-10-17</v>
      </c>
      <c r="AE919" s="8" t="str">
        <v>2026-10-06 大促；2026-10-07 大促</v>
      </c>
      <c r="AF919" s="8" t="n">
        <v>3</v>
      </c>
      <c r="AG919" s="8" t="n">
        <v>0</v>
      </c>
      <c r="AH919" s="8" t="n">
        <v>14</v>
      </c>
      <c r="AI919" s="8" t="str">
        <v>2026-09-16 至 2026-10-17</v>
      </c>
      <c r="AJ9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19" s="8" t="str">
        <v>2026-10-06 大促；2026-10-07 大促</v>
      </c>
      <c r="AL919" s="8" t="n">
        <v>7</v>
      </c>
      <c r="AM919" s="8" t="n">
        <v>0</v>
      </c>
      <c r="AN919" s="8" t="n">
        <v>30</v>
      </c>
      <c r="AO919" s="8" t="str">
        <v>B06 / 藏青色羊京绒 / 13120</v>
      </c>
      <c r="AP919" s="11" t="n">
        <v>1.2247029157699902</v>
      </c>
      <c r="AQ919" s="11" t="n">
        <v>1.2247029157699902</v>
      </c>
      <c r="AR919" s="11" t="n">
        <v>1.1136940657346173</v>
      </c>
      <c r="AS919" s="11" t="n">
        <f>IF(AND(COUNT(I919:K919,AP919:AR919)=6,MIN(AP919:AR919)&gt;0),I919/7/AP919*0.5+J919/14/AQ919*0.3+K919/30/AR919*0.2,"")</f>
        <v>0.2110398194492997</v>
      </c>
      <c r="AT919" s="8" t="n">
        <v>17</v>
      </c>
      <c r="AU919" s="8" t="n">
        <v>0</v>
      </c>
      <c r="AV919" s="8" t="n">
        <v>88</v>
      </c>
      <c r="AW919" s="11" t="n">
        <f>IF(AND(COUNT(AT919:AV919)=3,AT919&gt;=AU919,AU919&gt;=0,AV919&gt;0),(AT919-AU919)/AV919,"")</f>
        <v>0.19318181818181818</v>
      </c>
      <c r="AX919" s="8" t="n">
        <v>29</v>
      </c>
      <c r="AY919" s="8" t="n">
        <v>0</v>
      </c>
      <c r="AZ919" s="8" t="n">
        <v>178</v>
      </c>
      <c r="BA919" s="11" t="n">
        <f>IF(AND(COUNT(AX919:AZ919)=3,AX919&gt;=AY919,AY919&gt;=0,AZ919&gt;0),(AX919-AY919)/AZ919,"")</f>
        <v>0.16292134831460675</v>
      </c>
      <c r="BB919" s="8" t="n">
        <f>IF(COUNT(AS919,AW919,BA919)=3,1,0)</f>
        <v>1</v>
      </c>
      <c r="BC919" s="11" t="n">
        <f>IF(SUMIF($AO$11:$AO$1309,AO919,$BB$11:$BB$1309)=COUNTIF($AO$11:$AO$1309,AO919),SUMIF($AO$11:$AO$1309,AO919,$AS$11:$AS$1309),"")</f>
        <v>1.8232025777957794</v>
      </c>
      <c r="BD919" s="11" t="n">
        <f>IF(SUMIF($AO$11:$AO$1309,AO919,$BB$11:$BB$1309)=COUNTIF($AO$11:$AO$1309,AO919),SUMIF($AO$11:$AO$1309,AO919,$AW$11:$AW$1309),"")</f>
        <v>1.5588235294117647</v>
      </c>
      <c r="BE919" s="11" t="n">
        <f>IF(SUMIF($AO$11:$AO$1309,AO919,$BB$11:$BB$1309)=COUNTIF($AO$11:$AO$1309,AO919),SUMIF($AO$11:$AO$1309,AO919,$BA$11:$BA$1309),"")</f>
        <v>1.4510754414125202</v>
      </c>
      <c r="BF919" s="12" t="n">
        <f>IF(COUNT(BD919:BE919)&lt;&gt;2,"",IF(AND(BD919&gt;0,BE919&gt;0),0.7*AW919/BD919+0.3*BA919/BE919,IF(BD919&gt;0,AW919/BD919,IF(BE919&gt;0,BA919/BE919,IF(AND(ISNUMBER(BH919),BH919=0),0,"")))))</f>
        <v>0.12043245430558827</v>
      </c>
      <c r="BG919" s="11" t="n">
        <f>IF(AND(COUNT(BN919:BU919)=8,MIN(BN919:BU919)&gt;=0),SUMPRODUCT(BN919:BQ919,BR919:BU919),"")</f>
        <v>73.80791239847399</v>
      </c>
      <c r="BH919" s="11" t="n">
        <f>IF(COUNT(BC919,BG919)=2,BC919*BG919,"")</f>
        <v>134.56677614662286</v>
      </c>
      <c r="BI919" s="11" t="n">
        <f>IF(ISNUMBER(CI919),CI919,"")</f>
        <v>16.206207119328482</v>
      </c>
      <c r="BJ919" s="8" t="str">
        <v>低销提醒依据不完整</v>
      </c>
      <c r="BK919" s="8" t="str">
        <v>90天：2026-07-20 至 2026-10-17；180天：2026-04-21 至 2026-10-17</v>
      </c>
      <c r="BL919" s="8" t="str">
        <v>90天：2026-10-06、2026-10-07；180天：2026-10-06、2026-10-07</v>
      </c>
      <c r="BM919" s="8" t="str">
        <v>2026-10：12天 × 1.2247029157699902；2026-11：30天 × 0.8332682139098497；2026-12：31天 × 0.5511018253564084；2027-01：17天 × 1.0017220238758797</v>
      </c>
      <c r="BN919" s="11" t="n">
        <v>1.2247029157699902</v>
      </c>
      <c r="BO919" s="11" t="n">
        <v>0.8332682139098497</v>
      </c>
      <c r="BP919" s="11" t="n">
        <v>0.5511018253564084</v>
      </c>
      <c r="BQ919" s="11" t="n">
        <v>1.0017220238758797</v>
      </c>
      <c r="BR919" s="8" t="n">
        <v>12</v>
      </c>
      <c r="BS919" s="8" t="n">
        <v>30</v>
      </c>
      <c r="BT919" s="8" t="n">
        <v>31</v>
      </c>
      <c r="BU919" s="8" t="n">
        <v>17</v>
      </c>
      <c r="BV919" s="11" t="n">
        <f>IF(COUNT(BC919,BF919)=2,BC919*BF919,"")</f>
        <v>0.21957276114022095</v>
      </c>
      <c r="BW919" s="11" t="n">
        <f>IF(ISNUMBER(BN919),BN919,"")</f>
        <v>1.2247029157699902</v>
      </c>
      <c r="BX919" s="14" t="n">
        <f>IF(ISNUMBER(BR919),BR919,"")</f>
        <v>12</v>
      </c>
      <c r="BY919" s="13" t="n">
        <f>IF(AND(COUNT(BV919,BW919,BX919)=3,MIN(BV919,BW919,BX919)&gt;=0),BV919*BW919*BX919,"")</f>
        <v>3.2269368095051543</v>
      </c>
      <c r="BZ919" s="11" t="n">
        <f>IF(ISNUMBER(BO919),BO919,"")</f>
        <v>0.8332682139098497</v>
      </c>
      <c r="CA919" s="14" t="n">
        <f>IF(ISNUMBER(BS919),BS919,"")</f>
        <v>30</v>
      </c>
      <c r="CB919" s="13" t="n">
        <f>IF(AND(COUNT(BV919,BZ919,CA919)=3,MIN(BV919,BZ919,CA919)&gt;=0),BV919*BZ919*CA919,"")</f>
        <v>5.48889007495698</v>
      </c>
      <c r="CC919" s="11" t="n">
        <f>IF(ISNUMBER(BP919),BP919,"")</f>
        <v>0.5511018253564084</v>
      </c>
      <c r="CD919" s="14" t="n">
        <f>IF(ISNUMBER(BT919),BT919,"")</f>
        <v>31</v>
      </c>
      <c r="CE919" s="13" t="n">
        <f>IF(AND(COUNT(BV919,CC919,CD919)=3,MIN(BV919,CC919,CD919)&gt;=0),BV919*CC919*CD919,"")</f>
        <v>3.751215433350595</v>
      </c>
      <c r="CF919" s="11" t="n">
        <f>IF(ISNUMBER(BQ919),BQ919,"")</f>
        <v>1.0017220238758797</v>
      </c>
      <c r="CG919" s="14" t="n">
        <f>IF(ISNUMBER(BU919),BU919,"")</f>
        <v>17</v>
      </c>
      <c r="CH919" s="13" t="n">
        <f>IF(AND(COUNT(BV919,CF919,CG919)=3,MIN(BV919,CF919,CG919)&gt;=0),BV919*CF919*CG919,"")</f>
        <v>3.739164801515753</v>
      </c>
      <c r="CI919" s="13" t="n">
        <f>IF(COUNT(BY919,CB919,CE919,CH919)=4,SUM(BY919,CB919,CE919,CH919),"")</f>
        <v>16.206207119328482</v>
      </c>
    </row>
    <row r="920" ht="72" customHeight="1">
      <c r="A920" s="16" t="str">
        <v>B06-NY-40</v>
      </c>
      <c r="B920" s="16" t="str">
        <v>1店-MUSSHOE-US</v>
      </c>
      <c r="C920" s="16" t="str">
        <v>艾年</v>
      </c>
      <c r="D920" s="26" t="n">
        <f>IF(NOT(ISNUMBER(E920)),"",IF(OR(E920&lt;=0,L920=0),0,IF(OR(NOT(ISNUMBER(F920)),F920&lt;0),"",MIN(E920,INT(F920)))))</f>
        <v>0</v>
      </c>
      <c r="E920" s="27" t="n">
        <f>IF(OR(NOT(ISNUMBER(L920)),COUNT(M920:O920)&lt;&gt;3,MIN(M920:O920)&lt;0),"",ROUNDUP(ROUND(BI920-SUM(M920:O920),10),0))</f>
        <v>-6</v>
      </c>
      <c r="F920" s="28" t="n">
        <v>22</v>
      </c>
      <c r="G920" s="28" t="n">
        <f>IF(AND(ISNUMBER(D920),ISNUMBER(E920)),IF(OR(E920&lt;=0,L920=0),0,E920-D920),"")</f>
        <v>0</v>
      </c>
      <c r="H920" s="16" t="str">
        <f>IF(NOT(ISNUMBER(E920)),"销量或海外库存待补",IF(OR(E920&lt;=0,L920=0),IF(L920=0,"零日销，本批不发","本批无需补货"),IF(NOT(ISNUMBER(D920)),"国内库存待补",IF(D920=0,"国内无可用库存",IF(G920&gt;0,"先发国内现货","按建议量发货")))))</f>
        <v>本批无需补货</v>
      </c>
      <c r="I920" s="28" t="n">
        <f>IF(AND(COUNT(Z920,AA920,AB920)=3,Z920&gt;=AA920,AA920&gt;=0,AB920=7),Z920-AA920,"")</f>
        <v>3</v>
      </c>
      <c r="J920" s="28" t="n">
        <f>IF(AND(COUNT(AF920,AG920,AH920)=3,AF920&gt;=AG920,AG920&gt;=0,AH920=14),AF920-AG920,"")</f>
        <v>5</v>
      </c>
      <c r="K920" s="28" t="n">
        <f>IF(AND(COUNT(AL920,AM920,AN920)=3,AL920&gt;=AM920,AM920&gt;=0,AN920=30),AL920-AM920,"")</f>
        <v>14</v>
      </c>
      <c r="L920" s="29" t="n">
        <f>IF(ISNUMBER(BI920),BI920/90,"")</f>
        <v>0.21927134615474947</v>
      </c>
      <c r="M920" s="28" t="n">
        <v>15</v>
      </c>
      <c r="N920" s="28" t="n">
        <v>5</v>
      </c>
      <c r="O920" s="28" t="n">
        <v>5</v>
      </c>
      <c r="P920" s="30" t="n">
        <f>IF(AND(ISNUMBER(L920),L920&gt;0,COUNT(M920:O920)=3,MIN(M920:O920)&gt;=0),SUM(M920:O920)/L920,"")</f>
        <v>114.01398513035258</v>
      </c>
      <c r="Q920" s="16" t="str">
        <v>沿用原计划SKU店铺</v>
      </c>
      <c r="R920" s="16" t="str">
        <v>已匹配</v>
      </c>
      <c r="S920" s="16" t="str">
        <v>在售</v>
      </c>
      <c r="T920" s="16" t="str">
        <v>B06</v>
      </c>
      <c r="U920" s="16" t="str">
        <v>藏青色羊京绒</v>
      </c>
      <c r="V920" s="16" t="n">
        <v>9</v>
      </c>
      <c r="W920" s="8" t="str">
        <v>2026-10-11 至 2026-10-17</v>
      </c>
      <c r="X920" s="8" t="str">
        <v>2026-10-11、2026-10-12、2026-10-13、2026-10-14、2026-10-15、2026-10-16、2026-10-17</v>
      </c>
      <c r="Y920" s="8" t="str">
        <v>无</v>
      </c>
      <c r="Z920" s="8" t="n">
        <v>3</v>
      </c>
      <c r="AA920" s="8" t="n">
        <v>0</v>
      </c>
      <c r="AB920" s="8" t="n">
        <v>7</v>
      </c>
      <c r="AC920" s="8" t="str">
        <v>2026-10-02 至 2026-10-17</v>
      </c>
      <c r="AD920" s="8" t="str">
        <v>2026-10-02、2026-10-03、2026-10-04、2026-10-05、2026-10-08、2026-10-09、2026-10-10、2026-10-11、2026-10-12、2026-10-13、2026-10-14、2026-10-15、2026-10-16、2026-10-17</v>
      </c>
      <c r="AE920" s="8" t="str">
        <v>2026-10-06 大促；2026-10-07 大促</v>
      </c>
      <c r="AF920" s="8" t="n">
        <v>8</v>
      </c>
      <c r="AG920" s="8" t="n">
        <v>3</v>
      </c>
      <c r="AH920" s="8" t="n">
        <v>14</v>
      </c>
      <c r="AI920" s="8" t="str">
        <v>2026-09-16 至 2026-10-17</v>
      </c>
      <c r="AJ9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0" s="8" t="str">
        <v>2026-10-06 大促；2026-10-07 大促</v>
      </c>
      <c r="AL920" s="8" t="n">
        <v>17</v>
      </c>
      <c r="AM920" s="8" t="n">
        <v>3</v>
      </c>
      <c r="AN920" s="8" t="n">
        <v>30</v>
      </c>
      <c r="AO920" s="8" t="str">
        <v>B06 / 藏青色羊京绒 / 13120</v>
      </c>
      <c r="AP920" s="11" t="n">
        <v>1.2247029157699902</v>
      </c>
      <c r="AQ920" s="11" t="n">
        <v>1.2247029157699902</v>
      </c>
      <c r="AR920" s="11" t="n">
        <v>1.1136940657346173</v>
      </c>
      <c r="AS920" s="11" t="n">
        <f>IF(AND(COUNT(I920:K920,AP920:AR920)=6,MIN(AP920:AR920)&gt;0),I920/7/AP920*0.5+J920/14/AQ920*0.3+K920/30/AR920*0.2,"")</f>
        <v>0.34625950189928306</v>
      </c>
      <c r="AT920" s="8" t="n">
        <v>24</v>
      </c>
      <c r="AU920" s="8" t="n">
        <v>3</v>
      </c>
      <c r="AV920" s="8" t="n">
        <v>88</v>
      </c>
      <c r="AW920" s="11" t="n">
        <f>IF(AND(COUNT(AT920:AV920)=3,AT920&gt;=AU920,AU920&gt;=0,AV920&gt;0),(AT920-AU920)/AV920,"")</f>
        <v>0.23863636363636365</v>
      </c>
      <c r="AX920" s="8" t="n">
        <v>37</v>
      </c>
      <c r="AY920" s="8" t="n">
        <v>3</v>
      </c>
      <c r="AZ920" s="8" t="n">
        <v>178</v>
      </c>
      <c r="BA920" s="11" t="n">
        <f>IF(AND(COUNT(AX920:AZ920)=3,AX920&gt;=AY920,AY920&gt;=0,AZ920&gt;0),(AX920-AY920)/AZ920,"")</f>
        <v>0.19101123595505617</v>
      </c>
      <c r="BB920" s="8" t="n">
        <f>IF(COUNT(AS920,AW920,BA920)=3,1,0)</f>
        <v>1</v>
      </c>
      <c r="BC920" s="11" t="n">
        <f>IF(SUMIF($AO$11:$AO$1309,AO920,$BB$11:$BB$1309)=COUNTIF($AO$11:$AO$1309,AO920),SUMIF($AO$11:$AO$1309,AO920,$AS$11:$AS$1309),"")</f>
        <v>1.8232025777957794</v>
      </c>
      <c r="BD920" s="11" t="n">
        <f>IF(SUMIF($AO$11:$AO$1309,AO920,$BB$11:$BB$1309)=COUNTIF($AO$11:$AO$1309,AO920),SUMIF($AO$11:$AO$1309,AO920,$AW$11:$AW$1309),"")</f>
        <v>1.5588235294117647</v>
      </c>
      <c r="BE920" s="11" t="n">
        <f>IF(SUMIF($AO$11:$AO$1309,AO920,$BB$11:$BB$1309)=COUNTIF($AO$11:$AO$1309,AO920),SUMIF($AO$11:$AO$1309,AO920,$BA$11:$BA$1309),"")</f>
        <v>1.4510754414125202</v>
      </c>
      <c r="BF920" s="12" t="n">
        <f>IF(COUNT(BD920:BE920)&lt;&gt;2,"",IF(AND(BD920&gt;0,BE920&gt;0),0.7*AW920/BD920+0.3*BA920/BE920,IF(BD920&gt;0,AW920/BD920,IF(BE920&gt;0,BA920/BE920,IF(AND(ISNUMBER(BH920),BH920=0),0,"")))))</f>
        <v>0.14665151175521207</v>
      </c>
      <c r="BG920" s="11" t="n">
        <f>IF(AND(COUNT(BN920:BU920)=8,MIN(BN920:BU920)&gt;=0),SUMPRODUCT(BN920:BQ920,BR920:BU920),"")</f>
        <v>73.80791239847399</v>
      </c>
      <c r="BH920" s="11" t="n">
        <f>IF(COUNT(BC920,BG920)=2,BC920*BG920,"")</f>
        <v>134.56677614662286</v>
      </c>
      <c r="BI920" s="11" t="n">
        <f>IF(ISNUMBER(CI920),CI920,"")</f>
        <v>19.734421153927453</v>
      </c>
      <c r="BJ920" s="8" t="str">
        <v>低销提醒依据不完整</v>
      </c>
      <c r="BK920" s="8" t="str">
        <v>90天：2026-07-20 至 2026-10-17；180天：2026-04-21 至 2026-10-17</v>
      </c>
      <c r="BL920" s="8" t="str">
        <v>90天：2026-10-06、2026-10-07；180天：2026-10-06、2026-10-07</v>
      </c>
      <c r="BM920" s="8" t="str">
        <v>2026-10：12天 × 1.2247029157699902；2026-11：30天 × 0.8332682139098497；2026-12：31天 × 0.5511018253564084；2027-01：17天 × 1.0017220238758797</v>
      </c>
      <c r="BN920" s="11" t="n">
        <v>1.2247029157699902</v>
      </c>
      <c r="BO920" s="11" t="n">
        <v>0.8332682139098497</v>
      </c>
      <c r="BP920" s="11" t="n">
        <v>0.5511018253564084</v>
      </c>
      <c r="BQ920" s="11" t="n">
        <v>1.0017220238758797</v>
      </c>
      <c r="BR920" s="8" t="n">
        <v>12</v>
      </c>
      <c r="BS920" s="8" t="n">
        <v>30</v>
      </c>
      <c r="BT920" s="8" t="n">
        <v>31</v>
      </c>
      <c r="BU920" s="8" t="n">
        <v>17</v>
      </c>
      <c r="BV920" s="11" t="n">
        <f>IF(COUNT(BC920,BF920)=2,BC920*BF920,"")</f>
        <v>0.2673754142697507</v>
      </c>
      <c r="BW920" s="11" t="n">
        <f>IF(ISNUMBER(BN920),BN920,"")</f>
        <v>1.2247029157699902</v>
      </c>
      <c r="BX920" s="14" t="n">
        <f>IF(ISNUMBER(BR920),BR920,"")</f>
        <v>12</v>
      </c>
      <c r="BY920" s="13" t="n">
        <f>IF(AND(COUNT(BV920,BW920,BX920)=3,MIN(BV920,BW920,BX920)&gt;=0),BV920*BW920*BX920,"")</f>
        <v>3.9294653935364727</v>
      </c>
      <c r="BZ920" s="11" t="n">
        <f>IF(ISNUMBER(BO920),BO920,"")</f>
        <v>0.8332682139098497</v>
      </c>
      <c r="CA920" s="14" t="n">
        <f>IF(ISNUMBER(BS920),BS920,"")</f>
        <v>30</v>
      </c>
      <c r="CB920" s="13" t="n">
        <f>IF(AND(COUNT(BV920,BZ920,CA920)=3,MIN(BV920,BZ920,CA920)&gt;=0),BV920*BZ920*CA920,"")</f>
        <v>6.68386301675884</v>
      </c>
      <c r="CC920" s="11" t="n">
        <f>IF(ISNUMBER(BP920),BP920,"")</f>
        <v>0.5511018253564084</v>
      </c>
      <c r="CD920" s="14" t="n">
        <f>IF(ISNUMBER(BT920),BT920,"")</f>
        <v>31</v>
      </c>
      <c r="CE920" s="13" t="n">
        <f>IF(AND(COUNT(BV920,CC920,CD920)=3,MIN(BV920,CC920,CD920)&gt;=0),BV920*CC920*CD920,"")</f>
        <v>4.567883444644051</v>
      </c>
      <c r="CF920" s="11" t="n">
        <f>IF(ISNUMBER(BQ920),BQ920,"")</f>
        <v>1.0017220238758797</v>
      </c>
      <c r="CG920" s="14" t="n">
        <f>IF(ISNUMBER(BU920),BU920,"")</f>
        <v>17</v>
      </c>
      <c r="CH920" s="13" t="n">
        <f>IF(AND(COUNT(BV920,CF920,CG920)=3,MIN(BV920,CF920,CG920)&gt;=0),BV920*CF920*CG920,"")</f>
        <v>4.553209298988089</v>
      </c>
      <c r="CI920" s="13" t="n">
        <f>IF(COUNT(BY920,CB920,CE920,CH920)=4,SUM(BY920,CB920,CE920,CH920),"")</f>
        <v>19.734421153927453</v>
      </c>
    </row>
    <row r="921" ht="72" customHeight="1">
      <c r="A921" s="16" t="str">
        <v>B06-NY-40.5</v>
      </c>
      <c r="B921" s="16" t="str">
        <v>1店-MUSSHOE-US</v>
      </c>
      <c r="C921" s="16" t="str">
        <v>艾年</v>
      </c>
      <c r="D921" s="26" t="n">
        <f>IF(NOT(ISNUMBER(E921)),"",IF(OR(E921&lt;=0,L921=0),0,IF(OR(NOT(ISNUMBER(F921)),F921&lt;0),"",MIN(E921,INT(F921)))))</f>
        <v>0</v>
      </c>
      <c r="E921" s="27" t="n">
        <f>IF(OR(NOT(ISNUMBER(L921)),COUNT(M921:O921)&lt;&gt;3,MIN(M921:O921)&lt;0),"",ROUNDUP(ROUND(BI921-SUM(M921:O921),10),0))</f>
        <v>-2</v>
      </c>
      <c r="F921" s="28" t="n">
        <v>8</v>
      </c>
      <c r="G921" s="28" t="n">
        <f>IF(AND(ISNUMBER(D921),ISNUMBER(E921)),IF(OR(E921&lt;=0,L921=0),0,E921-D921),"")</f>
        <v>0</v>
      </c>
      <c r="H921" s="16" t="str">
        <f>IF(NOT(ISNUMBER(E921)),"销量或海外库存待补",IF(OR(E921&lt;=0,L921=0),IF(L921=0,"零日销，本批不发","本批无需补货"),IF(NOT(ISNUMBER(D921)),"国内库存待补",IF(D921=0,"国内无可用库存",IF(G921&gt;0,"先发国内现货","按建议量发货")))))</f>
        <v>本批无需补货</v>
      </c>
      <c r="I921" s="28" t="n">
        <f>IF(AND(COUNT(Z921,AA921,AB921)=3,Z921&gt;=AA921,AA921&gt;=0,AB921=7),Z921-AA921,"")</f>
        <v>2</v>
      </c>
      <c r="J921" s="28" t="n">
        <f>IF(AND(COUNT(AF921,AG921,AH921)=3,AF921&gt;=AG921,AG921&gt;=0,AH921=14),AF921-AG921,"")</f>
        <v>3</v>
      </c>
      <c r="K921" s="28" t="n">
        <f>IF(AND(COUNT(AL921,AM921,AN921)=3,AL921&gt;=AM921,AM921&gt;=0,AN921=30),AL921-AM921,"")</f>
        <v>7</v>
      </c>
      <c r="L921" s="29" t="n">
        <f>IF(ISNUMBER(BI921),BI921/90,"")</f>
        <v>0.13912996262992236</v>
      </c>
      <c r="M921" s="28" t="n">
        <v>14</v>
      </c>
      <c r="N921" s="28" t="n">
        <v>0</v>
      </c>
      <c r="O921" s="28" t="n">
        <v>0</v>
      </c>
      <c r="P921" s="30" t="n">
        <f>IF(AND(ISNUMBER(L921),L921&gt;0,COUNT(M921:O921)=3,MIN(M921:O921)&gt;=0),SUM(M921:O921)/L921,"")</f>
        <v>100.62534148190055</v>
      </c>
      <c r="Q921" s="16" t="str">
        <v>沿用原计划SKU店铺</v>
      </c>
      <c r="R921" s="16" t="str">
        <v>已匹配</v>
      </c>
      <c r="S921" s="16" t="str">
        <v>在售</v>
      </c>
      <c r="T921" s="16" t="str">
        <v>B06</v>
      </c>
      <c r="U921" s="16" t="str">
        <v>藏青色羊京绒</v>
      </c>
      <c r="V921" s="16" t="n">
        <v>9.5</v>
      </c>
      <c r="W921" s="8" t="str">
        <v>2026-10-11 至 2026-10-17</v>
      </c>
      <c r="X921" s="8" t="str">
        <v>2026-10-11、2026-10-12、2026-10-13、2026-10-14、2026-10-15、2026-10-16、2026-10-17</v>
      </c>
      <c r="Y921" s="8" t="str">
        <v>无</v>
      </c>
      <c r="Z921" s="8" t="n">
        <v>2</v>
      </c>
      <c r="AA921" s="8" t="n">
        <v>0</v>
      </c>
      <c r="AB921" s="8" t="n">
        <v>7</v>
      </c>
      <c r="AC921" s="8" t="str">
        <v>2026-10-02 至 2026-10-17</v>
      </c>
      <c r="AD921" s="8" t="str">
        <v>2026-10-02、2026-10-03、2026-10-04、2026-10-05、2026-10-08、2026-10-09、2026-10-10、2026-10-11、2026-10-12、2026-10-13、2026-10-14、2026-10-15、2026-10-16、2026-10-17</v>
      </c>
      <c r="AE921" s="8" t="str">
        <v>2026-10-06 大促；2026-10-07 大促</v>
      </c>
      <c r="AF921" s="8" t="n">
        <v>3</v>
      </c>
      <c r="AG921" s="8" t="n">
        <v>0</v>
      </c>
      <c r="AH921" s="8" t="n">
        <v>14</v>
      </c>
      <c r="AI921" s="8" t="str">
        <v>2026-09-16 至 2026-10-17</v>
      </c>
      <c r="AJ9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1" s="8" t="str">
        <v>2026-10-06 大促；2026-10-07 大促</v>
      </c>
      <c r="AL921" s="8" t="n">
        <v>7</v>
      </c>
      <c r="AM921" s="8" t="n">
        <v>0</v>
      </c>
      <c r="AN921" s="8" t="n">
        <v>30</v>
      </c>
      <c r="AO921" s="8" t="str">
        <v>B06 / 藏青色羊京绒 / 13120</v>
      </c>
      <c r="AP921" s="11" t="n">
        <v>1.2247029157699902</v>
      </c>
      <c r="AQ921" s="11" t="n">
        <v>1.2247029157699902</v>
      </c>
      <c r="AR921" s="11" t="n">
        <v>1.1136940657346173</v>
      </c>
      <c r="AS921" s="11" t="n">
        <f>IF(AND(COUNT(I921:K921,AP921:AR921)=6,MIN(AP921:AR921)&gt;0),I921/7/AP921*0.5+J921/14/AQ921*0.3+K921/30/AR921*0.2,"")</f>
        <v>0.2110398194492997</v>
      </c>
      <c r="AT921" s="8" t="n">
        <v>13</v>
      </c>
      <c r="AU921" s="8" t="n">
        <v>0</v>
      </c>
      <c r="AV921" s="8" t="n">
        <v>88</v>
      </c>
      <c r="AW921" s="11" t="n">
        <f>IF(AND(COUNT(AT921:AV921)=3,AT921&gt;=AU921,AU921&gt;=0,AV921&gt;0),(AT921-AU921)/AV921,"")</f>
        <v>0.14772727272727273</v>
      </c>
      <c r="AX921" s="8" t="n">
        <v>23</v>
      </c>
      <c r="AY921" s="8" t="n">
        <v>0</v>
      </c>
      <c r="AZ921" s="8" t="n">
        <v>178</v>
      </c>
      <c r="BA921" s="11" t="n">
        <f>IF(AND(COUNT(AX921:AZ921)=3,AX921&gt;=AY921,AY921&gt;=0,AZ921&gt;0),(AX921-AY921)/AZ921,"")</f>
        <v>0.12921348314606743</v>
      </c>
      <c r="BB921" s="8" t="n">
        <f>IF(COUNT(AS921,AW921,BA921)=3,1,0)</f>
        <v>1</v>
      </c>
      <c r="BC921" s="11" t="n">
        <f>IF(SUMIF($AO$11:$AO$1309,AO921,$BB$11:$BB$1309)=COUNTIF($AO$11:$AO$1309,AO921),SUMIF($AO$11:$AO$1309,AO921,$AS$11:$AS$1309),"")</f>
        <v>1.8232025777957794</v>
      </c>
      <c r="BD921" s="11" t="n">
        <f>IF(SUMIF($AO$11:$AO$1309,AO921,$BB$11:$BB$1309)=COUNTIF($AO$11:$AO$1309,AO921),SUMIF($AO$11:$AO$1309,AO921,$AW$11:$AW$1309),"")</f>
        <v>1.5588235294117647</v>
      </c>
      <c r="BE921" s="11" t="n">
        <f>IF(SUMIF($AO$11:$AO$1309,AO921,$BB$11:$BB$1309)=COUNTIF($AO$11:$AO$1309,AO921),SUMIF($AO$11:$AO$1309,AO921,$BA$11:$BA$1309),"")</f>
        <v>1.4510754414125202</v>
      </c>
      <c r="BF921" s="12" t="n">
        <f>IF(COUNT(BD921:BE921)&lt;&gt;2,"",IF(AND(BD921&gt;0,BE921&gt;0),0.7*AW921/BD921+0.3*BA921/BE921,IF(BD921&gt;0,AW921/BD921,IF(BE921&gt;0,BA921/BE921,IF(AND(ISNUMBER(BH921),BH921=0),0,"")))))</f>
        <v>0.09305191812761773</v>
      </c>
      <c r="BG921" s="11" t="n">
        <f>IF(AND(COUNT(BN921:BU921)=8,MIN(BN921:BU921)&gt;=0),SUMPRODUCT(BN921:BQ921,BR921:BU921),"")</f>
        <v>73.80791239847399</v>
      </c>
      <c r="BH921" s="11" t="n">
        <f>IF(COUNT(BC921,BG921)=2,BC921*BG921,"")</f>
        <v>134.56677614662286</v>
      </c>
      <c r="BI921" s="11" t="n">
        <f>IF(ISNUMBER(CI921),CI921,"")</f>
        <v>12.521696636693012</v>
      </c>
      <c r="BJ921" s="8" t="str">
        <v>低销提醒依据不完整</v>
      </c>
      <c r="BK921" s="8" t="str">
        <v>90天：2026-07-20 至 2026-10-17；180天：2026-04-21 至 2026-10-17</v>
      </c>
      <c r="BL921" s="8" t="str">
        <v>90天：2026-10-06、2026-10-07；180天：2026-10-06、2026-10-07</v>
      </c>
      <c r="BM921" s="8" t="str">
        <v>2026-10：12天 × 1.2247029157699902；2026-11：30天 × 0.8332682139098497；2026-12：31天 × 0.5511018253564084；2027-01：17天 × 1.0017220238758797</v>
      </c>
      <c r="BN921" s="11" t="n">
        <v>1.2247029157699902</v>
      </c>
      <c r="BO921" s="11" t="n">
        <v>0.8332682139098497</v>
      </c>
      <c r="BP921" s="11" t="n">
        <v>0.5511018253564084</v>
      </c>
      <c r="BQ921" s="11" t="n">
        <v>1.0017220238758797</v>
      </c>
      <c r="BR921" s="8" t="n">
        <v>12</v>
      </c>
      <c r="BS921" s="8" t="n">
        <v>30</v>
      </c>
      <c r="BT921" s="8" t="n">
        <v>31</v>
      </c>
      <c r="BU921" s="8" t="n">
        <v>17</v>
      </c>
      <c r="BV921" s="11" t="n">
        <f>IF(COUNT(BC921,BF921)=2,BC921*BF921,"")</f>
        <v>0.16965249699911447</v>
      </c>
      <c r="BW921" s="11" t="n">
        <f>IF(ISNUMBER(BN921),BN921,"")</f>
        <v>1.2247029157699902</v>
      </c>
      <c r="BX921" s="14" t="n">
        <f>IF(ISNUMBER(BR921),BR921,"")</f>
        <v>12</v>
      </c>
      <c r="BY921" s="13" t="n">
        <f>IF(AND(COUNT(BV921,BW921,BX921)=3,MIN(BV921,BW921,BX921)&gt;=0),BV921*BW921*BX921,"")</f>
        <v>2.4932868929097003</v>
      </c>
      <c r="BZ921" s="11" t="n">
        <f>IF(ISNUMBER(BO921),BO921,"")</f>
        <v>0.8332682139098497</v>
      </c>
      <c r="CA921" s="14" t="n">
        <f>IF(ISNUMBER(BS921),BS921,"")</f>
        <v>30</v>
      </c>
      <c r="CB921" s="13" t="n">
        <f>IF(AND(COUNT(BV921,BZ921,CA921)=3,MIN(BV921,BZ921,CA921)&gt;=0),BV921*BZ921*CA921,"")</f>
        <v>4.240980994793948</v>
      </c>
      <c r="CC921" s="11" t="n">
        <f>IF(ISNUMBER(BP921),BP921,"")</f>
        <v>0.5511018253564084</v>
      </c>
      <c r="CD921" s="14" t="n">
        <f>IF(ISNUMBER(BT921),BT921,"")</f>
        <v>31</v>
      </c>
      <c r="CE921" s="13" t="n">
        <f>IF(AND(COUNT(BV921,CC921,CD921)=3,MIN(BV921,CC921,CD921)&gt;=0),BV921*CC921*CD921,"")</f>
        <v>2.898369823947022</v>
      </c>
      <c r="CF921" s="11" t="n">
        <f>IF(ISNUMBER(BQ921),BQ921,"")</f>
        <v>1.0017220238758797</v>
      </c>
      <c r="CG921" s="14" t="n">
        <f>IF(ISNUMBER(BU921),BU921,"")</f>
        <v>17</v>
      </c>
      <c r="CH921" s="13" t="n">
        <f>IF(AND(COUNT(BV921,CF921,CG921)=3,MIN(BV921,CF921,CG921)&gt;=0),BV921*CF921*CG921,"")</f>
        <v>2.8890589250423426</v>
      </c>
      <c r="CI921" s="13" t="n">
        <f>IF(COUNT(BY921,CB921,CE921,CH921)=4,SUM(BY921,CB921,CE921,CH921),"")</f>
        <v>12.521696636693012</v>
      </c>
    </row>
    <row r="922" ht="72" customHeight="1">
      <c r="A922" s="16" t="str">
        <v>B06-NY-41.5</v>
      </c>
      <c r="B922" s="16" t="str">
        <v>1店-MUSSHOE-US</v>
      </c>
      <c r="C922" s="16" t="str">
        <v>艾年</v>
      </c>
      <c r="D922" s="26" t="n">
        <f>IF(NOT(ISNUMBER(E922)),"",IF(OR(E922&lt;=0,L922=0),0,IF(OR(NOT(ISNUMBER(F922)),F922&lt;0),"",MIN(E922,INT(F922)))))</f>
        <v>0</v>
      </c>
      <c r="E922" s="27" t="n">
        <f>IF(OR(NOT(ISNUMBER(L922)),COUNT(M922:O922)&lt;&gt;3,MIN(M922:O922)&lt;0),"",ROUNDUP(ROUND(BI922-SUM(M922:O922),10),0))</f>
        <v>-10</v>
      </c>
      <c r="F922" s="28" t="n">
        <v>0</v>
      </c>
      <c r="G922" s="28" t="n">
        <f>IF(AND(ISNUMBER(D922),ISNUMBER(E922)),IF(OR(E922&lt;=0,L922=0),0,E922-D922),"")</f>
        <v>0</v>
      </c>
      <c r="H922" s="16" t="str">
        <f>IF(NOT(ISNUMBER(E922)),"销量或海外库存待补",IF(OR(E922&lt;=0,L922=0),IF(L922=0,"零日销，本批不发","本批无需补货"),IF(NOT(ISNUMBER(D922)),"国内库存待补",IF(D922=0,"国内无可用库存",IF(G922&gt;0,"先发国内现货","按建议量发货")))))</f>
        <v>本批无需补货</v>
      </c>
      <c r="I922" s="28" t="n">
        <f>IF(AND(COUNT(Z922,AA922,AB922)=3,Z922&gt;=AA922,AA922&gt;=0,AB922=7),Z922-AA922,"")</f>
        <v>0</v>
      </c>
      <c r="J922" s="28" t="n">
        <f>IF(AND(COUNT(AF922,AG922,AH922)=3,AF922&gt;=AG922,AG922&gt;=0,AH922=14),AF922-AG922,"")</f>
        <v>1</v>
      </c>
      <c r="K922" s="28" t="n">
        <f>IF(AND(COUNT(AL922,AM922,AN922)=3,AL922&gt;=AM922,AM922&gt;=0,AN922=30),AL922-AM922,"")</f>
        <v>2</v>
      </c>
      <c r="L922" s="29" t="n">
        <f>IF(ISNUMBER(BI922),BI922/90,"")</f>
        <v>0.04441225976342736</v>
      </c>
      <c r="M922" s="28" t="n">
        <v>13</v>
      </c>
      <c r="N922" s="28" t="n">
        <v>0</v>
      </c>
      <c r="O922" s="28" t="n">
        <v>0</v>
      </c>
      <c r="P922" s="30" t="n">
        <f>IF(AND(ISNUMBER(L922),L922&gt;0,COUNT(M922:O922)=3,MIN(M922:O922)&gt;=0),SUM(M922:O922)/L922,"")</f>
        <v>292.7119689303729</v>
      </c>
      <c r="Q922" s="16" t="str">
        <v>沿用原计划SKU店铺</v>
      </c>
      <c r="R922" s="16" t="str">
        <v>已匹配</v>
      </c>
      <c r="S922" s="16" t="str">
        <v>在售</v>
      </c>
      <c r="T922" s="16" t="str">
        <v>B06</v>
      </c>
      <c r="U922" s="16" t="str">
        <v>藏青色羊京绒</v>
      </c>
      <c r="V922" s="16" t="n">
        <v>10.5</v>
      </c>
      <c r="W922" s="8" t="str">
        <v>2026-10-11 至 2026-10-17</v>
      </c>
      <c r="X922" s="8" t="str">
        <v>2026-10-11、2026-10-12、2026-10-13、2026-10-14、2026-10-15、2026-10-16、2026-10-17</v>
      </c>
      <c r="Y922" s="8" t="str">
        <v>无</v>
      </c>
      <c r="Z922" s="8" t="n">
        <v>0</v>
      </c>
      <c r="AA922" s="8" t="n">
        <v>0</v>
      </c>
      <c r="AB922" s="8" t="n">
        <v>7</v>
      </c>
      <c r="AC922" s="8" t="str">
        <v>2026-10-02 至 2026-10-17</v>
      </c>
      <c r="AD922" s="8" t="str">
        <v>2026-10-02、2026-10-03、2026-10-04、2026-10-05、2026-10-08、2026-10-09、2026-10-10、2026-10-11、2026-10-12、2026-10-13、2026-10-14、2026-10-15、2026-10-16、2026-10-17</v>
      </c>
      <c r="AE922" s="8" t="str">
        <v>2026-10-06 大促；2026-10-07 大促</v>
      </c>
      <c r="AF922" s="8" t="n">
        <v>4</v>
      </c>
      <c r="AG922" s="8" t="n">
        <v>3</v>
      </c>
      <c r="AH922" s="8" t="n">
        <v>14</v>
      </c>
      <c r="AI922" s="8" t="str">
        <v>2026-09-16 至 2026-10-17</v>
      </c>
      <c r="AJ9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2" s="8" t="str">
        <v>2026-10-06 大促；2026-10-07 大促</v>
      </c>
      <c r="AL922" s="8" t="n">
        <v>5</v>
      </c>
      <c r="AM922" s="8" t="n">
        <v>3</v>
      </c>
      <c r="AN922" s="8" t="n">
        <v>30</v>
      </c>
      <c r="AO922" s="8" t="str">
        <v>B06 / 藏青色羊京绒 / 13120</v>
      </c>
      <c r="AP922" s="11" t="n">
        <v>1.2247029157699902</v>
      </c>
      <c r="AQ922" s="11" t="n">
        <v>1.2247029157699902</v>
      </c>
      <c r="AR922" s="11" t="n">
        <v>1.1136940657346173</v>
      </c>
      <c r="AS922" s="11" t="n">
        <f>IF(AND(COUNT(I922:K922,AP922:AR922)=6,MIN(AP922:AR922)&gt;0),I922/7/AP922*0.5+J922/14/AQ922*0.3+K922/30/AR922*0.2,"")</f>
        <v>0.02946912348029766</v>
      </c>
      <c r="AT922" s="8" t="n">
        <v>7</v>
      </c>
      <c r="AU922" s="8" t="n">
        <v>3</v>
      </c>
      <c r="AV922" s="8" t="n">
        <v>88</v>
      </c>
      <c r="AW922" s="11" t="n">
        <f>IF(AND(COUNT(AT922:AV922)=3,AT922&gt;=AU922,AU922&gt;=0,AV922&gt;0),(AT922-AU922)/AV922,"")</f>
        <v>0.045454545454545456</v>
      </c>
      <c r="AX922" s="8" t="n">
        <v>11</v>
      </c>
      <c r="AY922" s="8" t="n">
        <v>3</v>
      </c>
      <c r="AZ922" s="8" t="n">
        <v>178</v>
      </c>
      <c r="BA922" s="11" t="n">
        <f>IF(AND(COUNT(AX922:AZ922)=3,AX922&gt;=AY922,AY922&gt;=0,AZ922&gt;0),(AX922-AY922)/AZ922,"")</f>
        <v>0.0449438202247191</v>
      </c>
      <c r="BB922" s="8" t="n">
        <f>IF(COUNT(AS922,AW922,BA922)=3,1,0)</f>
        <v>1</v>
      </c>
      <c r="BC922" s="11" t="n">
        <f>IF(SUMIF($AO$11:$AO$1309,AO922,$BB$11:$BB$1309)=COUNTIF($AO$11:$AO$1309,AO922),SUMIF($AO$11:$AO$1309,AO922,$AS$11:$AS$1309),"")</f>
        <v>1.8232025777957794</v>
      </c>
      <c r="BD922" s="11" t="n">
        <f>IF(SUMIF($AO$11:$AO$1309,AO922,$BB$11:$BB$1309)=COUNTIF($AO$11:$AO$1309,AO922),SUMIF($AO$11:$AO$1309,AO922,$AW$11:$AW$1309),"")</f>
        <v>1.5588235294117647</v>
      </c>
      <c r="BE922" s="11" t="n">
        <f>IF(SUMIF($AO$11:$AO$1309,AO922,$BB$11:$BB$1309)=COUNTIF($AO$11:$AO$1309,AO922),SUMIF($AO$11:$AO$1309,AO922,$BA$11:$BA$1309),"")</f>
        <v>1.4510754414125202</v>
      </c>
      <c r="BF922" s="12" t="n">
        <f>IF(COUNT(BD922:BE922)&lt;&gt;2,"",IF(AND(BD922&gt;0,BE922&gt;0),0.7*AW922/BD922+0.3*BA922/BE922,IF(BD922&gt;0,AW922/BD922,IF(BE922&gt;0,BA922/BE922,IF(AND(ISNUMBER(BH922),BH922=0),0,"")))))</f>
        <v>0.02970349363466396</v>
      </c>
      <c r="BG922" s="11" t="n">
        <f>IF(AND(COUNT(BN922:BU922)=8,MIN(BN922:BU922)&gt;=0),SUMPRODUCT(BN922:BQ922,BR922:BU922),"")</f>
        <v>73.80791239847399</v>
      </c>
      <c r="BH922" s="11" t="n">
        <f>IF(COUNT(BC922,BG922)=2,BC922*BG922,"")</f>
        <v>134.56677614662286</v>
      </c>
      <c r="BI922" s="11" t="n">
        <f>IF(ISNUMBER(CI922),CI922,"")</f>
        <v>3.997103378708462</v>
      </c>
      <c r="BJ922" s="8" t="str">
        <v>低销提醒依据不完整</v>
      </c>
      <c r="BK922" s="8" t="str">
        <v>90天：2026-07-20 至 2026-10-17；180天：2026-04-21 至 2026-10-17</v>
      </c>
      <c r="BL922" s="8" t="str">
        <v>90天：2026-10-06、2026-10-07；180天：2026-10-06、2026-10-07</v>
      </c>
      <c r="BM922" s="8" t="str">
        <v>2026-10：12天 × 1.2247029157699902；2026-11：30天 × 0.8332682139098497；2026-12：31天 × 0.5511018253564084；2027-01：17天 × 1.0017220238758797</v>
      </c>
      <c r="BN922" s="11" t="n">
        <v>1.2247029157699902</v>
      </c>
      <c r="BO922" s="11" t="n">
        <v>0.8332682139098497</v>
      </c>
      <c r="BP922" s="11" t="n">
        <v>0.5511018253564084</v>
      </c>
      <c r="BQ922" s="11" t="n">
        <v>1.0017220238758797</v>
      </c>
      <c r="BR922" s="8" t="n">
        <v>12</v>
      </c>
      <c r="BS922" s="8" t="n">
        <v>30</v>
      </c>
      <c r="BT922" s="8" t="n">
        <v>31</v>
      </c>
      <c r="BU922" s="8" t="n">
        <v>17</v>
      </c>
      <c r="BV922" s="11" t="n">
        <f>IF(COUNT(BC922,BF922)=2,BC922*BF922,"")</f>
        <v>0.05415548616425986</v>
      </c>
      <c r="BW922" s="11" t="n">
        <f>IF(ISNUMBER(BN922),BN922,"")</f>
        <v>1.2247029157699902</v>
      </c>
      <c r="BX922" s="14" t="n">
        <f>IF(ISNUMBER(BR922),BR922,"")</f>
        <v>12</v>
      </c>
      <c r="BY922" s="13" t="n">
        <f>IF(AND(COUNT(BV922,BW922,BX922)=3,MIN(BV922,BW922,BX922)&gt;=0),BV922*BW922*BX922,"")</f>
        <v>0.795892581723725</v>
      </c>
      <c r="BZ922" s="11" t="n">
        <f>IF(ISNUMBER(BO922),BO922,"")</f>
        <v>0.8332682139098497</v>
      </c>
      <c r="CA922" s="14" t="n">
        <f>IF(ISNUMBER(BS922),BS922,"")</f>
        <v>30</v>
      </c>
      <c r="CB922" s="13" t="n">
        <f>IF(AND(COUNT(BV922,BZ922,CA922)=3,MIN(BV922,BZ922,CA922)&gt;=0),BV922*BZ922*CA922,"")</f>
        <v>1.3537813568853718</v>
      </c>
      <c r="CC922" s="11" t="n">
        <f>IF(ISNUMBER(BP922),BP922,"")</f>
        <v>0.5511018253564084</v>
      </c>
      <c r="CD922" s="14" t="n">
        <f>IF(ISNUMBER(BT922),BT922,"")</f>
        <v>31</v>
      </c>
      <c r="CE922" s="13" t="n">
        <f>IF(AND(COUNT(BV922,CC922,CD922)=3,MIN(BV922,CC922,CD922)&gt;=0),BV922*CC922*CD922,"")</f>
        <v>0.9252008056238071</v>
      </c>
      <c r="CF922" s="11" t="n">
        <f>IF(ISNUMBER(BQ922),BQ922,"")</f>
        <v>1.0017220238758797</v>
      </c>
      <c r="CG922" s="14" t="n">
        <f>IF(ISNUMBER(BU922),BU922,"")</f>
        <v>17</v>
      </c>
      <c r="CH922" s="13" t="n">
        <f>IF(AND(COUNT(BV922,CF922,CG922)=3,MIN(BV922,CF922,CG922)&gt;=0),BV922*CF922*CG922,"")</f>
        <v>0.922228634475558</v>
      </c>
      <c r="CI922" s="13" t="n">
        <f>IF(COUNT(BY922,CB922,CE922,CH922)=4,SUM(BY922,CB922,CE922,CH922),"")</f>
        <v>3.997103378708462</v>
      </c>
    </row>
    <row r="923" ht="72" customHeight="1">
      <c r="A923" s="16" t="str">
        <v>B06-PDBG-40</v>
      </c>
      <c r="B923" s="16" t="str">
        <v>1店-MUSSHOE-US</v>
      </c>
      <c r="C923" s="16" t="str">
        <v>艾年</v>
      </c>
      <c r="D923" s="26" t="n">
        <f>IF(NOT(ISNUMBER(E923)),"",IF(OR(E923&lt;=0,L923=0),0,IF(OR(NOT(ISNUMBER(F923)),F923&lt;0),"",MIN(E923,INT(F923)))))</f>
        <v>0</v>
      </c>
      <c r="E923" s="27" t="n">
        <f>IF(OR(NOT(ISNUMBER(L923)),COUNT(M923:O923)&lt;&gt;3,MIN(M923:O923)&lt;0),"",ROUNDUP(ROUND(BI923-SUM(M923:O923),10),0))</f>
        <v>0</v>
      </c>
      <c r="F923" s="28" t="n">
        <v>0</v>
      </c>
      <c r="G923" s="28" t="n">
        <f>IF(AND(ISNUMBER(D923),ISNUMBER(E923)),IF(OR(E923&lt;=0,L923=0),0,E923-D923),"")</f>
        <v>0</v>
      </c>
      <c r="H923" s="16" t="str">
        <f>IF(NOT(ISNUMBER(E923)),"销量或海外库存待补",IF(OR(E923&lt;=0,L923=0),IF(L923=0,"零日销，本批不发","本批无需补货"),IF(NOT(ISNUMBER(D923)),"国内库存待补",IF(D923=0,"国内无可用库存",IF(G923&gt;0,"先发国内现货","按建议量发货")))))</f>
        <v>零日销，本批不发</v>
      </c>
      <c r="I923" s="28" t="n">
        <f>IF(AND(COUNT(Z923,AA923,AB923)=3,Z923&gt;=AA923,AA923&gt;=0,AB923=7),Z923-AA923,"")</f>
        <v>0</v>
      </c>
      <c r="J923" s="28" t="n">
        <f>IF(AND(COUNT(AF923,AG923,AH923)=3,AF923&gt;=AG923,AG923&gt;=0,AH923=14),AF923-AG923,"")</f>
        <v>0</v>
      </c>
      <c r="K923" s="28" t="n">
        <f>IF(AND(COUNT(AL923,AM923,AN923)=3,AL923&gt;=AM923,AM923&gt;=0,AN923=30),AL923-AM923,"")</f>
        <v>0</v>
      </c>
      <c r="L923" s="29" t="n">
        <f>IF(ISNUMBER(BI923),BI923/90,"")</f>
        <v>0</v>
      </c>
      <c r="M923" s="28" t="n">
        <v>0</v>
      </c>
      <c r="N923" s="28" t="n">
        <v>0</v>
      </c>
      <c r="O923" s="28" t="n">
        <v>0</v>
      </c>
      <c r="P923" s="30" t="str">
        <f>IF(AND(ISNUMBER(L923),L923&gt;0,COUNT(M923:O923)=3,MIN(M923:O923)&gt;=0),SUM(M923:O923)/L923,"")</f>
      </c>
      <c r="Q923" s="16" t="str">
        <v>按本SKU唯一未删除Listing店铺核实</v>
      </c>
      <c r="R923" s="16" t="str">
        <v>已匹配</v>
      </c>
      <c r="S923" s="16" t="str">
        <v>停售</v>
      </c>
      <c r="T923" s="16" t="str">
        <v>B06</v>
      </c>
      <c r="U923" s="16" t="str">
        <v>米色圆点布</v>
      </c>
      <c r="V923" s="16" t="n">
        <v>9</v>
      </c>
      <c r="W923" s="8" t="str">
        <v>2026-10-08 至 2026-10-17</v>
      </c>
      <c r="X923" s="8" t="str">
        <v>2026-10-08、2026-10-09、2026-10-10、2026-10-11、2026-10-14、2026-10-15、2026-10-17</v>
      </c>
      <c r="Y923" s="8" t="str">
        <v>2026-10-12 有记录的停售日；2026-10-13 有记录的停售日；2026-10-16 有记录的停售日</v>
      </c>
      <c r="Z923" s="8" t="n">
        <v>0</v>
      </c>
      <c r="AA923" s="8" t="n">
        <v>0</v>
      </c>
      <c r="AB923" s="8" t="n">
        <v>7</v>
      </c>
      <c r="AC923" s="8" t="str">
        <v>2026-09-29 至 2026-10-17</v>
      </c>
      <c r="AD923" s="8" t="str">
        <v>2026-09-29、2026-09-30、2026-10-01、2026-10-02、2026-10-03、2026-10-04、2026-10-05、2026-10-08、2026-10-09、2026-10-10、2026-10-11、2026-10-14、2026-10-15、2026-10-17</v>
      </c>
      <c r="AE923" s="8" t="str">
        <v>2026-10-06 大促；2026-10-07 大促；2026-10-12 有记录的停售日；2026-10-13 有记录的停售日；2026-10-16 有记录的停售日</v>
      </c>
      <c r="AF923" s="8" t="n">
        <v>0</v>
      </c>
      <c r="AG923" s="8" t="n">
        <v>0</v>
      </c>
      <c r="AH923" s="8" t="n">
        <v>14</v>
      </c>
      <c r="AI923" s="8" t="str">
        <v>2026-09-13 至 2026-10-17</v>
      </c>
      <c r="AJ9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23" s="8" t="str">
        <v>2026-10-06 大促；2026-10-07 大促；2026-10-12 有记录的停售日；2026-10-13 有记录的停售日；2026-10-16 有记录的停售日</v>
      </c>
      <c r="AL923" s="8" t="n">
        <v>0</v>
      </c>
      <c r="AM923" s="8" t="n">
        <v>0</v>
      </c>
      <c r="AN923" s="8" t="n">
        <v>30</v>
      </c>
      <c r="AO923" s="8" t="str">
        <v>B06 / 米色圆点布 / 13120</v>
      </c>
      <c r="AP923" s="11" t="n">
        <v>1.2247029157699902</v>
      </c>
      <c r="AQ923" s="11" t="n">
        <v>1.1929861014741694</v>
      </c>
      <c r="AR923" s="11" t="n">
        <v>1.0914922957275428</v>
      </c>
      <c r="AS923" s="11" t="n">
        <f>IF(AND(COUNT(I923:K923,AP923:AR923)=6,MIN(AP923:AR923)&gt;0),I923/7/AP923*0.5+J923/14/AQ923*0.3+K923/30/AR923*0.2,"")</f>
        <v>0</v>
      </c>
      <c r="AT923" s="8" t="n">
        <v>1</v>
      </c>
      <c r="AU923" s="8" t="n">
        <v>0</v>
      </c>
      <c r="AV923" s="8" t="n">
        <v>85</v>
      </c>
      <c r="AW923" s="11" t="n">
        <f>IF(AND(COUNT(AT923:AV923)=3,AT923&gt;=AU923,AU923&gt;=0,AV923&gt;0),(AT923-AU923)/AV923,"")</f>
        <v>0.011764705882352941</v>
      </c>
      <c r="AX923" s="8" t="n">
        <v>4</v>
      </c>
      <c r="AY923" s="8" t="n">
        <v>0</v>
      </c>
      <c r="AZ923" s="8" t="n">
        <v>175</v>
      </c>
      <c r="BA923" s="11" t="n">
        <f>IF(AND(COUNT(AX923:AZ923)=3,AX923&gt;=AY923,AY923&gt;=0,AZ923&gt;0),(AX923-AY923)/AZ923,"")</f>
        <v>0.022857142857142857</v>
      </c>
      <c r="BB923" s="8" t="n">
        <f>IF(COUNT(AS923,AW923,BA923)=3,1,0)</f>
        <v>1</v>
      </c>
      <c r="BC923" s="11" t="n">
        <f>IF(SUMIF($AO$11:$AO$1309,AO923,$BB$11:$BB$1309)=COUNTIF($AO$11:$AO$1309,AO923),SUMIF($AO$11:$AO$1309,AO923,$AS$11:$AS$1309),"")</f>
        <v>0</v>
      </c>
      <c r="BD923" s="11" t="n">
        <f>IF(SUMIF($AO$11:$AO$1309,AO923,$BB$11:$BB$1309)=COUNTIF($AO$11:$AO$1309,AO923),SUMIF($AO$11:$AO$1309,AO923,$AW$11:$AW$1309),"")</f>
        <v>0.011764705882352941</v>
      </c>
      <c r="BE923" s="11" t="n">
        <f>IF(SUMIF($AO$11:$AO$1309,AO923,$BB$11:$BB$1309)=COUNTIF($AO$11:$AO$1309,AO923),SUMIF($AO$11:$AO$1309,AO923,$BA$11:$BA$1309),"")</f>
        <v>0.02857142857142857</v>
      </c>
      <c r="BF923" s="12" t="n">
        <f>IF(COUNT(BD923:BE923)&lt;&gt;2,"",IF(AND(BD923&gt;0,BE923&gt;0),0.7*AW923/BD923+0.3*BA923/BE923,IF(BD923&gt;0,AW923/BD923,IF(BE923&gt;0,BA923/BE923,IF(AND(ISNUMBER(BH923),BH923=0),0,"")))))</f>
        <v>0.94</v>
      </c>
      <c r="BG923" s="11" t="n">
        <f>IF(AND(COUNT(BN923:BU923)=8,MIN(BN923:BU923)&gt;=0),SUMPRODUCT(BN923:BQ923,BR923:BU923),"")</f>
        <v>73.80791239847399</v>
      </c>
      <c r="BH923" s="11" t="n">
        <f>IF(COUNT(BC923,BG923)=2,BC923*BG923,"")</f>
        <v>0</v>
      </c>
      <c r="BI923" s="11" t="n">
        <f>IF(ISNUMBER(CI923),CI923,"")</f>
        <v>0</v>
      </c>
      <c r="BJ923" s="8" t="str">
        <v>低销提醒依据不完整</v>
      </c>
      <c r="BK923" s="8" t="str">
        <v>90天：2026-07-20 至 2026-10-17；180天：2026-04-21 至 2026-10-17</v>
      </c>
      <c r="BL923" s="8" t="str">
        <v>90天：2026-10-06、2026-10-07、2026-10-12、2026-10-13、2026-10-16；180天：2026-10-06、2026-10-07、2026-10-12、2026-10-13、2026-10-16</v>
      </c>
      <c r="BM923" s="8" t="str">
        <v>2026-10：12天 × 1.2247029157699902；2026-11：30天 × 0.8332682139098497；2026-12：31天 × 0.5511018253564084；2027-01：17天 × 1.0017220238758797</v>
      </c>
      <c r="BN923" s="11" t="n">
        <v>1.2247029157699902</v>
      </c>
      <c r="BO923" s="11" t="n">
        <v>0.8332682139098497</v>
      </c>
      <c r="BP923" s="11" t="n">
        <v>0.5511018253564084</v>
      </c>
      <c r="BQ923" s="11" t="n">
        <v>1.0017220238758797</v>
      </c>
      <c r="BR923" s="8" t="n">
        <v>12</v>
      </c>
      <c r="BS923" s="8" t="n">
        <v>30</v>
      </c>
      <c r="BT923" s="8" t="n">
        <v>31</v>
      </c>
      <c r="BU923" s="8" t="n">
        <v>17</v>
      </c>
      <c r="BV923" s="11" t="n">
        <f>IF(COUNT(BC923,BF923)=2,BC923*BF923,"")</f>
        <v>0</v>
      </c>
      <c r="BW923" s="11" t="n">
        <f>IF(ISNUMBER(BN923),BN923,"")</f>
        <v>1.2247029157699902</v>
      </c>
      <c r="BX923" s="14" t="n">
        <f>IF(ISNUMBER(BR923),BR923,"")</f>
        <v>12</v>
      </c>
      <c r="BY923" s="13" t="n">
        <f>IF(AND(COUNT(BV923,BW923,BX923)=3,MIN(BV923,BW923,BX923)&gt;=0),BV923*BW923*BX923,"")</f>
        <v>0</v>
      </c>
      <c r="BZ923" s="11" t="n">
        <f>IF(ISNUMBER(BO923),BO923,"")</f>
        <v>0.8332682139098497</v>
      </c>
      <c r="CA923" s="14" t="n">
        <f>IF(ISNUMBER(BS923),BS923,"")</f>
        <v>30</v>
      </c>
      <c r="CB923" s="13" t="n">
        <f>IF(AND(COUNT(BV923,BZ923,CA923)=3,MIN(BV923,BZ923,CA923)&gt;=0),BV923*BZ923*CA923,"")</f>
        <v>0</v>
      </c>
      <c r="CC923" s="11" t="n">
        <f>IF(ISNUMBER(BP923),BP923,"")</f>
        <v>0.5511018253564084</v>
      </c>
      <c r="CD923" s="14" t="n">
        <f>IF(ISNUMBER(BT923),BT923,"")</f>
        <v>31</v>
      </c>
      <c r="CE923" s="13" t="n">
        <f>IF(AND(COUNT(BV923,CC923,CD923)=3,MIN(BV923,CC923,CD923)&gt;=0),BV923*CC923*CD923,"")</f>
        <v>0</v>
      </c>
      <c r="CF923" s="11" t="n">
        <f>IF(ISNUMBER(BQ923),BQ923,"")</f>
        <v>1.0017220238758797</v>
      </c>
      <c r="CG923" s="14" t="n">
        <f>IF(ISNUMBER(BU923),BU923,"")</f>
        <v>17</v>
      </c>
      <c r="CH923" s="13" t="n">
        <f>IF(AND(COUNT(BV923,CF923,CG923)=3,MIN(BV923,CF923,CG923)&gt;=0),BV923*CF923*CG923,"")</f>
        <v>0</v>
      </c>
      <c r="CI923" s="13" t="n">
        <f>IF(COUNT(BY923,CB923,CE923,CH923)=4,SUM(BY923,CB923,CE923,CH923),"")</f>
        <v>0</v>
      </c>
    </row>
    <row r="924" ht="72" customHeight="1">
      <c r="A924" s="16" t="str">
        <v>B06-PDBG-40.5</v>
      </c>
      <c r="B924" s="16" t="str">
        <v>1店-MUSSHOE-US</v>
      </c>
      <c r="C924" s="16" t="str">
        <v>艾年</v>
      </c>
      <c r="D924" s="26" t="n">
        <f>IF(NOT(ISNUMBER(E924)),"",IF(OR(E924&lt;=0,L924=0),0,IF(OR(NOT(ISNUMBER(F924)),F924&lt;0),"",MIN(E924,INT(F924)))))</f>
        <v>0</v>
      </c>
      <c r="E924" s="27" t="n">
        <f>IF(OR(NOT(ISNUMBER(L924)),COUNT(M924:O924)&lt;&gt;3,MIN(M924:O924)&lt;0),"",ROUNDUP(ROUND(BI924-SUM(M924:O924),10),0))</f>
        <v>0</v>
      </c>
      <c r="F924" s="28"/>
      <c r="G924" s="28" t="n">
        <f>IF(AND(ISNUMBER(D924),ISNUMBER(E924)),IF(OR(E924&lt;=0,L924=0),0,E924-D924),"")</f>
        <v>0</v>
      </c>
      <c r="H924" s="16" t="str">
        <f>IF(NOT(ISNUMBER(E924)),"销量或海外库存待补",IF(OR(E924&lt;=0,L924=0),IF(L924=0,"零日销，本批不发","本批无需补货"),IF(NOT(ISNUMBER(D924)),"国内库存待补",IF(D924=0,"国内无可用库存",IF(G924&gt;0,"先发国内现货","按建议量发货")))))</f>
        <v>零日销，本批不发</v>
      </c>
      <c r="I924" s="28" t="n">
        <f>IF(AND(COUNT(Z924,AA924,AB924)=3,Z924&gt;=AA924,AA924&gt;=0,AB924=7),Z924-AA924,"")</f>
        <v>0</v>
      </c>
      <c r="J924" s="28" t="n">
        <f>IF(AND(COUNT(AF924,AG924,AH924)=3,AF924&gt;=AG924,AG924&gt;=0,AH924=14),AF924-AG924,"")</f>
        <v>0</v>
      </c>
      <c r="K924" s="28" t="n">
        <f>IF(AND(COUNT(AL924,AM924,AN924)=3,AL924&gt;=AM924,AM924&gt;=0,AN924=30),AL924-AM924,"")</f>
        <v>0</v>
      </c>
      <c r="L924" s="29" t="n">
        <f>IF(ISNUMBER(BI924),BI924/90,"")</f>
        <v>0</v>
      </c>
      <c r="M924" s="28" t="n">
        <v>0</v>
      </c>
      <c r="N924" s="28" t="n">
        <v>0</v>
      </c>
      <c r="O924" s="28" t="n">
        <v>0</v>
      </c>
      <c r="P924" s="30" t="str">
        <f>IF(AND(ISNUMBER(L924),L924&gt;0,COUNT(M924:O924)=3,MIN(M924:O924)&gt;=0),SUM(M924:O924)/L924,"")</f>
      </c>
      <c r="Q924" s="16" t="str">
        <v>按本SKU唯一未删除Listing店铺核实</v>
      </c>
      <c r="R924" s="16" t="str">
        <v>未匹配</v>
      </c>
      <c r="S924" s="16" t="str">
        <v>停售</v>
      </c>
      <c r="T924" s="16" t="str">
        <v>B06</v>
      </c>
      <c r="U924" s="16" t="str">
        <v>米色圆点布</v>
      </c>
      <c r="V924" s="16" t="n">
        <v>9.5</v>
      </c>
      <c r="W924" s="8" t="str">
        <v>2026-10-08 至 2026-10-17</v>
      </c>
      <c r="X924" s="8" t="str">
        <v>2026-10-08、2026-10-09、2026-10-10、2026-10-11、2026-10-14、2026-10-15、2026-10-17</v>
      </c>
      <c r="Y924" s="8" t="str">
        <v>2026-10-12 有记录的停售日；2026-10-13 有记录的停售日；2026-10-16 有记录的停售日</v>
      </c>
      <c r="Z924" s="8" t="n">
        <v>0</v>
      </c>
      <c r="AA924" s="8" t="n">
        <v>0</v>
      </c>
      <c r="AB924" s="8" t="n">
        <v>7</v>
      </c>
      <c r="AC924" s="8" t="str">
        <v>2026-09-29 至 2026-10-17</v>
      </c>
      <c r="AD924" s="8" t="str">
        <v>2026-09-29、2026-09-30、2026-10-01、2026-10-02、2026-10-03、2026-10-04、2026-10-05、2026-10-08、2026-10-09、2026-10-10、2026-10-11、2026-10-14、2026-10-15、2026-10-17</v>
      </c>
      <c r="AE924" s="8" t="str">
        <v>2026-10-06 大促；2026-10-07 大促；2026-10-12 有记录的停售日；2026-10-13 有记录的停售日；2026-10-16 有记录的停售日</v>
      </c>
      <c r="AF924" s="8" t="n">
        <v>0</v>
      </c>
      <c r="AG924" s="8" t="n">
        <v>0</v>
      </c>
      <c r="AH924" s="8" t="n">
        <v>14</v>
      </c>
      <c r="AI924" s="8" t="str">
        <v>2026-09-13 至 2026-10-17</v>
      </c>
      <c r="AJ92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24" s="8" t="str">
        <v>2026-10-06 大促；2026-10-07 大促；2026-10-12 有记录的停售日；2026-10-13 有记录的停售日；2026-10-16 有记录的停售日</v>
      </c>
      <c r="AL924" s="8" t="n">
        <v>0</v>
      </c>
      <c r="AM924" s="8" t="n">
        <v>0</v>
      </c>
      <c r="AN924" s="8" t="n">
        <v>30</v>
      </c>
      <c r="AO924" s="8" t="str">
        <v>B06 / 米色圆点布 / 13120</v>
      </c>
      <c r="AP924" s="11" t="n">
        <v>1.2247029157699902</v>
      </c>
      <c r="AQ924" s="11" t="n">
        <v>1.1929861014741694</v>
      </c>
      <c r="AR924" s="11" t="n">
        <v>1.0914922957275428</v>
      </c>
      <c r="AS924" s="11" t="n">
        <f>IF(AND(COUNT(I924:K924,AP924:AR924)=6,MIN(AP924:AR924)&gt;0),I924/7/AP924*0.5+J924/14/AQ924*0.3+K924/30/AR924*0.2,"")</f>
        <v>0</v>
      </c>
      <c r="AT924" s="8" t="n">
        <v>0</v>
      </c>
      <c r="AU924" s="8" t="n">
        <v>0</v>
      </c>
      <c r="AV924" s="8" t="n">
        <v>85</v>
      </c>
      <c r="AW924" s="11" t="n">
        <f>IF(AND(COUNT(AT924:AV924)=3,AT924&gt;=AU924,AU924&gt;=0,AV924&gt;0),(AT924-AU924)/AV924,"")</f>
        <v>0</v>
      </c>
      <c r="AX924" s="8" t="n">
        <v>0</v>
      </c>
      <c r="AY924" s="8" t="n">
        <v>0</v>
      </c>
      <c r="AZ924" s="8" t="n">
        <v>175</v>
      </c>
      <c r="BA924" s="11" t="n">
        <f>IF(AND(COUNT(AX924:AZ924)=3,AX924&gt;=AY924,AY924&gt;=0,AZ924&gt;0),(AX924-AY924)/AZ924,"")</f>
        <v>0</v>
      </c>
      <c r="BB924" s="8" t="n">
        <f>IF(COUNT(AS924,AW924,BA924)=3,1,0)</f>
        <v>1</v>
      </c>
      <c r="BC924" s="11" t="n">
        <f>IF(SUMIF($AO$11:$AO$1309,AO924,$BB$11:$BB$1309)=COUNTIF($AO$11:$AO$1309,AO924),SUMIF($AO$11:$AO$1309,AO924,$AS$11:$AS$1309),"")</f>
        <v>0</v>
      </c>
      <c r="BD924" s="11" t="n">
        <f>IF(SUMIF($AO$11:$AO$1309,AO924,$BB$11:$BB$1309)=COUNTIF($AO$11:$AO$1309,AO924),SUMIF($AO$11:$AO$1309,AO924,$AW$11:$AW$1309),"")</f>
        <v>0.011764705882352941</v>
      </c>
      <c r="BE924" s="11" t="n">
        <f>IF(SUMIF($AO$11:$AO$1309,AO924,$BB$11:$BB$1309)=COUNTIF($AO$11:$AO$1309,AO924),SUMIF($AO$11:$AO$1309,AO924,$BA$11:$BA$1309),"")</f>
        <v>0.02857142857142857</v>
      </c>
      <c r="BF924" s="12" t="n">
        <f>IF(COUNT(BD924:BE924)&lt;&gt;2,"",IF(AND(BD924&gt;0,BE924&gt;0),0.7*AW924/BD924+0.3*BA924/BE924,IF(BD924&gt;0,AW924/BD924,IF(BE924&gt;0,BA924/BE924,IF(AND(ISNUMBER(BH924),BH924=0),0,"")))))</f>
        <v>0</v>
      </c>
      <c r="BG924" s="11" t="n">
        <f>IF(AND(COUNT(BN924:BU924)=8,MIN(BN924:BU924)&gt;=0),SUMPRODUCT(BN924:BQ924,BR924:BU924),"")</f>
        <v>73.80791239847399</v>
      </c>
      <c r="BH924" s="11" t="n">
        <f>IF(COUNT(BC924,BG924)=2,BC924*BG924,"")</f>
        <v>0</v>
      </c>
      <c r="BI924" s="11" t="n">
        <f>IF(ISNUMBER(CI924),CI924,"")</f>
        <v>0</v>
      </c>
      <c r="BJ924" s="8" t="str">
        <v>低销提醒依据不完整</v>
      </c>
      <c r="BK924" s="8" t="str">
        <v>90天：2026-07-20 至 2026-10-17；180天：2026-04-21 至 2026-10-17</v>
      </c>
      <c r="BL924" s="8" t="str">
        <v>90天：2026-10-06、2026-10-07、2026-10-12、2026-10-13、2026-10-16；180天：2026-10-06、2026-10-07、2026-10-12、2026-10-13、2026-10-16</v>
      </c>
      <c r="BM924" s="8" t="str">
        <v>2026-10：12天 × 1.2247029157699902；2026-11：30天 × 0.8332682139098497；2026-12：31天 × 0.5511018253564084；2027-01：17天 × 1.0017220238758797</v>
      </c>
      <c r="BN924" s="11" t="n">
        <v>1.2247029157699902</v>
      </c>
      <c r="BO924" s="11" t="n">
        <v>0.8332682139098497</v>
      </c>
      <c r="BP924" s="11" t="n">
        <v>0.5511018253564084</v>
      </c>
      <c r="BQ924" s="11" t="n">
        <v>1.0017220238758797</v>
      </c>
      <c r="BR924" s="8" t="n">
        <v>12</v>
      </c>
      <c r="BS924" s="8" t="n">
        <v>30</v>
      </c>
      <c r="BT924" s="8" t="n">
        <v>31</v>
      </c>
      <c r="BU924" s="8" t="n">
        <v>17</v>
      </c>
      <c r="BV924" s="11" t="n">
        <f>IF(COUNT(BC924,BF924)=2,BC924*BF924,"")</f>
        <v>0</v>
      </c>
      <c r="BW924" s="11" t="n">
        <f>IF(ISNUMBER(BN924),BN924,"")</f>
        <v>1.2247029157699902</v>
      </c>
      <c r="BX924" s="14" t="n">
        <f>IF(ISNUMBER(BR924),BR924,"")</f>
        <v>12</v>
      </c>
      <c r="BY924" s="13" t="n">
        <f>IF(AND(COUNT(BV924,BW924,BX924)=3,MIN(BV924,BW924,BX924)&gt;=0),BV924*BW924*BX924,"")</f>
        <v>0</v>
      </c>
      <c r="BZ924" s="11" t="n">
        <f>IF(ISNUMBER(BO924),BO924,"")</f>
        <v>0.8332682139098497</v>
      </c>
      <c r="CA924" s="14" t="n">
        <f>IF(ISNUMBER(BS924),BS924,"")</f>
        <v>30</v>
      </c>
      <c r="CB924" s="13" t="n">
        <f>IF(AND(COUNT(BV924,BZ924,CA924)=3,MIN(BV924,BZ924,CA924)&gt;=0),BV924*BZ924*CA924,"")</f>
        <v>0</v>
      </c>
      <c r="CC924" s="11" t="n">
        <f>IF(ISNUMBER(BP924),BP924,"")</f>
        <v>0.5511018253564084</v>
      </c>
      <c r="CD924" s="14" t="n">
        <f>IF(ISNUMBER(BT924),BT924,"")</f>
        <v>31</v>
      </c>
      <c r="CE924" s="13" t="n">
        <f>IF(AND(COUNT(BV924,CC924,CD924)=3,MIN(BV924,CC924,CD924)&gt;=0),BV924*CC924*CD924,"")</f>
        <v>0</v>
      </c>
      <c r="CF924" s="11" t="n">
        <f>IF(ISNUMBER(BQ924),BQ924,"")</f>
        <v>1.0017220238758797</v>
      </c>
      <c r="CG924" s="14" t="n">
        <f>IF(ISNUMBER(BU924),BU924,"")</f>
        <v>17</v>
      </c>
      <c r="CH924" s="13" t="n">
        <f>IF(AND(COUNT(BV924,CF924,CG924)=3,MIN(BV924,CF924,CG924)&gt;=0),BV924*CF924*CG924,"")</f>
        <v>0</v>
      </c>
      <c r="CI924" s="13" t="n">
        <f>IF(COUNT(BY924,CB924,CE924,CH924)=4,SUM(BY924,CB924,CE924,CH924),"")</f>
        <v>0</v>
      </c>
    </row>
    <row r="925" ht="72" customHeight="1">
      <c r="A925" s="16" t="str">
        <v>B06-PDBG-42</v>
      </c>
      <c r="B925" s="16" t="str">
        <v>1店-MUSSHOE-US</v>
      </c>
      <c r="C925" s="16" t="str">
        <v>艾年</v>
      </c>
      <c r="D925" s="26" t="n">
        <f>IF(NOT(ISNUMBER(E925)),"",IF(OR(E925&lt;=0,L925=0),0,IF(OR(NOT(ISNUMBER(F925)),F925&lt;0),"",MIN(E925,INT(F925)))))</f>
        <v>0</v>
      </c>
      <c r="E925" s="27" t="n">
        <f>IF(OR(NOT(ISNUMBER(L925)),COUNT(M925:O925)&lt;&gt;3,MIN(M925:O925)&lt;0),"",ROUNDUP(ROUND(BI925-SUM(M925:O925),10),0))</f>
        <v>0</v>
      </c>
      <c r="F925" s="28"/>
      <c r="G925" s="28" t="n">
        <f>IF(AND(ISNUMBER(D925),ISNUMBER(E925)),IF(OR(E925&lt;=0,L925=0),0,E925-D925),"")</f>
        <v>0</v>
      </c>
      <c r="H925" s="16" t="str">
        <f>IF(NOT(ISNUMBER(E925)),"销量或海外库存待补",IF(OR(E925&lt;=0,L925=0),IF(L925=0,"零日销，本批不发","本批无需补货"),IF(NOT(ISNUMBER(D925)),"国内库存待补",IF(D925=0,"国内无可用库存",IF(G925&gt;0,"先发国内现货","按建议量发货")))))</f>
        <v>零日销，本批不发</v>
      </c>
      <c r="I925" s="28" t="n">
        <f>IF(AND(COUNT(Z925,AA925,AB925)=3,Z925&gt;=AA925,AA925&gt;=0,AB925=7),Z925-AA925,"")</f>
        <v>0</v>
      </c>
      <c r="J925" s="28" t="n">
        <f>IF(AND(COUNT(AF925,AG925,AH925)=3,AF925&gt;=AG925,AG925&gt;=0,AH925=14),AF925-AG925,"")</f>
        <v>0</v>
      </c>
      <c r="K925" s="28" t="n">
        <f>IF(AND(COUNT(AL925,AM925,AN925)=3,AL925&gt;=AM925,AM925&gt;=0,AN925=30),AL925-AM925,"")</f>
        <v>0</v>
      </c>
      <c r="L925" s="29" t="n">
        <f>IF(ISNUMBER(BI925),BI925/90,"")</f>
        <v>0</v>
      </c>
      <c r="M925" s="28" t="n">
        <v>0</v>
      </c>
      <c r="N925" s="28" t="n">
        <v>0</v>
      </c>
      <c r="O925" s="28" t="n">
        <v>0</v>
      </c>
      <c r="P925" s="30" t="str">
        <f>IF(AND(ISNUMBER(L925),L925&gt;0,COUNT(M925:O925)=3,MIN(M925:O925)&gt;=0),SUM(M925:O925)/L925,"")</f>
      </c>
      <c r="Q925" s="16" t="str">
        <v>按本SKU唯一未删除Listing店铺核实</v>
      </c>
      <c r="R925" s="16" t="str">
        <v>未匹配</v>
      </c>
      <c r="S925" s="16" t="str">
        <v>停售</v>
      </c>
      <c r="T925" s="16" t="str">
        <v>B06</v>
      </c>
      <c r="U925" s="16" t="str">
        <v>米色圆点布</v>
      </c>
      <c r="V925" s="16" t="n">
        <v>11</v>
      </c>
      <c r="W925" s="8" t="str">
        <v>2026-10-08 至 2026-10-17</v>
      </c>
      <c r="X925" s="8" t="str">
        <v>2026-10-08、2026-10-09、2026-10-10、2026-10-11、2026-10-14、2026-10-15、2026-10-17</v>
      </c>
      <c r="Y925" s="8" t="str">
        <v>2026-10-12 有记录的停售日；2026-10-13 有记录的停售日；2026-10-16 有记录的停售日</v>
      </c>
      <c r="Z925" s="8" t="n">
        <v>0</v>
      </c>
      <c r="AA925" s="8" t="n">
        <v>0</v>
      </c>
      <c r="AB925" s="8" t="n">
        <v>7</v>
      </c>
      <c r="AC925" s="8" t="str">
        <v>2026-09-29 至 2026-10-17</v>
      </c>
      <c r="AD925" s="8" t="str">
        <v>2026-09-29、2026-09-30、2026-10-01、2026-10-02、2026-10-03、2026-10-04、2026-10-05、2026-10-08、2026-10-09、2026-10-10、2026-10-11、2026-10-14、2026-10-15、2026-10-17</v>
      </c>
      <c r="AE925" s="8" t="str">
        <v>2026-10-06 大促；2026-10-07 大促；2026-10-12 有记录的停售日；2026-10-13 有记录的停售日；2026-10-16 有记录的停售日</v>
      </c>
      <c r="AF925" s="8" t="n">
        <v>0</v>
      </c>
      <c r="AG925" s="8" t="n">
        <v>0</v>
      </c>
      <c r="AH925" s="8" t="n">
        <v>14</v>
      </c>
      <c r="AI925" s="8" t="str">
        <v>2026-09-13 至 2026-10-17</v>
      </c>
      <c r="AJ92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25" s="8" t="str">
        <v>2026-10-06 大促；2026-10-07 大促；2026-10-12 有记录的停售日；2026-10-13 有记录的停售日；2026-10-16 有记录的停售日</v>
      </c>
      <c r="AL925" s="8" t="n">
        <v>0</v>
      </c>
      <c r="AM925" s="8" t="n">
        <v>0</v>
      </c>
      <c r="AN925" s="8" t="n">
        <v>30</v>
      </c>
      <c r="AO925" s="8" t="str">
        <v>B06 / 米色圆点布 / 13120</v>
      </c>
      <c r="AP925" s="11" t="n">
        <v>1.2247029157699902</v>
      </c>
      <c r="AQ925" s="11" t="n">
        <v>1.1929861014741694</v>
      </c>
      <c r="AR925" s="11" t="n">
        <v>1.0914922957275428</v>
      </c>
      <c r="AS925" s="11" t="n">
        <f>IF(AND(COUNT(I925:K925,AP925:AR925)=6,MIN(AP925:AR925)&gt;0),I925/7/AP925*0.5+J925/14/AQ925*0.3+K925/30/AR925*0.2,"")</f>
        <v>0</v>
      </c>
      <c r="AT925" s="8" t="n">
        <v>0</v>
      </c>
      <c r="AU925" s="8" t="n">
        <v>0</v>
      </c>
      <c r="AV925" s="8" t="n">
        <v>85</v>
      </c>
      <c r="AW925" s="11" t="n">
        <f>IF(AND(COUNT(AT925:AV925)=3,AT925&gt;=AU925,AU925&gt;=0,AV925&gt;0),(AT925-AU925)/AV925,"")</f>
        <v>0</v>
      </c>
      <c r="AX925" s="8" t="n">
        <v>1</v>
      </c>
      <c r="AY925" s="8" t="n">
        <v>0</v>
      </c>
      <c r="AZ925" s="8" t="n">
        <v>175</v>
      </c>
      <c r="BA925" s="11" t="n">
        <f>IF(AND(COUNT(AX925:AZ925)=3,AX925&gt;=AY925,AY925&gt;=0,AZ925&gt;0),(AX925-AY925)/AZ925,"")</f>
        <v>0.005714285714285714</v>
      </c>
      <c r="BB925" s="8" t="n">
        <f>IF(COUNT(AS925,AW925,BA925)=3,1,0)</f>
        <v>1</v>
      </c>
      <c r="BC925" s="11" t="n">
        <f>IF(SUMIF($AO$11:$AO$1309,AO925,$BB$11:$BB$1309)=COUNTIF($AO$11:$AO$1309,AO925),SUMIF($AO$11:$AO$1309,AO925,$AS$11:$AS$1309),"")</f>
        <v>0</v>
      </c>
      <c r="BD925" s="11" t="n">
        <f>IF(SUMIF($AO$11:$AO$1309,AO925,$BB$11:$BB$1309)=COUNTIF($AO$11:$AO$1309,AO925),SUMIF($AO$11:$AO$1309,AO925,$AW$11:$AW$1309),"")</f>
        <v>0.011764705882352941</v>
      </c>
      <c r="BE925" s="11" t="n">
        <f>IF(SUMIF($AO$11:$AO$1309,AO925,$BB$11:$BB$1309)=COUNTIF($AO$11:$AO$1309,AO925),SUMIF($AO$11:$AO$1309,AO925,$BA$11:$BA$1309),"")</f>
        <v>0.02857142857142857</v>
      </c>
      <c r="BF925" s="12" t="n">
        <f>IF(COUNT(BD925:BE925)&lt;&gt;2,"",IF(AND(BD925&gt;0,BE925&gt;0),0.7*AW925/BD925+0.3*BA925/BE925,IF(BD925&gt;0,AW925/BD925,IF(BE925&gt;0,BA925/BE925,IF(AND(ISNUMBER(BH925),BH925=0),0,"")))))</f>
        <v>0.06</v>
      </c>
      <c r="BG925" s="11" t="n">
        <f>IF(AND(COUNT(BN925:BU925)=8,MIN(BN925:BU925)&gt;=0),SUMPRODUCT(BN925:BQ925,BR925:BU925),"")</f>
        <v>73.80791239847399</v>
      </c>
      <c r="BH925" s="11" t="n">
        <f>IF(COUNT(BC925,BG925)=2,BC925*BG925,"")</f>
        <v>0</v>
      </c>
      <c r="BI925" s="11" t="n">
        <f>IF(ISNUMBER(CI925),CI925,"")</f>
        <v>0</v>
      </c>
      <c r="BJ925" s="8" t="str">
        <v>低销提醒依据不完整</v>
      </c>
      <c r="BK925" s="8" t="str">
        <v>90天：2026-07-20 至 2026-10-17；180天：2026-04-21 至 2026-10-17</v>
      </c>
      <c r="BL925" s="8" t="str">
        <v>90天：2026-10-06、2026-10-07、2026-10-12、2026-10-13、2026-10-16；180天：2026-10-06、2026-10-07、2026-10-12、2026-10-13、2026-10-16</v>
      </c>
      <c r="BM925" s="8" t="str">
        <v>2026-10：12天 × 1.2247029157699902；2026-11：30天 × 0.8332682139098497；2026-12：31天 × 0.5511018253564084；2027-01：17天 × 1.0017220238758797</v>
      </c>
      <c r="BN925" s="11" t="n">
        <v>1.2247029157699902</v>
      </c>
      <c r="BO925" s="11" t="n">
        <v>0.8332682139098497</v>
      </c>
      <c r="BP925" s="11" t="n">
        <v>0.5511018253564084</v>
      </c>
      <c r="BQ925" s="11" t="n">
        <v>1.0017220238758797</v>
      </c>
      <c r="BR925" s="8" t="n">
        <v>12</v>
      </c>
      <c r="BS925" s="8" t="n">
        <v>30</v>
      </c>
      <c r="BT925" s="8" t="n">
        <v>31</v>
      </c>
      <c r="BU925" s="8" t="n">
        <v>17</v>
      </c>
      <c r="BV925" s="11" t="n">
        <f>IF(COUNT(BC925,BF925)=2,BC925*BF925,"")</f>
        <v>0</v>
      </c>
      <c r="BW925" s="11" t="n">
        <f>IF(ISNUMBER(BN925),BN925,"")</f>
        <v>1.2247029157699902</v>
      </c>
      <c r="BX925" s="14" t="n">
        <f>IF(ISNUMBER(BR925),BR925,"")</f>
        <v>12</v>
      </c>
      <c r="BY925" s="13" t="n">
        <f>IF(AND(COUNT(BV925,BW925,BX925)=3,MIN(BV925,BW925,BX925)&gt;=0),BV925*BW925*BX925,"")</f>
        <v>0</v>
      </c>
      <c r="BZ925" s="11" t="n">
        <f>IF(ISNUMBER(BO925),BO925,"")</f>
        <v>0.8332682139098497</v>
      </c>
      <c r="CA925" s="14" t="n">
        <f>IF(ISNUMBER(BS925),BS925,"")</f>
        <v>30</v>
      </c>
      <c r="CB925" s="13" t="n">
        <f>IF(AND(COUNT(BV925,BZ925,CA925)=3,MIN(BV925,BZ925,CA925)&gt;=0),BV925*BZ925*CA925,"")</f>
        <v>0</v>
      </c>
      <c r="CC925" s="11" t="n">
        <f>IF(ISNUMBER(BP925),BP925,"")</f>
        <v>0.5511018253564084</v>
      </c>
      <c r="CD925" s="14" t="n">
        <f>IF(ISNUMBER(BT925),BT925,"")</f>
        <v>31</v>
      </c>
      <c r="CE925" s="13" t="n">
        <f>IF(AND(COUNT(BV925,CC925,CD925)=3,MIN(BV925,CC925,CD925)&gt;=0),BV925*CC925*CD925,"")</f>
        <v>0</v>
      </c>
      <c r="CF925" s="11" t="n">
        <f>IF(ISNUMBER(BQ925),BQ925,"")</f>
        <v>1.0017220238758797</v>
      </c>
      <c r="CG925" s="14" t="n">
        <f>IF(ISNUMBER(BU925),BU925,"")</f>
        <v>17</v>
      </c>
      <c r="CH925" s="13" t="n">
        <f>IF(AND(COUNT(BV925,CF925,CG925)=3,MIN(BV925,CF925,CG925)&gt;=0),BV925*CF925*CG925,"")</f>
        <v>0</v>
      </c>
      <c r="CI925" s="13" t="n">
        <f>IF(COUNT(BY925,CB925,CE925,CH925)=4,SUM(BY925,CB925,CE925,CH925),"")</f>
        <v>0</v>
      </c>
    </row>
    <row r="926" ht="72" customHeight="1">
      <c r="A926" s="16" t="str">
        <v>B06-PDBK-37</v>
      </c>
      <c r="B926" s="16" t="str">
        <v>1店-MUSSHOE-US</v>
      </c>
      <c r="C926" s="16" t="str">
        <v>艾年</v>
      </c>
      <c r="D926" s="26" t="n">
        <f>IF(NOT(ISNUMBER(E926)),"",IF(OR(E926&lt;=0,L926=0),0,IF(OR(NOT(ISNUMBER(F926)),F926&lt;0),"",MIN(E926,INT(F926)))))</f>
        <v>0</v>
      </c>
      <c r="E926" s="27" t="n">
        <f>IF(OR(NOT(ISNUMBER(L926)),COUNT(M926:O926)&lt;&gt;3,MIN(M926:O926)&lt;0),"",ROUNDUP(ROUND(BI926-SUM(M926:O926),10),0))</f>
        <v>0</v>
      </c>
      <c r="F926" s="28"/>
      <c r="G926" s="28" t="n">
        <f>IF(AND(ISNUMBER(D926),ISNUMBER(E926)),IF(OR(E926&lt;=0,L926=0),0,E926-D926),"")</f>
        <v>0</v>
      </c>
      <c r="H926" s="16" t="str">
        <f>IF(NOT(ISNUMBER(E926)),"销量或海外库存待补",IF(OR(E926&lt;=0,L926=0),IF(L926=0,"零日销，本批不发","本批无需补货"),IF(NOT(ISNUMBER(D926)),"国内库存待补",IF(D926=0,"国内无可用库存",IF(G926&gt;0,"先发国内现货","按建议量发货")))))</f>
        <v>零日销，本批不发</v>
      </c>
      <c r="I926" s="28" t="n">
        <f>IF(AND(COUNT(Z926,AA926,AB926)=3,Z926&gt;=AA926,AA926&gt;=0,AB926=7),Z926-AA926,"")</f>
        <v>0</v>
      </c>
      <c r="J926" s="28" t="n">
        <f>IF(AND(COUNT(AF926,AG926,AH926)=3,AF926&gt;=AG926,AG926&gt;=0,AH926=14),AF926-AG926,"")</f>
        <v>0</v>
      </c>
      <c r="K926" s="28" t="n">
        <f>IF(AND(COUNT(AL926,AM926,AN926)=3,AL926&gt;=AM926,AM926&gt;=0,AN926=30),AL926-AM926,"")</f>
        <v>0</v>
      </c>
      <c r="L926" s="29" t="n">
        <f>IF(ISNUMBER(BI926),BI926/90,"")</f>
        <v>0</v>
      </c>
      <c r="M926" s="28" t="n">
        <v>0</v>
      </c>
      <c r="N926" s="28" t="n">
        <v>0</v>
      </c>
      <c r="O926" s="28" t="n">
        <v>0</v>
      </c>
      <c r="P926" s="30" t="str">
        <f>IF(AND(ISNUMBER(L926),L926&gt;0,COUNT(M926:O926)=3,MIN(M926:O926)&gt;=0),SUM(M926:O926)/L926,"")</f>
      </c>
      <c r="Q926" s="16" t="str">
        <v>沿用原计划SKU店铺</v>
      </c>
      <c r="R926" s="16" t="str">
        <v>未匹配</v>
      </c>
      <c r="S926" s="16" t="str">
        <v>停售</v>
      </c>
      <c r="T926" s="16" t="str">
        <v>B06</v>
      </c>
      <c r="U926" s="16" t="str">
        <v>黑色圆点布</v>
      </c>
      <c r="V926" s="16" t="n">
        <v>6</v>
      </c>
      <c r="W926" s="8" t="str">
        <v>2026-10-08 至 2026-10-17</v>
      </c>
      <c r="X926" s="8" t="str">
        <v>2026-10-08、2026-10-09、2026-10-10、2026-10-11、2026-10-14、2026-10-15、2026-10-17</v>
      </c>
      <c r="Y926" s="8" t="str">
        <v>2026-10-12 有记录的停售日；2026-10-13 有记录的停售日；2026-10-16 有记录的停售日</v>
      </c>
      <c r="Z926" s="8" t="n">
        <v>0</v>
      </c>
      <c r="AA926" s="8" t="n">
        <v>0</v>
      </c>
      <c r="AB926" s="8" t="n">
        <v>7</v>
      </c>
      <c r="AC926" s="8" t="str">
        <v>2026-09-29 至 2026-10-17</v>
      </c>
      <c r="AD926" s="8" t="str">
        <v>2026-09-29、2026-09-30、2026-10-01、2026-10-02、2026-10-03、2026-10-04、2026-10-05、2026-10-08、2026-10-09、2026-10-10、2026-10-11、2026-10-14、2026-10-15、2026-10-17</v>
      </c>
      <c r="AE926" s="8" t="str">
        <v>2026-10-06 大促；2026-10-07 大促；2026-10-12 有记录的停售日；2026-10-13 有记录的停售日；2026-10-16 有记录的停售日</v>
      </c>
      <c r="AF926" s="8" t="n">
        <v>0</v>
      </c>
      <c r="AG926" s="8" t="n">
        <v>0</v>
      </c>
      <c r="AH926" s="8" t="n">
        <v>14</v>
      </c>
      <c r="AI926" s="8" t="str">
        <v>2026-09-13 至 2026-10-17</v>
      </c>
      <c r="AJ92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26" s="8" t="str">
        <v>2026-10-06 大促；2026-10-07 大促；2026-10-12 有记录的停售日；2026-10-13 有记录的停售日；2026-10-16 有记录的停售日</v>
      </c>
      <c r="AL926" s="8" t="n">
        <v>0</v>
      </c>
      <c r="AM926" s="8" t="n">
        <v>0</v>
      </c>
      <c r="AN926" s="8" t="n">
        <v>30</v>
      </c>
      <c r="AO926" s="8" t="str">
        <v>B06 / 黑色圆点布 / 13120</v>
      </c>
      <c r="AP926" s="11" t="n">
        <v>1.2247029157699902</v>
      </c>
      <c r="AQ926" s="11" t="n">
        <v>1.1929861014741694</v>
      </c>
      <c r="AR926" s="11" t="n">
        <v>1.0914922957275428</v>
      </c>
      <c r="AS926" s="11" t="n">
        <f>IF(AND(COUNT(I926:K926,AP926:AR926)=6,MIN(AP926:AR926)&gt;0),I926/7/AP926*0.5+J926/14/AQ926*0.3+K926/30/AR926*0.2,"")</f>
        <v>0</v>
      </c>
      <c r="AT926" s="8" t="n">
        <v>0</v>
      </c>
      <c r="AU926" s="8" t="n">
        <v>0</v>
      </c>
      <c r="AV926" s="8" t="n">
        <v>85</v>
      </c>
      <c r="AW926" s="11" t="n">
        <f>IF(AND(COUNT(AT926:AV926)=3,AT926&gt;=AU926,AU926&gt;=0,AV926&gt;0),(AT926-AU926)/AV926,"")</f>
        <v>0</v>
      </c>
      <c r="AX926" s="8" t="n">
        <v>0</v>
      </c>
      <c r="AY926" s="8" t="n">
        <v>0</v>
      </c>
      <c r="AZ926" s="8" t="n">
        <v>175</v>
      </c>
      <c r="BA926" s="11" t="n">
        <f>IF(AND(COUNT(AX926:AZ926)=3,AX926&gt;=AY926,AY926&gt;=0,AZ926&gt;0),(AX926-AY926)/AZ926,"")</f>
        <v>0</v>
      </c>
      <c r="BB926" s="8" t="n">
        <f>IF(COUNT(AS926,AW926,BA926)=3,1,0)</f>
        <v>1</v>
      </c>
      <c r="BC926" s="11" t="n">
        <f>IF(SUMIF($AO$11:$AO$1309,AO926,$BB$11:$BB$1309)=COUNTIF($AO$11:$AO$1309,AO926),SUMIF($AO$11:$AO$1309,AO926,$AS$11:$AS$1309),"")</f>
        <v>0.02946912348029766</v>
      </c>
      <c r="BD926" s="11" t="n">
        <f>IF(SUMIF($AO$11:$AO$1309,AO926,$BB$11:$BB$1309)=COUNTIF($AO$11:$AO$1309,AO926),SUMIF($AO$11:$AO$1309,AO926,$AW$11:$AW$1309),"")</f>
        <v>0.03409090909090909</v>
      </c>
      <c r="BE926" s="11" t="n">
        <f>IF(SUMIF($AO$11:$AO$1309,AO926,$BB$11:$BB$1309)=COUNTIF($AO$11:$AO$1309,AO926),SUMIF($AO$11:$AO$1309,AO926,$BA$11:$BA$1309),"")</f>
        <v>0.03932584269662921</v>
      </c>
      <c r="BF926" s="12" t="n">
        <f>IF(COUNT(BD926:BE926)&lt;&gt;2,"",IF(AND(BD926&gt;0,BE926&gt;0),0.7*AW926/BD926+0.3*BA926/BE926,IF(BD926&gt;0,AW926/BD926,IF(BE926&gt;0,BA926/BE926,IF(AND(ISNUMBER(BH926),BH926=0),0,"")))))</f>
        <v>0</v>
      </c>
      <c r="BG926" s="11" t="n">
        <f>IF(AND(COUNT(BN926:BU926)=8,MIN(BN926:BU926)&gt;=0),SUMPRODUCT(BN926:BQ926,BR926:BU926),"")</f>
        <v>73.80791239847399</v>
      </c>
      <c r="BH926" s="11" t="n">
        <f>IF(COUNT(BC926,BG926)=2,BC926*BG926,"")</f>
        <v>2.1750544842936224</v>
      </c>
      <c r="BI926" s="11" t="n">
        <f>IF(ISNUMBER(CI926),CI926,"")</f>
        <v>0</v>
      </c>
      <c r="BJ926" s="8" t="str">
        <v>低销提醒依据不完整</v>
      </c>
      <c r="BK926" s="8" t="str">
        <v>90天：2026-07-20 至 2026-10-17；180天：2026-04-21 至 2026-10-17</v>
      </c>
      <c r="BL926" s="8" t="str">
        <v>90天：2026-10-06、2026-10-07、2026-10-12、2026-10-13、2026-10-16；180天：2026-10-06、2026-10-07、2026-10-12、2026-10-13、2026-10-16</v>
      </c>
      <c r="BM926" s="8" t="str">
        <v>2026-10：12天 × 1.2247029157699902；2026-11：30天 × 0.8332682139098497；2026-12：31天 × 0.5511018253564084；2027-01：17天 × 1.0017220238758797</v>
      </c>
      <c r="BN926" s="11" t="n">
        <v>1.2247029157699902</v>
      </c>
      <c r="BO926" s="11" t="n">
        <v>0.8332682139098497</v>
      </c>
      <c r="BP926" s="11" t="n">
        <v>0.5511018253564084</v>
      </c>
      <c r="BQ926" s="11" t="n">
        <v>1.0017220238758797</v>
      </c>
      <c r="BR926" s="8" t="n">
        <v>12</v>
      </c>
      <c r="BS926" s="8" t="n">
        <v>30</v>
      </c>
      <c r="BT926" s="8" t="n">
        <v>31</v>
      </c>
      <c r="BU926" s="8" t="n">
        <v>17</v>
      </c>
      <c r="BV926" s="11" t="n">
        <f>IF(COUNT(BC926,BF926)=2,BC926*BF926,"")</f>
        <v>0</v>
      </c>
      <c r="BW926" s="11" t="n">
        <f>IF(ISNUMBER(BN926),BN926,"")</f>
        <v>1.2247029157699902</v>
      </c>
      <c r="BX926" s="14" t="n">
        <f>IF(ISNUMBER(BR926),BR926,"")</f>
        <v>12</v>
      </c>
      <c r="BY926" s="13" t="n">
        <f>IF(AND(COUNT(BV926,BW926,BX926)=3,MIN(BV926,BW926,BX926)&gt;=0),BV926*BW926*BX926,"")</f>
        <v>0</v>
      </c>
      <c r="BZ926" s="11" t="n">
        <f>IF(ISNUMBER(BO926),BO926,"")</f>
        <v>0.8332682139098497</v>
      </c>
      <c r="CA926" s="14" t="n">
        <f>IF(ISNUMBER(BS926),BS926,"")</f>
        <v>30</v>
      </c>
      <c r="CB926" s="13" t="n">
        <f>IF(AND(COUNT(BV926,BZ926,CA926)=3,MIN(BV926,BZ926,CA926)&gt;=0),BV926*BZ926*CA926,"")</f>
        <v>0</v>
      </c>
      <c r="CC926" s="11" t="n">
        <f>IF(ISNUMBER(BP926),BP926,"")</f>
        <v>0.5511018253564084</v>
      </c>
      <c r="CD926" s="14" t="n">
        <f>IF(ISNUMBER(BT926),BT926,"")</f>
        <v>31</v>
      </c>
      <c r="CE926" s="13" t="n">
        <f>IF(AND(COUNT(BV926,CC926,CD926)=3,MIN(BV926,CC926,CD926)&gt;=0),BV926*CC926*CD926,"")</f>
        <v>0</v>
      </c>
      <c r="CF926" s="11" t="n">
        <f>IF(ISNUMBER(BQ926),BQ926,"")</f>
        <v>1.0017220238758797</v>
      </c>
      <c r="CG926" s="14" t="n">
        <f>IF(ISNUMBER(BU926),BU926,"")</f>
        <v>17</v>
      </c>
      <c r="CH926" s="13" t="n">
        <f>IF(AND(COUNT(BV926,CF926,CG926)=3,MIN(BV926,CF926,CG926)&gt;=0),BV926*CF926*CG926,"")</f>
        <v>0</v>
      </c>
      <c r="CI926" s="13" t="n">
        <f>IF(COUNT(BY926,CB926,CE926,CH926)=4,SUM(BY926,CB926,CE926,CH926),"")</f>
        <v>0</v>
      </c>
    </row>
    <row r="927" ht="72" customHeight="1">
      <c r="A927" s="16" t="str">
        <v>B06-PDBK-41</v>
      </c>
      <c r="B927" s="16" t="str">
        <v>1店-MUSSHOE-US</v>
      </c>
      <c r="C927" s="16" t="str">
        <v>艾年</v>
      </c>
      <c r="D927" s="26" t="n">
        <f>IF(NOT(ISNUMBER(E927)),"",IF(OR(E927&lt;=0,L927=0),0,IF(OR(NOT(ISNUMBER(F927)),F927&lt;0),"",MIN(E927,INT(F927)))))</f>
        <v>0</v>
      </c>
      <c r="E927" s="27" t="n">
        <f>IF(OR(NOT(ISNUMBER(L927)),COUNT(M927:O927)&lt;&gt;3,MIN(M927:O927)&lt;0),"",ROUNDUP(ROUND(BI927-SUM(M927:O927),10),0))</f>
        <v>-1</v>
      </c>
      <c r="F927" s="28"/>
      <c r="G927" s="28" t="n">
        <f>IF(AND(ISNUMBER(D927),ISNUMBER(E927)),IF(OR(E927&lt;=0,L927=0),0,E927-D927),"")</f>
        <v>0</v>
      </c>
      <c r="H927" s="16" t="str">
        <f>IF(NOT(ISNUMBER(E927)),"销量或海外库存待补",IF(OR(E927&lt;=0,L927=0),IF(L927=0,"零日销，本批不发","本批无需补货"),IF(NOT(ISNUMBER(D927)),"国内库存待补",IF(D927=0,"国内无可用库存",IF(G927&gt;0,"先发国内现货","按建议量发货")))))</f>
        <v>本批无需补货</v>
      </c>
      <c r="I927" s="28" t="n">
        <f>IF(AND(COUNT(Z927,AA927,AB927)=3,Z927&gt;=AA927,AA927&gt;=0,AB927=7),Z927-AA927,"")</f>
        <v>0</v>
      </c>
      <c r="J927" s="28" t="n">
        <f>IF(AND(COUNT(AF927,AG927,AH927)=3,AF927&gt;=AG927,AG927&gt;=0,AH927=14),AF927-AG927,"")</f>
        <v>1</v>
      </c>
      <c r="K927" s="28" t="n">
        <f>IF(AND(COUNT(AL927,AM927,AN927)=3,AL927&gt;=AM927,AM927&gt;=0,AN927=30),AL927-AM927,"")</f>
        <v>2</v>
      </c>
      <c r="L927" s="29" t="n">
        <f>IF(ISNUMBER(BI927),BI927/90,"")</f>
        <v>0.024167272047706915</v>
      </c>
      <c r="M927" s="28" t="n">
        <v>3</v>
      </c>
      <c r="N927" s="28" t="n">
        <v>0</v>
      </c>
      <c r="O927" s="28" t="n">
        <v>0</v>
      </c>
      <c r="P927" s="30" t="n">
        <f>IF(AND(ISNUMBER(L927),L927&gt;0,COUNT(M927:O927)=3,MIN(M927:O927)&gt;=0),SUM(M927:O927)/L927,"")</f>
        <v>124.13482142617961</v>
      </c>
      <c r="Q927" s="16" t="str">
        <v>沿用原计划SKU店铺</v>
      </c>
      <c r="R927" s="16" t="str">
        <v>未匹配</v>
      </c>
      <c r="S927" s="16" t="str">
        <v>在售</v>
      </c>
      <c r="T927" s="16" t="str">
        <v>B06</v>
      </c>
      <c r="U927" s="16" t="str">
        <v>黑色圆点布</v>
      </c>
      <c r="V927" s="16" t="n">
        <v>10</v>
      </c>
      <c r="W927" s="8" t="str">
        <v>2026-10-11 至 2026-10-17</v>
      </c>
      <c r="X927" s="8" t="str">
        <v>2026-10-11、2026-10-12、2026-10-13、2026-10-14、2026-10-15、2026-10-16、2026-10-17</v>
      </c>
      <c r="Y927" s="8" t="str">
        <v>无</v>
      </c>
      <c r="Z927" s="8" t="n">
        <v>0</v>
      </c>
      <c r="AA927" s="8" t="n">
        <v>0</v>
      </c>
      <c r="AB927" s="8" t="n">
        <v>7</v>
      </c>
      <c r="AC927" s="8" t="str">
        <v>2026-10-02 至 2026-10-17</v>
      </c>
      <c r="AD927" s="8" t="str">
        <v>2026-10-02、2026-10-03、2026-10-04、2026-10-05、2026-10-08、2026-10-09、2026-10-10、2026-10-11、2026-10-12、2026-10-13、2026-10-14、2026-10-15、2026-10-16、2026-10-17</v>
      </c>
      <c r="AE927" s="8" t="str">
        <v>2026-10-06 大促；2026-10-07 大促</v>
      </c>
      <c r="AF927" s="8" t="n">
        <v>1</v>
      </c>
      <c r="AG927" s="8" t="n">
        <v>0</v>
      </c>
      <c r="AH927" s="8" t="n">
        <v>14</v>
      </c>
      <c r="AI927" s="8" t="str">
        <v>2026-09-16 至 2026-10-17</v>
      </c>
      <c r="AJ9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7" s="8" t="str">
        <v>2026-10-06 大促；2026-10-07 大促</v>
      </c>
      <c r="AL927" s="8" t="n">
        <v>2</v>
      </c>
      <c r="AM927" s="8" t="n">
        <v>0</v>
      </c>
      <c r="AN927" s="8" t="n">
        <v>30</v>
      </c>
      <c r="AO927" s="8" t="str">
        <v>B06 / 黑色圆点布 / 13120</v>
      </c>
      <c r="AP927" s="11" t="n">
        <v>1.2247029157699902</v>
      </c>
      <c r="AQ927" s="11" t="n">
        <v>1.2247029157699902</v>
      </c>
      <c r="AR927" s="11" t="n">
        <v>1.1136940657346173</v>
      </c>
      <c r="AS927" s="11" t="n">
        <f>IF(AND(COUNT(I927:K927,AP927:AR927)=6,MIN(AP927:AR927)&gt;0),I927/7/AP927*0.5+J927/14/AQ927*0.3+K927/30/AR927*0.2,"")</f>
        <v>0.02946912348029766</v>
      </c>
      <c r="AT927" s="8" t="n">
        <v>3</v>
      </c>
      <c r="AU927" s="8" t="n">
        <v>0</v>
      </c>
      <c r="AV927" s="8" t="n">
        <v>88</v>
      </c>
      <c r="AW927" s="11" t="n">
        <f>IF(AND(COUNT(AT927:AV927)=3,AT927&gt;=AU927,AU927&gt;=0,AV927&gt;0),(AT927-AU927)/AV927,"")</f>
        <v>0.03409090909090909</v>
      </c>
      <c r="AX927" s="8" t="n">
        <v>7</v>
      </c>
      <c r="AY927" s="8" t="n">
        <v>0</v>
      </c>
      <c r="AZ927" s="8" t="n">
        <v>178</v>
      </c>
      <c r="BA927" s="11" t="n">
        <f>IF(AND(COUNT(AX927:AZ927)=3,AX927&gt;=AY927,AY927&gt;=0,AZ927&gt;0),(AX927-AY927)/AZ927,"")</f>
        <v>0.03932584269662921</v>
      </c>
      <c r="BB927" s="8" t="n">
        <f>IF(COUNT(AS927,AW927,BA927)=3,1,0)</f>
        <v>1</v>
      </c>
      <c r="BC927" s="11" t="n">
        <f>IF(SUMIF($AO$11:$AO$1309,AO927,$BB$11:$BB$1309)=COUNTIF($AO$11:$AO$1309,AO927),SUMIF($AO$11:$AO$1309,AO927,$AS$11:$AS$1309),"")</f>
        <v>0.02946912348029766</v>
      </c>
      <c r="BD927" s="11" t="n">
        <f>IF(SUMIF($AO$11:$AO$1309,AO927,$BB$11:$BB$1309)=COUNTIF($AO$11:$AO$1309,AO927),SUMIF($AO$11:$AO$1309,AO927,$AW$11:$AW$1309),"")</f>
        <v>0.03409090909090909</v>
      </c>
      <c r="BE927" s="11" t="n">
        <f>IF(SUMIF($AO$11:$AO$1309,AO927,$BB$11:$BB$1309)=COUNTIF($AO$11:$AO$1309,AO927),SUMIF($AO$11:$AO$1309,AO927,$BA$11:$BA$1309),"")</f>
        <v>0.03932584269662921</v>
      </c>
      <c r="BF927" s="12" t="n">
        <f>IF(COUNT(BD927:BE927)&lt;&gt;2,"",IF(AND(BD927&gt;0,BE927&gt;0),0.7*AW927/BD927+0.3*BA927/BE927,IF(BD927&gt;0,AW927/BD927,IF(BE927&gt;0,BA927/BE927,IF(AND(ISNUMBER(BH927),BH927=0),0,"")))))</f>
        <v>1</v>
      </c>
      <c r="BG927" s="11" t="n">
        <f>IF(AND(COUNT(BN927:BU927)=8,MIN(BN927:BU927)&gt;=0),SUMPRODUCT(BN927:BQ927,BR927:BU927),"")</f>
        <v>73.80791239847399</v>
      </c>
      <c r="BH927" s="11" t="n">
        <f>IF(COUNT(BC927,BG927)=2,BC927*BG927,"")</f>
        <v>2.1750544842936224</v>
      </c>
      <c r="BI927" s="11" t="n">
        <f>IF(ISNUMBER(CI927),CI927,"")</f>
        <v>2.1750544842936224</v>
      </c>
      <c r="BJ927" s="8" t="str">
        <v>低销提醒依据不完整</v>
      </c>
      <c r="BK927" s="8" t="str">
        <v>90天：2026-07-20 至 2026-10-17；180天：2026-04-21 至 2026-10-17</v>
      </c>
      <c r="BL927" s="8" t="str">
        <v>90天：2026-10-06、2026-10-07；180天：2026-10-06、2026-10-07</v>
      </c>
      <c r="BM927" s="8" t="str">
        <v>2026-10：12天 × 1.2247029157699902；2026-11：30天 × 0.8332682139098497；2026-12：31天 × 0.5511018253564084；2027-01：17天 × 1.0017220238758797</v>
      </c>
      <c r="BN927" s="11" t="n">
        <v>1.2247029157699902</v>
      </c>
      <c r="BO927" s="11" t="n">
        <v>0.8332682139098497</v>
      </c>
      <c r="BP927" s="11" t="n">
        <v>0.5511018253564084</v>
      </c>
      <c r="BQ927" s="11" t="n">
        <v>1.0017220238758797</v>
      </c>
      <c r="BR927" s="8" t="n">
        <v>12</v>
      </c>
      <c r="BS927" s="8" t="n">
        <v>30</v>
      </c>
      <c r="BT927" s="8" t="n">
        <v>31</v>
      </c>
      <c r="BU927" s="8" t="n">
        <v>17</v>
      </c>
      <c r="BV927" s="11" t="n">
        <f>IF(COUNT(BC927,BF927)=2,BC927*BF927,"")</f>
        <v>0.02946912348029766</v>
      </c>
      <c r="BW927" s="11" t="n">
        <f>IF(ISNUMBER(BN927),BN927,"")</f>
        <v>1.2247029157699902</v>
      </c>
      <c r="BX927" s="14" t="n">
        <f>IF(ISNUMBER(BR927),BR927,"")</f>
        <v>12</v>
      </c>
      <c r="BY927" s="13" t="n">
        <f>IF(AND(COUNT(BV927,BW927,BX927)=3,MIN(BV927,BW927,BX927)&gt;=0),BV927*BW927*BX927,"")</f>
        <v>0.43309105741807713</v>
      </c>
      <c r="BZ927" s="11" t="n">
        <f>IF(ISNUMBER(BO927),BO927,"")</f>
        <v>0.8332682139098497</v>
      </c>
      <c r="CA927" s="14" t="n">
        <f>IF(ISNUMBER(BS927),BS927,"")</f>
        <v>30</v>
      </c>
      <c r="CB927" s="13" t="n">
        <f>IF(AND(COUNT(BV927,BZ927,CA927)=3,MIN(BV927,BZ927,CA927)&gt;=0),BV927*BZ927*CA927,"")</f>
        <v>0.7366705166374933</v>
      </c>
      <c r="CC927" s="11" t="n">
        <f>IF(ISNUMBER(BP927),BP927,"")</f>
        <v>0.5511018253564084</v>
      </c>
      <c r="CD927" s="14" t="n">
        <f>IF(ISNUMBER(BT927),BT927,"")</f>
        <v>31</v>
      </c>
      <c r="CE927" s="13" t="n">
        <f>IF(AND(COUNT(BV927,CC927,CD927)=3,MIN(BV927,CC927,CD927)&gt;=0),BV927*CC927*CD927,"")</f>
        <v>0.5034551199910084</v>
      </c>
      <c r="CF927" s="11" t="n">
        <f>IF(ISNUMBER(BQ927),BQ927,"")</f>
        <v>1.0017220238758797</v>
      </c>
      <c r="CG927" s="14" t="n">
        <f>IF(ISNUMBER(BU927),BU927,"")</f>
        <v>17</v>
      </c>
      <c r="CH927" s="13" t="n">
        <f>IF(AND(COUNT(BV927,CF927,CG927)=3,MIN(BV927,CF927,CG927)&gt;=0),BV927*CF927*CG927,"")</f>
        <v>0.5018377902470437</v>
      </c>
      <c r="CI927" s="13" t="n">
        <f>IF(COUNT(BY927,CB927,CE927,CH927)=4,SUM(BY927,CB927,CE927,CH927),"")</f>
        <v>2.1750544842936224</v>
      </c>
    </row>
    <row r="928" ht="72" customHeight="1">
      <c r="A928" s="16" t="str">
        <v>B06-PDBK-41.5</v>
      </c>
      <c r="B928" s="16" t="str">
        <v>1店-MUSSHOE-US</v>
      </c>
      <c r="C928" s="16" t="str">
        <v>艾年</v>
      </c>
      <c r="D928" s="26" t="n">
        <f>IF(NOT(ISNUMBER(E928)),"",IF(OR(E928&lt;=0,L928=0),0,IF(OR(NOT(ISNUMBER(F928)),F928&lt;0),"",MIN(E928,INT(F928)))))</f>
        <v>0</v>
      </c>
      <c r="E928" s="27" t="n">
        <f>IF(OR(NOT(ISNUMBER(L928)),COUNT(M928:O928)&lt;&gt;3,MIN(M928:O928)&lt;0),"",ROUNDUP(ROUND(BI928-SUM(M928:O928),10),0))</f>
        <v>0</v>
      </c>
      <c r="F928" s="28"/>
      <c r="G928" s="28" t="n">
        <f>IF(AND(ISNUMBER(D928),ISNUMBER(E928)),IF(OR(E928&lt;=0,L928=0),0,E928-D928),"")</f>
        <v>0</v>
      </c>
      <c r="H928" s="16" t="str">
        <f>IF(NOT(ISNUMBER(E928)),"销量或海外库存待补",IF(OR(E928&lt;=0,L928=0),IF(L928=0,"零日销，本批不发","本批无需补货"),IF(NOT(ISNUMBER(D928)),"国内库存待补",IF(D928=0,"国内无可用库存",IF(G928&gt;0,"先发国内现货","按建议量发货")))))</f>
        <v>零日销，本批不发</v>
      </c>
      <c r="I928" s="28" t="n">
        <f>IF(AND(COUNT(Z928,AA928,AB928)=3,Z928&gt;=AA928,AA928&gt;=0,AB928=7),Z928-AA928,"")</f>
        <v>0</v>
      </c>
      <c r="J928" s="28" t="n">
        <f>IF(AND(COUNT(AF928,AG928,AH928)=3,AF928&gt;=AG928,AG928&gt;=0,AH928=14),AF928-AG928,"")</f>
        <v>0</v>
      </c>
      <c r="K928" s="28" t="n">
        <f>IF(AND(COUNT(AL928,AM928,AN928)=3,AL928&gt;=AM928,AM928&gt;=0,AN928=30),AL928-AM928,"")</f>
        <v>0</v>
      </c>
      <c r="L928" s="29" t="n">
        <f>IF(ISNUMBER(BI928),BI928/90,"")</f>
        <v>0</v>
      </c>
      <c r="M928" s="28" t="n">
        <v>0</v>
      </c>
      <c r="N928" s="28" t="n">
        <v>0</v>
      </c>
      <c r="O928" s="28" t="n">
        <v>0</v>
      </c>
      <c r="P928" s="30" t="str">
        <f>IF(AND(ISNUMBER(L928),L928&gt;0,COUNT(M928:O928)=3,MIN(M928:O928)&gt;=0),SUM(M928:O928)/L928,"")</f>
      </c>
      <c r="Q928" s="16" t="str">
        <v>沿用原计划SKU店铺</v>
      </c>
      <c r="R928" s="16" t="str">
        <v>未匹配</v>
      </c>
      <c r="S928" s="16" t="str">
        <v>停售</v>
      </c>
      <c r="T928" s="16" t="str">
        <v>B06</v>
      </c>
      <c r="U928" s="16" t="str">
        <v>黑色圆点布</v>
      </c>
      <c r="V928" s="16" t="n">
        <v>10.5</v>
      </c>
      <c r="W928" s="8" t="str">
        <v>2026-10-08 至 2026-10-17</v>
      </c>
      <c r="X928" s="8" t="str">
        <v>2026-10-08、2026-10-09、2026-10-10、2026-10-11、2026-10-14、2026-10-15、2026-10-17</v>
      </c>
      <c r="Y928" s="8" t="str">
        <v>2026-10-12 有记录的停售日；2026-10-13 有记录的停售日；2026-10-16 有记录的停售日</v>
      </c>
      <c r="Z928" s="8" t="n">
        <v>0</v>
      </c>
      <c r="AA928" s="8" t="n">
        <v>0</v>
      </c>
      <c r="AB928" s="8" t="n">
        <v>7</v>
      </c>
      <c r="AC928" s="8" t="str">
        <v>2026-09-29 至 2026-10-17</v>
      </c>
      <c r="AD928" s="8" t="str">
        <v>2026-09-29、2026-09-30、2026-10-01、2026-10-02、2026-10-03、2026-10-04、2026-10-05、2026-10-08、2026-10-09、2026-10-10、2026-10-11、2026-10-14、2026-10-15、2026-10-17</v>
      </c>
      <c r="AE928" s="8" t="str">
        <v>2026-10-06 大促；2026-10-07 大促；2026-10-12 有记录的停售日；2026-10-13 有记录的停售日；2026-10-16 有记录的停售日</v>
      </c>
      <c r="AF928" s="8" t="n">
        <v>0</v>
      </c>
      <c r="AG928" s="8" t="n">
        <v>0</v>
      </c>
      <c r="AH928" s="8" t="n">
        <v>14</v>
      </c>
      <c r="AI928" s="8" t="str">
        <v>2026-09-13 至 2026-10-17</v>
      </c>
      <c r="AJ92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28" s="8" t="str">
        <v>2026-10-06 大促；2026-10-07 大促；2026-10-12 有记录的停售日；2026-10-13 有记录的停售日；2026-10-16 有记录的停售日</v>
      </c>
      <c r="AL928" s="8" t="n">
        <v>0</v>
      </c>
      <c r="AM928" s="8" t="n">
        <v>0</v>
      </c>
      <c r="AN928" s="8" t="n">
        <v>30</v>
      </c>
      <c r="AO928" s="8" t="str">
        <v>B06 / 黑色圆点布 / 13120</v>
      </c>
      <c r="AP928" s="11" t="n">
        <v>1.2247029157699902</v>
      </c>
      <c r="AQ928" s="11" t="n">
        <v>1.1929861014741694</v>
      </c>
      <c r="AR928" s="11" t="n">
        <v>1.0914922957275428</v>
      </c>
      <c r="AS928" s="11" t="n">
        <f>IF(AND(COUNT(I928:K928,AP928:AR928)=6,MIN(AP928:AR928)&gt;0),I928/7/AP928*0.5+J928/14/AQ928*0.3+K928/30/AR928*0.2,"")</f>
        <v>0</v>
      </c>
      <c r="AT928" s="8" t="n">
        <v>0</v>
      </c>
      <c r="AU928" s="8" t="n">
        <v>0</v>
      </c>
      <c r="AV928" s="8" t="n">
        <v>85</v>
      </c>
      <c r="AW928" s="11" t="n">
        <f>IF(AND(COUNT(AT928:AV928)=3,AT928&gt;=AU928,AU928&gt;=0,AV928&gt;0),(AT928-AU928)/AV928,"")</f>
        <v>0</v>
      </c>
      <c r="AX928" s="8" t="n">
        <v>0</v>
      </c>
      <c r="AY928" s="8" t="n">
        <v>0</v>
      </c>
      <c r="AZ928" s="8" t="n">
        <v>175</v>
      </c>
      <c r="BA928" s="11" t="n">
        <f>IF(AND(COUNT(AX928:AZ928)=3,AX928&gt;=AY928,AY928&gt;=0,AZ928&gt;0),(AX928-AY928)/AZ928,"")</f>
        <v>0</v>
      </c>
      <c r="BB928" s="8" t="n">
        <f>IF(COUNT(AS928,AW928,BA928)=3,1,0)</f>
        <v>1</v>
      </c>
      <c r="BC928" s="11" t="n">
        <f>IF(SUMIF($AO$11:$AO$1309,AO928,$BB$11:$BB$1309)=COUNTIF($AO$11:$AO$1309,AO928),SUMIF($AO$11:$AO$1309,AO928,$AS$11:$AS$1309),"")</f>
        <v>0.02946912348029766</v>
      </c>
      <c r="BD928" s="11" t="n">
        <f>IF(SUMIF($AO$11:$AO$1309,AO928,$BB$11:$BB$1309)=COUNTIF($AO$11:$AO$1309,AO928),SUMIF($AO$11:$AO$1309,AO928,$AW$11:$AW$1309),"")</f>
        <v>0.03409090909090909</v>
      </c>
      <c r="BE928" s="11" t="n">
        <f>IF(SUMIF($AO$11:$AO$1309,AO928,$BB$11:$BB$1309)=COUNTIF($AO$11:$AO$1309,AO928),SUMIF($AO$11:$AO$1309,AO928,$BA$11:$BA$1309),"")</f>
        <v>0.03932584269662921</v>
      </c>
      <c r="BF928" s="12" t="n">
        <f>IF(COUNT(BD928:BE928)&lt;&gt;2,"",IF(AND(BD928&gt;0,BE928&gt;0),0.7*AW928/BD928+0.3*BA928/BE928,IF(BD928&gt;0,AW928/BD928,IF(BE928&gt;0,BA928/BE928,IF(AND(ISNUMBER(BH928),BH928=0),0,"")))))</f>
        <v>0</v>
      </c>
      <c r="BG928" s="11" t="n">
        <f>IF(AND(COUNT(BN928:BU928)=8,MIN(BN928:BU928)&gt;=0),SUMPRODUCT(BN928:BQ928,BR928:BU928),"")</f>
        <v>73.80791239847399</v>
      </c>
      <c r="BH928" s="11" t="n">
        <f>IF(COUNT(BC928,BG928)=2,BC928*BG928,"")</f>
        <v>2.1750544842936224</v>
      </c>
      <c r="BI928" s="11" t="n">
        <f>IF(ISNUMBER(CI928),CI928,"")</f>
        <v>0</v>
      </c>
      <c r="BJ928" s="8" t="str">
        <v>低销提醒依据不完整</v>
      </c>
      <c r="BK928" s="8" t="str">
        <v>90天：2026-07-20 至 2026-10-17；180天：2026-04-21 至 2026-10-17</v>
      </c>
      <c r="BL928" s="8" t="str">
        <v>90天：2026-10-06、2026-10-07、2026-10-12、2026-10-13、2026-10-16；180天：2026-10-06、2026-10-07、2026-10-12、2026-10-13、2026-10-16</v>
      </c>
      <c r="BM928" s="8" t="str">
        <v>2026-10：12天 × 1.2247029157699902；2026-11：30天 × 0.8332682139098497；2026-12：31天 × 0.5511018253564084；2027-01：17天 × 1.0017220238758797</v>
      </c>
      <c r="BN928" s="11" t="n">
        <v>1.2247029157699902</v>
      </c>
      <c r="BO928" s="11" t="n">
        <v>0.8332682139098497</v>
      </c>
      <c r="BP928" s="11" t="n">
        <v>0.5511018253564084</v>
      </c>
      <c r="BQ928" s="11" t="n">
        <v>1.0017220238758797</v>
      </c>
      <c r="BR928" s="8" t="n">
        <v>12</v>
      </c>
      <c r="BS928" s="8" t="n">
        <v>30</v>
      </c>
      <c r="BT928" s="8" t="n">
        <v>31</v>
      </c>
      <c r="BU928" s="8" t="n">
        <v>17</v>
      </c>
      <c r="BV928" s="11" t="n">
        <f>IF(COUNT(BC928,BF928)=2,BC928*BF928,"")</f>
        <v>0</v>
      </c>
      <c r="BW928" s="11" t="n">
        <f>IF(ISNUMBER(BN928),BN928,"")</f>
        <v>1.2247029157699902</v>
      </c>
      <c r="BX928" s="14" t="n">
        <f>IF(ISNUMBER(BR928),BR928,"")</f>
        <v>12</v>
      </c>
      <c r="BY928" s="13" t="n">
        <f>IF(AND(COUNT(BV928,BW928,BX928)=3,MIN(BV928,BW928,BX928)&gt;=0),BV928*BW928*BX928,"")</f>
        <v>0</v>
      </c>
      <c r="BZ928" s="11" t="n">
        <f>IF(ISNUMBER(BO928),BO928,"")</f>
        <v>0.8332682139098497</v>
      </c>
      <c r="CA928" s="14" t="n">
        <f>IF(ISNUMBER(BS928),BS928,"")</f>
        <v>30</v>
      </c>
      <c r="CB928" s="13" t="n">
        <f>IF(AND(COUNT(BV928,BZ928,CA928)=3,MIN(BV928,BZ928,CA928)&gt;=0),BV928*BZ928*CA928,"")</f>
        <v>0</v>
      </c>
      <c r="CC928" s="11" t="n">
        <f>IF(ISNUMBER(BP928),BP928,"")</f>
        <v>0.5511018253564084</v>
      </c>
      <c r="CD928" s="14" t="n">
        <f>IF(ISNUMBER(BT928),BT928,"")</f>
        <v>31</v>
      </c>
      <c r="CE928" s="13" t="n">
        <f>IF(AND(COUNT(BV928,CC928,CD928)=3,MIN(BV928,CC928,CD928)&gt;=0),BV928*CC928*CD928,"")</f>
        <v>0</v>
      </c>
      <c r="CF928" s="11" t="n">
        <f>IF(ISNUMBER(BQ928),BQ928,"")</f>
        <v>1.0017220238758797</v>
      </c>
      <c r="CG928" s="14" t="n">
        <f>IF(ISNUMBER(BU928),BU928,"")</f>
        <v>17</v>
      </c>
      <c r="CH928" s="13" t="n">
        <f>IF(AND(COUNT(BV928,CF928,CG928)=3,MIN(BV928,CF928,CG928)&gt;=0),BV928*CF928*CG928,"")</f>
        <v>0</v>
      </c>
      <c r="CI928" s="13" t="n">
        <f>IF(COUNT(BY928,CB928,CE928,CH928)=4,SUM(BY928,CB928,CE928,CH928),"")</f>
        <v>0</v>
      </c>
    </row>
    <row r="929" ht="72" customHeight="1">
      <c r="A929" s="16" t="str">
        <v>B06-PK-37.5</v>
      </c>
      <c r="B929" s="16" t="str">
        <v>1店-MUSSHOE-US</v>
      </c>
      <c r="C929" s="16" t="str">
        <v>艾年</v>
      </c>
      <c r="D929" s="26" t="n">
        <f>IF(NOT(ISNUMBER(E929)),"",IF(OR(E929&lt;=0,L929=0),0,IF(OR(NOT(ISNUMBER(F929)),F929&lt;0),"",MIN(E929,INT(F929)))))</f>
        <v>0</v>
      </c>
      <c r="E929" s="27" t="n">
        <f>IF(OR(NOT(ISNUMBER(L929)),COUNT(M929:O929)&lt;&gt;3,MIN(M929:O929)&lt;0),"",ROUNDUP(ROUND(BI929-SUM(M929:O929),10),0))</f>
        <v>-1</v>
      </c>
      <c r="F929" s="28" t="n">
        <v>0</v>
      </c>
      <c r="G929" s="28" t="n">
        <f>IF(AND(ISNUMBER(D929),ISNUMBER(E929)),IF(OR(E929&lt;=0,L929=0),0,E929-D929),"")</f>
        <v>0</v>
      </c>
      <c r="H929" s="16" t="str">
        <f>IF(NOT(ISNUMBER(E929)),"销量或海外库存待补",IF(OR(E929&lt;=0,L929=0),IF(L929=0,"零日销，本批不发","本批无需补货"),IF(NOT(ISNUMBER(D929)),"国内库存待补",IF(D929=0,"国内无可用库存",IF(G929&gt;0,"先发国内现货","按建议量发货")))))</f>
        <v>本批无需补货</v>
      </c>
      <c r="I929" s="28" t="n">
        <f>IF(AND(COUNT(Z929,AA929,AB929)=3,Z929&gt;=AA929,AA929&gt;=0,AB929=7),Z929-AA929,"")</f>
        <v>0</v>
      </c>
      <c r="J929" s="28" t="n">
        <f>IF(AND(COUNT(AF929,AG929,AH929)=3,AF929&gt;=AG929,AG929&gt;=0,AH929=14),AF929-AG929,"")</f>
        <v>0</v>
      </c>
      <c r="K929" s="28" t="n">
        <f>IF(AND(COUNT(AL929,AM929,AN929)=3,AL929&gt;=AM929,AM929&gt;=0,AN929=30),AL929-AM929,"")</f>
        <v>0</v>
      </c>
      <c r="L929" s="29" t="n">
        <f>IF(ISNUMBER(BI929),BI929/90,"")</f>
        <v>0.021859865016145195</v>
      </c>
      <c r="M929" s="28" t="n">
        <v>2</v>
      </c>
      <c r="N929" s="28" t="n">
        <v>0</v>
      </c>
      <c r="O929" s="28" t="n">
        <v>0</v>
      </c>
      <c r="P929" s="30" t="n">
        <f>IF(AND(ISNUMBER(L929),L929&gt;0,COUNT(M929:O929)=3,MIN(M929:O929)&gt;=0),SUM(M929:O929)/L929,"")</f>
        <v>91.49187328114084</v>
      </c>
      <c r="Q929" s="16" t="str">
        <v>沿用原计划SKU店铺</v>
      </c>
      <c r="R929" s="16" t="str">
        <v>已匹配</v>
      </c>
      <c r="S929" s="16" t="str">
        <v>在售</v>
      </c>
      <c r="T929" s="16" t="str">
        <v>B06</v>
      </c>
      <c r="U929" s="16" t="str">
        <v>粉色羊京绒</v>
      </c>
      <c r="V929" s="16" t="n">
        <v>6.5</v>
      </c>
      <c r="W929" s="8" t="str">
        <v>2026-10-11 至 2026-10-17</v>
      </c>
      <c r="X929" s="8" t="str">
        <v>2026-10-11、2026-10-12、2026-10-13、2026-10-14、2026-10-15、2026-10-16、2026-10-17</v>
      </c>
      <c r="Y929" s="8" t="str">
        <v>无</v>
      </c>
      <c r="Z929" s="8" t="n">
        <v>0</v>
      </c>
      <c r="AA929" s="8" t="n">
        <v>0</v>
      </c>
      <c r="AB929" s="8" t="n">
        <v>7</v>
      </c>
      <c r="AC929" s="8" t="str">
        <v>2026-10-02 至 2026-10-17</v>
      </c>
      <c r="AD929" s="8" t="str">
        <v>2026-10-02、2026-10-03、2026-10-04、2026-10-05、2026-10-08、2026-10-09、2026-10-10、2026-10-11、2026-10-12、2026-10-13、2026-10-14、2026-10-15、2026-10-16、2026-10-17</v>
      </c>
      <c r="AE929" s="8" t="str">
        <v>2026-10-06 大促；2026-10-07 大促</v>
      </c>
      <c r="AF929" s="8" t="n">
        <v>2</v>
      </c>
      <c r="AG929" s="8" t="n">
        <v>2</v>
      </c>
      <c r="AH929" s="8" t="n">
        <v>14</v>
      </c>
      <c r="AI929" s="8" t="str">
        <v>2026-09-16 至 2026-10-17</v>
      </c>
      <c r="AJ9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29" s="8" t="str">
        <v>2026-10-06 大促；2026-10-07 大促</v>
      </c>
      <c r="AL929" s="8" t="n">
        <v>2</v>
      </c>
      <c r="AM929" s="8" t="n">
        <v>2</v>
      </c>
      <c r="AN929" s="8" t="n">
        <v>30</v>
      </c>
      <c r="AO929" s="8" t="str">
        <v>B06 / 粉色羊京绒 / 13120</v>
      </c>
      <c r="AP929" s="11" t="n">
        <v>1.2247029157699902</v>
      </c>
      <c r="AQ929" s="11" t="n">
        <v>1.2247029157699902</v>
      </c>
      <c r="AR929" s="11" t="n">
        <v>1.1136940657346173</v>
      </c>
      <c r="AS929" s="11" t="n">
        <f>IF(AND(COUNT(I929:K929,AP929:AR929)=6,MIN(AP929:AR929)&gt;0),I929/7/AP929*0.5+J929/14/AQ929*0.3+K929/30/AR929*0.2,"")</f>
        <v>0</v>
      </c>
      <c r="AT929" s="8" t="n">
        <v>6</v>
      </c>
      <c r="AU929" s="8" t="n">
        <v>2</v>
      </c>
      <c r="AV929" s="8" t="n">
        <v>88</v>
      </c>
      <c r="AW929" s="11" t="n">
        <f>IF(AND(COUNT(AT929:AV929)=3,AT929&gt;=AU929,AU929&gt;=0,AV929&gt;0),(AT929-AU929)/AV929,"")</f>
        <v>0.045454545454545456</v>
      </c>
      <c r="AX929" s="8" t="n">
        <v>16</v>
      </c>
      <c r="AY929" s="8" t="n">
        <v>2</v>
      </c>
      <c r="AZ929" s="8" t="n">
        <v>178</v>
      </c>
      <c r="BA929" s="11" t="n">
        <f>IF(AND(COUNT(AX929:AZ929)=3,AX929&gt;=AY929,AY929&gt;=0,AZ929&gt;0),(AX929-AY929)/AZ929,"")</f>
        <v>0.07865168539325842</v>
      </c>
      <c r="BB929" s="8" t="n">
        <f>IF(COUNT(AS929,AW929,BA929)=3,1,0)</f>
        <v>1</v>
      </c>
      <c r="BC929" s="11" t="n">
        <f>IF(SUMIF($AO$11:$AO$1309,AO929,$BB$11:$BB$1309)=COUNTIF($AO$11:$AO$1309,AO929),SUMIF($AO$11:$AO$1309,AO929,$AS$11:$AS$1309),"")</f>
        <v>0.14161497208377494</v>
      </c>
      <c r="BD929" s="11" t="n">
        <f>IF(SUMIF($AO$11:$AO$1309,AO929,$BB$11:$BB$1309)=COUNTIF($AO$11:$AO$1309,AO929),SUMIF($AO$11:$AO$1309,AO929,$AW$11:$AW$1309),"")</f>
        <v>0.27671030794763046</v>
      </c>
      <c r="BE929" s="11" t="n">
        <f>IF(SUMIF($AO$11:$AO$1309,AO929,$BB$11:$BB$1309)=COUNTIF($AO$11:$AO$1309,AO929),SUMIF($AO$11:$AO$1309,AO929,$BA$11:$BA$1309),"")</f>
        <v>0.32217609344251885</v>
      </c>
      <c r="BF929" s="12" t="n">
        <f>IF(COUNT(BD929:BE929)&lt;&gt;2,"",IF(AND(BD929&gt;0,BE929&gt;0),0.7*AW929/BD929+0.3*BA929/BE929,IF(BD929&gt;0,AW929/BD929,IF(BE929&gt;0,BA929/BE929,IF(AND(ISNUMBER(BH929),BH929=0),0,"")))))</f>
        <v>0.18822525424037764</v>
      </c>
      <c r="BG929" s="11" t="n">
        <f>IF(AND(COUNT(BN929:BU929)=8,MIN(BN929:BU929)&gt;=0),SUMPRODUCT(BN929:BQ929,BR929:BU929),"")</f>
        <v>73.80791239847399</v>
      </c>
      <c r="BH929" s="11" t="n">
        <f>IF(COUNT(BC929,BG929)=2,BC929*BG929,"")</f>
        <v>10.4523054538716</v>
      </c>
      <c r="BI929" s="11" t="n">
        <f>IF(ISNUMBER(CI929),CI929,"")</f>
        <v>1.9673878514530676</v>
      </c>
      <c r="BJ929" s="8" t="str">
        <v>近180天本色销量61双（＜90），无有效新采购，请运营判断</v>
      </c>
      <c r="BK929" s="8" t="str">
        <v>90天：2026-07-20 至 2026-10-17；180天：2026-04-21 至 2026-10-17</v>
      </c>
      <c r="BL929" s="8" t="str">
        <v>90天：2026-10-06、2026-10-07；180天：2026-10-06、2026-10-07</v>
      </c>
      <c r="BM929" s="8" t="str">
        <v>2026-10：12天 × 1.2247029157699902；2026-11：30天 × 0.8332682139098497；2026-12：31天 × 0.5511018253564084；2027-01：17天 × 1.0017220238758797</v>
      </c>
      <c r="BN929" s="11" t="n">
        <v>1.2247029157699902</v>
      </c>
      <c r="BO929" s="11" t="n">
        <v>0.8332682139098497</v>
      </c>
      <c r="BP929" s="11" t="n">
        <v>0.5511018253564084</v>
      </c>
      <c r="BQ929" s="11" t="n">
        <v>1.0017220238758797</v>
      </c>
      <c r="BR929" s="8" t="n">
        <v>12</v>
      </c>
      <c r="BS929" s="8" t="n">
        <v>30</v>
      </c>
      <c r="BT929" s="8" t="n">
        <v>31</v>
      </c>
      <c r="BU929" s="8" t="n">
        <v>17</v>
      </c>
      <c r="BV929" s="11" t="n">
        <f>IF(COUNT(BC929,BF929)=2,BC929*BF929,"")</f>
        <v>0.02665551412471252</v>
      </c>
      <c r="BW929" s="11" t="n">
        <f>IF(ISNUMBER(BN929),BN929,"")</f>
        <v>1.2247029157699902</v>
      </c>
      <c r="BX929" s="14" t="n">
        <f>IF(ISNUMBER(BR929),BR929,"")</f>
        <v>12</v>
      </c>
      <c r="BY929" s="13" t="n">
        <f>IF(AND(COUNT(BV929,BW929,BX929)=3,MIN(BV929,BW929,BX929)&gt;=0),BV929*BW929*BX929,"")</f>
        <v>0.391741030438603</v>
      </c>
      <c r="BZ929" s="11" t="n">
        <f>IF(ISNUMBER(BO929),BO929,"")</f>
        <v>0.8332682139098497</v>
      </c>
      <c r="CA929" s="14" t="n">
        <f>IF(ISNUMBER(BS929),BS929,"")</f>
        <v>30</v>
      </c>
      <c r="CB929" s="13" t="n">
        <f>IF(AND(COUNT(BV929,BZ929,CA929)=3,MIN(BV929,BZ929,CA929)&gt;=0),BV929*BZ929*CA929,"")</f>
        <v>0.6663357793664392</v>
      </c>
      <c r="CC929" s="11" t="n">
        <f>IF(ISNUMBER(BP929),BP929,"")</f>
        <v>0.5511018253564084</v>
      </c>
      <c r="CD929" s="14" t="n">
        <f>IF(ISNUMBER(BT929),BT929,"")</f>
        <v>31</v>
      </c>
      <c r="CE929" s="13" t="n">
        <f>IF(AND(COUNT(BV929,CC929,CD929)=3,MIN(BV929,CC929,CD929)&gt;=0),BV929*CC929*CD929,"")</f>
        <v>0.45538697718822047</v>
      </c>
      <c r="CF929" s="11" t="n">
        <f>IF(ISNUMBER(BQ929),BQ929,"")</f>
        <v>1.0017220238758797</v>
      </c>
      <c r="CG929" s="14" t="n">
        <f>IF(ISNUMBER(BU929),BU929,"")</f>
        <v>17</v>
      </c>
      <c r="CH929" s="13" t="n">
        <f>IF(AND(COUNT(BV929,CF929,CG929)=3,MIN(BV929,CF929,CG929)&gt;=0),BV929*CF929*CG929,"")</f>
        <v>0.4539240644598051</v>
      </c>
      <c r="CI929" s="13" t="n">
        <f>IF(COUNT(BY929,CB929,CE929,CH929)=4,SUM(BY929,CB929,CE929,CH929),"")</f>
        <v>1.9673878514530676</v>
      </c>
    </row>
    <row r="930" ht="72" customHeight="1">
      <c r="A930" s="16" t="str">
        <v>B06-PK-39-N</v>
      </c>
      <c r="B930" s="16" t="str">
        <v>1店-MUSSHOE-US</v>
      </c>
      <c r="C930" s="16" t="str">
        <v>艾年</v>
      </c>
      <c r="D930" s="26" t="n">
        <f>IF(NOT(ISNUMBER(E930)),"",IF(OR(E930&lt;=0,L930=0),0,IF(OR(NOT(ISNUMBER(F930)),F930&lt;0),"",MIN(E930,INT(F930)))))</f>
        <v>0</v>
      </c>
      <c r="E930" s="27" t="n">
        <f>IF(OR(NOT(ISNUMBER(L930)),COUNT(M930:O930)&lt;&gt;3,MIN(M930:O930)&lt;0),"",ROUNDUP(ROUND(BI930-SUM(M930:O930),10),0))</f>
        <v>0</v>
      </c>
      <c r="F930" s="28" t="n">
        <v>0</v>
      </c>
      <c r="G930" s="28" t="n">
        <f>IF(AND(ISNUMBER(D930),ISNUMBER(E930)),IF(OR(E930&lt;=0,L930=0),0,E930-D930),"")</f>
        <v>0</v>
      </c>
      <c r="H930" s="16" t="str">
        <f>IF(NOT(ISNUMBER(E930)),"销量或海外库存待补",IF(OR(E930&lt;=0,L930=0),IF(L930=0,"零日销，本批不发","本批无需补货"),IF(NOT(ISNUMBER(D930)),"国内库存待补",IF(D930=0,"国内无可用库存",IF(G930&gt;0,"先发国内现货","按建议量发货")))))</f>
        <v>零日销，本批不发</v>
      </c>
      <c r="I930" s="28" t="n">
        <f>IF(AND(COUNT(Z930,AA930,AB930)=3,Z930&gt;=AA930,AA930&gt;=0,AB930=7),Z930-AA930,"")</f>
        <v>0</v>
      </c>
      <c r="J930" s="28" t="n">
        <f>IF(AND(COUNT(AF930,AG930,AH930)=3,AF930&gt;=AG930,AG930&gt;=0,AH930=14),AF930-AG930,"")</f>
        <v>0</v>
      </c>
      <c r="K930" s="28" t="n">
        <f>IF(AND(COUNT(AL930,AM930,AN930)=3,AL930&gt;=AM930,AM930&gt;=0,AN930=30),AL930-AM930,"")</f>
        <v>0</v>
      </c>
      <c r="L930" s="29" t="n">
        <f>IF(ISNUMBER(BI930),BI930/90,"")</f>
        <v>0</v>
      </c>
      <c r="M930" s="28" t="n">
        <v>0</v>
      </c>
      <c r="N930" s="28" t="n">
        <v>0</v>
      </c>
      <c r="O930" s="28" t="n">
        <v>0</v>
      </c>
      <c r="P930" s="30" t="str">
        <f>IF(AND(ISNUMBER(L930),L930&gt;0,COUNT(M930:O930)=3,MIN(M930:O930)&gt;=0),SUM(M930:O930)/L930,"")</f>
      </c>
      <c r="Q930" s="16" t="str">
        <v>沿用原计划SKU店铺</v>
      </c>
      <c r="R930" s="16" t="str">
        <v>已匹配</v>
      </c>
      <c r="S930" s="16" t="str">
        <v>停售</v>
      </c>
      <c r="T930" s="16" t="str">
        <v>B06</v>
      </c>
      <c r="U930" s="16" t="str">
        <v>粉色羊京绒</v>
      </c>
      <c r="V930" s="16" t="n">
        <v>8</v>
      </c>
      <c r="W930" s="8" t="str">
        <v>2026-10-08 至 2026-10-17</v>
      </c>
      <c r="X930" s="8" t="str">
        <v>2026-10-08、2026-10-09、2026-10-10、2026-10-11、2026-10-14、2026-10-15、2026-10-17</v>
      </c>
      <c r="Y930" s="8" t="str">
        <v>2026-10-12 有记录的停售日；2026-10-13 有记录的停售日；2026-10-16 有记录的停售日</v>
      </c>
      <c r="Z930" s="8" t="n">
        <v>0</v>
      </c>
      <c r="AA930" s="8" t="n">
        <v>0</v>
      </c>
      <c r="AB930" s="8" t="n">
        <v>7</v>
      </c>
      <c r="AC930" s="8" t="str">
        <v>2026-09-29 至 2026-10-17</v>
      </c>
      <c r="AD930" s="8" t="str">
        <v>2026-09-29、2026-09-30、2026-10-01、2026-10-02、2026-10-03、2026-10-04、2026-10-05、2026-10-08、2026-10-09、2026-10-10、2026-10-11、2026-10-14、2026-10-15、2026-10-17</v>
      </c>
      <c r="AE930" s="8" t="str">
        <v>2026-10-06 大促；2026-10-07 大促；2026-10-12 有记录的停售日；2026-10-13 有记录的停售日；2026-10-16 有记录的停售日</v>
      </c>
      <c r="AF930" s="8" t="n">
        <v>0</v>
      </c>
      <c r="AG930" s="8" t="n">
        <v>0</v>
      </c>
      <c r="AH930" s="8" t="n">
        <v>14</v>
      </c>
      <c r="AI930" s="8" t="str">
        <v>2026-09-13 至 2026-10-17</v>
      </c>
      <c r="AJ93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30" s="8" t="str">
        <v>2026-10-06 大促；2026-10-07 大促；2026-10-12 有记录的停售日；2026-10-13 有记录的停售日；2026-10-16 有记录的停售日</v>
      </c>
      <c r="AL930" s="8" t="n">
        <v>0</v>
      </c>
      <c r="AM930" s="8" t="n">
        <v>0</v>
      </c>
      <c r="AN930" s="8" t="n">
        <v>30</v>
      </c>
      <c r="AO930" s="8" t="str">
        <v>B06 / 粉色羊京绒 / 13120</v>
      </c>
      <c r="AP930" s="11" t="n">
        <v>1.2247029157699902</v>
      </c>
      <c r="AQ930" s="11" t="n">
        <v>1.1929861014741694</v>
      </c>
      <c r="AR930" s="11" t="n">
        <v>1.0914922957275428</v>
      </c>
      <c r="AS930" s="11" t="n">
        <f>IF(AND(COUNT(I930:K930,AP930:AR930)=6,MIN(AP930:AR930)&gt;0),I930/7/AP930*0.5+J930/14/AQ930*0.3+K930/30/AR930*0.2,"")</f>
        <v>0</v>
      </c>
      <c r="AT930" s="8" t="n">
        <v>0</v>
      </c>
      <c r="AU930" s="8" t="n">
        <v>0</v>
      </c>
      <c r="AV930" s="8" t="n">
        <v>85</v>
      </c>
      <c r="AW930" s="11" t="n">
        <f>IF(AND(COUNT(AT930:AV930)=3,AT930&gt;=AU930,AU930&gt;=0,AV930&gt;0),(AT930-AU930)/AV930,"")</f>
        <v>0</v>
      </c>
      <c r="AX930" s="8" t="n">
        <v>0</v>
      </c>
      <c r="AY930" s="8" t="n">
        <v>0</v>
      </c>
      <c r="AZ930" s="8" t="n">
        <v>175</v>
      </c>
      <c r="BA930" s="11" t="n">
        <f>IF(AND(COUNT(AX930:AZ930)=3,AX930&gt;=AY930,AY930&gt;=0,AZ930&gt;0),(AX930-AY930)/AZ930,"")</f>
        <v>0</v>
      </c>
      <c r="BB930" s="8" t="n">
        <f>IF(COUNT(AS930,AW930,BA930)=3,1,0)</f>
        <v>1</v>
      </c>
      <c r="BC930" s="11" t="n">
        <f>IF(SUMIF($AO$11:$AO$1309,AO930,$BB$11:$BB$1309)=COUNTIF($AO$11:$AO$1309,AO930),SUMIF($AO$11:$AO$1309,AO930,$AS$11:$AS$1309),"")</f>
        <v>0.14161497208377494</v>
      </c>
      <c r="BD930" s="11" t="n">
        <f>IF(SUMIF($AO$11:$AO$1309,AO930,$BB$11:$BB$1309)=COUNTIF($AO$11:$AO$1309,AO930),SUMIF($AO$11:$AO$1309,AO930,$AW$11:$AW$1309),"")</f>
        <v>0.27671030794763046</v>
      </c>
      <c r="BE930" s="11" t="n">
        <f>IF(SUMIF($AO$11:$AO$1309,AO930,$BB$11:$BB$1309)=COUNTIF($AO$11:$AO$1309,AO930),SUMIF($AO$11:$AO$1309,AO930,$BA$11:$BA$1309),"")</f>
        <v>0.32217609344251885</v>
      </c>
      <c r="BF930" s="12" t="n">
        <f>IF(COUNT(BD930:BE930)&lt;&gt;2,"",IF(AND(BD930&gt;0,BE930&gt;0),0.7*AW930/BD930+0.3*BA930/BE930,IF(BD930&gt;0,AW930/BD930,IF(BE930&gt;0,BA930/BE930,IF(AND(ISNUMBER(BH930),BH930=0),0,"")))))</f>
        <v>0</v>
      </c>
      <c r="BG930" s="11" t="n">
        <f>IF(AND(COUNT(BN930:BU930)=8,MIN(BN930:BU930)&gt;=0),SUMPRODUCT(BN930:BQ930,BR930:BU930),"")</f>
        <v>73.80791239847399</v>
      </c>
      <c r="BH930" s="11" t="n">
        <f>IF(COUNT(BC930,BG930)=2,BC930*BG930,"")</f>
        <v>10.4523054538716</v>
      </c>
      <c r="BI930" s="11" t="n">
        <f>IF(ISNUMBER(CI930),CI930,"")</f>
        <v>0</v>
      </c>
      <c r="BJ930" s="8" t="str">
        <v>近180天本色销量61双（＜90），无有效新采购，请运营判断</v>
      </c>
      <c r="BK930" s="8" t="str">
        <v>90天：2026-07-20 至 2026-10-17；180天：2026-04-21 至 2026-10-17</v>
      </c>
      <c r="BL930" s="8" t="str">
        <v>90天：2026-10-06、2026-10-07、2026-10-12、2026-10-13、2026-10-16；180天：2026-10-06、2026-10-07、2026-10-12、2026-10-13、2026-10-16</v>
      </c>
      <c r="BM930" s="8" t="str">
        <v>2026-10：12天 × 1.2247029157699902；2026-11：30天 × 0.8332682139098497；2026-12：31天 × 0.5511018253564084；2027-01：17天 × 1.0017220238758797</v>
      </c>
      <c r="BN930" s="11" t="n">
        <v>1.2247029157699902</v>
      </c>
      <c r="BO930" s="11" t="n">
        <v>0.8332682139098497</v>
      </c>
      <c r="BP930" s="11" t="n">
        <v>0.5511018253564084</v>
      </c>
      <c r="BQ930" s="11" t="n">
        <v>1.0017220238758797</v>
      </c>
      <c r="BR930" s="8" t="n">
        <v>12</v>
      </c>
      <c r="BS930" s="8" t="n">
        <v>30</v>
      </c>
      <c r="BT930" s="8" t="n">
        <v>31</v>
      </c>
      <c r="BU930" s="8" t="n">
        <v>17</v>
      </c>
      <c r="BV930" s="11" t="n">
        <f>IF(COUNT(BC930,BF930)=2,BC930*BF930,"")</f>
        <v>0</v>
      </c>
      <c r="BW930" s="11" t="n">
        <f>IF(ISNUMBER(BN930),BN930,"")</f>
        <v>1.2247029157699902</v>
      </c>
      <c r="BX930" s="14" t="n">
        <f>IF(ISNUMBER(BR930),BR930,"")</f>
        <v>12</v>
      </c>
      <c r="BY930" s="13" t="n">
        <f>IF(AND(COUNT(BV930,BW930,BX930)=3,MIN(BV930,BW930,BX930)&gt;=0),BV930*BW930*BX930,"")</f>
        <v>0</v>
      </c>
      <c r="BZ930" s="11" t="n">
        <f>IF(ISNUMBER(BO930),BO930,"")</f>
        <v>0.8332682139098497</v>
      </c>
      <c r="CA930" s="14" t="n">
        <f>IF(ISNUMBER(BS930),BS930,"")</f>
        <v>30</v>
      </c>
      <c r="CB930" s="13" t="n">
        <f>IF(AND(COUNT(BV930,BZ930,CA930)=3,MIN(BV930,BZ930,CA930)&gt;=0),BV930*BZ930*CA930,"")</f>
        <v>0</v>
      </c>
      <c r="CC930" s="11" t="n">
        <f>IF(ISNUMBER(BP930),BP930,"")</f>
        <v>0.5511018253564084</v>
      </c>
      <c r="CD930" s="14" t="n">
        <f>IF(ISNUMBER(BT930),BT930,"")</f>
        <v>31</v>
      </c>
      <c r="CE930" s="13" t="n">
        <f>IF(AND(COUNT(BV930,CC930,CD930)=3,MIN(BV930,CC930,CD930)&gt;=0),BV930*CC930*CD930,"")</f>
        <v>0</v>
      </c>
      <c r="CF930" s="11" t="n">
        <f>IF(ISNUMBER(BQ930),BQ930,"")</f>
        <v>1.0017220238758797</v>
      </c>
      <c r="CG930" s="14" t="n">
        <f>IF(ISNUMBER(BU930),BU930,"")</f>
        <v>17</v>
      </c>
      <c r="CH930" s="13" t="n">
        <f>IF(AND(COUNT(BV930,CF930,CG930)=3,MIN(BV930,CF930,CG930)&gt;=0),BV930*CF930*CG930,"")</f>
        <v>0</v>
      </c>
      <c r="CI930" s="13" t="n">
        <f>IF(COUNT(BY930,CB930,CE930,CH930)=4,SUM(BY930,CB930,CE930,CH930),"")</f>
        <v>0</v>
      </c>
    </row>
    <row r="931" ht="72" customHeight="1">
      <c r="A931" s="16" t="str">
        <v>B06-PK-40.5</v>
      </c>
      <c r="B931" s="16" t="str">
        <v>1店-MUSSHOE-US</v>
      </c>
      <c r="C931" s="16" t="str">
        <v>艾年</v>
      </c>
      <c r="D931" s="26" t="n">
        <f>IF(NOT(ISNUMBER(E931)),"",IF(OR(E931&lt;=0,L931=0),0,IF(OR(NOT(ISNUMBER(F931)),F931&lt;0),"",MIN(E931,INT(F931)))))</f>
        <v>0</v>
      </c>
      <c r="E931" s="27" t="n">
        <f>IF(OR(NOT(ISNUMBER(L931)),COUNT(M931:O931)&lt;&gt;3,MIN(M931:O931)&lt;0),"",ROUNDUP(ROUND(BI931-SUM(M931:O931),10),0))</f>
        <v>-4</v>
      </c>
      <c r="F931" s="28"/>
      <c r="G931" s="28" t="n">
        <f>IF(AND(ISNUMBER(D931),ISNUMBER(E931)),IF(OR(E931&lt;=0,L931=0),0,E931-D931),"")</f>
        <v>0</v>
      </c>
      <c r="H931" s="16" t="str">
        <f>IF(NOT(ISNUMBER(E931)),"销量或海外库存待补",IF(OR(E931&lt;=0,L931=0),IF(L931=0,"零日销，本批不发","本批无需补货"),IF(NOT(ISNUMBER(D931)),"国内库存待补",IF(D931=0,"国内无可用库存",IF(G931&gt;0,"先发国内现货","按建议量发货")))))</f>
        <v>本批无需补货</v>
      </c>
      <c r="I931" s="28" t="n">
        <f>IF(AND(COUNT(Z931,AA931,AB931)=3,Z931&gt;=AA931,AA931&gt;=0,AB931=7),Z931-AA931,"")</f>
        <v>1</v>
      </c>
      <c r="J931" s="28" t="n">
        <f>IF(AND(COUNT(AF931,AG931,AH931)=3,AF931&gt;=AG931,AG931&gt;=0,AH931=14),AF931-AG931,"")</f>
        <v>1</v>
      </c>
      <c r="K931" s="28" t="n">
        <f>IF(AND(COUNT(AL931,AM931,AN931)=3,AL931&gt;=AM931,AM931&gt;=0,AN931=30),AL931-AM931,"")</f>
        <v>1</v>
      </c>
      <c r="L931" s="29" t="n">
        <f>IF(ISNUMBER(BI931),BI931/90,"")</f>
        <v>0.019429690199669822</v>
      </c>
      <c r="M931" s="28" t="n">
        <v>5</v>
      </c>
      <c r="N931" s="28" t="n">
        <v>0</v>
      </c>
      <c r="O931" s="28" t="n">
        <v>0</v>
      </c>
      <c r="P931" s="30" t="n">
        <f>IF(AND(ISNUMBER(L931),L931&gt;0,COUNT(M931:O931)=3,MIN(M931:O931)&gt;=0),SUM(M931:O931)/L931,"")</f>
        <v>257.3381226678008</v>
      </c>
      <c r="Q931" s="16" t="str">
        <v>沿用原计划SKU店铺</v>
      </c>
      <c r="R931" s="16" t="str">
        <v>未匹配</v>
      </c>
      <c r="S931" s="16" t="str">
        <v>在售</v>
      </c>
      <c r="T931" s="16" t="str">
        <v>B06</v>
      </c>
      <c r="U931" s="16" t="str">
        <v>粉色羊京绒</v>
      </c>
      <c r="V931" s="16" t="n">
        <v>9.5</v>
      </c>
      <c r="W931" s="8" t="str">
        <v>2026-10-11 至 2026-10-17</v>
      </c>
      <c r="X931" s="8" t="str">
        <v>2026-10-11、2026-10-12、2026-10-13、2026-10-14、2026-10-15、2026-10-16、2026-10-17</v>
      </c>
      <c r="Y931" s="8" t="str">
        <v>无</v>
      </c>
      <c r="Z931" s="8" t="n">
        <v>1</v>
      </c>
      <c r="AA931" s="8" t="n">
        <v>0</v>
      </c>
      <c r="AB931" s="8" t="n">
        <v>7</v>
      </c>
      <c r="AC931" s="8" t="str">
        <v>2026-10-02 至 2026-10-17</v>
      </c>
      <c r="AD931" s="8" t="str">
        <v>2026-10-02、2026-10-03、2026-10-04、2026-10-05、2026-10-08、2026-10-09、2026-10-10、2026-10-11、2026-10-12、2026-10-13、2026-10-14、2026-10-15、2026-10-16、2026-10-17</v>
      </c>
      <c r="AE931" s="8" t="str">
        <v>2026-10-06 大促；2026-10-07 大促</v>
      </c>
      <c r="AF931" s="8" t="n">
        <v>3</v>
      </c>
      <c r="AG931" s="8" t="n">
        <v>2</v>
      </c>
      <c r="AH931" s="8" t="n">
        <v>14</v>
      </c>
      <c r="AI931" s="8" t="str">
        <v>2026-09-16 至 2026-10-17</v>
      </c>
      <c r="AJ9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1" s="8" t="str">
        <v>2026-10-06 大促；2026-10-07 大促</v>
      </c>
      <c r="AL931" s="8" t="n">
        <v>3</v>
      </c>
      <c r="AM931" s="8" t="n">
        <v>2</v>
      </c>
      <c r="AN931" s="8" t="n">
        <v>30</v>
      </c>
      <c r="AO931" s="8" t="str">
        <v>B06 / 粉色羊京绒 / 13120</v>
      </c>
      <c r="AP931" s="11" t="n">
        <v>1.2247029157699902</v>
      </c>
      <c r="AQ931" s="11" t="n">
        <v>1.2247029157699902</v>
      </c>
      <c r="AR931" s="11" t="n">
        <v>1.1136940657346173</v>
      </c>
      <c r="AS931" s="11" t="n">
        <f>IF(AND(COUNT(I931:K931,AP931:AR931)=6,MIN(AP931:AR931)&gt;0),I931/7/AP931*0.5+J931/14/AQ931*0.3+K931/30/AR931*0.2,"")</f>
        <v>0.08180622139339022</v>
      </c>
      <c r="AT931" s="8" t="n">
        <v>6</v>
      </c>
      <c r="AU931" s="8" t="n">
        <v>2</v>
      </c>
      <c r="AV931" s="8" t="n">
        <v>88</v>
      </c>
      <c r="AW931" s="11" t="n">
        <f>IF(AND(COUNT(AT931:AV931)=3,AT931&gt;=AU931,AU931&gt;=0,AV931&gt;0),(AT931-AU931)/AV931,"")</f>
        <v>0.045454545454545456</v>
      </c>
      <c r="AX931" s="8" t="n">
        <v>12</v>
      </c>
      <c r="AY931" s="8" t="n">
        <v>2</v>
      </c>
      <c r="AZ931" s="8" t="n">
        <v>178</v>
      </c>
      <c r="BA931" s="11" t="n">
        <f>IF(AND(COUNT(AX931:AZ931)=3,AX931&gt;=AY931,AY931&gt;=0,AZ931&gt;0),(AX931-AY931)/AZ931,"")</f>
        <v>0.056179775280898875</v>
      </c>
      <c r="BB931" s="8" t="n">
        <f>IF(COUNT(AS931,AW931,BA931)=3,1,0)</f>
        <v>1</v>
      </c>
      <c r="BC931" s="11" t="n">
        <f>IF(SUMIF($AO$11:$AO$1309,AO931,$BB$11:$BB$1309)=COUNTIF($AO$11:$AO$1309,AO931),SUMIF($AO$11:$AO$1309,AO931,$AS$11:$AS$1309),"")</f>
        <v>0.14161497208377494</v>
      </c>
      <c r="BD931" s="11" t="n">
        <f>IF(SUMIF($AO$11:$AO$1309,AO931,$BB$11:$BB$1309)=COUNTIF($AO$11:$AO$1309,AO931),SUMIF($AO$11:$AO$1309,AO931,$AW$11:$AW$1309),"")</f>
        <v>0.27671030794763046</v>
      </c>
      <c r="BE931" s="11" t="n">
        <f>IF(SUMIF($AO$11:$AO$1309,AO931,$BB$11:$BB$1309)=COUNTIF($AO$11:$AO$1309,AO931),SUMIF($AO$11:$AO$1309,AO931,$BA$11:$BA$1309),"")</f>
        <v>0.32217609344251885</v>
      </c>
      <c r="BF931" s="12" t="n">
        <f>IF(COUNT(BD931:BE931)&lt;&gt;2,"",IF(AND(BD931&gt;0,BE931&gt;0),0.7*AW931/BD931+0.3*BA931/BE931,IF(BD931&gt;0,AW931/BD931,IF(BE931&gt;0,BA931/BE931,IF(AND(ISNUMBER(BH931),BH931=0),0,"")))))</f>
        <v>0.16730013542826236</v>
      </c>
      <c r="BG931" s="11" t="n">
        <f>IF(AND(COUNT(BN931:BU931)=8,MIN(BN931:BU931)&gt;=0),SUMPRODUCT(BN931:BQ931,BR931:BU931),"")</f>
        <v>73.80791239847399</v>
      </c>
      <c r="BH931" s="11" t="n">
        <f>IF(COUNT(BC931,BG931)=2,BC931*BG931,"")</f>
        <v>10.4523054538716</v>
      </c>
      <c r="BI931" s="11" t="n">
        <f>IF(ISNUMBER(CI931),CI931,"")</f>
        <v>1.748672117970284</v>
      </c>
      <c r="BJ931" s="8" t="str">
        <v>近180天本色销量61双（＜90），无有效新采购，请运营判断</v>
      </c>
      <c r="BK931" s="8" t="str">
        <v>90天：2026-07-20 至 2026-10-17；180天：2026-04-21 至 2026-10-17</v>
      </c>
      <c r="BL931" s="8" t="str">
        <v>90天：2026-10-06、2026-10-07；180天：2026-10-06、2026-10-07</v>
      </c>
      <c r="BM931" s="8" t="str">
        <v>2026-10：12天 × 1.2247029157699902；2026-11：30天 × 0.8332682139098497；2026-12：31天 × 0.5511018253564084；2027-01：17天 × 1.0017220238758797</v>
      </c>
      <c r="BN931" s="11" t="n">
        <v>1.2247029157699902</v>
      </c>
      <c r="BO931" s="11" t="n">
        <v>0.8332682139098497</v>
      </c>
      <c r="BP931" s="11" t="n">
        <v>0.5511018253564084</v>
      </c>
      <c r="BQ931" s="11" t="n">
        <v>1.0017220238758797</v>
      </c>
      <c r="BR931" s="8" t="n">
        <v>12</v>
      </c>
      <c r="BS931" s="8" t="n">
        <v>30</v>
      </c>
      <c r="BT931" s="8" t="n">
        <v>31</v>
      </c>
      <c r="BU931" s="8" t="n">
        <v>17</v>
      </c>
      <c r="BV931" s="11" t="n">
        <f>IF(COUNT(BC931,BF931)=2,BC931*BF931,"")</f>
        <v>0.02369220400828514</v>
      </c>
      <c r="BW931" s="11" t="n">
        <f>IF(ISNUMBER(BN931),BN931,"")</f>
        <v>1.2247029157699902</v>
      </c>
      <c r="BX931" s="14" t="n">
        <f>IF(ISNUMBER(BR931),BR931,"")</f>
        <v>12</v>
      </c>
      <c r="BY931" s="13" t="n">
        <f>IF(AND(COUNT(BV931,BW931,BX931)=3,MIN(BV931,BW931,BX931)&gt;=0),BV931*BW931*BX931,"")</f>
        <v>0.3481909359595712</v>
      </c>
      <c r="BZ931" s="11" t="n">
        <f>IF(ISNUMBER(BO931),BO931,"")</f>
        <v>0.8332682139098497</v>
      </c>
      <c r="CA931" s="14" t="n">
        <f>IF(ISNUMBER(BS931),BS931,"")</f>
        <v>30</v>
      </c>
      <c r="CB931" s="13" t="n">
        <f>IF(AND(COUNT(BV931,BZ931,CA931)=3,MIN(BV931,BZ931,CA931)&gt;=0),BV931*BZ931*CA931,"")</f>
        <v>0.5922588155271463</v>
      </c>
      <c r="CC931" s="11" t="n">
        <f>IF(ISNUMBER(BP931),BP931,"")</f>
        <v>0.5511018253564084</v>
      </c>
      <c r="CD931" s="14" t="n">
        <f>IF(ISNUMBER(BT931),BT931,"")</f>
        <v>31</v>
      </c>
      <c r="CE931" s="13" t="n">
        <f>IF(AND(COUNT(BV931,CC931,CD931)=3,MIN(BV931,CC931,CD931)&gt;=0),BV931*CC931*CD931,"")</f>
        <v>0.4047613231461531</v>
      </c>
      <c r="CF931" s="11" t="n">
        <f>IF(ISNUMBER(BQ931),BQ931,"")</f>
        <v>1.0017220238758797</v>
      </c>
      <c r="CG931" s="14" t="n">
        <f>IF(ISNUMBER(BU931),BU931,"")</f>
        <v>17</v>
      </c>
      <c r="CH931" s="13" t="n">
        <f>IF(AND(COUNT(BV931,CF931,CG931)=3,MIN(BV931,CF931,CG931)&gt;=0),BV931*CF931*CG931,"")</f>
        <v>0.40346104333741356</v>
      </c>
      <c r="CI931" s="13" t="n">
        <f>IF(COUNT(BY931,CB931,CE931,CH931)=4,SUM(BY931,CB931,CE931,CH931),"")</f>
        <v>1.748672117970284</v>
      </c>
    </row>
    <row r="932" ht="72" customHeight="1">
      <c r="A932" s="16" t="str">
        <v>B06-PK-41-N</v>
      </c>
      <c r="B932" s="16" t="str">
        <v>1店-MUSSHOE-US</v>
      </c>
      <c r="C932" s="16" t="str">
        <v>艾年</v>
      </c>
      <c r="D932" s="26" t="n">
        <f>IF(NOT(ISNUMBER(E932)),"",IF(OR(E932&lt;=0,L932=0),0,IF(OR(NOT(ISNUMBER(F932)),F932&lt;0),"",MIN(E932,INT(F932)))))</f>
        <v>0</v>
      </c>
      <c r="E932" s="27" t="n">
        <f>IF(OR(NOT(ISNUMBER(L932)),COUNT(M932:O932)&lt;&gt;3,MIN(M932:O932)&lt;0),"",ROUNDUP(ROUND(BI932-SUM(M932:O932),10),0))</f>
        <v>0</v>
      </c>
      <c r="F932" s="28"/>
      <c r="G932" s="28" t="n">
        <f>IF(AND(ISNUMBER(D932),ISNUMBER(E932)),IF(OR(E932&lt;=0,L932=0),0,E932-D932),"")</f>
        <v>0</v>
      </c>
      <c r="H932" s="16" t="str">
        <f>IF(NOT(ISNUMBER(E932)),"销量或海外库存待补",IF(OR(E932&lt;=0,L932=0),IF(L932=0,"零日销，本批不发","本批无需补货"),IF(NOT(ISNUMBER(D932)),"国内库存待补",IF(D932=0,"国内无可用库存",IF(G932&gt;0,"先发国内现货","按建议量发货")))))</f>
        <v>零日销，本批不发</v>
      </c>
      <c r="I932" s="28" t="n">
        <f>IF(AND(COUNT(Z932,AA932,AB932)=3,Z932&gt;=AA932,AA932&gt;=0,AB932=7),Z932-AA932,"")</f>
        <v>0</v>
      </c>
      <c r="J932" s="28" t="n">
        <f>IF(AND(COUNT(AF932,AG932,AH932)=3,AF932&gt;=AG932,AG932&gt;=0,AH932=14),AF932-AG932,"")</f>
        <v>0</v>
      </c>
      <c r="K932" s="28" t="n">
        <f>IF(AND(COUNT(AL932,AM932,AN932)=3,AL932&gt;=AM932,AM932&gt;=0,AN932=30),AL932-AM932,"")</f>
        <v>0</v>
      </c>
      <c r="L932" s="29" t="n">
        <f>IF(ISNUMBER(BI932),BI932/90,"")</f>
        <v>0</v>
      </c>
      <c r="M932" s="28" t="n">
        <v>0</v>
      </c>
      <c r="N932" s="28" t="n">
        <v>0</v>
      </c>
      <c r="O932" s="28" t="n">
        <v>0</v>
      </c>
      <c r="P932" s="30" t="str">
        <f>IF(AND(ISNUMBER(L932),L932&gt;0,COUNT(M932:O932)=3,MIN(M932:O932)&gt;=0),SUM(M932:O932)/L932,"")</f>
      </c>
      <c r="Q932" s="16" t="str">
        <v>沿用原计划SKU店铺</v>
      </c>
      <c r="R932" s="16" t="str">
        <v>未匹配</v>
      </c>
      <c r="S932" s="16" t="str">
        <v>停售</v>
      </c>
      <c r="T932" s="16" t="str">
        <v>B06</v>
      </c>
      <c r="U932" s="16" t="str">
        <v>粉色羊京绒</v>
      </c>
      <c r="V932" s="16" t="n">
        <v>10</v>
      </c>
      <c r="W932" s="8" t="str">
        <v>2026-10-08 至 2026-10-17</v>
      </c>
      <c r="X932" s="8" t="str">
        <v>2026-10-08、2026-10-09、2026-10-10、2026-10-11、2026-10-14、2026-10-15、2026-10-17</v>
      </c>
      <c r="Y932" s="8" t="str">
        <v>2026-10-12 有记录的停售日；2026-10-13 有记录的停售日；2026-10-16 有记录的停售日</v>
      </c>
      <c r="Z932" s="8" t="n">
        <v>0</v>
      </c>
      <c r="AA932" s="8" t="n">
        <v>0</v>
      </c>
      <c r="AB932" s="8" t="n">
        <v>7</v>
      </c>
      <c r="AC932" s="8" t="str">
        <v>2026-09-29 至 2026-10-17</v>
      </c>
      <c r="AD932" s="8" t="str">
        <v>2026-09-29、2026-09-30、2026-10-01、2026-10-02、2026-10-03、2026-10-04、2026-10-05、2026-10-08、2026-10-09、2026-10-10、2026-10-11、2026-10-14、2026-10-15、2026-10-17</v>
      </c>
      <c r="AE932" s="8" t="str">
        <v>2026-10-06 大促；2026-10-07 大促；2026-10-12 有记录的停售日；2026-10-13 有记录的停售日；2026-10-16 有记录的停售日</v>
      </c>
      <c r="AF932" s="8" t="n">
        <v>0</v>
      </c>
      <c r="AG932" s="8" t="n">
        <v>0</v>
      </c>
      <c r="AH932" s="8" t="n">
        <v>14</v>
      </c>
      <c r="AI932" s="8" t="str">
        <v>2026-09-13 至 2026-10-17</v>
      </c>
      <c r="AJ93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32" s="8" t="str">
        <v>2026-10-06 大促；2026-10-07 大促；2026-10-12 有记录的停售日；2026-10-13 有记录的停售日；2026-10-16 有记录的停售日</v>
      </c>
      <c r="AL932" s="8" t="n">
        <v>0</v>
      </c>
      <c r="AM932" s="8" t="n">
        <v>0</v>
      </c>
      <c r="AN932" s="8" t="n">
        <v>30</v>
      </c>
      <c r="AO932" s="8" t="str">
        <v>B06 / 粉色羊京绒 / 13120</v>
      </c>
      <c r="AP932" s="11" t="n">
        <v>1.2247029157699902</v>
      </c>
      <c r="AQ932" s="11" t="n">
        <v>1.1929861014741694</v>
      </c>
      <c r="AR932" s="11" t="n">
        <v>1.0914922957275428</v>
      </c>
      <c r="AS932" s="11" t="n">
        <f>IF(AND(COUNT(I932:K932,AP932:AR932)=6,MIN(AP932:AR932)&gt;0),I932/7/AP932*0.5+J932/14/AQ932*0.3+K932/30/AR932*0.2,"")</f>
        <v>0</v>
      </c>
      <c r="AT932" s="8" t="n">
        <v>0</v>
      </c>
      <c r="AU932" s="8" t="n">
        <v>0</v>
      </c>
      <c r="AV932" s="8" t="n">
        <v>85</v>
      </c>
      <c r="AW932" s="11" t="n">
        <f>IF(AND(COUNT(AT932:AV932)=3,AT932&gt;=AU932,AU932&gt;=0,AV932&gt;0),(AT932-AU932)/AV932,"")</f>
        <v>0</v>
      </c>
      <c r="AX932" s="8" t="n">
        <v>0</v>
      </c>
      <c r="AY932" s="8" t="n">
        <v>0</v>
      </c>
      <c r="AZ932" s="8" t="n">
        <v>175</v>
      </c>
      <c r="BA932" s="11" t="n">
        <f>IF(AND(COUNT(AX932:AZ932)=3,AX932&gt;=AY932,AY932&gt;=0,AZ932&gt;0),(AX932-AY932)/AZ932,"")</f>
        <v>0</v>
      </c>
      <c r="BB932" s="8" t="n">
        <f>IF(COUNT(AS932,AW932,BA932)=3,1,0)</f>
        <v>1</v>
      </c>
      <c r="BC932" s="11" t="n">
        <f>IF(SUMIF($AO$11:$AO$1309,AO932,$BB$11:$BB$1309)=COUNTIF($AO$11:$AO$1309,AO932),SUMIF($AO$11:$AO$1309,AO932,$AS$11:$AS$1309),"")</f>
        <v>0.14161497208377494</v>
      </c>
      <c r="BD932" s="11" t="n">
        <f>IF(SUMIF($AO$11:$AO$1309,AO932,$BB$11:$BB$1309)=COUNTIF($AO$11:$AO$1309,AO932),SUMIF($AO$11:$AO$1309,AO932,$AW$11:$AW$1309),"")</f>
        <v>0.27671030794763046</v>
      </c>
      <c r="BE932" s="11" t="n">
        <f>IF(SUMIF($AO$11:$AO$1309,AO932,$BB$11:$BB$1309)=COUNTIF($AO$11:$AO$1309,AO932),SUMIF($AO$11:$AO$1309,AO932,$BA$11:$BA$1309),"")</f>
        <v>0.32217609344251885</v>
      </c>
      <c r="BF932" s="12" t="n">
        <f>IF(COUNT(BD932:BE932)&lt;&gt;2,"",IF(AND(BD932&gt;0,BE932&gt;0),0.7*AW932/BD932+0.3*BA932/BE932,IF(BD932&gt;0,AW932/BD932,IF(BE932&gt;0,BA932/BE932,IF(AND(ISNUMBER(BH932),BH932=0),0,"")))))</f>
        <v>0</v>
      </c>
      <c r="BG932" s="11" t="n">
        <f>IF(AND(COUNT(BN932:BU932)=8,MIN(BN932:BU932)&gt;=0),SUMPRODUCT(BN932:BQ932,BR932:BU932),"")</f>
        <v>73.80791239847399</v>
      </c>
      <c r="BH932" s="11" t="n">
        <f>IF(COUNT(BC932,BG932)=2,BC932*BG932,"")</f>
        <v>10.4523054538716</v>
      </c>
      <c r="BI932" s="11" t="n">
        <f>IF(ISNUMBER(CI932),CI932,"")</f>
        <v>0</v>
      </c>
      <c r="BJ932" s="8" t="str">
        <v>近180天本色销量61双（＜90），无有效新采购，请运营判断</v>
      </c>
      <c r="BK932" s="8" t="str">
        <v>90天：2026-07-20 至 2026-10-17；180天：2026-04-21 至 2026-10-17</v>
      </c>
      <c r="BL932" s="8" t="str">
        <v>90天：2026-10-06、2026-10-07、2026-10-12、2026-10-13、2026-10-16；180天：2026-10-06、2026-10-07、2026-10-12、2026-10-13、2026-10-16</v>
      </c>
      <c r="BM932" s="8" t="str">
        <v>2026-10：12天 × 1.2247029157699902；2026-11：30天 × 0.8332682139098497；2026-12：31天 × 0.5511018253564084；2027-01：17天 × 1.0017220238758797</v>
      </c>
      <c r="BN932" s="11" t="n">
        <v>1.2247029157699902</v>
      </c>
      <c r="BO932" s="11" t="n">
        <v>0.8332682139098497</v>
      </c>
      <c r="BP932" s="11" t="n">
        <v>0.5511018253564084</v>
      </c>
      <c r="BQ932" s="11" t="n">
        <v>1.0017220238758797</v>
      </c>
      <c r="BR932" s="8" t="n">
        <v>12</v>
      </c>
      <c r="BS932" s="8" t="n">
        <v>30</v>
      </c>
      <c r="BT932" s="8" t="n">
        <v>31</v>
      </c>
      <c r="BU932" s="8" t="n">
        <v>17</v>
      </c>
      <c r="BV932" s="11" t="n">
        <f>IF(COUNT(BC932,BF932)=2,BC932*BF932,"")</f>
        <v>0</v>
      </c>
      <c r="BW932" s="11" t="n">
        <f>IF(ISNUMBER(BN932),BN932,"")</f>
        <v>1.2247029157699902</v>
      </c>
      <c r="BX932" s="14" t="n">
        <f>IF(ISNUMBER(BR932),BR932,"")</f>
        <v>12</v>
      </c>
      <c r="BY932" s="13" t="n">
        <f>IF(AND(COUNT(BV932,BW932,BX932)=3,MIN(BV932,BW932,BX932)&gt;=0),BV932*BW932*BX932,"")</f>
        <v>0</v>
      </c>
      <c r="BZ932" s="11" t="n">
        <f>IF(ISNUMBER(BO932),BO932,"")</f>
        <v>0.8332682139098497</v>
      </c>
      <c r="CA932" s="14" t="n">
        <f>IF(ISNUMBER(BS932),BS932,"")</f>
        <v>30</v>
      </c>
      <c r="CB932" s="13" t="n">
        <f>IF(AND(COUNT(BV932,BZ932,CA932)=3,MIN(BV932,BZ932,CA932)&gt;=0),BV932*BZ932*CA932,"")</f>
        <v>0</v>
      </c>
      <c r="CC932" s="11" t="n">
        <f>IF(ISNUMBER(BP932),BP932,"")</f>
        <v>0.5511018253564084</v>
      </c>
      <c r="CD932" s="14" t="n">
        <f>IF(ISNUMBER(BT932),BT932,"")</f>
        <v>31</v>
      </c>
      <c r="CE932" s="13" t="n">
        <f>IF(AND(COUNT(BV932,CC932,CD932)=3,MIN(BV932,CC932,CD932)&gt;=0),BV932*CC932*CD932,"")</f>
        <v>0</v>
      </c>
      <c r="CF932" s="11" t="n">
        <f>IF(ISNUMBER(BQ932),BQ932,"")</f>
        <v>1.0017220238758797</v>
      </c>
      <c r="CG932" s="14" t="n">
        <f>IF(ISNUMBER(BU932),BU932,"")</f>
        <v>17</v>
      </c>
      <c r="CH932" s="13" t="n">
        <f>IF(AND(COUNT(BV932,CF932,CG932)=3,MIN(BV932,CF932,CG932)&gt;=0),BV932*CF932*CG932,"")</f>
        <v>0</v>
      </c>
      <c r="CI932" s="13" t="n">
        <f>IF(COUNT(BY932,CB932,CE932,CH932)=4,SUM(BY932,CB932,CE932,CH932),"")</f>
        <v>0</v>
      </c>
    </row>
    <row r="933" ht="72" customHeight="1">
      <c r="A933" s="16" t="str">
        <v>B06-PK-41.5</v>
      </c>
      <c r="B933" s="16" t="str">
        <v>1店-MUSSHOE-US</v>
      </c>
      <c r="C933" s="16" t="str">
        <v>艾年</v>
      </c>
      <c r="D933" s="26" t="n">
        <f>IF(NOT(ISNUMBER(E933)),"",IF(OR(E933&lt;=0,L933=0),0,IF(OR(NOT(ISNUMBER(F933)),F933&lt;0),"",MIN(E933,INT(F933)))))</f>
        <v>0</v>
      </c>
      <c r="E933" s="27" t="n">
        <f>IF(OR(NOT(ISNUMBER(L933)),COUNT(M933:O933)&lt;&gt;3,MIN(M933:O933)&lt;0),"",ROUNDUP(ROUND(BI933-SUM(M933:O933),10),0))</f>
        <v>0</v>
      </c>
      <c r="F933" s="28"/>
      <c r="G933" s="28" t="n">
        <f>IF(AND(ISNUMBER(D933),ISNUMBER(E933)),IF(OR(E933&lt;=0,L933=0),0,E933-D933),"")</f>
        <v>0</v>
      </c>
      <c r="H933" s="16" t="str">
        <f>IF(NOT(ISNUMBER(E933)),"销量或海外库存待补",IF(OR(E933&lt;=0,L933=0),IF(L933=0,"零日销，本批不发","本批无需补货"),IF(NOT(ISNUMBER(D933)),"国内库存待补",IF(D933=0,"国内无可用库存",IF(G933&gt;0,"先发国内现货","按建议量发货")))))</f>
        <v>零日销，本批不发</v>
      </c>
      <c r="I933" s="28" t="n">
        <f>IF(AND(COUNT(Z933,AA933,AB933)=3,Z933&gt;=AA933,AA933&gt;=0,AB933=7),Z933-AA933,"")</f>
        <v>0</v>
      </c>
      <c r="J933" s="28" t="n">
        <f>IF(AND(COUNT(AF933,AG933,AH933)=3,AF933&gt;=AG933,AG933&gt;=0,AH933=14),AF933-AG933,"")</f>
        <v>0</v>
      </c>
      <c r="K933" s="28" t="n">
        <f>IF(AND(COUNT(AL933,AM933,AN933)=3,AL933&gt;=AM933,AM933&gt;=0,AN933=30),AL933-AM933,"")</f>
        <v>0</v>
      </c>
      <c r="L933" s="29" t="n">
        <f>IF(ISNUMBER(BI933),BI933/90,"")</f>
        <v>0</v>
      </c>
      <c r="M933" s="28" t="n">
        <v>0</v>
      </c>
      <c r="N933" s="28" t="n">
        <v>0</v>
      </c>
      <c r="O933" s="28" t="n">
        <v>0</v>
      </c>
      <c r="P933" s="30" t="str">
        <f>IF(AND(ISNUMBER(L933),L933&gt;0,COUNT(M933:O933)=3,MIN(M933:O933)&gt;=0),SUM(M933:O933)/L933,"")</f>
      </c>
      <c r="Q933" s="16" t="str">
        <v>沿用原计划SKU店铺</v>
      </c>
      <c r="R933" s="16" t="str">
        <v>未匹配</v>
      </c>
      <c r="S933" s="16" t="str">
        <v>停售</v>
      </c>
      <c r="T933" s="16" t="str">
        <v>B06</v>
      </c>
      <c r="U933" s="16" t="str">
        <v>粉色羊京绒</v>
      </c>
      <c r="V933" s="16" t="n">
        <v>10.5</v>
      </c>
      <c r="W933" s="8" t="str">
        <v>2026-10-08 至 2026-10-17</v>
      </c>
      <c r="X933" s="8" t="str">
        <v>2026-10-08、2026-10-09、2026-10-10、2026-10-11、2026-10-14、2026-10-15、2026-10-17</v>
      </c>
      <c r="Y933" s="8" t="str">
        <v>2026-10-12 有记录的停售日；2026-10-13 有记录的停售日；2026-10-16 有记录的停售日</v>
      </c>
      <c r="Z933" s="8" t="n">
        <v>0</v>
      </c>
      <c r="AA933" s="8" t="n">
        <v>0</v>
      </c>
      <c r="AB933" s="8" t="n">
        <v>7</v>
      </c>
      <c r="AC933" s="8" t="str">
        <v>2026-09-29 至 2026-10-17</v>
      </c>
      <c r="AD933" s="8" t="str">
        <v>2026-09-29、2026-09-30、2026-10-01、2026-10-02、2026-10-03、2026-10-04、2026-10-05、2026-10-08、2026-10-09、2026-10-10、2026-10-11、2026-10-14、2026-10-15、2026-10-17</v>
      </c>
      <c r="AE933" s="8" t="str">
        <v>2026-10-06 大促；2026-10-07 大促；2026-10-12 有记录的停售日；2026-10-13 有记录的停售日；2026-10-16 有记录的停售日</v>
      </c>
      <c r="AF933" s="8" t="n">
        <v>0</v>
      </c>
      <c r="AG933" s="8" t="n">
        <v>0</v>
      </c>
      <c r="AH933" s="8" t="n">
        <v>14</v>
      </c>
      <c r="AI933" s="8" t="str">
        <v>2026-09-13 至 2026-10-17</v>
      </c>
      <c r="AJ9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33" s="8" t="str">
        <v>2026-10-06 大促；2026-10-07 大促；2026-10-12 有记录的停售日；2026-10-13 有记录的停售日；2026-10-16 有记录的停售日</v>
      </c>
      <c r="AL933" s="8" t="n">
        <v>0</v>
      </c>
      <c r="AM933" s="8" t="n">
        <v>0</v>
      </c>
      <c r="AN933" s="8" t="n">
        <v>30</v>
      </c>
      <c r="AO933" s="8" t="str">
        <v>B06 / 粉色羊京绒 / 13120</v>
      </c>
      <c r="AP933" s="11" t="n">
        <v>1.2247029157699902</v>
      </c>
      <c r="AQ933" s="11" t="n">
        <v>1.1929861014741694</v>
      </c>
      <c r="AR933" s="11" t="n">
        <v>1.0914922957275428</v>
      </c>
      <c r="AS933" s="11" t="n">
        <f>IF(AND(COUNT(I933:K933,AP933:AR933)=6,MIN(AP933:AR933)&gt;0),I933/7/AP933*0.5+J933/14/AQ933*0.3+K933/30/AR933*0.2,"")</f>
        <v>0</v>
      </c>
      <c r="AT933" s="8" t="n">
        <v>0</v>
      </c>
      <c r="AU933" s="8" t="n">
        <v>0</v>
      </c>
      <c r="AV933" s="8" t="n">
        <v>85</v>
      </c>
      <c r="AW933" s="11" t="n">
        <f>IF(AND(COUNT(AT933:AV933)=3,AT933&gt;=AU933,AU933&gt;=0,AV933&gt;0),(AT933-AU933)/AV933,"")</f>
        <v>0</v>
      </c>
      <c r="AX933" s="8" t="n">
        <v>0</v>
      </c>
      <c r="AY933" s="8" t="n">
        <v>0</v>
      </c>
      <c r="AZ933" s="8" t="n">
        <v>175</v>
      </c>
      <c r="BA933" s="11" t="n">
        <f>IF(AND(COUNT(AX933:AZ933)=3,AX933&gt;=AY933,AY933&gt;=0,AZ933&gt;0),(AX933-AY933)/AZ933,"")</f>
        <v>0</v>
      </c>
      <c r="BB933" s="8" t="n">
        <f>IF(COUNT(AS933,AW933,BA933)=3,1,0)</f>
        <v>1</v>
      </c>
      <c r="BC933" s="11" t="n">
        <f>IF(SUMIF($AO$11:$AO$1309,AO933,$BB$11:$BB$1309)=COUNTIF($AO$11:$AO$1309,AO933),SUMIF($AO$11:$AO$1309,AO933,$AS$11:$AS$1309),"")</f>
        <v>0.14161497208377494</v>
      </c>
      <c r="BD933" s="11" t="n">
        <f>IF(SUMIF($AO$11:$AO$1309,AO933,$BB$11:$BB$1309)=COUNTIF($AO$11:$AO$1309,AO933),SUMIF($AO$11:$AO$1309,AO933,$AW$11:$AW$1309),"")</f>
        <v>0.27671030794763046</v>
      </c>
      <c r="BE933" s="11" t="n">
        <f>IF(SUMIF($AO$11:$AO$1309,AO933,$BB$11:$BB$1309)=COUNTIF($AO$11:$AO$1309,AO933),SUMIF($AO$11:$AO$1309,AO933,$BA$11:$BA$1309),"")</f>
        <v>0.32217609344251885</v>
      </c>
      <c r="BF933" s="12" t="n">
        <f>IF(COUNT(BD933:BE933)&lt;&gt;2,"",IF(AND(BD933&gt;0,BE933&gt;0),0.7*AW933/BD933+0.3*BA933/BE933,IF(BD933&gt;0,AW933/BD933,IF(BE933&gt;0,BA933/BE933,IF(AND(ISNUMBER(BH933),BH933=0),0,"")))))</f>
        <v>0</v>
      </c>
      <c r="BG933" s="11" t="n">
        <f>IF(AND(COUNT(BN933:BU933)=8,MIN(BN933:BU933)&gt;=0),SUMPRODUCT(BN933:BQ933,BR933:BU933),"")</f>
        <v>73.80791239847399</v>
      </c>
      <c r="BH933" s="11" t="n">
        <f>IF(COUNT(BC933,BG933)=2,BC933*BG933,"")</f>
        <v>10.4523054538716</v>
      </c>
      <c r="BI933" s="11" t="n">
        <f>IF(ISNUMBER(CI933),CI933,"")</f>
        <v>0</v>
      </c>
      <c r="BJ933" s="8" t="str">
        <v>近180天本色销量61双（＜90），无有效新采购，请运营判断</v>
      </c>
      <c r="BK933" s="8" t="str">
        <v>90天：2026-07-20 至 2026-10-17；180天：2026-04-21 至 2026-10-17</v>
      </c>
      <c r="BL933" s="8" t="str">
        <v>90天：2026-10-06、2026-10-07、2026-10-12、2026-10-13、2026-10-16；180天：2026-10-06、2026-10-07、2026-10-12、2026-10-13、2026-10-16</v>
      </c>
      <c r="BM933" s="8" t="str">
        <v>2026-10：12天 × 1.2247029157699902；2026-11：30天 × 0.8332682139098497；2026-12：31天 × 0.5511018253564084；2027-01：17天 × 1.0017220238758797</v>
      </c>
      <c r="BN933" s="11" t="n">
        <v>1.2247029157699902</v>
      </c>
      <c r="BO933" s="11" t="n">
        <v>0.8332682139098497</v>
      </c>
      <c r="BP933" s="11" t="n">
        <v>0.5511018253564084</v>
      </c>
      <c r="BQ933" s="11" t="n">
        <v>1.0017220238758797</v>
      </c>
      <c r="BR933" s="8" t="n">
        <v>12</v>
      </c>
      <c r="BS933" s="8" t="n">
        <v>30</v>
      </c>
      <c r="BT933" s="8" t="n">
        <v>31</v>
      </c>
      <c r="BU933" s="8" t="n">
        <v>17</v>
      </c>
      <c r="BV933" s="11" t="n">
        <f>IF(COUNT(BC933,BF933)=2,BC933*BF933,"")</f>
        <v>0</v>
      </c>
      <c r="BW933" s="11" t="n">
        <f>IF(ISNUMBER(BN933),BN933,"")</f>
        <v>1.2247029157699902</v>
      </c>
      <c r="BX933" s="14" t="n">
        <f>IF(ISNUMBER(BR933),BR933,"")</f>
        <v>12</v>
      </c>
      <c r="BY933" s="13" t="n">
        <f>IF(AND(COUNT(BV933,BW933,BX933)=3,MIN(BV933,BW933,BX933)&gt;=0),BV933*BW933*BX933,"")</f>
        <v>0</v>
      </c>
      <c r="BZ933" s="11" t="n">
        <f>IF(ISNUMBER(BO933),BO933,"")</f>
        <v>0.8332682139098497</v>
      </c>
      <c r="CA933" s="14" t="n">
        <f>IF(ISNUMBER(BS933),BS933,"")</f>
        <v>30</v>
      </c>
      <c r="CB933" s="13" t="n">
        <f>IF(AND(COUNT(BV933,BZ933,CA933)=3,MIN(BV933,BZ933,CA933)&gt;=0),BV933*BZ933*CA933,"")</f>
        <v>0</v>
      </c>
      <c r="CC933" s="11" t="n">
        <f>IF(ISNUMBER(BP933),BP933,"")</f>
        <v>0.5511018253564084</v>
      </c>
      <c r="CD933" s="14" t="n">
        <f>IF(ISNUMBER(BT933),BT933,"")</f>
        <v>31</v>
      </c>
      <c r="CE933" s="13" t="n">
        <f>IF(AND(COUNT(BV933,CC933,CD933)=3,MIN(BV933,CC933,CD933)&gt;=0),BV933*CC933*CD933,"")</f>
        <v>0</v>
      </c>
      <c r="CF933" s="11" t="n">
        <f>IF(ISNUMBER(BQ933),BQ933,"")</f>
        <v>1.0017220238758797</v>
      </c>
      <c r="CG933" s="14" t="n">
        <f>IF(ISNUMBER(BU933),BU933,"")</f>
        <v>17</v>
      </c>
      <c r="CH933" s="13" t="n">
        <f>IF(AND(COUNT(BV933,CF933,CG933)=3,MIN(BV933,CF933,CG933)&gt;=0),BV933*CF933*CG933,"")</f>
        <v>0</v>
      </c>
      <c r="CI933" s="13" t="n">
        <f>IF(COUNT(BY933,CB933,CE933,CH933)=4,SUM(BY933,CB933,CE933,CH933),"")</f>
        <v>0</v>
      </c>
    </row>
    <row r="934" ht="72" customHeight="1">
      <c r="A934" s="16" t="str">
        <v>B06-PK-42</v>
      </c>
      <c r="B934" s="16" t="str">
        <v>1店-MUSSHOE-US</v>
      </c>
      <c r="C934" s="16" t="str">
        <v>艾年</v>
      </c>
      <c r="D934" s="26" t="n">
        <f>IF(NOT(ISNUMBER(E934)),"",IF(OR(E934&lt;=0,L934=0),0,IF(OR(NOT(ISNUMBER(F934)),F934&lt;0),"",MIN(E934,INT(F934)))))</f>
        <v>0</v>
      </c>
      <c r="E934" s="27" t="n">
        <f>IF(OR(NOT(ISNUMBER(L934)),COUNT(M934:O934)&lt;&gt;3,MIN(M934:O934)&lt;0),"",ROUNDUP(ROUND(BI934-SUM(M934:O934),10),0))</f>
        <v>0</v>
      </c>
      <c r="F934" s="28" t="n">
        <v>0</v>
      </c>
      <c r="G934" s="28" t="n">
        <f>IF(AND(ISNUMBER(D934),ISNUMBER(E934)),IF(OR(E934&lt;=0,L934=0),0,E934-D934),"")</f>
        <v>0</v>
      </c>
      <c r="H934" s="16" t="str">
        <f>IF(NOT(ISNUMBER(E934)),"销量或海外库存待补",IF(OR(E934&lt;=0,L934=0),IF(L934=0,"零日销，本批不发","本批无需补货"),IF(NOT(ISNUMBER(D934)),"国内库存待补",IF(D934=0,"国内无可用库存",IF(G934&gt;0,"先发国内现货","按建议量发货")))))</f>
        <v>零日销，本批不发</v>
      </c>
      <c r="I934" s="28" t="n">
        <f>IF(AND(COUNT(Z934,AA934,AB934)=3,Z934&gt;=AA934,AA934&gt;=0,AB934=7),Z934-AA934,"")</f>
        <v>0</v>
      </c>
      <c r="J934" s="28" t="n">
        <f>IF(AND(COUNT(AF934,AG934,AH934)=3,AF934&gt;=AG934,AG934&gt;=0,AH934=14),AF934-AG934,"")</f>
        <v>0</v>
      </c>
      <c r="K934" s="28" t="n">
        <f>IF(AND(COUNT(AL934,AM934,AN934)=3,AL934&gt;=AM934,AM934&gt;=0,AN934=30),AL934-AM934,"")</f>
        <v>0</v>
      </c>
      <c r="L934" s="29" t="n">
        <f>IF(ISNUMBER(BI934),BI934/90,"")</f>
        <v>0</v>
      </c>
      <c r="M934" s="28" t="n">
        <v>0</v>
      </c>
      <c r="N934" s="28" t="n">
        <v>0</v>
      </c>
      <c r="O934" s="28" t="n">
        <v>0</v>
      </c>
      <c r="P934" s="30" t="str">
        <f>IF(AND(ISNUMBER(L934),L934&gt;0,COUNT(M934:O934)=3,MIN(M934:O934)&gt;=0),SUM(M934:O934)/L934,"")</f>
      </c>
      <c r="Q934" s="16" t="str">
        <v>沿用原计划SKU店铺</v>
      </c>
      <c r="R934" s="16" t="str">
        <v>已匹配</v>
      </c>
      <c r="S934" s="16" t="str">
        <v>停售</v>
      </c>
      <c r="T934" s="16" t="str">
        <v>B06</v>
      </c>
      <c r="U934" s="16" t="str">
        <v>粉色羊京绒</v>
      </c>
      <c r="V934" s="16" t="n">
        <v>11</v>
      </c>
      <c r="W934" s="8" t="str">
        <v>2026-10-08 至 2026-10-17</v>
      </c>
      <c r="X934" s="8" t="str">
        <v>2026-10-08、2026-10-09、2026-10-10、2026-10-11、2026-10-14、2026-10-15、2026-10-17</v>
      </c>
      <c r="Y934" s="8" t="str">
        <v>2026-10-12 有记录的停售日；2026-10-13 有记录的停售日；2026-10-16 有记录的停售日</v>
      </c>
      <c r="Z934" s="8" t="n">
        <v>0</v>
      </c>
      <c r="AA934" s="8" t="n">
        <v>0</v>
      </c>
      <c r="AB934" s="8" t="n">
        <v>7</v>
      </c>
      <c r="AC934" s="8" t="str">
        <v>2026-09-29 至 2026-10-17</v>
      </c>
      <c r="AD934" s="8" t="str">
        <v>2026-09-29、2026-09-30、2026-10-01、2026-10-02、2026-10-03、2026-10-04、2026-10-05、2026-10-08、2026-10-09、2026-10-10、2026-10-11、2026-10-14、2026-10-15、2026-10-17</v>
      </c>
      <c r="AE934" s="8" t="str">
        <v>2026-10-06 大促；2026-10-07 大促；2026-10-12 有记录的停售日；2026-10-13 有记录的停售日；2026-10-16 有记录的停售日</v>
      </c>
      <c r="AF934" s="8" t="n">
        <v>0</v>
      </c>
      <c r="AG934" s="8" t="n">
        <v>0</v>
      </c>
      <c r="AH934" s="8" t="n">
        <v>14</v>
      </c>
      <c r="AI934" s="8" t="str">
        <v>2026-09-13 至 2026-10-17</v>
      </c>
      <c r="AJ93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34" s="8" t="str">
        <v>2026-10-06 大促；2026-10-07 大促；2026-10-12 有记录的停售日；2026-10-13 有记录的停售日；2026-10-16 有记录的停售日</v>
      </c>
      <c r="AL934" s="8" t="n">
        <v>0</v>
      </c>
      <c r="AM934" s="8" t="n">
        <v>0</v>
      </c>
      <c r="AN934" s="8" t="n">
        <v>30</v>
      </c>
      <c r="AO934" s="8" t="str">
        <v>B06 / 粉色羊京绒 / 13120</v>
      </c>
      <c r="AP934" s="11" t="n">
        <v>1.2247029157699902</v>
      </c>
      <c r="AQ934" s="11" t="n">
        <v>1.1929861014741694</v>
      </c>
      <c r="AR934" s="11" t="n">
        <v>1.0914922957275428</v>
      </c>
      <c r="AS934" s="11" t="n">
        <f>IF(AND(COUNT(I934:K934,AP934:AR934)=6,MIN(AP934:AR934)&gt;0),I934/7/AP934*0.5+J934/14/AQ934*0.3+K934/30/AR934*0.2,"")</f>
        <v>0</v>
      </c>
      <c r="AT934" s="8" t="n">
        <v>0</v>
      </c>
      <c r="AU934" s="8" t="n">
        <v>0</v>
      </c>
      <c r="AV934" s="8" t="n">
        <v>85</v>
      </c>
      <c r="AW934" s="11" t="n">
        <f>IF(AND(COUNT(AT934:AV934)=3,AT934&gt;=AU934,AU934&gt;=0,AV934&gt;0),(AT934-AU934)/AV934,"")</f>
        <v>0</v>
      </c>
      <c r="AX934" s="8" t="n">
        <v>0</v>
      </c>
      <c r="AY934" s="8" t="n">
        <v>0</v>
      </c>
      <c r="AZ934" s="8" t="n">
        <v>175</v>
      </c>
      <c r="BA934" s="11" t="n">
        <f>IF(AND(COUNT(AX934:AZ934)=3,AX934&gt;=AY934,AY934&gt;=0,AZ934&gt;0),(AX934-AY934)/AZ934,"")</f>
        <v>0</v>
      </c>
      <c r="BB934" s="8" t="n">
        <f>IF(COUNT(AS934,AW934,BA934)=3,1,0)</f>
        <v>1</v>
      </c>
      <c r="BC934" s="11" t="n">
        <f>IF(SUMIF($AO$11:$AO$1309,AO934,$BB$11:$BB$1309)=COUNTIF($AO$11:$AO$1309,AO934),SUMIF($AO$11:$AO$1309,AO934,$AS$11:$AS$1309),"")</f>
        <v>0.14161497208377494</v>
      </c>
      <c r="BD934" s="11" t="n">
        <f>IF(SUMIF($AO$11:$AO$1309,AO934,$BB$11:$BB$1309)=COUNTIF($AO$11:$AO$1309,AO934),SUMIF($AO$11:$AO$1309,AO934,$AW$11:$AW$1309),"")</f>
        <v>0.27671030794763046</v>
      </c>
      <c r="BE934" s="11" t="n">
        <f>IF(SUMIF($AO$11:$AO$1309,AO934,$BB$11:$BB$1309)=COUNTIF($AO$11:$AO$1309,AO934),SUMIF($AO$11:$AO$1309,AO934,$BA$11:$BA$1309),"")</f>
        <v>0.32217609344251885</v>
      </c>
      <c r="BF934" s="12" t="n">
        <f>IF(COUNT(BD934:BE934)&lt;&gt;2,"",IF(AND(BD934&gt;0,BE934&gt;0),0.7*AW934/BD934+0.3*BA934/BE934,IF(BD934&gt;0,AW934/BD934,IF(BE934&gt;0,BA934/BE934,IF(AND(ISNUMBER(BH934),BH934=0),0,"")))))</f>
        <v>0</v>
      </c>
      <c r="BG934" s="11" t="n">
        <f>IF(AND(COUNT(BN934:BU934)=8,MIN(BN934:BU934)&gt;=0),SUMPRODUCT(BN934:BQ934,BR934:BU934),"")</f>
        <v>73.80791239847399</v>
      </c>
      <c r="BH934" s="11" t="n">
        <f>IF(COUNT(BC934,BG934)=2,BC934*BG934,"")</f>
        <v>10.4523054538716</v>
      </c>
      <c r="BI934" s="11" t="n">
        <f>IF(ISNUMBER(CI934),CI934,"")</f>
        <v>0</v>
      </c>
      <c r="BJ934" s="8" t="str">
        <v>近180天本色销量61双（＜90），无有效新采购，请运营判断</v>
      </c>
      <c r="BK934" s="8" t="str">
        <v>90天：2026-07-20 至 2026-10-17；180天：2026-04-21 至 2026-10-17</v>
      </c>
      <c r="BL934" s="8" t="str">
        <v>90天：2026-10-06、2026-10-07、2026-10-12、2026-10-13、2026-10-16；180天：2026-10-06、2026-10-07、2026-10-12、2026-10-13、2026-10-16</v>
      </c>
      <c r="BM934" s="8" t="str">
        <v>2026-10：12天 × 1.2247029157699902；2026-11：30天 × 0.8332682139098497；2026-12：31天 × 0.5511018253564084；2027-01：17天 × 1.0017220238758797</v>
      </c>
      <c r="BN934" s="11" t="n">
        <v>1.2247029157699902</v>
      </c>
      <c r="BO934" s="11" t="n">
        <v>0.8332682139098497</v>
      </c>
      <c r="BP934" s="11" t="n">
        <v>0.5511018253564084</v>
      </c>
      <c r="BQ934" s="11" t="n">
        <v>1.0017220238758797</v>
      </c>
      <c r="BR934" s="8" t="n">
        <v>12</v>
      </c>
      <c r="BS934" s="8" t="n">
        <v>30</v>
      </c>
      <c r="BT934" s="8" t="n">
        <v>31</v>
      </c>
      <c r="BU934" s="8" t="n">
        <v>17</v>
      </c>
      <c r="BV934" s="11" t="n">
        <f>IF(COUNT(BC934,BF934)=2,BC934*BF934,"")</f>
        <v>0</v>
      </c>
      <c r="BW934" s="11" t="n">
        <f>IF(ISNUMBER(BN934),BN934,"")</f>
        <v>1.2247029157699902</v>
      </c>
      <c r="BX934" s="14" t="n">
        <f>IF(ISNUMBER(BR934),BR934,"")</f>
        <v>12</v>
      </c>
      <c r="BY934" s="13" t="n">
        <f>IF(AND(COUNT(BV934,BW934,BX934)=3,MIN(BV934,BW934,BX934)&gt;=0),BV934*BW934*BX934,"")</f>
        <v>0</v>
      </c>
      <c r="BZ934" s="11" t="n">
        <f>IF(ISNUMBER(BO934),BO934,"")</f>
        <v>0.8332682139098497</v>
      </c>
      <c r="CA934" s="14" t="n">
        <f>IF(ISNUMBER(BS934),BS934,"")</f>
        <v>30</v>
      </c>
      <c r="CB934" s="13" t="n">
        <f>IF(AND(COUNT(BV934,BZ934,CA934)=3,MIN(BV934,BZ934,CA934)&gt;=0),BV934*BZ934*CA934,"")</f>
        <v>0</v>
      </c>
      <c r="CC934" s="11" t="n">
        <f>IF(ISNUMBER(BP934),BP934,"")</f>
        <v>0.5511018253564084</v>
      </c>
      <c r="CD934" s="14" t="n">
        <f>IF(ISNUMBER(BT934),BT934,"")</f>
        <v>31</v>
      </c>
      <c r="CE934" s="13" t="n">
        <f>IF(AND(COUNT(BV934,CC934,CD934)=3,MIN(BV934,CC934,CD934)&gt;=0),BV934*CC934*CD934,"")</f>
        <v>0</v>
      </c>
      <c r="CF934" s="11" t="n">
        <f>IF(ISNUMBER(BQ934),BQ934,"")</f>
        <v>1.0017220238758797</v>
      </c>
      <c r="CG934" s="14" t="n">
        <f>IF(ISNUMBER(BU934),BU934,"")</f>
        <v>17</v>
      </c>
      <c r="CH934" s="13" t="n">
        <f>IF(AND(COUNT(BV934,CF934,CG934)=3,MIN(BV934,CF934,CG934)&gt;=0),BV934*CF934*CG934,"")</f>
        <v>0</v>
      </c>
      <c r="CI934" s="13" t="n">
        <f>IF(COUNT(BY934,CB934,CE934,CH934)=4,SUM(BY934,CB934,CE934,CH934),"")</f>
        <v>0</v>
      </c>
    </row>
    <row r="935" ht="72" customHeight="1">
      <c r="A935" s="16" t="str">
        <v>B06-RD-37-N</v>
      </c>
      <c r="B935" s="16" t="str">
        <v>1店-MUSSHOE-US</v>
      </c>
      <c r="C935" s="16" t="str">
        <v>艾年</v>
      </c>
      <c r="D935" s="26" t="n">
        <f>IF(NOT(ISNUMBER(E935)),"",IF(OR(E935&lt;=0,L935=0),0,IF(OR(NOT(ISNUMBER(F935)),F935&lt;0),"",MIN(E935,INT(F935)))))</f>
        <v>0</v>
      </c>
      <c r="E935" s="27" t="n">
        <f>IF(OR(NOT(ISNUMBER(L935)),COUNT(M935:O935)&lt;&gt;3,MIN(M935:O935)&lt;0),"",ROUNDUP(ROUND(BI935-SUM(M935:O935),10),0))</f>
        <v>-4</v>
      </c>
      <c r="F935" s="28" t="n">
        <v>0</v>
      </c>
      <c r="G935" s="28" t="n">
        <f>IF(AND(ISNUMBER(D935),ISNUMBER(E935)),IF(OR(E935&lt;=0,L935=0),0,E935-D935),"")</f>
        <v>0</v>
      </c>
      <c r="H935" s="16" t="str">
        <f>IF(NOT(ISNUMBER(E935)),"销量或海外库存待补",IF(OR(E935&lt;=0,L935=0),IF(L935=0,"零日销，本批不发","本批无需补货"),IF(NOT(ISNUMBER(D935)),"国内库存待补",IF(D935=0,"国内无可用库存",IF(G935&gt;0,"先发国内现货","按建议量发货")))))</f>
        <v>本批无需补货</v>
      </c>
      <c r="I935" s="28" t="n">
        <f>IF(AND(COUNT(Z935,AA935,AB935)=3,Z935&gt;=AA935,AA935&gt;=0,AB935=7),Z935-AA935,"")</f>
        <v>1</v>
      </c>
      <c r="J935" s="28" t="n">
        <f>IF(AND(COUNT(AF935,AG935,AH935)=3,AF935&gt;=AG935,AG935&gt;=0,AH935=14),AF935-AG935,"")</f>
        <v>1</v>
      </c>
      <c r="K935" s="28" t="n">
        <f>IF(AND(COUNT(AL935,AM935,AN935)=3,AL935&gt;=AM935,AM935&gt;=0,AN935=30),AL935-AM935,"")</f>
        <v>1</v>
      </c>
      <c r="L935" s="29" t="n">
        <f>IF(ISNUMBER(BI935),BI935/90,"")</f>
        <v>0.034031330163318135</v>
      </c>
      <c r="M935" s="28" t="n">
        <v>7</v>
      </c>
      <c r="N935" s="28" t="n">
        <v>0</v>
      </c>
      <c r="O935" s="28" t="n">
        <v>0</v>
      </c>
      <c r="P935" s="30" t="n">
        <f>IF(AND(ISNUMBER(L935),L935&gt;0,COUNT(M935:O935)=3,MIN(M935:O935)&gt;=0),SUM(M935:O935)/L935,"")</f>
        <v>205.69281207659628</v>
      </c>
      <c r="Q935" s="16" t="str">
        <v>沿用原计划SKU店铺</v>
      </c>
      <c r="R935" s="16" t="str">
        <v>已匹配</v>
      </c>
      <c r="S935" s="16" t="str">
        <v>在售</v>
      </c>
      <c r="T935" s="16" t="str">
        <v>B06</v>
      </c>
      <c r="U935" s="16" t="str">
        <v>红色羊京绒</v>
      </c>
      <c r="V935" s="16" t="n">
        <v>6</v>
      </c>
      <c r="W935" s="8" t="str">
        <v>2026-10-11 至 2026-10-17</v>
      </c>
      <c r="X935" s="8" t="str">
        <v>2026-10-11、2026-10-12、2026-10-13、2026-10-14、2026-10-15、2026-10-16、2026-10-17</v>
      </c>
      <c r="Y935" s="8" t="str">
        <v>无</v>
      </c>
      <c r="Z935" s="8" t="n">
        <v>1</v>
      </c>
      <c r="AA935" s="8" t="n">
        <v>0</v>
      </c>
      <c r="AB935" s="8" t="n">
        <v>7</v>
      </c>
      <c r="AC935" s="8" t="str">
        <v>2026-10-02 至 2026-10-17</v>
      </c>
      <c r="AD935" s="8" t="str">
        <v>2026-10-02、2026-10-03、2026-10-04、2026-10-05、2026-10-08、2026-10-09、2026-10-10、2026-10-11、2026-10-12、2026-10-13、2026-10-14、2026-10-15、2026-10-16、2026-10-17</v>
      </c>
      <c r="AE935" s="8" t="str">
        <v>2026-10-06 大促；2026-10-07 大促</v>
      </c>
      <c r="AF935" s="8" t="n">
        <v>1</v>
      </c>
      <c r="AG935" s="8" t="n">
        <v>0</v>
      </c>
      <c r="AH935" s="8" t="n">
        <v>14</v>
      </c>
      <c r="AI935" s="8" t="str">
        <v>2026-09-16 至 2026-10-17</v>
      </c>
      <c r="AJ9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5" s="8" t="str">
        <v>2026-10-06 大促；2026-10-07 大促</v>
      </c>
      <c r="AL935" s="8" t="n">
        <v>1</v>
      </c>
      <c r="AM935" s="8" t="n">
        <v>0</v>
      </c>
      <c r="AN935" s="8" t="n">
        <v>30</v>
      </c>
      <c r="AO935" s="8" t="str">
        <v>B06 / 红色羊京绒 / 13120</v>
      </c>
      <c r="AP935" s="11" t="n">
        <v>1.2247029157699902</v>
      </c>
      <c r="AQ935" s="11" t="n">
        <v>1.2247029157699902</v>
      </c>
      <c r="AR935" s="11" t="n">
        <v>1.1136940657346173</v>
      </c>
      <c r="AS935" s="11" t="n">
        <f>IF(AND(COUNT(I935:K935,AP935:AR935)=6,MIN(AP935:AR935)&gt;0),I935/7/AP935*0.5+J935/14/AQ935*0.3+K935/30/AR935*0.2,"")</f>
        <v>0.08180622139339022</v>
      </c>
      <c r="AT935" s="8" t="n">
        <v>4</v>
      </c>
      <c r="AU935" s="8" t="n">
        <v>0</v>
      </c>
      <c r="AV935" s="8" t="n">
        <v>88</v>
      </c>
      <c r="AW935" s="11" t="n">
        <f>IF(AND(COUNT(AT935:AV935)=3,AT935&gt;=AU935,AU935&gt;=0,AV935&gt;0),(AT935-AU935)/AV935,"")</f>
        <v>0.045454545454545456</v>
      </c>
      <c r="AX935" s="8" t="n">
        <v>9</v>
      </c>
      <c r="AY935" s="8" t="n">
        <v>0</v>
      </c>
      <c r="AZ935" s="8" t="n">
        <v>178</v>
      </c>
      <c r="BA935" s="11" t="n">
        <f>IF(AND(COUNT(AX935:AZ935)=3,AX935&gt;=AY935,AY935&gt;=0,AZ935&gt;0),(AX935-AY935)/AZ935,"")</f>
        <v>0.05056179775280899</v>
      </c>
      <c r="BB935" s="8" t="n">
        <f>IF(COUNT(AS935,AW935,BA935)=3,1,0)</f>
        <v>1</v>
      </c>
      <c r="BC935" s="11" t="n">
        <f>IF(SUMIF($AO$11:$AO$1309,AO935,$BB$11:$BB$1309)=COUNTIF($AO$11:$AO$1309,AO935),SUMIF($AO$11:$AO$1309,AO935,$AS$11:$AS$1309),"")</f>
        <v>0.8439809959730303</v>
      </c>
      <c r="BD935" s="11" t="n">
        <f>IF(SUMIF($AO$11:$AO$1309,AO935,$BB$11:$BB$1309)=COUNTIF($AO$11:$AO$1309,AO935),SUMIF($AO$11:$AO$1309,AO935,$AW$11:$AW$1309),"")</f>
        <v>0.8696244248227831</v>
      </c>
      <c r="BE935" s="11" t="n">
        <f>IF(SUMIF($AO$11:$AO$1309,AO935,$BB$11:$BB$1309)=COUNTIF($AO$11:$AO$1309,AO935),SUMIF($AO$11:$AO$1309,AO935,$BA$11:$BA$1309),"")</f>
        <v>1.2057704654895667</v>
      </c>
      <c r="BF935" s="12" t="n">
        <f>IF(COUNT(BD935:BE935)&lt;&gt;2,"",IF(AND(BD935&gt;0,BE935&gt;0),0.7*AW935/BD935+0.3*BA935/BE935,IF(BD935&gt;0,AW935/BD935,IF(BE935&gt;0,BA935/BE935,IF(AND(ISNUMBER(BH935),BH935=0),0,"")))))</f>
        <v>0.04916837377560458</v>
      </c>
      <c r="BG935" s="11" t="n">
        <f>IF(AND(COUNT(BN935:BU935)=8,MIN(BN935:BU935)&gt;=0),SUMPRODUCT(BN935:BQ935,BR935:BU935),"")</f>
        <v>73.80791239847399</v>
      </c>
      <c r="BH935" s="11" t="n">
        <f>IF(COUNT(BC935,BG935)=2,BC935*BG935,"")</f>
        <v>62.29247541675425</v>
      </c>
      <c r="BI935" s="11" t="n">
        <f>IF(ISNUMBER(CI935),CI935,"")</f>
        <v>3.0628197146986325</v>
      </c>
      <c r="BJ935" s="8" t="str">
        <v>低销提醒依据不完整</v>
      </c>
      <c r="BK935" s="8" t="str">
        <v>90天：2026-07-20 至 2026-10-17；180天：2026-04-21 至 2026-10-17</v>
      </c>
      <c r="BL935" s="8" t="str">
        <v>90天：2026-10-06、2026-10-07；180天：2026-10-06、2026-10-07</v>
      </c>
      <c r="BM935" s="8" t="str">
        <v>2026-10：12天 × 1.2247029157699902；2026-11：30天 × 0.8332682139098497；2026-12：31天 × 0.5511018253564084；2027-01：17天 × 1.0017220238758797</v>
      </c>
      <c r="BN935" s="11" t="n">
        <v>1.2247029157699902</v>
      </c>
      <c r="BO935" s="11" t="n">
        <v>0.8332682139098497</v>
      </c>
      <c r="BP935" s="11" t="n">
        <v>0.5511018253564084</v>
      </c>
      <c r="BQ935" s="11" t="n">
        <v>1.0017220238758797</v>
      </c>
      <c r="BR935" s="8" t="n">
        <v>12</v>
      </c>
      <c r="BS935" s="8" t="n">
        <v>30</v>
      </c>
      <c r="BT935" s="8" t="n">
        <v>31</v>
      </c>
      <c r="BU935" s="8" t="n">
        <v>17</v>
      </c>
      <c r="BV935" s="11" t="n">
        <f>IF(COUNT(BC935,BF935)=2,BC935*BF935,"")</f>
        <v>0.04149717306950898</v>
      </c>
      <c r="BW935" s="11" t="n">
        <f>IF(ISNUMBER(BN935),BN935,"")</f>
        <v>1.2247029157699902</v>
      </c>
      <c r="BX935" s="14" t="n">
        <f>IF(ISNUMBER(BR935),BR935,"")</f>
        <v>12</v>
      </c>
      <c r="BY935" s="13" t="n">
        <f>IF(AND(COUNT(BV935,BW935,BX935)=3,MIN(BV935,BW935,BX935)&gt;=0),BV935*BW935*BX935,"")</f>
        <v>0.6098605062532747</v>
      </c>
      <c r="BZ935" s="11" t="n">
        <f>IF(ISNUMBER(BO935),BO935,"")</f>
        <v>0.8332682139098497</v>
      </c>
      <c r="CA935" s="14" t="n">
        <f>IF(ISNUMBER(BS935),BS935,"")</f>
        <v>30</v>
      </c>
      <c r="CB935" s="13" t="n">
        <f>IF(AND(COUNT(BV935,BZ935,CA935)=3,MIN(BV935,BZ935,CA935)&gt;=0),BV935*BZ935*CA935,"")</f>
        <v>1.0373482585781297</v>
      </c>
      <c r="CC935" s="11" t="n">
        <f>IF(ISNUMBER(BP935),BP935,"")</f>
        <v>0.5511018253564084</v>
      </c>
      <c r="CD935" s="14" t="n">
        <f>IF(ISNUMBER(BT935),BT935,"")</f>
        <v>31</v>
      </c>
      <c r="CE935" s="13" t="n">
        <f>IF(AND(COUNT(BV935,CC935,CD935)=3,MIN(BV935,CC935,CD935)&gt;=0),BV935*CC935*CD935,"")</f>
        <v>0.708944202597853</v>
      </c>
      <c r="CF935" s="11" t="n">
        <f>IF(ISNUMBER(BQ935),BQ935,"")</f>
        <v>1.0017220238758797</v>
      </c>
      <c r="CG935" s="14" t="n">
        <f>IF(ISNUMBER(BU935),BU935,"")</f>
        <v>17</v>
      </c>
      <c r="CH935" s="13" t="n">
        <f>IF(AND(COUNT(BV935,CF935,CG935)=3,MIN(BV935,CF935,CG935)&gt;=0),BV935*CF935*CG935,"")</f>
        <v>0.7066667472693752</v>
      </c>
      <c r="CI935" s="13" t="n">
        <f>IF(COUNT(BY935,CB935,CE935,CH935)=4,SUM(BY935,CB935,CE935,CH935),"")</f>
        <v>3.0628197146986325</v>
      </c>
    </row>
    <row r="936" ht="72" customHeight="1">
      <c r="A936" s="16" t="str">
        <v>B06-RD-37.5</v>
      </c>
      <c r="B936" s="16" t="str">
        <v>1店-MUSSHOE-US</v>
      </c>
      <c r="C936" s="16" t="str">
        <v>艾年</v>
      </c>
      <c r="D936" s="26" t="n">
        <f>IF(NOT(ISNUMBER(E936)),"",IF(OR(E936&lt;=0,L936=0),0,IF(OR(NOT(ISNUMBER(F936)),F936&lt;0),"",MIN(E936,INT(F936)))))</f>
        <v>0</v>
      </c>
      <c r="E936" s="27" t="n">
        <f>IF(OR(NOT(ISNUMBER(L936)),COUNT(M936:O936)&lt;&gt;3,MIN(M936:O936)&lt;0),"",ROUNDUP(ROUND(BI936-SUM(M936:O936),10),0))</f>
        <v>-16</v>
      </c>
      <c r="F936" s="28" t="n">
        <v>33</v>
      </c>
      <c r="G936" s="28" t="n">
        <f>IF(AND(ISNUMBER(D936),ISNUMBER(E936)),IF(OR(E936&lt;=0,L936=0),0,E936-D936),"")</f>
        <v>0</v>
      </c>
      <c r="H936" s="16" t="str">
        <f>IF(NOT(ISNUMBER(E936)),"销量或海外库存待补",IF(OR(E936&lt;=0,L936=0),IF(L936=0,"零日销，本批不发","本批无需补货"),IF(NOT(ISNUMBER(D936)),"国内库存待补",IF(D936=0,"国内无可用库存",IF(G936&gt;0,"先发国内现货","按建议量发货")))))</f>
        <v>本批无需补货</v>
      </c>
      <c r="I936" s="28" t="n">
        <f>IF(AND(COUNT(Z936,AA936,AB936)=3,Z936&gt;=AA936,AA936&gt;=0,AB936=7),Z936-AA936,"")</f>
        <v>0</v>
      </c>
      <c r="J936" s="28" t="n">
        <f>IF(AND(COUNT(AF936,AG936,AH936)=3,AF936&gt;=AG936,AG936&gt;=0,AH936=14),AF936-AG936,"")</f>
        <v>1</v>
      </c>
      <c r="K936" s="28" t="n">
        <f>IF(AND(COUNT(AL936,AM936,AN936)=3,AL936&gt;=AM936,AM936&gt;=0,AN936=30),AL936-AM936,"")</f>
        <v>2</v>
      </c>
      <c r="L936" s="29" t="n">
        <f>IF(ISNUMBER(BI936),BI936/90,"")</f>
        <v>0.021369201725778903</v>
      </c>
      <c r="M936" s="28" t="n">
        <v>17</v>
      </c>
      <c r="N936" s="28" t="n">
        <v>0</v>
      </c>
      <c r="O936" s="28" t="n">
        <v>0</v>
      </c>
      <c r="P936" s="30" t="n">
        <f>IF(AND(ISNUMBER(L936),L936&gt;0,COUNT(M936:O936)=3,MIN(M936:O936)&gt;=0),SUM(M936:O936)/L936,"")</f>
        <v>795.5374383261083</v>
      </c>
      <c r="Q936" s="16" t="str">
        <v>沿用原计划SKU店铺</v>
      </c>
      <c r="R936" s="16" t="str">
        <v>已匹配</v>
      </c>
      <c r="S936" s="16" t="str">
        <v>在售</v>
      </c>
      <c r="T936" s="16" t="str">
        <v>B06</v>
      </c>
      <c r="U936" s="16" t="str">
        <v>红色羊京绒</v>
      </c>
      <c r="V936" s="16" t="n">
        <v>6.5</v>
      </c>
      <c r="W936" s="8" t="str">
        <v>2026-10-11 至 2026-10-17</v>
      </c>
      <c r="X936" s="8" t="str">
        <v>2026-10-11、2026-10-12、2026-10-13、2026-10-14、2026-10-15、2026-10-16、2026-10-17</v>
      </c>
      <c r="Y936" s="8" t="str">
        <v>无</v>
      </c>
      <c r="Z936" s="8" t="n">
        <v>0</v>
      </c>
      <c r="AA936" s="8" t="n">
        <v>0</v>
      </c>
      <c r="AB936" s="8" t="n">
        <v>7</v>
      </c>
      <c r="AC936" s="8" t="str">
        <v>2026-10-02 至 2026-10-17</v>
      </c>
      <c r="AD936" s="8" t="str">
        <v>2026-10-02、2026-10-03、2026-10-04、2026-10-05、2026-10-08、2026-10-09、2026-10-10、2026-10-11、2026-10-12、2026-10-13、2026-10-14、2026-10-15、2026-10-16、2026-10-17</v>
      </c>
      <c r="AE936" s="8" t="str">
        <v>2026-10-06 大促；2026-10-07 大促</v>
      </c>
      <c r="AF936" s="8" t="n">
        <v>1</v>
      </c>
      <c r="AG936" s="8" t="n">
        <v>0</v>
      </c>
      <c r="AH936" s="8" t="n">
        <v>14</v>
      </c>
      <c r="AI936" s="8" t="str">
        <v>2026-09-16 至 2026-10-17</v>
      </c>
      <c r="AJ9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6" s="8" t="str">
        <v>2026-10-06 大促；2026-10-07 大促</v>
      </c>
      <c r="AL936" s="8" t="n">
        <v>2</v>
      </c>
      <c r="AM936" s="8" t="n">
        <v>0</v>
      </c>
      <c r="AN936" s="8" t="n">
        <v>30</v>
      </c>
      <c r="AO936" s="8" t="str">
        <v>B06 / 红色羊京绒 / 13120</v>
      </c>
      <c r="AP936" s="11" t="n">
        <v>1.2247029157699902</v>
      </c>
      <c r="AQ936" s="11" t="n">
        <v>1.2247029157699902</v>
      </c>
      <c r="AR936" s="11" t="n">
        <v>1.1136940657346173</v>
      </c>
      <c r="AS936" s="11" t="n">
        <f>IF(AND(COUNT(I936:K936,AP936:AR936)=6,MIN(AP936:AR936)&gt;0),I936/7/AP936*0.5+J936/14/AQ936*0.3+K936/30/AR936*0.2,"")</f>
        <v>0.02946912348029766</v>
      </c>
      <c r="AT936" s="8" t="n">
        <v>2</v>
      </c>
      <c r="AU936" s="8" t="n">
        <v>0</v>
      </c>
      <c r="AV936" s="8" t="n">
        <v>88</v>
      </c>
      <c r="AW936" s="11" t="n">
        <f>IF(AND(COUNT(AT936:AV936)=3,AT936&gt;=AU936,AU936&gt;=0,AV936&gt;0),(AT936-AU936)/AV936,"")</f>
        <v>0.022727272727272728</v>
      </c>
      <c r="AX936" s="8" t="n">
        <v>9</v>
      </c>
      <c r="AY936" s="8" t="n">
        <v>0</v>
      </c>
      <c r="AZ936" s="8" t="n">
        <v>178</v>
      </c>
      <c r="BA936" s="11" t="n">
        <f>IF(AND(COUNT(AX936:AZ936)=3,AX936&gt;=AY936,AY936&gt;=0,AZ936&gt;0),(AX936-AY936)/AZ936,"")</f>
        <v>0.05056179775280899</v>
      </c>
      <c r="BB936" s="8" t="n">
        <f>IF(COUNT(AS936,AW936,BA936)=3,1,0)</f>
        <v>1</v>
      </c>
      <c r="BC936" s="11" t="n">
        <f>IF(SUMIF($AO$11:$AO$1309,AO936,$BB$11:$BB$1309)=COUNTIF($AO$11:$AO$1309,AO936),SUMIF($AO$11:$AO$1309,AO936,$AS$11:$AS$1309),"")</f>
        <v>0.8439809959730303</v>
      </c>
      <c r="BD936" s="11" t="n">
        <f>IF(SUMIF($AO$11:$AO$1309,AO936,$BB$11:$BB$1309)=COUNTIF($AO$11:$AO$1309,AO936),SUMIF($AO$11:$AO$1309,AO936,$AW$11:$AW$1309),"")</f>
        <v>0.8696244248227831</v>
      </c>
      <c r="BE936" s="11" t="n">
        <f>IF(SUMIF($AO$11:$AO$1309,AO936,$BB$11:$BB$1309)=COUNTIF($AO$11:$AO$1309,AO936),SUMIF($AO$11:$AO$1309,AO936,$BA$11:$BA$1309),"")</f>
        <v>1.2057704654895667</v>
      </c>
      <c r="BF936" s="12" t="n">
        <f>IF(COUNT(BD936:BE936)&lt;&gt;2,"",IF(AND(BD936&gt;0,BE936&gt;0),0.7*AW936/BD936+0.3*BA936/BE936,IF(BD936&gt;0,AW936/BD936,IF(BE936&gt;0,BA936/BE936,IF(AND(ISNUMBER(BH936),BH936=0),0,"")))))</f>
        <v>0.030874164856239245</v>
      </c>
      <c r="BG936" s="11" t="n">
        <f>IF(AND(COUNT(BN936:BU936)=8,MIN(BN936:BU936)&gt;=0),SUMPRODUCT(BN936:BQ936,BR936:BU936),"")</f>
        <v>73.80791239847399</v>
      </c>
      <c r="BH936" s="11" t="n">
        <f>IF(COUNT(BC936,BG936)=2,BC936*BG936,"")</f>
        <v>62.29247541675425</v>
      </c>
      <c r="BI936" s="11" t="n">
        <f>IF(ISNUMBER(CI936),CI936,"")</f>
        <v>1.9232281553201014</v>
      </c>
      <c r="BJ936" s="8" t="str">
        <v>低销提醒依据不完整</v>
      </c>
      <c r="BK936" s="8" t="str">
        <v>90天：2026-07-20 至 2026-10-17；180天：2026-04-21 至 2026-10-17</v>
      </c>
      <c r="BL936" s="8" t="str">
        <v>90天：2026-10-06、2026-10-07；180天：2026-10-06、2026-10-07</v>
      </c>
      <c r="BM936" s="8" t="str">
        <v>2026-10：12天 × 1.2247029157699902；2026-11：30天 × 0.8332682139098497；2026-12：31天 × 0.5511018253564084；2027-01：17天 × 1.0017220238758797</v>
      </c>
      <c r="BN936" s="11" t="n">
        <v>1.2247029157699902</v>
      </c>
      <c r="BO936" s="11" t="n">
        <v>0.8332682139098497</v>
      </c>
      <c r="BP936" s="11" t="n">
        <v>0.5511018253564084</v>
      </c>
      <c r="BQ936" s="11" t="n">
        <v>1.0017220238758797</v>
      </c>
      <c r="BR936" s="8" t="n">
        <v>12</v>
      </c>
      <c r="BS936" s="8" t="n">
        <v>30</v>
      </c>
      <c r="BT936" s="8" t="n">
        <v>31</v>
      </c>
      <c r="BU936" s="8" t="n">
        <v>17</v>
      </c>
      <c r="BV936" s="11" t="n">
        <f>IF(COUNT(BC936,BF936)=2,BC936*BF936,"")</f>
        <v>0.02605720840520433</v>
      </c>
      <c r="BW936" s="11" t="n">
        <f>IF(ISNUMBER(BN936),BN936,"")</f>
        <v>1.2247029157699902</v>
      </c>
      <c r="BX936" s="14" t="n">
        <f>IF(ISNUMBER(BR936),BR936,"")</f>
        <v>12</v>
      </c>
      <c r="BY936" s="13" t="n">
        <f>IF(AND(COUNT(BV936,BW936,BX936)=3,MIN(BV936,BW936,BX936)&gt;=0),BV936*BW936*BX936,"")</f>
        <v>0.3829480693281605</v>
      </c>
      <c r="BZ936" s="11" t="n">
        <f>IF(ISNUMBER(BO936),BO936,"")</f>
        <v>0.8332682139098497</v>
      </c>
      <c r="CA936" s="14" t="n">
        <f>IF(ISNUMBER(BS936),BS936,"")</f>
        <v>30</v>
      </c>
      <c r="CB936" s="13" t="n">
        <f>IF(AND(COUNT(BV936,BZ936,CA936)=3,MIN(BV936,BZ936,CA936)&gt;=0),BV936*BZ936*CA936,"")</f>
        <v>0.65137930521844</v>
      </c>
      <c r="CC936" s="11" t="n">
        <f>IF(ISNUMBER(BP936),BP936,"")</f>
        <v>0.5511018253564084</v>
      </c>
      <c r="CD936" s="14" t="n">
        <f>IF(ISNUMBER(BT936),BT936,"")</f>
        <v>31</v>
      </c>
      <c r="CE936" s="13" t="n">
        <f>IF(AND(COUNT(BV936,CC936,CD936)=3,MIN(BV936,CC936,CD936)&gt;=0),BV936*CC936*CD936,"")</f>
        <v>0.44516542858981406</v>
      </c>
      <c r="CF936" s="11" t="n">
        <f>IF(ISNUMBER(BQ936),BQ936,"")</f>
        <v>1.0017220238758797</v>
      </c>
      <c r="CG936" s="14" t="n">
        <f>IF(ISNUMBER(BU936),BU936,"")</f>
        <v>17</v>
      </c>
      <c r="CH936" s="13" t="n">
        <f>IF(AND(COUNT(BV936,CF936,CG936)=3,MIN(BV936,CF936,CG936)&gt;=0),BV936*CF936*CG936,"")</f>
        <v>0.4437353521836867</v>
      </c>
      <c r="CI936" s="13" t="n">
        <f>IF(COUNT(BY936,CB936,CE936,CH936)=4,SUM(BY936,CB936,CE936,CH936),"")</f>
        <v>1.9232281553201014</v>
      </c>
    </row>
    <row r="937" ht="72" customHeight="1">
      <c r="A937" s="16" t="str">
        <v>B06-RD-38.5</v>
      </c>
      <c r="B937" s="16" t="str">
        <v>1店-MUSSHOE-US</v>
      </c>
      <c r="C937" s="16" t="str">
        <v>艾年</v>
      </c>
      <c r="D937" s="26" t="n">
        <f>IF(NOT(ISNUMBER(E937)),"",IF(OR(E937&lt;=0,L937=0),0,IF(OR(NOT(ISNUMBER(F937)),F937&lt;0),"",MIN(E937,INT(F937)))))</f>
        <v>0</v>
      </c>
      <c r="E937" s="27" t="n">
        <f>IF(OR(NOT(ISNUMBER(L937)),COUNT(M937:O937)&lt;&gt;3,MIN(M937:O937)&lt;0),"",ROUNDUP(ROUND(BI937-SUM(M937:O937),10),0))</f>
        <v>-9</v>
      </c>
      <c r="F937" s="28" t="n">
        <v>100</v>
      </c>
      <c r="G937" s="28" t="n">
        <f>IF(AND(ISNUMBER(D937),ISNUMBER(E937)),IF(OR(E937&lt;=0,L937=0),0,E937-D937),"")</f>
        <v>0</v>
      </c>
      <c r="H937" s="16" t="str">
        <f>IF(NOT(ISNUMBER(E937)),"销量或海外库存待补",IF(OR(E937&lt;=0,L937=0),IF(L937=0,"零日销，本批不发","本批无需补货"),IF(NOT(ISNUMBER(D937)),"国内库存待补",IF(D937=0,"国内无可用库存",IF(G937&gt;0,"先发国内现货","按建议量发货")))))</f>
        <v>本批无需补货</v>
      </c>
      <c r="I937" s="28" t="n">
        <f>IF(AND(COUNT(Z937,AA937,AB937)=3,Z937&gt;=AA937,AA937&gt;=0,AB937=7),Z937-AA937,"")</f>
        <v>0</v>
      </c>
      <c r="J937" s="28" t="n">
        <f>IF(AND(COUNT(AF937,AG937,AH937)=3,AF937&gt;=AG937,AG937&gt;=0,AH937=14),AF937-AG937,"")</f>
        <v>0</v>
      </c>
      <c r="K937" s="28" t="n">
        <f>IF(AND(COUNT(AL937,AM937,AN937)=3,AL937&gt;=AM937,AM937&gt;=0,AN937=30),AL937-AM937,"")</f>
        <v>1</v>
      </c>
      <c r="L937" s="29" t="n">
        <f>IF(ISNUMBER(BI937),BI937/90,"")</f>
        <v>0.057335437064261426</v>
      </c>
      <c r="M937" s="28" t="n">
        <v>14</v>
      </c>
      <c r="N937" s="28" t="n">
        <v>0</v>
      </c>
      <c r="O937" s="28" t="n">
        <v>0</v>
      </c>
      <c r="P937" s="30" t="n">
        <f>IF(AND(ISNUMBER(L937),L937&gt;0,COUNT(M937:O937)=3,MIN(M937:O937)&gt;=0),SUM(M937:O937)/L937,"")</f>
        <v>244.17708692634247</v>
      </c>
      <c r="Q937" s="16" t="str">
        <v>沿用原计划SKU店铺</v>
      </c>
      <c r="R937" s="16" t="str">
        <v>已匹配</v>
      </c>
      <c r="S937" s="16" t="str">
        <v>在售</v>
      </c>
      <c r="T937" s="16" t="str">
        <v>B06</v>
      </c>
      <c r="U937" s="16" t="str">
        <v>红色羊京绒</v>
      </c>
      <c r="V937" s="16" t="n">
        <v>7.5</v>
      </c>
      <c r="W937" s="8" t="str">
        <v>2026-10-11 至 2026-10-17</v>
      </c>
      <c r="X937" s="8" t="str">
        <v>2026-10-11、2026-10-12、2026-10-13、2026-10-14、2026-10-15、2026-10-16、2026-10-17</v>
      </c>
      <c r="Y937" s="8" t="str">
        <v>无</v>
      </c>
      <c r="Z937" s="8" t="n">
        <v>0</v>
      </c>
      <c r="AA937" s="8" t="n">
        <v>0</v>
      </c>
      <c r="AB937" s="8" t="n">
        <v>7</v>
      </c>
      <c r="AC937" s="8" t="str">
        <v>2026-10-02 至 2026-10-17</v>
      </c>
      <c r="AD937" s="8" t="str">
        <v>2026-10-02、2026-10-03、2026-10-04、2026-10-05、2026-10-08、2026-10-09、2026-10-10、2026-10-11、2026-10-12、2026-10-13、2026-10-14、2026-10-15、2026-10-16、2026-10-17</v>
      </c>
      <c r="AE937" s="8" t="str">
        <v>2026-10-06 大促；2026-10-07 大促</v>
      </c>
      <c r="AF937" s="8" t="n">
        <v>4</v>
      </c>
      <c r="AG937" s="8" t="n">
        <v>4</v>
      </c>
      <c r="AH937" s="8" t="n">
        <v>14</v>
      </c>
      <c r="AI937" s="8" t="str">
        <v>2026-09-16 至 2026-10-17</v>
      </c>
      <c r="AJ9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7" s="8" t="str">
        <v>2026-10-06 大促；2026-10-07 大促</v>
      </c>
      <c r="AL937" s="8" t="n">
        <v>5</v>
      </c>
      <c r="AM937" s="8" t="n">
        <v>4</v>
      </c>
      <c r="AN937" s="8" t="n">
        <v>30</v>
      </c>
      <c r="AO937" s="8" t="str">
        <v>B06 / 红色羊京绒 / 13120</v>
      </c>
      <c r="AP937" s="11" t="n">
        <v>1.2247029157699902</v>
      </c>
      <c r="AQ937" s="11" t="n">
        <v>1.2247029157699902</v>
      </c>
      <c r="AR937" s="11" t="n">
        <v>1.1136940657346173</v>
      </c>
      <c r="AS937" s="11" t="n">
        <f>IF(AND(COUNT(I937:K937,AP937:AR937)=6,MIN(AP937:AR937)&gt;0),I937/7/AP937*0.5+J937/14/AQ937*0.3+K937/30/AR937*0.2,"")</f>
        <v>0.0059860843940738664</v>
      </c>
      <c r="AT937" s="8" t="n">
        <v>10</v>
      </c>
      <c r="AU937" s="8" t="n">
        <v>4</v>
      </c>
      <c r="AV937" s="8" t="n">
        <v>88</v>
      </c>
      <c r="AW937" s="11" t="n">
        <f>IF(AND(COUNT(AT937:AV937)=3,AT937&gt;=AU937,AU937&gt;=0,AV937&gt;0),(AT937-AU937)/AV937,"")</f>
        <v>0.06818181818181818</v>
      </c>
      <c r="AX937" s="8" t="n">
        <v>24</v>
      </c>
      <c r="AY937" s="8" t="n">
        <v>4</v>
      </c>
      <c r="AZ937" s="8" t="n">
        <v>178</v>
      </c>
      <c r="BA937" s="11" t="n">
        <f>IF(AND(COUNT(AX937:AZ937)=3,AX937&gt;=AY937,AY937&gt;=0,AZ937&gt;0),(AX937-AY937)/AZ937,"")</f>
        <v>0.11235955056179775</v>
      </c>
      <c r="BB937" s="8" t="n">
        <f>IF(COUNT(AS937,AW937,BA937)=3,1,0)</f>
        <v>1</v>
      </c>
      <c r="BC937" s="11" t="n">
        <f>IF(SUMIF($AO$11:$AO$1309,AO937,$BB$11:$BB$1309)=COUNTIF($AO$11:$AO$1309,AO937),SUMIF($AO$11:$AO$1309,AO937,$AS$11:$AS$1309),"")</f>
        <v>0.8439809959730303</v>
      </c>
      <c r="BD937" s="11" t="n">
        <f>IF(SUMIF($AO$11:$AO$1309,AO937,$BB$11:$BB$1309)=COUNTIF($AO$11:$AO$1309,AO937),SUMIF($AO$11:$AO$1309,AO937,$AW$11:$AW$1309),"")</f>
        <v>0.8696244248227831</v>
      </c>
      <c r="BE937" s="11" t="n">
        <f>IF(SUMIF($AO$11:$AO$1309,AO937,$BB$11:$BB$1309)=COUNTIF($AO$11:$AO$1309,AO937),SUMIF($AO$11:$AO$1309,AO937,$BA$11:$BA$1309),"")</f>
        <v>1.2057704654895667</v>
      </c>
      <c r="BF937" s="12" t="n">
        <f>IF(COUNT(BD937:BE937)&lt;&gt;2,"",IF(AND(BD937&gt;0,BE937&gt;0),0.7*AW937/BD937+0.3*BA937/BE937,IF(BD937&gt;0,AW937/BD937,IF(BE937&gt;0,BA937/BE937,IF(AND(ISNUMBER(BH937),BH937=0),0,"")))))</f>
        <v>0.08283808439559359</v>
      </c>
      <c r="BG937" s="11" t="n">
        <f>IF(AND(COUNT(BN937:BU937)=8,MIN(BN937:BU937)&gt;=0),SUMPRODUCT(BN937:BQ937,BR937:BU937),"")</f>
        <v>73.80791239847399</v>
      </c>
      <c r="BH937" s="11" t="n">
        <f>IF(COUNT(BC937,BG937)=2,BC937*BG937,"")</f>
        <v>62.29247541675425</v>
      </c>
      <c r="BI937" s="11" t="n">
        <f>IF(ISNUMBER(CI937),CI937,"")</f>
        <v>5.160189335783528</v>
      </c>
      <c r="BJ937" s="8" t="str">
        <v>低销提醒依据不完整</v>
      </c>
      <c r="BK937" s="8" t="str">
        <v>90天：2026-07-20 至 2026-10-17；180天：2026-04-21 至 2026-10-17</v>
      </c>
      <c r="BL937" s="8" t="str">
        <v>90天：2026-10-06、2026-10-07；180天：2026-10-06、2026-10-07</v>
      </c>
      <c r="BM937" s="8" t="str">
        <v>2026-10：12天 × 1.2247029157699902；2026-11：30天 × 0.8332682139098497；2026-12：31天 × 0.5511018253564084；2027-01：17天 × 1.0017220238758797</v>
      </c>
      <c r="BN937" s="11" t="n">
        <v>1.2247029157699902</v>
      </c>
      <c r="BO937" s="11" t="n">
        <v>0.8332682139098497</v>
      </c>
      <c r="BP937" s="11" t="n">
        <v>0.5511018253564084</v>
      </c>
      <c r="BQ937" s="11" t="n">
        <v>1.0017220238758797</v>
      </c>
      <c r="BR937" s="8" t="n">
        <v>12</v>
      </c>
      <c r="BS937" s="8" t="n">
        <v>30</v>
      </c>
      <c r="BT937" s="8" t="n">
        <v>31</v>
      </c>
      <c r="BU937" s="8" t="n">
        <v>17</v>
      </c>
      <c r="BV937" s="11" t="n">
        <f>IF(COUNT(BC937,BF937)=2,BC937*BF937,"")</f>
        <v>0.06991376897269103</v>
      </c>
      <c r="BW937" s="11" t="n">
        <f>IF(ISNUMBER(BN937),BN937,"")</f>
        <v>1.2247029157699902</v>
      </c>
      <c r="BX937" s="14" t="n">
        <f>IF(ISNUMBER(BR937),BR937,"")</f>
        <v>12</v>
      </c>
      <c r="BY937" s="13" t="n">
        <f>IF(AND(COUNT(BV937,BW937,BX937)=3,MIN(BV937,BW937,BX937)&gt;=0),BV937*BW937*BX937,"")</f>
        <v>1.02748316055989</v>
      </c>
      <c r="BZ937" s="11" t="n">
        <f>IF(ISNUMBER(BO937),BO937,"")</f>
        <v>0.8332682139098497</v>
      </c>
      <c r="CA937" s="14" t="n">
        <f>IF(ISNUMBER(BS937),BS937,"")</f>
        <v>30</v>
      </c>
      <c r="CB937" s="13" t="n">
        <f>IF(AND(COUNT(BV937,BZ937,CA937)=3,MIN(BV937,BZ937,CA937)&gt;=0),BV937*BZ937*CA937,"")</f>
        <v>1.7477076419874036</v>
      </c>
      <c r="CC937" s="11" t="n">
        <f>IF(ISNUMBER(BP937),BP937,"")</f>
        <v>0.5511018253564084</v>
      </c>
      <c r="CD937" s="14" t="n">
        <f>IF(ISNUMBER(BT937),BT937,"")</f>
        <v>31</v>
      </c>
      <c r="CE937" s="13" t="n">
        <f>IF(AND(COUNT(BV937,CC937,CD937)=3,MIN(BV937,CC937,CD937)&gt;=0),BV937*CC937*CD937,"")</f>
        <v>1.1944177766502837</v>
      </c>
      <c r="CF937" s="11" t="n">
        <f>IF(ISNUMBER(BQ937),BQ937,"")</f>
        <v>1.0017220238758797</v>
      </c>
      <c r="CG937" s="14" t="n">
        <f>IF(ISNUMBER(BU937),BU937,"")</f>
        <v>17</v>
      </c>
      <c r="CH937" s="13" t="n">
        <f>IF(AND(COUNT(BV937,CF937,CG937)=3,MIN(BV937,CF937,CG937)&gt;=0),BV937*CF937*CG937,"")</f>
        <v>1.1905807565859505</v>
      </c>
      <c r="CI937" s="13" t="n">
        <f>IF(COUNT(BY937,CB937,CE937,CH937)=4,SUM(BY937,CB937,CE937,CH937),"")</f>
        <v>5.160189335783528</v>
      </c>
    </row>
    <row r="938" ht="72" customHeight="1">
      <c r="A938" s="16" t="str">
        <v>B06-RD-41</v>
      </c>
      <c r="B938" s="16" t="str">
        <v>1店-MUSSHOE-US</v>
      </c>
      <c r="C938" s="16" t="str">
        <v>艾年</v>
      </c>
      <c r="D938" s="26" t="n">
        <f>IF(NOT(ISNUMBER(E938)),"",IF(OR(E938&lt;=0,L938=0),0,IF(OR(NOT(ISNUMBER(F938)),F938&lt;0),"",MIN(E938,INT(F938)))))</f>
        <v>0</v>
      </c>
      <c r="E938" s="27" t="n">
        <f>IF(OR(NOT(ISNUMBER(L938)),COUNT(M938:O938)&lt;&gt;3,MIN(M938:O938)&lt;0),"",ROUNDUP(ROUND(BI938-SUM(M938:O938),10),0))</f>
        <v>-15</v>
      </c>
      <c r="F938" s="28" t="n">
        <v>0</v>
      </c>
      <c r="G938" s="28" t="n">
        <f>IF(AND(ISNUMBER(D938),ISNUMBER(E938)),IF(OR(E938&lt;=0,L938=0),0,E938-D938),"")</f>
        <v>0</v>
      </c>
      <c r="H938" s="16" t="str">
        <f>IF(NOT(ISNUMBER(E938)),"销量或海外库存待补",IF(OR(E938&lt;=0,L938=0),IF(L938=0,"零日销，本批不发","本批无需补货"),IF(NOT(ISNUMBER(D938)),"国内库存待补",IF(D938=0,"国内无可用库存",IF(G938&gt;0,"先发国内现货","按建议量发货")))))</f>
        <v>本批无需补货</v>
      </c>
      <c r="I938" s="28" t="n">
        <f>IF(AND(COUNT(Z938,AA938,AB938)=3,Z938&gt;=AA938,AA938&gt;=0,AB938=7),Z938-AA938,"")</f>
        <v>0</v>
      </c>
      <c r="J938" s="28" t="n">
        <f>IF(AND(COUNT(AF938,AG938,AH938)=3,AF938&gt;=AG938,AG938&gt;=0,AH938=14),AF938-AG938,"")</f>
        <v>3</v>
      </c>
      <c r="K938" s="28" t="n">
        <f>IF(AND(COUNT(AL938,AM938,AN938)=3,AL938&gt;=AM938,AM938&gt;=0,AN938=30),AL938-AM938,"")</f>
        <v>5</v>
      </c>
      <c r="L938" s="29" t="n">
        <f>IF(ISNUMBER(BI938),BI938/90,"")</f>
        <v>0.0743937245454059</v>
      </c>
      <c r="M938" s="28" t="n">
        <v>21</v>
      </c>
      <c r="N938" s="28" t="n">
        <v>0</v>
      </c>
      <c r="O938" s="28" t="n">
        <v>0</v>
      </c>
      <c r="P938" s="30" t="n">
        <f>IF(AND(ISNUMBER(L938),L938&gt;0,COUNT(M938:O938)=3,MIN(M938:O938)&gt;=0),SUM(M938:O938)/L938,"")</f>
        <v>282.2818742887747</v>
      </c>
      <c r="Q938" s="16" t="str">
        <v>沿用原计划SKU店铺</v>
      </c>
      <c r="R938" s="16" t="str">
        <v>已匹配</v>
      </c>
      <c r="S938" s="16" t="str">
        <v>在售</v>
      </c>
      <c r="T938" s="16" t="str">
        <v>B06</v>
      </c>
      <c r="U938" s="16" t="str">
        <v>红色羊京绒</v>
      </c>
      <c r="V938" s="16" t="n">
        <v>10</v>
      </c>
      <c r="W938" s="8" t="str">
        <v>2026-10-11 至 2026-10-17</v>
      </c>
      <c r="X938" s="8" t="str">
        <v>2026-10-11、2026-10-12、2026-10-13、2026-10-14、2026-10-15、2026-10-16、2026-10-17</v>
      </c>
      <c r="Y938" s="8" t="str">
        <v>无</v>
      </c>
      <c r="Z938" s="8" t="n">
        <v>0</v>
      </c>
      <c r="AA938" s="8" t="n">
        <v>0</v>
      </c>
      <c r="AB938" s="8" t="n">
        <v>7</v>
      </c>
      <c r="AC938" s="8" t="str">
        <v>2026-10-02 至 2026-10-17</v>
      </c>
      <c r="AD938" s="8" t="str">
        <v>2026-10-02、2026-10-03、2026-10-04、2026-10-05、2026-10-08、2026-10-09、2026-10-10、2026-10-11、2026-10-12、2026-10-13、2026-10-14、2026-10-15、2026-10-16、2026-10-17</v>
      </c>
      <c r="AE938" s="8" t="str">
        <v>2026-10-06 大促；2026-10-07 大促</v>
      </c>
      <c r="AF938" s="8" t="n">
        <v>4</v>
      </c>
      <c r="AG938" s="8" t="n">
        <v>1</v>
      </c>
      <c r="AH938" s="8" t="n">
        <v>14</v>
      </c>
      <c r="AI938" s="8" t="str">
        <v>2026-09-16 至 2026-10-17</v>
      </c>
      <c r="AJ9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8" s="8" t="str">
        <v>2026-10-06 大促；2026-10-07 大促</v>
      </c>
      <c r="AL938" s="8" t="n">
        <v>6</v>
      </c>
      <c r="AM938" s="8" t="n">
        <v>1</v>
      </c>
      <c r="AN938" s="8" t="n">
        <v>30</v>
      </c>
      <c r="AO938" s="8" t="str">
        <v>B06 / 红色羊京绒 / 13120</v>
      </c>
      <c r="AP938" s="11" t="n">
        <v>1.2247029157699902</v>
      </c>
      <c r="AQ938" s="11" t="n">
        <v>1.2247029157699902</v>
      </c>
      <c r="AR938" s="11" t="n">
        <v>1.1136940657346173</v>
      </c>
      <c r="AS938" s="11" t="n">
        <f>IF(AND(COUNT(I938:K938,AP938:AR938)=6,MIN(AP938:AR938)&gt;0),I938/7/AP938*0.5+J938/14/AQ938*0.3+K938/30/AR938*0.2,"")</f>
        <v>0.08242128604681911</v>
      </c>
      <c r="AT938" s="8" t="n">
        <v>10</v>
      </c>
      <c r="AU938" s="8" t="n">
        <v>1</v>
      </c>
      <c r="AV938" s="8" t="n">
        <v>88</v>
      </c>
      <c r="AW938" s="11" t="n">
        <f>IF(AND(COUNT(AT938:AV938)=3,AT938&gt;=AU938,AU938&gt;=0,AV938&gt;0),(AT938-AU938)/AV938,"")</f>
        <v>0.10227272727272728</v>
      </c>
      <c r="AX938" s="8" t="n">
        <v>19</v>
      </c>
      <c r="AY938" s="8" t="n">
        <v>1</v>
      </c>
      <c r="AZ938" s="8" t="n">
        <v>178</v>
      </c>
      <c r="BA938" s="11" t="n">
        <f>IF(AND(COUNT(AX938:AZ938)=3,AX938&gt;=AY938,AY938&gt;=0,AZ938&gt;0),(AX938-AY938)/AZ938,"")</f>
        <v>0.10112359550561797</v>
      </c>
      <c r="BB938" s="8" t="n">
        <f>IF(COUNT(AS938,AW938,BA938)=3,1,0)</f>
        <v>1</v>
      </c>
      <c r="BC938" s="11" t="n">
        <f>IF(SUMIF($AO$11:$AO$1309,AO938,$BB$11:$BB$1309)=COUNTIF($AO$11:$AO$1309,AO938),SUMIF($AO$11:$AO$1309,AO938,$AS$11:$AS$1309),"")</f>
        <v>0.8439809959730303</v>
      </c>
      <c r="BD938" s="11" t="n">
        <f>IF(SUMIF($AO$11:$AO$1309,AO938,$BB$11:$BB$1309)=COUNTIF($AO$11:$AO$1309,AO938),SUMIF($AO$11:$AO$1309,AO938,$AW$11:$AW$1309),"")</f>
        <v>0.8696244248227831</v>
      </c>
      <c r="BE938" s="11" t="n">
        <f>IF(SUMIF($AO$11:$AO$1309,AO938,$BB$11:$BB$1309)=COUNTIF($AO$11:$AO$1309,AO938),SUMIF($AO$11:$AO$1309,AO938,$BA$11:$BA$1309),"")</f>
        <v>1.2057704654895667</v>
      </c>
      <c r="BF938" s="12" t="n">
        <f>IF(COUNT(BD938:BE938)&lt;&gt;2,"",IF(AND(BD938&gt;0,BE938&gt;0),0.7*AW938/BD938+0.3*BA938/BE938,IF(BD938&gt;0,AW938/BD938,IF(BE938&gt;0,BA938/BE938,IF(AND(ISNUMBER(BH938),BH938=0),0,"")))))</f>
        <v>0.10748385201089183</v>
      </c>
      <c r="BG938" s="11" t="n">
        <f>IF(AND(COUNT(BN938:BU938)=8,MIN(BN938:BU938)&gt;=0),SUMPRODUCT(BN938:BQ938,BR938:BU938),"")</f>
        <v>73.80791239847399</v>
      </c>
      <c r="BH938" s="11" t="n">
        <f>IF(COUNT(BC938,BG938)=2,BC938*BG938,"")</f>
        <v>62.29247541675425</v>
      </c>
      <c r="BI938" s="11" t="n">
        <f>IF(ISNUMBER(CI938),CI938,"")</f>
        <v>6.695435209086531</v>
      </c>
      <c r="BJ938" s="8" t="str">
        <v>低销提醒依据不完整</v>
      </c>
      <c r="BK938" s="8" t="str">
        <v>90天：2026-07-20 至 2026-10-17；180天：2026-04-21 至 2026-10-17</v>
      </c>
      <c r="BL938" s="8" t="str">
        <v>90天：2026-10-06、2026-10-07；180天：2026-10-06、2026-10-07</v>
      </c>
      <c r="BM938" s="8" t="str">
        <v>2026-10：12天 × 1.2247029157699902；2026-11：30天 × 0.8332682139098497；2026-12：31天 × 0.5511018253564084；2027-01：17天 × 1.0017220238758797</v>
      </c>
      <c r="BN938" s="11" t="n">
        <v>1.2247029157699902</v>
      </c>
      <c r="BO938" s="11" t="n">
        <v>0.8332682139098497</v>
      </c>
      <c r="BP938" s="11" t="n">
        <v>0.5511018253564084</v>
      </c>
      <c r="BQ938" s="11" t="n">
        <v>1.0017220238758797</v>
      </c>
      <c r="BR938" s="8" t="n">
        <v>12</v>
      </c>
      <c r="BS938" s="8" t="n">
        <v>30</v>
      </c>
      <c r="BT938" s="8" t="n">
        <v>31</v>
      </c>
      <c r="BU938" s="8" t="n">
        <v>17</v>
      </c>
      <c r="BV938" s="11" t="n">
        <f>IF(COUNT(BC938,BF938)=2,BC938*BF938,"")</f>
        <v>0.0907143284711703</v>
      </c>
      <c r="BW938" s="11" t="n">
        <f>IF(ISNUMBER(BN938),BN938,"")</f>
        <v>1.2247029157699902</v>
      </c>
      <c r="BX938" s="14" t="n">
        <f>IF(ISNUMBER(BR938),BR938,"")</f>
        <v>12</v>
      </c>
      <c r="BY938" s="13" t="n">
        <f>IF(AND(COUNT(BV938,BW938,BX938)=3,MIN(BV938,BW938,BX938)&gt;=0),BV938*BW938*BX938,"")</f>
        <v>1.3331772309691068</v>
      </c>
      <c r="BZ938" s="11" t="n">
        <f>IF(ISNUMBER(BO938),BO938,"")</f>
        <v>0.8332682139098497</v>
      </c>
      <c r="CA938" s="14" t="n">
        <f>IF(ISNUMBER(BS938),BS938,"")</f>
        <v>30</v>
      </c>
      <c r="CB938" s="13" t="n">
        <f>IF(AND(COUNT(BV938,BZ938,CA938)=3,MIN(BV938,BZ938,CA938)&gt;=0),BV938*BZ938*CA938,"")</f>
        <v>2.267680993836105</v>
      </c>
      <c r="CC938" s="11" t="n">
        <f>IF(ISNUMBER(BP938),BP938,"")</f>
        <v>0.5511018253564084</v>
      </c>
      <c r="CD938" s="14" t="n">
        <f>IF(ISNUMBER(BT938),BT938,"")</f>
        <v>31</v>
      </c>
      <c r="CE938" s="13" t="n">
        <f>IF(AND(COUNT(BV938,CC938,CD938)=3,MIN(BV938,CC938,CD938)&gt;=0),BV938*CC938*CD938,"")</f>
        <v>1.5497777921997256</v>
      </c>
      <c r="CF938" s="11" t="n">
        <f>IF(ISNUMBER(BQ938),BQ938,"")</f>
        <v>1.0017220238758797</v>
      </c>
      <c r="CG938" s="14" t="n">
        <f>IF(ISNUMBER(BU938),BU938,"")</f>
        <v>17</v>
      </c>
      <c r="CH938" s="13" t="n">
        <f>IF(AND(COUNT(BV938,CF938,CG938)=3,MIN(BV938,CF938,CG938)&gt;=0),BV938*CF938*CG938,"")</f>
        <v>1.5447991920815947</v>
      </c>
      <c r="CI938" s="13" t="n">
        <f>IF(COUNT(BY938,CB938,CE938,CH938)=4,SUM(BY938,CB938,CE938,CH938),"")</f>
        <v>6.695435209086531</v>
      </c>
    </row>
    <row r="939" ht="72" customHeight="1">
      <c r="A939" s="16" t="str">
        <v>B06-RD-42</v>
      </c>
      <c r="B939" s="16" t="str">
        <v>1店-MUSSHOE-US</v>
      </c>
      <c r="C939" s="16" t="str">
        <v>艾年</v>
      </c>
      <c r="D939" s="26" t="n">
        <f>IF(NOT(ISNUMBER(E939)),"",IF(OR(E939&lt;=0,L939=0),0,IF(OR(NOT(ISNUMBER(F939)),F939&lt;0),"",MIN(E939,INT(F939)))))</f>
        <v>0</v>
      </c>
      <c r="E939" s="27" t="n">
        <f>IF(OR(NOT(ISNUMBER(L939)),COUNT(M939:O939)&lt;&gt;3,MIN(M939:O939)&lt;0),"",ROUNDUP(ROUND(BI939-SUM(M939:O939),10),0))</f>
        <v>-12</v>
      </c>
      <c r="F939" s="28" t="n">
        <v>20</v>
      </c>
      <c r="G939" s="28" t="n">
        <f>IF(AND(ISNUMBER(D939),ISNUMBER(E939)),IF(OR(E939&lt;=0,L939=0),0,E939-D939),"")</f>
        <v>0</v>
      </c>
      <c r="H939" s="16" t="str">
        <f>IF(NOT(ISNUMBER(E939)),"销量或海外库存待补",IF(OR(E939&lt;=0,L939=0),IF(L939=0,"零日销，本批不发","本批无需补货"),IF(NOT(ISNUMBER(D939)),"国内库存待补",IF(D939=0,"国内无可用库存",IF(G939&gt;0,"先发国内现货","按建议量发货")))))</f>
        <v>本批无需补货</v>
      </c>
      <c r="I939" s="28" t="n">
        <f>IF(AND(COUNT(Z939,AA939,AB939)=3,Z939&gt;=AA939,AA939&gt;=0,AB939=7),Z939-AA939,"")</f>
        <v>0</v>
      </c>
      <c r="J939" s="28" t="n">
        <f>IF(AND(COUNT(AF939,AG939,AH939)=3,AF939&gt;=AG939,AG939&gt;=0,AH939=14),AF939-AG939,"")</f>
        <v>0</v>
      </c>
      <c r="K939" s="28" t="n">
        <f>IF(AND(COUNT(AL939,AM939,AN939)=3,AL939&gt;=AM939,AM939&gt;=0,AN939=30),AL939-AM939,"")</f>
        <v>1</v>
      </c>
      <c r="L939" s="29" t="n">
        <f>IF(ISNUMBER(BI939),BI939/90,"")</f>
        <v>0.027173917251272012</v>
      </c>
      <c r="M939" s="28" t="n">
        <v>14</v>
      </c>
      <c r="N939" s="28" t="n">
        <v>0</v>
      </c>
      <c r="O939" s="28" t="n">
        <v>0</v>
      </c>
      <c r="P939" s="30" t="n">
        <f>IF(AND(ISNUMBER(L939),L939&gt;0,COUNT(M939:O939)=3,MIN(M939:O939)&gt;=0),SUM(M939:O939)/L939,"")</f>
        <v>515.1999202229358</v>
      </c>
      <c r="Q939" s="16" t="str">
        <v>沿用原计划SKU店铺</v>
      </c>
      <c r="R939" s="16" t="str">
        <v>已匹配</v>
      </c>
      <c r="S939" s="16" t="str">
        <v>在售</v>
      </c>
      <c r="T939" s="16" t="str">
        <v>B06</v>
      </c>
      <c r="U939" s="16" t="str">
        <v>红色羊京绒</v>
      </c>
      <c r="V939" s="16" t="n">
        <v>11</v>
      </c>
      <c r="W939" s="8" t="str">
        <v>2026-10-11 至 2026-10-17</v>
      </c>
      <c r="X939" s="8" t="str">
        <v>2026-10-11、2026-10-12、2026-10-13、2026-10-14、2026-10-15、2026-10-16、2026-10-17</v>
      </c>
      <c r="Y939" s="8" t="str">
        <v>无</v>
      </c>
      <c r="Z939" s="8" t="n">
        <v>0</v>
      </c>
      <c r="AA939" s="8" t="n">
        <v>0</v>
      </c>
      <c r="AB939" s="8" t="n">
        <v>7</v>
      </c>
      <c r="AC939" s="8" t="str">
        <v>2026-10-02 至 2026-10-17</v>
      </c>
      <c r="AD939" s="8" t="str">
        <v>2026-10-02、2026-10-03、2026-10-04、2026-10-05、2026-10-08、2026-10-09、2026-10-10、2026-10-11、2026-10-12、2026-10-13、2026-10-14、2026-10-15、2026-10-16、2026-10-17</v>
      </c>
      <c r="AE939" s="8" t="str">
        <v>2026-10-06 大促；2026-10-07 大促</v>
      </c>
      <c r="AF939" s="8" t="n">
        <v>0</v>
      </c>
      <c r="AG939" s="8" t="n">
        <v>0</v>
      </c>
      <c r="AH939" s="8" t="n">
        <v>14</v>
      </c>
      <c r="AI939" s="8" t="str">
        <v>2026-09-16 至 2026-10-17</v>
      </c>
      <c r="AJ9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39" s="8" t="str">
        <v>2026-10-06 大促；2026-10-07 大促</v>
      </c>
      <c r="AL939" s="8" t="n">
        <v>1</v>
      </c>
      <c r="AM939" s="8" t="n">
        <v>0</v>
      </c>
      <c r="AN939" s="8" t="n">
        <v>30</v>
      </c>
      <c r="AO939" s="8" t="str">
        <v>B06 / 红色羊京绒 / 13120</v>
      </c>
      <c r="AP939" s="11" t="n">
        <v>1.2247029157699902</v>
      </c>
      <c r="AQ939" s="11" t="n">
        <v>1.2247029157699902</v>
      </c>
      <c r="AR939" s="11" t="n">
        <v>1.1136940657346173</v>
      </c>
      <c r="AS939" s="11" t="n">
        <f>IF(AND(COUNT(I939:K939,AP939:AR939)=6,MIN(AP939:AR939)&gt;0),I939/7/AP939*0.5+J939/14/AQ939*0.3+K939/30/AR939*0.2,"")</f>
        <v>0.0059860843940738664</v>
      </c>
      <c r="AT939" s="8" t="n">
        <v>2</v>
      </c>
      <c r="AU939" s="8" t="n">
        <v>0</v>
      </c>
      <c r="AV939" s="8" t="n">
        <v>88</v>
      </c>
      <c r="AW939" s="11" t="n">
        <f>IF(AND(COUNT(AT939:AV939)=3,AT939&gt;=AU939,AU939&gt;=0,AV939&gt;0),(AT939-AU939)/AV939,"")</f>
        <v>0.022727272727272728</v>
      </c>
      <c r="AX939" s="8" t="n">
        <v>15</v>
      </c>
      <c r="AY939" s="8" t="n">
        <v>0</v>
      </c>
      <c r="AZ939" s="8" t="n">
        <v>178</v>
      </c>
      <c r="BA939" s="11" t="n">
        <f>IF(AND(COUNT(AX939:AZ939)=3,AX939&gt;=AY939,AY939&gt;=0,AZ939&gt;0),(AX939-AY939)/AZ939,"")</f>
        <v>0.08426966292134831</v>
      </c>
      <c r="BB939" s="8" t="n">
        <f>IF(COUNT(AS939,AW939,BA939)=3,1,0)</f>
        <v>1</v>
      </c>
      <c r="BC939" s="11" t="n">
        <f>IF(SUMIF($AO$11:$AO$1309,AO939,$BB$11:$BB$1309)=COUNTIF($AO$11:$AO$1309,AO939),SUMIF($AO$11:$AO$1309,AO939,$AS$11:$AS$1309),"")</f>
        <v>0.8439809959730303</v>
      </c>
      <c r="BD939" s="11" t="n">
        <f>IF(SUMIF($AO$11:$AO$1309,AO939,$BB$11:$BB$1309)=COUNTIF($AO$11:$AO$1309,AO939),SUMIF($AO$11:$AO$1309,AO939,$AW$11:$AW$1309),"")</f>
        <v>0.8696244248227831</v>
      </c>
      <c r="BE939" s="11" t="n">
        <f>IF(SUMIF($AO$11:$AO$1309,AO939,$BB$11:$BB$1309)=COUNTIF($AO$11:$AO$1309,AO939),SUMIF($AO$11:$AO$1309,AO939,$BA$11:$BA$1309),"")</f>
        <v>1.2057704654895667</v>
      </c>
      <c r="BF939" s="12" t="n">
        <f>IF(COUNT(BD939:BE939)&lt;&gt;2,"",IF(AND(BD939&gt;0,BE939&gt;0),0.7*AW939/BD939+0.3*BA939/BE939,IF(BD939&gt;0,AW939/BD939,IF(BE939&gt;0,BA939/BE939,IF(AND(ISNUMBER(BH939),BH939=0),0,"")))))</f>
        <v>0.03926080214748852</v>
      </c>
      <c r="BG939" s="11" t="n">
        <f>IF(AND(COUNT(BN939:BU939)=8,MIN(BN939:BU939)&gt;=0),SUMPRODUCT(BN939:BQ939,BR939:BU939),"")</f>
        <v>73.80791239847399</v>
      </c>
      <c r="BH939" s="11" t="n">
        <f>IF(COUNT(BC939,BG939)=2,BC939*BG939,"")</f>
        <v>62.29247541675425</v>
      </c>
      <c r="BI939" s="11" t="n">
        <f>IF(ISNUMBER(CI939),CI939,"")</f>
        <v>2.4456525526144812</v>
      </c>
      <c r="BJ939" s="8" t="str">
        <v>低销提醒依据不完整</v>
      </c>
      <c r="BK939" s="8" t="str">
        <v>90天：2026-07-20 至 2026-10-17；180天：2026-04-21 至 2026-10-17</v>
      </c>
      <c r="BL939" s="8" t="str">
        <v>90天：2026-10-06、2026-10-07；180天：2026-10-06、2026-10-07</v>
      </c>
      <c r="BM939" s="8" t="str">
        <v>2026-10：12天 × 1.2247029157699902；2026-11：30天 × 0.8332682139098497；2026-12：31天 × 0.5511018253564084；2027-01：17天 × 1.0017220238758797</v>
      </c>
      <c r="BN939" s="11" t="n">
        <v>1.2247029157699902</v>
      </c>
      <c r="BO939" s="11" t="n">
        <v>0.8332682139098497</v>
      </c>
      <c r="BP939" s="11" t="n">
        <v>0.5511018253564084</v>
      </c>
      <c r="BQ939" s="11" t="n">
        <v>1.0017220238758797</v>
      </c>
      <c r="BR939" s="8" t="n">
        <v>12</v>
      </c>
      <c r="BS939" s="8" t="n">
        <v>30</v>
      </c>
      <c r="BT939" s="8" t="n">
        <v>31</v>
      </c>
      <c r="BU939" s="8" t="n">
        <v>17</v>
      </c>
      <c r="BV939" s="11" t="n">
        <f>IF(COUNT(BC939,BF939)=2,BC939*BF939,"")</f>
        <v>0.03313537089913745</v>
      </c>
      <c r="BW939" s="11" t="n">
        <f>IF(ISNUMBER(BN939),BN939,"")</f>
        <v>1.2247029157699902</v>
      </c>
      <c r="BX939" s="14" t="n">
        <f>IF(ISNUMBER(BR939),BR939,"")</f>
        <v>12</v>
      </c>
      <c r="BY939" s="13" t="n">
        <f>IF(AND(COUNT(BV939,BW939,BX939)=3,MIN(BV939,BW939,BX939)&gt;=0),BV939*BW939*BX939,"")</f>
        <v>0.4869718242635246</v>
      </c>
      <c r="BZ939" s="11" t="n">
        <f>IF(ISNUMBER(BO939),BO939,"")</f>
        <v>0.8332682139098497</v>
      </c>
      <c r="CA939" s="14" t="n">
        <f>IF(ISNUMBER(BS939),BS939,"")</f>
        <v>30</v>
      </c>
      <c r="CB939" s="13" t="n">
        <f>IF(AND(COUNT(BV939,BZ939,CA939)=3,MIN(BV939,BZ939,CA939)&gt;=0),BV939*BZ939*CA939,"")</f>
        <v>0.8283195397909402</v>
      </c>
      <c r="CC939" s="11" t="n">
        <f>IF(ISNUMBER(BP939),BP939,"")</f>
        <v>0.5511018253564084</v>
      </c>
      <c r="CD939" s="14" t="n">
        <f>IF(ISNUMBER(BT939),BT939,"")</f>
        <v>31</v>
      </c>
      <c r="CE939" s="13" t="n">
        <f>IF(AND(COUNT(BV939,CC939,CD939)=3,MIN(BV939,CC939,CD939)&gt;=0),BV939*CC939*CD939,"")</f>
        <v>0.5660898649776641</v>
      </c>
      <c r="CF939" s="11" t="n">
        <f>IF(ISNUMBER(BQ939),BQ939,"")</f>
        <v>1.0017220238758797</v>
      </c>
      <c r="CG939" s="14" t="n">
        <f>IF(ISNUMBER(BU939),BU939,"")</f>
        <v>17</v>
      </c>
      <c r="CH939" s="13" t="n">
        <f>IF(AND(COUNT(BV939,CF939,CG939)=3,MIN(BV939,CF939,CG939)&gt;=0),BV939*CF939*CG939,"")</f>
        <v>0.5642713235823522</v>
      </c>
      <c r="CI939" s="13" t="n">
        <f>IF(COUNT(BY939,CB939,CE939,CH939)=4,SUM(BY939,CB939,CE939,CH939),"")</f>
        <v>2.4456525526144812</v>
      </c>
    </row>
    <row r="940" ht="72" customHeight="1">
      <c r="A940" s="16" t="str">
        <v>B06-RD-I-0-40.5</v>
      </c>
      <c r="B940" s="16" t="str">
        <v>1店-MUSSHOE-US</v>
      </c>
      <c r="C940" s="16" t="str">
        <v>艾年</v>
      </c>
      <c r="D940" s="26" t="n">
        <f>IF(NOT(ISNUMBER(E940)),"",IF(OR(E940&lt;=0,L940=0),0,IF(OR(NOT(ISNUMBER(F940)),F940&lt;0),"",MIN(E940,INT(F940)))))</f>
        <v>0</v>
      </c>
      <c r="E940" s="27" t="n">
        <f>IF(OR(NOT(ISNUMBER(L940)),COUNT(M940:O940)&lt;&gt;3,MIN(M940:O940)&lt;0),"",ROUNDUP(ROUND(BI940-SUM(M940:O940),10),0))</f>
        <v>-1</v>
      </c>
      <c r="F940" s="28"/>
      <c r="G940" s="28" t="n">
        <f>IF(AND(ISNUMBER(D940),ISNUMBER(E940)),IF(OR(E940&lt;=0,L940=0),0,E940-D940),"")</f>
        <v>0</v>
      </c>
      <c r="H940" s="16" t="str">
        <f>IF(NOT(ISNUMBER(E940)),"销量或海外库存待补",IF(OR(E940&lt;=0,L940=0),IF(L940=0,"零日销，本批不发","本批无需补货"),IF(NOT(ISNUMBER(D940)),"国内库存待补",IF(D940=0,"国内无可用库存",IF(G940&gt;0,"先发国内现货","按建议量发货")))))</f>
        <v>本批无需补货</v>
      </c>
      <c r="I940" s="28" t="n">
        <f>IF(AND(COUNT(Z940,AA940,AB940)=3,Z940&gt;=AA940,AA940&gt;=0,AB940=7),Z940-AA940,"")</f>
        <v>0</v>
      </c>
      <c r="J940" s="28" t="n">
        <f>IF(AND(COUNT(AF940,AG940,AH940)=3,AF940&gt;=AG940,AG940&gt;=0,AH940=14),AF940-AG940,"")</f>
        <v>0</v>
      </c>
      <c r="K940" s="28" t="n">
        <f>IF(AND(COUNT(AL940,AM940,AN940)=3,AL940&gt;=AM940,AM940&gt;=0,AN940=30),AL940-AM940,"")</f>
        <v>0</v>
      </c>
      <c r="L940" s="29" t="n">
        <f>IF(ISNUMBER(BI940),BI940/90,"")</f>
        <v>0.0019349051751643704</v>
      </c>
      <c r="M940" s="28" t="n">
        <v>1</v>
      </c>
      <c r="N940" s="28" t="n">
        <v>0</v>
      </c>
      <c r="O940" s="28" t="n">
        <v>0</v>
      </c>
      <c r="P940" s="30" t="n">
        <f>IF(AND(ISNUMBER(L940),L940&gt;0,COUNT(M940:O940)=3,MIN(M940:O940)&gt;=0),SUM(M940:O940)/L940,"")</f>
        <v>516.8211924985161</v>
      </c>
      <c r="Q940" s="16" t="str">
        <v>沿用原计划SKU店铺</v>
      </c>
      <c r="R940" s="16" t="str">
        <v>未匹配</v>
      </c>
      <c r="S940" s="16" t="str">
        <v>在售</v>
      </c>
      <c r="T940" s="16" t="str">
        <v>B06</v>
      </c>
      <c r="U940" s="16" t="str">
        <v>红色色织提花</v>
      </c>
      <c r="V940" s="16" t="n">
        <v>9.5</v>
      </c>
      <c r="W940" s="8" t="str">
        <v>2026-10-11 至 2026-10-17</v>
      </c>
      <c r="X940" s="8" t="str">
        <v>2026-10-11、2026-10-12、2026-10-13、2026-10-14、2026-10-15、2026-10-16、2026-10-17</v>
      </c>
      <c r="Y940" s="8" t="str">
        <v>无</v>
      </c>
      <c r="Z940" s="8" t="n">
        <v>0</v>
      </c>
      <c r="AA940" s="8" t="n">
        <v>0</v>
      </c>
      <c r="AB940" s="8" t="n">
        <v>7</v>
      </c>
      <c r="AC940" s="8" t="str">
        <v>2026-10-02 至 2026-10-17</v>
      </c>
      <c r="AD940" s="8" t="str">
        <v>2026-10-02、2026-10-03、2026-10-04、2026-10-05、2026-10-08、2026-10-09、2026-10-10、2026-10-11、2026-10-12、2026-10-13、2026-10-14、2026-10-15、2026-10-16、2026-10-17</v>
      </c>
      <c r="AE940" s="8" t="str">
        <v>2026-10-06 大促；2026-10-07 大促</v>
      </c>
      <c r="AF940" s="8" t="n">
        <v>0</v>
      </c>
      <c r="AG940" s="8" t="n">
        <v>0</v>
      </c>
      <c r="AH940" s="8" t="n">
        <v>14</v>
      </c>
      <c r="AI940" s="8" t="str">
        <v>2026-09-16 至 2026-10-17</v>
      </c>
      <c r="AJ9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0" s="8" t="str">
        <v>2026-10-06 大促；2026-10-07 大促</v>
      </c>
      <c r="AL940" s="8" t="n">
        <v>0</v>
      </c>
      <c r="AM940" s="8" t="n">
        <v>0</v>
      </c>
      <c r="AN940" s="8" t="n">
        <v>30</v>
      </c>
      <c r="AO940" s="8" t="str">
        <v>B06 / 红色羊京绒 / 13120</v>
      </c>
      <c r="AP940" s="11" t="n">
        <v>1.2247029157699902</v>
      </c>
      <c r="AQ940" s="11" t="n">
        <v>1.2247029157699902</v>
      </c>
      <c r="AR940" s="11" t="n">
        <v>1.1136940657346173</v>
      </c>
      <c r="AS940" s="11" t="n">
        <f>IF(AND(COUNT(I940:K940,AP940:AR940)=6,MIN(AP940:AR940)&gt;0),I940/7/AP940*0.5+J940/14/AQ940*0.3+K940/30/AR940*0.2,"")</f>
        <v>0</v>
      </c>
      <c r="AT940" s="8" t="n">
        <v>0</v>
      </c>
      <c r="AU940" s="8" t="n">
        <v>0</v>
      </c>
      <c r="AV940" s="8" t="n">
        <v>88</v>
      </c>
      <c r="AW940" s="11" t="n">
        <f>IF(AND(COUNT(AT940:AV940)=3,AT940&gt;=AU940,AU940&gt;=0,AV940&gt;0),(AT940-AU940)/AV940,"")</f>
        <v>0</v>
      </c>
      <c r="AX940" s="8" t="n">
        <v>2</v>
      </c>
      <c r="AY940" s="8" t="n">
        <v>0</v>
      </c>
      <c r="AZ940" s="8" t="n">
        <v>178</v>
      </c>
      <c r="BA940" s="11" t="n">
        <f>IF(AND(COUNT(AX940:AZ940)=3,AX940&gt;=AY940,AY940&gt;=0,AZ940&gt;0),(AX940-AY940)/AZ940,"")</f>
        <v>0.011235955056179775</v>
      </c>
      <c r="BB940" s="8" t="n">
        <f>IF(COUNT(AS940,AW940,BA940)=3,1,0)</f>
        <v>1</v>
      </c>
      <c r="BC940" s="11" t="n">
        <f>IF(SUMIF($AO$11:$AO$1309,AO940,$BB$11:$BB$1309)=COUNTIF($AO$11:$AO$1309,AO940),SUMIF($AO$11:$AO$1309,AO940,$AS$11:$AS$1309),"")</f>
        <v>0.8439809959730303</v>
      </c>
      <c r="BD940" s="11" t="n">
        <f>IF(SUMIF($AO$11:$AO$1309,AO940,$BB$11:$BB$1309)=COUNTIF($AO$11:$AO$1309,AO940),SUMIF($AO$11:$AO$1309,AO940,$AW$11:$AW$1309),"")</f>
        <v>0.8696244248227831</v>
      </c>
      <c r="BE940" s="11" t="n">
        <f>IF(SUMIF($AO$11:$AO$1309,AO940,$BB$11:$BB$1309)=COUNTIF($AO$11:$AO$1309,AO940),SUMIF($AO$11:$AO$1309,AO940,$BA$11:$BA$1309),"")</f>
        <v>1.2057704654895667</v>
      </c>
      <c r="BF940" s="12" t="n">
        <f>IF(COUNT(BD940:BE940)&lt;&gt;2,"",IF(AND(BD940&gt;0,BE940&gt;0),0.7*AW940/BD940+0.3*BA940/BE940,IF(BD940&gt;0,AW940/BD940,IF(BE940&gt;0,BA940/BE940,IF(AND(ISNUMBER(BH940),BH940=0),0,"")))))</f>
        <v>0.0027955457637497583</v>
      </c>
      <c r="BG940" s="11" t="n">
        <f>IF(AND(COUNT(BN940:BU940)=8,MIN(BN940:BU940)&gt;=0),SUMPRODUCT(BN940:BQ940,BR940:BU940),"")</f>
        <v>73.80791239847399</v>
      </c>
      <c r="BH940" s="11" t="n">
        <f>IF(COUNT(BC940,BG940)=2,BC940*BG940,"")</f>
        <v>62.29247541675425</v>
      </c>
      <c r="BI940" s="11" t="n">
        <f>IF(ISNUMBER(CI940),CI940,"")</f>
        <v>0.17414146576479334</v>
      </c>
      <c r="BJ940" s="8" t="str">
        <v>低销提醒依据不完整</v>
      </c>
      <c r="BK940" s="8" t="str">
        <v>90天：2026-07-20 至 2026-10-17；180天：2026-04-21 至 2026-10-17</v>
      </c>
      <c r="BL940" s="8" t="str">
        <v>90天：2026-10-06、2026-10-07；180天：2026-10-06、2026-10-07</v>
      </c>
      <c r="BM940" s="8" t="str">
        <v>2026-10：12天 × 1.2247029157699902；2026-11：30天 × 0.8332682139098497；2026-12：31天 × 0.5511018253564084；2027-01：17天 × 1.0017220238758797</v>
      </c>
      <c r="BN940" s="11" t="n">
        <v>1.2247029157699902</v>
      </c>
      <c r="BO940" s="11" t="n">
        <v>0.8332682139098497</v>
      </c>
      <c r="BP940" s="11" t="n">
        <v>0.5511018253564084</v>
      </c>
      <c r="BQ940" s="11" t="n">
        <v>1.0017220238758797</v>
      </c>
      <c r="BR940" s="8" t="n">
        <v>12</v>
      </c>
      <c r="BS940" s="8" t="n">
        <v>30</v>
      </c>
      <c r="BT940" s="8" t="n">
        <v>31</v>
      </c>
      <c r="BU940" s="8" t="n">
        <v>17</v>
      </c>
      <c r="BV940" s="11" t="n">
        <f>IF(COUNT(BC940,BF940)=2,BC940*BF940,"")</f>
        <v>0.002359387497977707</v>
      </c>
      <c r="BW940" s="11" t="n">
        <f>IF(ISNUMBER(BN940),BN940,"")</f>
        <v>1.2247029157699902</v>
      </c>
      <c r="BX940" s="14" t="n">
        <f>IF(ISNUMBER(BR940),BR940,"")</f>
        <v>12</v>
      </c>
      <c r="BY940" s="13" t="n">
        <f>IF(AND(COUNT(BV940,BW940,BX940)=3,MIN(BV940,BW940,BX940)&gt;=0),BV940*BW940*BX940,"")</f>
        <v>0.034674584978454714</v>
      </c>
      <c r="BZ940" s="11" t="n">
        <f>IF(ISNUMBER(BO940),BO940,"")</f>
        <v>0.8332682139098497</v>
      </c>
      <c r="CA940" s="14" t="n">
        <f>IF(ISNUMBER(BS940),BS940,"")</f>
        <v>30</v>
      </c>
      <c r="CB940" s="13" t="n">
        <f>IF(AND(COUNT(BV940,BZ940,CA940)=3,MIN(BV940,BZ940,CA940)&gt;=0),BV940*BZ940*CA940,"")</f>
        <v>0.05898007819083339</v>
      </c>
      <c r="CC940" s="11" t="n">
        <f>IF(ISNUMBER(BP940),BP940,"")</f>
        <v>0.5511018253564084</v>
      </c>
      <c r="CD940" s="14" t="n">
        <f>IF(ISNUMBER(BT940),BT940,"")</f>
        <v>31</v>
      </c>
      <c r="CE940" s="13" t="n">
        <f>IF(AND(COUNT(BV940,CC940,CD940)=3,MIN(BV940,CC940,CD940)&gt;=0),BV940*CC940*CD940,"")</f>
        <v>0.04030814546261671</v>
      </c>
      <c r="CF940" s="11" t="n">
        <f>IF(ISNUMBER(BQ940),BQ940,"")</f>
        <v>1.0017220238758797</v>
      </c>
      <c r="CG940" s="14" t="n">
        <f>IF(ISNUMBER(BU940),BU940,"")</f>
        <v>17</v>
      </c>
      <c r="CH940" s="13" t="n">
        <f>IF(AND(COUNT(BV940,CF940,CG940)=3,MIN(BV940,CF940,CG940)&gt;=0),BV940*CF940*CG940,"")</f>
        <v>0.040178657132888505</v>
      </c>
      <c r="CI940" s="13" t="n">
        <f>IF(COUNT(BY940,CB940,CE940,CH940)=4,SUM(BY940,CB940,CE940,CH940),"")</f>
        <v>0.17414146576479334</v>
      </c>
    </row>
    <row r="941" ht="72" customHeight="1">
      <c r="A941" s="16" t="str">
        <v>B06-RD-Z-0-37.5</v>
      </c>
      <c r="B941" s="16" t="str">
        <v>1店-MUSSHOE-US</v>
      </c>
      <c r="C941" s="16" t="str">
        <v>艾年</v>
      </c>
      <c r="D941" s="26" t="n">
        <f>IF(NOT(ISNUMBER(E941)),"",IF(OR(E941&lt;=0,L941=0),0,IF(OR(NOT(ISNUMBER(F941)),F941&lt;0),"",MIN(E941,INT(F941)))))</f>
        <v>0</v>
      </c>
      <c r="E941" s="27" t="n">
        <f>IF(OR(NOT(ISNUMBER(L941)),COUNT(M941:O941)&lt;&gt;3,MIN(M941:O941)&lt;0),"",ROUNDUP(ROUND(BI941-SUM(M941:O941),10),0))</f>
        <v>-18</v>
      </c>
      <c r="F941" s="28" t="n">
        <v>11</v>
      </c>
      <c r="G941" s="28" t="n">
        <f>IF(AND(ISNUMBER(D941),ISNUMBER(E941)),IF(OR(E941&lt;=0,L941=0),0,E941-D941),"")</f>
        <v>0</v>
      </c>
      <c r="H941" s="16" t="str">
        <f>IF(NOT(ISNUMBER(E941)),"销量或海外库存待补",IF(OR(E941&lt;=0,L941=0),IF(L941=0,"零日销，本批不发","本批无需补货"),IF(NOT(ISNUMBER(D941)),"国内库存待补",IF(D941=0,"国内无可用库存",IF(G941&gt;0,"先发国内现货","按建议量发货")))))</f>
        <v>本批无需补货</v>
      </c>
      <c r="I941" s="28" t="n">
        <f>IF(AND(COUNT(Z941,AA941,AB941)=3,Z941&gt;=AA941,AA941&gt;=0,AB941=7),Z941-AA941,"")</f>
        <v>0</v>
      </c>
      <c r="J941" s="28" t="n">
        <f>IF(AND(COUNT(AF941,AG941,AH941)=3,AF941&gt;=AG941,AG941&gt;=0,AH941=14),AF941-AG941,"")</f>
        <v>0</v>
      </c>
      <c r="K941" s="28" t="n">
        <f>IF(AND(COUNT(AL941,AM941,AN941)=3,AL941&gt;=AM941,AM941&gt;=0,AN941=30),AL941-AM941,"")</f>
        <v>0</v>
      </c>
      <c r="L941" s="29" t="n">
        <f>IF(ISNUMBER(BI941),BI941/90,"")</f>
        <v>0.019434296550614533</v>
      </c>
      <c r="M941" s="28" t="n">
        <v>18</v>
      </c>
      <c r="N941" s="28" t="n">
        <v>0</v>
      </c>
      <c r="O941" s="28" t="n">
        <v>1</v>
      </c>
      <c r="P941" s="30" t="n">
        <f>IF(AND(ISNUMBER(L941),L941&gt;0,COUNT(M941:O941)=3,MIN(M941:O941)&gt;=0),SUM(M941:O941)/L941,"")</f>
        <v>977.6530861570701</v>
      </c>
      <c r="Q941" s="16" t="str">
        <v>沿用原计划SKU店铺</v>
      </c>
      <c r="R941" s="16" t="str">
        <v>已匹配</v>
      </c>
      <c r="S941" s="16" t="str">
        <v>在售</v>
      </c>
      <c r="T941" s="16" t="str">
        <v>B06</v>
      </c>
      <c r="U941" s="16" t="str">
        <v>红色镜面PU</v>
      </c>
      <c r="V941" s="16" t="n">
        <v>6.5</v>
      </c>
      <c r="W941" s="8" t="str">
        <v>2026-10-11 至 2026-10-17</v>
      </c>
      <c r="X941" s="8" t="str">
        <v>2026-10-11、2026-10-12、2026-10-13、2026-10-14、2026-10-15、2026-10-16、2026-10-17</v>
      </c>
      <c r="Y941" s="8" t="str">
        <v>无</v>
      </c>
      <c r="Z941" s="8" t="n">
        <v>0</v>
      </c>
      <c r="AA941" s="8" t="n">
        <v>0</v>
      </c>
      <c r="AB941" s="8" t="n">
        <v>7</v>
      </c>
      <c r="AC941" s="8" t="str">
        <v>2026-10-02 至 2026-10-17</v>
      </c>
      <c r="AD941" s="8" t="str">
        <v>2026-10-02、2026-10-03、2026-10-04、2026-10-05、2026-10-08、2026-10-09、2026-10-10、2026-10-11、2026-10-12、2026-10-13、2026-10-14、2026-10-15、2026-10-16、2026-10-17</v>
      </c>
      <c r="AE941" s="8" t="str">
        <v>2026-10-06 大促；2026-10-07 大促</v>
      </c>
      <c r="AF941" s="8" t="n">
        <v>0</v>
      </c>
      <c r="AG941" s="8" t="n">
        <v>0</v>
      </c>
      <c r="AH941" s="8" t="n">
        <v>14</v>
      </c>
      <c r="AI941" s="8" t="str">
        <v>2026-09-16 至 2026-10-17</v>
      </c>
      <c r="AJ9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1" s="8" t="str">
        <v>2026-10-06 大促；2026-10-07 大促</v>
      </c>
      <c r="AL941" s="8" t="n">
        <v>0</v>
      </c>
      <c r="AM941" s="8" t="n">
        <v>0</v>
      </c>
      <c r="AN941" s="8" t="n">
        <v>30</v>
      </c>
      <c r="AO941" s="8" t="str">
        <v>B06 / 红色羊京绒 / 13120</v>
      </c>
      <c r="AP941" s="11" t="n">
        <v>1.2247029157699902</v>
      </c>
      <c r="AQ941" s="11" t="n">
        <v>1.2247029157699902</v>
      </c>
      <c r="AR941" s="11" t="n">
        <v>1.1136940657346173</v>
      </c>
      <c r="AS941" s="11" t="n">
        <f>IF(AND(COUNT(I941:K941,AP941:AR941)=6,MIN(AP941:AR941)&gt;0),I941/7/AP941*0.5+J941/14/AQ941*0.3+K941/30/AR941*0.2,"")</f>
        <v>0</v>
      </c>
      <c r="AT941" s="8" t="n">
        <v>2</v>
      </c>
      <c r="AU941" s="8" t="n">
        <v>0</v>
      </c>
      <c r="AV941" s="8" t="n">
        <v>88</v>
      </c>
      <c r="AW941" s="11" t="n">
        <f>IF(AND(COUNT(AT941:AV941)=3,AT941&gt;=AU941,AU941&gt;=0,AV941&gt;0),(AT941-AU941)/AV941,"")</f>
        <v>0.022727272727272728</v>
      </c>
      <c r="AX941" s="8" t="n">
        <v>7</v>
      </c>
      <c r="AY941" s="8" t="n">
        <v>0</v>
      </c>
      <c r="AZ941" s="8" t="n">
        <v>178</v>
      </c>
      <c r="BA941" s="11" t="n">
        <f>IF(AND(COUNT(AX941:AZ941)=3,AX941&gt;=AY941,AY941&gt;=0,AZ941&gt;0),(AX941-AY941)/AZ941,"")</f>
        <v>0.03932584269662921</v>
      </c>
      <c r="BB941" s="8" t="n">
        <f>IF(COUNT(AS941,AW941,BA941)=3,1,0)</f>
        <v>1</v>
      </c>
      <c r="BC941" s="11" t="n">
        <f>IF(SUMIF($AO$11:$AO$1309,AO941,$BB$11:$BB$1309)=COUNTIF($AO$11:$AO$1309,AO941),SUMIF($AO$11:$AO$1309,AO941,$AS$11:$AS$1309),"")</f>
        <v>0.8439809959730303</v>
      </c>
      <c r="BD941" s="11" t="n">
        <f>IF(SUMIF($AO$11:$AO$1309,AO941,$BB$11:$BB$1309)=COUNTIF($AO$11:$AO$1309,AO941),SUMIF($AO$11:$AO$1309,AO941,$AW$11:$AW$1309),"")</f>
        <v>0.8696244248227831</v>
      </c>
      <c r="BE941" s="11" t="n">
        <f>IF(SUMIF($AO$11:$AO$1309,AO941,$BB$11:$BB$1309)=COUNTIF($AO$11:$AO$1309,AO941),SUMIF($AO$11:$AO$1309,AO941,$BA$11:$BA$1309),"")</f>
        <v>1.2057704654895667</v>
      </c>
      <c r="BF941" s="12" t="n">
        <f>IF(COUNT(BD941:BE941)&lt;&gt;2,"",IF(AND(BD941&gt;0,BE941&gt;0),0.7*AW941/BD941+0.3*BA941/BE941,IF(BD941&gt;0,AW941/BD941,IF(BE941&gt;0,BA941/BE941,IF(AND(ISNUMBER(BH941),BH941=0),0,"")))))</f>
        <v>0.028078619092489487</v>
      </c>
      <c r="BG941" s="11" t="n">
        <f>IF(AND(COUNT(BN941:BU941)=8,MIN(BN941:BU941)&gt;=0),SUMPRODUCT(BN941:BQ941,BR941:BU941),"")</f>
        <v>73.80791239847399</v>
      </c>
      <c r="BH941" s="11" t="n">
        <f>IF(COUNT(BC941,BG941)=2,BC941*BG941,"")</f>
        <v>62.29247541675425</v>
      </c>
      <c r="BI941" s="11" t="n">
        <f>IF(ISNUMBER(CI941),CI941,"")</f>
        <v>1.749086689555308</v>
      </c>
      <c r="BJ941" s="8" t="str">
        <v>低销提醒依据不完整</v>
      </c>
      <c r="BK941" s="8" t="str">
        <v>90天：2026-07-20 至 2026-10-17；180天：2026-04-21 至 2026-10-17</v>
      </c>
      <c r="BL941" s="8" t="str">
        <v>90天：2026-10-06、2026-10-07；180天：2026-10-06、2026-10-07</v>
      </c>
      <c r="BM941" s="8" t="str">
        <v>2026-10：12天 × 1.2247029157699902；2026-11：30天 × 0.8332682139098497；2026-12：31天 × 0.5511018253564084；2027-01：17天 × 1.0017220238758797</v>
      </c>
      <c r="BN941" s="11" t="n">
        <v>1.2247029157699902</v>
      </c>
      <c r="BO941" s="11" t="n">
        <v>0.8332682139098497</v>
      </c>
      <c r="BP941" s="11" t="n">
        <v>0.5511018253564084</v>
      </c>
      <c r="BQ941" s="11" t="n">
        <v>1.0017220238758797</v>
      </c>
      <c r="BR941" s="8" t="n">
        <v>12</v>
      </c>
      <c r="BS941" s="8" t="n">
        <v>30</v>
      </c>
      <c r="BT941" s="8" t="n">
        <v>31</v>
      </c>
      <c r="BU941" s="8" t="n">
        <v>17</v>
      </c>
      <c r="BV941" s="11" t="n">
        <f>IF(COUNT(BC941,BF941)=2,BC941*BF941,"")</f>
        <v>0.02369782090722662</v>
      </c>
      <c r="BW941" s="11" t="n">
        <f>IF(ISNUMBER(BN941),BN941,"")</f>
        <v>1.2247029157699902</v>
      </c>
      <c r="BX941" s="14" t="n">
        <f>IF(ISNUMBER(BR941),BR941,"")</f>
        <v>12</v>
      </c>
      <c r="BY941" s="13" t="n">
        <f>IF(AND(COUNT(BV941,BW941,BX941)=3,MIN(BV941,BW941,BX941)&gt;=0),BV941*BW941*BX941,"")</f>
        <v>0.34827348434970573</v>
      </c>
      <c r="BZ941" s="11" t="n">
        <f>IF(ISNUMBER(BO941),BO941,"")</f>
        <v>0.8332682139098497</v>
      </c>
      <c r="CA941" s="14" t="n">
        <f>IF(ISNUMBER(BS941),BS941,"")</f>
        <v>30</v>
      </c>
      <c r="CB941" s="13" t="n">
        <f>IF(AND(COUNT(BV941,BZ941,CA941)=3,MIN(BV941,BZ941,CA941)&gt;=0),BV941*BZ941*CA941,"")</f>
        <v>0.5923992270276067</v>
      </c>
      <c r="CC941" s="11" t="n">
        <f>IF(ISNUMBER(BP941),BP941,"")</f>
        <v>0.5511018253564084</v>
      </c>
      <c r="CD941" s="14" t="n">
        <f>IF(ISNUMBER(BT941),BT941,"")</f>
        <v>31</v>
      </c>
      <c r="CE941" s="13" t="n">
        <f>IF(AND(COUNT(BV941,CC941,CD941)=3,MIN(BV941,CC941,CD941)&gt;=0),BV941*CC941*CD941,"")</f>
        <v>0.4048572831271973</v>
      </c>
      <c r="CF941" s="11" t="n">
        <f>IF(ISNUMBER(BQ941),BQ941,"")</f>
        <v>1.0017220238758797</v>
      </c>
      <c r="CG941" s="14" t="n">
        <f>IF(ISNUMBER(BU941),BU941,"")</f>
        <v>17</v>
      </c>
      <c r="CH941" s="13" t="n">
        <f>IF(AND(COUNT(BV941,CF941,CG941)=3,MIN(BV941,CF941,CG941)&gt;=0),BV941*CF941*CG941,"")</f>
        <v>0.40355669505079816</v>
      </c>
      <c r="CI941" s="13" t="n">
        <f>IF(COUNT(BY941,CB941,CE941,CH941)=4,SUM(BY941,CB941,CE941,CH941),"")</f>
        <v>1.749086689555308</v>
      </c>
    </row>
    <row r="942" ht="72" customHeight="1">
      <c r="A942" s="16" t="str">
        <v>B06-RD-Z-0-38</v>
      </c>
      <c r="B942" s="16" t="str">
        <v>1店-MUSSHOE-US</v>
      </c>
      <c r="C942" s="16" t="str">
        <v>艾年</v>
      </c>
      <c r="D942" s="26" t="n">
        <f>IF(NOT(ISNUMBER(E942)),"",IF(OR(E942&lt;=0,L942=0),0,IF(OR(NOT(ISNUMBER(F942)),F942&lt;0),"",MIN(E942,INT(F942)))))</f>
        <v>0</v>
      </c>
      <c r="E942" s="27" t="n">
        <f>IF(OR(NOT(ISNUMBER(L942)),COUNT(M942:O942)&lt;&gt;3,MIN(M942:O942)&lt;0),"",ROUNDUP(ROUND(BI942-SUM(M942:O942),10),0))</f>
        <v>-1</v>
      </c>
      <c r="F942" s="28" t="n">
        <v>0</v>
      </c>
      <c r="G942" s="28" t="n">
        <f>IF(AND(ISNUMBER(D942),ISNUMBER(E942)),IF(OR(E942&lt;=0,L942=0),0,E942-D942),"")</f>
        <v>0</v>
      </c>
      <c r="H942" s="16" t="str">
        <f>IF(NOT(ISNUMBER(E942)),"销量或海外库存待补",IF(OR(E942&lt;=0,L942=0),IF(L942=0,"零日销，本批不发","本批无需补货"),IF(NOT(ISNUMBER(D942)),"国内库存待补",IF(D942=0,"国内无可用库存",IF(G942&gt;0,"先发国内现货","按建议量发货")))))</f>
        <v>本批无需补货</v>
      </c>
      <c r="I942" s="28" t="n">
        <f>IF(AND(COUNT(Z942,AA942,AB942)=3,Z942&gt;=AA942,AA942&gt;=0,AB942=7),Z942-AA942,"")</f>
        <v>1</v>
      </c>
      <c r="J942" s="28" t="n">
        <f>IF(AND(COUNT(AF942,AG942,AH942)=3,AF942&gt;=AG942,AG942&gt;=0,AH942=14),AF942-AG942,"")</f>
        <v>1</v>
      </c>
      <c r="K942" s="28" t="n">
        <f>IF(AND(COUNT(AL942,AM942,AN942)=3,AL942&gt;=AM942,AM942&gt;=0,AN942=30),AL942-AM942,"")</f>
        <v>2</v>
      </c>
      <c r="L942" s="29" t="n">
        <f>IF(ISNUMBER(BI942),BI942/90,"")</f>
        <v>0.016531938787867975</v>
      </c>
      <c r="M942" s="28" t="n">
        <v>2</v>
      </c>
      <c r="N942" s="28" t="n">
        <v>0</v>
      </c>
      <c r="O942" s="28" t="n">
        <v>0</v>
      </c>
      <c r="P942" s="30" t="n">
        <f>IF(AND(ISNUMBER(L942),L942&gt;0,COUNT(M942:O942)=3,MIN(M942:O942)&gt;=0),SUM(M942:O942)/L942,"")</f>
        <v>120.9779461237606</v>
      </c>
      <c r="Q942" s="16" t="str">
        <v>沿用原计划SKU店铺</v>
      </c>
      <c r="R942" s="16" t="str">
        <v>已匹配</v>
      </c>
      <c r="S942" s="16" t="str">
        <v>在售</v>
      </c>
      <c r="T942" s="16" t="str">
        <v>B06</v>
      </c>
      <c r="U942" s="16" t="str">
        <v>红色镜面PU</v>
      </c>
      <c r="V942" s="16" t="n">
        <v>7</v>
      </c>
      <c r="W942" s="8" t="str">
        <v>2026-10-11 至 2026-10-17</v>
      </c>
      <c r="X942" s="8" t="str">
        <v>2026-10-11、2026-10-12、2026-10-13、2026-10-14、2026-10-15、2026-10-16、2026-10-17</v>
      </c>
      <c r="Y942" s="8" t="str">
        <v>无</v>
      </c>
      <c r="Z942" s="8" t="n">
        <v>1</v>
      </c>
      <c r="AA942" s="8" t="n">
        <v>0</v>
      </c>
      <c r="AB942" s="8" t="n">
        <v>7</v>
      </c>
      <c r="AC942" s="8" t="str">
        <v>2026-10-02 至 2026-10-17</v>
      </c>
      <c r="AD942" s="8" t="str">
        <v>2026-10-02、2026-10-03、2026-10-04、2026-10-05、2026-10-08、2026-10-09、2026-10-10、2026-10-11、2026-10-12、2026-10-13、2026-10-14、2026-10-15、2026-10-16、2026-10-17</v>
      </c>
      <c r="AE942" s="8" t="str">
        <v>2026-10-06 大促；2026-10-07 大促</v>
      </c>
      <c r="AF942" s="8" t="n">
        <v>2</v>
      </c>
      <c r="AG942" s="8" t="n">
        <v>1</v>
      </c>
      <c r="AH942" s="8" t="n">
        <v>14</v>
      </c>
      <c r="AI942" s="8" t="str">
        <v>2026-09-16 至 2026-10-17</v>
      </c>
      <c r="AJ9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2" s="8" t="str">
        <v>2026-10-06 大促；2026-10-07 大促</v>
      </c>
      <c r="AL942" s="8" t="n">
        <v>3</v>
      </c>
      <c r="AM942" s="8" t="n">
        <v>1</v>
      </c>
      <c r="AN942" s="8" t="n">
        <v>30</v>
      </c>
      <c r="AO942" s="8" t="str">
        <v>B06 / 红色羊京绒 / 13120</v>
      </c>
      <c r="AP942" s="11" t="n">
        <v>1.2247029157699902</v>
      </c>
      <c r="AQ942" s="11" t="n">
        <v>1.2247029157699902</v>
      </c>
      <c r="AR942" s="11" t="n">
        <v>1.1136940657346173</v>
      </c>
      <c r="AS942" s="11" t="n">
        <f>IF(AND(COUNT(I942:K942,AP942:AR942)=6,MIN(AP942:AR942)&gt;0),I942/7/AP942*0.5+J942/14/AQ942*0.3+K942/30/AR942*0.2,"")</f>
        <v>0.08779230578746408</v>
      </c>
      <c r="AT942" s="8" t="n">
        <v>3</v>
      </c>
      <c r="AU942" s="8" t="n">
        <v>1</v>
      </c>
      <c r="AV942" s="8" t="n">
        <v>88</v>
      </c>
      <c r="AW942" s="11" t="n">
        <f>IF(AND(COUNT(AT942:AV942)=3,AT942&gt;=AU942,AU942&gt;=0,AV942&gt;0),(AT942-AU942)/AV942,"")</f>
        <v>0.022727272727272728</v>
      </c>
      <c r="AX942" s="8" t="n">
        <v>5</v>
      </c>
      <c r="AY942" s="8" t="n">
        <v>1</v>
      </c>
      <c r="AZ942" s="8" t="n">
        <v>178</v>
      </c>
      <c r="BA942" s="11" t="n">
        <f>IF(AND(COUNT(AX942:AZ942)=3,AX942&gt;=AY942,AY942&gt;=0,AZ942&gt;0),(AX942-AY942)/AZ942,"")</f>
        <v>0.02247191011235955</v>
      </c>
      <c r="BB942" s="8" t="n">
        <f>IF(COUNT(AS942,AW942,BA942)=3,1,0)</f>
        <v>1</v>
      </c>
      <c r="BC942" s="11" t="n">
        <f>IF(SUMIF($AO$11:$AO$1309,AO942,$BB$11:$BB$1309)=COUNTIF($AO$11:$AO$1309,AO942),SUMIF($AO$11:$AO$1309,AO942,$AS$11:$AS$1309),"")</f>
        <v>0.8439809959730303</v>
      </c>
      <c r="BD942" s="11" t="n">
        <f>IF(SUMIF($AO$11:$AO$1309,AO942,$BB$11:$BB$1309)=COUNTIF($AO$11:$AO$1309,AO942),SUMIF($AO$11:$AO$1309,AO942,$AW$11:$AW$1309),"")</f>
        <v>0.8696244248227831</v>
      </c>
      <c r="BE942" s="11" t="n">
        <f>IF(SUMIF($AO$11:$AO$1309,AO942,$BB$11:$BB$1309)=COUNTIF($AO$11:$AO$1309,AO942),SUMIF($AO$11:$AO$1309,AO942,$BA$11:$BA$1309),"")</f>
        <v>1.2057704654895667</v>
      </c>
      <c r="BF942" s="12" t="n">
        <f>IF(COUNT(BD942:BE942)&lt;&gt;2,"",IF(AND(BD942&gt;0,BE942&gt;0),0.7*AW942/BD942+0.3*BA942/BE942,IF(BD942&gt;0,AW942/BD942,IF(BE942&gt;0,BA942/BE942,IF(AND(ISNUMBER(BH942),BH942=0),0,"")))))</f>
        <v>0.02388530044686485</v>
      </c>
      <c r="BG942" s="11" t="n">
        <f>IF(AND(COUNT(BN942:BU942)=8,MIN(BN942:BU942)&gt;=0),SUMPRODUCT(BN942:BQ942,BR942:BU942),"")</f>
        <v>73.80791239847399</v>
      </c>
      <c r="BH942" s="11" t="n">
        <f>IF(COUNT(BC942,BG942)=2,BC942*BG942,"")</f>
        <v>62.29247541675425</v>
      </c>
      <c r="BI942" s="11" t="n">
        <f>IF(ISNUMBER(CI942),CI942,"")</f>
        <v>1.4878744909081179</v>
      </c>
      <c r="BJ942" s="8" t="str">
        <v>低销提醒依据不完整</v>
      </c>
      <c r="BK942" s="8" t="str">
        <v>90天：2026-07-20 至 2026-10-17；180天：2026-04-21 至 2026-10-17</v>
      </c>
      <c r="BL942" s="8" t="str">
        <v>90天：2026-10-06、2026-10-07；180天：2026-10-06、2026-10-07</v>
      </c>
      <c r="BM942" s="8" t="str">
        <v>2026-10：12天 × 1.2247029157699902；2026-11：30天 × 0.8332682139098497；2026-12：31天 × 0.5511018253564084；2027-01：17天 × 1.0017220238758797</v>
      </c>
      <c r="BN942" s="11" t="n">
        <v>1.2247029157699902</v>
      </c>
      <c r="BO942" s="11" t="n">
        <v>0.8332682139098497</v>
      </c>
      <c r="BP942" s="11" t="n">
        <v>0.5511018253564084</v>
      </c>
      <c r="BQ942" s="11" t="n">
        <v>1.0017220238758797</v>
      </c>
      <c r="BR942" s="8" t="n">
        <v>12</v>
      </c>
      <c r="BS942" s="8" t="n">
        <v>30</v>
      </c>
      <c r="BT942" s="8" t="n">
        <v>31</v>
      </c>
      <c r="BU942" s="8" t="n">
        <v>17</v>
      </c>
      <c r="BV942" s="11" t="n">
        <f>IF(COUNT(BC942,BF942)=2,BC942*BF942,"")</f>
        <v>0.02015873966026006</v>
      </c>
      <c r="BW942" s="11" t="n">
        <f>IF(ISNUMBER(BN942),BN942,"")</f>
        <v>1.2247029157699902</v>
      </c>
      <c r="BX942" s="14" t="n">
        <f>IF(ISNUMBER(BR942),BR942,"")</f>
        <v>12</v>
      </c>
      <c r="BY942" s="13" t="n">
        <f>IF(AND(COUNT(BV942,BW942,BX942)=3,MIN(BV942,BW942,BX942)&gt;=0),BV942*BW942*BX942,"")</f>
        <v>0.29626160688202363</v>
      </c>
      <c r="BZ942" s="11" t="n">
        <f>IF(ISNUMBER(BO942),BO942,"")</f>
        <v>0.8332682139098497</v>
      </c>
      <c r="CA942" s="14" t="n">
        <f>IF(ISNUMBER(BS942),BS942,"")</f>
        <v>30</v>
      </c>
      <c r="CB942" s="13" t="n">
        <f>IF(AND(COUNT(BV942,BZ942,CA942)=3,MIN(BV942,BZ942,CA942)&gt;=0),BV942*BZ942*CA942,"")</f>
        <v>0.5039291097413565</v>
      </c>
      <c r="CC942" s="11" t="n">
        <f>IF(ISNUMBER(BP942),BP942,"")</f>
        <v>0.5511018253564084</v>
      </c>
      <c r="CD942" s="14" t="n">
        <f>IF(ISNUMBER(BT942),BT942,"")</f>
        <v>31</v>
      </c>
      <c r="CE942" s="13" t="n">
        <f>IF(AND(COUNT(BV942,CC942,CD942)=3,MIN(BV942,CC942,CD942)&gt;=0),BV942*CC942*CD942,"")</f>
        <v>0.3443950649332722</v>
      </c>
      <c r="CF942" s="11" t="n">
        <f>IF(ISNUMBER(BQ942),BQ942,"")</f>
        <v>1.0017220238758797</v>
      </c>
      <c r="CG942" s="14" t="n">
        <f>IF(ISNUMBER(BU942),BU942,"")</f>
        <v>17</v>
      </c>
      <c r="CH942" s="13" t="n">
        <f>IF(AND(COUNT(BV942,CF942,CG942)=3,MIN(BV942,CF942,CG942)&gt;=0),BV942*CF942*CG942,"")</f>
        <v>0.34328870935146544</v>
      </c>
      <c r="CI942" s="13" t="n">
        <f>IF(COUNT(BY942,CB942,CE942,CH942)=4,SUM(BY942,CB942,CE942,CH942),"")</f>
        <v>1.4878744909081179</v>
      </c>
    </row>
    <row r="943" ht="72" customHeight="1">
      <c r="A943" s="16" t="str">
        <v>B06-RD-Z-0-38.5</v>
      </c>
      <c r="B943" s="16" t="str">
        <v>1店-MUSSHOE-US</v>
      </c>
      <c r="C943" s="16" t="str">
        <v>艾年</v>
      </c>
      <c r="D943" s="26" t="n">
        <f>IF(NOT(ISNUMBER(E943)),"",IF(OR(E943&lt;=0,L943=0),0,IF(OR(NOT(ISNUMBER(F943)),F943&lt;0),"",MIN(E943,INT(F943)))))</f>
        <v>0</v>
      </c>
      <c r="E943" s="27" t="n">
        <f>IF(OR(NOT(ISNUMBER(L943)),COUNT(M943:O943)&lt;&gt;3,MIN(M943:O943)&lt;0),"",ROUNDUP(ROUND(BI943-SUM(M943:O943),10),0))</f>
        <v>-9</v>
      </c>
      <c r="F943" s="28" t="n">
        <v>0</v>
      </c>
      <c r="G943" s="28" t="n">
        <f>IF(AND(ISNUMBER(D943),ISNUMBER(E943)),IF(OR(E943&lt;=0,L943=0),0,E943-D943),"")</f>
        <v>0</v>
      </c>
      <c r="H943" s="16" t="str">
        <f>IF(NOT(ISNUMBER(E943)),"销量或海外库存待补",IF(OR(E943&lt;=0,L943=0),IF(L943=0,"零日销，本批不发","本批无需补货"),IF(NOT(ISNUMBER(D943)),"国内库存待补",IF(D943=0,"国内无可用库存",IF(G943&gt;0,"先发国内现货","按建议量发货")))))</f>
        <v>本批无需补货</v>
      </c>
      <c r="I943" s="28" t="n">
        <f>IF(AND(COUNT(Z943,AA943,AB943)=3,Z943&gt;=AA943,AA943&gt;=0,AB943=7),Z943-AA943,"")</f>
        <v>1</v>
      </c>
      <c r="J943" s="28" t="n">
        <f>IF(AND(COUNT(AF943,AG943,AH943)=3,AF943&gt;=AG943,AG943&gt;=0,AH943=14),AF943-AG943,"")</f>
        <v>1</v>
      </c>
      <c r="K943" s="28" t="n">
        <f>IF(AND(COUNT(AL943,AM943,AN943)=3,AL943&gt;=AM943,AM943&gt;=0,AN943=30),AL943-AM943,"")</f>
        <v>1</v>
      </c>
      <c r="L943" s="29" t="n">
        <f>IF(ISNUMBER(BI943),BI943/90,"")</f>
        <v>0.0301615198129894</v>
      </c>
      <c r="M943" s="28" t="n">
        <v>11</v>
      </c>
      <c r="N943" s="28" t="n">
        <v>0</v>
      </c>
      <c r="O943" s="28" t="n">
        <v>0</v>
      </c>
      <c r="P943" s="30" t="n">
        <f>IF(AND(ISNUMBER(L943),L943&gt;0,COUNT(M943:O943)=3,MIN(M943:O943)&gt;=0),SUM(M943:O943)/L943,"")</f>
        <v>364.7031074098171</v>
      </c>
      <c r="Q943" s="16" t="str">
        <v>沿用原计划SKU店铺</v>
      </c>
      <c r="R943" s="16" t="str">
        <v>已匹配</v>
      </c>
      <c r="S943" s="16" t="str">
        <v>在售</v>
      </c>
      <c r="T943" s="16" t="str">
        <v>B06</v>
      </c>
      <c r="U943" s="16" t="str">
        <v>红色镜面PU</v>
      </c>
      <c r="V943" s="16" t="n">
        <v>7.5</v>
      </c>
      <c r="W943" s="8" t="str">
        <v>2026-10-11 至 2026-10-17</v>
      </c>
      <c r="X943" s="8" t="str">
        <v>2026-10-11、2026-10-12、2026-10-13、2026-10-14、2026-10-15、2026-10-16、2026-10-17</v>
      </c>
      <c r="Y943" s="8" t="str">
        <v>无</v>
      </c>
      <c r="Z943" s="8" t="n">
        <v>1</v>
      </c>
      <c r="AA943" s="8" t="n">
        <v>0</v>
      </c>
      <c r="AB943" s="8" t="n">
        <v>7</v>
      </c>
      <c r="AC943" s="8" t="str">
        <v>2026-10-02 至 2026-10-17</v>
      </c>
      <c r="AD943" s="8" t="str">
        <v>2026-10-02、2026-10-03、2026-10-04、2026-10-05、2026-10-08、2026-10-09、2026-10-10、2026-10-11、2026-10-12、2026-10-13、2026-10-14、2026-10-15、2026-10-16、2026-10-17</v>
      </c>
      <c r="AE943" s="8" t="str">
        <v>2026-10-06 大促；2026-10-07 大促</v>
      </c>
      <c r="AF943" s="8" t="n">
        <v>1</v>
      </c>
      <c r="AG943" s="8" t="n">
        <v>0</v>
      </c>
      <c r="AH943" s="8" t="n">
        <v>14</v>
      </c>
      <c r="AI943" s="8" t="str">
        <v>2026-09-16 至 2026-10-17</v>
      </c>
      <c r="AJ9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3" s="8" t="str">
        <v>2026-10-06 大促；2026-10-07 大促</v>
      </c>
      <c r="AL943" s="8" t="n">
        <v>1</v>
      </c>
      <c r="AM943" s="8" t="n">
        <v>0</v>
      </c>
      <c r="AN943" s="8" t="n">
        <v>30</v>
      </c>
      <c r="AO943" s="8" t="str">
        <v>B06 / 红色羊京绒 / 13120</v>
      </c>
      <c r="AP943" s="11" t="n">
        <v>1.2247029157699902</v>
      </c>
      <c r="AQ943" s="11" t="n">
        <v>1.2247029157699902</v>
      </c>
      <c r="AR943" s="11" t="n">
        <v>1.1136940657346173</v>
      </c>
      <c r="AS943" s="11" t="n">
        <f>IF(AND(COUNT(I943:K943,AP943:AR943)=6,MIN(AP943:AR943)&gt;0),I943/7/AP943*0.5+J943/14/AQ943*0.3+K943/30/AR943*0.2,"")</f>
        <v>0.08180622139339022</v>
      </c>
      <c r="AT943" s="8" t="n">
        <v>4</v>
      </c>
      <c r="AU943" s="8" t="n">
        <v>0</v>
      </c>
      <c r="AV943" s="8" t="n">
        <v>88</v>
      </c>
      <c r="AW943" s="11" t="n">
        <f>IF(AND(COUNT(AT943:AV943)=3,AT943&gt;=AU943,AU943&gt;=0,AV943&gt;0),(AT943-AU943)/AV943,"")</f>
        <v>0.045454545454545456</v>
      </c>
      <c r="AX943" s="8" t="n">
        <v>5</v>
      </c>
      <c r="AY943" s="8" t="n">
        <v>0</v>
      </c>
      <c r="AZ943" s="8" t="n">
        <v>178</v>
      </c>
      <c r="BA943" s="11" t="n">
        <f>IF(AND(COUNT(AX943:AZ943)=3,AX943&gt;=AY943,AY943&gt;=0,AZ943&gt;0),(AX943-AY943)/AZ943,"")</f>
        <v>0.028089887640449437</v>
      </c>
      <c r="BB943" s="8" t="n">
        <f>IF(COUNT(AS943,AW943,BA943)=3,1,0)</f>
        <v>1</v>
      </c>
      <c r="BC943" s="11" t="n">
        <f>IF(SUMIF($AO$11:$AO$1309,AO943,$BB$11:$BB$1309)=COUNTIF($AO$11:$AO$1309,AO943),SUMIF($AO$11:$AO$1309,AO943,$AS$11:$AS$1309),"")</f>
        <v>0.8439809959730303</v>
      </c>
      <c r="BD943" s="11" t="n">
        <f>IF(SUMIF($AO$11:$AO$1309,AO943,$BB$11:$BB$1309)=COUNTIF($AO$11:$AO$1309,AO943),SUMIF($AO$11:$AO$1309,AO943,$AW$11:$AW$1309),"")</f>
        <v>0.8696244248227831</v>
      </c>
      <c r="BE943" s="11" t="n">
        <f>IF(SUMIF($AO$11:$AO$1309,AO943,$BB$11:$BB$1309)=COUNTIF($AO$11:$AO$1309,AO943),SUMIF($AO$11:$AO$1309,AO943,$BA$11:$BA$1309),"")</f>
        <v>1.2057704654895667</v>
      </c>
      <c r="BF943" s="12" t="n">
        <f>IF(COUNT(BD943:BE943)&lt;&gt;2,"",IF(AND(BD943&gt;0,BE943&gt;0),0.7*AW943/BD943+0.3*BA943/BE943,IF(BD943&gt;0,AW943/BD943,IF(BE943&gt;0,BA943/BE943,IF(AND(ISNUMBER(BH943),BH943=0),0,"")))))</f>
        <v>0.04357728224810506</v>
      </c>
      <c r="BG943" s="11" t="n">
        <f>IF(AND(COUNT(BN943:BU943)=8,MIN(BN943:BU943)&gt;=0),SUMPRODUCT(BN943:BQ943,BR943:BU943),"")</f>
        <v>73.80791239847399</v>
      </c>
      <c r="BH943" s="11" t="n">
        <f>IF(COUNT(BC943,BG943)=2,BC943*BG943,"")</f>
        <v>62.29247541675425</v>
      </c>
      <c r="BI943" s="11" t="n">
        <f>IF(ISNUMBER(CI943),CI943,"")</f>
        <v>2.714536783169046</v>
      </c>
      <c r="BJ943" s="8" t="str">
        <v>低销提醒依据不完整</v>
      </c>
      <c r="BK943" s="8" t="str">
        <v>90天：2026-07-20 至 2026-10-17；180天：2026-04-21 至 2026-10-17</v>
      </c>
      <c r="BL943" s="8" t="str">
        <v>90天：2026-10-06、2026-10-07；180天：2026-10-06、2026-10-07</v>
      </c>
      <c r="BM943" s="8" t="str">
        <v>2026-10：12天 × 1.2247029157699902；2026-11：30天 × 0.8332682139098497；2026-12：31天 × 0.5511018253564084；2027-01：17天 × 1.0017220238758797</v>
      </c>
      <c r="BN943" s="11" t="n">
        <v>1.2247029157699902</v>
      </c>
      <c r="BO943" s="11" t="n">
        <v>0.8332682139098497</v>
      </c>
      <c r="BP943" s="11" t="n">
        <v>0.5511018253564084</v>
      </c>
      <c r="BQ943" s="11" t="n">
        <v>1.0017220238758797</v>
      </c>
      <c r="BR943" s="8" t="n">
        <v>12</v>
      </c>
      <c r="BS943" s="8" t="n">
        <v>30</v>
      </c>
      <c r="BT943" s="8" t="n">
        <v>31</v>
      </c>
      <c r="BU943" s="8" t="n">
        <v>17</v>
      </c>
      <c r="BV943" s="11" t="n">
        <f>IF(COUNT(BC943,BF943)=2,BC943*BF943,"")</f>
        <v>0.03677839807355356</v>
      </c>
      <c r="BW943" s="11" t="n">
        <f>IF(ISNUMBER(BN943),BN943,"")</f>
        <v>1.2247029157699902</v>
      </c>
      <c r="BX943" s="14" t="n">
        <f>IF(ISNUMBER(BR943),BR943,"")</f>
        <v>12</v>
      </c>
      <c r="BY943" s="13" t="n">
        <f>IF(AND(COUNT(BV943,BW943,BX943)=3,MIN(BV943,BW943,BX943)&gt;=0),BV943*BW943*BX943,"")</f>
        <v>0.5405113362963653</v>
      </c>
      <c r="BZ943" s="11" t="n">
        <f>IF(ISNUMBER(BO943),BO943,"")</f>
        <v>0.8332682139098497</v>
      </c>
      <c r="CA943" s="14" t="n">
        <f>IF(ISNUMBER(BS943),BS943,"")</f>
        <v>30</v>
      </c>
      <c r="CB943" s="13" t="n">
        <f>IF(AND(COUNT(BV943,BZ943,CA943)=3,MIN(BV943,BZ943,CA943)&gt;=0),BV943*BZ943*CA943,"")</f>
        <v>0.9193881021964632</v>
      </c>
      <c r="CC943" s="11" t="n">
        <f>IF(ISNUMBER(BP943),BP943,"")</f>
        <v>0.5511018253564084</v>
      </c>
      <c r="CD943" s="14" t="n">
        <f>IF(ISNUMBER(BT943),BT943,"")</f>
        <v>31</v>
      </c>
      <c r="CE943" s="13" t="n">
        <f>IF(AND(COUNT(BV943,CC943,CD943)=3,MIN(BV943,CC943,CD943)&gt;=0),BV943*CC943*CD943,"")</f>
        <v>0.6283279116726195</v>
      </c>
      <c r="CF943" s="11" t="n">
        <f>IF(ISNUMBER(BQ943),BQ943,"")</f>
        <v>1.0017220238758797</v>
      </c>
      <c r="CG943" s="14" t="n">
        <f>IF(ISNUMBER(BU943),BU943,"")</f>
        <v>17</v>
      </c>
      <c r="CH943" s="13" t="n">
        <f>IF(AND(COUNT(BV943,CF943,CG943)=3,MIN(BV943,CF943,CG943)&gt;=0),BV943*CF943*CG943,"")</f>
        <v>0.6263094330035981</v>
      </c>
      <c r="CI943" s="13" t="n">
        <f>IF(COUNT(BY943,CB943,CE943,CH943)=4,SUM(BY943,CB943,CE943,CH943),"")</f>
        <v>2.714536783169046</v>
      </c>
    </row>
    <row r="944" ht="72" customHeight="1">
      <c r="A944" s="16" t="str">
        <v>B06-RD-Z-0-40</v>
      </c>
      <c r="B944" s="16" t="str">
        <v>1店-MUSSHOE-US</v>
      </c>
      <c r="C944" s="16" t="str">
        <v>艾年</v>
      </c>
      <c r="D944" s="26" t="n">
        <f>IF(NOT(ISNUMBER(E944)),"",IF(OR(E944&lt;=0,L944=0),0,IF(OR(NOT(ISNUMBER(F944)),F944&lt;0),"",MIN(E944,INT(F944)))))</f>
        <v>0</v>
      </c>
      <c r="E944" s="27" t="n">
        <f>IF(OR(NOT(ISNUMBER(L944)),COUNT(M944:O944)&lt;&gt;3,MIN(M944:O944)&lt;0),"",ROUNDUP(ROUND(BI944-SUM(M944:O944),10),0))</f>
        <v>-9</v>
      </c>
      <c r="F944" s="28" t="n">
        <v>0</v>
      </c>
      <c r="G944" s="28" t="n">
        <f>IF(AND(ISNUMBER(D944),ISNUMBER(E944)),IF(OR(E944&lt;=0,L944=0),0,E944-D944),"")</f>
        <v>0</v>
      </c>
      <c r="H944" s="16" t="str">
        <f>IF(NOT(ISNUMBER(E944)),"销量或海外库存待补",IF(OR(E944&lt;=0,L944=0),IF(L944=0,"零日销，本批不发","本批无需补货"),IF(NOT(ISNUMBER(D944)),"国内库存待补",IF(D944=0,"国内无可用库存",IF(G944&gt;0,"先发国内现货","按建议量发货")))))</f>
        <v>本批无需补货</v>
      </c>
      <c r="I944" s="28" t="n">
        <f>IF(AND(COUNT(Z944,AA944,AB944)=3,Z944&gt;=AA944,AA944&gt;=0,AB944=7),Z944-AA944,"")</f>
        <v>2</v>
      </c>
      <c r="J944" s="28" t="n">
        <f>IF(AND(COUNT(AF944,AG944,AH944)=3,AF944&gt;=AG944,AG944&gt;=0,AH944=14),AF944-AG944,"")</f>
        <v>2</v>
      </c>
      <c r="K944" s="28" t="n">
        <f>IF(AND(COUNT(AL944,AM944,AN944)=3,AL944&gt;=AM944,AM944&gt;=0,AN944=30),AL944-AM944,"")</f>
        <v>2</v>
      </c>
      <c r="L944" s="29" t="n">
        <f>IF(ISNUMBER(BI944),BI944/90,"")</f>
        <v>0.024271559488525454</v>
      </c>
      <c r="M944" s="28" t="n">
        <v>11</v>
      </c>
      <c r="N944" s="28" t="n">
        <v>0</v>
      </c>
      <c r="O944" s="28" t="n">
        <v>0</v>
      </c>
      <c r="P944" s="30" t="n">
        <f>IF(AND(ISNUMBER(L944),L944&gt;0,COUNT(M944:O944)=3,MIN(M944:O944)&gt;=0),SUM(M944:O944)/L944,"")</f>
        <v>453.20532474233164</v>
      </c>
      <c r="Q944" s="16" t="str">
        <v>沿用原计划SKU店铺</v>
      </c>
      <c r="R944" s="16" t="str">
        <v>已匹配</v>
      </c>
      <c r="S944" s="16" t="str">
        <v>在售</v>
      </c>
      <c r="T944" s="16" t="str">
        <v>B06</v>
      </c>
      <c r="U944" s="16" t="str">
        <v>红色镜面PU</v>
      </c>
      <c r="V944" s="16" t="n">
        <v>9</v>
      </c>
      <c r="W944" s="8" t="str">
        <v>2026-10-11 至 2026-10-17</v>
      </c>
      <c r="X944" s="8" t="str">
        <v>2026-10-11、2026-10-12、2026-10-13、2026-10-14、2026-10-15、2026-10-16、2026-10-17</v>
      </c>
      <c r="Y944" s="8" t="str">
        <v>无</v>
      </c>
      <c r="Z944" s="8" t="n">
        <v>2</v>
      </c>
      <c r="AA944" s="8" t="n">
        <v>0</v>
      </c>
      <c r="AB944" s="8" t="n">
        <v>7</v>
      </c>
      <c r="AC944" s="8" t="str">
        <v>2026-10-02 至 2026-10-17</v>
      </c>
      <c r="AD944" s="8" t="str">
        <v>2026-10-02、2026-10-03、2026-10-04、2026-10-05、2026-10-08、2026-10-09、2026-10-10、2026-10-11、2026-10-12、2026-10-13、2026-10-14、2026-10-15、2026-10-16、2026-10-17</v>
      </c>
      <c r="AE944" s="8" t="str">
        <v>2026-10-06 大促；2026-10-07 大促</v>
      </c>
      <c r="AF944" s="8" t="n">
        <v>2</v>
      </c>
      <c r="AG944" s="8" t="n">
        <v>0</v>
      </c>
      <c r="AH944" s="8" t="n">
        <v>14</v>
      </c>
      <c r="AI944" s="8" t="str">
        <v>2026-09-16 至 2026-10-17</v>
      </c>
      <c r="AJ9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4" s="8" t="str">
        <v>2026-10-06 大促；2026-10-07 大促</v>
      </c>
      <c r="AL944" s="8" t="n">
        <v>2</v>
      </c>
      <c r="AM944" s="8" t="n">
        <v>0</v>
      </c>
      <c r="AN944" s="8" t="n">
        <v>30</v>
      </c>
      <c r="AO944" s="8" t="str">
        <v>B06 / 红色羊京绒 / 13120</v>
      </c>
      <c r="AP944" s="11" t="n">
        <v>1.2247029157699902</v>
      </c>
      <c r="AQ944" s="11" t="n">
        <v>1.2247029157699902</v>
      </c>
      <c r="AR944" s="11" t="n">
        <v>1.1136940657346173</v>
      </c>
      <c r="AS944" s="11" t="n">
        <f>IF(AND(COUNT(I944:K944,AP944:AR944)=6,MIN(AP944:AR944)&gt;0),I944/7/AP944*0.5+J944/14/AQ944*0.3+K944/30/AR944*0.2,"")</f>
        <v>0.16361244278678044</v>
      </c>
      <c r="AT944" s="8" t="n">
        <v>2</v>
      </c>
      <c r="AU944" s="8" t="n">
        <v>0</v>
      </c>
      <c r="AV944" s="8" t="n">
        <v>88</v>
      </c>
      <c r="AW944" s="11" t="n">
        <f>IF(AND(COUNT(AT944:AV944)=3,AT944&gt;=AU944,AU944&gt;=0,AV944&gt;0),(AT944-AU944)/AV944,"")</f>
        <v>0.022727272727272728</v>
      </c>
      <c r="AX944" s="8" t="n">
        <v>12</v>
      </c>
      <c r="AY944" s="8" t="n">
        <v>0</v>
      </c>
      <c r="AZ944" s="8" t="n">
        <v>178</v>
      </c>
      <c r="BA944" s="11" t="n">
        <f>IF(AND(COUNT(AX944:AZ944)=3,AX944&gt;=AY944,AY944&gt;=0,AZ944&gt;0),(AX944-AY944)/AZ944,"")</f>
        <v>0.06741573033707865</v>
      </c>
      <c r="BB944" s="8" t="n">
        <f>IF(COUNT(AS944,AW944,BA944)=3,1,0)</f>
        <v>1</v>
      </c>
      <c r="BC944" s="11" t="n">
        <f>IF(SUMIF($AO$11:$AO$1309,AO944,$BB$11:$BB$1309)=COUNTIF($AO$11:$AO$1309,AO944),SUMIF($AO$11:$AO$1309,AO944,$AS$11:$AS$1309),"")</f>
        <v>0.8439809959730303</v>
      </c>
      <c r="BD944" s="11" t="n">
        <f>IF(SUMIF($AO$11:$AO$1309,AO944,$BB$11:$BB$1309)=COUNTIF($AO$11:$AO$1309,AO944),SUMIF($AO$11:$AO$1309,AO944,$AW$11:$AW$1309),"")</f>
        <v>0.8696244248227831</v>
      </c>
      <c r="BE944" s="11" t="n">
        <f>IF(SUMIF($AO$11:$AO$1309,AO944,$BB$11:$BB$1309)=COUNTIF($AO$11:$AO$1309,AO944),SUMIF($AO$11:$AO$1309,AO944,$BA$11:$BA$1309),"")</f>
        <v>1.2057704654895667</v>
      </c>
      <c r="BF944" s="12" t="n">
        <f>IF(COUNT(BD944:BE944)&lt;&gt;2,"",IF(AND(BD944&gt;0,BE944&gt;0),0.7*AW944/BD944+0.3*BA944/BE944,IF(BD944&gt;0,AW944/BD944,IF(BE944&gt;0,BA944/BE944,IF(AND(ISNUMBER(BH944),BH944=0),0,"")))))</f>
        <v>0.03506748350186388</v>
      </c>
      <c r="BG944" s="11" t="n">
        <f>IF(AND(COUNT(BN944:BU944)=8,MIN(BN944:BU944)&gt;=0),SUMPRODUCT(BN944:BQ944,BR944:BU944),"")</f>
        <v>73.80791239847399</v>
      </c>
      <c r="BH944" s="11" t="n">
        <f>IF(COUNT(BC944,BG944)=2,BC944*BG944,"")</f>
        <v>62.29247541675425</v>
      </c>
      <c r="BI944" s="11" t="n">
        <f>IF(ISNUMBER(CI944),CI944,"")</f>
        <v>2.184440353967291</v>
      </c>
      <c r="BJ944" s="8" t="str">
        <v>低销提醒依据不完整</v>
      </c>
      <c r="BK944" s="8" t="str">
        <v>90天：2026-07-20 至 2026-10-17；180天：2026-04-21 至 2026-10-17</v>
      </c>
      <c r="BL944" s="8" t="str">
        <v>90天：2026-10-06、2026-10-07；180天：2026-10-06、2026-10-07</v>
      </c>
      <c r="BM944" s="8" t="str">
        <v>2026-10：12天 × 1.2247029157699902；2026-11：30天 × 0.8332682139098497；2026-12：31天 × 0.5511018253564084；2027-01：17天 × 1.0017220238758797</v>
      </c>
      <c r="BN944" s="11" t="n">
        <v>1.2247029157699902</v>
      </c>
      <c r="BO944" s="11" t="n">
        <v>0.8332682139098497</v>
      </c>
      <c r="BP944" s="11" t="n">
        <v>0.5511018253564084</v>
      </c>
      <c r="BQ944" s="11" t="n">
        <v>1.0017220238758797</v>
      </c>
      <c r="BR944" s="8" t="n">
        <v>12</v>
      </c>
      <c r="BS944" s="8" t="n">
        <v>30</v>
      </c>
      <c r="BT944" s="8" t="n">
        <v>31</v>
      </c>
      <c r="BU944" s="8" t="n">
        <v>17</v>
      </c>
      <c r="BV944" s="11" t="n">
        <f>IF(COUNT(BC944,BF944)=2,BC944*BF944,"")</f>
        <v>0.029596289652170888</v>
      </c>
      <c r="BW944" s="11" t="n">
        <f>IF(ISNUMBER(BN944),BN944,"")</f>
        <v>1.2247029157699902</v>
      </c>
      <c r="BX944" s="14" t="n">
        <f>IF(ISNUMBER(BR944),BR944,"")</f>
        <v>12</v>
      </c>
      <c r="BY944" s="13" t="n">
        <f>IF(AND(COUNT(BV944,BW944,BX944)=3,MIN(BV944,BW944,BX944)&gt;=0),BV944*BW944*BX944,"")</f>
        <v>0.43495994679584254</v>
      </c>
      <c r="BZ944" s="11" t="n">
        <f>IF(ISNUMBER(BO944),BO944,"")</f>
        <v>0.8332682139098497</v>
      </c>
      <c r="CA944" s="14" t="n">
        <f>IF(ISNUMBER(BS944),BS944,"")</f>
        <v>30</v>
      </c>
      <c r="CB944" s="13" t="n">
        <f>IF(AND(COUNT(BV944,BZ944,CA944)=3,MIN(BV944,BZ944,CA944)&gt;=0),BV944*BZ944*CA944,"")</f>
        <v>0.7398494225046901</v>
      </c>
      <c r="CC944" s="11" t="n">
        <f>IF(ISNUMBER(BP944),BP944,"")</f>
        <v>0.5511018253564084</v>
      </c>
      <c r="CD944" s="14" t="n">
        <f>IF(ISNUMBER(BT944),BT944,"")</f>
        <v>31</v>
      </c>
      <c r="CE944" s="13" t="n">
        <f>IF(AND(COUNT(BV944,CC944,CD944)=3,MIN(BV944,CC944,CD944)&gt;=0),BV944*CC944*CD944,"")</f>
        <v>0.5056276467837392</v>
      </c>
      <c r="CF944" s="11" t="n">
        <f>IF(ISNUMBER(BQ944),BQ944,"")</f>
        <v>1.0017220238758797</v>
      </c>
      <c r="CG944" s="14" t="n">
        <f>IF(ISNUMBER(BU944),BU944,"")</f>
        <v>17</v>
      </c>
      <c r="CH944" s="13" t="n">
        <f>IF(AND(COUNT(BV944,CF944,CG944)=3,MIN(BV944,CF944,CG944)&gt;=0),BV944*CF944*CG944,"")</f>
        <v>0.5040033378830194</v>
      </c>
      <c r="CI944" s="13" t="n">
        <f>IF(COUNT(BY944,CB944,CE944,CH944)=4,SUM(BY944,CB944,CE944,CH944),"")</f>
        <v>2.184440353967291</v>
      </c>
    </row>
    <row r="945" ht="72" customHeight="1">
      <c r="A945" s="16" t="str">
        <v>B06-RD-Z-0-42</v>
      </c>
      <c r="B945" s="16" t="str">
        <v>1店-MUSSHOE-US</v>
      </c>
      <c r="C945" s="16" t="str">
        <v>艾年</v>
      </c>
      <c r="D945" s="26" t="n">
        <f>IF(NOT(ISNUMBER(E945)),"",IF(OR(E945&lt;=0,L945=0),0,IF(OR(NOT(ISNUMBER(F945)),F945&lt;0),"",MIN(E945,INT(F945)))))</f>
        <v>0</v>
      </c>
      <c r="E945" s="27" t="n">
        <f>IF(OR(NOT(ISNUMBER(L945)),COUNT(M945:O945)&lt;&gt;3,MIN(M945:O945)&lt;0),"",ROUNDUP(ROUND(BI945-SUM(M945:O945),10),0))</f>
        <v>-2</v>
      </c>
      <c r="F945" s="28" t="n">
        <v>0</v>
      </c>
      <c r="G945" s="28" t="n">
        <f>IF(AND(ISNUMBER(D945),ISNUMBER(E945)),IF(OR(E945&lt;=0,L945=0),0,E945-D945),"")</f>
        <v>0</v>
      </c>
      <c r="H945" s="16" t="str">
        <f>IF(NOT(ISNUMBER(E945)),"销量或海外库存待补",IF(OR(E945&lt;=0,L945=0),IF(L945=0,"零日销，本批不发","本批无需补货"),IF(NOT(ISNUMBER(D945)),"国内库存待补",IF(D945=0,"国内无可用库存",IF(G945&gt;0,"先发国内现货","按建议量发货")))))</f>
        <v>本批无需补货</v>
      </c>
      <c r="I945" s="28" t="n">
        <f>IF(AND(COUNT(Z945,AA945,AB945)=3,Z945&gt;=AA945,AA945&gt;=0,AB945=7),Z945-AA945,"")</f>
        <v>2</v>
      </c>
      <c r="J945" s="28" t="n">
        <f>IF(AND(COUNT(AF945,AG945,AH945)=3,AF945&gt;=AG945,AG945&gt;=0,AH945=14),AF945-AG945,"")</f>
        <v>2</v>
      </c>
      <c r="K945" s="28" t="n">
        <f>IF(AND(COUNT(AL945,AM945,AN945)=3,AL945&gt;=AM945,AM945&gt;=0,AN945=30),AL945-AM945,"")</f>
        <v>2</v>
      </c>
      <c r="L945" s="29" t="n">
        <f>IF(ISNUMBER(BI945),BI945/90,"")</f>
        <v>0.034031330163318135</v>
      </c>
      <c r="M945" s="28" t="n">
        <v>5</v>
      </c>
      <c r="N945" s="28" t="n">
        <v>0</v>
      </c>
      <c r="O945" s="28" t="n">
        <v>0</v>
      </c>
      <c r="P945" s="30" t="n">
        <f>IF(AND(ISNUMBER(L945),L945&gt;0,COUNT(M945:O945)=3,MIN(M945:O945)&gt;=0),SUM(M945:O945)/L945,"")</f>
        <v>146.92343719756877</v>
      </c>
      <c r="Q945" s="16" t="str">
        <v>沿用原计划SKU店铺</v>
      </c>
      <c r="R945" s="16" t="str">
        <v>已匹配</v>
      </c>
      <c r="S945" s="16" t="str">
        <v>在售</v>
      </c>
      <c r="T945" s="16" t="str">
        <v>B06</v>
      </c>
      <c r="U945" s="16" t="str">
        <v>红色镜面PU</v>
      </c>
      <c r="V945" s="16" t="n">
        <v>11</v>
      </c>
      <c r="W945" s="8" t="str">
        <v>2026-10-11 至 2026-10-17</v>
      </c>
      <c r="X945" s="8" t="str">
        <v>2026-10-11、2026-10-12、2026-10-13、2026-10-14、2026-10-15、2026-10-16、2026-10-17</v>
      </c>
      <c r="Y945" s="8" t="str">
        <v>无</v>
      </c>
      <c r="Z945" s="8" t="n">
        <v>2</v>
      </c>
      <c r="AA945" s="8" t="n">
        <v>0</v>
      </c>
      <c r="AB945" s="8" t="n">
        <v>7</v>
      </c>
      <c r="AC945" s="8" t="str">
        <v>2026-10-02 至 2026-10-17</v>
      </c>
      <c r="AD945" s="8" t="str">
        <v>2026-10-02、2026-10-03、2026-10-04、2026-10-05、2026-10-08、2026-10-09、2026-10-10、2026-10-11、2026-10-12、2026-10-13、2026-10-14、2026-10-15、2026-10-16、2026-10-17</v>
      </c>
      <c r="AE945" s="8" t="str">
        <v>2026-10-06 大促；2026-10-07 大促</v>
      </c>
      <c r="AF945" s="8" t="n">
        <v>2</v>
      </c>
      <c r="AG945" s="8" t="n">
        <v>0</v>
      </c>
      <c r="AH945" s="8" t="n">
        <v>14</v>
      </c>
      <c r="AI945" s="8" t="str">
        <v>2026-09-16 至 2026-10-17</v>
      </c>
      <c r="AJ9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5" s="8" t="str">
        <v>2026-10-06 大促；2026-10-07 大促</v>
      </c>
      <c r="AL945" s="8" t="n">
        <v>2</v>
      </c>
      <c r="AM945" s="8" t="n">
        <v>0</v>
      </c>
      <c r="AN945" s="8" t="n">
        <v>30</v>
      </c>
      <c r="AO945" s="8" t="str">
        <v>B06 / 红色羊京绒 / 13120</v>
      </c>
      <c r="AP945" s="11" t="n">
        <v>1.2247029157699902</v>
      </c>
      <c r="AQ945" s="11" t="n">
        <v>1.2247029157699902</v>
      </c>
      <c r="AR945" s="11" t="n">
        <v>1.1136940657346173</v>
      </c>
      <c r="AS945" s="11" t="n">
        <f>IF(AND(COUNT(I945:K945,AP945:AR945)=6,MIN(AP945:AR945)&gt;0),I945/7/AP945*0.5+J945/14/AQ945*0.3+K945/30/AR945*0.2,"")</f>
        <v>0.16361244278678044</v>
      </c>
      <c r="AT945" s="8" t="n">
        <v>4</v>
      </c>
      <c r="AU945" s="8" t="n">
        <v>0</v>
      </c>
      <c r="AV945" s="8" t="n">
        <v>88</v>
      </c>
      <c r="AW945" s="11" t="n">
        <f>IF(AND(COUNT(AT945:AV945)=3,AT945&gt;=AU945,AU945&gt;=0,AV945&gt;0),(AT945-AU945)/AV945,"")</f>
        <v>0.045454545454545456</v>
      </c>
      <c r="AX945" s="8" t="n">
        <v>9</v>
      </c>
      <c r="AY945" s="8" t="n">
        <v>0</v>
      </c>
      <c r="AZ945" s="8" t="n">
        <v>178</v>
      </c>
      <c r="BA945" s="11" t="n">
        <f>IF(AND(COUNT(AX945:AZ945)=3,AX945&gt;=AY945,AY945&gt;=0,AZ945&gt;0),(AX945-AY945)/AZ945,"")</f>
        <v>0.05056179775280899</v>
      </c>
      <c r="BB945" s="8" t="n">
        <f>IF(COUNT(AS945,AW945,BA945)=3,1,0)</f>
        <v>1</v>
      </c>
      <c r="BC945" s="11" t="n">
        <f>IF(SUMIF($AO$11:$AO$1309,AO945,$BB$11:$BB$1309)=COUNTIF($AO$11:$AO$1309,AO945),SUMIF($AO$11:$AO$1309,AO945,$AS$11:$AS$1309),"")</f>
        <v>0.8439809959730303</v>
      </c>
      <c r="BD945" s="11" t="n">
        <f>IF(SUMIF($AO$11:$AO$1309,AO945,$BB$11:$BB$1309)=COUNTIF($AO$11:$AO$1309,AO945),SUMIF($AO$11:$AO$1309,AO945,$AW$11:$AW$1309),"")</f>
        <v>0.8696244248227831</v>
      </c>
      <c r="BE945" s="11" t="n">
        <f>IF(SUMIF($AO$11:$AO$1309,AO945,$BB$11:$BB$1309)=COUNTIF($AO$11:$AO$1309,AO945),SUMIF($AO$11:$AO$1309,AO945,$BA$11:$BA$1309),"")</f>
        <v>1.2057704654895667</v>
      </c>
      <c r="BF945" s="12" t="n">
        <f>IF(COUNT(BD945:BE945)&lt;&gt;2,"",IF(AND(BD945&gt;0,BE945&gt;0),0.7*AW945/BD945+0.3*BA945/BE945,IF(BD945&gt;0,AW945/BD945,IF(BE945&gt;0,BA945/BE945,IF(AND(ISNUMBER(BH945),BH945=0),0,"")))))</f>
        <v>0.04916837377560458</v>
      </c>
      <c r="BG945" s="11" t="n">
        <f>IF(AND(COUNT(BN945:BU945)=8,MIN(BN945:BU945)&gt;=0),SUMPRODUCT(BN945:BQ945,BR945:BU945),"")</f>
        <v>73.80791239847399</v>
      </c>
      <c r="BH945" s="11" t="n">
        <f>IF(COUNT(BC945,BG945)=2,BC945*BG945,"")</f>
        <v>62.29247541675425</v>
      </c>
      <c r="BI945" s="11" t="n">
        <f>IF(ISNUMBER(CI945),CI945,"")</f>
        <v>3.0628197146986325</v>
      </c>
      <c r="BJ945" s="8" t="str">
        <v>低销提醒依据不完整</v>
      </c>
      <c r="BK945" s="8" t="str">
        <v>90天：2026-07-20 至 2026-10-17；180天：2026-04-21 至 2026-10-17</v>
      </c>
      <c r="BL945" s="8" t="str">
        <v>90天：2026-10-06、2026-10-07；180天：2026-10-06、2026-10-07</v>
      </c>
      <c r="BM945" s="8" t="str">
        <v>2026-10：12天 × 1.2247029157699902；2026-11：30天 × 0.8332682139098497；2026-12：31天 × 0.5511018253564084；2027-01：17天 × 1.0017220238758797</v>
      </c>
      <c r="BN945" s="11" t="n">
        <v>1.2247029157699902</v>
      </c>
      <c r="BO945" s="11" t="n">
        <v>0.8332682139098497</v>
      </c>
      <c r="BP945" s="11" t="n">
        <v>0.5511018253564084</v>
      </c>
      <c r="BQ945" s="11" t="n">
        <v>1.0017220238758797</v>
      </c>
      <c r="BR945" s="8" t="n">
        <v>12</v>
      </c>
      <c r="BS945" s="8" t="n">
        <v>30</v>
      </c>
      <c r="BT945" s="8" t="n">
        <v>31</v>
      </c>
      <c r="BU945" s="8" t="n">
        <v>17</v>
      </c>
      <c r="BV945" s="11" t="n">
        <f>IF(COUNT(BC945,BF945)=2,BC945*BF945,"")</f>
        <v>0.04149717306950898</v>
      </c>
      <c r="BW945" s="11" t="n">
        <f>IF(ISNUMBER(BN945),BN945,"")</f>
        <v>1.2247029157699902</v>
      </c>
      <c r="BX945" s="14" t="n">
        <f>IF(ISNUMBER(BR945),BR945,"")</f>
        <v>12</v>
      </c>
      <c r="BY945" s="13" t="n">
        <f>IF(AND(COUNT(BV945,BW945,BX945)=3,MIN(BV945,BW945,BX945)&gt;=0),BV945*BW945*BX945,"")</f>
        <v>0.6098605062532747</v>
      </c>
      <c r="BZ945" s="11" t="n">
        <f>IF(ISNUMBER(BO945),BO945,"")</f>
        <v>0.8332682139098497</v>
      </c>
      <c r="CA945" s="14" t="n">
        <f>IF(ISNUMBER(BS945),BS945,"")</f>
        <v>30</v>
      </c>
      <c r="CB945" s="13" t="n">
        <f>IF(AND(COUNT(BV945,BZ945,CA945)=3,MIN(BV945,BZ945,CA945)&gt;=0),BV945*BZ945*CA945,"")</f>
        <v>1.0373482585781297</v>
      </c>
      <c r="CC945" s="11" t="n">
        <f>IF(ISNUMBER(BP945),BP945,"")</f>
        <v>0.5511018253564084</v>
      </c>
      <c r="CD945" s="14" t="n">
        <f>IF(ISNUMBER(BT945),BT945,"")</f>
        <v>31</v>
      </c>
      <c r="CE945" s="13" t="n">
        <f>IF(AND(COUNT(BV945,CC945,CD945)=3,MIN(BV945,CC945,CD945)&gt;=0),BV945*CC945*CD945,"")</f>
        <v>0.708944202597853</v>
      </c>
      <c r="CF945" s="11" t="n">
        <f>IF(ISNUMBER(BQ945),BQ945,"")</f>
        <v>1.0017220238758797</v>
      </c>
      <c r="CG945" s="14" t="n">
        <f>IF(ISNUMBER(BU945),BU945,"")</f>
        <v>17</v>
      </c>
      <c r="CH945" s="13" t="n">
        <f>IF(AND(COUNT(BV945,CF945,CG945)=3,MIN(BV945,CF945,CG945)&gt;=0),BV945*CF945*CG945,"")</f>
        <v>0.7066667472693752</v>
      </c>
      <c r="CI945" s="13" t="n">
        <f>IF(COUNT(BY945,CB945,CE945,CH945)=4,SUM(BY945,CB945,CE945,CH945),"")</f>
        <v>3.0628197146986325</v>
      </c>
    </row>
    <row r="946" ht="72" customHeight="1">
      <c r="A946" s="16" t="str">
        <v>B06-RG-38</v>
      </c>
      <c r="B946" s="16" t="str">
        <v>1店-MUSSHOE-US</v>
      </c>
      <c r="C946" s="16" t="str">
        <v>艾年</v>
      </c>
      <c r="D946" s="26" t="n">
        <f>IF(NOT(ISNUMBER(E946)),"",IF(OR(E946&lt;=0,L946=0),0,IF(OR(NOT(ISNUMBER(F946)),F946&lt;0),"",MIN(E946,INT(F946)))))</f>
        <v>0</v>
      </c>
      <c r="E946" s="27" t="n">
        <f>IF(OR(NOT(ISNUMBER(L946)),COUNT(M946:O946)&lt;&gt;3,MIN(M946:O946)&lt;0),"",ROUNDUP(ROUND(BI946-SUM(M946:O946),10),0))</f>
        <v>0</v>
      </c>
      <c r="F946" s="28" t="n">
        <v>0</v>
      </c>
      <c r="G946" s="28" t="n">
        <f>IF(AND(ISNUMBER(D946),ISNUMBER(E946)),IF(OR(E946&lt;=0,L946=0),0,E946-D946),"")</f>
        <v>0</v>
      </c>
      <c r="H946" s="16" t="str">
        <f>IF(NOT(ISNUMBER(E946)),"销量或海外库存待补",IF(OR(E946&lt;=0,L946=0),IF(L946=0,"零日销，本批不发","本批无需补货"),IF(NOT(ISNUMBER(D946)),"国内库存待补",IF(D946=0,"国内无可用库存",IF(G946&gt;0,"先发国内现货","按建议量发货")))))</f>
        <v>零日销，本批不发</v>
      </c>
      <c r="I946" s="28" t="n">
        <f>IF(AND(COUNT(Z946,AA946,AB946)=3,Z946&gt;=AA946,AA946&gt;=0,AB946=7),Z946-AA946,"")</f>
        <v>0</v>
      </c>
      <c r="J946" s="28" t="n">
        <f>IF(AND(COUNT(AF946,AG946,AH946)=3,AF946&gt;=AG946,AG946&gt;=0,AH946=14),AF946-AG946,"")</f>
        <v>0</v>
      </c>
      <c r="K946" s="28" t="n">
        <f>IF(AND(COUNT(AL946,AM946,AN946)=3,AL946&gt;=AM946,AM946&gt;=0,AN946=30),AL946-AM946,"")</f>
        <v>0</v>
      </c>
      <c r="L946" s="29" t="n">
        <f>IF(ISNUMBER(BI946),BI946/90,"")</f>
        <v>0</v>
      </c>
      <c r="M946" s="28" t="n">
        <v>0</v>
      </c>
      <c r="N946" s="28" t="n">
        <v>0</v>
      </c>
      <c r="O946" s="28" t="n">
        <v>0</v>
      </c>
      <c r="P946" s="30" t="str">
        <f>IF(AND(ISNUMBER(L946),L946&gt;0,COUNT(M946:O946)=3,MIN(M946:O946)&gt;=0),SUM(M946:O946)/L946,"")</f>
      </c>
      <c r="Q946" s="16" t="str">
        <v>沿用原计划SKU店铺</v>
      </c>
      <c r="R946" s="16" t="str">
        <v>已匹配</v>
      </c>
      <c r="S946" s="16" t="str">
        <v>停售</v>
      </c>
      <c r="T946" s="16" t="str">
        <v>B06</v>
      </c>
      <c r="U946" s="16" t="str">
        <v>玫瑰金PU</v>
      </c>
      <c r="V946" s="16" t="n">
        <v>7</v>
      </c>
      <c r="W946" s="8" t="str">
        <v>2026-10-08 至 2026-10-17</v>
      </c>
      <c r="X946" s="8" t="str">
        <v>2026-10-08、2026-10-09、2026-10-10、2026-10-11、2026-10-14、2026-10-15、2026-10-17</v>
      </c>
      <c r="Y946" s="8" t="str">
        <v>2026-10-12 有记录的停售日；2026-10-13 有记录的停售日；2026-10-16 有记录的停售日</v>
      </c>
      <c r="Z946" s="8" t="n">
        <v>0</v>
      </c>
      <c r="AA946" s="8" t="n">
        <v>0</v>
      </c>
      <c r="AB946" s="8" t="n">
        <v>7</v>
      </c>
      <c r="AC946" s="8" t="str">
        <v>2026-09-29 至 2026-10-17</v>
      </c>
      <c r="AD946" s="8" t="str">
        <v>2026-09-29、2026-09-30、2026-10-01、2026-10-02、2026-10-03、2026-10-04、2026-10-05、2026-10-08、2026-10-09、2026-10-10、2026-10-11、2026-10-14、2026-10-15、2026-10-17</v>
      </c>
      <c r="AE946" s="8" t="str">
        <v>2026-10-06 大促；2026-10-07 大促；2026-10-12 有记录的停售日；2026-10-13 有记录的停售日；2026-10-16 有记录的停售日</v>
      </c>
      <c r="AF946" s="8" t="n">
        <v>0</v>
      </c>
      <c r="AG946" s="8" t="n">
        <v>0</v>
      </c>
      <c r="AH946" s="8" t="n">
        <v>14</v>
      </c>
      <c r="AI946" s="8" t="str">
        <v>2026-09-13 至 2026-10-17</v>
      </c>
      <c r="AJ94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46" s="8" t="str">
        <v>2026-10-06 大促；2026-10-07 大促；2026-10-12 有记录的停售日；2026-10-13 有记录的停售日；2026-10-16 有记录的停售日</v>
      </c>
      <c r="AL946" s="8" t="n">
        <v>0</v>
      </c>
      <c r="AM946" s="8" t="n">
        <v>0</v>
      </c>
      <c r="AN946" s="8" t="n">
        <v>30</v>
      </c>
      <c r="AO946" s="8" t="str">
        <v>B06 / 玫瑰金PU / 13120</v>
      </c>
      <c r="AP946" s="11" t="n">
        <v>1.2247029157699902</v>
      </c>
      <c r="AQ946" s="11" t="n">
        <v>1.1929861014741694</v>
      </c>
      <c r="AR946" s="11" t="n">
        <v>1.0914922957275428</v>
      </c>
      <c r="AS946" s="11" t="n">
        <f>IF(AND(COUNT(I946:K946,AP946:AR946)=6,MIN(AP946:AR946)&gt;0),I946/7/AP946*0.5+J946/14/AQ946*0.3+K946/30/AR946*0.2,"")</f>
        <v>0</v>
      </c>
      <c r="AT946" s="8" t="n">
        <v>0</v>
      </c>
      <c r="AU946" s="8" t="n">
        <v>0</v>
      </c>
      <c r="AV946" s="8" t="n">
        <v>85</v>
      </c>
      <c r="AW946" s="11" t="n">
        <f>IF(AND(COUNT(AT946:AV946)=3,AT946&gt;=AU946,AU946&gt;=0,AV946&gt;0),(AT946-AU946)/AV946,"")</f>
        <v>0</v>
      </c>
      <c r="AX946" s="8" t="n">
        <v>0</v>
      </c>
      <c r="AY946" s="8" t="n">
        <v>0</v>
      </c>
      <c r="AZ946" s="8" t="n">
        <v>175</v>
      </c>
      <c r="BA946" s="11" t="n">
        <f>IF(AND(COUNT(AX946:AZ946)=3,AX946&gt;=AY946,AY946&gt;=0,AZ946&gt;0),(AX946-AY946)/AZ946,"")</f>
        <v>0</v>
      </c>
      <c r="BB946" s="8" t="n">
        <f>IF(COUNT(AS946,AW946,BA946)=3,1,0)</f>
        <v>1</v>
      </c>
      <c r="BC946" s="11" t="n">
        <f>IF(SUMIF($AO$11:$AO$1309,AO946,$BB$11:$BB$1309)=COUNTIF($AO$11:$AO$1309,AO946),SUMIF($AO$11:$AO$1309,AO946,$AS$11:$AS$1309),"")</f>
        <v>0.17138358849157517</v>
      </c>
      <c r="BD946" s="11" t="n">
        <f>IF(SUMIF($AO$11:$AO$1309,AO946,$BB$11:$BB$1309)=COUNTIF($AO$11:$AO$1309,AO946),SUMIF($AO$11:$AO$1309,AO946,$AW$11:$AW$1309),"")</f>
        <v>0.24064171122994651</v>
      </c>
      <c r="BE946" s="11" t="n">
        <f>IF(SUMIF($AO$11:$AO$1309,AO946,$BB$11:$BB$1309)=COUNTIF($AO$11:$AO$1309,AO946),SUMIF($AO$11:$AO$1309,AO946,$BA$11:$BA$1309),"")</f>
        <v>0.30568218298555383</v>
      </c>
      <c r="BF946" s="12" t="n">
        <f>IF(COUNT(BD946:BE946)&lt;&gt;2,"",IF(AND(BD946&gt;0,BE946&gt;0),0.7*AW946/BD946+0.3*BA946/BE946,IF(BD946&gt;0,AW946/BD946,IF(BE946&gt;0,BA946/BE946,IF(AND(ISNUMBER(BH946),BH946=0),0,"")))))</f>
        <v>0</v>
      </c>
      <c r="BG946" s="11" t="n">
        <f>IF(AND(COUNT(BN946:BU946)=8,MIN(BN946:BU946)&gt;=0),SUMPRODUCT(BN946:BQ946,BR946:BU946),"")</f>
        <v>73.80791239847399</v>
      </c>
      <c r="BH946" s="11" t="n">
        <f>IF(COUNT(BC946,BG946)=2,BC946*BG946,"")</f>
        <v>12.649464885922296</v>
      </c>
      <c r="BI946" s="11" t="n">
        <f>IF(ISNUMBER(CI946),CI946,"")</f>
        <v>0</v>
      </c>
      <c r="BJ946" s="8" t="str">
        <v>低销提醒依据不完整</v>
      </c>
      <c r="BK946" s="8" t="str">
        <v>90天：2026-07-20 至 2026-10-17；180天：2026-04-21 至 2026-10-17</v>
      </c>
      <c r="BL946" s="8" t="str">
        <v>90天：2026-10-06、2026-10-07、2026-10-12、2026-10-13、2026-10-16；180天：2026-10-06、2026-10-07、2026-10-12、2026-10-13、2026-10-16</v>
      </c>
      <c r="BM946" s="8" t="str">
        <v>2026-10：12天 × 1.2247029157699902；2026-11：30天 × 0.8332682139098497；2026-12：31天 × 0.5511018253564084；2027-01：17天 × 1.0017220238758797</v>
      </c>
      <c r="BN946" s="11" t="n">
        <v>1.2247029157699902</v>
      </c>
      <c r="BO946" s="11" t="n">
        <v>0.8332682139098497</v>
      </c>
      <c r="BP946" s="11" t="n">
        <v>0.5511018253564084</v>
      </c>
      <c r="BQ946" s="11" t="n">
        <v>1.0017220238758797</v>
      </c>
      <c r="BR946" s="8" t="n">
        <v>12</v>
      </c>
      <c r="BS946" s="8" t="n">
        <v>30</v>
      </c>
      <c r="BT946" s="8" t="n">
        <v>31</v>
      </c>
      <c r="BU946" s="8" t="n">
        <v>17</v>
      </c>
      <c r="BV946" s="11" t="n">
        <f>IF(COUNT(BC946,BF946)=2,BC946*BF946,"")</f>
        <v>0</v>
      </c>
      <c r="BW946" s="11" t="n">
        <f>IF(ISNUMBER(BN946),BN946,"")</f>
        <v>1.2247029157699902</v>
      </c>
      <c r="BX946" s="14" t="n">
        <f>IF(ISNUMBER(BR946),BR946,"")</f>
        <v>12</v>
      </c>
      <c r="BY946" s="13" t="n">
        <f>IF(AND(COUNT(BV946,BW946,BX946)=3,MIN(BV946,BW946,BX946)&gt;=0),BV946*BW946*BX946,"")</f>
        <v>0</v>
      </c>
      <c r="BZ946" s="11" t="n">
        <f>IF(ISNUMBER(BO946),BO946,"")</f>
        <v>0.8332682139098497</v>
      </c>
      <c r="CA946" s="14" t="n">
        <f>IF(ISNUMBER(BS946),BS946,"")</f>
        <v>30</v>
      </c>
      <c r="CB946" s="13" t="n">
        <f>IF(AND(COUNT(BV946,BZ946,CA946)=3,MIN(BV946,BZ946,CA946)&gt;=0),BV946*BZ946*CA946,"")</f>
        <v>0</v>
      </c>
      <c r="CC946" s="11" t="n">
        <f>IF(ISNUMBER(BP946),BP946,"")</f>
        <v>0.5511018253564084</v>
      </c>
      <c r="CD946" s="14" t="n">
        <f>IF(ISNUMBER(BT946),BT946,"")</f>
        <v>31</v>
      </c>
      <c r="CE946" s="13" t="n">
        <f>IF(AND(COUNT(BV946,CC946,CD946)=3,MIN(BV946,CC946,CD946)&gt;=0),BV946*CC946*CD946,"")</f>
        <v>0</v>
      </c>
      <c r="CF946" s="11" t="n">
        <f>IF(ISNUMBER(BQ946),BQ946,"")</f>
        <v>1.0017220238758797</v>
      </c>
      <c r="CG946" s="14" t="n">
        <f>IF(ISNUMBER(BU946),BU946,"")</f>
        <v>17</v>
      </c>
      <c r="CH946" s="13" t="n">
        <f>IF(AND(COUNT(BV946,CF946,CG946)=3,MIN(BV946,CF946,CG946)&gt;=0),BV946*CF946*CG946,"")</f>
        <v>0</v>
      </c>
      <c r="CI946" s="13" t="n">
        <f>IF(COUNT(BY946,CB946,CE946,CH946)=4,SUM(BY946,CB946,CE946,CH946),"")</f>
        <v>0</v>
      </c>
    </row>
    <row r="947" ht="72" customHeight="1">
      <c r="A947" s="16" t="str">
        <v>B06-RG-40-N</v>
      </c>
      <c r="B947" s="16" t="str">
        <v>1店-MUSSHOE-US</v>
      </c>
      <c r="C947" s="16" t="str">
        <v>艾年</v>
      </c>
      <c r="D947" s="26" t="n">
        <f>IF(NOT(ISNUMBER(E947)),"",IF(OR(E947&lt;=0,L947=0),0,IF(OR(NOT(ISNUMBER(F947)),F947&lt;0),"",MIN(E947,INT(F947)))))</f>
        <v>0</v>
      </c>
      <c r="E947" s="27" t="n">
        <f>IF(OR(NOT(ISNUMBER(L947)),COUNT(M947:O947)&lt;&gt;3,MIN(M947:O947)&lt;0),"",ROUNDUP(ROUND(BI947-SUM(M947:O947),10),0))</f>
        <v>-9</v>
      </c>
      <c r="F947" s="28" t="n">
        <v>0</v>
      </c>
      <c r="G947" s="28" t="n">
        <f>IF(AND(ISNUMBER(D947),ISNUMBER(E947)),IF(OR(E947&lt;=0,L947=0),0,E947-D947),"")</f>
        <v>0</v>
      </c>
      <c r="H947" s="16" t="str">
        <f>IF(NOT(ISNUMBER(E947)),"销量或海外库存待补",IF(OR(E947&lt;=0,L947=0),IF(L947=0,"零日销，本批不发","本批无需补货"),IF(NOT(ISNUMBER(D947)),"国内库存待补",IF(D947=0,"国内无可用库存",IF(G947&gt;0,"先发国内现货","按建议量发货")))))</f>
        <v>本批无需补货</v>
      </c>
      <c r="I947" s="28" t="n">
        <f>IF(AND(COUNT(Z947,AA947,AB947)=3,Z947&gt;=AA947,AA947&gt;=0,AB947=7),Z947-AA947,"")</f>
        <v>0</v>
      </c>
      <c r="J947" s="28" t="n">
        <f>IF(AND(COUNT(AF947,AG947,AH947)=3,AF947&gt;=AG947,AG947&gt;=0,AH947=14),AF947-AG947,"")</f>
        <v>1</v>
      </c>
      <c r="K947" s="28" t="n">
        <f>IF(AND(COUNT(AL947,AM947,AN947)=3,AL947&gt;=AM947,AM947&gt;=0,AN947=30),AL947-AM947,"")</f>
        <v>5</v>
      </c>
      <c r="L947" s="29" t="n">
        <f>IF(ISNUMBER(BI947),BI947/90,"")</f>
        <v>0.06040813965189536</v>
      </c>
      <c r="M947" s="28" t="n">
        <v>14</v>
      </c>
      <c r="N947" s="28" t="n">
        <v>0</v>
      </c>
      <c r="O947" s="28" t="n">
        <v>0</v>
      </c>
      <c r="P947" s="30" t="n">
        <f>IF(AND(ISNUMBER(L947),L947&gt;0,COUNT(M947:O947)=3,MIN(M947:O947)&gt;=0),SUM(M947:O947)/L947,"")</f>
        <v>231.7568473499703</v>
      </c>
      <c r="Q947" s="16" t="str">
        <v>沿用原计划SKU店铺</v>
      </c>
      <c r="R947" s="16" t="str">
        <v>已匹配</v>
      </c>
      <c r="S947" s="16" t="str">
        <v>在售</v>
      </c>
      <c r="T947" s="16" t="str">
        <v>B06</v>
      </c>
      <c r="U947" s="16" t="str">
        <v>玫瑰金PU</v>
      </c>
      <c r="V947" s="16" t="n">
        <v>9</v>
      </c>
      <c r="W947" s="8" t="str">
        <v>2026-10-11 至 2026-10-17</v>
      </c>
      <c r="X947" s="8" t="str">
        <v>2026-10-11、2026-10-12、2026-10-13、2026-10-14、2026-10-15、2026-10-16、2026-10-17</v>
      </c>
      <c r="Y947" s="8" t="str">
        <v>无</v>
      </c>
      <c r="Z947" s="8" t="n">
        <v>0</v>
      </c>
      <c r="AA947" s="8" t="n">
        <v>0</v>
      </c>
      <c r="AB947" s="8" t="n">
        <v>7</v>
      </c>
      <c r="AC947" s="8" t="str">
        <v>2026-10-02 至 2026-10-17</v>
      </c>
      <c r="AD947" s="8" t="str">
        <v>2026-10-02、2026-10-03、2026-10-04、2026-10-05、2026-10-08、2026-10-09、2026-10-10、2026-10-11、2026-10-12、2026-10-13、2026-10-14、2026-10-15、2026-10-16、2026-10-17</v>
      </c>
      <c r="AE947" s="8" t="str">
        <v>2026-10-06 大促；2026-10-07 大促</v>
      </c>
      <c r="AF947" s="8" t="n">
        <v>1</v>
      </c>
      <c r="AG947" s="8" t="n">
        <v>0</v>
      </c>
      <c r="AH947" s="8" t="n">
        <v>14</v>
      </c>
      <c r="AI947" s="8" t="str">
        <v>2026-09-16 至 2026-10-17</v>
      </c>
      <c r="AJ9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7" s="8" t="str">
        <v>2026-10-06 大促；2026-10-07 大促</v>
      </c>
      <c r="AL947" s="8" t="n">
        <v>5</v>
      </c>
      <c r="AM947" s="8" t="n">
        <v>0</v>
      </c>
      <c r="AN947" s="8" t="n">
        <v>30</v>
      </c>
      <c r="AO947" s="8" t="str">
        <v>B06 / 玫瑰金PU / 13120</v>
      </c>
      <c r="AP947" s="11" t="n">
        <v>1.2247029157699902</v>
      </c>
      <c r="AQ947" s="11" t="n">
        <v>1.2247029157699902</v>
      </c>
      <c r="AR947" s="11" t="n">
        <v>1.1136940657346173</v>
      </c>
      <c r="AS947" s="11" t="n">
        <f>IF(AND(COUNT(I947:K947,AP947:AR947)=6,MIN(AP947:AR947)&gt;0),I947/7/AP947*0.5+J947/14/AQ947*0.3+K947/30/AR947*0.2,"")</f>
        <v>0.047427376662519255</v>
      </c>
      <c r="AT947" s="8" t="n">
        <v>10</v>
      </c>
      <c r="AU947" s="8" t="n">
        <v>0</v>
      </c>
      <c r="AV947" s="8" t="n">
        <v>88</v>
      </c>
      <c r="AW947" s="11" t="n">
        <f>IF(AND(COUNT(AT947:AV947)=3,AT947&gt;=AU947,AU947&gt;=0,AV947&gt;0),(AT947-AU947)/AV947,"")</f>
        <v>0.11363636363636363</v>
      </c>
      <c r="AX947" s="8" t="n">
        <v>18</v>
      </c>
      <c r="AY947" s="8" t="n">
        <v>0</v>
      </c>
      <c r="AZ947" s="8" t="n">
        <v>178</v>
      </c>
      <c r="BA947" s="11" t="n">
        <f>IF(AND(COUNT(AX947:AZ947)=3,AX947&gt;=AY947,AY947&gt;=0,AZ947&gt;0),(AX947-AY947)/AZ947,"")</f>
        <v>0.10112359550561797</v>
      </c>
      <c r="BB947" s="8" t="n">
        <f>IF(COUNT(AS947,AW947,BA947)=3,1,0)</f>
        <v>1</v>
      </c>
      <c r="BC947" s="11" t="n">
        <f>IF(SUMIF($AO$11:$AO$1309,AO947,$BB$11:$BB$1309)=COUNTIF($AO$11:$AO$1309,AO947),SUMIF($AO$11:$AO$1309,AO947,$AS$11:$AS$1309),"")</f>
        <v>0.17138358849157517</v>
      </c>
      <c r="BD947" s="11" t="n">
        <f>IF(SUMIF($AO$11:$AO$1309,AO947,$BB$11:$BB$1309)=COUNTIF($AO$11:$AO$1309,AO947),SUMIF($AO$11:$AO$1309,AO947,$AW$11:$AW$1309),"")</f>
        <v>0.24064171122994651</v>
      </c>
      <c r="BE947" s="11" t="n">
        <f>IF(SUMIF($AO$11:$AO$1309,AO947,$BB$11:$BB$1309)=COUNTIF($AO$11:$AO$1309,AO947),SUMIF($AO$11:$AO$1309,AO947,$BA$11:$BA$1309),"")</f>
        <v>0.30568218298555383</v>
      </c>
      <c r="BF947" s="12" t="n">
        <f>IF(COUNT(BD947:BE947)&lt;&gt;2,"",IF(AND(BD947&gt;0,BE947&gt;0),0.7*AW947/BD947+0.3*BA947/BE947,IF(BD947&gt;0,AW947/BD947,IF(BE947&gt;0,BA947/BE947,IF(AND(ISNUMBER(BH947),BH947=0),0,"")))))</f>
        <v>0.42979941188825876</v>
      </c>
      <c r="BG947" s="11" t="n">
        <f>IF(AND(COUNT(BN947:BU947)=8,MIN(BN947:BU947)&gt;=0),SUMPRODUCT(BN947:BQ947,BR947:BU947),"")</f>
        <v>73.80791239847399</v>
      </c>
      <c r="BH947" s="11" t="n">
        <f>IF(COUNT(BC947,BG947)=2,BC947*BG947,"")</f>
        <v>12.649464885922296</v>
      </c>
      <c r="BI947" s="11" t="n">
        <f>IF(ISNUMBER(CI947),CI947,"")</f>
        <v>5.436732568670582</v>
      </c>
      <c r="BJ947" s="8" t="str">
        <v>低销提醒依据不完整</v>
      </c>
      <c r="BK947" s="8" t="str">
        <v>90天：2026-07-20 至 2026-10-17；180天：2026-04-21 至 2026-10-17</v>
      </c>
      <c r="BL947" s="8" t="str">
        <v>90天：2026-10-06、2026-10-07；180天：2026-10-06、2026-10-07</v>
      </c>
      <c r="BM947" s="8" t="str">
        <v>2026-10：12天 × 1.2247029157699902；2026-11：30天 × 0.8332682139098497；2026-12：31天 × 0.5511018253564084；2027-01：17天 × 1.0017220238758797</v>
      </c>
      <c r="BN947" s="11" t="n">
        <v>1.2247029157699902</v>
      </c>
      <c r="BO947" s="11" t="n">
        <v>0.8332682139098497</v>
      </c>
      <c r="BP947" s="11" t="n">
        <v>0.5511018253564084</v>
      </c>
      <c r="BQ947" s="11" t="n">
        <v>1.0017220238758797</v>
      </c>
      <c r="BR947" s="8" t="n">
        <v>12</v>
      </c>
      <c r="BS947" s="8" t="n">
        <v>30</v>
      </c>
      <c r="BT947" s="8" t="n">
        <v>31</v>
      </c>
      <c r="BU947" s="8" t="n">
        <v>17</v>
      </c>
      <c r="BV947" s="11" t="n">
        <f>IF(COUNT(BC947,BF947)=2,BC947*BF947,"")</f>
        <v>0.07366056554097836</v>
      </c>
      <c r="BW947" s="11" t="n">
        <f>IF(ISNUMBER(BN947),BN947,"")</f>
        <v>1.2247029157699902</v>
      </c>
      <c r="BX947" s="14" t="n">
        <f>IF(ISNUMBER(BR947),BR947,"")</f>
        <v>12</v>
      </c>
      <c r="BY947" s="13" t="n">
        <f>IF(AND(COUNT(BV947,BW947,BX947)=3,MIN(BV947,BW947,BX947)&gt;=0),BV947*BW947*BX947,"")</f>
        <v>1.0825477127436318</v>
      </c>
      <c r="BZ947" s="11" t="n">
        <f>IF(ISNUMBER(BO947),BO947,"")</f>
        <v>0.8332682139098497</v>
      </c>
      <c r="CA947" s="14" t="n">
        <f>IF(ISNUMBER(BS947),BS947,"")</f>
        <v>30</v>
      </c>
      <c r="CB947" s="13" t="n">
        <f>IF(AND(COUNT(BV947,BZ947,CA947)=3,MIN(BV947,BZ947,CA947)&gt;=0),BV947*BZ947*CA947,"")</f>
        <v>1.8413702365176137</v>
      </c>
      <c r="CC947" s="11" t="n">
        <f>IF(ISNUMBER(BP947),BP947,"")</f>
        <v>0.5511018253564084</v>
      </c>
      <c r="CD947" s="14" t="n">
        <f>IF(ISNUMBER(BT947),BT947,"")</f>
        <v>31</v>
      </c>
      <c r="CE947" s="13" t="n">
        <f>IF(AND(COUNT(BV947,CC947,CD947)=3,MIN(BV947,CC947,CD947)&gt;=0),BV947*CC947*CD947,"")</f>
        <v>1.2584286359189745</v>
      </c>
      <c r="CF947" s="11" t="n">
        <f>IF(ISNUMBER(BQ947),BQ947,"")</f>
        <v>1.0017220238758797</v>
      </c>
      <c r="CG947" s="14" t="n">
        <f>IF(ISNUMBER(BU947),BU947,"")</f>
        <v>17</v>
      </c>
      <c r="CH947" s="13" t="n">
        <f>IF(AND(COUNT(BV947,CF947,CG947)=3,MIN(BV947,CF947,CG947)&gt;=0),BV947*CF947*CG947,"")</f>
        <v>1.2543859834903623</v>
      </c>
      <c r="CI947" s="13" t="n">
        <f>IF(COUNT(BY947,CB947,CE947,CH947)=4,SUM(BY947,CB947,CE947,CH947),"")</f>
        <v>5.436732568670582</v>
      </c>
    </row>
    <row r="948" ht="72" customHeight="1">
      <c r="A948" s="16" t="str">
        <v>B06-RG-40.5</v>
      </c>
      <c r="B948" s="16" t="str">
        <v>1店-MUSSHOE-US</v>
      </c>
      <c r="C948" s="16" t="str">
        <v>艾年</v>
      </c>
      <c r="D948" s="26" t="n">
        <f>IF(NOT(ISNUMBER(E948)),"",IF(OR(E948&lt;=0,L948=0),0,IF(OR(NOT(ISNUMBER(F948)),F948&lt;0),"",MIN(E948,INT(F948)))))</f>
        <v>0</v>
      </c>
      <c r="E948" s="27" t="n">
        <f>IF(OR(NOT(ISNUMBER(L948)),COUNT(M948:O948)&lt;&gt;3,MIN(M948:O948)&lt;0),"",ROUNDUP(ROUND(BI948-SUM(M948:O948),10),0))</f>
        <v>-2</v>
      </c>
      <c r="F948" s="28" t="n">
        <v>0</v>
      </c>
      <c r="G948" s="28" t="n">
        <f>IF(AND(ISNUMBER(D948),ISNUMBER(E948)),IF(OR(E948&lt;=0,L948=0),0,E948-D948),"")</f>
        <v>0</v>
      </c>
      <c r="H948" s="16" t="str">
        <f>IF(NOT(ISNUMBER(E948)),"销量或海外库存待补",IF(OR(E948&lt;=0,L948=0),IF(L948=0,"零日销，本批不发","本批无需补货"),IF(NOT(ISNUMBER(D948)),"国内库存待补",IF(D948=0,"国内无可用库存",IF(G948&gt;0,"先发国内现货","按建议量发货")))))</f>
        <v>本批无需补货</v>
      </c>
      <c r="I948" s="28" t="n">
        <f>IF(AND(COUNT(Z948,AA948,AB948)=3,Z948&gt;=AA948,AA948&gt;=0,AB948=7),Z948-AA948,"")</f>
        <v>0</v>
      </c>
      <c r="J948" s="28" t="n">
        <f>IF(AND(COUNT(AF948,AG948,AH948)=3,AF948&gt;=AG948,AG948&gt;=0,AH948=14),AF948-AG948,"")</f>
        <v>1</v>
      </c>
      <c r="K948" s="28" t="n">
        <f>IF(AND(COUNT(AL948,AM948,AN948)=3,AL948&gt;=AM948,AM948&gt;=0,AN948=30),AL948-AM948,"")</f>
        <v>2</v>
      </c>
      <c r="L948" s="29" t="n">
        <f>IF(ISNUMBER(BI948),BI948/90,"")</f>
        <v>0.018587398071799738</v>
      </c>
      <c r="M948" s="28" t="n">
        <v>3</v>
      </c>
      <c r="N948" s="28" t="n">
        <v>0</v>
      </c>
      <c r="O948" s="28" t="n">
        <v>0</v>
      </c>
      <c r="P948" s="30" t="n">
        <f>IF(AND(ISNUMBER(L948),L948&gt;0,COUNT(M948:O948)=3,MIN(M948:O948)&gt;=0),SUM(M948:O948)/L948,"")</f>
        <v>161.39967457583603</v>
      </c>
      <c r="Q948" s="16" t="str">
        <v>沿用原计划SKU店铺</v>
      </c>
      <c r="R948" s="16" t="str">
        <v>已匹配</v>
      </c>
      <c r="S948" s="16" t="str">
        <v>在售</v>
      </c>
      <c r="T948" s="16" t="str">
        <v>B06</v>
      </c>
      <c r="U948" s="16" t="str">
        <v>玫瑰金PU</v>
      </c>
      <c r="V948" s="16" t="n">
        <v>9.5</v>
      </c>
      <c r="W948" s="8" t="str">
        <v>2026-10-11 至 2026-10-17</v>
      </c>
      <c r="X948" s="8" t="str">
        <v>2026-10-11、2026-10-12、2026-10-13、2026-10-14、2026-10-15、2026-10-16、2026-10-17</v>
      </c>
      <c r="Y948" s="8" t="str">
        <v>无</v>
      </c>
      <c r="Z948" s="8" t="n">
        <v>0</v>
      </c>
      <c r="AA948" s="8" t="n">
        <v>0</v>
      </c>
      <c r="AB948" s="8" t="n">
        <v>7</v>
      </c>
      <c r="AC948" s="8" t="str">
        <v>2026-10-02 至 2026-10-17</v>
      </c>
      <c r="AD948" s="8" t="str">
        <v>2026-10-02、2026-10-03、2026-10-04、2026-10-05、2026-10-08、2026-10-09、2026-10-10、2026-10-11、2026-10-12、2026-10-13、2026-10-14、2026-10-15、2026-10-16、2026-10-17</v>
      </c>
      <c r="AE948" s="8" t="str">
        <v>2026-10-06 大促；2026-10-07 大促</v>
      </c>
      <c r="AF948" s="8" t="n">
        <v>1</v>
      </c>
      <c r="AG948" s="8" t="n">
        <v>0</v>
      </c>
      <c r="AH948" s="8" t="n">
        <v>14</v>
      </c>
      <c r="AI948" s="8" t="str">
        <v>2026-09-16 至 2026-10-17</v>
      </c>
      <c r="AJ9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48" s="8" t="str">
        <v>2026-10-06 大促；2026-10-07 大促</v>
      </c>
      <c r="AL948" s="8" t="n">
        <v>2</v>
      </c>
      <c r="AM948" s="8" t="n">
        <v>0</v>
      </c>
      <c r="AN948" s="8" t="n">
        <v>30</v>
      </c>
      <c r="AO948" s="8" t="str">
        <v>B06 / 玫瑰金PU / 13120</v>
      </c>
      <c r="AP948" s="11" t="n">
        <v>1.2247029157699902</v>
      </c>
      <c r="AQ948" s="11" t="n">
        <v>1.2247029157699902</v>
      </c>
      <c r="AR948" s="11" t="n">
        <v>1.1136940657346173</v>
      </c>
      <c r="AS948" s="11" t="n">
        <f>IF(AND(COUNT(I948:K948,AP948:AR948)=6,MIN(AP948:AR948)&gt;0),I948/7/AP948*0.5+J948/14/AQ948*0.3+K948/30/AR948*0.2,"")</f>
        <v>0.02946912348029766</v>
      </c>
      <c r="AT948" s="8" t="n">
        <v>3</v>
      </c>
      <c r="AU948" s="8" t="n">
        <v>0</v>
      </c>
      <c r="AV948" s="8" t="n">
        <v>88</v>
      </c>
      <c r="AW948" s="11" t="n">
        <f>IF(AND(COUNT(AT948:AV948)=3,AT948&gt;=AU948,AU948&gt;=0,AV948&gt;0),(AT948-AU948)/AV948,"")</f>
        <v>0.03409090909090909</v>
      </c>
      <c r="AX948" s="8" t="n">
        <v>6</v>
      </c>
      <c r="AY948" s="8" t="n">
        <v>0</v>
      </c>
      <c r="AZ948" s="8" t="n">
        <v>178</v>
      </c>
      <c r="BA948" s="11" t="n">
        <f>IF(AND(COUNT(AX948:AZ948)=3,AX948&gt;=AY948,AY948&gt;=0,AZ948&gt;0),(AX948-AY948)/AZ948,"")</f>
        <v>0.033707865168539325</v>
      </c>
      <c r="BB948" s="8" t="n">
        <f>IF(COUNT(AS948,AW948,BA948)=3,1,0)</f>
        <v>1</v>
      </c>
      <c r="BC948" s="11" t="n">
        <f>IF(SUMIF($AO$11:$AO$1309,AO948,$BB$11:$BB$1309)=COUNTIF($AO$11:$AO$1309,AO948),SUMIF($AO$11:$AO$1309,AO948,$AS$11:$AS$1309),"")</f>
        <v>0.17138358849157517</v>
      </c>
      <c r="BD948" s="11" t="n">
        <f>IF(SUMIF($AO$11:$AO$1309,AO948,$BB$11:$BB$1309)=COUNTIF($AO$11:$AO$1309,AO948),SUMIF($AO$11:$AO$1309,AO948,$AW$11:$AW$1309),"")</f>
        <v>0.24064171122994651</v>
      </c>
      <c r="BE948" s="11" t="n">
        <f>IF(SUMIF($AO$11:$AO$1309,AO948,$BB$11:$BB$1309)=COUNTIF($AO$11:$AO$1309,AO948),SUMIF($AO$11:$AO$1309,AO948,$BA$11:$BA$1309),"")</f>
        <v>0.30568218298555383</v>
      </c>
      <c r="BF948" s="12" t="n">
        <f>IF(COUNT(BD948:BE948)&lt;&gt;2,"",IF(AND(BD948&gt;0,BE948&gt;0),0.7*AW948/BD948+0.3*BA948/BE948,IF(BD948&gt;0,AW948/BD948,IF(BE948&gt;0,BA948/BE948,IF(AND(ISNUMBER(BH948),BH948=0),0,"")))))</f>
        <v>0.13224795211090107</v>
      </c>
      <c r="BG948" s="11" t="n">
        <f>IF(AND(COUNT(BN948:BU948)=8,MIN(BN948:BU948)&gt;=0),SUMPRODUCT(BN948:BQ948,BR948:BU948),"")</f>
        <v>73.80791239847399</v>
      </c>
      <c r="BH948" s="11" t="n">
        <f>IF(COUNT(BC948,BG948)=2,BC948*BG948,"")</f>
        <v>12.649464885922296</v>
      </c>
      <c r="BI948" s="11" t="n">
        <f>IF(ISNUMBER(CI948),CI948,"")</f>
        <v>1.6728658264619765</v>
      </c>
      <c r="BJ948" s="8" t="str">
        <v>低销提醒依据不完整</v>
      </c>
      <c r="BK948" s="8" t="str">
        <v>90天：2026-07-20 至 2026-10-17；180天：2026-04-21 至 2026-10-17</v>
      </c>
      <c r="BL948" s="8" t="str">
        <v>90天：2026-10-06、2026-10-07；180天：2026-10-06、2026-10-07</v>
      </c>
      <c r="BM948" s="8" t="str">
        <v>2026-10：12天 × 1.2247029157699902；2026-11：30天 × 0.8332682139098497；2026-12：31天 × 0.5511018253564084；2027-01：17天 × 1.0017220238758797</v>
      </c>
      <c r="BN948" s="11" t="n">
        <v>1.2247029157699902</v>
      </c>
      <c r="BO948" s="11" t="n">
        <v>0.8332682139098497</v>
      </c>
      <c r="BP948" s="11" t="n">
        <v>0.5511018253564084</v>
      </c>
      <c r="BQ948" s="11" t="n">
        <v>1.0017220238758797</v>
      </c>
      <c r="BR948" s="8" t="n">
        <v>12</v>
      </c>
      <c r="BS948" s="8" t="n">
        <v>30</v>
      </c>
      <c r="BT948" s="8" t="n">
        <v>31</v>
      </c>
      <c r="BU948" s="8" t="n">
        <v>17</v>
      </c>
      <c r="BV948" s="11" t="n">
        <f>IF(COUNT(BC948,BF948)=2,BC948*BF948,"")</f>
        <v>0.02266512860342821</v>
      </c>
      <c r="BW948" s="11" t="n">
        <f>IF(ISNUMBER(BN948),BN948,"")</f>
        <v>1.2247029157699902</v>
      </c>
      <c r="BX948" s="14" t="n">
        <f>IF(ISNUMBER(BR948),BR948,"")</f>
        <v>12</v>
      </c>
      <c r="BY948" s="13" t="n">
        <f>IF(AND(COUNT(BV948,BW948,BX948)=3,MIN(BV948,BW948,BX948)&gt;=0),BV948*BW948*BX948,"")</f>
        <v>0.333096589043044</v>
      </c>
      <c r="BZ948" s="11" t="n">
        <f>IF(ISNUMBER(BO948),BO948,"")</f>
        <v>0.8332682139098497</v>
      </c>
      <c r="CA948" s="14" t="n">
        <f>IF(ISNUMBER(BS948),BS948,"")</f>
        <v>30</v>
      </c>
      <c r="CB948" s="13" t="n">
        <f>IF(AND(COUNT(BV948,BZ948,CA948)=3,MIN(BV948,BZ948,CA948)&gt;=0),BV948*BZ948*CA948,"")</f>
        <v>0.5665839368824701</v>
      </c>
      <c r="CC948" s="11" t="n">
        <f>IF(ISNUMBER(BP948),BP948,"")</f>
        <v>0.5511018253564084</v>
      </c>
      <c r="CD948" s="14" t="n">
        <f>IF(ISNUMBER(BT948),BT948,"")</f>
        <v>31</v>
      </c>
      <c r="CE948" s="13" t="n">
        <f>IF(AND(COUNT(BV948,CC948,CD948)=3,MIN(BV948,CC948,CD948)&gt;=0),BV948*CC948*CD948,"")</f>
        <v>0.3872146061038979</v>
      </c>
      <c r="CF948" s="11" t="n">
        <f>IF(ISNUMBER(BQ948),BQ948,"")</f>
        <v>1.0017220238758797</v>
      </c>
      <c r="CG948" s="14" t="n">
        <f>IF(ISNUMBER(BU948),BU948,"")</f>
        <v>17</v>
      </c>
      <c r="CH948" s="13" t="n">
        <f>IF(AND(COUNT(BV948,CF948,CG948)=3,MIN(BV948,CF948,CG948)&gt;=0),BV948*CF948*CG948,"")</f>
        <v>0.3859706944325644</v>
      </c>
      <c r="CI948" s="13" t="n">
        <f>IF(COUNT(BY948,CB948,CE948,CH948)=4,SUM(BY948,CB948,CE948,CH948),"")</f>
        <v>1.6728658264619765</v>
      </c>
    </row>
    <row r="949" ht="72" customHeight="1">
      <c r="A949" s="16" t="str">
        <v>B06-RG-41</v>
      </c>
      <c r="B949" s="16" t="str">
        <v>1店-MUSSHOE-US</v>
      </c>
      <c r="C949" s="16" t="str">
        <v>艾年</v>
      </c>
      <c r="D949" s="26" t="n">
        <f>IF(NOT(ISNUMBER(E949)),"",IF(OR(E949&lt;=0,L949=0),0,IF(OR(NOT(ISNUMBER(F949)),F949&lt;0),"",MIN(E949,INT(F949)))))</f>
        <v>0</v>
      </c>
      <c r="E949" s="27" t="n">
        <f>IF(OR(NOT(ISNUMBER(L949)),COUNT(M949:O949)&lt;&gt;3,MIN(M949:O949)&lt;0),"",ROUNDUP(ROUND(BI949-SUM(M949:O949),10),0))</f>
        <v>0</v>
      </c>
      <c r="F949" s="28" t="n">
        <v>0</v>
      </c>
      <c r="G949" s="28" t="n">
        <f>IF(AND(ISNUMBER(D949),ISNUMBER(E949)),IF(OR(E949&lt;=0,L949=0),0,E949-D949),"")</f>
        <v>0</v>
      </c>
      <c r="H949" s="16" t="str">
        <f>IF(NOT(ISNUMBER(E949)),"销量或海外库存待补",IF(OR(E949&lt;=0,L949=0),IF(L949=0,"零日销，本批不发","本批无需补货"),IF(NOT(ISNUMBER(D949)),"国内库存待补",IF(D949=0,"国内无可用库存",IF(G949&gt;0,"先发国内现货","按建议量发货")))))</f>
        <v>零日销，本批不发</v>
      </c>
      <c r="I949" s="28" t="n">
        <f>IF(AND(COUNT(Z949,AA949,AB949)=3,Z949&gt;=AA949,AA949&gt;=0,AB949=7),Z949-AA949,"")</f>
        <v>0</v>
      </c>
      <c r="J949" s="28" t="n">
        <f>IF(AND(COUNT(AF949,AG949,AH949)=3,AF949&gt;=AG949,AG949&gt;=0,AH949=14),AF949-AG949,"")</f>
        <v>0</v>
      </c>
      <c r="K949" s="28" t="n">
        <f>IF(AND(COUNT(AL949,AM949,AN949)=3,AL949&gt;=AM949,AM949&gt;=0,AN949=30),AL949-AM949,"")</f>
        <v>0</v>
      </c>
      <c r="L949" s="29" t="n">
        <f>IF(ISNUMBER(BI949),BI949/90,"")</f>
        <v>0</v>
      </c>
      <c r="M949" s="28" t="n">
        <v>0</v>
      </c>
      <c r="N949" s="28" t="n">
        <v>0</v>
      </c>
      <c r="O949" s="28" t="n">
        <v>0</v>
      </c>
      <c r="P949" s="30" t="str">
        <f>IF(AND(ISNUMBER(L949),L949&gt;0,COUNT(M949:O949)=3,MIN(M949:O949)&gt;=0),SUM(M949:O949)/L949,"")</f>
      </c>
      <c r="Q949" s="16" t="str">
        <v>沿用原计划SKU店铺</v>
      </c>
      <c r="R949" s="16" t="str">
        <v>已匹配</v>
      </c>
      <c r="S949" s="16" t="str">
        <v>停售</v>
      </c>
      <c r="T949" s="16" t="str">
        <v>B06</v>
      </c>
      <c r="U949" s="16" t="str">
        <v>玫瑰金PU</v>
      </c>
      <c r="V949" s="16" t="n">
        <v>10</v>
      </c>
      <c r="W949" s="8" t="str">
        <v>2026-10-08 至 2026-10-17</v>
      </c>
      <c r="X949" s="8" t="str">
        <v>2026-10-08、2026-10-09、2026-10-10、2026-10-11、2026-10-14、2026-10-15、2026-10-17</v>
      </c>
      <c r="Y949" s="8" t="str">
        <v>2026-10-12 有记录的停售日；2026-10-13 有记录的停售日；2026-10-16 有记录的停售日</v>
      </c>
      <c r="Z949" s="8" t="n">
        <v>0</v>
      </c>
      <c r="AA949" s="8" t="n">
        <v>0</v>
      </c>
      <c r="AB949" s="8" t="n">
        <v>7</v>
      </c>
      <c r="AC949" s="8" t="str">
        <v>2026-09-29 至 2026-10-17</v>
      </c>
      <c r="AD949" s="8" t="str">
        <v>2026-09-29、2026-09-30、2026-10-01、2026-10-02、2026-10-03、2026-10-04、2026-10-05、2026-10-08、2026-10-09、2026-10-10、2026-10-11、2026-10-14、2026-10-15、2026-10-17</v>
      </c>
      <c r="AE949" s="8" t="str">
        <v>2026-10-06 大促；2026-10-07 大促；2026-10-12 有记录的停售日；2026-10-13 有记录的停售日；2026-10-16 有记录的停售日</v>
      </c>
      <c r="AF949" s="8" t="n">
        <v>0</v>
      </c>
      <c r="AG949" s="8" t="n">
        <v>0</v>
      </c>
      <c r="AH949" s="8" t="n">
        <v>14</v>
      </c>
      <c r="AI949" s="8" t="str">
        <v>2026-09-13 至 2026-10-17</v>
      </c>
      <c r="AJ94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49" s="8" t="str">
        <v>2026-10-06 大促；2026-10-07 大促；2026-10-12 有记录的停售日；2026-10-13 有记录的停售日；2026-10-16 有记录的停售日</v>
      </c>
      <c r="AL949" s="8" t="n">
        <v>0</v>
      </c>
      <c r="AM949" s="8" t="n">
        <v>0</v>
      </c>
      <c r="AN949" s="8" t="n">
        <v>30</v>
      </c>
      <c r="AO949" s="8" t="str">
        <v>B06 / 玫瑰金PU / 13120</v>
      </c>
      <c r="AP949" s="11" t="n">
        <v>1.2247029157699902</v>
      </c>
      <c r="AQ949" s="11" t="n">
        <v>1.1929861014741694</v>
      </c>
      <c r="AR949" s="11" t="n">
        <v>1.0914922957275428</v>
      </c>
      <c r="AS949" s="11" t="n">
        <f>IF(AND(COUNT(I949:K949,AP949:AR949)=6,MIN(AP949:AR949)&gt;0),I949/7/AP949*0.5+J949/14/AQ949*0.3+K949/30/AR949*0.2,"")</f>
        <v>0</v>
      </c>
      <c r="AT949" s="8" t="n">
        <v>0</v>
      </c>
      <c r="AU949" s="8" t="n">
        <v>0</v>
      </c>
      <c r="AV949" s="8" t="n">
        <v>85</v>
      </c>
      <c r="AW949" s="11" t="n">
        <f>IF(AND(COUNT(AT949:AV949)=3,AT949&gt;=AU949,AU949&gt;=0,AV949&gt;0),(AT949-AU949)/AV949,"")</f>
        <v>0</v>
      </c>
      <c r="AX949" s="8" t="n">
        <v>0</v>
      </c>
      <c r="AY949" s="8" t="n">
        <v>0</v>
      </c>
      <c r="AZ949" s="8" t="n">
        <v>175</v>
      </c>
      <c r="BA949" s="11" t="n">
        <f>IF(AND(COUNT(AX949:AZ949)=3,AX949&gt;=AY949,AY949&gt;=0,AZ949&gt;0),(AX949-AY949)/AZ949,"")</f>
        <v>0</v>
      </c>
      <c r="BB949" s="8" t="n">
        <f>IF(COUNT(AS949,AW949,BA949)=3,1,0)</f>
        <v>1</v>
      </c>
      <c r="BC949" s="11" t="n">
        <f>IF(SUMIF($AO$11:$AO$1309,AO949,$BB$11:$BB$1309)=COUNTIF($AO$11:$AO$1309,AO949),SUMIF($AO$11:$AO$1309,AO949,$AS$11:$AS$1309),"")</f>
        <v>0.17138358849157517</v>
      </c>
      <c r="BD949" s="11" t="n">
        <f>IF(SUMIF($AO$11:$AO$1309,AO949,$BB$11:$BB$1309)=COUNTIF($AO$11:$AO$1309,AO949),SUMIF($AO$11:$AO$1309,AO949,$AW$11:$AW$1309),"")</f>
        <v>0.24064171122994651</v>
      </c>
      <c r="BE949" s="11" t="n">
        <f>IF(SUMIF($AO$11:$AO$1309,AO949,$BB$11:$BB$1309)=COUNTIF($AO$11:$AO$1309,AO949),SUMIF($AO$11:$AO$1309,AO949,$BA$11:$BA$1309),"")</f>
        <v>0.30568218298555383</v>
      </c>
      <c r="BF949" s="12" t="n">
        <f>IF(COUNT(BD949:BE949)&lt;&gt;2,"",IF(AND(BD949&gt;0,BE949&gt;0),0.7*AW949/BD949+0.3*BA949/BE949,IF(BD949&gt;0,AW949/BD949,IF(BE949&gt;0,BA949/BE949,IF(AND(ISNUMBER(BH949),BH949=0),0,"")))))</f>
        <v>0</v>
      </c>
      <c r="BG949" s="11" t="n">
        <f>IF(AND(COUNT(BN949:BU949)=8,MIN(BN949:BU949)&gt;=0),SUMPRODUCT(BN949:BQ949,BR949:BU949),"")</f>
        <v>73.80791239847399</v>
      </c>
      <c r="BH949" s="11" t="n">
        <f>IF(COUNT(BC949,BG949)=2,BC949*BG949,"")</f>
        <v>12.649464885922296</v>
      </c>
      <c r="BI949" s="11" t="n">
        <f>IF(ISNUMBER(CI949),CI949,"")</f>
        <v>0</v>
      </c>
      <c r="BJ949" s="8" t="str">
        <v>低销提醒依据不完整</v>
      </c>
      <c r="BK949" s="8" t="str">
        <v>90天：2026-07-20 至 2026-10-17；180天：2026-04-21 至 2026-10-17</v>
      </c>
      <c r="BL949" s="8" t="str">
        <v>90天：2026-10-06、2026-10-07、2026-10-12、2026-10-13、2026-10-16；180天：2026-10-06、2026-10-07、2026-10-12、2026-10-13、2026-10-16</v>
      </c>
      <c r="BM949" s="8" t="str">
        <v>2026-10：12天 × 1.2247029157699902；2026-11：30天 × 0.8332682139098497；2026-12：31天 × 0.5511018253564084；2027-01：17天 × 1.0017220238758797</v>
      </c>
      <c r="BN949" s="11" t="n">
        <v>1.2247029157699902</v>
      </c>
      <c r="BO949" s="11" t="n">
        <v>0.8332682139098497</v>
      </c>
      <c r="BP949" s="11" t="n">
        <v>0.5511018253564084</v>
      </c>
      <c r="BQ949" s="11" t="n">
        <v>1.0017220238758797</v>
      </c>
      <c r="BR949" s="8" t="n">
        <v>12</v>
      </c>
      <c r="BS949" s="8" t="n">
        <v>30</v>
      </c>
      <c r="BT949" s="8" t="n">
        <v>31</v>
      </c>
      <c r="BU949" s="8" t="n">
        <v>17</v>
      </c>
      <c r="BV949" s="11" t="n">
        <f>IF(COUNT(BC949,BF949)=2,BC949*BF949,"")</f>
        <v>0</v>
      </c>
      <c r="BW949" s="11" t="n">
        <f>IF(ISNUMBER(BN949),BN949,"")</f>
        <v>1.2247029157699902</v>
      </c>
      <c r="BX949" s="14" t="n">
        <f>IF(ISNUMBER(BR949),BR949,"")</f>
        <v>12</v>
      </c>
      <c r="BY949" s="13" t="n">
        <f>IF(AND(COUNT(BV949,BW949,BX949)=3,MIN(BV949,BW949,BX949)&gt;=0),BV949*BW949*BX949,"")</f>
        <v>0</v>
      </c>
      <c r="BZ949" s="11" t="n">
        <f>IF(ISNUMBER(BO949),BO949,"")</f>
        <v>0.8332682139098497</v>
      </c>
      <c r="CA949" s="14" t="n">
        <f>IF(ISNUMBER(BS949),BS949,"")</f>
        <v>30</v>
      </c>
      <c r="CB949" s="13" t="n">
        <f>IF(AND(COUNT(BV949,BZ949,CA949)=3,MIN(BV949,BZ949,CA949)&gt;=0),BV949*BZ949*CA949,"")</f>
        <v>0</v>
      </c>
      <c r="CC949" s="11" t="n">
        <f>IF(ISNUMBER(BP949),BP949,"")</f>
        <v>0.5511018253564084</v>
      </c>
      <c r="CD949" s="14" t="n">
        <f>IF(ISNUMBER(BT949),BT949,"")</f>
        <v>31</v>
      </c>
      <c r="CE949" s="13" t="n">
        <f>IF(AND(COUNT(BV949,CC949,CD949)=3,MIN(BV949,CC949,CD949)&gt;=0),BV949*CC949*CD949,"")</f>
        <v>0</v>
      </c>
      <c r="CF949" s="11" t="n">
        <f>IF(ISNUMBER(BQ949),BQ949,"")</f>
        <v>1.0017220238758797</v>
      </c>
      <c r="CG949" s="14" t="n">
        <f>IF(ISNUMBER(BU949),BU949,"")</f>
        <v>17</v>
      </c>
      <c r="CH949" s="13" t="n">
        <f>IF(AND(COUNT(BV949,CF949,CG949)=3,MIN(BV949,CF949,CG949)&gt;=0),BV949*CF949*CG949,"")</f>
        <v>0</v>
      </c>
      <c r="CI949" s="13" t="n">
        <f>IF(COUNT(BY949,CB949,CE949,CH949)=4,SUM(BY949,CB949,CE949,CH949),"")</f>
        <v>0</v>
      </c>
    </row>
    <row r="950" ht="72" customHeight="1">
      <c r="A950" s="16" t="str">
        <v>B06-RG-42</v>
      </c>
      <c r="B950" s="16" t="str">
        <v>1店-MUSSHOE-US</v>
      </c>
      <c r="C950" s="16" t="str">
        <v>艾年</v>
      </c>
      <c r="D950" s="26" t="n">
        <f>IF(NOT(ISNUMBER(E950)),"",IF(OR(E950&lt;=0,L950=0),0,IF(OR(NOT(ISNUMBER(F950)),F950&lt;0),"",MIN(E950,INT(F950)))))</f>
        <v>0</v>
      </c>
      <c r="E950" s="27" t="n">
        <f>IF(OR(NOT(ISNUMBER(L950)),COUNT(M950:O950)&lt;&gt;3,MIN(M950:O950)&lt;0),"",ROUNDUP(ROUND(BI950-SUM(M950:O950),10),0))</f>
        <v>0</v>
      </c>
      <c r="F950" s="28" t="n">
        <v>0</v>
      </c>
      <c r="G950" s="28" t="n">
        <f>IF(AND(ISNUMBER(D950),ISNUMBER(E950)),IF(OR(E950&lt;=0,L950=0),0,E950-D950),"")</f>
        <v>0</v>
      </c>
      <c r="H950" s="16" t="str">
        <f>IF(NOT(ISNUMBER(E950)),"销量或海外库存待补",IF(OR(E950&lt;=0,L950=0),IF(L950=0,"零日销，本批不发","本批无需补货"),IF(NOT(ISNUMBER(D950)),"国内库存待补",IF(D950=0,"国内无可用库存",IF(G950&gt;0,"先发国内现货","按建议量发货")))))</f>
        <v>零日销，本批不发</v>
      </c>
      <c r="I950" s="28" t="n">
        <f>IF(AND(COUNT(Z950,AA950,AB950)=3,Z950&gt;=AA950,AA950&gt;=0,AB950=7),Z950-AA950,"")</f>
        <v>0</v>
      </c>
      <c r="J950" s="28" t="n">
        <f>IF(AND(COUNT(AF950,AG950,AH950)=3,AF950&gt;=AG950,AG950&gt;=0,AH950=14),AF950-AG950,"")</f>
        <v>0</v>
      </c>
      <c r="K950" s="28" t="n">
        <f>IF(AND(COUNT(AL950,AM950,AN950)=3,AL950&gt;=AM950,AM950&gt;=0,AN950=30),AL950-AM950,"")</f>
        <v>0</v>
      </c>
      <c r="L950" s="29" t="n">
        <f>IF(ISNUMBER(BI950),BI950/90,"")</f>
        <v>0</v>
      </c>
      <c r="M950" s="28" t="n">
        <v>0</v>
      </c>
      <c r="N950" s="28" t="n">
        <v>0</v>
      </c>
      <c r="O950" s="28" t="n">
        <v>0</v>
      </c>
      <c r="P950" s="30" t="str">
        <f>IF(AND(ISNUMBER(L950),L950&gt;0,COUNT(M950:O950)=3,MIN(M950:O950)&gt;=0),SUM(M950:O950)/L950,"")</f>
      </c>
      <c r="Q950" s="16" t="str">
        <v>沿用原计划SKU店铺</v>
      </c>
      <c r="R950" s="16" t="str">
        <v>已匹配</v>
      </c>
      <c r="S950" s="16" t="str">
        <v>停售</v>
      </c>
      <c r="T950" s="16" t="str">
        <v>B06</v>
      </c>
      <c r="U950" s="16" t="str">
        <v>玫瑰金PU</v>
      </c>
      <c r="V950" s="16" t="n">
        <v>11</v>
      </c>
      <c r="W950" s="8" t="str">
        <v>2026-10-08 至 2026-10-17</v>
      </c>
      <c r="X950" s="8" t="str">
        <v>2026-10-08、2026-10-09、2026-10-10、2026-10-11、2026-10-14、2026-10-15、2026-10-17</v>
      </c>
      <c r="Y950" s="8" t="str">
        <v>2026-10-12 有记录的停售日；2026-10-13 有记录的停售日；2026-10-16 有记录的停售日</v>
      </c>
      <c r="Z950" s="8" t="n">
        <v>0</v>
      </c>
      <c r="AA950" s="8" t="n">
        <v>0</v>
      </c>
      <c r="AB950" s="8" t="n">
        <v>7</v>
      </c>
      <c r="AC950" s="8" t="str">
        <v>2026-09-29 至 2026-10-17</v>
      </c>
      <c r="AD950" s="8" t="str">
        <v>2026-09-29、2026-09-30、2026-10-01、2026-10-02、2026-10-03、2026-10-04、2026-10-05、2026-10-08、2026-10-09、2026-10-10、2026-10-11、2026-10-14、2026-10-15、2026-10-17</v>
      </c>
      <c r="AE950" s="8" t="str">
        <v>2026-10-06 大促；2026-10-07 大促；2026-10-12 有记录的停售日；2026-10-13 有记录的停售日；2026-10-16 有记录的停售日</v>
      </c>
      <c r="AF950" s="8" t="n">
        <v>0</v>
      </c>
      <c r="AG950" s="8" t="n">
        <v>0</v>
      </c>
      <c r="AH950" s="8" t="n">
        <v>14</v>
      </c>
      <c r="AI950" s="8" t="str">
        <v>2026-09-13 至 2026-10-17</v>
      </c>
      <c r="AJ95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0" s="8" t="str">
        <v>2026-10-06 大促；2026-10-07 大促；2026-10-12 有记录的停售日；2026-10-13 有记录的停售日；2026-10-16 有记录的停售日</v>
      </c>
      <c r="AL950" s="8" t="n">
        <v>0</v>
      </c>
      <c r="AM950" s="8" t="n">
        <v>0</v>
      </c>
      <c r="AN950" s="8" t="n">
        <v>30</v>
      </c>
      <c r="AO950" s="8" t="str">
        <v>B06 / 玫瑰金PU / 13120</v>
      </c>
      <c r="AP950" s="11" t="n">
        <v>1.2247029157699902</v>
      </c>
      <c r="AQ950" s="11" t="n">
        <v>1.1929861014741694</v>
      </c>
      <c r="AR950" s="11" t="n">
        <v>1.0914922957275428</v>
      </c>
      <c r="AS950" s="11" t="n">
        <f>IF(AND(COUNT(I950:K950,AP950:AR950)=6,MIN(AP950:AR950)&gt;0),I950/7/AP950*0.5+J950/14/AQ950*0.3+K950/30/AR950*0.2,"")</f>
        <v>0</v>
      </c>
      <c r="AT950" s="8" t="n">
        <v>0</v>
      </c>
      <c r="AU950" s="8" t="n">
        <v>0</v>
      </c>
      <c r="AV950" s="8" t="n">
        <v>85</v>
      </c>
      <c r="AW950" s="11" t="n">
        <f>IF(AND(COUNT(AT950:AV950)=3,AT950&gt;=AU950,AU950&gt;=0,AV950&gt;0),(AT950-AU950)/AV950,"")</f>
        <v>0</v>
      </c>
      <c r="AX950" s="8" t="n">
        <v>0</v>
      </c>
      <c r="AY950" s="8" t="n">
        <v>0</v>
      </c>
      <c r="AZ950" s="8" t="n">
        <v>175</v>
      </c>
      <c r="BA950" s="11" t="n">
        <f>IF(AND(COUNT(AX950:AZ950)=3,AX950&gt;=AY950,AY950&gt;=0,AZ950&gt;0),(AX950-AY950)/AZ950,"")</f>
        <v>0</v>
      </c>
      <c r="BB950" s="8" t="n">
        <f>IF(COUNT(AS950,AW950,BA950)=3,1,0)</f>
        <v>1</v>
      </c>
      <c r="BC950" s="11" t="n">
        <f>IF(SUMIF($AO$11:$AO$1309,AO950,$BB$11:$BB$1309)=COUNTIF($AO$11:$AO$1309,AO950),SUMIF($AO$11:$AO$1309,AO950,$AS$11:$AS$1309),"")</f>
        <v>0.17138358849157517</v>
      </c>
      <c r="BD950" s="11" t="n">
        <f>IF(SUMIF($AO$11:$AO$1309,AO950,$BB$11:$BB$1309)=COUNTIF($AO$11:$AO$1309,AO950),SUMIF($AO$11:$AO$1309,AO950,$AW$11:$AW$1309),"")</f>
        <v>0.24064171122994651</v>
      </c>
      <c r="BE950" s="11" t="n">
        <f>IF(SUMIF($AO$11:$AO$1309,AO950,$BB$11:$BB$1309)=COUNTIF($AO$11:$AO$1309,AO950),SUMIF($AO$11:$AO$1309,AO950,$BA$11:$BA$1309),"")</f>
        <v>0.30568218298555383</v>
      </c>
      <c r="BF950" s="12" t="n">
        <f>IF(COUNT(BD950:BE950)&lt;&gt;2,"",IF(AND(BD950&gt;0,BE950&gt;0),0.7*AW950/BD950+0.3*BA950/BE950,IF(BD950&gt;0,AW950/BD950,IF(BE950&gt;0,BA950/BE950,IF(AND(ISNUMBER(BH950),BH950=0),0,"")))))</f>
        <v>0</v>
      </c>
      <c r="BG950" s="11" t="n">
        <f>IF(AND(COUNT(BN950:BU950)=8,MIN(BN950:BU950)&gt;=0),SUMPRODUCT(BN950:BQ950,BR950:BU950),"")</f>
        <v>73.80791239847399</v>
      </c>
      <c r="BH950" s="11" t="n">
        <f>IF(COUNT(BC950,BG950)=2,BC950*BG950,"")</f>
        <v>12.649464885922296</v>
      </c>
      <c r="BI950" s="11" t="n">
        <f>IF(ISNUMBER(CI950),CI950,"")</f>
        <v>0</v>
      </c>
      <c r="BJ950" s="8" t="str">
        <v>低销提醒依据不完整</v>
      </c>
      <c r="BK950" s="8" t="str">
        <v>90天：2026-07-20 至 2026-10-17；180天：2026-04-21 至 2026-10-17</v>
      </c>
      <c r="BL950" s="8" t="str">
        <v>90天：2026-10-06、2026-10-07、2026-10-12、2026-10-13、2026-10-16；180天：2026-10-06、2026-10-07、2026-10-12、2026-10-13、2026-10-16</v>
      </c>
      <c r="BM950" s="8" t="str">
        <v>2026-10：12天 × 1.2247029157699902；2026-11：30天 × 0.8332682139098497；2026-12：31天 × 0.5511018253564084；2027-01：17天 × 1.0017220238758797</v>
      </c>
      <c r="BN950" s="11" t="n">
        <v>1.2247029157699902</v>
      </c>
      <c r="BO950" s="11" t="n">
        <v>0.8332682139098497</v>
      </c>
      <c r="BP950" s="11" t="n">
        <v>0.5511018253564084</v>
      </c>
      <c r="BQ950" s="11" t="n">
        <v>1.0017220238758797</v>
      </c>
      <c r="BR950" s="8" t="n">
        <v>12</v>
      </c>
      <c r="BS950" s="8" t="n">
        <v>30</v>
      </c>
      <c r="BT950" s="8" t="n">
        <v>31</v>
      </c>
      <c r="BU950" s="8" t="n">
        <v>17</v>
      </c>
      <c r="BV950" s="11" t="n">
        <f>IF(COUNT(BC950,BF950)=2,BC950*BF950,"")</f>
        <v>0</v>
      </c>
      <c r="BW950" s="11" t="n">
        <f>IF(ISNUMBER(BN950),BN950,"")</f>
        <v>1.2247029157699902</v>
      </c>
      <c r="BX950" s="14" t="n">
        <f>IF(ISNUMBER(BR950),BR950,"")</f>
        <v>12</v>
      </c>
      <c r="BY950" s="13" t="n">
        <f>IF(AND(COUNT(BV950,BW950,BX950)=3,MIN(BV950,BW950,BX950)&gt;=0),BV950*BW950*BX950,"")</f>
        <v>0</v>
      </c>
      <c r="BZ950" s="11" t="n">
        <f>IF(ISNUMBER(BO950),BO950,"")</f>
        <v>0.8332682139098497</v>
      </c>
      <c r="CA950" s="14" t="n">
        <f>IF(ISNUMBER(BS950),BS950,"")</f>
        <v>30</v>
      </c>
      <c r="CB950" s="13" t="n">
        <f>IF(AND(COUNT(BV950,BZ950,CA950)=3,MIN(BV950,BZ950,CA950)&gt;=0),BV950*BZ950*CA950,"")</f>
        <v>0</v>
      </c>
      <c r="CC950" s="11" t="n">
        <f>IF(ISNUMBER(BP950),BP950,"")</f>
        <v>0.5511018253564084</v>
      </c>
      <c r="CD950" s="14" t="n">
        <f>IF(ISNUMBER(BT950),BT950,"")</f>
        <v>31</v>
      </c>
      <c r="CE950" s="13" t="n">
        <f>IF(AND(COUNT(BV950,CC950,CD950)=3,MIN(BV950,CC950,CD950)&gt;=0),BV950*CC950*CD950,"")</f>
        <v>0</v>
      </c>
      <c r="CF950" s="11" t="n">
        <f>IF(ISNUMBER(BQ950),BQ950,"")</f>
        <v>1.0017220238758797</v>
      </c>
      <c r="CG950" s="14" t="n">
        <f>IF(ISNUMBER(BU950),BU950,"")</f>
        <v>17</v>
      </c>
      <c r="CH950" s="13" t="n">
        <f>IF(AND(COUNT(BV950,CF950,CG950)=3,MIN(BV950,CF950,CG950)&gt;=0),BV950*CF950*CG950,"")</f>
        <v>0</v>
      </c>
      <c r="CI950" s="13" t="n">
        <f>IF(COUNT(BY950,CB950,CE950,CH950)=4,SUM(BY950,CB950,CE950,CH950),"")</f>
        <v>0</v>
      </c>
    </row>
    <row r="951" ht="72" customHeight="1">
      <c r="A951" s="16" t="str">
        <v>B06-SLG-38</v>
      </c>
      <c r="B951" s="16" t="str">
        <v>1店-MUSSHOE-US</v>
      </c>
      <c r="C951" s="16" t="str">
        <v>艾年</v>
      </c>
      <c r="D951" s="26" t="n">
        <f>IF(NOT(ISNUMBER(E951)),"",IF(OR(E951&lt;=0,L951=0),0,IF(OR(NOT(ISNUMBER(F951)),F951&lt;0),"",MIN(E951,INT(F951)))))</f>
        <v>0</v>
      </c>
      <c r="E951" s="27" t="n">
        <f>IF(OR(NOT(ISNUMBER(L951)),COUNT(M951:O951)&lt;&gt;3,MIN(M951:O951)&lt;0),"",ROUNDUP(ROUND(BI951-SUM(M951:O951),10),0))</f>
        <v>0</v>
      </c>
      <c r="F951" s="28"/>
      <c r="G951" s="28" t="n">
        <f>IF(AND(ISNUMBER(D951),ISNUMBER(E951)),IF(OR(E951&lt;=0,L951=0),0,E951-D951),"")</f>
        <v>0</v>
      </c>
      <c r="H951" s="16" t="str">
        <f>IF(NOT(ISNUMBER(E951)),"销量或海外库存待补",IF(OR(E951&lt;=0,L951=0),IF(L951=0,"零日销，本批不发","本批无需补货"),IF(NOT(ISNUMBER(D951)),"国内库存待补",IF(D951=0,"国内无可用库存",IF(G951&gt;0,"先发国内现货","按建议量发货")))))</f>
        <v>零日销，本批不发</v>
      </c>
      <c r="I951" s="28" t="n">
        <f>IF(AND(COUNT(Z951,AA951,AB951)=3,Z951&gt;=AA951,AA951&gt;=0,AB951=7),Z951-AA951,"")</f>
        <v>0</v>
      </c>
      <c r="J951" s="28" t="n">
        <f>IF(AND(COUNT(AF951,AG951,AH951)=3,AF951&gt;=AG951,AG951&gt;=0,AH951=14),AF951-AG951,"")</f>
        <v>0</v>
      </c>
      <c r="K951" s="28" t="n">
        <f>IF(AND(COUNT(AL951,AM951,AN951)=3,AL951&gt;=AM951,AM951&gt;=0,AN951=30),AL951-AM951,"")</f>
        <v>0</v>
      </c>
      <c r="L951" s="29" t="n">
        <f>IF(ISNUMBER(BI951),BI951/90,"")</f>
        <v>0</v>
      </c>
      <c r="M951" s="28" t="n">
        <v>0</v>
      </c>
      <c r="N951" s="28" t="n">
        <v>0</v>
      </c>
      <c r="O951" s="28" t="n">
        <v>0</v>
      </c>
      <c r="P951" s="30" t="str">
        <f>IF(AND(ISNUMBER(L951),L951&gt;0,COUNT(M951:O951)=3,MIN(M951:O951)&gt;=0),SUM(M951:O951)/L951,"")</f>
      </c>
      <c r="Q951" s="16" t="str">
        <v>按本SKU唯一未删除Listing店铺核实</v>
      </c>
      <c r="R951" s="16" t="str">
        <v>未匹配</v>
      </c>
      <c r="S951" s="16" t="str">
        <v>停售</v>
      </c>
      <c r="T951" s="16" t="str">
        <v>B06</v>
      </c>
      <c r="U951" s="16" t="str">
        <v>银色格利特</v>
      </c>
      <c r="V951" s="16" t="n">
        <v>7</v>
      </c>
      <c r="W951" s="8" t="str">
        <v>2026-10-08 至 2026-10-17</v>
      </c>
      <c r="X951" s="8" t="str">
        <v>2026-10-08、2026-10-09、2026-10-10、2026-10-11、2026-10-14、2026-10-15、2026-10-17</v>
      </c>
      <c r="Y951" s="8" t="str">
        <v>2026-10-12 有记录的停售日；2026-10-13 有记录的停售日；2026-10-16 有记录的停售日</v>
      </c>
      <c r="Z951" s="8" t="n">
        <v>0</v>
      </c>
      <c r="AA951" s="8" t="n">
        <v>0</v>
      </c>
      <c r="AB951" s="8" t="n">
        <v>7</v>
      </c>
      <c r="AC951" s="8" t="str">
        <v>2026-09-29 至 2026-10-17</v>
      </c>
      <c r="AD951" s="8" t="str">
        <v>2026-09-29、2026-09-30、2026-10-01、2026-10-02、2026-10-03、2026-10-04、2026-10-05、2026-10-08、2026-10-09、2026-10-10、2026-10-11、2026-10-14、2026-10-15、2026-10-17</v>
      </c>
      <c r="AE951" s="8" t="str">
        <v>2026-10-06 大促；2026-10-07 大促；2026-10-12 有记录的停售日；2026-10-13 有记录的停售日；2026-10-16 有记录的停售日</v>
      </c>
      <c r="AF951" s="8" t="n">
        <v>0</v>
      </c>
      <c r="AG951" s="8" t="n">
        <v>0</v>
      </c>
      <c r="AH951" s="8" t="n">
        <v>14</v>
      </c>
      <c r="AI951" s="8" t="str">
        <v>2026-09-13 至 2026-10-17</v>
      </c>
      <c r="AJ9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1" s="8" t="str">
        <v>2026-10-06 大促；2026-10-07 大促；2026-10-12 有记录的停售日；2026-10-13 有记录的停售日；2026-10-16 有记录的停售日</v>
      </c>
      <c r="AL951" s="8" t="n">
        <v>0</v>
      </c>
      <c r="AM951" s="8" t="n">
        <v>0</v>
      </c>
      <c r="AN951" s="8" t="n">
        <v>30</v>
      </c>
      <c r="AO951" s="8" t="str">
        <v>B06 / 银色格利特 / 13120</v>
      </c>
      <c r="AP951" s="11" t="n">
        <v>1.2247029157699902</v>
      </c>
      <c r="AQ951" s="11" t="n">
        <v>1.1929861014741694</v>
      </c>
      <c r="AR951" s="11" t="n">
        <v>1.0914922957275428</v>
      </c>
      <c r="AS951" s="11" t="n">
        <f>IF(AND(COUNT(I951:K951,AP951:AR951)=6,MIN(AP951:AR951)&gt;0),I951/7/AP951*0.5+J951/14/AQ951*0.3+K951/30/AR951*0.2,"")</f>
        <v>0</v>
      </c>
      <c r="AT951" s="8" t="n">
        <v>0</v>
      </c>
      <c r="AU951" s="8" t="n">
        <v>0</v>
      </c>
      <c r="AV951" s="8" t="n">
        <v>85</v>
      </c>
      <c r="AW951" s="11" t="n">
        <f>IF(AND(COUNT(AT951:AV951)=3,AT951&gt;=AU951,AU951&gt;=0,AV951&gt;0),(AT951-AU951)/AV951,"")</f>
        <v>0</v>
      </c>
      <c r="AX951" s="8" t="n">
        <v>2</v>
      </c>
      <c r="AY951" s="8" t="n">
        <v>0</v>
      </c>
      <c r="AZ951" s="8" t="n">
        <v>175</v>
      </c>
      <c r="BA951" s="11" t="n">
        <f>IF(AND(COUNT(AX951:AZ951)=3,AX951&gt;=AY951,AY951&gt;=0,AZ951&gt;0),(AX951-AY951)/AZ951,"")</f>
        <v>0.011428571428571429</v>
      </c>
      <c r="BB951" s="8" t="n">
        <f>IF(COUNT(AS951,AW951,BA951)=3,1,0)</f>
        <v>1</v>
      </c>
      <c r="BC951" s="11" t="n">
        <f>IF(SUMIF($AO$11:$AO$1309,AO951,$BB$11:$BB$1309)=COUNTIF($AO$11:$AO$1309,AO951),SUMIF($AO$11:$AO$1309,AO951,$AS$11:$AS$1309),"")</f>
        <v>0</v>
      </c>
      <c r="BD951" s="11" t="n">
        <f>IF(SUMIF($AO$11:$AO$1309,AO951,$BB$11:$BB$1309)=COUNTIF($AO$11:$AO$1309,AO951),SUMIF($AO$11:$AO$1309,AO951,$AW$11:$AW$1309),"")</f>
        <v>0</v>
      </c>
      <c r="BE951" s="11" t="n">
        <f>IF(SUMIF($AO$11:$AO$1309,AO951,$BB$11:$BB$1309)=COUNTIF($AO$11:$AO$1309,AO951),SUMIF($AO$11:$AO$1309,AO951,$BA$11:$BA$1309),"")</f>
        <v>0.017142857142857144</v>
      </c>
      <c r="BF951" s="12" t="n">
        <f>IF(COUNT(BD951:BE951)&lt;&gt;2,"",IF(AND(BD951&gt;0,BE951&gt;0),0.7*AW951/BD951+0.3*BA951/BE951,IF(BD951&gt;0,AW951/BD951,IF(BE951&gt;0,BA951/BE951,IF(AND(ISNUMBER(BH951),BH951=0),0,"")))))</f>
        <v>0.6666666666666666</v>
      </c>
      <c r="BG951" s="11" t="n">
        <f>IF(AND(COUNT(BN951:BU951)=8,MIN(BN951:BU951)&gt;=0),SUMPRODUCT(BN951:BQ951,BR951:BU951),"")</f>
        <v>73.80791239847399</v>
      </c>
      <c r="BH951" s="11" t="n">
        <f>IF(COUNT(BC951,BG951)=2,BC951*BG951,"")</f>
        <v>0</v>
      </c>
      <c r="BI951" s="11" t="n">
        <f>IF(ISNUMBER(CI951),CI951,"")</f>
        <v>0</v>
      </c>
      <c r="BJ951" s="8" t="str">
        <v>近180天本色销量3双（＜90），无有效新采购，请运营判断</v>
      </c>
      <c r="BK951" s="8" t="str">
        <v>90天：2026-07-20 至 2026-10-17；180天：2026-04-21 至 2026-10-17</v>
      </c>
      <c r="BL951" s="8" t="str">
        <v>90天：2026-10-06、2026-10-07、2026-10-12、2026-10-13、2026-10-16；180天：2026-10-06、2026-10-07、2026-10-12、2026-10-13、2026-10-16</v>
      </c>
      <c r="BM951" s="8" t="str">
        <v>2026-10：12天 × 1.2247029157699902；2026-11：30天 × 0.8332682139098497；2026-12：31天 × 0.5511018253564084；2027-01：17天 × 1.0017220238758797</v>
      </c>
      <c r="BN951" s="11" t="n">
        <v>1.2247029157699902</v>
      </c>
      <c r="BO951" s="11" t="n">
        <v>0.8332682139098497</v>
      </c>
      <c r="BP951" s="11" t="n">
        <v>0.5511018253564084</v>
      </c>
      <c r="BQ951" s="11" t="n">
        <v>1.0017220238758797</v>
      </c>
      <c r="BR951" s="8" t="n">
        <v>12</v>
      </c>
      <c r="BS951" s="8" t="n">
        <v>30</v>
      </c>
      <c r="BT951" s="8" t="n">
        <v>31</v>
      </c>
      <c r="BU951" s="8" t="n">
        <v>17</v>
      </c>
      <c r="BV951" s="11" t="n">
        <f>IF(COUNT(BC951,BF951)=2,BC951*BF951,"")</f>
        <v>0</v>
      </c>
      <c r="BW951" s="11" t="n">
        <f>IF(ISNUMBER(BN951),BN951,"")</f>
        <v>1.2247029157699902</v>
      </c>
      <c r="BX951" s="14" t="n">
        <f>IF(ISNUMBER(BR951),BR951,"")</f>
        <v>12</v>
      </c>
      <c r="BY951" s="13" t="n">
        <f>IF(AND(COUNT(BV951,BW951,BX951)=3,MIN(BV951,BW951,BX951)&gt;=0),BV951*BW951*BX951,"")</f>
        <v>0</v>
      </c>
      <c r="BZ951" s="11" t="n">
        <f>IF(ISNUMBER(BO951),BO951,"")</f>
        <v>0.8332682139098497</v>
      </c>
      <c r="CA951" s="14" t="n">
        <f>IF(ISNUMBER(BS951),BS951,"")</f>
        <v>30</v>
      </c>
      <c r="CB951" s="13" t="n">
        <f>IF(AND(COUNT(BV951,BZ951,CA951)=3,MIN(BV951,BZ951,CA951)&gt;=0),BV951*BZ951*CA951,"")</f>
        <v>0</v>
      </c>
      <c r="CC951" s="11" t="n">
        <f>IF(ISNUMBER(BP951),BP951,"")</f>
        <v>0.5511018253564084</v>
      </c>
      <c r="CD951" s="14" t="n">
        <f>IF(ISNUMBER(BT951),BT951,"")</f>
        <v>31</v>
      </c>
      <c r="CE951" s="13" t="n">
        <f>IF(AND(COUNT(BV951,CC951,CD951)=3,MIN(BV951,CC951,CD951)&gt;=0),BV951*CC951*CD951,"")</f>
        <v>0</v>
      </c>
      <c r="CF951" s="11" t="n">
        <f>IF(ISNUMBER(BQ951),BQ951,"")</f>
        <v>1.0017220238758797</v>
      </c>
      <c r="CG951" s="14" t="n">
        <f>IF(ISNUMBER(BU951),BU951,"")</f>
        <v>17</v>
      </c>
      <c r="CH951" s="13" t="n">
        <f>IF(AND(COUNT(BV951,CF951,CG951)=3,MIN(BV951,CF951,CG951)&gt;=0),BV951*CF951*CG951,"")</f>
        <v>0</v>
      </c>
      <c r="CI951" s="13" t="n">
        <f>IF(COUNT(BY951,CB951,CE951,CH951)=4,SUM(BY951,CB951,CE951,CH951),"")</f>
        <v>0</v>
      </c>
    </row>
    <row r="952" ht="72" customHeight="1">
      <c r="A952" s="16" t="str">
        <v>B06-SLG-38.5</v>
      </c>
      <c r="B952" s="16" t="str">
        <v>1店-MUSSHOE-US</v>
      </c>
      <c r="C952" s="16" t="str">
        <v>艾年</v>
      </c>
      <c r="D952" s="26" t="n">
        <f>IF(NOT(ISNUMBER(E952)),"",IF(OR(E952&lt;=0,L952=0),0,IF(OR(NOT(ISNUMBER(F952)),F952&lt;0),"",MIN(E952,INT(F952)))))</f>
        <v>0</v>
      </c>
      <c r="E952" s="27" t="n">
        <f>IF(OR(NOT(ISNUMBER(L952)),COUNT(M952:O952)&lt;&gt;3,MIN(M952:O952)&lt;0),"",ROUNDUP(ROUND(BI952-SUM(M952:O952),10),0))</f>
        <v>0</v>
      </c>
      <c r="F952" s="28"/>
      <c r="G952" s="28" t="n">
        <f>IF(AND(ISNUMBER(D952),ISNUMBER(E952)),IF(OR(E952&lt;=0,L952=0),0,E952-D952),"")</f>
        <v>0</v>
      </c>
      <c r="H952" s="16" t="str">
        <f>IF(NOT(ISNUMBER(E952)),"销量或海外库存待补",IF(OR(E952&lt;=0,L952=0),IF(L952=0,"零日销，本批不发","本批无需补货"),IF(NOT(ISNUMBER(D952)),"国内库存待补",IF(D952=0,"国内无可用库存",IF(G952&gt;0,"先发国内现货","按建议量发货")))))</f>
        <v>零日销，本批不发</v>
      </c>
      <c r="I952" s="28" t="n">
        <f>IF(AND(COUNT(Z952,AA952,AB952)=3,Z952&gt;=AA952,AA952&gt;=0,AB952=7),Z952-AA952,"")</f>
        <v>0</v>
      </c>
      <c r="J952" s="28" t="n">
        <f>IF(AND(COUNT(AF952,AG952,AH952)=3,AF952&gt;=AG952,AG952&gt;=0,AH952=14),AF952-AG952,"")</f>
        <v>0</v>
      </c>
      <c r="K952" s="28" t="n">
        <f>IF(AND(COUNT(AL952,AM952,AN952)=3,AL952&gt;=AM952,AM952&gt;=0,AN952=30),AL952-AM952,"")</f>
        <v>0</v>
      </c>
      <c r="L952" s="29" t="n">
        <f>IF(ISNUMBER(BI952),BI952/90,"")</f>
        <v>0</v>
      </c>
      <c r="M952" s="28" t="n">
        <v>0</v>
      </c>
      <c r="N952" s="28" t="n">
        <v>0</v>
      </c>
      <c r="O952" s="28" t="n">
        <v>0</v>
      </c>
      <c r="P952" s="30" t="str">
        <f>IF(AND(ISNUMBER(L952),L952&gt;0,COUNT(M952:O952)=3,MIN(M952:O952)&gt;=0),SUM(M952:O952)/L952,"")</f>
      </c>
      <c r="Q952" s="16" t="str">
        <v>按本SKU唯一未删除Listing店铺核实</v>
      </c>
      <c r="R952" s="16" t="str">
        <v>未匹配</v>
      </c>
      <c r="S952" s="16" t="str">
        <v>停售</v>
      </c>
      <c r="T952" s="16" t="str">
        <v>B06</v>
      </c>
      <c r="U952" s="16" t="str">
        <v>银色格利特</v>
      </c>
      <c r="V952" s="16" t="n">
        <v>7.5</v>
      </c>
      <c r="W952" s="8" t="str">
        <v>2026-10-08 至 2026-10-17</v>
      </c>
      <c r="X952" s="8" t="str">
        <v>2026-10-08、2026-10-09、2026-10-10、2026-10-11、2026-10-14、2026-10-15、2026-10-17</v>
      </c>
      <c r="Y952" s="8" t="str">
        <v>2026-10-12 有记录的停售日；2026-10-13 有记录的停售日；2026-10-16 有记录的停售日</v>
      </c>
      <c r="Z952" s="8" t="n">
        <v>0</v>
      </c>
      <c r="AA952" s="8" t="n">
        <v>0</v>
      </c>
      <c r="AB952" s="8" t="n">
        <v>7</v>
      </c>
      <c r="AC952" s="8" t="str">
        <v>2026-09-29 至 2026-10-17</v>
      </c>
      <c r="AD952" s="8" t="str">
        <v>2026-09-29、2026-09-30、2026-10-01、2026-10-02、2026-10-03、2026-10-04、2026-10-05、2026-10-08、2026-10-09、2026-10-10、2026-10-11、2026-10-14、2026-10-15、2026-10-17</v>
      </c>
      <c r="AE952" s="8" t="str">
        <v>2026-10-06 大促；2026-10-07 大促；2026-10-12 有记录的停售日；2026-10-13 有记录的停售日；2026-10-16 有记录的停售日</v>
      </c>
      <c r="AF952" s="8" t="n">
        <v>0</v>
      </c>
      <c r="AG952" s="8" t="n">
        <v>0</v>
      </c>
      <c r="AH952" s="8" t="n">
        <v>14</v>
      </c>
      <c r="AI952" s="8" t="str">
        <v>2026-09-13 至 2026-10-17</v>
      </c>
      <c r="AJ95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2" s="8" t="str">
        <v>2026-10-06 大促；2026-10-07 大促；2026-10-12 有记录的停售日；2026-10-13 有记录的停售日；2026-10-16 有记录的停售日</v>
      </c>
      <c r="AL952" s="8" t="n">
        <v>0</v>
      </c>
      <c r="AM952" s="8" t="n">
        <v>0</v>
      </c>
      <c r="AN952" s="8" t="n">
        <v>30</v>
      </c>
      <c r="AO952" s="8" t="str">
        <v>B06 / 银色格利特 / 13120</v>
      </c>
      <c r="AP952" s="11" t="n">
        <v>1.2247029157699902</v>
      </c>
      <c r="AQ952" s="11" t="n">
        <v>1.1929861014741694</v>
      </c>
      <c r="AR952" s="11" t="n">
        <v>1.0914922957275428</v>
      </c>
      <c r="AS952" s="11" t="n">
        <f>IF(AND(COUNT(I952:K952,AP952:AR952)=6,MIN(AP952:AR952)&gt;0),I952/7/AP952*0.5+J952/14/AQ952*0.3+K952/30/AR952*0.2,"")</f>
        <v>0</v>
      </c>
      <c r="AT952" s="8" t="n">
        <v>0</v>
      </c>
      <c r="AU952" s="8" t="n">
        <v>0</v>
      </c>
      <c r="AV952" s="8" t="n">
        <v>85</v>
      </c>
      <c r="AW952" s="11" t="n">
        <f>IF(AND(COUNT(AT952:AV952)=3,AT952&gt;=AU952,AU952&gt;=0,AV952&gt;0),(AT952-AU952)/AV952,"")</f>
        <v>0</v>
      </c>
      <c r="AX952" s="8" t="n">
        <v>0</v>
      </c>
      <c r="AY952" s="8" t="n">
        <v>0</v>
      </c>
      <c r="AZ952" s="8" t="n">
        <v>175</v>
      </c>
      <c r="BA952" s="11" t="n">
        <f>IF(AND(COUNT(AX952:AZ952)=3,AX952&gt;=AY952,AY952&gt;=0,AZ952&gt;0),(AX952-AY952)/AZ952,"")</f>
        <v>0</v>
      </c>
      <c r="BB952" s="8" t="n">
        <f>IF(COUNT(AS952,AW952,BA952)=3,1,0)</f>
        <v>1</v>
      </c>
      <c r="BC952" s="11" t="n">
        <f>IF(SUMIF($AO$11:$AO$1309,AO952,$BB$11:$BB$1309)=COUNTIF($AO$11:$AO$1309,AO952),SUMIF($AO$11:$AO$1309,AO952,$AS$11:$AS$1309),"")</f>
        <v>0</v>
      </c>
      <c r="BD952" s="11" t="n">
        <f>IF(SUMIF($AO$11:$AO$1309,AO952,$BB$11:$BB$1309)=COUNTIF($AO$11:$AO$1309,AO952),SUMIF($AO$11:$AO$1309,AO952,$AW$11:$AW$1309),"")</f>
        <v>0</v>
      </c>
      <c r="BE952" s="11" t="n">
        <f>IF(SUMIF($AO$11:$AO$1309,AO952,$BB$11:$BB$1309)=COUNTIF($AO$11:$AO$1309,AO952),SUMIF($AO$11:$AO$1309,AO952,$BA$11:$BA$1309),"")</f>
        <v>0.017142857142857144</v>
      </c>
      <c r="BF952" s="12" t="n">
        <f>IF(COUNT(BD952:BE952)&lt;&gt;2,"",IF(AND(BD952&gt;0,BE952&gt;0),0.7*AW952/BD952+0.3*BA952/BE952,IF(BD952&gt;0,AW952/BD952,IF(BE952&gt;0,BA952/BE952,IF(AND(ISNUMBER(BH952),BH952=0),0,"")))))</f>
        <v>0</v>
      </c>
      <c r="BG952" s="11" t="n">
        <f>IF(AND(COUNT(BN952:BU952)=8,MIN(BN952:BU952)&gt;=0),SUMPRODUCT(BN952:BQ952,BR952:BU952),"")</f>
        <v>73.80791239847399</v>
      </c>
      <c r="BH952" s="11" t="n">
        <f>IF(COUNT(BC952,BG952)=2,BC952*BG952,"")</f>
        <v>0</v>
      </c>
      <c r="BI952" s="11" t="n">
        <f>IF(ISNUMBER(CI952),CI952,"")</f>
        <v>0</v>
      </c>
      <c r="BJ952" s="8" t="str">
        <v>近180天本色销量3双（＜90），无有效新采购，请运营判断</v>
      </c>
      <c r="BK952" s="8" t="str">
        <v>90天：2026-07-20 至 2026-10-17；180天：2026-04-21 至 2026-10-17</v>
      </c>
      <c r="BL952" s="8" t="str">
        <v>90天：2026-10-06、2026-10-07、2026-10-12、2026-10-13、2026-10-16；180天：2026-10-06、2026-10-07、2026-10-12、2026-10-13、2026-10-16</v>
      </c>
      <c r="BM952" s="8" t="str">
        <v>2026-10：12天 × 1.2247029157699902；2026-11：30天 × 0.8332682139098497；2026-12：31天 × 0.5511018253564084；2027-01：17天 × 1.0017220238758797</v>
      </c>
      <c r="BN952" s="11" t="n">
        <v>1.2247029157699902</v>
      </c>
      <c r="BO952" s="11" t="n">
        <v>0.8332682139098497</v>
      </c>
      <c r="BP952" s="11" t="n">
        <v>0.5511018253564084</v>
      </c>
      <c r="BQ952" s="11" t="n">
        <v>1.0017220238758797</v>
      </c>
      <c r="BR952" s="8" t="n">
        <v>12</v>
      </c>
      <c r="BS952" s="8" t="n">
        <v>30</v>
      </c>
      <c r="BT952" s="8" t="n">
        <v>31</v>
      </c>
      <c r="BU952" s="8" t="n">
        <v>17</v>
      </c>
      <c r="BV952" s="11" t="n">
        <f>IF(COUNT(BC952,BF952)=2,BC952*BF952,"")</f>
        <v>0</v>
      </c>
      <c r="BW952" s="11" t="n">
        <f>IF(ISNUMBER(BN952),BN952,"")</f>
        <v>1.2247029157699902</v>
      </c>
      <c r="BX952" s="14" t="n">
        <f>IF(ISNUMBER(BR952),BR952,"")</f>
        <v>12</v>
      </c>
      <c r="BY952" s="13" t="n">
        <f>IF(AND(COUNT(BV952,BW952,BX952)=3,MIN(BV952,BW952,BX952)&gt;=0),BV952*BW952*BX952,"")</f>
        <v>0</v>
      </c>
      <c r="BZ952" s="11" t="n">
        <f>IF(ISNUMBER(BO952),BO952,"")</f>
        <v>0.8332682139098497</v>
      </c>
      <c r="CA952" s="14" t="n">
        <f>IF(ISNUMBER(BS952),BS952,"")</f>
        <v>30</v>
      </c>
      <c r="CB952" s="13" t="n">
        <f>IF(AND(COUNT(BV952,BZ952,CA952)=3,MIN(BV952,BZ952,CA952)&gt;=0),BV952*BZ952*CA952,"")</f>
        <v>0</v>
      </c>
      <c r="CC952" s="11" t="n">
        <f>IF(ISNUMBER(BP952),BP952,"")</f>
        <v>0.5511018253564084</v>
      </c>
      <c r="CD952" s="14" t="n">
        <f>IF(ISNUMBER(BT952),BT952,"")</f>
        <v>31</v>
      </c>
      <c r="CE952" s="13" t="n">
        <f>IF(AND(COUNT(BV952,CC952,CD952)=3,MIN(BV952,CC952,CD952)&gt;=0),BV952*CC952*CD952,"")</f>
        <v>0</v>
      </c>
      <c r="CF952" s="11" t="n">
        <f>IF(ISNUMBER(BQ952),BQ952,"")</f>
        <v>1.0017220238758797</v>
      </c>
      <c r="CG952" s="14" t="n">
        <f>IF(ISNUMBER(BU952),BU952,"")</f>
        <v>17</v>
      </c>
      <c r="CH952" s="13" t="n">
        <f>IF(AND(COUNT(BV952,CF952,CG952)=3,MIN(BV952,CF952,CG952)&gt;=0),BV952*CF952*CG952,"")</f>
        <v>0</v>
      </c>
      <c r="CI952" s="13" t="n">
        <f>IF(COUNT(BY952,CB952,CE952,CH952)=4,SUM(BY952,CB952,CE952,CH952),"")</f>
        <v>0</v>
      </c>
    </row>
    <row r="953" ht="72" customHeight="1">
      <c r="A953" s="16" t="str">
        <v>B06-SLG-41</v>
      </c>
      <c r="B953" s="16" t="str">
        <v>1店-MUSSHOE-US</v>
      </c>
      <c r="C953" s="16" t="str">
        <v>艾年</v>
      </c>
      <c r="D953" s="26" t="n">
        <f>IF(NOT(ISNUMBER(E953)),"",IF(OR(E953&lt;=0,L953=0),0,IF(OR(NOT(ISNUMBER(F953)),F953&lt;0),"",MIN(E953,INT(F953)))))</f>
        <v>0</v>
      </c>
      <c r="E953" s="27" t="n">
        <f>IF(OR(NOT(ISNUMBER(L953)),COUNT(M953:O953)&lt;&gt;3,MIN(M953:O953)&lt;0),"",ROUNDUP(ROUND(BI953-SUM(M953:O953),10),0))</f>
        <v>0</v>
      </c>
      <c r="F953" s="28"/>
      <c r="G953" s="28" t="n">
        <f>IF(AND(ISNUMBER(D953),ISNUMBER(E953)),IF(OR(E953&lt;=0,L953=0),0,E953-D953),"")</f>
        <v>0</v>
      </c>
      <c r="H953" s="16" t="str">
        <f>IF(NOT(ISNUMBER(E953)),"销量或海外库存待补",IF(OR(E953&lt;=0,L953=0),IF(L953=0,"零日销，本批不发","本批无需补货"),IF(NOT(ISNUMBER(D953)),"国内库存待补",IF(D953=0,"国内无可用库存",IF(G953&gt;0,"先发国内现货","按建议量发货")))))</f>
        <v>零日销，本批不发</v>
      </c>
      <c r="I953" s="28" t="n">
        <f>IF(AND(COUNT(Z953,AA953,AB953)=3,Z953&gt;=AA953,AA953&gt;=0,AB953=7),Z953-AA953,"")</f>
        <v>0</v>
      </c>
      <c r="J953" s="28" t="n">
        <f>IF(AND(COUNT(AF953,AG953,AH953)=3,AF953&gt;=AG953,AG953&gt;=0,AH953=14),AF953-AG953,"")</f>
        <v>0</v>
      </c>
      <c r="K953" s="28" t="n">
        <f>IF(AND(COUNT(AL953,AM953,AN953)=3,AL953&gt;=AM953,AM953&gt;=0,AN953=30),AL953-AM953,"")</f>
        <v>0</v>
      </c>
      <c r="L953" s="29" t="n">
        <f>IF(ISNUMBER(BI953),BI953/90,"")</f>
        <v>0</v>
      </c>
      <c r="M953" s="28" t="n">
        <v>0</v>
      </c>
      <c r="N953" s="28" t="n">
        <v>0</v>
      </c>
      <c r="O953" s="28" t="n">
        <v>0</v>
      </c>
      <c r="P953" s="30" t="str">
        <f>IF(AND(ISNUMBER(L953),L953&gt;0,COUNT(M953:O953)=3,MIN(M953:O953)&gt;=0),SUM(M953:O953)/L953,"")</f>
      </c>
      <c r="Q953" s="16" t="str">
        <v>按本SKU唯一未删除Listing店铺核实</v>
      </c>
      <c r="R953" s="16" t="str">
        <v>未匹配</v>
      </c>
      <c r="S953" s="16" t="str">
        <v>停售</v>
      </c>
      <c r="T953" s="16" t="str">
        <v>B06</v>
      </c>
      <c r="U953" s="16" t="str">
        <v>银色格利特</v>
      </c>
      <c r="V953" s="16" t="n">
        <v>10</v>
      </c>
      <c r="W953" s="8" t="str">
        <v>2026-10-08 至 2026-10-17</v>
      </c>
      <c r="X953" s="8" t="str">
        <v>2026-10-08、2026-10-09、2026-10-10、2026-10-11、2026-10-14、2026-10-15、2026-10-17</v>
      </c>
      <c r="Y953" s="8" t="str">
        <v>2026-10-12 有记录的停售日；2026-10-13 有记录的停售日；2026-10-16 有记录的停售日</v>
      </c>
      <c r="Z953" s="8" t="n">
        <v>0</v>
      </c>
      <c r="AA953" s="8" t="n">
        <v>0</v>
      </c>
      <c r="AB953" s="8" t="n">
        <v>7</v>
      </c>
      <c r="AC953" s="8" t="str">
        <v>2026-09-29 至 2026-10-17</v>
      </c>
      <c r="AD953" s="8" t="str">
        <v>2026-09-29、2026-09-30、2026-10-01、2026-10-02、2026-10-03、2026-10-04、2026-10-05、2026-10-08、2026-10-09、2026-10-10、2026-10-11、2026-10-14、2026-10-15、2026-10-17</v>
      </c>
      <c r="AE953" s="8" t="str">
        <v>2026-10-06 大促；2026-10-07 大促；2026-10-12 有记录的停售日；2026-10-13 有记录的停售日；2026-10-16 有记录的停售日</v>
      </c>
      <c r="AF953" s="8" t="n">
        <v>0</v>
      </c>
      <c r="AG953" s="8" t="n">
        <v>0</v>
      </c>
      <c r="AH953" s="8" t="n">
        <v>14</v>
      </c>
      <c r="AI953" s="8" t="str">
        <v>2026-09-13 至 2026-10-17</v>
      </c>
      <c r="AJ95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3" s="8" t="str">
        <v>2026-10-06 大促；2026-10-07 大促；2026-10-12 有记录的停售日；2026-10-13 有记录的停售日；2026-10-16 有记录的停售日</v>
      </c>
      <c r="AL953" s="8" t="n">
        <v>0</v>
      </c>
      <c r="AM953" s="8" t="n">
        <v>0</v>
      </c>
      <c r="AN953" s="8" t="n">
        <v>30</v>
      </c>
      <c r="AO953" s="8" t="str">
        <v>B06 / 银色格利特 / 13120</v>
      </c>
      <c r="AP953" s="11" t="n">
        <v>1.2247029157699902</v>
      </c>
      <c r="AQ953" s="11" t="n">
        <v>1.1929861014741694</v>
      </c>
      <c r="AR953" s="11" t="n">
        <v>1.0914922957275428</v>
      </c>
      <c r="AS953" s="11" t="n">
        <f>IF(AND(COUNT(I953:K953,AP953:AR953)=6,MIN(AP953:AR953)&gt;0),I953/7/AP953*0.5+J953/14/AQ953*0.3+K953/30/AR953*0.2,"")</f>
        <v>0</v>
      </c>
      <c r="AT953" s="8" t="n">
        <v>0</v>
      </c>
      <c r="AU953" s="8" t="n">
        <v>0</v>
      </c>
      <c r="AV953" s="8" t="n">
        <v>85</v>
      </c>
      <c r="AW953" s="11" t="n">
        <f>IF(AND(COUNT(AT953:AV953)=3,AT953&gt;=AU953,AU953&gt;=0,AV953&gt;0),(AT953-AU953)/AV953,"")</f>
        <v>0</v>
      </c>
      <c r="AX953" s="8" t="n">
        <v>1</v>
      </c>
      <c r="AY953" s="8" t="n">
        <v>0</v>
      </c>
      <c r="AZ953" s="8" t="n">
        <v>175</v>
      </c>
      <c r="BA953" s="11" t="n">
        <f>IF(AND(COUNT(AX953:AZ953)=3,AX953&gt;=AY953,AY953&gt;=0,AZ953&gt;0),(AX953-AY953)/AZ953,"")</f>
        <v>0.005714285714285714</v>
      </c>
      <c r="BB953" s="8" t="n">
        <f>IF(COUNT(AS953,AW953,BA953)=3,1,0)</f>
        <v>1</v>
      </c>
      <c r="BC953" s="11" t="n">
        <f>IF(SUMIF($AO$11:$AO$1309,AO953,$BB$11:$BB$1309)=COUNTIF($AO$11:$AO$1309,AO953),SUMIF($AO$11:$AO$1309,AO953,$AS$11:$AS$1309),"")</f>
        <v>0</v>
      </c>
      <c r="BD953" s="11" t="n">
        <f>IF(SUMIF($AO$11:$AO$1309,AO953,$BB$11:$BB$1309)=COUNTIF($AO$11:$AO$1309,AO953),SUMIF($AO$11:$AO$1309,AO953,$AW$11:$AW$1309),"")</f>
        <v>0</v>
      </c>
      <c r="BE953" s="11" t="n">
        <f>IF(SUMIF($AO$11:$AO$1309,AO953,$BB$11:$BB$1309)=COUNTIF($AO$11:$AO$1309,AO953),SUMIF($AO$11:$AO$1309,AO953,$BA$11:$BA$1309),"")</f>
        <v>0.017142857142857144</v>
      </c>
      <c r="BF953" s="12" t="n">
        <f>IF(COUNT(BD953:BE953)&lt;&gt;2,"",IF(AND(BD953&gt;0,BE953&gt;0),0.7*AW953/BD953+0.3*BA953/BE953,IF(BD953&gt;0,AW953/BD953,IF(BE953&gt;0,BA953/BE953,IF(AND(ISNUMBER(BH953),BH953=0),0,"")))))</f>
        <v>0.3333333333333333</v>
      </c>
      <c r="BG953" s="11" t="n">
        <f>IF(AND(COUNT(BN953:BU953)=8,MIN(BN953:BU953)&gt;=0),SUMPRODUCT(BN953:BQ953,BR953:BU953),"")</f>
        <v>73.80791239847399</v>
      </c>
      <c r="BH953" s="11" t="n">
        <f>IF(COUNT(BC953,BG953)=2,BC953*BG953,"")</f>
        <v>0</v>
      </c>
      <c r="BI953" s="11" t="n">
        <f>IF(ISNUMBER(CI953),CI953,"")</f>
        <v>0</v>
      </c>
      <c r="BJ953" s="8" t="str">
        <v>近180天本色销量3双（＜90），无有效新采购，请运营判断</v>
      </c>
      <c r="BK953" s="8" t="str">
        <v>90天：2026-07-20 至 2026-10-17；180天：2026-04-21 至 2026-10-17</v>
      </c>
      <c r="BL953" s="8" t="str">
        <v>90天：2026-10-06、2026-10-07、2026-10-12、2026-10-13、2026-10-16；180天：2026-10-06、2026-10-07、2026-10-12、2026-10-13、2026-10-16</v>
      </c>
      <c r="BM953" s="8" t="str">
        <v>2026-10：12天 × 1.2247029157699902；2026-11：30天 × 0.8332682139098497；2026-12：31天 × 0.5511018253564084；2027-01：17天 × 1.0017220238758797</v>
      </c>
      <c r="BN953" s="11" t="n">
        <v>1.2247029157699902</v>
      </c>
      <c r="BO953" s="11" t="n">
        <v>0.8332682139098497</v>
      </c>
      <c r="BP953" s="11" t="n">
        <v>0.5511018253564084</v>
      </c>
      <c r="BQ953" s="11" t="n">
        <v>1.0017220238758797</v>
      </c>
      <c r="BR953" s="8" t="n">
        <v>12</v>
      </c>
      <c r="BS953" s="8" t="n">
        <v>30</v>
      </c>
      <c r="BT953" s="8" t="n">
        <v>31</v>
      </c>
      <c r="BU953" s="8" t="n">
        <v>17</v>
      </c>
      <c r="BV953" s="11" t="n">
        <f>IF(COUNT(BC953,BF953)=2,BC953*BF953,"")</f>
        <v>0</v>
      </c>
      <c r="BW953" s="11" t="n">
        <f>IF(ISNUMBER(BN953),BN953,"")</f>
        <v>1.2247029157699902</v>
      </c>
      <c r="BX953" s="14" t="n">
        <f>IF(ISNUMBER(BR953),BR953,"")</f>
        <v>12</v>
      </c>
      <c r="BY953" s="13" t="n">
        <f>IF(AND(COUNT(BV953,BW953,BX953)=3,MIN(BV953,BW953,BX953)&gt;=0),BV953*BW953*BX953,"")</f>
        <v>0</v>
      </c>
      <c r="BZ953" s="11" t="n">
        <f>IF(ISNUMBER(BO953),BO953,"")</f>
        <v>0.8332682139098497</v>
      </c>
      <c r="CA953" s="14" t="n">
        <f>IF(ISNUMBER(BS953),BS953,"")</f>
        <v>30</v>
      </c>
      <c r="CB953" s="13" t="n">
        <f>IF(AND(COUNT(BV953,BZ953,CA953)=3,MIN(BV953,BZ953,CA953)&gt;=0),BV953*BZ953*CA953,"")</f>
        <v>0</v>
      </c>
      <c r="CC953" s="11" t="n">
        <f>IF(ISNUMBER(BP953),BP953,"")</f>
        <v>0.5511018253564084</v>
      </c>
      <c r="CD953" s="14" t="n">
        <f>IF(ISNUMBER(BT953),BT953,"")</f>
        <v>31</v>
      </c>
      <c r="CE953" s="13" t="n">
        <f>IF(AND(COUNT(BV953,CC953,CD953)=3,MIN(BV953,CC953,CD953)&gt;=0),BV953*CC953*CD953,"")</f>
        <v>0</v>
      </c>
      <c r="CF953" s="11" t="n">
        <f>IF(ISNUMBER(BQ953),BQ953,"")</f>
        <v>1.0017220238758797</v>
      </c>
      <c r="CG953" s="14" t="n">
        <f>IF(ISNUMBER(BU953),BU953,"")</f>
        <v>17</v>
      </c>
      <c r="CH953" s="13" t="n">
        <f>IF(AND(COUNT(BV953,CF953,CG953)=3,MIN(BV953,CF953,CG953)&gt;=0),BV953*CF953*CG953,"")</f>
        <v>0</v>
      </c>
      <c r="CI953" s="13" t="n">
        <f>IF(COUNT(BY953,CB953,CE953,CH953)=4,SUM(BY953,CB953,CE953,CH953),"")</f>
        <v>0</v>
      </c>
    </row>
    <row r="954" ht="72" customHeight="1">
      <c r="A954" s="16" t="str">
        <v>B06-SP-37</v>
      </c>
      <c r="B954" s="16" t="str">
        <v>1店-MUSSHOE-US</v>
      </c>
      <c r="C954" s="16" t="str">
        <v>艾年</v>
      </c>
      <c r="D954" s="26" t="n">
        <f>IF(NOT(ISNUMBER(E954)),"",IF(OR(E954&lt;=0,L954=0),0,IF(OR(NOT(ISNUMBER(F954)),F954&lt;0),"",MIN(E954,INT(F954)))))</f>
        <v>0</v>
      </c>
      <c r="E954" s="27" t="n">
        <f>IF(OR(NOT(ISNUMBER(L954)),COUNT(M954:O954)&lt;&gt;3,MIN(M954:O954)&lt;0),"",ROUNDUP(ROUND(BI954-SUM(M954:O954),10),0))</f>
        <v>-13</v>
      </c>
      <c r="F954" s="28" t="n">
        <v>11</v>
      </c>
      <c r="G954" s="28" t="n">
        <f>IF(AND(ISNUMBER(D954),ISNUMBER(E954)),IF(OR(E954&lt;=0,L954=0),0,E954-D954),"")</f>
        <v>0</v>
      </c>
      <c r="H954" s="16" t="str">
        <f>IF(NOT(ISNUMBER(E954)),"销量或海外库存待补",IF(OR(E954&lt;=0,L954=0),IF(L954=0,"零日销，本批不发","本批无需补货"),IF(NOT(ISNUMBER(D954)),"国内库存待补",IF(D954=0,"国内无可用库存",IF(G954&gt;0,"先发国内现货","按建议量发货")))))</f>
        <v>本批无需补货</v>
      </c>
      <c r="I954" s="28" t="n">
        <f>IF(AND(COUNT(Z954,AA954,AB954)=3,Z954&gt;=AA954,AA954&gt;=0,AB954=7),Z954-AA954,"")</f>
        <v>1</v>
      </c>
      <c r="J954" s="28" t="n">
        <f>IF(AND(COUNT(AF954,AG954,AH954)=3,AF954&gt;=AG954,AG954&gt;=0,AH954=14),AF954-AG954,"")</f>
        <v>2</v>
      </c>
      <c r="K954" s="28" t="n">
        <f>IF(AND(COUNT(AL954,AM954,AN954)=3,AL954&gt;=AM954,AM954&gt;=0,AN954=30),AL954-AM954,"")</f>
        <v>4</v>
      </c>
      <c r="L954" s="29" t="n">
        <f>IF(ISNUMBER(BI954),BI954/90,"")</f>
        <v>0.1203610054738277</v>
      </c>
      <c r="M954" s="28" t="n">
        <v>3</v>
      </c>
      <c r="N954" s="28" t="n">
        <v>0</v>
      </c>
      <c r="O954" s="28" t="n">
        <v>20</v>
      </c>
      <c r="P954" s="30" t="n">
        <f>IF(AND(ISNUMBER(L954),L954&gt;0,COUNT(M954:O954)=3,MIN(M954:O954)&gt;=0),SUM(M954:O954)/L954,"")</f>
        <v>191.09179014794213</v>
      </c>
      <c r="Q954" s="16" t="str">
        <v>沿用原计划SKU店铺</v>
      </c>
      <c r="R954" s="16" t="str">
        <v>已匹配</v>
      </c>
      <c r="S954" s="16" t="str">
        <v>在售</v>
      </c>
      <c r="T954" s="16" t="str">
        <v>B06</v>
      </c>
      <c r="U954" s="16" t="str">
        <v>蛇纹PU</v>
      </c>
      <c r="V954" s="16" t="n">
        <v>6</v>
      </c>
      <c r="W954" s="8" t="str">
        <v>2026-10-11 至 2026-10-17</v>
      </c>
      <c r="X954" s="8" t="str">
        <v>2026-10-11、2026-10-12、2026-10-13、2026-10-14、2026-10-15、2026-10-16、2026-10-17</v>
      </c>
      <c r="Y954" s="8" t="str">
        <v>无</v>
      </c>
      <c r="Z954" s="8" t="n">
        <v>1</v>
      </c>
      <c r="AA954" s="8" t="n">
        <v>0</v>
      </c>
      <c r="AB954" s="8" t="n">
        <v>7</v>
      </c>
      <c r="AC954" s="8" t="str">
        <v>2026-10-02 至 2026-10-17</v>
      </c>
      <c r="AD954" s="8" t="str">
        <v>2026-10-02、2026-10-03、2026-10-04、2026-10-05、2026-10-08、2026-10-09、2026-10-10、2026-10-11、2026-10-12、2026-10-13、2026-10-14、2026-10-15、2026-10-16、2026-10-17</v>
      </c>
      <c r="AE954" s="8" t="str">
        <v>2026-10-06 大促；2026-10-07 大促</v>
      </c>
      <c r="AF954" s="8" t="n">
        <v>3</v>
      </c>
      <c r="AG954" s="8" t="n">
        <v>1</v>
      </c>
      <c r="AH954" s="8" t="n">
        <v>14</v>
      </c>
      <c r="AI954" s="8" t="str">
        <v>2026-09-16 至 2026-10-17</v>
      </c>
      <c r="AJ9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54" s="8" t="str">
        <v>2026-10-06 大促；2026-10-07 大促</v>
      </c>
      <c r="AL954" s="8" t="n">
        <v>5</v>
      </c>
      <c r="AM954" s="8" t="n">
        <v>1</v>
      </c>
      <c r="AN954" s="8" t="n">
        <v>30</v>
      </c>
      <c r="AO954" s="8" t="str">
        <v>B06 / 蛇纹PU / 13120</v>
      </c>
      <c r="AP954" s="11" t="n">
        <v>1.2247029157699902</v>
      </c>
      <c r="AQ954" s="11" t="n">
        <v>1.2247029157699902</v>
      </c>
      <c r="AR954" s="11" t="n">
        <v>1.1136940657346173</v>
      </c>
      <c r="AS954" s="11" t="n">
        <f>IF(AND(COUNT(I954:K954,AP954:AR954)=6,MIN(AP954:AR954)&gt;0),I954/7/AP954*0.5+J954/14/AQ954*0.3+K954/30/AR954*0.2,"")</f>
        <v>0.11726142926776174</v>
      </c>
      <c r="AT954" s="8" t="n">
        <v>12</v>
      </c>
      <c r="AU954" s="8" t="n">
        <v>1</v>
      </c>
      <c r="AV954" s="8" t="n">
        <v>88</v>
      </c>
      <c r="AW954" s="11" t="n">
        <f>IF(AND(COUNT(AT954:AV954)=3,AT954&gt;=AU954,AU954&gt;=0,AV954&gt;0),(AT954-AU954)/AV954,"")</f>
        <v>0.125</v>
      </c>
      <c r="AX954" s="8" t="n">
        <v>36</v>
      </c>
      <c r="AY954" s="8" t="n">
        <v>1</v>
      </c>
      <c r="AZ954" s="8" t="n">
        <v>178</v>
      </c>
      <c r="BA954" s="11" t="n">
        <f>IF(AND(COUNT(AX954:AZ954)=3,AX954&gt;=AY954,AY954&gt;=0,AZ954&gt;0),(AX954-AY954)/AZ954,"")</f>
        <v>0.19662921348314608</v>
      </c>
      <c r="BB954" s="8" t="n">
        <f>IF(COUNT(AS954,AW954,BA954)=3,1,0)</f>
        <v>1</v>
      </c>
      <c r="BC954" s="11" t="n">
        <f>IF(SUMIF($AO$11:$AO$1309,AO954,$BB$11:$BB$1309)=COUNTIF($AO$11:$AO$1309,AO954),SUMIF($AO$11:$AO$1309,AO954,$AS$11:$AS$1309),"")</f>
        <v>0.9486156980046698</v>
      </c>
      <c r="BD954" s="11" t="n">
        <f>IF(SUMIF($AO$11:$AO$1309,AO954,$BB$11:$BB$1309)=COUNTIF($AO$11:$AO$1309,AO954),SUMIF($AO$11:$AO$1309,AO954,$AW$11:$AW$1309),"")</f>
        <v>0.7897058823529413</v>
      </c>
      <c r="BE954" s="11" t="n">
        <f>IF(SUMIF($AO$11:$AO$1309,AO954,$BB$11:$BB$1309)=COUNTIF($AO$11:$AO$1309,AO954),SUMIF($AO$11:$AO$1309,AO954,$BA$11:$BA$1309),"")</f>
        <v>1.343242375601926</v>
      </c>
      <c r="BF954" s="12" t="n">
        <f>IF(COUNT(BD954:BE954)&lt;&gt;2,"",IF(AND(BD954&gt;0,BE954&gt;0),0.7*AW954/BD954+0.3*BA954/BE954,IF(BD954&gt;0,AW954/BD954,IF(BE954&gt;0,BA954/BE954,IF(AND(ISNUMBER(BH954),BH954=0),0,"")))))</f>
        <v>0.15471594969708247</v>
      </c>
      <c r="BG954" s="11" t="n">
        <f>IF(AND(COUNT(BN954:BU954)=8,MIN(BN954:BU954)&gt;=0),SUMPRODUCT(BN954:BQ954,BR954:BU954),"")</f>
        <v>73.80791239847399</v>
      </c>
      <c r="BH954" s="11" t="n">
        <f>IF(COUNT(BC954,BG954)=2,BC954*BG954,"")</f>
        <v>70.01534433814592</v>
      </c>
      <c r="BI954" s="11" t="n">
        <f>IF(ISNUMBER(CI954),CI954,"")</f>
        <v>10.832490492644494</v>
      </c>
      <c r="BJ954" s="8" t="str"/>
      <c r="BK954" s="8" t="str">
        <v>90天：2026-07-20 至 2026-10-17；180天：2026-04-21 至 2026-10-17</v>
      </c>
      <c r="BL954" s="8" t="str">
        <v>90天：2026-10-06、2026-10-07；180天：2026-10-06、2026-10-07</v>
      </c>
      <c r="BM954" s="8" t="str">
        <v>2026-10：12天 × 1.2247029157699902；2026-11：30天 × 0.8332682139098497；2026-12：31天 × 0.5511018253564084；2027-01：17天 × 1.0017220238758797</v>
      </c>
      <c r="BN954" s="11" t="n">
        <v>1.2247029157699902</v>
      </c>
      <c r="BO954" s="11" t="n">
        <v>0.8332682139098497</v>
      </c>
      <c r="BP954" s="11" t="n">
        <v>0.5511018253564084</v>
      </c>
      <c r="BQ954" s="11" t="n">
        <v>1.0017220238758797</v>
      </c>
      <c r="BR954" s="8" t="n">
        <v>12</v>
      </c>
      <c r="BS954" s="8" t="n">
        <v>30</v>
      </c>
      <c r="BT954" s="8" t="n">
        <v>31</v>
      </c>
      <c r="BU954" s="8" t="n">
        <v>17</v>
      </c>
      <c r="BV954" s="11" t="n">
        <f>IF(COUNT(BC954,BF954)=2,BC954*BF954,"")</f>
        <v>0.14676597861435328</v>
      </c>
      <c r="BW954" s="11" t="n">
        <f>IF(ISNUMBER(BN954),BN954,"")</f>
        <v>1.2247029157699902</v>
      </c>
      <c r="BX954" s="14" t="n">
        <f>IF(ISNUMBER(BR954),BR954,"")</f>
        <v>12</v>
      </c>
      <c r="BY954" s="13" t="n">
        <f>IF(AND(COUNT(BV954,BW954,BX954)=3,MIN(BV954,BW954,BX954)&gt;=0),BV954*BW954*BX954,"")</f>
        <v>2.156936663338014</v>
      </c>
      <c r="BZ954" s="11" t="n">
        <f>IF(ISNUMBER(BO954),BO954,"")</f>
        <v>0.8332682139098497</v>
      </c>
      <c r="CA954" s="14" t="n">
        <f>IF(ISNUMBER(BS954),BS954,"")</f>
        <v>30</v>
      </c>
      <c r="CB954" s="13" t="n">
        <f>IF(AND(COUNT(BV954,BZ954,CA954)=3,MIN(BV954,BZ954,CA954)&gt;=0),BV954*BZ954*CA954,"")</f>
        <v>3.668862745881401</v>
      </c>
      <c r="CC954" s="11" t="n">
        <f>IF(ISNUMBER(BP954),BP954,"")</f>
        <v>0.5511018253564084</v>
      </c>
      <c r="CD954" s="14" t="n">
        <f>IF(ISNUMBER(BT954),BT954,"")</f>
        <v>31</v>
      </c>
      <c r="CE954" s="13" t="n">
        <f>IF(AND(COUNT(BV954,CC954,CD954)=3,MIN(BV954,CC954,CD954)&gt;=0),BV954*CC954*CD954,"")</f>
        <v>2.5073729601522805</v>
      </c>
      <c r="CF954" s="11" t="n">
        <f>IF(ISNUMBER(BQ954),BQ954,"")</f>
        <v>1.0017220238758797</v>
      </c>
      <c r="CG954" s="14" t="n">
        <f>IF(ISNUMBER(BU954),BU954,"")</f>
        <v>17</v>
      </c>
      <c r="CH954" s="13" t="n">
        <f>IF(AND(COUNT(BV954,CF954,CG954)=3,MIN(BV954,CF954,CG954)&gt;=0),BV954*CF954*CG954,"")</f>
        <v>2.499318123272799</v>
      </c>
      <c r="CI954" s="13" t="n">
        <f>IF(COUNT(BY954,CB954,CE954,CH954)=4,SUM(BY954,CB954,CE954,CH954),"")</f>
        <v>10.832490492644494</v>
      </c>
    </row>
    <row r="955" ht="72" customHeight="1">
      <c r="A955" s="16" t="str">
        <v>B06-SP-38</v>
      </c>
      <c r="B955" s="16" t="str">
        <v>1店-MUSSHOE-US</v>
      </c>
      <c r="C955" s="16" t="str">
        <v>艾年</v>
      </c>
      <c r="D955" s="26" t="n">
        <f>IF(NOT(ISNUMBER(E955)),"",IF(OR(E955&lt;=0,L955=0),0,IF(OR(NOT(ISNUMBER(F955)),F955&lt;0),"",MIN(E955,INT(F955)))))</f>
        <v>0</v>
      </c>
      <c r="E955" s="27" t="n">
        <f>IF(OR(NOT(ISNUMBER(L955)),COUNT(M955:O955)&lt;&gt;3,MIN(M955:O955)&lt;0),"",ROUNDUP(ROUND(BI955-SUM(M955:O955),10),0))</f>
        <v>-7</v>
      </c>
      <c r="F955" s="28" t="n">
        <v>0</v>
      </c>
      <c r="G955" s="28" t="n">
        <f>IF(AND(ISNUMBER(D955),ISNUMBER(E955)),IF(OR(E955&lt;=0,L955=0),0,E955-D955),"")</f>
        <v>0</v>
      </c>
      <c r="H955" s="16" t="str">
        <f>IF(NOT(ISNUMBER(E955)),"销量或海外库存待补",IF(OR(E955&lt;=0,L955=0),IF(L955=0,"零日销，本批不发","本批无需补货"),IF(NOT(ISNUMBER(D955)),"国内库存待补",IF(D955=0,"国内无可用库存",IF(G955&gt;0,"先发国内现货","按建议量发货")))))</f>
        <v>本批无需补货</v>
      </c>
      <c r="I955" s="28" t="n">
        <f>IF(AND(COUNT(Z955,AA955,AB955)=3,Z955&gt;=AA955,AA955&gt;=0,AB955=7),Z955-AA955,"")</f>
        <v>2</v>
      </c>
      <c r="J955" s="28" t="n">
        <f>IF(AND(COUNT(AF955,AG955,AH955)=3,AF955&gt;=AG955,AG955&gt;=0,AH955=14),AF955-AG955,"")</f>
        <v>3</v>
      </c>
      <c r="K955" s="28" t="n">
        <f>IF(AND(COUNT(AL955,AM955,AN955)=3,AL955&gt;=AM955,AM955&gt;=0,AN955=30),AL955-AM955,"")</f>
        <v>3</v>
      </c>
      <c r="L955" s="29" t="n">
        <f>IF(ISNUMBER(BI955),BI955/90,"")</f>
        <v>0.028388877124866072</v>
      </c>
      <c r="M955" s="28" t="n">
        <v>2</v>
      </c>
      <c r="N955" s="28" t="n">
        <v>0</v>
      </c>
      <c r="O955" s="28" t="n">
        <v>7</v>
      </c>
      <c r="P955" s="30" t="n">
        <f>IF(AND(ISNUMBER(L955),L955&gt;0,COUNT(M955:O955)=3,MIN(M955:O955)&gt;=0),SUM(M955:O955)/L955,"")</f>
        <v>317.0255716847927</v>
      </c>
      <c r="Q955" s="16" t="str">
        <v>沿用原计划SKU店铺</v>
      </c>
      <c r="R955" s="16" t="str">
        <v>已匹配</v>
      </c>
      <c r="S955" s="16" t="str">
        <v>在售</v>
      </c>
      <c r="T955" s="16" t="str">
        <v>B06</v>
      </c>
      <c r="U955" s="16" t="str">
        <v>蛇纹PU</v>
      </c>
      <c r="V955" s="16" t="n">
        <v>7</v>
      </c>
      <c r="W955" s="8" t="str">
        <v>2026-10-11 至 2026-10-17</v>
      </c>
      <c r="X955" s="8" t="str">
        <v>2026-10-11、2026-10-12、2026-10-13、2026-10-14、2026-10-15、2026-10-16、2026-10-17</v>
      </c>
      <c r="Y955" s="8" t="str">
        <v>无</v>
      </c>
      <c r="Z955" s="8" t="n">
        <v>2</v>
      </c>
      <c r="AA955" s="8" t="n">
        <v>0</v>
      </c>
      <c r="AB955" s="8" t="n">
        <v>7</v>
      </c>
      <c r="AC955" s="8" t="str">
        <v>2026-10-02 至 2026-10-17</v>
      </c>
      <c r="AD955" s="8" t="str">
        <v>2026-10-02、2026-10-03、2026-10-04、2026-10-05、2026-10-08、2026-10-09、2026-10-10、2026-10-11、2026-10-12、2026-10-13、2026-10-14、2026-10-15、2026-10-16、2026-10-17</v>
      </c>
      <c r="AE955" s="8" t="str">
        <v>2026-10-06 大促；2026-10-07 大促</v>
      </c>
      <c r="AF955" s="8" t="n">
        <v>3</v>
      </c>
      <c r="AG955" s="8" t="n">
        <v>0</v>
      </c>
      <c r="AH955" s="8" t="n">
        <v>14</v>
      </c>
      <c r="AI955" s="8" t="str">
        <v>2026-09-16 至 2026-10-17</v>
      </c>
      <c r="AJ9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55" s="8" t="str">
        <v>2026-10-06 大促；2026-10-07 大促</v>
      </c>
      <c r="AL955" s="8" t="n">
        <v>3</v>
      </c>
      <c r="AM955" s="8" t="n">
        <v>0</v>
      </c>
      <c r="AN955" s="8" t="n">
        <v>30</v>
      </c>
      <c r="AO955" s="8" t="str">
        <v>B06 / 蛇纹PU / 13120</v>
      </c>
      <c r="AP955" s="11" t="n">
        <v>1.2247029157699902</v>
      </c>
      <c r="AQ955" s="11" t="n">
        <v>1.2247029157699902</v>
      </c>
      <c r="AR955" s="11" t="n">
        <v>1.1136940657346173</v>
      </c>
      <c r="AS955" s="11" t="n">
        <f>IF(AND(COUNT(I955:K955,AP955:AR955)=6,MIN(AP955:AR955)&gt;0),I955/7/AP955*0.5+J955/14/AQ955*0.3+K955/30/AR955*0.2,"")</f>
        <v>0.18709548187300423</v>
      </c>
      <c r="AT955" s="8" t="n">
        <v>3</v>
      </c>
      <c r="AU955" s="8" t="n">
        <v>0</v>
      </c>
      <c r="AV955" s="8" t="n">
        <v>88</v>
      </c>
      <c r="AW955" s="11" t="n">
        <f>IF(AND(COUNT(AT955:AV955)=3,AT955&gt;=AU955,AU955&gt;=0,AV955&gt;0),(AT955-AU955)/AV955,"")</f>
        <v>0.03409090909090909</v>
      </c>
      <c r="AX955" s="8" t="n">
        <v>5</v>
      </c>
      <c r="AY955" s="8" t="n">
        <v>0</v>
      </c>
      <c r="AZ955" s="8" t="n">
        <v>178</v>
      </c>
      <c r="BA955" s="11" t="n">
        <f>IF(AND(COUNT(AX955:AZ955)=3,AX955&gt;=AY955,AY955&gt;=0,AZ955&gt;0),(AX955-AY955)/AZ955,"")</f>
        <v>0.028089887640449437</v>
      </c>
      <c r="BB955" s="8" t="n">
        <f>IF(COUNT(AS955,AW955,BA955)=3,1,0)</f>
        <v>1</v>
      </c>
      <c r="BC955" s="11" t="n">
        <f>IF(SUMIF($AO$11:$AO$1309,AO955,$BB$11:$BB$1309)=COUNTIF($AO$11:$AO$1309,AO955),SUMIF($AO$11:$AO$1309,AO955,$AS$11:$AS$1309),"")</f>
        <v>0.9486156980046698</v>
      </c>
      <c r="BD955" s="11" t="n">
        <f>IF(SUMIF($AO$11:$AO$1309,AO955,$BB$11:$BB$1309)=COUNTIF($AO$11:$AO$1309,AO955),SUMIF($AO$11:$AO$1309,AO955,$AW$11:$AW$1309),"")</f>
        <v>0.7897058823529413</v>
      </c>
      <c r="BE955" s="11" t="n">
        <f>IF(SUMIF($AO$11:$AO$1309,AO955,$BB$11:$BB$1309)=COUNTIF($AO$11:$AO$1309,AO955),SUMIF($AO$11:$AO$1309,AO955,$BA$11:$BA$1309),"")</f>
        <v>1.343242375601926</v>
      </c>
      <c r="BF955" s="12" t="n">
        <f>IF(COUNT(BD955:BE955)&lt;&gt;2,"",IF(AND(BD955&gt;0,BE955&gt;0),0.7*AW955/BD955+0.3*BA955/BE955,IF(BD955&gt;0,AW955/BD955,IF(BE955&gt;0,BA955/BE955,IF(AND(ISNUMBER(BH955),BH955=0),0,"")))))</f>
        <v>0.03649198565529193</v>
      </c>
      <c r="BG955" s="11" t="n">
        <f>IF(AND(COUNT(BN955:BU955)=8,MIN(BN955:BU955)&gt;=0),SUMPRODUCT(BN955:BQ955,BR955:BU955),"")</f>
        <v>73.80791239847399</v>
      </c>
      <c r="BH955" s="11" t="n">
        <f>IF(COUNT(BC955,BG955)=2,BC955*BG955,"")</f>
        <v>70.01534433814592</v>
      </c>
      <c r="BI955" s="11" t="n">
        <f>IF(ISNUMBER(CI955),CI955,"")</f>
        <v>2.5549989412379466</v>
      </c>
      <c r="BJ955" s="8" t="str"/>
      <c r="BK955" s="8" t="str">
        <v>90天：2026-07-20 至 2026-10-17；180天：2026-04-21 至 2026-10-17</v>
      </c>
      <c r="BL955" s="8" t="str">
        <v>90天：2026-10-06、2026-10-07；180天：2026-10-06、2026-10-07</v>
      </c>
      <c r="BM955" s="8" t="str">
        <v>2026-10：12天 × 1.2247029157699902；2026-11：30天 × 0.8332682139098497；2026-12：31天 × 0.5511018253564084；2027-01：17天 × 1.0017220238758797</v>
      </c>
      <c r="BN955" s="11" t="n">
        <v>1.2247029157699902</v>
      </c>
      <c r="BO955" s="11" t="n">
        <v>0.8332682139098497</v>
      </c>
      <c r="BP955" s="11" t="n">
        <v>0.5511018253564084</v>
      </c>
      <c r="BQ955" s="11" t="n">
        <v>1.0017220238758797</v>
      </c>
      <c r="BR955" s="8" t="n">
        <v>12</v>
      </c>
      <c r="BS955" s="8" t="n">
        <v>30</v>
      </c>
      <c r="BT955" s="8" t="n">
        <v>31</v>
      </c>
      <c r="BU955" s="8" t="n">
        <v>17</v>
      </c>
      <c r="BV955" s="11" t="n">
        <f>IF(COUNT(BC955,BF955)=2,BC955*BF955,"")</f>
        <v>0.03461687044397115</v>
      </c>
      <c r="BW955" s="11" t="n">
        <f>IF(ISNUMBER(BN955),BN955,"")</f>
        <v>1.2247029157699902</v>
      </c>
      <c r="BX955" s="14" t="n">
        <f>IF(ISNUMBER(BR955),BR955,"")</f>
        <v>12</v>
      </c>
      <c r="BY955" s="13" t="n">
        <f>IF(AND(COUNT(BV955,BW955,BX955)=3,MIN(BV955,BW955,BX955)&gt;=0),BV955*BW955*BX955,"")</f>
        <v>0.5087445860107616</v>
      </c>
      <c r="BZ955" s="11" t="n">
        <f>IF(ISNUMBER(BO955),BO955,"")</f>
        <v>0.8332682139098497</v>
      </c>
      <c r="CA955" s="14" t="n">
        <f>IF(ISNUMBER(BS955),BS955,"")</f>
        <v>30</v>
      </c>
      <c r="CB955" s="13" t="n">
        <f>IF(AND(COUNT(BV955,BZ955,CA955)=3,MIN(BV955,BZ955,CA955)&gt;=0),BV955*BZ955*CA955,"")</f>
        <v>0.8653541341798953</v>
      </c>
      <c r="CC955" s="11" t="n">
        <f>IF(ISNUMBER(BP955),BP955,"")</f>
        <v>0.5511018253564084</v>
      </c>
      <c r="CD955" s="14" t="n">
        <f>IF(ISNUMBER(BT955),BT955,"")</f>
        <v>31</v>
      </c>
      <c r="CE955" s="13" t="n">
        <f>IF(AND(COUNT(BV955,CC955,CD955)=3,MIN(BV955,CC955,CD955)&gt;=0),BV955*CC955*CD955,"")</f>
        <v>0.591400035183763</v>
      </c>
      <c r="CF955" s="11" t="n">
        <f>IF(ISNUMBER(BQ955),BQ955,"")</f>
        <v>1.0017220238758797</v>
      </c>
      <c r="CG955" s="14" t="n">
        <f>IF(ISNUMBER(BU955),BU955,"")</f>
        <v>17</v>
      </c>
      <c r="CH955" s="13" t="n">
        <f>IF(AND(COUNT(BV955,CF955,CG955)=3,MIN(BV955,CF955,CG955)&gt;=0),BV955*CF955*CG955,"")</f>
        <v>0.5895001858635264</v>
      </c>
      <c r="CI955" s="13" t="n">
        <f>IF(COUNT(BY955,CB955,CE955,CH955)=4,SUM(BY955,CB955,CE955,CH955),"")</f>
        <v>2.5549989412379466</v>
      </c>
    </row>
    <row r="956" ht="72" customHeight="1">
      <c r="A956" s="16" t="str">
        <v>B06-SP-38.5</v>
      </c>
      <c r="B956" s="16" t="str">
        <v>1店-MUSSHOE-US</v>
      </c>
      <c r="C956" s="16" t="str">
        <v>艾年</v>
      </c>
      <c r="D956" s="26" t="n">
        <f>IF(NOT(ISNUMBER(E956)),"",IF(OR(E956&lt;=0,L956=0),0,IF(OR(NOT(ISNUMBER(F956)),F956&lt;0),"",MIN(E956,INT(F956)))))</f>
        <v>0</v>
      </c>
      <c r="E956" s="27" t="n">
        <f>IF(OR(NOT(ISNUMBER(L956)),COUNT(M956:O956)&lt;&gt;3,MIN(M956:O956)&lt;0),"",ROUNDUP(ROUND(BI956-SUM(M956:O956),10),0))</f>
        <v>-5</v>
      </c>
      <c r="F956" s="28" t="n">
        <v>71</v>
      </c>
      <c r="G956" s="28" t="n">
        <f>IF(AND(ISNUMBER(D956),ISNUMBER(E956)),IF(OR(E956&lt;=0,L956=0),0,E956-D956),"")</f>
        <v>0</v>
      </c>
      <c r="H956" s="16" t="str">
        <f>IF(NOT(ISNUMBER(E956)),"销量或海外库存待补",IF(OR(E956&lt;=0,L956=0),IF(L956=0,"零日销，本批不发","本批无需补货"),IF(NOT(ISNUMBER(D956)),"国内库存待补",IF(D956=0,"国内无可用库存",IF(G956&gt;0,"先发国内现货","按建议量发货")))))</f>
        <v>本批无需补货</v>
      </c>
      <c r="I956" s="28" t="n">
        <f>IF(AND(COUNT(Z956,AA956,AB956)=3,Z956&gt;=AA956,AA956&gt;=0,AB956=7),Z956-AA956,"")</f>
        <v>4</v>
      </c>
      <c r="J956" s="28" t="n">
        <f>IF(AND(COUNT(AF956,AG956,AH956)=3,AF956&gt;=AG956,AG956&gt;=0,AH956=14),AF956-AG956,"")</f>
        <v>4</v>
      </c>
      <c r="K956" s="28" t="n">
        <f>IF(AND(COUNT(AL956,AM956,AN956)=3,AL956&gt;=AM956,AM956&gt;=0,AN956=30),AL956-AM956,"")</f>
        <v>8</v>
      </c>
      <c r="L956" s="29" t="n">
        <f>IF(ISNUMBER(BI956),BI956/90,"")</f>
        <v>0.26816203526391286</v>
      </c>
      <c r="M956" s="28" t="n">
        <v>9</v>
      </c>
      <c r="N956" s="28" t="n">
        <v>0</v>
      </c>
      <c r="O956" s="28" t="n">
        <v>20</v>
      </c>
      <c r="P956" s="30" t="n">
        <f>IF(AND(ISNUMBER(L956),L956&gt;0,COUNT(M956:O956)=3,MIN(M956:O956)&gt;=0),SUM(M956:O956)/L956,"")</f>
        <v>108.14357062683956</v>
      </c>
      <c r="Q956" s="16" t="str">
        <v>沿用原计划SKU店铺</v>
      </c>
      <c r="R956" s="16" t="str">
        <v>已匹配</v>
      </c>
      <c r="S956" s="16" t="str">
        <v>在售</v>
      </c>
      <c r="T956" s="16" t="str">
        <v>B06</v>
      </c>
      <c r="U956" s="16" t="str">
        <v>蛇纹PU</v>
      </c>
      <c r="V956" s="16" t="n">
        <v>7.5</v>
      </c>
      <c r="W956" s="8" t="str">
        <v>2026-10-11 至 2026-10-17</v>
      </c>
      <c r="X956" s="8" t="str">
        <v>2026-10-11、2026-10-12、2026-10-13、2026-10-14、2026-10-15、2026-10-16、2026-10-17</v>
      </c>
      <c r="Y956" s="8" t="str">
        <v>无</v>
      </c>
      <c r="Z956" s="8" t="n">
        <v>4</v>
      </c>
      <c r="AA956" s="8" t="n">
        <v>0</v>
      </c>
      <c r="AB956" s="8" t="n">
        <v>7</v>
      </c>
      <c r="AC956" s="8" t="str">
        <v>2026-10-02 至 2026-10-17</v>
      </c>
      <c r="AD956" s="8" t="str">
        <v>2026-10-02、2026-10-03、2026-10-04、2026-10-05、2026-10-08、2026-10-09、2026-10-10、2026-10-11、2026-10-12、2026-10-13、2026-10-14、2026-10-15、2026-10-16、2026-10-17</v>
      </c>
      <c r="AE956" s="8" t="str">
        <v>2026-10-06 大促；2026-10-07 大促</v>
      </c>
      <c r="AF956" s="8" t="n">
        <v>4</v>
      </c>
      <c r="AG956" s="8" t="n">
        <v>0</v>
      </c>
      <c r="AH956" s="8" t="n">
        <v>14</v>
      </c>
      <c r="AI956" s="8" t="str">
        <v>2026-09-16 至 2026-10-17</v>
      </c>
      <c r="AJ9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56" s="8" t="str">
        <v>2026-10-06 大促；2026-10-07 大促</v>
      </c>
      <c r="AL956" s="8" t="n">
        <v>8</v>
      </c>
      <c r="AM956" s="8" t="n">
        <v>0</v>
      </c>
      <c r="AN956" s="8" t="n">
        <v>30</v>
      </c>
      <c r="AO956" s="8" t="str">
        <v>B06 / 蛇纹PU / 13120</v>
      </c>
      <c r="AP956" s="11" t="n">
        <v>1.2247029157699902</v>
      </c>
      <c r="AQ956" s="11" t="n">
        <v>1.2247029157699902</v>
      </c>
      <c r="AR956" s="11" t="n">
        <v>1.1136940657346173</v>
      </c>
      <c r="AS956" s="11" t="n">
        <f>IF(AND(COUNT(I956:K956,AP956:AR956)=6,MIN(AP956:AR956)&gt;0),I956/7/AP956*0.5+J956/14/AQ956*0.3+K956/30/AR956*0.2,"")</f>
        <v>0.3511692231498563</v>
      </c>
      <c r="AT956" s="8" t="n">
        <v>26</v>
      </c>
      <c r="AU956" s="8" t="n">
        <v>0</v>
      </c>
      <c r="AV956" s="8" t="n">
        <v>88</v>
      </c>
      <c r="AW956" s="11" t="n">
        <f>IF(AND(COUNT(AT956:AV956)=3,AT956&gt;=AU956,AU956&gt;=0,AV956&gt;0),(AT956-AU956)/AV956,"")</f>
        <v>0.29545454545454547</v>
      </c>
      <c r="AX956" s="8" t="n">
        <v>66</v>
      </c>
      <c r="AY956" s="8" t="n">
        <v>0</v>
      </c>
      <c r="AZ956" s="8" t="n">
        <v>178</v>
      </c>
      <c r="BA956" s="11" t="n">
        <f>IF(AND(COUNT(AX956:AZ956)=3,AX956&gt;=AY956,AY956&gt;=0,AZ956&gt;0),(AX956-AY956)/AZ956,"")</f>
        <v>0.3707865168539326</v>
      </c>
      <c r="BB956" s="8" t="n">
        <f>IF(COUNT(AS956,AW956,BA956)=3,1,0)</f>
        <v>1</v>
      </c>
      <c r="BC956" s="11" t="n">
        <f>IF(SUMIF($AO$11:$AO$1309,AO956,$BB$11:$BB$1309)=COUNTIF($AO$11:$AO$1309,AO956),SUMIF($AO$11:$AO$1309,AO956,$AS$11:$AS$1309),"")</f>
        <v>0.9486156980046698</v>
      </c>
      <c r="BD956" s="11" t="n">
        <f>IF(SUMIF($AO$11:$AO$1309,AO956,$BB$11:$BB$1309)=COUNTIF($AO$11:$AO$1309,AO956),SUMIF($AO$11:$AO$1309,AO956,$AW$11:$AW$1309),"")</f>
        <v>0.7897058823529413</v>
      </c>
      <c r="BE956" s="11" t="n">
        <f>IF(SUMIF($AO$11:$AO$1309,AO956,$BB$11:$BB$1309)=COUNTIF($AO$11:$AO$1309,AO956),SUMIF($AO$11:$AO$1309,AO956,$BA$11:$BA$1309),"")</f>
        <v>1.343242375601926</v>
      </c>
      <c r="BF956" s="12" t="n">
        <f>IF(COUNT(BD956:BE956)&lt;&gt;2,"",IF(AND(BD956&gt;0,BE956&gt;0),0.7*AW956/BD956+0.3*BA956/BE956,IF(BD956&gt;0,AW956/BD956,IF(BE956&gt;0,BA956/BE956,IF(AND(ISNUMBER(BH956),BH956=0),0,"")))))</f>
        <v>0.34470419879950653</v>
      </c>
      <c r="BG956" s="11" t="n">
        <f>IF(AND(COUNT(BN956:BU956)=8,MIN(BN956:BU956)&gt;=0),SUMPRODUCT(BN956:BQ956,BR956:BU956),"")</f>
        <v>73.80791239847399</v>
      </c>
      <c r="BH956" s="11" t="n">
        <f>IF(COUNT(BC956,BG956)=2,BC956*BG956,"")</f>
        <v>70.01534433814592</v>
      </c>
      <c r="BI956" s="11" t="n">
        <f>IF(ISNUMBER(CI956),CI956,"")</f>
        <v>24.13458317375216</v>
      </c>
      <c r="BJ956" s="8" t="str"/>
      <c r="BK956" s="8" t="str">
        <v>90天：2026-07-20 至 2026-10-17；180天：2026-04-21 至 2026-10-17</v>
      </c>
      <c r="BL956" s="8" t="str">
        <v>90天：2026-10-06、2026-10-07；180天：2026-10-06、2026-10-07</v>
      </c>
      <c r="BM956" s="8" t="str">
        <v>2026-10：12天 × 1.2247029157699902；2026-11：30天 × 0.8332682139098497；2026-12：31天 × 0.5511018253564084；2027-01：17天 × 1.0017220238758797</v>
      </c>
      <c r="BN956" s="11" t="n">
        <v>1.2247029157699902</v>
      </c>
      <c r="BO956" s="11" t="n">
        <v>0.8332682139098497</v>
      </c>
      <c r="BP956" s="11" t="n">
        <v>0.5511018253564084</v>
      </c>
      <c r="BQ956" s="11" t="n">
        <v>1.0017220238758797</v>
      </c>
      <c r="BR956" s="8" t="n">
        <v>12</v>
      </c>
      <c r="BS956" s="8" t="n">
        <v>30</v>
      </c>
      <c r="BT956" s="8" t="n">
        <v>31</v>
      </c>
      <c r="BU956" s="8" t="n">
        <v>17</v>
      </c>
      <c r="BV956" s="11" t="n">
        <f>IF(COUNT(BC956,BF956)=2,BC956*BF956,"")</f>
        <v>0.32699181414933437</v>
      </c>
      <c r="BW956" s="11" t="n">
        <f>IF(ISNUMBER(BN956),BN956,"")</f>
        <v>1.2247029157699902</v>
      </c>
      <c r="BX956" s="14" t="n">
        <f>IF(ISNUMBER(BR956),BR956,"")</f>
        <v>12</v>
      </c>
      <c r="BY956" s="13" t="n">
        <f>IF(AND(COUNT(BV956,BW956,BX956)=3,MIN(BV956,BW956,BX956)&gt;=0),BV956*BW956*BX956,"")</f>
        <v>4.805613938659302</v>
      </c>
      <c r="BZ956" s="11" t="n">
        <f>IF(ISNUMBER(BO956),BO956,"")</f>
        <v>0.8332682139098497</v>
      </c>
      <c r="CA956" s="14" t="n">
        <f>IF(ISNUMBER(BS956),BS956,"")</f>
        <v>30</v>
      </c>
      <c r="CB956" s="13" t="n">
        <f>IF(AND(COUNT(BV956,BZ956,CA956)=3,MIN(BV956,BZ956,CA956)&gt;=0),BV956*BZ956*CA956,"")</f>
        <v>8.17415654818072</v>
      </c>
      <c r="CC956" s="11" t="n">
        <f>IF(ISNUMBER(BP956),BP956,"")</f>
        <v>0.5511018253564084</v>
      </c>
      <c r="CD956" s="14" t="n">
        <f>IF(ISNUMBER(BT956),BT956,"")</f>
        <v>31</v>
      </c>
      <c r="CE956" s="13" t="n">
        <f>IF(AND(COUNT(BV956,CC956,CD956)=3,MIN(BV956,CC956,CD956)&gt;=0),BV956*CC956*CD956,"")</f>
        <v>5.58637935528335</v>
      </c>
      <c r="CF956" s="11" t="n">
        <f>IF(ISNUMBER(BQ956),BQ956,"")</f>
        <v>1.0017220238758797</v>
      </c>
      <c r="CG956" s="14" t="n">
        <f>IF(ISNUMBER(BU956),BU956,"")</f>
        <v>17</v>
      </c>
      <c r="CH956" s="13" t="n">
        <f>IF(AND(COUNT(BV956,CF956,CG956)=3,MIN(BV956,CF956,CG956)&gt;=0),BV956*CF956*CG956,"")</f>
        <v>5.568433331628785</v>
      </c>
      <c r="CI956" s="13" t="n">
        <f>IF(COUNT(BY956,CB956,CE956,CH956)=4,SUM(BY956,CB956,CE956,CH956),"")</f>
        <v>24.13458317375216</v>
      </c>
    </row>
    <row r="957" ht="72" customHeight="1">
      <c r="A957" s="16" t="str">
        <v>B06-SP-39</v>
      </c>
      <c r="B957" s="16" t="str">
        <v>1店-MUSSHOE-US</v>
      </c>
      <c r="C957" s="16" t="str">
        <v>艾年</v>
      </c>
      <c r="D957" s="26" t="n">
        <f>IF(NOT(ISNUMBER(E957)),"",IF(OR(E957&lt;=0,L957=0),0,IF(OR(NOT(ISNUMBER(F957)),F957&lt;0),"",MIN(E957,INT(F957)))))</f>
        <v>0</v>
      </c>
      <c r="E957" s="27" t="n">
        <f>IF(OR(NOT(ISNUMBER(L957)),COUNT(M957:O957)&lt;&gt;3,MIN(M957:O957)&lt;0),"",ROUNDUP(ROUND(BI957-SUM(M957:O957),10),0))</f>
        <v>-3</v>
      </c>
      <c r="F957" s="28" t="n">
        <v>0</v>
      </c>
      <c r="G957" s="28" t="n">
        <f>IF(AND(ISNUMBER(D957),ISNUMBER(E957)),IF(OR(E957&lt;=0,L957=0),0,E957-D957),"")</f>
        <v>0</v>
      </c>
      <c r="H957" s="16" t="str">
        <f>IF(NOT(ISNUMBER(E957)),"销量或海外库存待补",IF(OR(E957&lt;=0,L957=0),IF(L957=0,"零日销，本批不发","本批无需补货"),IF(NOT(ISNUMBER(D957)),"国内库存待补",IF(D957=0,"国内无可用库存",IF(G957&gt;0,"先发国内现货","按建议量发货")))))</f>
        <v>本批无需补货</v>
      </c>
      <c r="I957" s="28" t="n">
        <f>IF(AND(COUNT(Z957,AA957,AB957)=3,Z957&gt;=AA957,AA957&gt;=0,AB957=7),Z957-AA957,"")</f>
        <v>2</v>
      </c>
      <c r="J957" s="28" t="n">
        <f>IF(AND(COUNT(AF957,AG957,AH957)=3,AF957&gt;=AG957,AG957&gt;=0,AH957=14),AF957-AG957,"")</f>
        <v>3</v>
      </c>
      <c r="K957" s="28" t="n">
        <f>IF(AND(COUNT(AL957,AM957,AN957)=3,AL957&gt;=AM957,AM957&gt;=0,AN957=30),AL957-AM957,"")</f>
        <v>3</v>
      </c>
      <c r="L957" s="29" t="n">
        <f>IF(ISNUMBER(BI957),BI957/90,"")</f>
        <v>0.0401021654563756</v>
      </c>
      <c r="M957" s="28" t="n">
        <v>1</v>
      </c>
      <c r="N957" s="28" t="n">
        <v>0</v>
      </c>
      <c r="O957" s="28" t="n">
        <v>5</v>
      </c>
      <c r="P957" s="30" t="n">
        <f>IF(AND(ISNUMBER(L957),L957&gt;0,COUNT(M957:O957)=3,MIN(M957:O957)&gt;=0),SUM(M957:O957)/L957,"")</f>
        <v>149.617855587549</v>
      </c>
      <c r="Q957" s="16" t="str">
        <v>沿用原计划SKU店铺</v>
      </c>
      <c r="R957" s="16" t="str">
        <v>已匹配</v>
      </c>
      <c r="S957" s="16" t="str">
        <v>在售</v>
      </c>
      <c r="T957" s="16" t="str">
        <v>B06</v>
      </c>
      <c r="U957" s="16" t="str">
        <v>蛇纹PU</v>
      </c>
      <c r="V957" s="16" t="n">
        <v>8</v>
      </c>
      <c r="W957" s="8" t="str">
        <v>2026-10-11 至 2026-10-17</v>
      </c>
      <c r="X957" s="8" t="str">
        <v>2026-10-11、2026-10-12、2026-10-13、2026-10-14、2026-10-15、2026-10-16、2026-10-17</v>
      </c>
      <c r="Y957" s="8" t="str">
        <v>无</v>
      </c>
      <c r="Z957" s="8" t="n">
        <v>2</v>
      </c>
      <c r="AA957" s="8" t="n">
        <v>0</v>
      </c>
      <c r="AB957" s="8" t="n">
        <v>7</v>
      </c>
      <c r="AC957" s="8" t="str">
        <v>2026-10-02 至 2026-10-17</v>
      </c>
      <c r="AD957" s="8" t="str">
        <v>2026-10-02、2026-10-03、2026-10-04、2026-10-05、2026-10-08、2026-10-09、2026-10-10、2026-10-11、2026-10-12、2026-10-13、2026-10-14、2026-10-15、2026-10-16、2026-10-17</v>
      </c>
      <c r="AE957" s="8" t="str">
        <v>2026-10-06 大促；2026-10-07 大促</v>
      </c>
      <c r="AF957" s="8" t="n">
        <v>3</v>
      </c>
      <c r="AG957" s="8" t="n">
        <v>0</v>
      </c>
      <c r="AH957" s="8" t="n">
        <v>14</v>
      </c>
      <c r="AI957" s="8" t="str">
        <v>2026-09-16 至 2026-10-17</v>
      </c>
      <c r="AJ9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57" s="8" t="str">
        <v>2026-10-06 大促；2026-10-07 大促</v>
      </c>
      <c r="AL957" s="8" t="n">
        <v>3</v>
      </c>
      <c r="AM957" s="8" t="n">
        <v>0</v>
      </c>
      <c r="AN957" s="8" t="n">
        <v>30</v>
      </c>
      <c r="AO957" s="8" t="str">
        <v>B06 / 蛇纹PU / 13120</v>
      </c>
      <c r="AP957" s="11" t="n">
        <v>1.2247029157699902</v>
      </c>
      <c r="AQ957" s="11" t="n">
        <v>1.2247029157699902</v>
      </c>
      <c r="AR957" s="11" t="n">
        <v>1.1136940657346173</v>
      </c>
      <c r="AS957" s="11" t="n">
        <f>IF(AND(COUNT(I957:K957,AP957:AR957)=6,MIN(AP957:AR957)&gt;0),I957/7/AP957*0.5+J957/14/AQ957*0.3+K957/30/AR957*0.2,"")</f>
        <v>0.18709548187300423</v>
      </c>
      <c r="AT957" s="8" t="n">
        <v>3</v>
      </c>
      <c r="AU957" s="8" t="n">
        <v>0</v>
      </c>
      <c r="AV957" s="8" t="n">
        <v>88</v>
      </c>
      <c r="AW957" s="11" t="n">
        <f>IF(AND(COUNT(AT957:AV957)=3,AT957&gt;=AU957,AU957&gt;=0,AV957&gt;0),(AT957-AU957)/AV957,"")</f>
        <v>0.03409090909090909</v>
      </c>
      <c r="AX957" s="8" t="n">
        <v>17</v>
      </c>
      <c r="AY957" s="8" t="n">
        <v>0</v>
      </c>
      <c r="AZ957" s="8" t="n">
        <v>178</v>
      </c>
      <c r="BA957" s="11" t="n">
        <f>IF(AND(COUNT(AX957:AZ957)=3,AX957&gt;=AY957,AY957&gt;=0,AZ957&gt;0),(AX957-AY957)/AZ957,"")</f>
        <v>0.09550561797752809</v>
      </c>
      <c r="BB957" s="8" t="n">
        <f>IF(COUNT(AS957,AW957,BA957)=3,1,0)</f>
        <v>1</v>
      </c>
      <c r="BC957" s="11" t="n">
        <f>IF(SUMIF($AO$11:$AO$1309,AO957,$BB$11:$BB$1309)=COUNTIF($AO$11:$AO$1309,AO957),SUMIF($AO$11:$AO$1309,AO957,$AS$11:$AS$1309),"")</f>
        <v>0.9486156980046698</v>
      </c>
      <c r="BD957" s="11" t="n">
        <f>IF(SUMIF($AO$11:$AO$1309,AO957,$BB$11:$BB$1309)=COUNTIF($AO$11:$AO$1309,AO957),SUMIF($AO$11:$AO$1309,AO957,$AW$11:$AW$1309),"")</f>
        <v>0.7897058823529413</v>
      </c>
      <c r="BE957" s="11" t="n">
        <f>IF(SUMIF($AO$11:$AO$1309,AO957,$BB$11:$BB$1309)=COUNTIF($AO$11:$AO$1309,AO957),SUMIF($AO$11:$AO$1309,AO957,$BA$11:$BA$1309),"")</f>
        <v>1.343242375601926</v>
      </c>
      <c r="BF957" s="12" t="n">
        <f>IF(COUNT(BD957:BE957)&lt;&gt;2,"",IF(AND(BD957&gt;0,BE957&gt;0),0.7*AW957/BD957+0.3*BA957/BE957,IF(BD957&gt;0,AW957/BD957,IF(BE957&gt;0,BA957/BE957,IF(AND(ISNUMBER(BH957),BH957=0),0,"")))))</f>
        <v>0.05154862730722062</v>
      </c>
      <c r="BG957" s="11" t="n">
        <f>IF(AND(COUNT(BN957:BU957)=8,MIN(BN957:BU957)&gt;=0),SUMPRODUCT(BN957:BQ957,BR957:BU957),"")</f>
        <v>73.80791239847399</v>
      </c>
      <c r="BH957" s="11" t="n">
        <f>IF(COUNT(BC957,BG957)=2,BC957*BG957,"")</f>
        <v>70.01534433814592</v>
      </c>
      <c r="BI957" s="11" t="n">
        <f>IF(ISNUMBER(CI957),CI957,"")</f>
        <v>3.6091948910738036</v>
      </c>
      <c r="BJ957" s="8" t="str"/>
      <c r="BK957" s="8" t="str">
        <v>90天：2026-07-20 至 2026-10-17；180天：2026-04-21 至 2026-10-17</v>
      </c>
      <c r="BL957" s="8" t="str">
        <v>90天：2026-10-06、2026-10-07；180天：2026-10-06、2026-10-07</v>
      </c>
      <c r="BM957" s="8" t="str">
        <v>2026-10：12天 × 1.2247029157699902；2026-11：30天 × 0.8332682139098497；2026-12：31天 × 0.5511018253564084；2027-01：17天 × 1.0017220238758797</v>
      </c>
      <c r="BN957" s="11" t="n">
        <v>1.2247029157699902</v>
      </c>
      <c r="BO957" s="11" t="n">
        <v>0.8332682139098497</v>
      </c>
      <c r="BP957" s="11" t="n">
        <v>0.5511018253564084</v>
      </c>
      <c r="BQ957" s="11" t="n">
        <v>1.0017220238758797</v>
      </c>
      <c r="BR957" s="8" t="n">
        <v>12</v>
      </c>
      <c r="BS957" s="8" t="n">
        <v>30</v>
      </c>
      <c r="BT957" s="8" t="n">
        <v>31</v>
      </c>
      <c r="BU957" s="8" t="n">
        <v>17</v>
      </c>
      <c r="BV957" s="11" t="n">
        <f>IF(COUNT(BC957,BF957)=2,BC957*BF957,"")</f>
        <v>0.04889983707422167</v>
      </c>
      <c r="BW957" s="11" t="n">
        <f>IF(ISNUMBER(BN957),BN957,"")</f>
        <v>1.2247029157699902</v>
      </c>
      <c r="BX957" s="14" t="n">
        <f>IF(ISNUMBER(BR957),BR957,"")</f>
        <v>12</v>
      </c>
      <c r="BY957" s="13" t="n">
        <f>IF(AND(COUNT(BV957,BW957,BX957)=3,MIN(BV957,BW957,BX957)&gt;=0),BV957*BW957*BX957,"")</f>
        <v>0.718653276545721</v>
      </c>
      <c r="BZ957" s="11" t="n">
        <f>IF(ISNUMBER(BO957),BO957,"")</f>
        <v>0.8332682139098497</v>
      </c>
      <c r="CA957" s="14" t="n">
        <f>IF(ISNUMBER(BS957),BS957,"")</f>
        <v>30</v>
      </c>
      <c r="CB957" s="13" t="n">
        <f>IF(AND(COUNT(BV957,BZ957,CA957)=3,MIN(BV957,BZ957,CA957)&gt;=0),BV957*BZ957*CA957,"")</f>
        <v>1.2224003969795803</v>
      </c>
      <c r="CC957" s="11" t="n">
        <f>IF(ISNUMBER(BP957),BP957,"")</f>
        <v>0.5511018253564084</v>
      </c>
      <c r="CD957" s="14" t="n">
        <f>IF(ISNUMBER(BT957),BT957,"")</f>
        <v>31</v>
      </c>
      <c r="CE957" s="13" t="n">
        <f>IF(AND(COUNT(BV957,CC957,CD957)=3,MIN(BV957,CC957,CD957)&gt;=0),BV957*CC957*CD957,"")</f>
        <v>0.8354124736082705</v>
      </c>
      <c r="CF957" s="11" t="n">
        <f>IF(ISNUMBER(BQ957),BQ957,"")</f>
        <v>1.0017220238758797</v>
      </c>
      <c r="CG957" s="14" t="n">
        <f>IF(ISNUMBER(BU957),BU957,"")</f>
        <v>17</v>
      </c>
      <c r="CH957" s="13" t="n">
        <f>IF(AND(COUNT(BV957,CF957,CG957)=3,MIN(BV957,CF957,CG957)&gt;=0),BV957*CF957*CG957,"")</f>
        <v>0.8327287439402319</v>
      </c>
      <c r="CI957" s="13" t="n">
        <f>IF(COUNT(BY957,CB957,CE957,CH957)=4,SUM(BY957,CB957,CE957,CH957),"")</f>
        <v>3.6091948910738036</v>
      </c>
    </row>
    <row r="958" ht="72" customHeight="1">
      <c r="A958" s="16" t="str">
        <v>B06-SP-40</v>
      </c>
      <c r="B958" s="16" t="str">
        <v>1店-MUSSHOE-US</v>
      </c>
      <c r="C958" s="16" t="str">
        <v>艾年</v>
      </c>
      <c r="D958" s="26" t="n">
        <f>IF(NOT(ISNUMBER(E958)),"",IF(OR(E958&lt;=0,L958=0),0,IF(OR(NOT(ISNUMBER(F958)),F958&lt;0),"",MIN(E958,INT(F958)))))</f>
        <v>0</v>
      </c>
      <c r="E958" s="27" t="n">
        <f>IF(OR(NOT(ISNUMBER(L958)),COUNT(M958:O958)&lt;&gt;3,MIN(M958:O958)&lt;0),"",ROUNDUP(ROUND(BI958-SUM(M958:O958),10),0))</f>
        <v>-28</v>
      </c>
      <c r="F958" s="28" t="n">
        <v>39</v>
      </c>
      <c r="G958" s="28" t="n">
        <f>IF(AND(ISNUMBER(D958),ISNUMBER(E958)),IF(OR(E958&lt;=0,L958=0),0,E958-D958),"")</f>
        <v>0</v>
      </c>
      <c r="H958" s="16" t="str">
        <f>IF(NOT(ISNUMBER(E958)),"销量或海外库存待补",IF(OR(E958&lt;=0,L958=0),IF(L958=0,"零日销，本批不发","本批无需补货"),IF(NOT(ISNUMBER(D958)),"国内库存待补",IF(D958=0,"国内无可用库存",IF(G958&gt;0,"先发国内现货","按建议量发货")))))</f>
        <v>本批无需补货</v>
      </c>
      <c r="I958" s="28" t="n">
        <f>IF(AND(COUNT(Z958,AA958,AB958)=3,Z958&gt;=AA958,AA958&gt;=0,AB958=7),Z958-AA958,"")</f>
        <v>0</v>
      </c>
      <c r="J958" s="28" t="n">
        <f>IF(AND(COUNT(AF958,AG958,AH958)=3,AF958&gt;=AG958,AG958&gt;=0,AH958=14),AF958-AG958,"")</f>
        <v>0</v>
      </c>
      <c r="K958" s="28" t="n">
        <f>IF(AND(COUNT(AL958,AM958,AN958)=3,AL958&gt;=AM958,AM958&gt;=0,AN958=30),AL958-AM958,"")</f>
        <v>0</v>
      </c>
      <c r="L958" s="29" t="n">
        <f>IF(ISNUMBER(BI958),BI958/90,"")</f>
        <v>0.03211081437940898</v>
      </c>
      <c r="M958" s="28" t="n">
        <v>0</v>
      </c>
      <c r="N958" s="28" t="n">
        <v>0</v>
      </c>
      <c r="O958" s="28" t="n">
        <v>30</v>
      </c>
      <c r="P958" s="30" t="n">
        <f>IF(AND(ISNUMBER(L958),L958&gt;0,COUNT(M958:O958)=3,MIN(M958:O958)&gt;=0),SUM(M958:O958)/L958,"")</f>
        <v>934.264688697446</v>
      </c>
      <c r="Q958" s="16" t="str">
        <v>沿用原计划SKU店铺</v>
      </c>
      <c r="R958" s="16" t="str">
        <v>已匹配</v>
      </c>
      <c r="S958" s="16" t="str">
        <v>停售</v>
      </c>
      <c r="T958" s="16" t="str">
        <v>B06</v>
      </c>
      <c r="U958" s="16" t="str">
        <v>蛇纹PU</v>
      </c>
      <c r="V958" s="16" t="n">
        <v>9</v>
      </c>
      <c r="W958" s="8" t="str">
        <v>2026-10-08 至 2026-10-17</v>
      </c>
      <c r="X958" s="8" t="str">
        <v>2026-10-08、2026-10-09、2026-10-10、2026-10-11、2026-10-14、2026-10-15、2026-10-17</v>
      </c>
      <c r="Y958" s="8" t="str">
        <v>2026-10-12 有记录的停售日；2026-10-13 有记录的停售日；2026-10-16 有记录的停售日</v>
      </c>
      <c r="Z958" s="8" t="n">
        <v>0</v>
      </c>
      <c r="AA958" s="8" t="n">
        <v>0</v>
      </c>
      <c r="AB958" s="8" t="n">
        <v>7</v>
      </c>
      <c r="AC958" s="8" t="str">
        <v>2026-09-29 至 2026-10-17</v>
      </c>
      <c r="AD958" s="8" t="str">
        <v>2026-09-29、2026-09-30、2026-10-01、2026-10-02、2026-10-03、2026-10-04、2026-10-05、2026-10-08、2026-10-09、2026-10-10、2026-10-11、2026-10-14、2026-10-15、2026-10-17</v>
      </c>
      <c r="AE958" s="8" t="str">
        <v>2026-10-06 大促；2026-10-07 大促；2026-10-12 有记录的停售日；2026-10-13 有记录的停售日；2026-10-16 有记录的停售日</v>
      </c>
      <c r="AF958" s="8" t="n">
        <v>0</v>
      </c>
      <c r="AG958" s="8" t="n">
        <v>0</v>
      </c>
      <c r="AH958" s="8" t="n">
        <v>14</v>
      </c>
      <c r="AI958" s="8" t="str">
        <v>2026-09-13 至 2026-10-17</v>
      </c>
      <c r="AJ95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8" s="8" t="str">
        <v>2026-10-06 大促；2026-10-07 大促；2026-10-12 有记录的停售日；2026-10-13 有记录的停售日；2026-10-16 有记录的停售日</v>
      </c>
      <c r="AL958" s="8" t="n">
        <v>0</v>
      </c>
      <c r="AM958" s="8" t="n">
        <v>0</v>
      </c>
      <c r="AN958" s="8" t="n">
        <v>30</v>
      </c>
      <c r="AO958" s="8" t="str">
        <v>B06 / 蛇纹PU / 13120</v>
      </c>
      <c r="AP958" s="11" t="n">
        <v>1.2247029157699902</v>
      </c>
      <c r="AQ958" s="11" t="n">
        <v>1.1929861014741694</v>
      </c>
      <c r="AR958" s="11" t="n">
        <v>1.0914922957275428</v>
      </c>
      <c r="AS958" s="11" t="n">
        <f>IF(AND(COUNT(I958:K958,AP958:AR958)=6,MIN(AP958:AR958)&gt;0),I958/7/AP958*0.5+J958/14/AQ958*0.3+K958/30/AR958*0.2,"")</f>
        <v>0</v>
      </c>
      <c r="AT958" s="8" t="n">
        <v>2</v>
      </c>
      <c r="AU958" s="8" t="n">
        <v>0</v>
      </c>
      <c r="AV958" s="8" t="n">
        <v>85</v>
      </c>
      <c r="AW958" s="11" t="n">
        <f>IF(AND(COUNT(AT958:AV958)=3,AT958&gt;=AU958,AU958&gt;=0,AV958&gt;0),(AT958-AU958)/AV958,"")</f>
        <v>0.023529411764705882</v>
      </c>
      <c r="AX958" s="8" t="n">
        <v>16</v>
      </c>
      <c r="AY958" s="8" t="n">
        <v>0</v>
      </c>
      <c r="AZ958" s="8" t="n">
        <v>175</v>
      </c>
      <c r="BA958" s="11" t="n">
        <f>IF(AND(COUNT(AX958:AZ958)=3,AX958&gt;=AY958,AY958&gt;=0,AZ958&gt;0),(AX958-AY958)/AZ958,"")</f>
        <v>0.09142857142857143</v>
      </c>
      <c r="BB958" s="8" t="n">
        <f>IF(COUNT(AS958,AW958,BA958)=3,1,0)</f>
        <v>1</v>
      </c>
      <c r="BC958" s="11" t="n">
        <f>IF(SUMIF($AO$11:$AO$1309,AO958,$BB$11:$BB$1309)=COUNTIF($AO$11:$AO$1309,AO958),SUMIF($AO$11:$AO$1309,AO958,$AS$11:$AS$1309),"")</f>
        <v>0.9486156980046698</v>
      </c>
      <c r="BD958" s="11" t="n">
        <f>IF(SUMIF($AO$11:$AO$1309,AO958,$BB$11:$BB$1309)=COUNTIF($AO$11:$AO$1309,AO958),SUMIF($AO$11:$AO$1309,AO958,$AW$11:$AW$1309),"")</f>
        <v>0.7897058823529413</v>
      </c>
      <c r="BE958" s="11" t="n">
        <f>IF(SUMIF($AO$11:$AO$1309,AO958,$BB$11:$BB$1309)=COUNTIF($AO$11:$AO$1309,AO958),SUMIF($AO$11:$AO$1309,AO958,$BA$11:$BA$1309),"")</f>
        <v>1.343242375601926</v>
      </c>
      <c r="BF958" s="12" t="n">
        <f>IF(COUNT(BD958:BE958)&lt;&gt;2,"",IF(AND(BD958&gt;0,BE958&gt;0),0.7*AW958/BD958+0.3*BA958/BE958,IF(BD958&gt;0,AW958/BD958,IF(BE958&gt;0,BA958/BE958,IF(AND(ISNUMBER(BH958),BH958=0),0,"")))))</f>
        <v>0.041276284812503394</v>
      </c>
      <c r="BG958" s="11" t="n">
        <f>IF(AND(COUNT(BN958:BU958)=8,MIN(BN958:BU958)&gt;=0),SUMPRODUCT(BN958:BQ958,BR958:BU958),"")</f>
        <v>73.80791239847399</v>
      </c>
      <c r="BH958" s="11" t="n">
        <f>IF(COUNT(BC958,BG958)=2,BC958*BG958,"")</f>
        <v>70.01534433814592</v>
      </c>
      <c r="BI958" s="11" t="n">
        <f>IF(ISNUMBER(CI958),CI958,"")</f>
        <v>2.889973294146808</v>
      </c>
      <c r="BJ958" s="8" t="str"/>
      <c r="BK958" s="8" t="str">
        <v>90天：2026-07-20 至 2026-10-17；180天：2026-04-21 至 2026-10-17</v>
      </c>
      <c r="BL958" s="8" t="str">
        <v>90天：2026-10-06、2026-10-07、2026-10-12、2026-10-13、2026-10-16；180天：2026-10-06、2026-10-07、2026-10-12、2026-10-13、2026-10-16</v>
      </c>
      <c r="BM958" s="8" t="str">
        <v>2026-10：12天 × 1.2247029157699902；2026-11：30天 × 0.8332682139098497；2026-12：31天 × 0.5511018253564084；2027-01：17天 × 1.0017220238758797</v>
      </c>
      <c r="BN958" s="11" t="n">
        <v>1.2247029157699902</v>
      </c>
      <c r="BO958" s="11" t="n">
        <v>0.8332682139098497</v>
      </c>
      <c r="BP958" s="11" t="n">
        <v>0.5511018253564084</v>
      </c>
      <c r="BQ958" s="11" t="n">
        <v>1.0017220238758797</v>
      </c>
      <c r="BR958" s="8" t="n">
        <v>12</v>
      </c>
      <c r="BS958" s="8" t="n">
        <v>30</v>
      </c>
      <c r="BT958" s="8" t="n">
        <v>31</v>
      </c>
      <c r="BU958" s="8" t="n">
        <v>17</v>
      </c>
      <c r="BV958" s="11" t="n">
        <f>IF(COUNT(BC958,BF958)=2,BC958*BF958,"")</f>
        <v>0.03915533172845246</v>
      </c>
      <c r="BW958" s="11" t="n">
        <f>IF(ISNUMBER(BN958),BN958,"")</f>
        <v>1.2247029157699902</v>
      </c>
      <c r="BX958" s="14" t="n">
        <f>IF(ISNUMBER(BR958),BR958,"")</f>
        <v>12</v>
      </c>
      <c r="BY958" s="13" t="n">
        <f>IF(AND(COUNT(BV958,BW958,BX958)=3,MIN(BV958,BW958,BX958)&gt;=0),BV958*BW958*BX958,"")</f>
        <v>0.5754437872293232</v>
      </c>
      <c r="BZ958" s="11" t="n">
        <f>IF(ISNUMBER(BO958),BO958,"")</f>
        <v>0.8332682139098497</v>
      </c>
      <c r="CA958" s="14" t="n">
        <f>IF(ISNUMBER(BS958),BS958,"")</f>
        <v>30</v>
      </c>
      <c r="CB958" s="13" t="n">
        <f>IF(AND(COUNT(BV958,BZ958,CA958)=3,MIN(BV958,BZ958,CA958)&gt;=0),BV958*BZ958*CA958,"")</f>
        <v>0.9788068000324575</v>
      </c>
      <c r="CC958" s="11" t="n">
        <f>IF(ISNUMBER(BP958),BP958,"")</f>
        <v>0.5511018253564084</v>
      </c>
      <c r="CD958" s="14" t="n">
        <f>IF(ISNUMBER(BT958),BT958,"")</f>
        <v>31</v>
      </c>
      <c r="CE958" s="13" t="n">
        <f>IF(AND(COUNT(BV958,CC958,CD958)=3,MIN(BV958,CC958,CD958)&gt;=0),BV958*CC958*CD958,"")</f>
        <v>0.6689358184275611</v>
      </c>
      <c r="CF958" s="11" t="n">
        <f>IF(ISNUMBER(BQ958),BQ958,"")</f>
        <v>1.0017220238758797</v>
      </c>
      <c r="CG958" s="14" t="n">
        <f>IF(ISNUMBER(BU958),BU958,"")</f>
        <v>17</v>
      </c>
      <c r="CH958" s="13" t="n">
        <f>IF(AND(COUNT(BV958,CF958,CG958)=3,MIN(BV958,CF958,CG958)&gt;=0),BV958*CF958*CG958,"")</f>
        <v>0.6667868884574664</v>
      </c>
      <c r="CI958" s="13" t="n">
        <f>IF(COUNT(BY958,CB958,CE958,CH958)=4,SUM(BY958,CB958,CE958,CH958),"")</f>
        <v>2.889973294146808</v>
      </c>
    </row>
    <row r="959" ht="72" customHeight="1">
      <c r="A959" s="16" t="str">
        <v>B06-SP-41</v>
      </c>
      <c r="B959" s="16" t="str">
        <v>1店-MUSSHOE-US</v>
      </c>
      <c r="C959" s="16" t="str">
        <v>艾年</v>
      </c>
      <c r="D959" s="26" t="n">
        <f>IF(NOT(ISNUMBER(E959)),"",IF(OR(E959&lt;=0,L959=0),0,IF(OR(NOT(ISNUMBER(F959)),F959&lt;0),"",MIN(E959,INT(F959)))))</f>
        <v>0</v>
      </c>
      <c r="E959" s="27" t="n">
        <f>IF(OR(NOT(ISNUMBER(L959)),COUNT(M959:O959)&lt;&gt;3,MIN(M959:O959)&lt;0),"",ROUNDUP(ROUND(BI959-SUM(M959:O959),10),0))</f>
        <v>-39</v>
      </c>
      <c r="F959" s="28" t="n">
        <v>0</v>
      </c>
      <c r="G959" s="28" t="n">
        <f>IF(AND(ISNUMBER(D959),ISNUMBER(E959)),IF(OR(E959&lt;=0,L959=0),0,E959-D959),"")</f>
        <v>0</v>
      </c>
      <c r="H959" s="16" t="str">
        <f>IF(NOT(ISNUMBER(E959)),"销量或海外库存待补",IF(OR(E959&lt;=0,L959=0),IF(L959=0,"零日销，本批不发","本批无需补货"),IF(NOT(ISNUMBER(D959)),"国内库存待补",IF(D959=0,"国内无可用库存",IF(G959&gt;0,"先发国内现货","按建议量发货")))))</f>
        <v>本批无需补货</v>
      </c>
      <c r="I959" s="28" t="n">
        <f>IF(AND(COUNT(Z959,AA959,AB959)=3,Z959&gt;=AA959,AA959&gt;=0,AB959=7),Z959-AA959,"")</f>
        <v>0</v>
      </c>
      <c r="J959" s="28" t="n">
        <f>IF(AND(COUNT(AF959,AG959,AH959)=3,AF959&gt;=AG959,AG959&gt;=0,AH959=14),AF959-AG959,"")</f>
        <v>0</v>
      </c>
      <c r="K959" s="28" t="n">
        <f>IF(AND(COUNT(AL959,AM959,AN959)=3,AL959&gt;=AM959,AM959&gt;=0,AN959=30),AL959-AM959,"")</f>
        <v>0</v>
      </c>
      <c r="L959" s="29" t="n">
        <f>IF(ISNUMBER(BI959),BI959/90,"")</f>
        <v>0.0009928406300041407</v>
      </c>
      <c r="M959" s="28" t="n">
        <v>0</v>
      </c>
      <c r="N959" s="28" t="n">
        <v>0</v>
      </c>
      <c r="O959" s="28" t="n">
        <v>39</v>
      </c>
      <c r="P959" s="30" t="n">
        <f>IF(AND(ISNUMBER(L959),L959&gt;0,COUNT(M959:O959)=3,MIN(M959:O959)&gt;=0),SUM(M959:O959)/L959,"")</f>
        <v>39281.22885123804</v>
      </c>
      <c r="Q959" s="16" t="str">
        <v>沿用原计划SKU店铺</v>
      </c>
      <c r="R959" s="16" t="str">
        <v>已匹配</v>
      </c>
      <c r="S959" s="16" t="str">
        <v>停售</v>
      </c>
      <c r="T959" s="16" t="str">
        <v>B06</v>
      </c>
      <c r="U959" s="16" t="str">
        <v>蛇纹PU</v>
      </c>
      <c r="V959" s="16" t="n">
        <v>10</v>
      </c>
      <c r="W959" s="8" t="str">
        <v>2026-10-08 至 2026-10-17</v>
      </c>
      <c r="X959" s="8" t="str">
        <v>2026-10-08、2026-10-09、2026-10-10、2026-10-11、2026-10-14、2026-10-15、2026-10-17</v>
      </c>
      <c r="Y959" s="8" t="str">
        <v>2026-10-12 有记录的停售日；2026-10-13 有记录的停售日；2026-10-16 有记录的停售日</v>
      </c>
      <c r="Z959" s="8" t="n">
        <v>0</v>
      </c>
      <c r="AA959" s="8" t="n">
        <v>0</v>
      </c>
      <c r="AB959" s="8" t="n">
        <v>7</v>
      </c>
      <c r="AC959" s="8" t="str">
        <v>2026-09-29 至 2026-10-17</v>
      </c>
      <c r="AD959" s="8" t="str">
        <v>2026-09-29、2026-09-30、2026-10-01、2026-10-02、2026-10-03、2026-10-04、2026-10-05、2026-10-08、2026-10-09、2026-10-10、2026-10-11、2026-10-14、2026-10-15、2026-10-17</v>
      </c>
      <c r="AE959" s="8" t="str">
        <v>2026-10-06 大促；2026-10-07 大促；2026-10-12 有记录的停售日；2026-10-13 有记录的停售日；2026-10-16 有记录的停售日</v>
      </c>
      <c r="AF959" s="8" t="n">
        <v>0</v>
      </c>
      <c r="AG959" s="8" t="n">
        <v>0</v>
      </c>
      <c r="AH959" s="8" t="n">
        <v>14</v>
      </c>
      <c r="AI959" s="8" t="str">
        <v>2026-09-13 至 2026-10-17</v>
      </c>
      <c r="AJ95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59" s="8" t="str">
        <v>2026-10-06 大促；2026-10-07 大促；2026-10-12 有记录的停售日；2026-10-13 有记录的停售日；2026-10-16 有记录的停售日</v>
      </c>
      <c r="AL959" s="8" t="n">
        <v>0</v>
      </c>
      <c r="AM959" s="8" t="n">
        <v>0</v>
      </c>
      <c r="AN959" s="8" t="n">
        <v>30</v>
      </c>
      <c r="AO959" s="8" t="str">
        <v>B06 / 蛇纹PU / 13120</v>
      </c>
      <c r="AP959" s="11" t="n">
        <v>1.2247029157699902</v>
      </c>
      <c r="AQ959" s="11" t="n">
        <v>1.1929861014741694</v>
      </c>
      <c r="AR959" s="11" t="n">
        <v>1.0914922957275428</v>
      </c>
      <c r="AS959" s="11" t="n">
        <f>IF(AND(COUNT(I959:K959,AP959:AR959)=6,MIN(AP959:AR959)&gt;0),I959/7/AP959*0.5+J959/14/AQ959*0.3+K959/30/AR959*0.2,"")</f>
        <v>0</v>
      </c>
      <c r="AT959" s="8" t="n">
        <v>0</v>
      </c>
      <c r="AU959" s="8" t="n">
        <v>0</v>
      </c>
      <c r="AV959" s="8" t="n">
        <v>85</v>
      </c>
      <c r="AW959" s="11" t="n">
        <f>IF(AND(COUNT(AT959:AV959)=3,AT959&gt;=AU959,AU959&gt;=0,AV959&gt;0),(AT959-AU959)/AV959,"")</f>
        <v>0</v>
      </c>
      <c r="AX959" s="8" t="n">
        <v>1</v>
      </c>
      <c r="AY959" s="8" t="n">
        <v>0</v>
      </c>
      <c r="AZ959" s="8" t="n">
        <v>175</v>
      </c>
      <c r="BA959" s="11" t="n">
        <f>IF(AND(COUNT(AX959:AZ959)=3,AX959&gt;=AY959,AY959&gt;=0,AZ959&gt;0),(AX959-AY959)/AZ959,"")</f>
        <v>0.005714285714285714</v>
      </c>
      <c r="BB959" s="8" t="n">
        <f>IF(COUNT(AS959,AW959,BA959)=3,1,0)</f>
        <v>1</v>
      </c>
      <c r="BC959" s="11" t="n">
        <f>IF(SUMIF($AO$11:$AO$1309,AO959,$BB$11:$BB$1309)=COUNTIF($AO$11:$AO$1309,AO959),SUMIF($AO$11:$AO$1309,AO959,$AS$11:$AS$1309),"")</f>
        <v>0.9486156980046698</v>
      </c>
      <c r="BD959" s="11" t="n">
        <f>IF(SUMIF($AO$11:$AO$1309,AO959,$BB$11:$BB$1309)=COUNTIF($AO$11:$AO$1309,AO959),SUMIF($AO$11:$AO$1309,AO959,$AW$11:$AW$1309),"")</f>
        <v>0.7897058823529413</v>
      </c>
      <c r="BE959" s="11" t="n">
        <f>IF(SUMIF($AO$11:$AO$1309,AO959,$BB$11:$BB$1309)=COUNTIF($AO$11:$AO$1309,AO959),SUMIF($AO$11:$AO$1309,AO959,$BA$11:$BA$1309),"")</f>
        <v>1.343242375601926</v>
      </c>
      <c r="BF959" s="12" t="n">
        <f>IF(COUNT(BD959:BE959)&lt;&gt;2,"",IF(AND(BD959&gt;0,BE959&gt;0),0.7*AW959/BD959+0.3*BA959/BE959,IF(BD959&gt;0,AW959/BD959,IF(BE959&gt;0,BA959/BE959,IF(AND(ISNUMBER(BH959),BH959=0),0,"")))))</f>
        <v>0.0012762296257349075</v>
      </c>
      <c r="BG959" s="11" t="n">
        <f>IF(AND(COUNT(BN959:BU959)=8,MIN(BN959:BU959)&gt;=0),SUMPRODUCT(BN959:BQ959,BR959:BU959),"")</f>
        <v>73.80791239847399</v>
      </c>
      <c r="BH959" s="11" t="n">
        <f>IF(COUNT(BC959,BG959)=2,BC959*BG959,"")</f>
        <v>70.01534433814592</v>
      </c>
      <c r="BI959" s="11" t="n">
        <f>IF(ISNUMBER(CI959),CI959,"")</f>
        <v>0.08935565670037267</v>
      </c>
      <c r="BJ959" s="8" t="str"/>
      <c r="BK959" s="8" t="str">
        <v>90天：2026-07-20 至 2026-10-17；180天：2026-04-21 至 2026-10-17</v>
      </c>
      <c r="BL959" s="8" t="str">
        <v>90天：2026-10-06、2026-10-07、2026-10-12、2026-10-13、2026-10-16；180天：2026-10-06、2026-10-07、2026-10-12、2026-10-13、2026-10-16</v>
      </c>
      <c r="BM959" s="8" t="str">
        <v>2026-10：12天 × 1.2247029157699902；2026-11：30天 × 0.8332682139098497；2026-12：31天 × 0.5511018253564084；2027-01：17天 × 1.0017220238758797</v>
      </c>
      <c r="BN959" s="11" t="n">
        <v>1.2247029157699902</v>
      </c>
      <c r="BO959" s="11" t="n">
        <v>0.8332682139098497</v>
      </c>
      <c r="BP959" s="11" t="n">
        <v>0.5511018253564084</v>
      </c>
      <c r="BQ959" s="11" t="n">
        <v>1.0017220238758797</v>
      </c>
      <c r="BR959" s="8" t="n">
        <v>12</v>
      </c>
      <c r="BS959" s="8" t="n">
        <v>30</v>
      </c>
      <c r="BT959" s="8" t="n">
        <v>31</v>
      </c>
      <c r="BU959" s="8" t="n">
        <v>17</v>
      </c>
      <c r="BV959" s="11" t="n">
        <f>IF(COUNT(BC959,BF959)=2,BC959*BF959,"")</f>
        <v>0.001210651457230758</v>
      </c>
      <c r="BW959" s="11" t="n">
        <f>IF(ISNUMBER(BN959),BN959,"")</f>
        <v>1.2247029157699902</v>
      </c>
      <c r="BX959" s="14" t="n">
        <f>IF(ISNUMBER(BR959),BR959,"")</f>
        <v>12</v>
      </c>
      <c r="BY959" s="13" t="n">
        <f>IF(AND(COUNT(BV959,BW959,BX959)=3,MIN(BV959,BW959,BX959)&gt;=0),BV959*BW959*BX959,"")</f>
        <v>0.017792260435820363</v>
      </c>
      <c r="BZ959" s="11" t="n">
        <f>IF(ISNUMBER(BO959),BO959,"")</f>
        <v>0.8332682139098497</v>
      </c>
      <c r="CA959" s="14" t="n">
        <f>IF(ISNUMBER(BS959),BS959,"")</f>
        <v>30</v>
      </c>
      <c r="CB959" s="13" t="n">
        <f>IF(AND(COUNT(BV959,BZ959,CA959)=3,MIN(BV959,BZ959,CA959)&gt;=0),BV959*BZ959*CA959,"")</f>
        <v>0.030263921323020915</v>
      </c>
      <c r="CC959" s="11" t="n">
        <f>IF(ISNUMBER(BP959),BP959,"")</f>
        <v>0.5511018253564084</v>
      </c>
      <c r="CD959" s="14" t="n">
        <f>IF(ISNUMBER(BT959),BT959,"")</f>
        <v>31</v>
      </c>
      <c r="CE959" s="13" t="n">
        <f>IF(AND(COUNT(BV959,CC959,CD959)=3,MIN(BV959,CC959,CD959)&gt;=0),BV959*CC959*CD959,"")</f>
        <v>0.02068295906645826</v>
      </c>
      <c r="CF959" s="11" t="n">
        <f>IF(ISNUMBER(BQ959),BQ959,"")</f>
        <v>1.0017220238758797</v>
      </c>
      <c r="CG959" s="14" t="n">
        <f>IF(ISNUMBER(BU959),BU959,"")</f>
        <v>17</v>
      </c>
      <c r="CH959" s="13" t="n">
        <f>IF(AND(COUNT(BV959,CF959,CG959)=3,MIN(BV959,CF959,CG959)&gt;=0),BV959*CF959*CG959,"")</f>
        <v>0.020616515875073124</v>
      </c>
      <c r="CI959" s="13" t="n">
        <f>IF(COUNT(BY959,CB959,CE959,CH959)=4,SUM(BY959,CB959,CE959,CH959),"")</f>
        <v>0.08935565670037267</v>
      </c>
    </row>
    <row r="960" ht="72" customHeight="1">
      <c r="A960" s="16" t="str">
        <v>B06-TN-37</v>
      </c>
      <c r="B960" s="16" t="str">
        <v>1店-MUSSHOE-US</v>
      </c>
      <c r="C960" s="16" t="str">
        <v>艾年</v>
      </c>
      <c r="D960" s="26" t="n">
        <f>IF(NOT(ISNUMBER(E960)),"",IF(OR(E960&lt;=0,L960=0),0,IF(OR(NOT(ISNUMBER(F960)),F960&lt;0),"",MIN(E960,INT(F960)))))</f>
        <v>0</v>
      </c>
      <c r="E960" s="27" t="n">
        <f>IF(OR(NOT(ISNUMBER(L960)),COUNT(M960:O960)&lt;&gt;3,MIN(M960:O960)&lt;0),"",ROUNDUP(ROUND(BI960-SUM(M960:O960),10),0))</f>
        <v>-9</v>
      </c>
      <c r="F960" s="28" t="n">
        <v>0</v>
      </c>
      <c r="G960" s="28" t="n">
        <f>IF(AND(ISNUMBER(D960),ISNUMBER(E960)),IF(OR(E960&lt;=0,L960=0),0,E960-D960),"")</f>
        <v>0</v>
      </c>
      <c r="H960" s="16" t="str">
        <f>IF(NOT(ISNUMBER(E960)),"销量或海外库存待补",IF(OR(E960&lt;=0,L960=0),IF(L960=0,"零日销，本批不发","本批无需补货"),IF(NOT(ISNUMBER(D960)),"国内库存待补",IF(D960=0,"国内无可用库存",IF(G960&gt;0,"先发国内现货","按建议量发货")))))</f>
        <v>本批无需补货</v>
      </c>
      <c r="I960" s="28" t="n">
        <f>IF(AND(COUNT(Z960,AA960,AB960)=3,Z960&gt;=AA960,AA960&gt;=0,AB960=7),Z960-AA960,"")</f>
        <v>2</v>
      </c>
      <c r="J960" s="28" t="n">
        <f>IF(AND(COUNT(AF960,AG960,AH960)=3,AF960&gt;=AG960,AG960&gt;=0,AH960=14),AF960-AG960,"")</f>
        <v>4</v>
      </c>
      <c r="K960" s="28" t="n">
        <f>IF(AND(COUNT(AL960,AM960,AN960)=3,AL960&gt;=AM960,AM960&gt;=0,AN960=30),AL960-AM960,"")</f>
        <v>8</v>
      </c>
      <c r="L960" s="29" t="n">
        <f>IF(ISNUMBER(BI960),BI960/90,"")</f>
        <v>0.15000489085276006</v>
      </c>
      <c r="M960" s="28" t="n">
        <v>22</v>
      </c>
      <c r="N960" s="28" t="n">
        <v>0</v>
      </c>
      <c r="O960" s="28" t="n">
        <v>0</v>
      </c>
      <c r="P960" s="30" t="n">
        <f>IF(AND(ISNUMBER(L960),L960&gt;0,COUNT(M960:O960)=3,MIN(M960:O960)&gt;=0),SUM(M960:O960)/L960,"")</f>
        <v>146.66188465544425</v>
      </c>
      <c r="Q960" s="16" t="str">
        <v>沿用原计划SKU店铺</v>
      </c>
      <c r="R960" s="16" t="str">
        <v>已匹配</v>
      </c>
      <c r="S960" s="16" t="str">
        <v>在售</v>
      </c>
      <c r="T960" s="16" t="str">
        <v>B06</v>
      </c>
      <c r="U960" s="16" t="str">
        <v>驼色羊京绒</v>
      </c>
      <c r="V960" s="16" t="n">
        <v>6</v>
      </c>
      <c r="W960" s="8" t="str">
        <v>2026-10-11 至 2026-10-17</v>
      </c>
      <c r="X960" s="8" t="str">
        <v>2026-10-11、2026-10-12、2026-10-13、2026-10-14、2026-10-15、2026-10-16、2026-10-17</v>
      </c>
      <c r="Y960" s="8" t="str">
        <v>无</v>
      </c>
      <c r="Z960" s="8" t="n">
        <v>2</v>
      </c>
      <c r="AA960" s="8" t="n">
        <v>0</v>
      </c>
      <c r="AB960" s="8" t="n">
        <v>7</v>
      </c>
      <c r="AC960" s="8" t="str">
        <v>2026-10-02 至 2026-10-17</v>
      </c>
      <c r="AD960" s="8" t="str">
        <v>2026-10-02、2026-10-03、2026-10-04、2026-10-05、2026-10-08、2026-10-09、2026-10-10、2026-10-11、2026-10-12、2026-10-13、2026-10-14、2026-10-15、2026-10-16、2026-10-17</v>
      </c>
      <c r="AE960" s="8" t="str">
        <v>2026-10-06 大促；2026-10-07 大促</v>
      </c>
      <c r="AF960" s="8" t="n">
        <v>5</v>
      </c>
      <c r="AG960" s="8" t="n">
        <v>1</v>
      </c>
      <c r="AH960" s="8" t="n">
        <v>14</v>
      </c>
      <c r="AI960" s="8" t="str">
        <v>2026-09-16 至 2026-10-17</v>
      </c>
      <c r="AJ9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0" s="8" t="str">
        <v>2026-10-06 大促；2026-10-07 大促</v>
      </c>
      <c r="AL960" s="8" t="n">
        <v>9</v>
      </c>
      <c r="AM960" s="8" t="n">
        <v>1</v>
      </c>
      <c r="AN960" s="8" t="n">
        <v>30</v>
      </c>
      <c r="AO960" s="8" t="str">
        <v>B06 / 驼色羊京绒 / 13120</v>
      </c>
      <c r="AP960" s="11" t="n">
        <v>1.2247029157699902</v>
      </c>
      <c r="AQ960" s="11" t="n">
        <v>1.2247029157699902</v>
      </c>
      <c r="AR960" s="11" t="n">
        <v>1.1136940657346173</v>
      </c>
      <c r="AS960" s="11" t="n">
        <f>IF(AND(COUNT(I960:K960,AP960:AR960)=6,MIN(AP960:AR960)&gt;0),I960/7/AP960*0.5+J960/14/AQ960*0.3+K960/30/AR960*0.2,"")</f>
        <v>0.2345228585355235</v>
      </c>
      <c r="AT960" s="8" t="n">
        <v>17</v>
      </c>
      <c r="AU960" s="8" t="n">
        <v>1</v>
      </c>
      <c r="AV960" s="8" t="n">
        <v>88</v>
      </c>
      <c r="AW960" s="11" t="n">
        <f>IF(AND(COUNT(AT960:AV960)=3,AT960&gt;=AU960,AU960&gt;=0,AV960&gt;0),(AT960-AU960)/AV960,"")</f>
        <v>0.18181818181818182</v>
      </c>
      <c r="AX960" s="8" t="n">
        <v>21</v>
      </c>
      <c r="AY960" s="8" t="n">
        <v>1</v>
      </c>
      <c r="AZ960" s="8" t="n">
        <v>178</v>
      </c>
      <c r="BA960" s="11" t="n">
        <f>IF(AND(COUNT(AX960:AZ960)=3,AX960&gt;=AY960,AY960&gt;=0,AZ960&gt;0),(AX960-AY960)/AZ960,"")</f>
        <v>0.11235955056179775</v>
      </c>
      <c r="BB960" s="8" t="n">
        <f>IF(COUNT(AS960,AW960,BA960)=3,1,0)</f>
        <v>1</v>
      </c>
      <c r="BC960" s="11" t="n">
        <f>IF(SUMIF($AO$11:$AO$1309,AO960,$BB$11:$BB$1309)=COUNTIF($AO$11:$AO$1309,AO960),SUMIF($AO$11:$AO$1309,AO960,$AS$11:$AS$1309),"")</f>
        <v>1.8230945493885915</v>
      </c>
      <c r="BD960" s="11" t="n">
        <f>IF(SUMIF($AO$11:$AO$1309,AO960,$BB$11:$BB$1309)=COUNTIF($AO$11:$AO$1309,AO960),SUMIF($AO$11:$AO$1309,AO960,$AW$11:$AW$1309),"")</f>
        <v>1.6395348837209305</v>
      </c>
      <c r="BE960" s="11" t="n">
        <f>IF(SUMIF($AO$11:$AO$1309,AO960,$BB$11:$BB$1309)=COUNTIF($AO$11:$AO$1309,AO960),SUMIF($AO$11:$AO$1309,AO960,$BA$11:$BA$1309),"")</f>
        <v>1.4846782431052095</v>
      </c>
      <c r="BF960" s="12" t="n">
        <f>IF(COUNT(BD960:BE960)&lt;&gt;2,"",IF(AND(BD960&gt;0,BE960&gt;0),0.7*AW960/BD960+0.3*BA960/BE960,IF(BD960&gt;0,AW960/BD960,IF(BE960&gt;0,BA960/BE960,IF(AND(ISNUMBER(BH960),BH960=0),0,"")))))</f>
        <v>0.10033115557125831</v>
      </c>
      <c r="BG960" s="11" t="n">
        <f>IF(AND(COUNT(BN960:BU960)=8,MIN(BN960:BU960)&gt;=0),SUMPRODUCT(BN960:BQ960,BR960:BU960),"")</f>
        <v>73.80791239847399</v>
      </c>
      <c r="BH960" s="11" t="n">
        <f>IF(COUNT(BC960,BG960)=2,BC960*BG960,"")</f>
        <v>134.55880279540858</v>
      </c>
      <c r="BI960" s="11" t="n">
        <f>IF(ISNUMBER(CI960),CI960,"")</f>
        <v>13.500440176748405</v>
      </c>
      <c r="BJ960" s="8" t="str">
        <v>低销提醒依据不完整</v>
      </c>
      <c r="BK960" s="8" t="str">
        <v>90天：2026-07-20 至 2026-10-17；180天：2026-04-21 至 2026-10-17</v>
      </c>
      <c r="BL960" s="8" t="str">
        <v>90天：2026-10-06、2026-10-07；180天：2026-10-06、2026-10-07</v>
      </c>
      <c r="BM960" s="8" t="str">
        <v>2026-10：12天 × 1.2247029157699902；2026-11：30天 × 0.8332682139098497；2026-12：31天 × 0.5511018253564084；2027-01：17天 × 1.0017220238758797</v>
      </c>
      <c r="BN960" s="11" t="n">
        <v>1.2247029157699902</v>
      </c>
      <c r="BO960" s="11" t="n">
        <v>0.8332682139098497</v>
      </c>
      <c r="BP960" s="11" t="n">
        <v>0.5511018253564084</v>
      </c>
      <c r="BQ960" s="11" t="n">
        <v>1.0017220238758797</v>
      </c>
      <c r="BR960" s="8" t="n">
        <v>12</v>
      </c>
      <c r="BS960" s="8" t="n">
        <v>30</v>
      </c>
      <c r="BT960" s="8" t="n">
        <v>31</v>
      </c>
      <c r="BU960" s="8" t="n">
        <v>17</v>
      </c>
      <c r="BV960" s="11" t="n">
        <f>IF(COUNT(BC960,BF960)=2,BC960*BF960,"")</f>
        <v>0.18291318285581984</v>
      </c>
      <c r="BW960" s="11" t="n">
        <f>IF(ISNUMBER(BN960),BN960,"")</f>
        <v>1.2247029157699902</v>
      </c>
      <c r="BX960" s="14" t="n">
        <f>IF(ISNUMBER(BR960),BR960,"")</f>
        <v>12</v>
      </c>
      <c r="BY960" s="13" t="n">
        <f>IF(AND(COUNT(BV960,BW960,BX960)=3,MIN(BV960,BW960,BX960)&gt;=0),BV960*BW960*BX960,"")</f>
        <v>2.688171700515503</v>
      </c>
      <c r="BZ960" s="11" t="n">
        <f>IF(ISNUMBER(BO960),BO960,"")</f>
        <v>0.8332682139098497</v>
      </c>
      <c r="CA960" s="14" t="n">
        <f>IF(ISNUMBER(BS960),BS960,"")</f>
        <v>30</v>
      </c>
      <c r="CB960" s="13" t="n">
        <f>IF(AND(COUNT(BV960,BZ960,CA960)=3,MIN(BV960,BZ960,CA960)&gt;=0),BV960*BZ960*CA960,"")</f>
        <v>4.572472235365042</v>
      </c>
      <c r="CC960" s="11" t="n">
        <f>IF(ISNUMBER(BP960),BP960,"")</f>
        <v>0.5511018253564084</v>
      </c>
      <c r="CD960" s="14" t="n">
        <f>IF(ISNUMBER(BT960),BT960,"")</f>
        <v>31</v>
      </c>
      <c r="CE960" s="13" t="n">
        <f>IF(AND(COUNT(BV960,CC960,CD960)=3,MIN(BV960,CC960,CD960)&gt;=0),BV960*CC960*CD960,"")</f>
        <v>3.1249174575613776</v>
      </c>
      <c r="CF960" s="11" t="n">
        <f>IF(ISNUMBER(BQ960),BQ960,"")</f>
        <v>1.0017220238758797</v>
      </c>
      <c r="CG960" s="14" t="n">
        <f>IF(ISNUMBER(BU960),BU960,"")</f>
        <v>17</v>
      </c>
      <c r="CH960" s="13" t="n">
        <f>IF(AND(COUNT(BV960,CF960,CG960)=3,MIN(BV960,CF960,CG960)&gt;=0),BV960*CF960*CG960,"")</f>
        <v>3.114878783306482</v>
      </c>
      <c r="CI960" s="13" t="n">
        <f>IF(COUNT(BY960,CB960,CE960,CH960)=4,SUM(BY960,CB960,CE960,CH960),"")</f>
        <v>13.500440176748405</v>
      </c>
    </row>
    <row r="961" ht="72" customHeight="1">
      <c r="A961" s="16" t="str">
        <v>B06-TN-37.5</v>
      </c>
      <c r="B961" s="16" t="str">
        <v>1店-MUSSHOE-US</v>
      </c>
      <c r="C961" s="16" t="str">
        <v>艾年</v>
      </c>
      <c r="D961" s="26" t="n">
        <f>IF(NOT(ISNUMBER(E961)),"",IF(OR(E961&lt;=0,L961=0),0,IF(OR(NOT(ISNUMBER(F961)),F961&lt;0),"",MIN(E961,INT(F961)))))</f>
        <v>0</v>
      </c>
      <c r="E961" s="27" t="n">
        <f>IF(OR(NOT(ISNUMBER(L961)),COUNT(M961:O961)&lt;&gt;3,MIN(M961:O961)&lt;0),"",ROUNDUP(ROUND(BI961-SUM(M961:O961),10),0))</f>
        <v>-12</v>
      </c>
      <c r="F961" s="28" t="n">
        <v>18</v>
      </c>
      <c r="G961" s="28" t="n">
        <f>IF(AND(ISNUMBER(D961),ISNUMBER(E961)),IF(OR(E961&lt;=0,L961=0),0,E961-D961),"")</f>
        <v>0</v>
      </c>
      <c r="H961" s="16" t="str">
        <f>IF(NOT(ISNUMBER(E961)),"销量或海外库存待补",IF(OR(E961&lt;=0,L961=0),IF(L961=0,"零日销，本批不发","本批无需补货"),IF(NOT(ISNUMBER(D961)),"国内库存待补",IF(D961=0,"国内无可用库存",IF(G961&gt;0,"先发国内现货","按建议量发货")))))</f>
        <v>本批无需补货</v>
      </c>
      <c r="I961" s="28" t="n">
        <f>IF(AND(COUNT(Z961,AA961,AB961)=3,Z961&gt;=AA961,AA961&gt;=0,AB961=7),Z961-AA961,"")</f>
        <v>0</v>
      </c>
      <c r="J961" s="28" t="n">
        <f>IF(AND(COUNT(AF961,AG961,AH961)=3,AF961&gt;=AG961,AG961&gt;=0,AH961=14),AF961-AG961,"")</f>
        <v>1</v>
      </c>
      <c r="K961" s="28" t="n">
        <f>IF(AND(COUNT(AL961,AM961,AN961)=3,AL961&gt;=AM961,AM961&gt;=0,AN961=30),AL961-AM961,"")</f>
        <v>2</v>
      </c>
      <c r="L961" s="29" t="n">
        <f>IF(ISNUMBER(BI961),BI961/90,"")</f>
        <v>0.05833277321153004</v>
      </c>
      <c r="M961" s="28" t="n">
        <v>17</v>
      </c>
      <c r="N961" s="28" t="n">
        <v>0</v>
      </c>
      <c r="O961" s="28" t="n">
        <v>0</v>
      </c>
      <c r="P961" s="30" t="n">
        <f>IF(AND(ISNUMBER(L961),L961&gt;0,COUNT(M961:O961)=3,MIN(M961:O961)&gt;=0),SUM(M961:O961)/L961,"")</f>
        <v>291.43136977824645</v>
      </c>
      <c r="Q961" s="16" t="str">
        <v>沿用原计划SKU店铺</v>
      </c>
      <c r="R961" s="16" t="str">
        <v>已匹配</v>
      </c>
      <c r="S961" s="16" t="str">
        <v>在售</v>
      </c>
      <c r="T961" s="16" t="str">
        <v>B06</v>
      </c>
      <c r="U961" s="16" t="str">
        <v>驼色羊京绒</v>
      </c>
      <c r="V961" s="16" t="n">
        <v>6.5</v>
      </c>
      <c r="W961" s="8" t="str">
        <v>2026-10-11 至 2026-10-17</v>
      </c>
      <c r="X961" s="8" t="str">
        <v>2026-10-11、2026-10-12、2026-10-13、2026-10-14、2026-10-15、2026-10-16、2026-10-17</v>
      </c>
      <c r="Y961" s="8" t="str">
        <v>无</v>
      </c>
      <c r="Z961" s="8" t="n">
        <v>0</v>
      </c>
      <c r="AA961" s="8" t="n">
        <v>0</v>
      </c>
      <c r="AB961" s="8" t="n">
        <v>7</v>
      </c>
      <c r="AC961" s="8" t="str">
        <v>2026-10-02 至 2026-10-17</v>
      </c>
      <c r="AD961" s="8" t="str">
        <v>2026-10-02、2026-10-03、2026-10-04、2026-10-05、2026-10-08、2026-10-09、2026-10-10、2026-10-11、2026-10-12、2026-10-13、2026-10-14、2026-10-15、2026-10-16、2026-10-17</v>
      </c>
      <c r="AE961" s="8" t="str">
        <v>2026-10-06 大促；2026-10-07 大促</v>
      </c>
      <c r="AF961" s="8" t="n">
        <v>1</v>
      </c>
      <c r="AG961" s="8" t="n">
        <v>0</v>
      </c>
      <c r="AH961" s="8" t="n">
        <v>14</v>
      </c>
      <c r="AI961" s="8" t="str">
        <v>2026-09-16 至 2026-10-17</v>
      </c>
      <c r="AJ9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1" s="8" t="str">
        <v>2026-10-06 大促；2026-10-07 大促</v>
      </c>
      <c r="AL961" s="8" t="n">
        <v>2</v>
      </c>
      <c r="AM961" s="8" t="n">
        <v>0</v>
      </c>
      <c r="AN961" s="8" t="n">
        <v>30</v>
      </c>
      <c r="AO961" s="8" t="str">
        <v>B06 / 驼色羊京绒 / 13120</v>
      </c>
      <c r="AP961" s="11" t="n">
        <v>1.2247029157699902</v>
      </c>
      <c r="AQ961" s="11" t="n">
        <v>1.2247029157699902</v>
      </c>
      <c r="AR961" s="11" t="n">
        <v>1.1136940657346173</v>
      </c>
      <c r="AS961" s="11" t="n">
        <f>IF(AND(COUNT(I961:K961,AP961:AR961)=6,MIN(AP961:AR961)&gt;0),I961/7/AP961*0.5+J961/14/AQ961*0.3+K961/30/AR961*0.2,"")</f>
        <v>0.02946912348029766</v>
      </c>
      <c r="AT961" s="8" t="n">
        <v>5</v>
      </c>
      <c r="AU961" s="8" t="n">
        <v>0</v>
      </c>
      <c r="AV961" s="8" t="n">
        <v>88</v>
      </c>
      <c r="AW961" s="11" t="n">
        <f>IF(AND(COUNT(AT961:AV961)=3,AT961&gt;=AU961,AU961&gt;=0,AV961&gt;0),(AT961-AU961)/AV961,"")</f>
        <v>0.056818181818181816</v>
      </c>
      <c r="AX961" s="8" t="n">
        <v>13</v>
      </c>
      <c r="AY961" s="8" t="n">
        <v>0</v>
      </c>
      <c r="AZ961" s="8" t="n">
        <v>178</v>
      </c>
      <c r="BA961" s="11" t="n">
        <f>IF(AND(COUNT(AX961:AZ961)=3,AX961&gt;=AY961,AY961&gt;=0,AZ961&gt;0),(AX961-AY961)/AZ961,"")</f>
        <v>0.07303370786516854</v>
      </c>
      <c r="BB961" s="8" t="n">
        <f>IF(COUNT(AS961,AW961,BA961)=3,1,0)</f>
        <v>1</v>
      </c>
      <c r="BC961" s="11" t="n">
        <f>IF(SUMIF($AO$11:$AO$1309,AO961,$BB$11:$BB$1309)=COUNTIF($AO$11:$AO$1309,AO961),SUMIF($AO$11:$AO$1309,AO961,$AS$11:$AS$1309),"")</f>
        <v>1.8230945493885915</v>
      </c>
      <c r="BD961" s="11" t="n">
        <f>IF(SUMIF($AO$11:$AO$1309,AO961,$BB$11:$BB$1309)=COUNTIF($AO$11:$AO$1309,AO961),SUMIF($AO$11:$AO$1309,AO961,$AW$11:$AW$1309),"")</f>
        <v>1.6395348837209305</v>
      </c>
      <c r="BE961" s="11" t="n">
        <f>IF(SUMIF($AO$11:$AO$1309,AO961,$BB$11:$BB$1309)=COUNTIF($AO$11:$AO$1309,AO961),SUMIF($AO$11:$AO$1309,AO961,$BA$11:$BA$1309),"")</f>
        <v>1.4846782431052095</v>
      </c>
      <c r="BF961" s="12" t="n">
        <f>IF(COUNT(BD961:BE961)&lt;&gt;2,"",IF(AND(BD961&gt;0,BE961&gt;0),0.7*AW961/BD961+0.3*BA961/BE961,IF(BD961&gt;0,AW961/BD961,IF(BE961&gt;0,BA961/BE961,IF(AND(ISNUMBER(BH961),BH961=0),0,"")))))</f>
        <v>0.03901602481570862</v>
      </c>
      <c r="BG961" s="11" t="n">
        <f>IF(AND(COUNT(BN961:BU961)=8,MIN(BN961:BU961)&gt;=0),SUMPRODUCT(BN961:BQ961,BR961:BU961),"")</f>
        <v>73.80791239847399</v>
      </c>
      <c r="BH961" s="11" t="n">
        <f>IF(COUNT(BC961,BG961)=2,BC961*BG961,"")</f>
        <v>134.55880279540858</v>
      </c>
      <c r="BI961" s="11" t="n">
        <f>IF(ISNUMBER(CI961),CI961,"")</f>
        <v>5.249949589037704</v>
      </c>
      <c r="BJ961" s="8" t="str">
        <v>低销提醒依据不完整</v>
      </c>
      <c r="BK961" s="8" t="str">
        <v>90天：2026-07-20 至 2026-10-17；180天：2026-04-21 至 2026-10-17</v>
      </c>
      <c r="BL961" s="8" t="str">
        <v>90天：2026-10-06、2026-10-07；180天：2026-10-06、2026-10-07</v>
      </c>
      <c r="BM961" s="8" t="str">
        <v>2026-10：12天 × 1.2247029157699902；2026-11：30天 × 0.8332682139098497；2026-12：31天 × 0.5511018253564084；2027-01：17天 × 1.0017220238758797</v>
      </c>
      <c r="BN961" s="11" t="n">
        <v>1.2247029157699902</v>
      </c>
      <c r="BO961" s="11" t="n">
        <v>0.8332682139098497</v>
      </c>
      <c r="BP961" s="11" t="n">
        <v>0.5511018253564084</v>
      </c>
      <c r="BQ961" s="11" t="n">
        <v>1.0017220238758797</v>
      </c>
      <c r="BR961" s="8" t="n">
        <v>12</v>
      </c>
      <c r="BS961" s="8" t="n">
        <v>30</v>
      </c>
      <c r="BT961" s="8" t="n">
        <v>31</v>
      </c>
      <c r="BU961" s="8" t="n">
        <v>17</v>
      </c>
      <c r="BV961" s="11" t="n">
        <f>IF(COUNT(BC961,BF961)=2,BC961*BF961,"")</f>
        <v>0.07112990218032841</v>
      </c>
      <c r="BW961" s="11" t="n">
        <f>IF(ISNUMBER(BN961),BN961,"")</f>
        <v>1.2247029157699902</v>
      </c>
      <c r="BX961" s="14" t="n">
        <f>IF(ISNUMBER(BR961),BR961,"")</f>
        <v>12</v>
      </c>
      <c r="BY961" s="13" t="n">
        <f>IF(AND(COUNT(BV961,BW961,BX961)=3,MIN(BV961,BW961,BX961)&gt;=0),BV961*BW961*BX961,"")</f>
        <v>1.0453559831841888</v>
      </c>
      <c r="BZ961" s="11" t="n">
        <f>IF(ISNUMBER(BO961),BO961,"")</f>
        <v>0.8332682139098497</v>
      </c>
      <c r="CA961" s="14" t="n">
        <f>IF(ISNUMBER(BS961),BS961,"")</f>
        <v>30</v>
      </c>
      <c r="CB961" s="13" t="n">
        <f>IF(AND(COUNT(BV961,BZ961,CA961)=3,MIN(BV961,BZ961,CA961)&gt;=0),BV961*BZ961*CA961,"")</f>
        <v>1.7781085963615375</v>
      </c>
      <c r="CC961" s="11" t="n">
        <f>IF(ISNUMBER(BP961),BP961,"")</f>
        <v>0.5511018253564084</v>
      </c>
      <c r="CD961" s="14" t="n">
        <f>IF(ISNUMBER(BT961),BT961,"")</f>
        <v>31</v>
      </c>
      <c r="CE961" s="13" t="n">
        <f>IF(AND(COUNT(BV961,CC961,CD961)=3,MIN(BV961,CC961,CD961)&gt;=0),BV961*CC961*CD961,"")</f>
        <v>1.2151943867990547</v>
      </c>
      <c r="CF961" s="11" t="n">
        <f>IF(ISNUMBER(BQ961),BQ961,"")</f>
        <v>1.0017220238758797</v>
      </c>
      <c r="CG961" s="14" t="n">
        <f>IF(ISNUMBER(BU961),BU961,"")</f>
        <v>17</v>
      </c>
      <c r="CH961" s="13" t="n">
        <f>IF(AND(COUNT(BV961,CF961,CG961)=3,MIN(BV961,CF961,CG961)&gt;=0),BV961*CF961*CG961,"")</f>
        <v>1.2112906226929228</v>
      </c>
      <c r="CI961" s="13" t="n">
        <f>IF(COUNT(BY961,CB961,CE961,CH961)=4,SUM(BY961,CB961,CE961,CH961),"")</f>
        <v>5.249949589037704</v>
      </c>
    </row>
    <row r="962" ht="72" customHeight="1">
      <c r="A962" s="16" t="str">
        <v>B06-TN-38-N</v>
      </c>
      <c r="B962" s="16" t="str">
        <v>1店-MUSSHOE-US</v>
      </c>
      <c r="C962" s="16" t="str">
        <v>艾年</v>
      </c>
      <c r="D962" s="26" t="n">
        <f>IF(NOT(ISNUMBER(E962)),"",IF(OR(E962&lt;=0,L962=0),0,IF(OR(NOT(ISNUMBER(F962)),F962&lt;0),"",MIN(E962,INT(F962)))))</f>
        <v>0</v>
      </c>
      <c r="E962" s="27" t="n">
        <f>IF(OR(NOT(ISNUMBER(L962)),COUNT(M962:O962)&lt;&gt;3,MIN(M962:O962)&lt;0),"",ROUNDUP(ROUND(BI962-SUM(M962:O962),10),0))</f>
        <v>-23</v>
      </c>
      <c r="F962" s="28" t="n">
        <v>0</v>
      </c>
      <c r="G962" s="28" t="n">
        <f>IF(AND(ISNUMBER(D962),ISNUMBER(E962)),IF(OR(E962&lt;=0,L962=0),0,E962-D962),"")</f>
        <v>0</v>
      </c>
      <c r="H962" s="16" t="str">
        <f>IF(NOT(ISNUMBER(E962)),"销量或海外库存待补",IF(OR(E962&lt;=0,L962=0),IF(L962=0,"零日销，本批不发","本批无需补货"),IF(NOT(ISNUMBER(D962)),"国内库存待补",IF(D962=0,"国内无可用库存",IF(G962&gt;0,"先发国内现货","按建议量发货")))))</f>
        <v>本批无需补货</v>
      </c>
      <c r="I962" s="28" t="n">
        <f>IF(AND(COUNT(Z962,AA962,AB962)=3,Z962&gt;=AA962,AA962&gt;=0,AB962=7),Z962-AA962,"")</f>
        <v>3</v>
      </c>
      <c r="J962" s="28" t="n">
        <f>IF(AND(COUNT(AF962,AG962,AH962)=3,AF962&gt;=AG962,AG962&gt;=0,AH962=14),AF962-AG962,"")</f>
        <v>3</v>
      </c>
      <c r="K962" s="28" t="n">
        <f>IF(AND(COUNT(AL962,AM962,AN962)=3,AL962&gt;=AM962,AM962&gt;=0,AN962=30),AL962-AM962,"")</f>
        <v>6</v>
      </c>
      <c r="L962" s="29" t="n">
        <f>IF(ISNUMBER(BI962),BI962/90,"")</f>
        <v>0.201083885204519</v>
      </c>
      <c r="M962" s="28" t="n">
        <v>30</v>
      </c>
      <c r="N962" s="28" t="n">
        <v>0</v>
      </c>
      <c r="O962" s="28" t="n">
        <v>11</v>
      </c>
      <c r="P962" s="30" t="n">
        <f>IF(AND(ISNUMBER(L962),L962&gt;0,COUNT(M962:O962)=3,MIN(M962:O962)&gt;=0),SUM(M962:O962)/L962,"")</f>
        <v>203.89500609807493</v>
      </c>
      <c r="Q962" s="16" t="str">
        <v>沿用原计划SKU店铺</v>
      </c>
      <c r="R962" s="16" t="str">
        <v>已匹配</v>
      </c>
      <c r="S962" s="16" t="str">
        <v>在售</v>
      </c>
      <c r="T962" s="16" t="str">
        <v>B06</v>
      </c>
      <c r="U962" s="16" t="str">
        <v>驼色羊京绒</v>
      </c>
      <c r="V962" s="16" t="n">
        <v>7</v>
      </c>
      <c r="W962" s="8" t="str">
        <v>2026-10-11 至 2026-10-17</v>
      </c>
      <c r="X962" s="8" t="str">
        <v>2026-10-11、2026-10-12、2026-10-13、2026-10-14、2026-10-15、2026-10-16、2026-10-17</v>
      </c>
      <c r="Y962" s="8" t="str">
        <v>无</v>
      </c>
      <c r="Z962" s="8" t="n">
        <v>3</v>
      </c>
      <c r="AA962" s="8" t="n">
        <v>0</v>
      </c>
      <c r="AB962" s="8" t="n">
        <v>7</v>
      </c>
      <c r="AC962" s="8" t="str">
        <v>2026-10-02 至 2026-10-17</v>
      </c>
      <c r="AD962" s="8" t="str">
        <v>2026-10-02、2026-10-03、2026-10-04、2026-10-05、2026-10-08、2026-10-09、2026-10-10、2026-10-11、2026-10-12、2026-10-13、2026-10-14、2026-10-15、2026-10-16、2026-10-17</v>
      </c>
      <c r="AE962" s="8" t="str">
        <v>2026-10-06 大促；2026-10-07 大促</v>
      </c>
      <c r="AF962" s="8" t="n">
        <v>6</v>
      </c>
      <c r="AG962" s="8" t="n">
        <v>3</v>
      </c>
      <c r="AH962" s="8" t="n">
        <v>14</v>
      </c>
      <c r="AI962" s="8" t="str">
        <v>2026-09-16 至 2026-10-17</v>
      </c>
      <c r="AJ9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2" s="8" t="str">
        <v>2026-10-06 大促；2026-10-07 大促</v>
      </c>
      <c r="AL962" s="8" t="n">
        <v>9</v>
      </c>
      <c r="AM962" s="8" t="n">
        <v>3</v>
      </c>
      <c r="AN962" s="8" t="n">
        <v>30</v>
      </c>
      <c r="AO962" s="8" t="str">
        <v>B06 / 驼色羊京绒 / 13120</v>
      </c>
      <c r="AP962" s="11" t="n">
        <v>1.2247029157699902</v>
      </c>
      <c r="AQ962" s="11" t="n">
        <v>1.2247029157699902</v>
      </c>
      <c r="AR962" s="11" t="n">
        <v>1.1136940657346173</v>
      </c>
      <c r="AS962" s="11" t="n">
        <f>IF(AND(COUNT(I962:K962,AP962:AR962)=6,MIN(AP962:AR962)&gt;0),I962/7/AP962*0.5+J962/14/AQ962*0.3+K962/30/AR962*0.2,"")</f>
        <v>0.26337691736239227</v>
      </c>
      <c r="AT962" s="8" t="n">
        <v>23</v>
      </c>
      <c r="AU962" s="8" t="n">
        <v>3</v>
      </c>
      <c r="AV962" s="8" t="n">
        <v>88</v>
      </c>
      <c r="AW962" s="11" t="n">
        <f>IF(AND(COUNT(AT962:AV962)=3,AT962&gt;=AU962,AU962&gt;=0,AV962&gt;0),(AT962-AU962)/AV962,"")</f>
        <v>0.22727272727272727</v>
      </c>
      <c r="AX962" s="8" t="n">
        <v>36</v>
      </c>
      <c r="AY962" s="8" t="n">
        <v>3</v>
      </c>
      <c r="AZ962" s="8" t="n">
        <v>178</v>
      </c>
      <c r="BA962" s="11" t="n">
        <f>IF(AND(COUNT(AX962:AZ962)=3,AX962&gt;=AY962,AY962&gt;=0,AZ962&gt;0),(AX962-AY962)/AZ962,"")</f>
        <v>0.1853932584269663</v>
      </c>
      <c r="BB962" s="8" t="n">
        <f>IF(COUNT(AS962,AW962,BA962)=3,1,0)</f>
        <v>1</v>
      </c>
      <c r="BC962" s="11" t="n">
        <f>IF(SUMIF($AO$11:$AO$1309,AO962,$BB$11:$BB$1309)=COUNTIF($AO$11:$AO$1309,AO962),SUMIF($AO$11:$AO$1309,AO962,$AS$11:$AS$1309),"")</f>
        <v>1.8230945493885915</v>
      </c>
      <c r="BD962" s="11" t="n">
        <f>IF(SUMIF($AO$11:$AO$1309,AO962,$BB$11:$BB$1309)=COUNTIF($AO$11:$AO$1309,AO962),SUMIF($AO$11:$AO$1309,AO962,$AW$11:$AW$1309),"")</f>
        <v>1.6395348837209305</v>
      </c>
      <c r="BE962" s="11" t="n">
        <f>IF(SUMIF($AO$11:$AO$1309,AO962,$BB$11:$BB$1309)=COUNTIF($AO$11:$AO$1309,AO962),SUMIF($AO$11:$AO$1309,AO962,$BA$11:$BA$1309),"")</f>
        <v>1.4846782431052095</v>
      </c>
      <c r="BF962" s="12" t="n">
        <f>IF(COUNT(BD962:BE962)&lt;&gt;2,"",IF(AND(BD962&gt;0,BE962&gt;0),0.7*AW962/BD962+0.3*BA962/BE962,IF(BD962&gt;0,AW962/BD962,IF(BE962&gt;0,BA962/BE962,IF(AND(ISNUMBER(BH962),BH962=0),0,"")))))</f>
        <v>0.13449547181185412</v>
      </c>
      <c r="BG962" s="11" t="n">
        <f>IF(AND(COUNT(BN962:BU962)=8,MIN(BN962:BU962)&gt;=0),SUMPRODUCT(BN962:BQ962,BR962:BU962),"")</f>
        <v>73.80791239847399</v>
      </c>
      <c r="BH962" s="11" t="n">
        <f>IF(COUNT(BC962,BG962)=2,BC962*BG962,"")</f>
        <v>134.55880279540858</v>
      </c>
      <c r="BI962" s="11" t="n">
        <f>IF(ISNUMBER(CI962),CI962,"")</f>
        <v>18.09754966840671</v>
      </c>
      <c r="BJ962" s="8" t="str">
        <v>低销提醒依据不完整</v>
      </c>
      <c r="BK962" s="8" t="str">
        <v>90天：2026-07-20 至 2026-10-17；180天：2026-04-21 至 2026-10-17</v>
      </c>
      <c r="BL962" s="8" t="str">
        <v>90天：2026-10-06、2026-10-07；180天：2026-10-06、2026-10-07</v>
      </c>
      <c r="BM962" s="8" t="str">
        <v>2026-10：12天 × 1.2247029157699902；2026-11：30天 × 0.8332682139098497；2026-12：31天 × 0.5511018253564084；2027-01：17天 × 1.0017220238758797</v>
      </c>
      <c r="BN962" s="11" t="n">
        <v>1.2247029157699902</v>
      </c>
      <c r="BO962" s="11" t="n">
        <v>0.8332682139098497</v>
      </c>
      <c r="BP962" s="11" t="n">
        <v>0.5511018253564084</v>
      </c>
      <c r="BQ962" s="11" t="n">
        <v>1.0017220238758797</v>
      </c>
      <c r="BR962" s="8" t="n">
        <v>12</v>
      </c>
      <c r="BS962" s="8" t="n">
        <v>30</v>
      </c>
      <c r="BT962" s="8" t="n">
        <v>31</v>
      </c>
      <c r="BU962" s="8" t="n">
        <v>17</v>
      </c>
      <c r="BV962" s="11" t="n">
        <f>IF(COUNT(BC962,BF962)=2,BC962*BF962,"")</f>
        <v>0.24519796157763818</v>
      </c>
      <c r="BW962" s="11" t="n">
        <f>IF(ISNUMBER(BN962),BN962,"")</f>
        <v>1.2247029157699902</v>
      </c>
      <c r="BX962" s="14" t="n">
        <f>IF(ISNUMBER(BR962),BR962,"")</f>
        <v>12</v>
      </c>
      <c r="BY962" s="13" t="n">
        <f>IF(AND(COUNT(BV962,BW962,BX962)=3,MIN(BV962,BW962,BX962)&gt;=0),BV962*BW962*BX962,"")</f>
        <v>3.6035359018198987</v>
      </c>
      <c r="BZ962" s="11" t="n">
        <f>IF(ISNUMBER(BO962),BO962,"")</f>
        <v>0.8332682139098497</v>
      </c>
      <c r="CA962" s="14" t="n">
        <f>IF(ISNUMBER(BS962),BS962,"")</f>
        <v>30</v>
      </c>
      <c r="CB962" s="13" t="n">
        <f>IF(AND(COUNT(BV962,BZ962,CA962)=3,MIN(BV962,BZ962,CA962)&gt;=0),BV962*BZ962*CA962,"")</f>
        <v>6.129470024944036</v>
      </c>
      <c r="CC962" s="11" t="n">
        <f>IF(ISNUMBER(BP962),BP962,"")</f>
        <v>0.5511018253564084</v>
      </c>
      <c r="CD962" s="14" t="n">
        <f>IF(ISNUMBER(BT962),BT962,"")</f>
        <v>31</v>
      </c>
      <c r="CE962" s="13" t="n">
        <f>IF(AND(COUNT(BV962,CC962,CD962)=3,MIN(BV962,CC962,CD962)&gt;=0),BV962*CC962*CD962,"")</f>
        <v>4.189000370172314</v>
      </c>
      <c r="CF962" s="11" t="n">
        <f>IF(ISNUMBER(BQ962),BQ962,"")</f>
        <v>1.0017220238758797</v>
      </c>
      <c r="CG962" s="14" t="n">
        <f>IF(ISNUMBER(BU962),BU962,"")</f>
        <v>17</v>
      </c>
      <c r="CH962" s="13" t="n">
        <f>IF(AND(COUNT(BV962,CF962,CG962)=3,MIN(BV962,CF962,CG962)&gt;=0),BV962*CF962*CG962,"")</f>
        <v>4.175543371470463</v>
      </c>
      <c r="CI962" s="13" t="n">
        <f>IF(COUNT(BY962,CB962,CE962,CH962)=4,SUM(BY962,CB962,CE962,CH962),"")</f>
        <v>18.09754966840671</v>
      </c>
    </row>
    <row r="963" ht="72" customHeight="1">
      <c r="A963" s="16" t="str">
        <v>B06-TN-39-N</v>
      </c>
      <c r="B963" s="16" t="str">
        <v>1店-MUSSHOE-US</v>
      </c>
      <c r="C963" s="16" t="str">
        <v>艾年</v>
      </c>
      <c r="D963" s="26" t="n">
        <f>IF(NOT(ISNUMBER(E963)),"",IF(OR(E963&lt;=0,L963=0),0,IF(OR(NOT(ISNUMBER(F963)),F963&lt;0),"",MIN(E963,INT(F963)))))</f>
        <v>0</v>
      </c>
      <c r="E963" s="27" t="n">
        <f>IF(OR(NOT(ISNUMBER(L963)),COUNT(M963:O963)&lt;&gt;3,MIN(M963:O963)&lt;0),"",ROUNDUP(ROUND(BI963-SUM(M963:O963),10),0))</f>
        <v>-27</v>
      </c>
      <c r="F963" s="28" t="n">
        <v>0</v>
      </c>
      <c r="G963" s="28" t="n">
        <f>IF(AND(ISNUMBER(D963),ISNUMBER(E963)),IF(OR(E963&lt;=0,L963=0),0,E963-D963),"")</f>
        <v>0</v>
      </c>
      <c r="H963" s="16" t="str">
        <f>IF(NOT(ISNUMBER(E963)),"销量或海外库存待补",IF(OR(E963&lt;=0,L963=0),IF(L963=0,"零日销，本批不发","本批无需补货"),IF(NOT(ISNUMBER(D963)),"国内库存待补",IF(D963=0,"国内无可用库存",IF(G963&gt;0,"先发国内现货","按建议量发货")))))</f>
        <v>本批无需补货</v>
      </c>
      <c r="I963" s="28" t="n">
        <f>IF(AND(COUNT(Z963,AA963,AB963)=3,Z963&gt;=AA963,AA963&gt;=0,AB963=7),Z963-AA963,"")</f>
        <v>5</v>
      </c>
      <c r="J963" s="28" t="n">
        <f>IF(AND(COUNT(AF963,AG963,AH963)=3,AF963&gt;=AG963,AG963&gt;=0,AH963=14),AF963-AG963,"")</f>
        <v>8</v>
      </c>
      <c r="K963" s="28" t="n">
        <f>IF(AND(COUNT(AL963,AM963,AN963)=3,AL963&gt;=AM963,AM963&gt;=0,AN963=30),AL963-AM963,"")</f>
        <v>13</v>
      </c>
      <c r="L963" s="29" t="n">
        <f>IF(ISNUMBER(BI963),BI963/90,"")</f>
        <v>0.31821432466806576</v>
      </c>
      <c r="M963" s="28" t="n">
        <v>27</v>
      </c>
      <c r="N963" s="28" t="n">
        <v>0</v>
      </c>
      <c r="O963" s="28" t="n">
        <v>28</v>
      </c>
      <c r="P963" s="30" t="n">
        <f>IF(AND(ISNUMBER(L963),L963&gt;0,COUNT(M963:O963)=3,MIN(M963:O963)&gt;=0),SUM(M963:O963)/L963,"")</f>
        <v>172.839485014923</v>
      </c>
      <c r="Q963" s="16" t="str">
        <v>沿用原计划SKU店铺</v>
      </c>
      <c r="R963" s="16" t="str">
        <v>已匹配</v>
      </c>
      <c r="S963" s="16" t="str">
        <v>在售</v>
      </c>
      <c r="T963" s="16" t="str">
        <v>B06</v>
      </c>
      <c r="U963" s="16" t="str">
        <v>驼色羊京绒</v>
      </c>
      <c r="V963" s="16" t="n">
        <v>8</v>
      </c>
      <c r="W963" s="8" t="str">
        <v>2026-10-11 至 2026-10-17</v>
      </c>
      <c r="X963" s="8" t="str">
        <v>2026-10-11、2026-10-12、2026-10-13、2026-10-14、2026-10-15、2026-10-16、2026-10-17</v>
      </c>
      <c r="Y963" s="8" t="str">
        <v>无</v>
      </c>
      <c r="Z963" s="8" t="n">
        <v>5</v>
      </c>
      <c r="AA963" s="8" t="n">
        <v>0</v>
      </c>
      <c r="AB963" s="8" t="n">
        <v>7</v>
      </c>
      <c r="AC963" s="8" t="str">
        <v>2026-10-02 至 2026-10-17</v>
      </c>
      <c r="AD963" s="8" t="str">
        <v>2026-10-02、2026-10-03、2026-10-04、2026-10-05、2026-10-08、2026-10-09、2026-10-10、2026-10-11、2026-10-12、2026-10-13、2026-10-14、2026-10-15、2026-10-16、2026-10-17</v>
      </c>
      <c r="AE963" s="8" t="str">
        <v>2026-10-06 大促；2026-10-07 大促</v>
      </c>
      <c r="AF963" s="8" t="n">
        <v>12</v>
      </c>
      <c r="AG963" s="8" t="n">
        <v>4</v>
      </c>
      <c r="AH963" s="8" t="n">
        <v>14</v>
      </c>
      <c r="AI963" s="8" t="str">
        <v>2026-09-16 至 2026-10-17</v>
      </c>
      <c r="AJ9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3" s="8" t="str">
        <v>2026-10-06 大促；2026-10-07 大促</v>
      </c>
      <c r="AL963" s="8" t="n">
        <v>17</v>
      </c>
      <c r="AM963" s="8" t="n">
        <v>4</v>
      </c>
      <c r="AN963" s="8" t="n">
        <v>30</v>
      </c>
      <c r="AO963" s="8" t="str">
        <v>B06 / 驼色羊京绒 / 13120</v>
      </c>
      <c r="AP963" s="11" t="n">
        <v>1.2247029157699902</v>
      </c>
      <c r="AQ963" s="11" t="n">
        <v>1.2247029157699902</v>
      </c>
      <c r="AR963" s="11" t="n">
        <v>1.1136940657346173</v>
      </c>
      <c r="AS963" s="11" t="n">
        <f>IF(AND(COUNT(I963:K963,AP963:AR963)=6,MIN(AP963:AR963)&gt;0),I963/7/AP963*0.5+J963/14/AQ963*0.3+K963/30/AR963*0.2,"")</f>
        <v>0.5094106461959917</v>
      </c>
      <c r="AT963" s="8" t="n">
        <v>35</v>
      </c>
      <c r="AU963" s="8" t="n">
        <v>4</v>
      </c>
      <c r="AV963" s="8" t="n">
        <v>88</v>
      </c>
      <c r="AW963" s="11" t="n">
        <f>IF(AND(COUNT(AT963:AV963)=3,AT963&gt;=AU963,AU963&gt;=0,AV963&gt;0),(AT963-AU963)/AV963,"")</f>
        <v>0.3522727272727273</v>
      </c>
      <c r="AX963" s="8" t="n">
        <v>59</v>
      </c>
      <c r="AY963" s="8" t="n">
        <v>4</v>
      </c>
      <c r="AZ963" s="8" t="n">
        <v>178</v>
      </c>
      <c r="BA963" s="11" t="n">
        <f>IF(AND(COUNT(AX963:AZ963)=3,AX963&gt;=AY963,AY963&gt;=0,AZ963&gt;0),(AX963-AY963)/AZ963,"")</f>
        <v>0.3089887640449438</v>
      </c>
      <c r="BB963" s="8" t="n">
        <f>IF(COUNT(AS963,AW963,BA963)=3,1,0)</f>
        <v>1</v>
      </c>
      <c r="BC963" s="11" t="n">
        <f>IF(SUMIF($AO$11:$AO$1309,AO963,$BB$11:$BB$1309)=COUNTIF($AO$11:$AO$1309,AO963),SUMIF($AO$11:$AO$1309,AO963,$AS$11:$AS$1309),"")</f>
        <v>1.8230945493885915</v>
      </c>
      <c r="BD963" s="11" t="n">
        <f>IF(SUMIF($AO$11:$AO$1309,AO963,$BB$11:$BB$1309)=COUNTIF($AO$11:$AO$1309,AO963),SUMIF($AO$11:$AO$1309,AO963,$AW$11:$AW$1309),"")</f>
        <v>1.6395348837209305</v>
      </c>
      <c r="BE963" s="11" t="n">
        <f>IF(SUMIF($AO$11:$AO$1309,AO963,$BB$11:$BB$1309)=COUNTIF($AO$11:$AO$1309,AO963),SUMIF($AO$11:$AO$1309,AO963,$BA$11:$BA$1309),"")</f>
        <v>1.4846782431052095</v>
      </c>
      <c r="BF963" s="12" t="n">
        <f>IF(COUNT(BD963:BE963)&lt;&gt;2,"",IF(AND(BD963&gt;0,BE963&gt;0),0.7*AW963/BD963+0.3*BA963/BE963,IF(BD963&gt;0,AW963/BD963,IF(BE963&gt;0,BA963/BE963,IF(AND(ISNUMBER(BH963),BH963=0),0,"")))))</f>
        <v>0.21283846634449358</v>
      </c>
      <c r="BG963" s="11" t="n">
        <f>IF(AND(COUNT(BN963:BU963)=8,MIN(BN963:BU963)&gt;=0),SUMPRODUCT(BN963:BQ963,BR963:BU963),"")</f>
        <v>73.80791239847399</v>
      </c>
      <c r="BH963" s="11" t="n">
        <f>IF(COUNT(BC963,BG963)=2,BC963*BG963,"")</f>
        <v>134.55880279540858</v>
      </c>
      <c r="BI963" s="11" t="n">
        <f>IF(ISNUMBER(CI963),CI963,"")</f>
        <v>28.639289220125917</v>
      </c>
      <c r="BJ963" s="8" t="str">
        <v>低销提醒依据不完整</v>
      </c>
      <c r="BK963" s="8" t="str">
        <v>90天：2026-07-20 至 2026-10-17；180天：2026-04-21 至 2026-10-17</v>
      </c>
      <c r="BL963" s="8" t="str">
        <v>90天：2026-10-06、2026-10-07；180天：2026-10-06、2026-10-07</v>
      </c>
      <c r="BM963" s="8" t="str">
        <v>2026-10：12天 × 1.2247029157699902；2026-11：30天 × 0.8332682139098497；2026-12：31天 × 0.5511018253564084；2027-01：17天 × 1.0017220238758797</v>
      </c>
      <c r="BN963" s="11" t="n">
        <v>1.2247029157699902</v>
      </c>
      <c r="BO963" s="11" t="n">
        <v>0.8332682139098497</v>
      </c>
      <c r="BP963" s="11" t="n">
        <v>0.5511018253564084</v>
      </c>
      <c r="BQ963" s="11" t="n">
        <v>1.0017220238758797</v>
      </c>
      <c r="BR963" s="8" t="n">
        <v>12</v>
      </c>
      <c r="BS963" s="8" t="n">
        <v>30</v>
      </c>
      <c r="BT963" s="8" t="n">
        <v>31</v>
      </c>
      <c r="BU963" s="8" t="n">
        <v>17</v>
      </c>
      <c r="BV963" s="11" t="n">
        <f>IF(COUNT(BC963,BF963)=2,BC963*BF963,"")</f>
        <v>0.38802464789287344</v>
      </c>
      <c r="BW963" s="11" t="n">
        <f>IF(ISNUMBER(BN963),BN963,"")</f>
        <v>1.2247029157699902</v>
      </c>
      <c r="BX963" s="14" t="n">
        <f>IF(ISNUMBER(BR963),BR963,"")</f>
        <v>12</v>
      </c>
      <c r="BY963" s="13" t="n">
        <f>IF(AND(COUNT(BV963,BW963,BX963)=3,MIN(BV963,BW963,BX963)&gt;=0),BV963*BW963*BX963,"")</f>
        <v>5.70257901198031</v>
      </c>
      <c r="BZ963" s="11" t="n">
        <f>IF(ISNUMBER(BO963),BO963,"")</f>
        <v>0.8332682139098497</v>
      </c>
      <c r="CA963" s="14" t="n">
        <f>IF(ISNUMBER(BS963),BS963,"")</f>
        <v>30</v>
      </c>
      <c r="CB963" s="13" t="n">
        <f>IF(AND(COUNT(BV963,BZ963,CA963)=3,MIN(BV963,BZ963,CA963)&gt;=0),BV963*BZ963*CA963,"")</f>
        <v>9.699858159080788</v>
      </c>
      <c r="CC963" s="11" t="n">
        <f>IF(ISNUMBER(BP963),BP963,"")</f>
        <v>0.5511018253564084</v>
      </c>
      <c r="CD963" s="14" t="n">
        <f>IF(ISNUMBER(BT963),BT963,"")</f>
        <v>31</v>
      </c>
      <c r="CE963" s="13" t="n">
        <f>IF(AND(COUNT(BV963,CC963,CD963)=3,MIN(BV963,CC963,CD963)&gt;=0),BV963*CC963*CD963,"")</f>
        <v>6.6290738438482455</v>
      </c>
      <c r="CF963" s="11" t="n">
        <f>IF(ISNUMBER(BQ963),BQ963,"")</f>
        <v>1.0017220238758797</v>
      </c>
      <c r="CG963" s="14" t="n">
        <f>IF(ISNUMBER(BU963),BU963,"")</f>
        <v>17</v>
      </c>
      <c r="CH963" s="13" t="n">
        <f>IF(AND(COUNT(BV963,CF963,CG963)=3,MIN(BV963,CF963,CG963)&gt;=0),BV963*CF963*CG963,"")</f>
        <v>6.607778205216571</v>
      </c>
      <c r="CI963" s="13" t="n">
        <f>IF(COUNT(BY963,CB963,CE963,CH963)=4,SUM(BY963,CB963,CE963,CH963),"")</f>
        <v>28.639289220125917</v>
      </c>
    </row>
    <row r="964" ht="72" customHeight="1">
      <c r="A964" s="16" t="str">
        <v>B06-TN-40-N</v>
      </c>
      <c r="B964" s="16" t="str">
        <v>1店-MUSSHOE-US</v>
      </c>
      <c r="C964" s="16" t="str">
        <v>艾年</v>
      </c>
      <c r="D964" s="26" t="n">
        <f>IF(NOT(ISNUMBER(E964)),"",IF(OR(E964&lt;=0,L964=0),0,IF(OR(NOT(ISNUMBER(F964)),F964&lt;0),"",MIN(E964,INT(F964)))))</f>
        <v>0</v>
      </c>
      <c r="E964" s="27" t="n">
        <f>IF(OR(NOT(ISNUMBER(L964)),COUNT(M964:O964)&lt;&gt;3,MIN(M964:O964)&lt;0),"",ROUNDUP(ROUND(BI964-SUM(M964:O964),10),0))</f>
        <v>-28</v>
      </c>
      <c r="F964" s="28" t="n">
        <v>12</v>
      </c>
      <c r="G964" s="28" t="n">
        <f>IF(AND(ISNUMBER(D964),ISNUMBER(E964)),IF(OR(E964&lt;=0,L964=0),0,E964-D964),"")</f>
        <v>0</v>
      </c>
      <c r="H964" s="16" t="str">
        <f>IF(NOT(ISNUMBER(E964)),"销量或海外库存待补",IF(OR(E964&lt;=0,L964=0),IF(L964=0,"零日销，本批不发","本批无需补货"),IF(NOT(ISNUMBER(D964)),"国内库存待补",IF(D964=0,"国内无可用库存",IF(G964&gt;0,"先发国内现货","按建议量发货")))))</f>
        <v>本批无需补货</v>
      </c>
      <c r="I964" s="28" t="n">
        <f>IF(AND(COUNT(Z964,AA964,AB964)=3,Z964&gt;=AA964,AA964&gt;=0,AB964=7),Z964-AA964,"")</f>
        <v>1</v>
      </c>
      <c r="J964" s="28" t="n">
        <f>IF(AND(COUNT(AF964,AG964,AH964)=3,AF964&gt;=AG964,AG964&gt;=0,AH964=14),AF964-AG964,"")</f>
        <v>2</v>
      </c>
      <c r="K964" s="28" t="n">
        <f>IF(AND(COUNT(AL964,AM964,AN964)=3,AL964&gt;=AM964,AM964&gt;=0,AN964=30),AL964-AM964,"")</f>
        <v>3</v>
      </c>
      <c r="L964" s="29" t="n">
        <f>IF(ISNUMBER(BI964),BI964/90,"")</f>
        <v>0.15077232622660788</v>
      </c>
      <c r="M964" s="28" t="n">
        <v>29</v>
      </c>
      <c r="N964" s="28" t="n">
        <v>6</v>
      </c>
      <c r="O964" s="28" t="n">
        <v>6</v>
      </c>
      <c r="P964" s="30" t="n">
        <f>IF(AND(ISNUMBER(L964),L964&gt;0,COUNT(M964:O964)=3,MIN(M964:O964)&gt;=0),SUM(M964:O964)/L964,"")</f>
        <v>271.93319242403805</v>
      </c>
      <c r="Q964" s="16" t="str">
        <v>沿用原计划SKU店铺</v>
      </c>
      <c r="R964" s="16" t="str">
        <v>已匹配</v>
      </c>
      <c r="S964" s="16" t="str">
        <v>在售</v>
      </c>
      <c r="T964" s="16" t="str">
        <v>B06</v>
      </c>
      <c r="U964" s="16" t="str">
        <v>驼色羊京绒</v>
      </c>
      <c r="V964" s="16" t="n">
        <v>9</v>
      </c>
      <c r="W964" s="8" t="str">
        <v>2026-10-11 至 2026-10-17</v>
      </c>
      <c r="X964" s="8" t="str">
        <v>2026-10-11、2026-10-12、2026-10-13、2026-10-14、2026-10-15、2026-10-16、2026-10-17</v>
      </c>
      <c r="Y964" s="8" t="str">
        <v>无</v>
      </c>
      <c r="Z964" s="8" t="n">
        <v>1</v>
      </c>
      <c r="AA964" s="8" t="n">
        <v>0</v>
      </c>
      <c r="AB964" s="8" t="n">
        <v>7</v>
      </c>
      <c r="AC964" s="8" t="str">
        <v>2026-10-02 至 2026-10-17</v>
      </c>
      <c r="AD964" s="8" t="str">
        <v>2026-10-02、2026-10-03、2026-10-04、2026-10-05、2026-10-08、2026-10-09、2026-10-10、2026-10-11、2026-10-12、2026-10-13、2026-10-14、2026-10-15、2026-10-16、2026-10-17</v>
      </c>
      <c r="AE964" s="8" t="str">
        <v>2026-10-06 大促；2026-10-07 大促</v>
      </c>
      <c r="AF964" s="8" t="n">
        <v>3</v>
      </c>
      <c r="AG964" s="8" t="n">
        <v>1</v>
      </c>
      <c r="AH964" s="8" t="n">
        <v>14</v>
      </c>
      <c r="AI964" s="8" t="str">
        <v>2026-09-16 至 2026-10-17</v>
      </c>
      <c r="AJ9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4" s="8" t="str">
        <v>2026-10-06 大促；2026-10-07 大促</v>
      </c>
      <c r="AL964" s="8" t="n">
        <v>4</v>
      </c>
      <c r="AM964" s="8" t="n">
        <v>1</v>
      </c>
      <c r="AN964" s="8" t="n">
        <v>30</v>
      </c>
      <c r="AO964" s="8" t="str">
        <v>B06 / 驼色羊京绒 / 13120</v>
      </c>
      <c r="AP964" s="11" t="n">
        <v>1.2247029157699902</v>
      </c>
      <c r="AQ964" s="11" t="n">
        <v>1.2247029157699902</v>
      </c>
      <c r="AR964" s="11" t="n">
        <v>1.1136940657346173</v>
      </c>
      <c r="AS964" s="11" t="n">
        <f>IF(AND(COUNT(I964:K964,AP964:AR964)=6,MIN(AP964:AR964)&gt;0),I964/7/AP964*0.5+J964/14/AQ964*0.3+K964/30/AR964*0.2,"")</f>
        <v>0.11127534487368787</v>
      </c>
      <c r="AT964" s="8" t="n">
        <v>15</v>
      </c>
      <c r="AU964" s="8" t="n">
        <v>1</v>
      </c>
      <c r="AV964" s="8" t="n">
        <v>88</v>
      </c>
      <c r="AW964" s="11" t="n">
        <f>IF(AND(COUNT(AT964:AV964)=3,AT964&gt;=AU964,AU964&gt;=0,AV964&gt;0),(AT964-AU964)/AV964,"")</f>
        <v>0.1590909090909091</v>
      </c>
      <c r="AX964" s="8" t="n">
        <v>30</v>
      </c>
      <c r="AY964" s="8" t="n">
        <v>1</v>
      </c>
      <c r="AZ964" s="8" t="n">
        <v>178</v>
      </c>
      <c r="BA964" s="11" t="n">
        <f>IF(AND(COUNT(AX964:AZ964)=3,AX964&gt;=AY964,AY964&gt;=0,AZ964&gt;0),(AX964-AY964)/AZ964,"")</f>
        <v>0.16292134831460675</v>
      </c>
      <c r="BB964" s="8" t="n">
        <f>IF(COUNT(AS964,AW964,BA964)=3,1,0)</f>
        <v>1</v>
      </c>
      <c r="BC964" s="11" t="n">
        <f>IF(SUMIF($AO$11:$AO$1309,AO964,$BB$11:$BB$1309)=COUNTIF($AO$11:$AO$1309,AO964),SUMIF($AO$11:$AO$1309,AO964,$AS$11:$AS$1309),"")</f>
        <v>1.8230945493885915</v>
      </c>
      <c r="BD964" s="11" t="n">
        <f>IF(SUMIF($AO$11:$AO$1309,AO964,$BB$11:$BB$1309)=COUNTIF($AO$11:$AO$1309,AO964),SUMIF($AO$11:$AO$1309,AO964,$AW$11:$AW$1309),"")</f>
        <v>1.6395348837209305</v>
      </c>
      <c r="BE964" s="11" t="n">
        <f>IF(SUMIF($AO$11:$AO$1309,AO964,$BB$11:$BB$1309)=COUNTIF($AO$11:$AO$1309,AO964),SUMIF($AO$11:$AO$1309,AO964,$BA$11:$BA$1309),"")</f>
        <v>1.4846782431052095</v>
      </c>
      <c r="BF964" s="12" t="n">
        <f>IF(COUNT(BD964:BE964)&lt;&gt;2,"",IF(AND(BD964&gt;0,BE964&gt;0),0.7*AW964/BD964+0.3*BA964/BE964,IF(BD964&gt;0,AW964/BD964,IF(BE964&gt;0,BA964/BE964,IF(AND(ISNUMBER(BH964),BH964=0),0,"")))))</f>
        <v>0.10084445668728653</v>
      </c>
      <c r="BG964" s="11" t="n">
        <f>IF(AND(COUNT(BN964:BU964)=8,MIN(BN964:BU964)&gt;=0),SUMPRODUCT(BN964:BQ964,BR964:BU964),"")</f>
        <v>73.80791239847399</v>
      </c>
      <c r="BH964" s="11" t="n">
        <f>IF(COUNT(BC964,BG964)=2,BC964*BG964,"")</f>
        <v>134.55880279540858</v>
      </c>
      <c r="BI964" s="11" t="n">
        <f>IF(ISNUMBER(CI964),CI964,"")</f>
        <v>13.56950936039471</v>
      </c>
      <c r="BJ964" s="8" t="str">
        <v>低销提醒依据不完整</v>
      </c>
      <c r="BK964" s="8" t="str">
        <v>90天：2026-07-20 至 2026-10-17；180天：2026-04-21 至 2026-10-17</v>
      </c>
      <c r="BL964" s="8" t="str">
        <v>90天：2026-10-06、2026-10-07；180天：2026-10-06、2026-10-07</v>
      </c>
      <c r="BM964" s="8" t="str">
        <v>2026-10：12天 × 1.2247029157699902；2026-11：30天 × 0.8332682139098497；2026-12：31天 × 0.5511018253564084；2027-01：17天 × 1.0017220238758797</v>
      </c>
      <c r="BN964" s="11" t="n">
        <v>1.2247029157699902</v>
      </c>
      <c r="BO964" s="11" t="n">
        <v>0.8332682139098497</v>
      </c>
      <c r="BP964" s="11" t="n">
        <v>0.5511018253564084</v>
      </c>
      <c r="BQ964" s="11" t="n">
        <v>1.0017220238758797</v>
      </c>
      <c r="BR964" s="8" t="n">
        <v>12</v>
      </c>
      <c r="BS964" s="8" t="n">
        <v>30</v>
      </c>
      <c r="BT964" s="8" t="n">
        <v>31</v>
      </c>
      <c r="BU964" s="8" t="n">
        <v>17</v>
      </c>
      <c r="BV964" s="11" t="n">
        <f>IF(COUNT(BC964,BF964)=2,BC964*BF964,"")</f>
        <v>0.18384897932264596</v>
      </c>
      <c r="BW964" s="11" t="n">
        <f>IF(ISNUMBER(BN964),BN964,"")</f>
        <v>1.2247029157699902</v>
      </c>
      <c r="BX964" s="14" t="n">
        <f>IF(ISNUMBER(BR964),BR964,"")</f>
        <v>12</v>
      </c>
      <c r="BY964" s="13" t="n">
        <f>IF(AND(COUNT(BV964,BW964,BX964)=3,MIN(BV964,BW964,BX964)&gt;=0),BV964*BW964*BX964,"")</f>
        <v>2.701924572453374</v>
      </c>
      <c r="BZ964" s="11" t="n">
        <f>IF(ISNUMBER(BO964),BO964,"")</f>
        <v>0.8332682139098497</v>
      </c>
      <c r="CA964" s="14" t="n">
        <f>IF(ISNUMBER(BS964),BS964,"")</f>
        <v>30</v>
      </c>
      <c r="CB964" s="13" t="n">
        <f>IF(AND(COUNT(BV964,BZ964,CA964)=3,MIN(BV964,BZ964,CA964)&gt;=0),BV964*BZ964*CA964,"")</f>
        <v>4.595865318879903</v>
      </c>
      <c r="CC964" s="11" t="n">
        <f>IF(ISNUMBER(BP964),BP964,"")</f>
        <v>0.5511018253564084</v>
      </c>
      <c r="CD964" s="14" t="n">
        <f>IF(ISNUMBER(BT964),BT964,"")</f>
        <v>31</v>
      </c>
      <c r="CE964" s="13" t="n">
        <f>IF(AND(COUNT(BV964,CC964,CD964)=3,MIN(BV964,CC964,CD964)&gt;=0),BV964*CC964*CD964,"")</f>
        <v>3.1409047509333057</v>
      </c>
      <c r="CF964" s="11" t="n">
        <f>IF(ISNUMBER(BQ964),BQ964,"")</f>
        <v>1.0017220238758797</v>
      </c>
      <c r="CG964" s="14" t="n">
        <f>IF(ISNUMBER(BU964),BU964,"")</f>
        <v>17</v>
      </c>
      <c r="CH964" s="13" t="n">
        <f>IF(AND(COUNT(BV964,CF964,CG964)=3,MIN(BV964,CF964,CG964)&gt;=0),BV964*CF964*CG964,"")</f>
        <v>3.1308147181281267</v>
      </c>
      <c r="CI964" s="13" t="n">
        <f>IF(COUNT(BY964,CB964,CE964,CH964)=4,SUM(BY964,CB964,CE964,CH964),"")</f>
        <v>13.56950936039471</v>
      </c>
    </row>
    <row r="965" ht="72" customHeight="1">
      <c r="A965" s="16" t="str">
        <v>B06-TN-40.5</v>
      </c>
      <c r="B965" s="16" t="str">
        <v>1店-MUSSHOE-US</v>
      </c>
      <c r="C965" s="16" t="str">
        <v>艾年</v>
      </c>
      <c r="D965" s="26" t="n">
        <f>IF(NOT(ISNUMBER(E965)),"",IF(OR(E965&lt;=0,L965=0),0,IF(OR(NOT(ISNUMBER(F965)),F965&lt;0),"",MIN(E965,INT(F965)))))</f>
        <v>0</v>
      </c>
      <c r="E965" s="27" t="n">
        <f>IF(OR(NOT(ISNUMBER(L965)),COUNT(M965:O965)&lt;&gt;3,MIN(M965:O965)&lt;0),"",ROUNDUP(ROUND(BI965-SUM(M965:O965),10),0))</f>
        <v>-18</v>
      </c>
      <c r="F965" s="28" t="n">
        <v>0</v>
      </c>
      <c r="G965" s="28" t="n">
        <f>IF(AND(ISNUMBER(D965),ISNUMBER(E965)),IF(OR(E965&lt;=0,L965=0),0,E965-D965),"")</f>
        <v>0</v>
      </c>
      <c r="H965" s="16" t="str">
        <f>IF(NOT(ISNUMBER(E965)),"销量或海外库存待补",IF(OR(E965&lt;=0,L965=0),IF(L965=0,"零日销，本批不发","本批无需补货"),IF(NOT(ISNUMBER(D965)),"国内库存待补",IF(D965=0,"国内无可用库存",IF(G965&gt;0,"先发国内现货","按建议量发货")))))</f>
        <v>本批无需补货</v>
      </c>
      <c r="I965" s="28" t="n">
        <f>IF(AND(COUNT(Z965,AA965,AB965)=3,Z965&gt;=AA965,AA965&gt;=0,AB965=7),Z965-AA965,"")</f>
        <v>0</v>
      </c>
      <c r="J965" s="28" t="n">
        <f>IF(AND(COUNT(AF965,AG965,AH965)=3,AF965&gt;=AG965,AG965&gt;=0,AH965=14),AF965-AG965,"")</f>
        <v>0</v>
      </c>
      <c r="K965" s="28" t="n">
        <f>IF(AND(COUNT(AL965,AM965,AN965)=3,AL965&gt;=AM965,AM965&gt;=0,AN965=30),AL965-AM965,"")</f>
        <v>2</v>
      </c>
      <c r="L965" s="29" t="n">
        <f>IF(ISNUMBER(BI965),BI965/90,"")</f>
        <v>0.03919844416801113</v>
      </c>
      <c r="M965" s="28" t="n">
        <v>4</v>
      </c>
      <c r="N965" s="28" t="n">
        <v>0</v>
      </c>
      <c r="O965" s="28" t="n">
        <v>17</v>
      </c>
      <c r="P965" s="30" t="n">
        <f>IF(AND(ISNUMBER(L965),L965&gt;0,COUNT(M965:O965)=3,MIN(M965:O965)&gt;=0),SUM(M965:O965)/L965,"")</f>
        <v>535.7355488393995</v>
      </c>
      <c r="Q965" s="16" t="str">
        <v>沿用原计划SKU店铺</v>
      </c>
      <c r="R965" s="16" t="str">
        <v>已匹配</v>
      </c>
      <c r="S965" s="16" t="str">
        <v>在售</v>
      </c>
      <c r="T965" s="16" t="str">
        <v>B06</v>
      </c>
      <c r="U965" s="16" t="str">
        <v>驼色羊京绒</v>
      </c>
      <c r="V965" s="16" t="n">
        <v>9.5</v>
      </c>
      <c r="W965" s="8" t="str">
        <v>2026-10-11 至 2026-10-17</v>
      </c>
      <c r="X965" s="8" t="str">
        <v>2026-10-11、2026-10-12、2026-10-13、2026-10-14、2026-10-15、2026-10-16、2026-10-17</v>
      </c>
      <c r="Y965" s="8" t="str">
        <v>无</v>
      </c>
      <c r="Z965" s="8" t="n">
        <v>0</v>
      </c>
      <c r="AA965" s="8" t="n">
        <v>0</v>
      </c>
      <c r="AB965" s="8" t="n">
        <v>7</v>
      </c>
      <c r="AC965" s="8" t="str">
        <v>2026-10-02 至 2026-10-17</v>
      </c>
      <c r="AD965" s="8" t="str">
        <v>2026-10-02、2026-10-03、2026-10-04、2026-10-05、2026-10-08、2026-10-09、2026-10-10、2026-10-11、2026-10-12、2026-10-13、2026-10-14、2026-10-15、2026-10-16、2026-10-17</v>
      </c>
      <c r="AE965" s="8" t="str">
        <v>2026-10-06 大促；2026-10-07 大促</v>
      </c>
      <c r="AF965" s="8" t="n">
        <v>0</v>
      </c>
      <c r="AG965" s="8" t="n">
        <v>0</v>
      </c>
      <c r="AH965" s="8" t="n">
        <v>14</v>
      </c>
      <c r="AI965" s="8" t="str">
        <v>2026-09-16 至 2026-10-17</v>
      </c>
      <c r="AJ9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5" s="8" t="str">
        <v>2026-10-06 大促；2026-10-07 大促</v>
      </c>
      <c r="AL965" s="8" t="n">
        <v>2</v>
      </c>
      <c r="AM965" s="8" t="n">
        <v>0</v>
      </c>
      <c r="AN965" s="8" t="n">
        <v>30</v>
      </c>
      <c r="AO965" s="8" t="str">
        <v>B06 / 驼色羊京绒 / 13120</v>
      </c>
      <c r="AP965" s="11" t="n">
        <v>1.2247029157699902</v>
      </c>
      <c r="AQ965" s="11" t="n">
        <v>1.2247029157699902</v>
      </c>
      <c r="AR965" s="11" t="n">
        <v>1.1136940657346173</v>
      </c>
      <c r="AS965" s="11" t="n">
        <f>IF(AND(COUNT(I965:K965,AP965:AR965)=6,MIN(AP965:AR965)&gt;0),I965/7/AP965*0.5+J965/14/AQ965*0.3+K965/30/AR965*0.2,"")</f>
        <v>0.011972168788147733</v>
      </c>
      <c r="AT965" s="8" t="n">
        <v>4</v>
      </c>
      <c r="AU965" s="8" t="n">
        <v>0</v>
      </c>
      <c r="AV965" s="8" t="n">
        <v>88</v>
      </c>
      <c r="AW965" s="11" t="n">
        <f>IF(AND(COUNT(AT965:AV965)=3,AT965&gt;=AU965,AU965&gt;=0,AV965&gt;0),(AT965-AU965)/AV965,"")</f>
        <v>0.045454545454545456</v>
      </c>
      <c r="AX965" s="8" t="n">
        <v>6</v>
      </c>
      <c r="AY965" s="8" t="n">
        <v>0</v>
      </c>
      <c r="AZ965" s="8" t="n">
        <v>178</v>
      </c>
      <c r="BA965" s="11" t="n">
        <f>IF(AND(COUNT(AX965:AZ965)=3,AX965&gt;=AY965,AY965&gt;=0,AZ965&gt;0),(AX965-AY965)/AZ965,"")</f>
        <v>0.033707865168539325</v>
      </c>
      <c r="BB965" s="8" t="n">
        <f>IF(COUNT(AS965,AW965,BA965)=3,1,0)</f>
        <v>1</v>
      </c>
      <c r="BC965" s="11" t="n">
        <f>IF(SUMIF($AO$11:$AO$1309,AO965,$BB$11:$BB$1309)=COUNTIF($AO$11:$AO$1309,AO965),SUMIF($AO$11:$AO$1309,AO965,$AS$11:$AS$1309),"")</f>
        <v>1.8230945493885915</v>
      </c>
      <c r="BD965" s="11" t="n">
        <f>IF(SUMIF($AO$11:$AO$1309,AO965,$BB$11:$BB$1309)=COUNTIF($AO$11:$AO$1309,AO965),SUMIF($AO$11:$AO$1309,AO965,$AW$11:$AW$1309),"")</f>
        <v>1.6395348837209305</v>
      </c>
      <c r="BE965" s="11" t="n">
        <f>IF(SUMIF($AO$11:$AO$1309,AO965,$BB$11:$BB$1309)=COUNTIF($AO$11:$AO$1309,AO965),SUMIF($AO$11:$AO$1309,AO965,$BA$11:$BA$1309),"")</f>
        <v>1.4846782431052095</v>
      </c>
      <c r="BF965" s="12" t="n">
        <f>IF(COUNT(BD965:BE965)&lt;&gt;2,"",IF(AND(BD965&gt;0,BE965&gt;0),0.7*AW965/BD965+0.3*BA965/BE965,IF(BD965&gt;0,AW965/BD965,IF(BE965&gt;0,BA965/BE965,IF(AND(ISNUMBER(BH965),BH965=0),0,"")))))</f>
        <v>0.02621797981128723</v>
      </c>
      <c r="BG965" s="11" t="n">
        <f>IF(AND(COUNT(BN965:BU965)=8,MIN(BN965:BU965)&gt;=0),SUMPRODUCT(BN965:BQ965,BR965:BU965),"")</f>
        <v>73.80791239847399</v>
      </c>
      <c r="BH965" s="11" t="n">
        <f>IF(COUNT(BC965,BG965)=2,BC965*BG965,"")</f>
        <v>134.55880279540858</v>
      </c>
      <c r="BI965" s="11" t="n">
        <f>IF(ISNUMBER(CI965),CI965,"")</f>
        <v>3.527859975121002</v>
      </c>
      <c r="BJ965" s="8" t="str">
        <v>低销提醒依据不完整</v>
      </c>
      <c r="BK965" s="8" t="str">
        <v>90天：2026-07-20 至 2026-10-17；180天：2026-04-21 至 2026-10-17</v>
      </c>
      <c r="BL965" s="8" t="str">
        <v>90天：2026-10-06、2026-10-07；180天：2026-10-06、2026-10-07</v>
      </c>
      <c r="BM965" s="8" t="str">
        <v>2026-10：12天 × 1.2247029157699902；2026-11：30天 × 0.8332682139098497；2026-12：31天 × 0.5511018253564084；2027-01：17天 × 1.0017220238758797</v>
      </c>
      <c r="BN965" s="11" t="n">
        <v>1.2247029157699902</v>
      </c>
      <c r="BO965" s="11" t="n">
        <v>0.8332682139098497</v>
      </c>
      <c r="BP965" s="11" t="n">
        <v>0.5511018253564084</v>
      </c>
      <c r="BQ965" s="11" t="n">
        <v>1.0017220238758797</v>
      </c>
      <c r="BR965" s="8" t="n">
        <v>12</v>
      </c>
      <c r="BS965" s="8" t="n">
        <v>30</v>
      </c>
      <c r="BT965" s="8" t="n">
        <v>31</v>
      </c>
      <c r="BU965" s="8" t="n">
        <v>17</v>
      </c>
      <c r="BV965" s="11" t="n">
        <f>IF(COUNT(BC965,BF965)=2,BC965*BF965,"")</f>
        <v>0.04779785608993788</v>
      </c>
      <c r="BW965" s="11" t="n">
        <f>IF(ISNUMBER(BN965),BN965,"")</f>
        <v>1.2247029157699902</v>
      </c>
      <c r="BX965" s="14" t="n">
        <f>IF(ISNUMBER(BR965),BR965,"")</f>
        <v>12</v>
      </c>
      <c r="BY965" s="13" t="n">
        <f>IF(AND(COUNT(BV965,BW965,BX965)=3,MIN(BV965,BW965,BX965)&gt;=0),BV965*BW965*BX965,"")</f>
        <v>0.7024580846508157</v>
      </c>
      <c r="BZ965" s="11" t="n">
        <f>IF(ISNUMBER(BO965),BO965,"")</f>
        <v>0.8332682139098497</v>
      </c>
      <c r="CA965" s="14" t="n">
        <f>IF(ISNUMBER(BS965),BS965,"")</f>
        <v>30</v>
      </c>
      <c r="CB965" s="13" t="n">
        <f>IF(AND(COUNT(BV965,BZ965,CA965)=3,MIN(BV965,BZ965,CA965)&gt;=0),BV965*BZ965*CA965,"")</f>
        <v>1.1948530251834772</v>
      </c>
      <c r="CC965" s="11" t="n">
        <f>IF(ISNUMBER(BP965),BP965,"")</f>
        <v>0.5511018253564084</v>
      </c>
      <c r="CD965" s="14" t="n">
        <f>IF(ISNUMBER(BT965),BT965,"")</f>
        <v>31</v>
      </c>
      <c r="CE965" s="13" t="n">
        <f>IF(AND(COUNT(BV965,CC965,CD965)=3,MIN(BV965,CC965,CD965)&gt;=0),BV965*CC965*CD965,"")</f>
        <v>0.8165860579179183</v>
      </c>
      <c r="CF965" s="11" t="n">
        <f>IF(ISNUMBER(BQ965),BQ965,"")</f>
        <v>1.0017220238758797</v>
      </c>
      <c r="CG965" s="14" t="n">
        <f>IF(ISNUMBER(BU965),BU965,"")</f>
        <v>17</v>
      </c>
      <c r="CH965" s="13" t="n">
        <f>IF(AND(COUNT(BV965,CF965,CG965)=3,MIN(BV965,CF965,CG965)&gt;=0),BV965*CF965*CG965,"")</f>
        <v>0.8139628073687905</v>
      </c>
      <c r="CI965" s="13" t="n">
        <f>IF(COUNT(BY965,CB965,CE965,CH965)=4,SUM(BY965,CB965,CE965,CH965),"")</f>
        <v>3.527859975121002</v>
      </c>
    </row>
    <row r="966" ht="72" customHeight="1">
      <c r="A966" s="16" t="str">
        <v>B06-TN-41-N</v>
      </c>
      <c r="B966" s="16" t="str">
        <v>1店-MUSSHOE-US</v>
      </c>
      <c r="C966" s="16" t="str">
        <v>艾年</v>
      </c>
      <c r="D966" s="26" t="n">
        <f>IF(NOT(ISNUMBER(E966)),"",IF(OR(E966&lt;=0,L966=0),0,IF(OR(NOT(ISNUMBER(F966)),F966&lt;0),"",MIN(E966,INT(F966)))))</f>
        <v>0</v>
      </c>
      <c r="E966" s="27" t="n">
        <f>IF(OR(NOT(ISNUMBER(L966)),COUNT(M966:O966)&lt;&gt;3,MIN(M966:O966)&lt;0),"",ROUNDUP(ROUND(BI966-SUM(M966:O966),10),0))</f>
        <v>-6</v>
      </c>
      <c r="F966" s="28" t="n">
        <v>28</v>
      </c>
      <c r="G966" s="28" t="n">
        <f>IF(AND(ISNUMBER(D966),ISNUMBER(E966)),IF(OR(E966&lt;=0,L966=0),0,E966-D966),"")</f>
        <v>0</v>
      </c>
      <c r="H966" s="16" t="str">
        <f>IF(NOT(ISNUMBER(E966)),"销量或海外库存待补",IF(OR(E966&lt;=0,L966=0),IF(L966=0,"零日销，本批不发","本批无需补货"),IF(NOT(ISNUMBER(D966)),"国内库存待补",IF(D966=0,"国内无可用库存",IF(G966&gt;0,"先发国内现货","按建议量发货")))))</f>
        <v>本批无需补货</v>
      </c>
      <c r="I966" s="28" t="n">
        <f>IF(AND(COUNT(Z966,AA966,AB966)=3,Z966&gt;=AA966,AA966&gt;=0,AB966=7),Z966-AA966,"")</f>
        <v>3</v>
      </c>
      <c r="J966" s="28" t="n">
        <f>IF(AND(COUNT(AF966,AG966,AH966)=3,AF966&gt;=AG966,AG966&gt;=0,AH966=14),AF966-AG966,"")</f>
        <v>3</v>
      </c>
      <c r="K966" s="28" t="n">
        <f>IF(AND(COUNT(AL966,AM966,AN966)=3,AL966&gt;=AM966,AM966&gt;=0,AN966=30),AL966-AM966,"")</f>
        <v>7</v>
      </c>
      <c r="L966" s="29" t="n">
        <f>IF(ISNUMBER(BI966),BI966/90,"")</f>
        <v>0.18055487703954015</v>
      </c>
      <c r="M966" s="28" t="n">
        <v>16</v>
      </c>
      <c r="N966" s="28" t="n">
        <v>0</v>
      </c>
      <c r="O966" s="28" t="n">
        <v>6</v>
      </c>
      <c r="P966" s="30" t="n">
        <f>IF(AND(ISNUMBER(L966),L966&gt;0,COUNT(M966:O966)=3,MIN(M966:O966)&gt;=0),SUM(M966:O966)/L966,"")</f>
        <v>121.84661173778301</v>
      </c>
      <c r="Q966" s="16" t="str">
        <v>沿用原计划SKU店铺</v>
      </c>
      <c r="R966" s="16" t="str">
        <v>已匹配</v>
      </c>
      <c r="S966" s="16" t="str">
        <v>在售</v>
      </c>
      <c r="T966" s="16" t="str">
        <v>B06</v>
      </c>
      <c r="U966" s="16" t="str">
        <v>驼色羊京绒</v>
      </c>
      <c r="V966" s="16" t="n">
        <v>10</v>
      </c>
      <c r="W966" s="8" t="str">
        <v>2026-10-11 至 2026-10-17</v>
      </c>
      <c r="X966" s="8" t="str">
        <v>2026-10-11、2026-10-12、2026-10-13、2026-10-14、2026-10-15、2026-10-16、2026-10-17</v>
      </c>
      <c r="Y966" s="8" t="str">
        <v>无</v>
      </c>
      <c r="Z966" s="8" t="n">
        <v>3</v>
      </c>
      <c r="AA966" s="8" t="n">
        <v>0</v>
      </c>
      <c r="AB966" s="8" t="n">
        <v>7</v>
      </c>
      <c r="AC966" s="8" t="str">
        <v>2026-10-02 至 2026-10-17</v>
      </c>
      <c r="AD966" s="8" t="str">
        <v>2026-10-02、2026-10-03、2026-10-04、2026-10-05、2026-10-08、2026-10-09、2026-10-10、2026-10-11、2026-10-12、2026-10-13、2026-10-14、2026-10-15、2026-10-16、2026-10-17</v>
      </c>
      <c r="AE966" s="8" t="str">
        <v>2026-10-06 大促；2026-10-07 大促</v>
      </c>
      <c r="AF966" s="8" t="n">
        <v>5</v>
      </c>
      <c r="AG966" s="8" t="n">
        <v>2</v>
      </c>
      <c r="AH966" s="8" t="n">
        <v>14</v>
      </c>
      <c r="AI966" s="8" t="str">
        <v>2026-09-16 至 2026-10-17</v>
      </c>
      <c r="AJ9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6" s="8" t="str">
        <v>2026-10-06 大促；2026-10-07 大促</v>
      </c>
      <c r="AL966" s="8" t="n">
        <v>9</v>
      </c>
      <c r="AM966" s="8" t="n">
        <v>2</v>
      </c>
      <c r="AN966" s="8" t="n">
        <v>30</v>
      </c>
      <c r="AO966" s="8" t="str">
        <v>B06 / 驼色羊京绒 / 13120</v>
      </c>
      <c r="AP966" s="11" t="n">
        <v>1.2247029157699902</v>
      </c>
      <c r="AQ966" s="11" t="n">
        <v>1.2247029157699902</v>
      </c>
      <c r="AR966" s="11" t="n">
        <v>1.1136940657346173</v>
      </c>
      <c r="AS966" s="11" t="n">
        <f>IF(AND(COUNT(I966:K966,AP966:AR966)=6,MIN(AP966:AR966)&gt;0),I966/7/AP966*0.5+J966/14/AQ966*0.3+K966/30/AR966*0.2,"")</f>
        <v>0.2693630017564661</v>
      </c>
      <c r="AT966" s="8" t="n">
        <v>18</v>
      </c>
      <c r="AU966" s="8" t="n">
        <v>2</v>
      </c>
      <c r="AV966" s="8" t="n">
        <v>88</v>
      </c>
      <c r="AW966" s="11" t="n">
        <f>IF(AND(COUNT(AT966:AV966)=3,AT966&gt;=AU966,AU966&gt;=0,AV966&gt;0),(AT966-AU966)/AV966,"")</f>
        <v>0.18181818181818182</v>
      </c>
      <c r="AX966" s="8" t="n">
        <v>40</v>
      </c>
      <c r="AY966" s="8" t="n">
        <v>2</v>
      </c>
      <c r="AZ966" s="8" t="n">
        <v>178</v>
      </c>
      <c r="BA966" s="11" t="n">
        <f>IF(AND(COUNT(AX966:AZ966)=3,AX966&gt;=AY966,AY966&gt;=0,AZ966&gt;0),(AX966-AY966)/AZ966,"")</f>
        <v>0.21348314606741572</v>
      </c>
      <c r="BB966" s="8" t="n">
        <f>IF(COUNT(AS966,AW966,BA966)=3,1,0)</f>
        <v>1</v>
      </c>
      <c r="BC966" s="11" t="n">
        <f>IF(SUMIF($AO$11:$AO$1309,AO966,$BB$11:$BB$1309)=COUNTIF($AO$11:$AO$1309,AO966),SUMIF($AO$11:$AO$1309,AO966,$AS$11:$AS$1309),"")</f>
        <v>1.8230945493885915</v>
      </c>
      <c r="BD966" s="11" t="n">
        <f>IF(SUMIF($AO$11:$AO$1309,AO966,$BB$11:$BB$1309)=COUNTIF($AO$11:$AO$1309,AO966),SUMIF($AO$11:$AO$1309,AO966,$AW$11:$AW$1309),"")</f>
        <v>1.6395348837209305</v>
      </c>
      <c r="BE966" s="11" t="n">
        <f>IF(SUMIF($AO$11:$AO$1309,AO966,$BB$11:$BB$1309)=COUNTIF($AO$11:$AO$1309,AO966),SUMIF($AO$11:$AO$1309,AO966,$BA$11:$BA$1309),"")</f>
        <v>1.4846782431052095</v>
      </c>
      <c r="BF966" s="12" t="n">
        <f>IF(COUNT(BD966:BE966)&lt;&gt;2,"",IF(AND(BD966&gt;0,BE966&gt;0),0.7*AW966/BD966+0.3*BA966/BE966,IF(BD966&gt;0,AW966/BD966,IF(BE966&gt;0,BA966/BE966,IF(AND(ISNUMBER(BH966),BH966=0),0,"")))))</f>
        <v>0.12076459210376606</v>
      </c>
      <c r="BG966" s="11" t="n">
        <f>IF(AND(COUNT(BN966:BU966)=8,MIN(BN966:BU966)&gt;=0),SUMPRODUCT(BN966:BQ966,BR966:BU966),"")</f>
        <v>73.80791239847399</v>
      </c>
      <c r="BH966" s="11" t="n">
        <f>IF(COUNT(BC966,BG966)=2,BC966*BG966,"")</f>
        <v>134.55880279540858</v>
      </c>
      <c r="BI966" s="11" t="n">
        <f>IF(ISNUMBER(CI966),CI966,"")</f>
        <v>16.249938933558614</v>
      </c>
      <c r="BJ966" s="8" t="str">
        <v>低销提醒依据不完整</v>
      </c>
      <c r="BK966" s="8" t="str">
        <v>90天：2026-07-20 至 2026-10-17；180天：2026-04-21 至 2026-10-17</v>
      </c>
      <c r="BL966" s="8" t="str">
        <v>90天：2026-10-06、2026-10-07；180天：2026-10-06、2026-10-07</v>
      </c>
      <c r="BM966" s="8" t="str">
        <v>2026-10：12天 × 1.2247029157699902；2026-11：30天 × 0.8332682139098497；2026-12：31天 × 0.5511018253564084；2027-01：17天 × 1.0017220238758797</v>
      </c>
      <c r="BN966" s="11" t="n">
        <v>1.2247029157699902</v>
      </c>
      <c r="BO966" s="11" t="n">
        <v>0.8332682139098497</v>
      </c>
      <c r="BP966" s="11" t="n">
        <v>0.5511018253564084</v>
      </c>
      <c r="BQ966" s="11" t="n">
        <v>1.0017220238758797</v>
      </c>
      <c r="BR966" s="8" t="n">
        <v>12</v>
      </c>
      <c r="BS966" s="8" t="n">
        <v>30</v>
      </c>
      <c r="BT966" s="8" t="n">
        <v>31</v>
      </c>
      <c r="BU966" s="8" t="n">
        <v>17</v>
      </c>
      <c r="BV966" s="11" t="n">
        <f>IF(COUNT(BC966,BF966)=2,BC966*BF966,"")</f>
        <v>0.22016526962351243</v>
      </c>
      <c r="BW966" s="11" t="n">
        <f>IF(ISNUMBER(BN966),BN966,"")</f>
        <v>1.2247029157699902</v>
      </c>
      <c r="BX966" s="14" t="n">
        <f>IF(ISNUMBER(BR966),BR966,"")</f>
        <v>12</v>
      </c>
      <c r="BY966" s="13" t="n">
        <f>IF(AND(COUNT(BV966,BW966,BX966)=3,MIN(BV966,BW966,BX966)&gt;=0),BV966*BW966*BX966,"")</f>
        <v>3.2356445719104205</v>
      </c>
      <c r="BZ966" s="11" t="n">
        <f>IF(ISNUMBER(BO966),BO966,"")</f>
        <v>0.8332682139098497</v>
      </c>
      <c r="CA966" s="14" t="n">
        <f>IF(ISNUMBER(BS966),BS966,"")</f>
        <v>30</v>
      </c>
      <c r="CB966" s="13" t="n">
        <f>IF(AND(COUNT(BV966,BZ966,CA966)=3,MIN(BV966,BZ966,CA966)&gt;=0),BV966*BZ966*CA966,"")</f>
        <v>5.503701629524941</v>
      </c>
      <c r="CC966" s="11" t="n">
        <f>IF(ISNUMBER(BP966),BP966,"")</f>
        <v>0.5511018253564084</v>
      </c>
      <c r="CD966" s="14" t="n">
        <f>IF(ISNUMBER(BT966),BT966,"")</f>
        <v>31</v>
      </c>
      <c r="CE966" s="13" t="n">
        <f>IF(AND(COUNT(BV966,CC966,CD966)=3,MIN(BV966,CC966,CD966)&gt;=0),BV966*CC966*CD966,"")</f>
        <v>3.761337941057709</v>
      </c>
      <c r="CF966" s="11" t="n">
        <f>IF(ISNUMBER(BQ966),BQ966,"")</f>
        <v>1.0017220238758797</v>
      </c>
      <c r="CG966" s="14" t="n">
        <f>IF(ISNUMBER(BU966),BU966,"")</f>
        <v>17</v>
      </c>
      <c r="CH966" s="13" t="n">
        <f>IF(AND(COUNT(BV966,CF966,CG966)=3,MIN(BV966,CF966,CG966)&gt;=0),BV966*CF966*CG966,"")</f>
        <v>3.7492547910655416</v>
      </c>
      <c r="CI966" s="13" t="n">
        <f>IF(COUNT(BY966,CB966,CE966,CH966)=4,SUM(BY966,CB966,CE966,CH966),"")</f>
        <v>16.249938933558614</v>
      </c>
    </row>
    <row r="967" ht="72" customHeight="1">
      <c r="A967" s="16" t="str">
        <v>B06-TN-41.5</v>
      </c>
      <c r="B967" s="16" t="str">
        <v>1店-MUSSHOE-US</v>
      </c>
      <c r="C967" s="16" t="str">
        <v>艾年</v>
      </c>
      <c r="D967" s="26" t="n">
        <f>IF(NOT(ISNUMBER(E967)),"",IF(OR(E967&lt;=0,L967=0),0,IF(OR(NOT(ISNUMBER(F967)),F967&lt;0),"",MIN(E967,INT(F967)))))</f>
        <v>0</v>
      </c>
      <c r="E967" s="27" t="n">
        <f>IF(OR(NOT(ISNUMBER(L967)),COUNT(M967:O967)&lt;&gt;3,MIN(M967:O967)&lt;0),"",ROUNDUP(ROUND(BI967-SUM(M967:O967),10),0))</f>
        <v>-9</v>
      </c>
      <c r="F967" s="28" t="n">
        <v>10</v>
      </c>
      <c r="G967" s="28" t="n">
        <f>IF(AND(ISNUMBER(D967),ISNUMBER(E967)),IF(OR(E967&lt;=0,L967=0),0,E967-D967),"")</f>
        <v>0</v>
      </c>
      <c r="H967" s="16" t="str">
        <f>IF(NOT(ISNUMBER(E967)),"销量或海外库存待补",IF(OR(E967&lt;=0,L967=0),IF(L967=0,"零日销，本批不发","本批无需补货"),IF(NOT(ISNUMBER(D967)),"国内库存待补",IF(D967=0,"国内无可用库存",IF(G967&gt;0,"先发国内现货","按建议量发货")))))</f>
        <v>本批无需补货</v>
      </c>
      <c r="I967" s="28" t="n">
        <f>IF(AND(COUNT(Z967,AA967,AB967)=3,Z967&gt;=AA967,AA967&gt;=0,AB967=7),Z967-AA967,"")</f>
        <v>0</v>
      </c>
      <c r="J967" s="28" t="n">
        <f>IF(AND(COUNT(AF967,AG967,AH967)=3,AF967&gt;=AG967,AG967&gt;=0,AH967=14),AF967-AG967,"")</f>
        <v>0</v>
      </c>
      <c r="K967" s="28" t="n">
        <f>IF(AND(COUNT(AL967,AM967,AN967)=3,AL967&gt;=AM967,AM967&gt;=0,AN967=30),AL967-AM967,"")</f>
        <v>2</v>
      </c>
      <c r="L967" s="29" t="n">
        <f>IF(ISNUMBER(BI967),BI967/90,"")</f>
        <v>0.045987329987295586</v>
      </c>
      <c r="M967" s="28" t="n">
        <v>13</v>
      </c>
      <c r="N967" s="28" t="n">
        <v>0</v>
      </c>
      <c r="O967" s="28" t="n">
        <v>0</v>
      </c>
      <c r="P967" s="30" t="n">
        <f>IF(AND(ISNUMBER(L967),L967&gt;0,COUNT(M967:O967)=3,MIN(M967:O967)&gt;=0),SUM(M967:O967)/L967,"")</f>
        <v>282.6865574407422</v>
      </c>
      <c r="Q967" s="16" t="str">
        <v>沿用原计划SKU店铺</v>
      </c>
      <c r="R967" s="16" t="str">
        <v>已匹配</v>
      </c>
      <c r="S967" s="16" t="str">
        <v>在售</v>
      </c>
      <c r="T967" s="16" t="str">
        <v>B06</v>
      </c>
      <c r="U967" s="16" t="str">
        <v>驼色羊京绒</v>
      </c>
      <c r="V967" s="16" t="n">
        <v>10.5</v>
      </c>
      <c r="W967" s="8" t="str">
        <v>2026-10-11 至 2026-10-17</v>
      </c>
      <c r="X967" s="8" t="str">
        <v>2026-10-11、2026-10-12、2026-10-13、2026-10-14、2026-10-15、2026-10-16、2026-10-17</v>
      </c>
      <c r="Y967" s="8" t="str">
        <v>无</v>
      </c>
      <c r="Z967" s="8" t="n">
        <v>0</v>
      </c>
      <c r="AA967" s="8" t="n">
        <v>0</v>
      </c>
      <c r="AB967" s="8" t="n">
        <v>7</v>
      </c>
      <c r="AC967" s="8" t="str">
        <v>2026-10-02 至 2026-10-17</v>
      </c>
      <c r="AD967" s="8" t="str">
        <v>2026-10-02、2026-10-03、2026-10-04、2026-10-05、2026-10-08、2026-10-09、2026-10-10、2026-10-11、2026-10-12、2026-10-13、2026-10-14、2026-10-15、2026-10-16、2026-10-17</v>
      </c>
      <c r="AE967" s="8" t="str">
        <v>2026-10-06 大促；2026-10-07 大促</v>
      </c>
      <c r="AF967" s="8" t="n">
        <v>0</v>
      </c>
      <c r="AG967" s="8" t="n">
        <v>0</v>
      </c>
      <c r="AH967" s="8" t="n">
        <v>14</v>
      </c>
      <c r="AI967" s="8" t="str">
        <v>2026-09-16 至 2026-10-17</v>
      </c>
      <c r="AJ9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7" s="8" t="str">
        <v>2026-10-06 大促；2026-10-07 大促</v>
      </c>
      <c r="AL967" s="8" t="n">
        <v>2</v>
      </c>
      <c r="AM967" s="8" t="n">
        <v>0</v>
      </c>
      <c r="AN967" s="8" t="n">
        <v>30</v>
      </c>
      <c r="AO967" s="8" t="str">
        <v>B06 / 驼色羊京绒 / 13120</v>
      </c>
      <c r="AP967" s="11" t="n">
        <v>1.2247029157699902</v>
      </c>
      <c r="AQ967" s="11" t="n">
        <v>1.2247029157699902</v>
      </c>
      <c r="AR967" s="11" t="n">
        <v>1.1136940657346173</v>
      </c>
      <c r="AS967" s="11" t="n">
        <f>IF(AND(COUNT(I967:K967,AP967:AR967)=6,MIN(AP967:AR967)&gt;0),I967/7/AP967*0.5+J967/14/AQ967*0.3+K967/30/AR967*0.2,"")</f>
        <v>0.011972168788147733</v>
      </c>
      <c r="AT967" s="8" t="n">
        <v>4</v>
      </c>
      <c r="AU967" s="8" t="n">
        <v>0</v>
      </c>
      <c r="AV967" s="8" t="n">
        <v>88</v>
      </c>
      <c r="AW967" s="11" t="n">
        <f>IF(AND(COUNT(AT967:AV967)=3,AT967&gt;=AU967,AU967&gt;=0,AV967&gt;0),(AT967-AU967)/AV967,"")</f>
        <v>0.045454545454545456</v>
      </c>
      <c r="AX967" s="8" t="n">
        <v>10</v>
      </c>
      <c r="AY967" s="8" t="n">
        <v>0</v>
      </c>
      <c r="AZ967" s="8" t="n">
        <v>178</v>
      </c>
      <c r="BA967" s="11" t="n">
        <f>IF(AND(COUNT(AX967:AZ967)=3,AX967&gt;=AY967,AY967&gt;=0,AZ967&gt;0),(AX967-AY967)/AZ967,"")</f>
        <v>0.056179775280898875</v>
      </c>
      <c r="BB967" s="8" t="n">
        <f>IF(COUNT(AS967,AW967,BA967)=3,1,0)</f>
        <v>1</v>
      </c>
      <c r="BC967" s="11" t="n">
        <f>IF(SUMIF($AO$11:$AO$1309,AO967,$BB$11:$BB$1309)=COUNTIF($AO$11:$AO$1309,AO967),SUMIF($AO$11:$AO$1309,AO967,$AS$11:$AS$1309),"")</f>
        <v>1.8230945493885915</v>
      </c>
      <c r="BD967" s="11" t="n">
        <f>IF(SUMIF($AO$11:$AO$1309,AO967,$BB$11:$BB$1309)=COUNTIF($AO$11:$AO$1309,AO967),SUMIF($AO$11:$AO$1309,AO967,$AW$11:$AW$1309),"")</f>
        <v>1.6395348837209305</v>
      </c>
      <c r="BE967" s="11" t="n">
        <f>IF(SUMIF($AO$11:$AO$1309,AO967,$BB$11:$BB$1309)=COUNTIF($AO$11:$AO$1309,AO967),SUMIF($AO$11:$AO$1309,AO967,$BA$11:$BA$1309),"")</f>
        <v>1.4846782431052095</v>
      </c>
      <c r="BF967" s="12" t="n">
        <f>IF(COUNT(BD967:BE967)&lt;&gt;2,"",IF(AND(BD967&gt;0,BE967&gt;0),0.7*AW967/BD967+0.3*BA967/BE967,IF(BD967&gt;0,AW967/BD967,IF(BE967&gt;0,BA967/BE967,IF(AND(ISNUMBER(BH967),BH967=0),0,"")))))</f>
        <v>0.03075874348517784</v>
      </c>
      <c r="BG967" s="11" t="n">
        <f>IF(AND(COUNT(BN967:BU967)=8,MIN(BN967:BU967)&gt;=0),SUMPRODUCT(BN967:BQ967,BR967:BU967),"")</f>
        <v>73.80791239847399</v>
      </c>
      <c r="BH967" s="11" t="n">
        <f>IF(COUNT(BC967,BG967)=2,BC967*BG967,"")</f>
        <v>134.55880279540858</v>
      </c>
      <c r="BI967" s="11" t="n">
        <f>IF(ISNUMBER(CI967),CI967,"")</f>
        <v>4.138859698856603</v>
      </c>
      <c r="BJ967" s="8" t="str">
        <v>低销提醒依据不完整</v>
      </c>
      <c r="BK967" s="8" t="str">
        <v>90天：2026-07-20 至 2026-10-17；180天：2026-04-21 至 2026-10-17</v>
      </c>
      <c r="BL967" s="8" t="str">
        <v>90天：2026-10-06、2026-10-07；180天：2026-10-06、2026-10-07</v>
      </c>
      <c r="BM967" s="8" t="str">
        <v>2026-10：12天 × 1.2247029157699902；2026-11：30天 × 0.8332682139098497；2026-12：31天 × 0.5511018253564084；2027-01：17天 × 1.0017220238758797</v>
      </c>
      <c r="BN967" s="11" t="n">
        <v>1.2247029157699902</v>
      </c>
      <c r="BO967" s="11" t="n">
        <v>0.8332682139098497</v>
      </c>
      <c r="BP967" s="11" t="n">
        <v>0.5511018253564084</v>
      </c>
      <c r="BQ967" s="11" t="n">
        <v>1.0017220238758797</v>
      </c>
      <c r="BR967" s="8" t="n">
        <v>12</v>
      </c>
      <c r="BS967" s="8" t="n">
        <v>30</v>
      </c>
      <c r="BT967" s="8" t="n">
        <v>31</v>
      </c>
      <c r="BU967" s="8" t="n">
        <v>17</v>
      </c>
      <c r="BV967" s="11" t="n">
        <f>IF(COUNT(BC967,BF967)=2,BC967*BF967,"")</f>
        <v>0.05607609759386957</v>
      </c>
      <c r="BW967" s="11" t="n">
        <f>IF(ISNUMBER(BN967),BN967,"")</f>
        <v>1.2247029157699902</v>
      </c>
      <c r="BX967" s="14" t="n">
        <f>IF(ISNUMBER(BR967),BR967,"")</f>
        <v>12</v>
      </c>
      <c r="BY967" s="13" t="n">
        <f>IF(AND(COUNT(BV967,BW967,BX967)=3,MIN(BV967,BW967,BX967)&gt;=0),BV967*BW967*BX967,"")</f>
        <v>0.8241187227385751</v>
      </c>
      <c r="BZ967" s="11" t="n">
        <f>IF(ISNUMBER(BO967),BO967,"")</f>
        <v>0.8332682139098497</v>
      </c>
      <c r="CA967" s="14" t="n">
        <f>IF(ISNUMBER(BS967),BS967,"")</f>
        <v>30</v>
      </c>
      <c r="CB967" s="13" t="n">
        <f>IF(AND(COUNT(BV967,BZ967,CA967)=3,MIN(BV967,BZ967,CA967)&gt;=0),BV967*BZ967*CA967,"")</f>
        <v>1.4017928905523436</v>
      </c>
      <c r="CC967" s="11" t="n">
        <f>IF(ISNUMBER(BP967),BP967,"")</f>
        <v>0.5511018253564084</v>
      </c>
      <c r="CD967" s="14" t="n">
        <f>IF(ISNUMBER(BT967),BT967,"")</f>
        <v>31</v>
      </c>
      <c r="CE967" s="13" t="n">
        <f>IF(AND(COUNT(BV967,CC967,CD967)=3,MIN(BV967,CC967,CD967)&gt;=0),BV967*CC967*CD967,"")</f>
        <v>0.9580128320282143</v>
      </c>
      <c r="CF967" s="11" t="n">
        <f>IF(ISNUMBER(BQ967),BQ967,"")</f>
        <v>1.0017220238758797</v>
      </c>
      <c r="CG967" s="14" t="n">
        <f>IF(ISNUMBER(BU967),BU967,"")</f>
        <v>17</v>
      </c>
      <c r="CH967" s="13" t="n">
        <f>IF(AND(COUNT(BV967,CF967,CG967)=3,MIN(BV967,CF967,CG967)&gt;=0),BV967*CF967*CG967,"")</f>
        <v>0.9549352535374703</v>
      </c>
      <c r="CI967" s="13" t="n">
        <f>IF(COUNT(BY967,CB967,CE967,CH967)=4,SUM(BY967,CB967,CE967,CH967),"")</f>
        <v>4.138859698856603</v>
      </c>
    </row>
    <row r="968" ht="72" customHeight="1">
      <c r="A968" s="16" t="str">
        <v>B06-TN-42-N</v>
      </c>
      <c r="B968" s="16" t="str">
        <v>1店-MUSSHOE-US</v>
      </c>
      <c r="C968" s="16" t="str">
        <v>艾年</v>
      </c>
      <c r="D968" s="26" t="n">
        <f>IF(NOT(ISNUMBER(E968)),"",IF(OR(E968&lt;=0,L968=0),0,IF(OR(NOT(ISNUMBER(F968)),F968&lt;0),"",MIN(E968,INT(F968)))))</f>
        <v>0</v>
      </c>
      <c r="E968" s="27" t="n">
        <f>IF(OR(NOT(ISNUMBER(L968)),COUNT(M968:O968)&lt;&gt;3,MIN(M968:O968)&lt;0),"",ROUNDUP(ROUND(BI968-SUM(M968:O968),10),0))</f>
        <v>-1</v>
      </c>
      <c r="F968" s="28" t="n">
        <v>8</v>
      </c>
      <c r="G968" s="28" t="n">
        <f>IF(AND(ISNUMBER(D968),ISNUMBER(E968)),IF(OR(E968&lt;=0,L968=0),0,E968-D968),"")</f>
        <v>0</v>
      </c>
      <c r="H968" s="16" t="str">
        <f>IF(NOT(ISNUMBER(E968)),"销量或海外库存待补",IF(OR(E968&lt;=0,L968=0),IF(L968=0,"零日销，本批不发","本批无需补货"),IF(NOT(ISNUMBER(D968)),"国内库存待补",IF(D968=0,"国内无可用库存",IF(G968&gt;0,"先发国内现货","按建议量发货")))))</f>
        <v>本批无需补货</v>
      </c>
      <c r="I968" s="28" t="n">
        <f>IF(AND(COUNT(Z968,AA968,AB968)=3,Z968&gt;=AA968,AA968&gt;=0,AB968=7),Z968-AA968,"")</f>
        <v>3</v>
      </c>
      <c r="J968" s="28" t="n">
        <f>IF(AND(COUNT(AF968,AG968,AH968)=3,AF968&gt;=AG968,AG968&gt;=0,AH968=14),AF968-AG968,"")</f>
        <v>3</v>
      </c>
      <c r="K968" s="28" t="n">
        <f>IF(AND(COUNT(AL968,AM968,AN968)=3,AL968&gt;=AM968,AM968&gt;=0,AN968=30),AL968-AM968,"")</f>
        <v>6</v>
      </c>
      <c r="L968" s="29" t="n">
        <f>IF(ISNUMBER(BI968),BI968/90,"")</f>
        <v>0.09583399592472006</v>
      </c>
      <c r="M968" s="28" t="n">
        <v>9</v>
      </c>
      <c r="N968" s="28" t="n">
        <v>0</v>
      </c>
      <c r="O968" s="28" t="n">
        <v>0</v>
      </c>
      <c r="P968" s="30" t="n">
        <f>IF(AND(ISNUMBER(L968),L968&gt;0,COUNT(M968:O968)=3,MIN(M968:O968)&gt;=0),SUM(M968:O968)/L968,"")</f>
        <v>93.91239416824192</v>
      </c>
      <c r="Q968" s="16" t="str">
        <v>沿用原计划SKU店铺</v>
      </c>
      <c r="R968" s="16" t="str">
        <v>已匹配</v>
      </c>
      <c r="S968" s="16" t="str">
        <v>在售</v>
      </c>
      <c r="T968" s="16" t="str">
        <v>B06</v>
      </c>
      <c r="U968" s="16" t="str">
        <v>驼色羊京绒</v>
      </c>
      <c r="V968" s="16" t="n">
        <v>11</v>
      </c>
      <c r="W968" s="8" t="str">
        <v>2026-10-11 至 2026-10-17</v>
      </c>
      <c r="X968" s="8" t="str">
        <v>2026-10-11、2026-10-12、2026-10-13、2026-10-14、2026-10-15、2026-10-16、2026-10-17</v>
      </c>
      <c r="Y968" s="8" t="str">
        <v>无</v>
      </c>
      <c r="Z968" s="8" t="n">
        <v>3</v>
      </c>
      <c r="AA968" s="8" t="n">
        <v>0</v>
      </c>
      <c r="AB968" s="8" t="n">
        <v>7</v>
      </c>
      <c r="AC968" s="8" t="str">
        <v>2026-10-02 至 2026-10-17</v>
      </c>
      <c r="AD968" s="8" t="str">
        <v>2026-10-02、2026-10-03、2026-10-04、2026-10-05、2026-10-08、2026-10-09、2026-10-10、2026-10-11、2026-10-12、2026-10-13、2026-10-14、2026-10-15、2026-10-16、2026-10-17</v>
      </c>
      <c r="AE968" s="8" t="str">
        <v>2026-10-06 大促；2026-10-07 大促</v>
      </c>
      <c r="AF968" s="8" t="n">
        <v>3</v>
      </c>
      <c r="AG968" s="8" t="n">
        <v>0</v>
      </c>
      <c r="AH968" s="8" t="n">
        <v>14</v>
      </c>
      <c r="AI968" s="8" t="str">
        <v>2026-09-16 至 2026-10-17</v>
      </c>
      <c r="AJ9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8" s="8" t="str">
        <v>2026-10-06 大促；2026-10-07 大促</v>
      </c>
      <c r="AL968" s="8" t="n">
        <v>6</v>
      </c>
      <c r="AM968" s="8" t="n">
        <v>0</v>
      </c>
      <c r="AN968" s="8" t="n">
        <v>30</v>
      </c>
      <c r="AO968" s="8" t="str">
        <v>B06 / 驼色羊京绒 / 13120</v>
      </c>
      <c r="AP968" s="11" t="n">
        <v>1.2247029157699902</v>
      </c>
      <c r="AQ968" s="11" t="n">
        <v>1.2247029157699902</v>
      </c>
      <c r="AR968" s="11" t="n">
        <v>1.1136940657346173</v>
      </c>
      <c r="AS968" s="11" t="n">
        <f>IF(AND(COUNT(I968:K968,AP968:AR968)=6,MIN(AP968:AR968)&gt;0),I968/7/AP968*0.5+J968/14/AQ968*0.3+K968/30/AR968*0.2,"")</f>
        <v>0.26337691736239227</v>
      </c>
      <c r="AT968" s="8" t="n">
        <v>9</v>
      </c>
      <c r="AU968" s="8" t="n">
        <v>0</v>
      </c>
      <c r="AV968" s="8" t="n">
        <v>88</v>
      </c>
      <c r="AW968" s="11" t="n">
        <f>IF(AND(COUNT(AT968:AV968)=3,AT968&gt;=AU968,AU968&gt;=0,AV968&gt;0),(AT968-AU968)/AV968,"")</f>
        <v>0.10227272727272728</v>
      </c>
      <c r="AX968" s="8" t="n">
        <v>18</v>
      </c>
      <c r="AY968" s="8" t="n">
        <v>0</v>
      </c>
      <c r="AZ968" s="8" t="n">
        <v>178</v>
      </c>
      <c r="BA968" s="11" t="n">
        <f>IF(AND(COUNT(AX968:AZ968)=3,AX968&gt;=AY968,AY968&gt;=0,AZ968&gt;0),(AX968-AY968)/AZ968,"")</f>
        <v>0.10112359550561797</v>
      </c>
      <c r="BB968" s="8" t="n">
        <f>IF(COUNT(AS968,AW968,BA968)=3,1,0)</f>
        <v>1</v>
      </c>
      <c r="BC968" s="11" t="n">
        <f>IF(SUMIF($AO$11:$AO$1309,AO968,$BB$11:$BB$1309)=COUNTIF($AO$11:$AO$1309,AO968),SUMIF($AO$11:$AO$1309,AO968,$AS$11:$AS$1309),"")</f>
        <v>1.8230945493885915</v>
      </c>
      <c r="BD968" s="11" t="n">
        <f>IF(SUMIF($AO$11:$AO$1309,AO968,$BB$11:$BB$1309)=COUNTIF($AO$11:$AO$1309,AO968),SUMIF($AO$11:$AO$1309,AO968,$AW$11:$AW$1309),"")</f>
        <v>1.6395348837209305</v>
      </c>
      <c r="BE968" s="11" t="n">
        <f>IF(SUMIF($AO$11:$AO$1309,AO968,$BB$11:$BB$1309)=COUNTIF($AO$11:$AO$1309,AO968),SUMIF($AO$11:$AO$1309,AO968,$BA$11:$BA$1309),"")</f>
        <v>1.4846782431052095</v>
      </c>
      <c r="BF968" s="12" t="n">
        <f>IF(COUNT(BD968:BE968)&lt;&gt;2,"",IF(AND(BD968&gt;0,BE968&gt;0),0.7*AW968/BD968+0.3*BA968/BE968,IF(BD968&gt;0,AW968/BD968,IF(BE968&gt;0,BA968/BE968,IF(AND(ISNUMBER(BH968),BH968=0),0,"")))))</f>
        <v>0.0640988137085232</v>
      </c>
      <c r="BG968" s="11" t="n">
        <f>IF(AND(COUNT(BN968:BU968)=8,MIN(BN968:BU968)&gt;=0),SUMPRODUCT(BN968:BQ968,BR968:BU968),"")</f>
        <v>73.80791239847399</v>
      </c>
      <c r="BH968" s="11" t="n">
        <f>IF(COUNT(BC968,BG968)=2,BC968*BG968,"")</f>
        <v>134.55880279540858</v>
      </c>
      <c r="BI968" s="11" t="n">
        <f>IF(ISNUMBER(CI968),CI968,"")</f>
        <v>8.625059633224804</v>
      </c>
      <c r="BJ968" s="8" t="str">
        <v>低销提醒依据不完整</v>
      </c>
      <c r="BK968" s="8" t="str">
        <v>90天：2026-07-20 至 2026-10-17；180天：2026-04-21 至 2026-10-17</v>
      </c>
      <c r="BL968" s="8" t="str">
        <v>90天：2026-10-06、2026-10-07；180天：2026-10-06、2026-10-07</v>
      </c>
      <c r="BM968" s="8" t="str">
        <v>2026-10：12天 × 1.2247029157699902；2026-11：30天 × 0.8332682139098497；2026-12：31天 × 0.5511018253564084；2027-01：17天 × 1.0017220238758797</v>
      </c>
      <c r="BN968" s="11" t="n">
        <v>1.2247029157699902</v>
      </c>
      <c r="BO968" s="11" t="n">
        <v>0.8332682139098497</v>
      </c>
      <c r="BP968" s="11" t="n">
        <v>0.5511018253564084</v>
      </c>
      <c r="BQ968" s="11" t="n">
        <v>1.0017220238758797</v>
      </c>
      <c r="BR968" s="8" t="n">
        <v>12</v>
      </c>
      <c r="BS968" s="8" t="n">
        <v>30</v>
      </c>
      <c r="BT968" s="8" t="n">
        <v>31</v>
      </c>
      <c r="BU968" s="8" t="n">
        <v>17</v>
      </c>
      <c r="BV968" s="11" t="n">
        <f>IF(COUNT(BC968,BF968)=2,BC968*BF968,"")</f>
        <v>0.11685819789428338</v>
      </c>
      <c r="BW968" s="11" t="n">
        <f>IF(ISNUMBER(BN968),BN968,"")</f>
        <v>1.2247029157699902</v>
      </c>
      <c r="BX968" s="14" t="n">
        <f>IF(ISNUMBER(BR968),BR968,"")</f>
        <v>12</v>
      </c>
      <c r="BY968" s="13" t="n">
        <f>IF(AND(COUNT(BV968,BW968,BX968)=3,MIN(BV968,BW968,BX968)&gt;=0),BV968*BW968*BX968,"")</f>
        <v>1.7173989083130645</v>
      </c>
      <c r="BZ968" s="11" t="n">
        <f>IF(ISNUMBER(BO968),BO968,"")</f>
        <v>0.8332682139098497</v>
      </c>
      <c r="CA968" s="14" t="n">
        <f>IF(ISNUMBER(BS968),BS968,"")</f>
        <v>30</v>
      </c>
      <c r="CB968" s="13" t="n">
        <f>IF(AND(COUNT(BV968,BZ968,CA968)=3,MIN(BV968,BZ968,CA968)&gt;=0),BV968*BZ968*CA968,"")</f>
        <v>2.921226655202798</v>
      </c>
      <c r="CC968" s="11" t="n">
        <f>IF(ISNUMBER(BP968),BP968,"")</f>
        <v>0.5511018253564084</v>
      </c>
      <c r="CD968" s="14" t="n">
        <f>IF(ISNUMBER(BT968),BT968,"")</f>
        <v>31</v>
      </c>
      <c r="CE968" s="13" t="n">
        <f>IF(AND(COUNT(BV968,CC968,CD968)=3,MIN(BV968,CC968,CD968)&gt;=0),BV968*CC968*CD968,"")</f>
        <v>1.996423751189399</v>
      </c>
      <c r="CF968" s="11" t="n">
        <f>IF(ISNUMBER(BQ968),BQ968,"")</f>
        <v>1.0017220238758797</v>
      </c>
      <c r="CG968" s="14" t="n">
        <f>IF(ISNUMBER(BU968),BU968,"")</f>
        <v>17</v>
      </c>
      <c r="CH968" s="13" t="n">
        <f>IF(AND(COUNT(BV968,CF968,CG968)=3,MIN(BV968,CF968,CG968)&gt;=0),BV968*CF968*CG968,"")</f>
        <v>1.9900103185195435</v>
      </c>
      <c r="CI968" s="13" t="n">
        <f>IF(COUNT(BY968,CB968,CE968,CH968)=4,SUM(BY968,CB968,CE968,CH968),"")</f>
        <v>8.625059633224804</v>
      </c>
    </row>
    <row r="969" ht="72" customHeight="1">
      <c r="A969" s="16" t="str">
        <v>B06-WT-37</v>
      </c>
      <c r="B969" s="16" t="str">
        <v>1店-MUSSHOE-US</v>
      </c>
      <c r="C969" s="16" t="str">
        <v>艾年</v>
      </c>
      <c r="D969" s="26" t="n">
        <f>IF(NOT(ISNUMBER(E969)),"",IF(OR(E969&lt;=0,L969=0),0,IF(OR(NOT(ISNUMBER(F969)),F969&lt;0),"",MIN(E969,INT(F969)))))</f>
        <v>0</v>
      </c>
      <c r="E969" s="27" t="n">
        <f>IF(OR(NOT(ISNUMBER(L969)),COUNT(M969:O969)&lt;&gt;3,MIN(M969:O969)&lt;0),"",ROUNDUP(ROUND(BI969-SUM(M969:O969),10),0))</f>
        <v>-15</v>
      </c>
      <c r="F969" s="28" t="n">
        <v>23</v>
      </c>
      <c r="G969" s="28" t="n">
        <f>IF(AND(ISNUMBER(D969),ISNUMBER(E969)),IF(OR(E969&lt;=0,L969=0),0,E969-D969),"")</f>
        <v>0</v>
      </c>
      <c r="H969" s="16" t="str">
        <f>IF(NOT(ISNUMBER(E969)),"销量或海外库存待补",IF(OR(E969&lt;=0,L969=0),IF(L969=0,"零日销，本批不发","本批无需补货"),IF(NOT(ISNUMBER(D969)),"国内库存待补",IF(D969=0,"国内无可用库存",IF(G969&gt;0,"先发国内现货","按建议量发货")))))</f>
        <v>本批无需补货</v>
      </c>
      <c r="I969" s="28" t="n">
        <f>IF(AND(COUNT(Z969,AA969,AB969)=3,Z969&gt;=AA969,AA969&gt;=0,AB969=7),Z969-AA969,"")</f>
        <v>1</v>
      </c>
      <c r="J969" s="28" t="n">
        <f>IF(AND(COUNT(AF969,AG969,AH969)=3,AF969&gt;=AG969,AG969&gt;=0,AH969=14),AF969-AG969,"")</f>
        <v>1</v>
      </c>
      <c r="K969" s="28" t="n">
        <f>IF(AND(COUNT(AL969,AM969,AN969)=3,AL969&gt;=AM969,AM969&gt;=0,AN969=30),AL969-AM969,"")</f>
        <v>1</v>
      </c>
      <c r="L969" s="29" t="n">
        <f>IF(ISNUMBER(BI969),BI969/90,"")</f>
        <v>0.020771288979615346</v>
      </c>
      <c r="M969" s="28" t="n">
        <v>16</v>
      </c>
      <c r="N969" s="28" t="n">
        <v>0</v>
      </c>
      <c r="O969" s="28" t="n">
        <v>0</v>
      </c>
      <c r="P969" s="30" t="n">
        <f>IF(AND(ISNUMBER(L969),L969&gt;0,COUNT(M969:O969)=3,MIN(M969:O969)&gt;=0),SUM(M969:O969)/L969,"")</f>
        <v>770.2940349875339</v>
      </c>
      <c r="Q969" s="16" t="str">
        <v>沿用原计划SKU店铺</v>
      </c>
      <c r="R969" s="16" t="str">
        <v>已匹配</v>
      </c>
      <c r="S969" s="16" t="str">
        <v>在售</v>
      </c>
      <c r="T969" s="16" t="str">
        <v>B06</v>
      </c>
      <c r="U969" s="16" t="str">
        <v>白色PU</v>
      </c>
      <c r="V969" s="16" t="n">
        <v>6</v>
      </c>
      <c r="W969" s="8" t="str">
        <v>2026-10-11 至 2026-10-17</v>
      </c>
      <c r="X969" s="8" t="str">
        <v>2026-10-11、2026-10-12、2026-10-13、2026-10-14、2026-10-15、2026-10-16、2026-10-17</v>
      </c>
      <c r="Y969" s="8" t="str">
        <v>无</v>
      </c>
      <c r="Z969" s="8" t="n">
        <v>1</v>
      </c>
      <c r="AA969" s="8" t="n">
        <v>0</v>
      </c>
      <c r="AB969" s="8" t="n">
        <v>7</v>
      </c>
      <c r="AC969" s="8" t="str">
        <v>2026-10-02 至 2026-10-17</v>
      </c>
      <c r="AD969" s="8" t="str">
        <v>2026-10-02、2026-10-03、2026-10-04、2026-10-05、2026-10-08、2026-10-09、2026-10-10、2026-10-11、2026-10-12、2026-10-13、2026-10-14、2026-10-15、2026-10-16、2026-10-17</v>
      </c>
      <c r="AE969" s="8" t="str">
        <v>2026-10-06 大促；2026-10-07 大促</v>
      </c>
      <c r="AF969" s="8" t="n">
        <v>1</v>
      </c>
      <c r="AG969" s="8" t="n">
        <v>0</v>
      </c>
      <c r="AH969" s="8" t="n">
        <v>14</v>
      </c>
      <c r="AI969" s="8" t="str">
        <v>2026-09-16 至 2026-10-17</v>
      </c>
      <c r="AJ9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69" s="8" t="str">
        <v>2026-10-06 大促；2026-10-07 大促</v>
      </c>
      <c r="AL969" s="8" t="n">
        <v>1</v>
      </c>
      <c r="AM969" s="8" t="n">
        <v>0</v>
      </c>
      <c r="AN969" s="8" t="n">
        <v>30</v>
      </c>
      <c r="AO969" s="8" t="str">
        <v>B06 / 白色PU / 13120</v>
      </c>
      <c r="AP969" s="11" t="n">
        <v>1.2247029157699902</v>
      </c>
      <c r="AQ969" s="11" t="n">
        <v>1.2247029157699902</v>
      </c>
      <c r="AR969" s="11" t="n">
        <v>1.1136940657346173</v>
      </c>
      <c r="AS969" s="11" t="n">
        <f>IF(AND(COUNT(I969:K969,AP969:AR969)=6,MIN(AP969:AR969)&gt;0),I969/7/AP969*0.5+J969/14/AQ969*0.3+K969/30/AR969*0.2,"")</f>
        <v>0.08180622139339022</v>
      </c>
      <c r="AT969" s="8" t="n">
        <v>5</v>
      </c>
      <c r="AU969" s="8" t="n">
        <v>0</v>
      </c>
      <c r="AV969" s="8" t="n">
        <v>88</v>
      </c>
      <c r="AW969" s="11" t="n">
        <f>IF(AND(COUNT(AT969:AV969)=3,AT969&gt;=AU969,AU969&gt;=0,AV969&gt;0),(AT969-AU969)/AV969,"")</f>
        <v>0.056818181818181816</v>
      </c>
      <c r="AX969" s="8" t="n">
        <v>24</v>
      </c>
      <c r="AY969" s="8" t="n">
        <v>0</v>
      </c>
      <c r="AZ969" s="8" t="n">
        <v>178</v>
      </c>
      <c r="BA969" s="11" t="n">
        <f>IF(AND(COUNT(AX969:AZ969)=3,AX969&gt;=AY969,AY969&gt;=0,AZ969&gt;0),(AX969-AY969)/AZ969,"")</f>
        <v>0.1348314606741573</v>
      </c>
      <c r="BB969" s="8" t="n">
        <f>IF(COUNT(AS969,AW969,BA969)=3,1,0)</f>
        <v>1</v>
      </c>
      <c r="BC969" s="11" t="n">
        <f>IF(SUMIF($AO$11:$AO$1309,AO969,$BB$11:$BB$1309)=COUNTIF($AO$11:$AO$1309,AO969),SUMIF($AO$11:$AO$1309,AO969,$AS$11:$AS$1309),"")</f>
        <v>0.2999485325071546</v>
      </c>
      <c r="BD969" s="11" t="n">
        <f>IF(SUMIF($AO$11:$AO$1309,AO969,$BB$11:$BB$1309)=COUNTIF($AO$11:$AO$1309,AO969),SUMIF($AO$11:$AO$1309,AO969,$AW$11:$AW$1309),"")</f>
        <v>0.7291382383674474</v>
      </c>
      <c r="BE969" s="11" t="n">
        <f>IF(SUMIF($AO$11:$AO$1309,AO969,$BB$11:$BB$1309)=COUNTIF($AO$11:$AO$1309,AO969),SUMIF($AO$11:$AO$1309,AO969,$BA$11:$BA$1309),"")</f>
        <v>1.3530960996091448</v>
      </c>
      <c r="BF969" s="12" t="n">
        <f>IF(COUNT(BD969:BE969)&lt;&gt;2,"",IF(AND(BD969&gt;0,BE969&gt;0),0.7*AW969/BD969+0.3*BA969/BE969,IF(BD969&gt;0,AW969/BD969,IF(BE969&gt;0,BA969/BE969,IF(AND(ISNUMBER(BH969),BH969=0),0,"")))))</f>
        <v>0.08444156894506115</v>
      </c>
      <c r="BG969" s="11" t="n">
        <f>IF(AND(COUNT(BN969:BU969)=8,MIN(BN969:BU969)&gt;=0),SUMPRODUCT(BN969:BQ969,BR969:BU969),"")</f>
        <v>73.80791239847399</v>
      </c>
      <c r="BH969" s="11" t="n">
        <f>IF(COUNT(BC969,BG969)=2,BC969*BG969,"")</f>
        <v>22.138575011338894</v>
      </c>
      <c r="BI969" s="11" t="n">
        <f>IF(ISNUMBER(CI969),CI969,"")</f>
        <v>1.8694160081653812</v>
      </c>
      <c r="BJ969" s="8" t="str"/>
      <c r="BK969" s="8" t="str">
        <v>90天：2026-07-20 至 2026-10-17；180天：2026-04-21 至 2026-10-17</v>
      </c>
      <c r="BL969" s="8" t="str">
        <v>90天：2026-10-06、2026-10-07；180天：2026-10-06、2026-10-07</v>
      </c>
      <c r="BM969" s="8" t="str">
        <v>2026-10：12天 × 1.2247029157699902；2026-11：30天 × 0.8332682139098497；2026-12：31天 × 0.5511018253564084；2027-01：17天 × 1.0017220238758797</v>
      </c>
      <c r="BN969" s="11" t="n">
        <v>1.2247029157699902</v>
      </c>
      <c r="BO969" s="11" t="n">
        <v>0.8332682139098497</v>
      </c>
      <c r="BP969" s="11" t="n">
        <v>0.5511018253564084</v>
      </c>
      <c r="BQ969" s="11" t="n">
        <v>1.0017220238758797</v>
      </c>
      <c r="BR969" s="8" t="n">
        <v>12</v>
      </c>
      <c r="BS969" s="8" t="n">
        <v>30</v>
      </c>
      <c r="BT969" s="8" t="n">
        <v>31</v>
      </c>
      <c r="BU969" s="8" t="n">
        <v>17</v>
      </c>
      <c r="BV969" s="11" t="n">
        <f>IF(COUNT(BC969,BF969)=2,BC969*BF969,"")</f>
        <v>0.025328124687672808</v>
      </c>
      <c r="BW969" s="11" t="n">
        <f>IF(ISNUMBER(BN969),BN969,"")</f>
        <v>1.2247029157699902</v>
      </c>
      <c r="BX969" s="14" t="n">
        <f>IF(ISNUMBER(BR969),BR969,"")</f>
        <v>12</v>
      </c>
      <c r="BY969" s="13" t="n">
        <f>IF(AND(COUNT(BV969,BW969,BX969)=3,MIN(BV969,BW969,BX969)&gt;=0),BV969*BW969*BX969,"")</f>
        <v>0.37223313787174517</v>
      </c>
      <c r="BZ969" s="11" t="n">
        <f>IF(ISNUMBER(BO969),BO969,"")</f>
        <v>0.8332682139098497</v>
      </c>
      <c r="CA969" s="14" t="n">
        <f>IF(ISNUMBER(BS969),BS969,"")</f>
        <v>30</v>
      </c>
      <c r="CB969" s="13" t="n">
        <f>IF(AND(COUNT(BV969,BZ969,CA969)=3,MIN(BV969,BZ969,CA969)&gt;=0),BV969*BZ969*CA969,"")</f>
        <v>0.6331536366054927</v>
      </c>
      <c r="CC969" s="11" t="n">
        <f>IF(ISNUMBER(BP969),BP969,"")</f>
        <v>0.5511018253564084</v>
      </c>
      <c r="CD969" s="14" t="n">
        <f>IF(ISNUMBER(BT969),BT969,"")</f>
        <v>31</v>
      </c>
      <c r="CE969" s="13" t="n">
        <f>IF(AND(COUNT(BV969,CC969,CD969)=3,MIN(BV969,CC969,CD969)&gt;=0),BV969*CC969*CD969,"")</f>
        <v>0.43270964819516705</v>
      </c>
      <c r="CF969" s="11" t="n">
        <f>IF(ISNUMBER(BQ969),BQ969,"")</f>
        <v>1.0017220238758797</v>
      </c>
      <c r="CG969" s="14" t="n">
        <f>IF(ISNUMBER(BU969),BU969,"")</f>
        <v>17</v>
      </c>
      <c r="CH969" s="13" t="n">
        <f>IF(AND(COUNT(BV969,CF969,CG969)=3,MIN(BV969,CF969,CG969)&gt;=0),BV969*CF969*CG969,"")</f>
        <v>0.43131958549297605</v>
      </c>
      <c r="CI969" s="13" t="n">
        <f>IF(COUNT(BY969,CB969,CE969,CH969)=4,SUM(BY969,CB969,CE969,CH969),"")</f>
        <v>1.8694160081653812</v>
      </c>
    </row>
    <row r="970" ht="72" customHeight="1">
      <c r="A970" s="16" t="str">
        <v>B06-WT-38</v>
      </c>
      <c r="B970" s="16" t="str">
        <v>1店-MUSSHOE-US</v>
      </c>
      <c r="C970" s="16" t="str">
        <v>艾年</v>
      </c>
      <c r="D970" s="26" t="n">
        <f>IF(NOT(ISNUMBER(E970)),"",IF(OR(E970&lt;=0,L970=0),0,IF(OR(NOT(ISNUMBER(F970)),F970&lt;0),"",MIN(E970,INT(F970)))))</f>
        <v>0</v>
      </c>
      <c r="E970" s="27" t="n">
        <f>IF(OR(NOT(ISNUMBER(L970)),COUNT(M970:O970)&lt;&gt;3,MIN(M970:O970)&lt;0),"",ROUNDUP(ROUND(BI970-SUM(M970:O970),10),0))</f>
        <v>-63</v>
      </c>
      <c r="F970" s="28" t="n">
        <v>49</v>
      </c>
      <c r="G970" s="28" t="n">
        <f>IF(AND(ISNUMBER(D970),ISNUMBER(E970)),IF(OR(E970&lt;=0,L970=0),0,E970-D970),"")</f>
        <v>0</v>
      </c>
      <c r="H970" s="16" t="str">
        <f>IF(NOT(ISNUMBER(E970)),"销量或海外库存待补",IF(OR(E970&lt;=0,L970=0),IF(L970=0,"零日销，本批不发","本批无需补货"),IF(NOT(ISNUMBER(D970)),"国内库存待补",IF(D970=0,"国内无可用库存",IF(G970&gt;0,"先发国内现货","按建议量发货")))))</f>
        <v>本批无需补货</v>
      </c>
      <c r="I970" s="28" t="n">
        <f>IF(AND(COUNT(Z970,AA970,AB970)=3,Z970&gt;=AA970,AA970&gt;=0,AB970=7),Z970-AA970,"")</f>
        <v>0</v>
      </c>
      <c r="J970" s="28" t="n">
        <f>IF(AND(COUNT(AF970,AG970,AH970)=3,AF970&gt;=AG970,AG970&gt;=0,AH970=14),AF970-AG970,"")</f>
        <v>1</v>
      </c>
      <c r="K970" s="28" t="n">
        <f>IF(AND(COUNT(AL970,AM970,AN970)=3,AL970&gt;=AM970,AM970&gt;=0,AN970=30),AL970-AM970,"")</f>
        <v>2</v>
      </c>
      <c r="L970" s="29" t="n">
        <f>IF(ISNUMBER(BI970),BI970/90,"")</f>
        <v>0.04238778430616341</v>
      </c>
      <c r="M970" s="28" t="n">
        <v>66</v>
      </c>
      <c r="N970" s="28" t="n">
        <v>0</v>
      </c>
      <c r="O970" s="28" t="n">
        <v>0</v>
      </c>
      <c r="P970" s="30" t="n">
        <f>IF(AND(ISNUMBER(L970),L970&gt;0,COUNT(M970:O970)=3,MIN(M970:O970)&gt;=0),SUM(M970:O970)/L970,"")</f>
        <v>1557.0523696942387</v>
      </c>
      <c r="Q970" s="16" t="str">
        <v>沿用原计划SKU店铺</v>
      </c>
      <c r="R970" s="16" t="str">
        <v>已匹配</v>
      </c>
      <c r="S970" s="16" t="str">
        <v>在售</v>
      </c>
      <c r="T970" s="16" t="str">
        <v>B06</v>
      </c>
      <c r="U970" s="16" t="str">
        <v>白色PU</v>
      </c>
      <c r="V970" s="16" t="n">
        <v>7</v>
      </c>
      <c r="W970" s="8" t="str">
        <v>2026-10-11 至 2026-10-17</v>
      </c>
      <c r="X970" s="8" t="str">
        <v>2026-10-11、2026-10-12、2026-10-13、2026-10-14、2026-10-15、2026-10-16、2026-10-17</v>
      </c>
      <c r="Y970" s="8" t="str">
        <v>无</v>
      </c>
      <c r="Z970" s="8" t="n">
        <v>0</v>
      </c>
      <c r="AA970" s="8" t="n">
        <v>0</v>
      </c>
      <c r="AB970" s="8" t="n">
        <v>7</v>
      </c>
      <c r="AC970" s="8" t="str">
        <v>2026-10-02 至 2026-10-17</v>
      </c>
      <c r="AD970" s="8" t="str">
        <v>2026-10-02、2026-10-03、2026-10-04、2026-10-05、2026-10-08、2026-10-09、2026-10-10、2026-10-11、2026-10-12、2026-10-13、2026-10-14、2026-10-15、2026-10-16、2026-10-17</v>
      </c>
      <c r="AE970" s="8" t="str">
        <v>2026-10-06 大促；2026-10-07 大促</v>
      </c>
      <c r="AF970" s="8" t="n">
        <v>5</v>
      </c>
      <c r="AG970" s="8" t="n">
        <v>4</v>
      </c>
      <c r="AH970" s="8" t="n">
        <v>14</v>
      </c>
      <c r="AI970" s="8" t="str">
        <v>2026-09-16 至 2026-10-17</v>
      </c>
      <c r="AJ9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0" s="8" t="str">
        <v>2026-10-06 大促；2026-10-07 大促</v>
      </c>
      <c r="AL970" s="8" t="n">
        <v>6</v>
      </c>
      <c r="AM970" s="8" t="n">
        <v>4</v>
      </c>
      <c r="AN970" s="8" t="n">
        <v>30</v>
      </c>
      <c r="AO970" s="8" t="str">
        <v>B06 / 白色PU / 13120</v>
      </c>
      <c r="AP970" s="11" t="n">
        <v>1.2247029157699902</v>
      </c>
      <c r="AQ970" s="11" t="n">
        <v>1.2247029157699902</v>
      </c>
      <c r="AR970" s="11" t="n">
        <v>1.1136940657346173</v>
      </c>
      <c r="AS970" s="11" t="n">
        <f>IF(AND(COUNT(I970:K970,AP970:AR970)=6,MIN(AP970:AR970)&gt;0),I970/7/AP970*0.5+J970/14/AQ970*0.3+K970/30/AR970*0.2,"")</f>
        <v>0.02946912348029766</v>
      </c>
      <c r="AT970" s="8" t="n">
        <v>15</v>
      </c>
      <c r="AU970" s="8" t="n">
        <v>4</v>
      </c>
      <c r="AV970" s="8" t="n">
        <v>88</v>
      </c>
      <c r="AW970" s="11" t="n">
        <f>IF(AND(COUNT(AT970:AV970)=3,AT970&gt;=AU970,AU970&gt;=0,AV970&gt;0),(AT970-AU970)/AV970,"")</f>
        <v>0.125</v>
      </c>
      <c r="AX970" s="8" t="n">
        <v>46</v>
      </c>
      <c r="AY970" s="8" t="n">
        <v>4</v>
      </c>
      <c r="AZ970" s="8" t="n">
        <v>178</v>
      </c>
      <c r="BA970" s="11" t="n">
        <f>IF(AND(COUNT(AX970:AZ970)=3,AX970&gt;=AY970,AY970&gt;=0,AZ970&gt;0),(AX970-AY970)/AZ970,"")</f>
        <v>0.23595505617977527</v>
      </c>
      <c r="BB970" s="8" t="n">
        <f>IF(COUNT(AS970,AW970,BA970)=3,1,0)</f>
        <v>1</v>
      </c>
      <c r="BC970" s="11" t="n">
        <f>IF(SUMIF($AO$11:$AO$1309,AO970,$BB$11:$BB$1309)=COUNTIF($AO$11:$AO$1309,AO970),SUMIF($AO$11:$AO$1309,AO970,$AS$11:$AS$1309),"")</f>
        <v>0.2999485325071546</v>
      </c>
      <c r="BD970" s="11" t="n">
        <f>IF(SUMIF($AO$11:$AO$1309,AO970,$BB$11:$BB$1309)=COUNTIF($AO$11:$AO$1309,AO970),SUMIF($AO$11:$AO$1309,AO970,$AW$11:$AW$1309),"")</f>
        <v>0.7291382383674474</v>
      </c>
      <c r="BE970" s="11" t="n">
        <f>IF(SUMIF($AO$11:$AO$1309,AO970,$BB$11:$BB$1309)=COUNTIF($AO$11:$AO$1309,AO970),SUMIF($AO$11:$AO$1309,AO970,$BA$11:$BA$1309),"")</f>
        <v>1.3530960996091448</v>
      </c>
      <c r="BF970" s="12" t="n">
        <f>IF(COUNT(BD970:BE970)&lt;&gt;2,"",IF(AND(BD970&gt;0,BE970&gt;0),0.7*AW970/BD970+0.3*BA970/BE970,IF(BD970&gt;0,AW970/BD970,IF(BE970&gt;0,BA970/BE970,IF(AND(ISNUMBER(BH970),BH970=0),0,"")))))</f>
        <v>0.17231915719962998</v>
      </c>
      <c r="BG970" s="11" t="n">
        <f>IF(AND(COUNT(BN970:BU970)=8,MIN(BN970:BU970)&gt;=0),SUMPRODUCT(BN970:BQ970,BR970:BU970),"")</f>
        <v>73.80791239847399</v>
      </c>
      <c r="BH970" s="11" t="n">
        <f>IF(COUNT(BC970,BG970)=2,BC970*BG970,"")</f>
        <v>22.138575011338894</v>
      </c>
      <c r="BI970" s="11" t="n">
        <f>IF(ISNUMBER(CI970),CI970,"")</f>
        <v>3.814900587554707</v>
      </c>
      <c r="BJ970" s="8" t="str"/>
      <c r="BK970" s="8" t="str">
        <v>90天：2026-07-20 至 2026-10-17；180天：2026-04-21 至 2026-10-17</v>
      </c>
      <c r="BL970" s="8" t="str">
        <v>90天：2026-10-06、2026-10-07；180天：2026-10-06、2026-10-07</v>
      </c>
      <c r="BM970" s="8" t="str">
        <v>2026-10：12天 × 1.2247029157699902；2026-11：30天 × 0.8332682139098497；2026-12：31天 × 0.5511018253564084；2027-01：17天 × 1.0017220238758797</v>
      </c>
      <c r="BN970" s="11" t="n">
        <v>1.2247029157699902</v>
      </c>
      <c r="BO970" s="11" t="n">
        <v>0.8332682139098497</v>
      </c>
      <c r="BP970" s="11" t="n">
        <v>0.5511018253564084</v>
      </c>
      <c r="BQ970" s="11" t="n">
        <v>1.0017220238758797</v>
      </c>
      <c r="BR970" s="8" t="n">
        <v>12</v>
      </c>
      <c r="BS970" s="8" t="n">
        <v>30</v>
      </c>
      <c r="BT970" s="8" t="n">
        <v>31</v>
      </c>
      <c r="BU970" s="8" t="n">
        <v>17</v>
      </c>
      <c r="BV970" s="11" t="n">
        <f>IF(COUNT(BC970,BF970)=2,BC970*BF970,"")</f>
        <v>0.0516868783248987</v>
      </c>
      <c r="BW970" s="11" t="n">
        <f>IF(ISNUMBER(BN970),BN970,"")</f>
        <v>1.2247029157699902</v>
      </c>
      <c r="BX970" s="14" t="n">
        <f>IF(ISNUMBER(BR970),BR970,"")</f>
        <v>12</v>
      </c>
      <c r="BY970" s="13" t="n">
        <f>IF(AND(COUNT(BV970,BW970,BX970)=3,MIN(BV970,BW970,BX970)&gt;=0),BV970*BW970*BX970,"")</f>
        <v>0.7596128470986256</v>
      </c>
      <c r="BZ970" s="11" t="n">
        <f>IF(ISNUMBER(BO970),BO970,"")</f>
        <v>0.8332682139098497</v>
      </c>
      <c r="CA970" s="14" t="n">
        <f>IF(ISNUMBER(BS970),BS970,"")</f>
        <v>30</v>
      </c>
      <c r="CB970" s="13" t="n">
        <f>IF(AND(COUNT(BV970,BZ970,CA970)=3,MIN(BV970,BZ970,CA970)&gt;=0),BV970*BZ970*CA970,"")</f>
        <v>1.2920709835309219</v>
      </c>
      <c r="CC970" s="11" t="n">
        <f>IF(ISNUMBER(BP970),BP970,"")</f>
        <v>0.5511018253564084</v>
      </c>
      <c r="CD970" s="14" t="n">
        <f>IF(ISNUMBER(BT970),BT970,"")</f>
        <v>31</v>
      </c>
      <c r="CE970" s="13" t="n">
        <f>IF(AND(COUNT(BV970,CC970,CD970)=3,MIN(BV970,CC970,CD970)&gt;=0),BV970*CC970*CD970,"")</f>
        <v>0.8830267227466138</v>
      </c>
      <c r="CF970" s="11" t="n">
        <f>IF(ISNUMBER(BQ970),BQ970,"")</f>
        <v>1.0017220238758797</v>
      </c>
      <c r="CG970" s="14" t="n">
        <f>IF(ISNUMBER(BU970),BU970,"")</f>
        <v>17</v>
      </c>
      <c r="CH970" s="13" t="n">
        <f>IF(AND(COUNT(BV970,CF970,CG970)=3,MIN(BV970,CF970,CG970)&gt;=0),BV970*CF970*CG970,"")</f>
        <v>0.8801900341785456</v>
      </c>
      <c r="CI970" s="13" t="n">
        <f>IF(COUNT(BY970,CB970,CE970,CH970)=4,SUM(BY970,CB970,CE970,CH970),"")</f>
        <v>3.814900587554707</v>
      </c>
    </row>
    <row r="971" ht="72" customHeight="1">
      <c r="A971" s="16" t="str">
        <v>B06-WT-39-N</v>
      </c>
      <c r="B971" s="16" t="str">
        <v>1店-MUSSHOE-US</v>
      </c>
      <c r="C971" s="16" t="str">
        <v>艾年</v>
      </c>
      <c r="D971" s="26" t="n">
        <f>IF(NOT(ISNUMBER(E971)),"",IF(OR(E971&lt;=0,L971=0),0,IF(OR(NOT(ISNUMBER(F971)),F971&lt;0),"",MIN(E971,INT(F971)))))</f>
        <v>0</v>
      </c>
      <c r="E971" s="27" t="n">
        <f>IF(OR(NOT(ISNUMBER(L971)),COUNT(M971:O971)&lt;&gt;3,MIN(M971:O971)&lt;0),"",ROUNDUP(ROUND(BI971-SUM(M971:O971),10),0))</f>
        <v>-40</v>
      </c>
      <c r="F971" s="28" t="n">
        <v>68</v>
      </c>
      <c r="G971" s="28" t="n">
        <f>IF(AND(ISNUMBER(D971),ISNUMBER(E971)),IF(OR(E971&lt;=0,L971=0),0,E971-D971),"")</f>
        <v>0</v>
      </c>
      <c r="H971" s="16" t="str">
        <f>IF(NOT(ISNUMBER(E971)),"销量或海外库存待补",IF(OR(E971&lt;=0,L971=0),IF(L971=0,"零日销，本批不发","本批无需补货"),IF(NOT(ISNUMBER(D971)),"国内库存待补",IF(D971=0,"国内无可用库存",IF(G971&gt;0,"先发国内现货","按建议量发货")))))</f>
        <v>本批无需补货</v>
      </c>
      <c r="I971" s="28" t="n">
        <f>IF(AND(COUNT(Z971,AA971,AB971)=3,Z971&gt;=AA971,AA971&gt;=0,AB971=7),Z971-AA971,"")</f>
        <v>0</v>
      </c>
      <c r="J971" s="28" t="n">
        <f>IF(AND(COUNT(AF971,AG971,AH971)=3,AF971&gt;=AG971,AG971&gt;=0,AH971=14),AF971-AG971,"")</f>
        <v>2</v>
      </c>
      <c r="K971" s="28" t="n">
        <f>IF(AND(COUNT(AL971,AM971,AN971)=3,AL971&gt;=AM971,AM971&gt;=0,AN971=30),AL971-AM971,"")</f>
        <v>7</v>
      </c>
      <c r="L971" s="29" t="n">
        <f>IF(ISNUMBER(BI971),BI971/90,"")</f>
        <v>0.09183311783226919</v>
      </c>
      <c r="M971" s="28" t="n">
        <v>8</v>
      </c>
      <c r="N971" s="28" t="n">
        <v>0</v>
      </c>
      <c r="O971" s="28" t="n">
        <v>40</v>
      </c>
      <c r="P971" s="30" t="n">
        <f>IF(AND(ISNUMBER(L971),L971&gt;0,COUNT(M971:O971)=3,MIN(M971:O971)&gt;=0),SUM(M971:O971)/L971,"")</f>
        <v>522.6872519745083</v>
      </c>
      <c r="Q971" s="16" t="str">
        <v>沿用原计划SKU店铺</v>
      </c>
      <c r="R971" s="16" t="str">
        <v>已匹配</v>
      </c>
      <c r="S971" s="16" t="str">
        <v>在售</v>
      </c>
      <c r="T971" s="16" t="str">
        <v>B06</v>
      </c>
      <c r="U971" s="16" t="str">
        <v>白色PU</v>
      </c>
      <c r="V971" s="16" t="n">
        <v>8</v>
      </c>
      <c r="W971" s="8" t="str">
        <v>2026-10-11 至 2026-10-17</v>
      </c>
      <c r="X971" s="8" t="str">
        <v>2026-10-11、2026-10-12、2026-10-13、2026-10-14、2026-10-15、2026-10-16、2026-10-17</v>
      </c>
      <c r="Y971" s="8" t="str">
        <v>无</v>
      </c>
      <c r="Z971" s="8" t="n">
        <v>0</v>
      </c>
      <c r="AA971" s="8" t="n">
        <v>0</v>
      </c>
      <c r="AB971" s="8" t="n">
        <v>7</v>
      </c>
      <c r="AC971" s="8" t="str">
        <v>2026-10-02 至 2026-10-17</v>
      </c>
      <c r="AD971" s="8" t="str">
        <v>2026-10-02、2026-10-03、2026-10-04、2026-10-05、2026-10-08、2026-10-09、2026-10-10、2026-10-11、2026-10-12、2026-10-13、2026-10-14、2026-10-15、2026-10-16、2026-10-17</v>
      </c>
      <c r="AE971" s="8" t="str">
        <v>2026-10-06 大促；2026-10-07 大促</v>
      </c>
      <c r="AF971" s="8" t="n">
        <v>4</v>
      </c>
      <c r="AG971" s="8" t="n">
        <v>2</v>
      </c>
      <c r="AH971" s="8" t="n">
        <v>14</v>
      </c>
      <c r="AI971" s="8" t="str">
        <v>2026-09-16 至 2026-10-17</v>
      </c>
      <c r="AJ9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1" s="8" t="str">
        <v>2026-10-06 大促；2026-10-07 大促</v>
      </c>
      <c r="AL971" s="8" t="n">
        <v>9</v>
      </c>
      <c r="AM971" s="8" t="n">
        <v>2</v>
      </c>
      <c r="AN971" s="8" t="n">
        <v>30</v>
      </c>
      <c r="AO971" s="8" t="str">
        <v>B06 / 白色PU / 13120</v>
      </c>
      <c r="AP971" s="11" t="n">
        <v>1.2247029157699902</v>
      </c>
      <c r="AQ971" s="11" t="n">
        <v>1.2247029157699902</v>
      </c>
      <c r="AR971" s="11" t="n">
        <v>1.1136940657346173</v>
      </c>
      <c r="AS971" s="11" t="n">
        <f>IF(AND(COUNT(I971:K971,AP971:AR971)=6,MIN(AP971:AR971)&gt;0),I971/7/AP971*0.5+J971/14/AQ971*0.3+K971/30/AR971*0.2,"")</f>
        <v>0.07689650014281692</v>
      </c>
      <c r="AT971" s="8" t="n">
        <v>28</v>
      </c>
      <c r="AU971" s="8" t="n">
        <v>2</v>
      </c>
      <c r="AV971" s="8" t="n">
        <v>88</v>
      </c>
      <c r="AW971" s="11" t="n">
        <f>IF(AND(COUNT(AT971:AV971)=3,AT971&gt;=AU971,AU971&gt;=0,AV971&gt;0),(AT971-AU971)/AV971,"")</f>
        <v>0.29545454545454547</v>
      </c>
      <c r="AX971" s="8" t="n">
        <v>74</v>
      </c>
      <c r="AY971" s="8" t="n">
        <v>2</v>
      </c>
      <c r="AZ971" s="8" t="n">
        <v>178</v>
      </c>
      <c r="BA971" s="11" t="n">
        <f>IF(AND(COUNT(AX971:AZ971)=3,AX971&gt;=AY971,AY971&gt;=0,AZ971&gt;0),(AX971-AY971)/AZ971,"")</f>
        <v>0.4044943820224719</v>
      </c>
      <c r="BB971" s="8" t="n">
        <f>IF(COUNT(AS971,AW971,BA971)=3,1,0)</f>
        <v>1</v>
      </c>
      <c r="BC971" s="11" t="n">
        <f>IF(SUMIF($AO$11:$AO$1309,AO971,$BB$11:$BB$1309)=COUNTIF($AO$11:$AO$1309,AO971),SUMIF($AO$11:$AO$1309,AO971,$AS$11:$AS$1309),"")</f>
        <v>0.2999485325071546</v>
      </c>
      <c r="BD971" s="11" t="n">
        <f>IF(SUMIF($AO$11:$AO$1309,AO971,$BB$11:$BB$1309)=COUNTIF($AO$11:$AO$1309,AO971),SUMIF($AO$11:$AO$1309,AO971,$AW$11:$AW$1309),"")</f>
        <v>0.7291382383674474</v>
      </c>
      <c r="BE971" s="11" t="n">
        <f>IF(SUMIF($AO$11:$AO$1309,AO971,$BB$11:$BB$1309)=COUNTIF($AO$11:$AO$1309,AO971),SUMIF($AO$11:$AO$1309,AO971,$BA$11:$BA$1309),"")</f>
        <v>1.3530960996091448</v>
      </c>
      <c r="BF971" s="12" t="n">
        <f>IF(COUNT(BD971:BE971)&lt;&gt;2,"",IF(AND(BD971&gt;0,BE971&gt;0),0.7*AW971/BD971+0.3*BA971/BE971,IF(BD971&gt;0,AW971/BD971,IF(BE971&gt;0,BA971/BE971,IF(AND(ISNUMBER(BH971),BH971=0),0,"")))))</f>
        <v>0.37332938550340683</v>
      </c>
      <c r="BG971" s="11" t="n">
        <f>IF(AND(COUNT(BN971:BU971)=8,MIN(BN971:BU971)&gt;=0),SUMPRODUCT(BN971:BQ971,BR971:BU971),"")</f>
        <v>73.80791239847399</v>
      </c>
      <c r="BH971" s="11" t="n">
        <f>IF(COUNT(BC971,BG971)=2,BC971*BG971,"")</f>
        <v>22.138575011338894</v>
      </c>
      <c r="BI971" s="11" t="n">
        <f>IF(ISNUMBER(CI971),CI971,"")</f>
        <v>8.264980604904228</v>
      </c>
      <c r="BJ971" s="8" t="str"/>
      <c r="BK971" s="8" t="str">
        <v>90天：2026-07-20 至 2026-10-17；180天：2026-04-21 至 2026-10-17</v>
      </c>
      <c r="BL971" s="8" t="str">
        <v>90天：2026-10-06、2026-10-07；180天：2026-10-06、2026-10-07</v>
      </c>
      <c r="BM971" s="8" t="str">
        <v>2026-10：12天 × 1.2247029157699902；2026-11：30天 × 0.8332682139098497；2026-12：31天 × 0.5511018253564084；2027-01：17天 × 1.0017220238758797</v>
      </c>
      <c r="BN971" s="11" t="n">
        <v>1.2247029157699902</v>
      </c>
      <c r="BO971" s="11" t="n">
        <v>0.8332682139098497</v>
      </c>
      <c r="BP971" s="11" t="n">
        <v>0.5511018253564084</v>
      </c>
      <c r="BQ971" s="11" t="n">
        <v>1.0017220238758797</v>
      </c>
      <c r="BR971" s="8" t="n">
        <v>12</v>
      </c>
      <c r="BS971" s="8" t="n">
        <v>30</v>
      </c>
      <c r="BT971" s="8" t="n">
        <v>31</v>
      </c>
      <c r="BU971" s="8" t="n">
        <v>17</v>
      </c>
      <c r="BV971" s="11" t="n">
        <f>IF(COUNT(BC971,BF971)=2,BC971*BF971,"")</f>
        <v>0.11197960132354468</v>
      </c>
      <c r="BW971" s="11" t="n">
        <f>IF(ISNUMBER(BN971),BN971,"")</f>
        <v>1.2247029157699902</v>
      </c>
      <c r="BX971" s="14" t="n">
        <f>IF(ISNUMBER(BR971),BR971,"")</f>
        <v>12</v>
      </c>
      <c r="BY971" s="13" t="n">
        <f>IF(AND(COUNT(BV971,BW971,BX971)=3,MIN(BV971,BW971,BX971)&gt;=0),BV971*BW971*BX971,"")</f>
        <v>1.6457009309724748</v>
      </c>
      <c r="BZ971" s="11" t="n">
        <f>IF(ISNUMBER(BO971),BO971,"")</f>
        <v>0.8332682139098497</v>
      </c>
      <c r="CA971" s="14" t="n">
        <f>IF(ISNUMBER(BS971),BS971,"")</f>
        <v>30</v>
      </c>
      <c r="CB971" s="13" t="n">
        <f>IF(AND(COUNT(BV971,BZ971,CA971)=3,MIN(BV971,BZ971,CA971)&gt;=0),BV971*BZ971*CA971,"")</f>
        <v>2.7992712716762136</v>
      </c>
      <c r="CC971" s="11" t="n">
        <f>IF(ISNUMBER(BP971),BP971,"")</f>
        <v>0.5511018253564084</v>
      </c>
      <c r="CD971" s="14" t="n">
        <f>IF(ISNUMBER(BT971),BT971,"")</f>
        <v>31</v>
      </c>
      <c r="CE971" s="13" t="n">
        <f>IF(AND(COUNT(BV971,CC971,CD971)=3,MIN(BV971,CC971,CD971)&gt;=0),BV971*CC971*CD971,"")</f>
        <v>1.9130770434547388</v>
      </c>
      <c r="CF971" s="11" t="n">
        <f>IF(ISNUMBER(BQ971),BQ971,"")</f>
        <v>1.0017220238758797</v>
      </c>
      <c r="CG971" s="14" t="n">
        <f>IF(ISNUMBER(BU971),BU971,"")</f>
        <v>17</v>
      </c>
      <c r="CH971" s="13" t="n">
        <f>IF(AND(COUNT(BV971,CF971,CG971)=3,MIN(BV971,CF971,CG971)&gt;=0),BV971*CF971*CG971,"")</f>
        <v>1.9069313588008003</v>
      </c>
      <c r="CI971" s="13" t="n">
        <f>IF(COUNT(BY971,CB971,CE971,CH971)=4,SUM(BY971,CB971,CE971,CH971),"")</f>
        <v>8.264980604904228</v>
      </c>
    </row>
    <row r="972" ht="72" customHeight="1">
      <c r="A972" s="16" t="str">
        <v>B06-WT-40</v>
      </c>
      <c r="B972" s="16" t="str">
        <v>1店-MUSSHOE-US</v>
      </c>
      <c r="C972" s="16" t="str">
        <v>艾年</v>
      </c>
      <c r="D972" s="26" t="n">
        <f>IF(NOT(ISNUMBER(E972)),"",IF(OR(E972&lt;=0,L972=0),0,IF(OR(NOT(ISNUMBER(F972)),F972&lt;0),"",MIN(E972,INT(F972)))))</f>
        <v>0</v>
      </c>
      <c r="E972" s="27" t="n">
        <f>IF(OR(NOT(ISNUMBER(L972)),COUNT(M972:O972)&lt;&gt;3,MIN(M972:O972)&lt;0),"",ROUNDUP(ROUND(BI972-SUM(M972:O972),10),0))</f>
        <v>-28</v>
      </c>
      <c r="F972" s="28" t="n">
        <v>37</v>
      </c>
      <c r="G972" s="28" t="n">
        <f>IF(AND(ISNUMBER(D972),ISNUMBER(E972)),IF(OR(E972&lt;=0,L972=0),0,E972-D972),"")</f>
        <v>0</v>
      </c>
      <c r="H972" s="16" t="str">
        <f>IF(NOT(ISNUMBER(E972)),"销量或海外库存待补",IF(OR(E972&lt;=0,L972=0),IF(L972=0,"零日销，本批不发","本批无需补货"),IF(NOT(ISNUMBER(D972)),"国内库存待补",IF(D972=0,"国内无可用库存",IF(G972&gt;0,"先发国内现货","按建议量发货")))))</f>
        <v>本批无需补货</v>
      </c>
      <c r="I972" s="28" t="n">
        <f>IF(AND(COUNT(Z972,AA972,AB972)=3,Z972&gt;=AA972,AA972&gt;=0,AB972=7),Z972-AA972,"")</f>
        <v>0</v>
      </c>
      <c r="J972" s="28" t="n">
        <f>IF(AND(COUNT(AF972,AG972,AH972)=3,AF972&gt;=AG972,AG972&gt;=0,AH972=14),AF972-AG972,"")</f>
        <v>0</v>
      </c>
      <c r="K972" s="28" t="n">
        <f>IF(AND(COUNT(AL972,AM972,AN972)=3,AL972&gt;=AM972,AM972&gt;=0,AN972=30),AL972-AM972,"")</f>
        <v>5</v>
      </c>
      <c r="L972" s="29" t="n">
        <f>IF(ISNUMBER(BI972),BI972/90,"")</f>
        <v>0.0579503811901458</v>
      </c>
      <c r="M972" s="28" t="n">
        <v>33</v>
      </c>
      <c r="N972" s="28" t="n">
        <v>0</v>
      </c>
      <c r="O972" s="28" t="n">
        <v>0</v>
      </c>
      <c r="P972" s="30" t="n">
        <f>IF(AND(ISNUMBER(L972),L972&gt;0,COUNT(M972:O972)=3,MIN(M972:O972)&gt;=0),SUM(M972:O972)/L972,"")</f>
        <v>569.4526821440737</v>
      </c>
      <c r="Q972" s="16" t="str">
        <v>沿用原计划SKU店铺</v>
      </c>
      <c r="R972" s="16" t="str">
        <v>已匹配</v>
      </c>
      <c r="S972" s="16" t="str">
        <v>在售</v>
      </c>
      <c r="T972" s="16" t="str">
        <v>B06</v>
      </c>
      <c r="U972" s="16" t="str">
        <v>白色PU</v>
      </c>
      <c r="V972" s="16" t="n">
        <v>9</v>
      </c>
      <c r="W972" s="8" t="str">
        <v>2026-10-11 至 2026-10-17</v>
      </c>
      <c r="X972" s="8" t="str">
        <v>2026-10-11、2026-10-12、2026-10-13、2026-10-14、2026-10-15、2026-10-16、2026-10-17</v>
      </c>
      <c r="Y972" s="8" t="str">
        <v>无</v>
      </c>
      <c r="Z972" s="8" t="n">
        <v>0</v>
      </c>
      <c r="AA972" s="8" t="n">
        <v>0</v>
      </c>
      <c r="AB972" s="8" t="n">
        <v>7</v>
      </c>
      <c r="AC972" s="8" t="str">
        <v>2026-10-02 至 2026-10-17</v>
      </c>
      <c r="AD972" s="8" t="str">
        <v>2026-10-02、2026-10-03、2026-10-04、2026-10-05、2026-10-08、2026-10-09、2026-10-10、2026-10-11、2026-10-12、2026-10-13、2026-10-14、2026-10-15、2026-10-16、2026-10-17</v>
      </c>
      <c r="AE972" s="8" t="str">
        <v>2026-10-06 大促；2026-10-07 大促</v>
      </c>
      <c r="AF972" s="8" t="n">
        <v>0</v>
      </c>
      <c r="AG972" s="8" t="n">
        <v>0</v>
      </c>
      <c r="AH972" s="8" t="n">
        <v>14</v>
      </c>
      <c r="AI972" s="8" t="str">
        <v>2026-09-16 至 2026-10-17</v>
      </c>
      <c r="AJ9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2" s="8" t="str">
        <v>2026-10-06 大促；2026-10-07 大促</v>
      </c>
      <c r="AL972" s="8" t="n">
        <v>5</v>
      </c>
      <c r="AM972" s="8" t="n">
        <v>0</v>
      </c>
      <c r="AN972" s="8" t="n">
        <v>30</v>
      </c>
      <c r="AO972" s="8" t="str">
        <v>B06 / 白色PU / 13120</v>
      </c>
      <c r="AP972" s="11" t="n">
        <v>1.2247029157699902</v>
      </c>
      <c r="AQ972" s="11" t="n">
        <v>1.2247029157699902</v>
      </c>
      <c r="AR972" s="11" t="n">
        <v>1.1136940657346173</v>
      </c>
      <c r="AS972" s="11" t="n">
        <f>IF(AND(COUNT(I972:K972,AP972:AR972)=6,MIN(AP972:AR972)&gt;0),I972/7/AP972*0.5+J972/14/AQ972*0.3+K972/30/AR972*0.2,"")</f>
        <v>0.029930421970369332</v>
      </c>
      <c r="AT972" s="8" t="n">
        <v>16</v>
      </c>
      <c r="AU972" s="8" t="n">
        <v>0</v>
      </c>
      <c r="AV972" s="8" t="n">
        <v>88</v>
      </c>
      <c r="AW972" s="11" t="n">
        <f>IF(AND(COUNT(AT972:AV972)=3,AT972&gt;=AU972,AU972&gt;=0,AV972&gt;0),(AT972-AU972)/AV972,"")</f>
        <v>0.18181818181818182</v>
      </c>
      <c r="AX972" s="8" t="n">
        <v>49</v>
      </c>
      <c r="AY972" s="8" t="n">
        <v>0</v>
      </c>
      <c r="AZ972" s="8" t="n">
        <v>178</v>
      </c>
      <c r="BA972" s="11" t="n">
        <f>IF(AND(COUNT(AX972:AZ972)=3,AX972&gt;=AY972,AY972&gt;=0,AZ972&gt;0),(AX972-AY972)/AZ972,"")</f>
        <v>0.2752808988764045</v>
      </c>
      <c r="BB972" s="8" t="n">
        <f>IF(COUNT(AS972,AW972,BA972)=3,1,0)</f>
        <v>1</v>
      </c>
      <c r="BC972" s="11" t="n">
        <f>IF(SUMIF($AO$11:$AO$1309,AO972,$BB$11:$BB$1309)=COUNTIF($AO$11:$AO$1309,AO972),SUMIF($AO$11:$AO$1309,AO972,$AS$11:$AS$1309),"")</f>
        <v>0.2999485325071546</v>
      </c>
      <c r="BD972" s="11" t="n">
        <f>IF(SUMIF($AO$11:$AO$1309,AO972,$BB$11:$BB$1309)=COUNTIF($AO$11:$AO$1309,AO972),SUMIF($AO$11:$AO$1309,AO972,$AW$11:$AW$1309),"")</f>
        <v>0.7291382383674474</v>
      </c>
      <c r="BE972" s="11" t="n">
        <f>IF(SUMIF($AO$11:$AO$1309,AO972,$BB$11:$BB$1309)=COUNTIF($AO$11:$AO$1309,AO972),SUMIF($AO$11:$AO$1309,AO972,$BA$11:$BA$1309),"")</f>
        <v>1.3530960996091448</v>
      </c>
      <c r="BF972" s="12" t="n">
        <f>IF(COUNT(BD972:BE972)&lt;&gt;2,"",IF(AND(BD972&gt;0,BE972&gt;0),0.7*AW972/BD972+0.3*BA972/BE972,IF(BD972&gt;0,AW972/BD972,IF(BE972&gt;0,BA972/BE972,IF(AND(ISNUMBER(BH972),BH972=0),0,"")))))</f>
        <v>0.2355858181676932</v>
      </c>
      <c r="BG972" s="11" t="n">
        <f>IF(AND(COUNT(BN972:BU972)=8,MIN(BN972:BU972)&gt;=0),SUMPRODUCT(BN972:BQ972,BR972:BU972),"")</f>
        <v>73.80791239847399</v>
      </c>
      <c r="BH972" s="11" t="n">
        <f>IF(COUNT(BC972,BG972)=2,BC972*BG972,"")</f>
        <v>22.138575011338894</v>
      </c>
      <c r="BI972" s="11" t="n">
        <f>IF(ISNUMBER(CI972),CI972,"")</f>
        <v>5.2155343071131215</v>
      </c>
      <c r="BJ972" s="8" t="str"/>
      <c r="BK972" s="8" t="str">
        <v>90天：2026-07-20 至 2026-10-17；180天：2026-04-21 至 2026-10-17</v>
      </c>
      <c r="BL972" s="8" t="str">
        <v>90天：2026-10-06、2026-10-07；180天：2026-10-06、2026-10-07</v>
      </c>
      <c r="BM972" s="8" t="str">
        <v>2026-10：12天 × 1.2247029157699902；2026-11：30天 × 0.8332682139098497；2026-12：31天 × 0.5511018253564084；2027-01：17天 × 1.0017220238758797</v>
      </c>
      <c r="BN972" s="11" t="n">
        <v>1.2247029157699902</v>
      </c>
      <c r="BO972" s="11" t="n">
        <v>0.8332682139098497</v>
      </c>
      <c r="BP972" s="11" t="n">
        <v>0.5511018253564084</v>
      </c>
      <c r="BQ972" s="11" t="n">
        <v>1.0017220238758797</v>
      </c>
      <c r="BR972" s="8" t="n">
        <v>12</v>
      </c>
      <c r="BS972" s="8" t="n">
        <v>30</v>
      </c>
      <c r="BT972" s="8" t="n">
        <v>31</v>
      </c>
      <c r="BU972" s="8" t="n">
        <v>17</v>
      </c>
      <c r="BV972" s="11" t="n">
        <f>IF(COUNT(BC972,BF972)=2,BC972*BF972,"")</f>
        <v>0.07066362043889693</v>
      </c>
      <c r="BW972" s="11" t="n">
        <f>IF(ISNUMBER(BN972),BN972,"")</f>
        <v>1.2247029157699902</v>
      </c>
      <c r="BX972" s="14" t="n">
        <f>IF(ISNUMBER(BR972),BR972,"")</f>
        <v>12</v>
      </c>
      <c r="BY972" s="13" t="n">
        <f>IF(AND(COUNT(BV972,BW972,BX972)=3,MIN(BV972,BW972,BX972)&gt;=0),BV972*BW972*BX972,"")</f>
        <v>1.0385033038845712</v>
      </c>
      <c r="BZ972" s="11" t="n">
        <f>IF(ISNUMBER(BO972),BO972,"")</f>
        <v>0.8332682139098497</v>
      </c>
      <c r="CA972" s="14" t="n">
        <f>IF(ISNUMBER(BS972),BS972,"")</f>
        <v>30</v>
      </c>
      <c r="CB972" s="13" t="n">
        <f>IF(AND(COUNT(BV972,BZ972,CA972)=3,MIN(BV972,BZ972,CA972)&gt;=0),BV972*BZ972*CA972,"")</f>
        <v>1.766452463745696</v>
      </c>
      <c r="CC972" s="11" t="n">
        <f>IF(ISNUMBER(BP972),BP972,"")</f>
        <v>0.5511018253564084</v>
      </c>
      <c r="CD972" s="14" t="n">
        <f>IF(ISNUMBER(BT972),BT972,"")</f>
        <v>31</v>
      </c>
      <c r="CE972" s="13" t="n">
        <f>IF(AND(COUNT(BV972,CC972,CD972)=3,MIN(BV972,CC972,CD972)&gt;=0),BV972*CC972*CD972,"")</f>
        <v>1.2072283565152238</v>
      </c>
      <c r="CF972" s="11" t="n">
        <f>IF(ISNUMBER(BQ972),BQ972,"")</f>
        <v>1.0017220238758797</v>
      </c>
      <c r="CG972" s="14" t="n">
        <f>IF(ISNUMBER(BU972),BU972,"")</f>
        <v>17</v>
      </c>
      <c r="CH972" s="13" t="n">
        <f>IF(AND(COUNT(BV972,CF972,CG972)=3,MIN(BV972,CF972,CG972)&gt;=0),BV972*CF972*CG972,"")</f>
        <v>1.2033501829676299</v>
      </c>
      <c r="CI972" s="13" t="n">
        <f>IF(COUNT(BY972,CB972,CE972,CH972)=4,SUM(BY972,CB972,CE972,CH972),"")</f>
        <v>5.2155343071131215</v>
      </c>
    </row>
    <row r="973" ht="72" customHeight="1">
      <c r="A973" s="16" t="str">
        <v>B06b-BK-37.5</v>
      </c>
      <c r="B973" s="16" t="str">
        <v>1店-MUSSHOE-US</v>
      </c>
      <c r="C973" s="16" t="str">
        <v>艾年</v>
      </c>
      <c r="D973" s="26" t="n">
        <f>IF(NOT(ISNUMBER(E973)),"",IF(OR(E973&lt;=0,L973=0),0,IF(OR(NOT(ISNUMBER(F973)),F973&lt;0),"",MIN(E973,INT(F973)))))</f>
        <v>0</v>
      </c>
      <c r="E973" s="27" t="n">
        <f>IF(OR(NOT(ISNUMBER(L973)),COUNT(M973:O973)&lt;&gt;3,MIN(M973:O973)&lt;0),"",ROUNDUP(ROUND(BI973-SUM(M973:O973),10),0))</f>
        <v>-22</v>
      </c>
      <c r="F973" s="28" t="n">
        <v>62</v>
      </c>
      <c r="G973" s="28" t="n">
        <f>IF(AND(ISNUMBER(D973),ISNUMBER(E973)),IF(OR(E973&lt;=0,L973=0),0,E973-D973),"")</f>
        <v>0</v>
      </c>
      <c r="H973" s="16" t="str">
        <f>IF(NOT(ISNUMBER(E973)),"销量或海外库存待补",IF(OR(E973&lt;=0,L973=0),IF(L973=0,"零日销，本批不发","本批无需补货"),IF(NOT(ISNUMBER(D973)),"国内库存待补",IF(D973=0,"国内无可用库存",IF(G973&gt;0,"先发国内现货","按建议量发货")))))</f>
        <v>本批无需补货</v>
      </c>
      <c r="I973" s="28" t="n">
        <f>IF(AND(COUNT(Z973,AA973,AB973)=3,Z973&gt;=AA973,AA973&gt;=0,AB973=7),Z973-AA973,"")</f>
        <v>0</v>
      </c>
      <c r="J973" s="28" t="n">
        <f>IF(AND(COUNT(AF973,AG973,AH973)=3,AF973&gt;=AG973,AG973&gt;=0,AH973=14),AF973-AG973,"")</f>
        <v>0</v>
      </c>
      <c r="K973" s="28" t="n">
        <f>IF(AND(COUNT(AL973,AM973,AN973)=3,AL973&gt;=AM973,AM973&gt;=0,AN973=30),AL973-AM973,"")</f>
        <v>1</v>
      </c>
      <c r="L973" s="29" t="n">
        <f>IF(ISNUMBER(BI973),BI973/90,"")</f>
        <v>0.42801855020205326</v>
      </c>
      <c r="M973" s="28" t="n">
        <v>0</v>
      </c>
      <c r="N973" s="28" t="n">
        <v>0</v>
      </c>
      <c r="O973" s="28" t="n">
        <v>60</v>
      </c>
      <c r="P973" s="30" t="n">
        <f>IF(AND(ISNUMBER(L973),L973&gt;0,COUNT(M973:O973)=3,MIN(M973:O973)&gt;=0),SUM(M973:O973)/L973,"")</f>
        <v>140.1808402268453</v>
      </c>
      <c r="Q973" s="16" t="str">
        <v>沿用原计划SKU店铺</v>
      </c>
      <c r="R973" s="16" t="str">
        <v>已匹配</v>
      </c>
      <c r="S973" s="16" t="str">
        <v>停售</v>
      </c>
      <c r="T973" s="16" t="str">
        <v>B06b</v>
      </c>
      <c r="U973" s="16" t="str">
        <v>黑色羊京绒</v>
      </c>
      <c r="V973" s="16" t="n">
        <v>6.5</v>
      </c>
      <c r="W973" s="8" t="str">
        <v>2026-10-08 至 2026-10-17</v>
      </c>
      <c r="X973" s="8" t="str">
        <v>2026-10-08、2026-10-09、2026-10-10、2026-10-11、2026-10-14、2026-10-15、2026-10-17</v>
      </c>
      <c r="Y973" s="8" t="str">
        <v>2026-10-12 有记录的停售日；2026-10-13 有记录的停售日；2026-10-16 有记录的停售日</v>
      </c>
      <c r="Z973" s="8" t="n">
        <v>0</v>
      </c>
      <c r="AA973" s="8" t="n">
        <v>0</v>
      </c>
      <c r="AB973" s="8" t="n">
        <v>7</v>
      </c>
      <c r="AC973" s="8" t="str">
        <v>2026-09-29 至 2026-10-17</v>
      </c>
      <c r="AD973" s="8" t="str">
        <v>2026-09-29、2026-09-30、2026-10-01、2026-10-02、2026-10-03、2026-10-04、2026-10-05、2026-10-08、2026-10-09、2026-10-10、2026-10-11、2026-10-14、2026-10-15、2026-10-17</v>
      </c>
      <c r="AE973" s="8" t="str">
        <v>2026-10-06 大促；2026-10-07 大促；2026-10-12 有记录的停售日；2026-10-13 有记录的停售日；2026-10-16 有记录的停售日</v>
      </c>
      <c r="AF973" s="8" t="n">
        <v>0</v>
      </c>
      <c r="AG973" s="8" t="n">
        <v>0</v>
      </c>
      <c r="AH973" s="8" t="n">
        <v>14</v>
      </c>
      <c r="AI973" s="8" t="str">
        <v>2026-09-13 至 2026-10-17</v>
      </c>
      <c r="AJ97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73" s="8" t="str">
        <v>2026-10-06 大促；2026-10-07 大促；2026-10-12 有记录的停售日；2026-10-13 有记录的停售日；2026-10-16 有记录的停售日</v>
      </c>
      <c r="AL973" s="8" t="n">
        <v>1</v>
      </c>
      <c r="AM973" s="8" t="n">
        <v>0</v>
      </c>
      <c r="AN973" s="8" t="n">
        <v>30</v>
      </c>
      <c r="AO973" s="8" t="str">
        <v>B06b / 黑色羊京绒 / 13120</v>
      </c>
      <c r="AP973" s="11" t="n">
        <v>1.1090677182221615</v>
      </c>
      <c r="AQ973" s="11" t="n">
        <v>1.0637680334742425</v>
      </c>
      <c r="AR973" s="11" t="n">
        <v>0.9188090422809019</v>
      </c>
      <c r="AS973" s="11" t="n">
        <f>IF(AND(COUNT(I973:K973,AP973:AR973)=6,MIN(AP973:AR973)&gt;0),I973/7/AP973*0.5+J973/14/AQ973*0.3+K973/30/AR973*0.2,"")</f>
        <v>0.007255769545015544</v>
      </c>
      <c r="AT973" s="8" t="n">
        <v>20</v>
      </c>
      <c r="AU973" s="8" t="n">
        <v>0</v>
      </c>
      <c r="AV973" s="8" t="n">
        <v>85</v>
      </c>
      <c r="AW973" s="11" t="n">
        <f>IF(AND(COUNT(AT973:AV973)=3,AT973&gt;=AU973,AU973&gt;=0,AV973&gt;0),(AT973-AU973)/AV973,"")</f>
        <v>0.23529411764705882</v>
      </c>
      <c r="AX973" s="8" t="n">
        <v>55</v>
      </c>
      <c r="AY973" s="8" t="n">
        <v>0</v>
      </c>
      <c r="AZ973" s="8" t="n">
        <v>175</v>
      </c>
      <c r="BA973" s="11" t="n">
        <f>IF(AND(COUNT(AX973:AZ973)=3,AX973&gt;=AY973,AY973&gt;=0,AZ973&gt;0),(AX973-AY973)/AZ973,"")</f>
        <v>0.3142857142857143</v>
      </c>
      <c r="BB973" s="8" t="n">
        <f>IF(COUNT(AS973,AW973,BA973)=3,1,0)</f>
        <v>1</v>
      </c>
      <c r="BC973" s="11" t="n">
        <f>IF(SUMIF($AO$11:$AO$1309,AO973,$BB$11:$BB$1309)=COUNTIF($AO$11:$AO$1309,AO973),SUMIF($AO$11:$AO$1309,AO973,$AS$11:$AS$1309),"")</f>
        <v>8.918815730624303</v>
      </c>
      <c r="BD973" s="11" t="n">
        <f>IF(SUMIF($AO$11:$AO$1309,AO973,$BB$11:$BB$1309)=COUNTIF($AO$11:$AO$1309,AO973),SUMIF($AO$11:$AO$1309,AO973,$AW$11:$AW$1309),"")</f>
        <v>6.183288770053475</v>
      </c>
      <c r="BE973" s="11" t="n">
        <f>IF(SUMIF($AO$11:$AO$1309,AO973,$BB$11:$BB$1309)=COUNTIF($AO$11:$AO$1309,AO973),SUMIF($AO$11:$AO$1309,AO973,$BA$11:$BA$1309),"")</f>
        <v>4.941926163723917</v>
      </c>
      <c r="BF973" s="12" t="n">
        <f>IF(COUNT(BD973:BE973)&lt;&gt;2,"",IF(AND(BD973&gt;0,BE973&gt;0),0.7*AW973/BD973+0.3*BA973/BE973,IF(BD973&gt;0,AW973/BD973,IF(BE973&gt;0,BA973/BE973,IF(AND(ISNUMBER(BH973),BH973=0),0,"")))))</f>
        <v>0.045715999855088923</v>
      </c>
      <c r="BG973" s="11" t="n">
        <f>IF(AND(COUNT(BN973:BU973)=8,MIN(BN973:BU973)&gt;=0),SUMPRODUCT(BN973:BQ973,BR973:BU973),"")</f>
        <v>94.47778160343367</v>
      </c>
      <c r="BH973" s="11" t="n">
        <f>IF(COUNT(BC973,BG973)=2,BC973*BG973,"")</f>
        <v>842.6299247591916</v>
      </c>
      <c r="BI973" s="11" t="n">
        <f>IF(ISNUMBER(CI973),CI973,"")</f>
        <v>38.521669518184794</v>
      </c>
      <c r="BJ973" s="8" t="str"/>
      <c r="BK973" s="8" t="str">
        <v>90天：2026-07-20 至 2026-10-17；180天：2026-04-21 至 2026-10-17</v>
      </c>
      <c r="BL973" s="8" t="str">
        <v>90天：2026-10-06、2026-10-07、2026-10-12、2026-10-13、2026-10-16；180天：2026-10-06、2026-10-07、2026-10-12、2026-10-13、2026-10-16</v>
      </c>
      <c r="BM973" s="8" t="str">
        <v>2026-10：12天 × 1.1090677182221615；2026-11：30天 × 1.0372741535934282；2026-12：31天 × 0.979949351738161；2027-01：17天 × 1.1571949690048173</v>
      </c>
      <c r="BN973" s="11" t="n">
        <v>1.1090677182221615</v>
      </c>
      <c r="BO973" s="11" t="n">
        <v>1.0372741535934282</v>
      </c>
      <c r="BP973" s="11" t="n">
        <v>0.979949351738161</v>
      </c>
      <c r="BQ973" s="11" t="n">
        <v>1.1571949690048173</v>
      </c>
      <c r="BR973" s="8" t="n">
        <v>12</v>
      </c>
      <c r="BS973" s="8" t="n">
        <v>30</v>
      </c>
      <c r="BT973" s="8" t="n">
        <v>31</v>
      </c>
      <c r="BU973" s="8" t="n">
        <v>17</v>
      </c>
      <c r="BV973" s="11" t="n">
        <f>IF(COUNT(BC973,BF973)=2,BC973*BF973,"")</f>
        <v>0.4077325786487854</v>
      </c>
      <c r="BW973" s="11" t="n">
        <f>IF(ISNUMBER(BN973),BN973,"")</f>
        <v>1.1090677182221615</v>
      </c>
      <c r="BX973" s="14" t="n">
        <f>IF(ISNUMBER(BR973),BR973,"")</f>
        <v>12</v>
      </c>
      <c r="BY973" s="13" t="n">
        <f>IF(AND(COUNT(BV973,BW973,BX973)=3,MIN(BV973,BW973,BX973)&gt;=0),BV973*BW973*BX973,"")</f>
        <v>5.426436487762158</v>
      </c>
      <c r="BZ973" s="11" t="n">
        <f>IF(ISNUMBER(BO973),BO973,"")</f>
        <v>1.0372741535934282</v>
      </c>
      <c r="CA973" s="14" t="n">
        <f>IF(ISNUMBER(BS973),BS973,"")</f>
        <v>30</v>
      </c>
      <c r="CB973" s="13" t="n">
        <f>IF(AND(COUNT(BV973,BZ973,CA973)=3,MIN(BV973,BZ973,CA973)&gt;=0),BV973*BZ973*CA973,"")</f>
        <v>12.687913962311544</v>
      </c>
      <c r="CC973" s="11" t="n">
        <f>IF(ISNUMBER(BP973),BP973,"")</f>
        <v>0.979949351738161</v>
      </c>
      <c r="CD973" s="14" t="n">
        <f>IF(ISNUMBER(BT973),BT973,"")</f>
        <v>31</v>
      </c>
      <c r="CE973" s="13" t="n">
        <f>IF(AND(COUNT(BV973,CC973,CD973)=3,MIN(BV973,CC973,CD973)&gt;=0),BV973*CC973*CD973,"")</f>
        <v>12.386275560011587</v>
      </c>
      <c r="CF973" s="11" t="n">
        <f>IF(ISNUMBER(BQ973),BQ973,"")</f>
        <v>1.1571949690048173</v>
      </c>
      <c r="CG973" s="14" t="n">
        <f>IF(ISNUMBER(BU973),BU973,"")</f>
        <v>17</v>
      </c>
      <c r="CH973" s="13" t="n">
        <f>IF(AND(COUNT(BV973,CF973,CG973)=3,MIN(BV973,CF973,CG973)&gt;=0),BV973*CF973*CG973,"")</f>
        <v>8.021043508099503</v>
      </c>
      <c r="CI973" s="13" t="n">
        <f>IF(COUNT(BY973,CB973,CE973,CH973)=4,SUM(BY973,CB973,CE973,CH973),"")</f>
        <v>38.521669518184794</v>
      </c>
    </row>
    <row r="974" ht="72" customHeight="1">
      <c r="A974" s="16" t="str">
        <v>B06b-BK-38</v>
      </c>
      <c r="B974" s="16" t="str">
        <v>1店-MUSSHOE-US</v>
      </c>
      <c r="C974" s="16" t="str">
        <v>艾年</v>
      </c>
      <c r="D974" s="26" t="n">
        <f>IF(NOT(ISNUMBER(E974)),"",IF(OR(E974&lt;=0,L974=0),0,IF(OR(NOT(ISNUMBER(F974)),F974&lt;0),"",MIN(E974,INT(F974)))))</f>
        <v>0</v>
      </c>
      <c r="E974" s="27" t="n">
        <f>IF(OR(NOT(ISNUMBER(L974)),COUNT(M974:O974)&lt;&gt;3,MIN(M974:O974)&lt;0),"",ROUNDUP(ROUND(BI974-SUM(M974:O974),10),0))</f>
        <v>-9</v>
      </c>
      <c r="F974" s="28" t="n">
        <v>58</v>
      </c>
      <c r="G974" s="28" t="n">
        <f>IF(AND(ISNUMBER(D974),ISNUMBER(E974)),IF(OR(E974&lt;=0,L974=0),0,E974-D974),"")</f>
        <v>0</v>
      </c>
      <c r="H974" s="16" t="str">
        <f>IF(NOT(ISNUMBER(E974)),"销量或海外库存待补",IF(OR(E974&lt;=0,L974=0),IF(L974=0,"零日销，本批不发","本批无需补货"),IF(NOT(ISNUMBER(D974)),"国内库存待补",IF(D974=0,"国内无可用库存",IF(G974&gt;0,"先发国内现货","按建议量发货")))))</f>
        <v>本批无需补货</v>
      </c>
      <c r="I974" s="28" t="n">
        <f>IF(AND(COUNT(Z974,AA974,AB974)=3,Z974&gt;=AA974,AA974&gt;=0,AB974=7),Z974-AA974,"")</f>
        <v>2</v>
      </c>
      <c r="J974" s="28" t="n">
        <f>IF(AND(COUNT(AF974,AG974,AH974)=3,AF974&gt;=AG974,AG974&gt;=0,AH974=14),AF974-AG974,"")</f>
        <v>4</v>
      </c>
      <c r="K974" s="28" t="n">
        <f>IF(AND(COUNT(AL974,AM974,AN974)=3,AL974&gt;=AM974,AM974&gt;=0,AN974=30),AL974-AM974,"")</f>
        <v>16</v>
      </c>
      <c r="L974" s="29" t="n">
        <f>IF(ISNUMBER(BI974),BI974/90,"")</f>
        <v>0.5961634890618659</v>
      </c>
      <c r="M974" s="28" t="n">
        <v>2</v>
      </c>
      <c r="N974" s="28" t="n">
        <v>0</v>
      </c>
      <c r="O974" s="28" t="n">
        <v>60</v>
      </c>
      <c r="P974" s="30" t="n">
        <f>IF(AND(ISNUMBER(L974),L974&gt;0,COUNT(M974:O974)=3,MIN(M974:O974)&gt;=0),SUM(M974:O974)/L974,"")</f>
        <v>103.9983178063527</v>
      </c>
      <c r="Q974" s="16" t="str">
        <v>沿用原计划SKU店铺</v>
      </c>
      <c r="R974" s="16" t="str">
        <v>已匹配</v>
      </c>
      <c r="S974" s="16" t="str">
        <v>在售</v>
      </c>
      <c r="T974" s="16" t="str">
        <v>B06b</v>
      </c>
      <c r="U974" s="16" t="str">
        <v>黑色羊京绒</v>
      </c>
      <c r="V974" s="16" t="n">
        <v>7</v>
      </c>
      <c r="W974" s="8" t="str">
        <v>2026-10-11 至 2026-10-17</v>
      </c>
      <c r="X974" s="8" t="str">
        <v>2026-10-11、2026-10-12、2026-10-13、2026-10-14、2026-10-15、2026-10-16、2026-10-17</v>
      </c>
      <c r="Y974" s="8" t="str">
        <v>无</v>
      </c>
      <c r="Z974" s="8" t="n">
        <v>2</v>
      </c>
      <c r="AA974" s="8" t="n">
        <v>0</v>
      </c>
      <c r="AB974" s="8" t="n">
        <v>7</v>
      </c>
      <c r="AC974" s="8" t="str">
        <v>2026-10-02 至 2026-10-17</v>
      </c>
      <c r="AD974" s="8" t="str">
        <v>2026-10-02、2026-10-03、2026-10-04、2026-10-05、2026-10-08、2026-10-09、2026-10-10、2026-10-11、2026-10-12、2026-10-13、2026-10-14、2026-10-15、2026-10-16、2026-10-17</v>
      </c>
      <c r="AE974" s="8" t="str">
        <v>2026-10-06 大促；2026-10-07 大促</v>
      </c>
      <c r="AF974" s="8" t="n">
        <v>10</v>
      </c>
      <c r="AG974" s="8" t="n">
        <v>6</v>
      </c>
      <c r="AH974" s="8" t="n">
        <v>14</v>
      </c>
      <c r="AI974" s="8" t="str">
        <v>2026-09-16 至 2026-10-17</v>
      </c>
      <c r="AJ9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4" s="8" t="str">
        <v>2026-10-06 大促；2026-10-07 大促</v>
      </c>
      <c r="AL974" s="8" t="n">
        <v>22</v>
      </c>
      <c r="AM974" s="8" t="n">
        <v>6</v>
      </c>
      <c r="AN974" s="8" t="n">
        <v>30</v>
      </c>
      <c r="AO974" s="8" t="str">
        <v>B06b / 黑色羊京绒 / 13120</v>
      </c>
      <c r="AP974" s="11" t="n">
        <v>1.1090677182221615</v>
      </c>
      <c r="AQ974" s="11" t="n">
        <v>1.1090677182221615</v>
      </c>
      <c r="AR974" s="11" t="n">
        <v>0.9505188216044452</v>
      </c>
      <c r="AS974" s="11" t="n">
        <f>IF(AND(COUNT(I974:K974,AP974:AR974)=6,MIN(AP974:AR974)&gt;0),I974/7/AP974*0.5+J974/14/AQ974*0.3+K974/30/AR974*0.2,"")</f>
        <v>0.31831271793277255</v>
      </c>
      <c r="AT974" s="8" t="n">
        <v>38</v>
      </c>
      <c r="AU974" s="8" t="n">
        <v>6</v>
      </c>
      <c r="AV974" s="8" t="n">
        <v>88</v>
      </c>
      <c r="AW974" s="11" t="n">
        <f>IF(AND(COUNT(AT974:AV974)=3,AT974&gt;=AU974,AU974&gt;=0,AV974&gt;0),(AT974-AU974)/AV974,"")</f>
        <v>0.36363636363636365</v>
      </c>
      <c r="AX974" s="8" t="n">
        <v>72</v>
      </c>
      <c r="AY974" s="8" t="n">
        <v>6</v>
      </c>
      <c r="AZ974" s="8" t="n">
        <v>178</v>
      </c>
      <c r="BA974" s="11" t="n">
        <f>IF(AND(COUNT(AX974:AZ974)=3,AX974&gt;=AY974,AY974&gt;=0,AZ974&gt;0),(AX974-AY974)/AZ974,"")</f>
        <v>0.3707865168539326</v>
      </c>
      <c r="BB974" s="8" t="n">
        <f>IF(COUNT(AS974,AW974,BA974)=3,1,0)</f>
        <v>1</v>
      </c>
      <c r="BC974" s="11" t="n">
        <f>IF(SUMIF($AO$11:$AO$1309,AO974,$BB$11:$BB$1309)=COUNTIF($AO$11:$AO$1309,AO974),SUMIF($AO$11:$AO$1309,AO974,$AS$11:$AS$1309),"")</f>
        <v>8.918815730624303</v>
      </c>
      <c r="BD974" s="11" t="n">
        <f>IF(SUMIF($AO$11:$AO$1309,AO974,$BB$11:$BB$1309)=COUNTIF($AO$11:$AO$1309,AO974),SUMIF($AO$11:$AO$1309,AO974,$AW$11:$AW$1309),"")</f>
        <v>6.183288770053475</v>
      </c>
      <c r="BE974" s="11" t="n">
        <f>IF(SUMIF($AO$11:$AO$1309,AO974,$BB$11:$BB$1309)=COUNTIF($AO$11:$AO$1309,AO974),SUMIF($AO$11:$AO$1309,AO974,$BA$11:$BA$1309),"")</f>
        <v>4.941926163723917</v>
      </c>
      <c r="BF974" s="12" t="n">
        <f>IF(COUNT(BD974:BE974)&lt;&gt;2,"",IF(AND(BD974&gt;0,BE974&gt;0),0.7*AW974/BD974+0.3*BA974/BE974,IF(BD974&gt;0,AW974/BD974,IF(BE974&gt;0,BA974/BE974,IF(AND(ISNUMBER(BH974),BH974=0),0,"")))))</f>
        <v>0.06367530091089689</v>
      </c>
      <c r="BG974" s="11" t="n">
        <f>IF(AND(COUNT(BN974:BU974)=8,MIN(BN974:BU974)&gt;=0),SUMPRODUCT(BN974:BQ974,BR974:BU974),"")</f>
        <v>94.47778160343367</v>
      </c>
      <c r="BH974" s="11" t="n">
        <f>IF(COUNT(BC974,BG974)=2,BC974*BG974,"")</f>
        <v>842.6299247591916</v>
      </c>
      <c r="BI974" s="11" t="n">
        <f>IF(ISNUMBER(CI974),CI974,"")</f>
        <v>53.65471401556793</v>
      </c>
      <c r="BJ974" s="8" t="str"/>
      <c r="BK974" s="8" t="str">
        <v>90天：2026-07-20 至 2026-10-17；180天：2026-04-21 至 2026-10-17</v>
      </c>
      <c r="BL974" s="8" t="str">
        <v>90天：2026-10-06、2026-10-07；180天：2026-10-06、2026-10-07</v>
      </c>
      <c r="BM974" s="8" t="str">
        <v>2026-10：12天 × 1.1090677182221615；2026-11：30天 × 1.0372741535934282；2026-12：31天 × 0.979949351738161；2027-01：17天 × 1.1571949690048173</v>
      </c>
      <c r="BN974" s="11" t="n">
        <v>1.1090677182221615</v>
      </c>
      <c r="BO974" s="11" t="n">
        <v>1.0372741535934282</v>
      </c>
      <c r="BP974" s="11" t="n">
        <v>0.979949351738161</v>
      </c>
      <c r="BQ974" s="11" t="n">
        <v>1.1571949690048173</v>
      </c>
      <c r="BR974" s="8" t="n">
        <v>12</v>
      </c>
      <c r="BS974" s="8" t="n">
        <v>30</v>
      </c>
      <c r="BT974" s="8" t="n">
        <v>31</v>
      </c>
      <c r="BU974" s="8" t="n">
        <v>17</v>
      </c>
      <c r="BV974" s="11" t="n">
        <f>IF(COUNT(BC974,BF974)=2,BC974*BF974,"")</f>
        <v>0.5679082754163431</v>
      </c>
      <c r="BW974" s="11" t="n">
        <f>IF(ISNUMBER(BN974),BN974,"")</f>
        <v>1.1090677182221615</v>
      </c>
      <c r="BX974" s="14" t="n">
        <f>IF(ISNUMBER(BR974),BR974,"")</f>
        <v>12</v>
      </c>
      <c r="BY974" s="13" t="n">
        <f>IF(AND(COUNT(BV974,BW974,BX974)=3,MIN(BV974,BW974,BX974)&gt;=0),BV974*BW974*BX974,"")</f>
        <v>7.558184822105838</v>
      </c>
      <c r="BZ974" s="11" t="n">
        <f>IF(ISNUMBER(BO974),BO974,"")</f>
        <v>1.0372741535934282</v>
      </c>
      <c r="CA974" s="14" t="n">
        <f>IF(ISNUMBER(BS974),BS974,"")</f>
        <v>30</v>
      </c>
      <c r="CB974" s="13" t="n">
        <f>IF(AND(COUNT(BV974,BZ974,CA974)=3,MIN(BV974,BZ974,CA974)&gt;=0),BV974*BZ974*CA974,"")</f>
        <v>17.672297271035728</v>
      </c>
      <c r="CC974" s="11" t="n">
        <f>IF(ISNUMBER(BP974),BP974,"")</f>
        <v>0.979949351738161</v>
      </c>
      <c r="CD974" s="14" t="n">
        <f>IF(ISNUMBER(BT974),BT974,"")</f>
        <v>31</v>
      </c>
      <c r="CE974" s="13" t="n">
        <f>IF(AND(COUNT(BV974,CC974,CD974)=3,MIN(BV974,CC974,CD974)&gt;=0),BV974*CC974*CD974,"")</f>
        <v>17.252161736570457</v>
      </c>
      <c r="CF974" s="11" t="n">
        <f>IF(ISNUMBER(BQ974),BQ974,"")</f>
        <v>1.1571949690048173</v>
      </c>
      <c r="CG974" s="14" t="n">
        <f>IF(ISNUMBER(BU974),BU974,"")</f>
        <v>17</v>
      </c>
      <c r="CH974" s="13" t="n">
        <f>IF(AND(COUNT(BV974,CF974,CG974)=3,MIN(BV974,CF974,CG974)&gt;=0),BV974*CF974*CG974,"")</f>
        <v>11.172070185855905</v>
      </c>
      <c r="CI974" s="13" t="n">
        <f>IF(COUNT(BY974,CB974,CE974,CH974)=4,SUM(BY974,CB974,CE974,CH974),"")</f>
        <v>53.65471401556793</v>
      </c>
    </row>
    <row r="975" ht="72" customHeight="1">
      <c r="A975" s="16" t="str">
        <v>B06b-BK-38.5</v>
      </c>
      <c r="B975" s="16" t="str">
        <v>1店-MUSSHOE-US</v>
      </c>
      <c r="C975" s="16" t="str">
        <v>艾年</v>
      </c>
      <c r="D975" s="26" t="n">
        <f>IF(NOT(ISNUMBER(E975)),"",IF(OR(E975&lt;=0,L975=0),0,IF(OR(NOT(ISNUMBER(F975)),F975&lt;0),"",MIN(E975,INT(F975)))))</f>
        <v>0</v>
      </c>
      <c r="E975" s="27" t="n">
        <f>IF(OR(NOT(ISNUMBER(L975)),COUNT(M975:O975)&lt;&gt;3,MIN(M975:O975)&lt;0),"",ROUNDUP(ROUND(BI975-SUM(M975:O975),10),0))</f>
        <v>-11</v>
      </c>
      <c r="F975" s="28" t="n">
        <v>1</v>
      </c>
      <c r="G975" s="28" t="n">
        <f>IF(AND(ISNUMBER(D975),ISNUMBER(E975)),IF(OR(E975&lt;=0,L975=0),0,E975-D975),"")</f>
        <v>0</v>
      </c>
      <c r="H975" s="16" t="str">
        <f>IF(NOT(ISNUMBER(E975)),"销量或海外库存待补",IF(OR(E975&lt;=0,L975=0),IF(L975=0,"零日销，本批不发","本批无需补货"),IF(NOT(ISNUMBER(D975)),"国内库存待补",IF(D975=0,"国内无可用库存",IF(G975&gt;0,"先发国内现货","按建议量发货")))))</f>
        <v>本批无需补货</v>
      </c>
      <c r="I975" s="28" t="n">
        <f>IF(AND(COUNT(Z975,AA975,AB975)=3,Z975&gt;=AA975,AA975&gt;=0,AB975=7),Z975-AA975,"")</f>
        <v>9</v>
      </c>
      <c r="J975" s="28" t="n">
        <f>IF(AND(COUNT(AF975,AG975,AH975)=3,AF975&gt;=AG975,AG975&gt;=0,AH975=14),AF975-AG975,"")</f>
        <v>14</v>
      </c>
      <c r="K975" s="28" t="n">
        <f>IF(AND(COUNT(AL975,AM975,AN975)=3,AL975&gt;=AM975,AM975&gt;=0,AN975=30),AL975-AM975,"")</f>
        <v>21</v>
      </c>
      <c r="L975" s="29" t="n">
        <f>IF(ISNUMBER(BI975),BI975/90,"")</f>
        <v>1.1255570177224252</v>
      </c>
      <c r="M975" s="28" t="n">
        <v>20</v>
      </c>
      <c r="N975" s="28" t="n">
        <v>0</v>
      </c>
      <c r="O975" s="28" t="n">
        <v>92</v>
      </c>
      <c r="P975" s="30" t="n">
        <f>IF(AND(ISNUMBER(L975),L975&gt;0,COUNT(M975:O975)=3,MIN(M975:O975)&gt;=0),SUM(M975:O975)/L975,"")</f>
        <v>99.50628731952914</v>
      </c>
      <c r="Q975" s="16" t="str">
        <v>沿用原计划SKU店铺</v>
      </c>
      <c r="R975" s="16" t="str">
        <v>已匹配</v>
      </c>
      <c r="S975" s="16" t="str">
        <v>在售</v>
      </c>
      <c r="T975" s="16" t="str">
        <v>B06b</v>
      </c>
      <c r="U975" s="16" t="str">
        <v>黑色羊京绒</v>
      </c>
      <c r="V975" s="16" t="n">
        <v>7.5</v>
      </c>
      <c r="W975" s="8" t="str">
        <v>2026-10-11 至 2026-10-17</v>
      </c>
      <c r="X975" s="8" t="str">
        <v>2026-10-11、2026-10-12、2026-10-13、2026-10-14、2026-10-15、2026-10-16、2026-10-17</v>
      </c>
      <c r="Y975" s="8" t="str">
        <v>无</v>
      </c>
      <c r="Z975" s="8" t="n">
        <v>9</v>
      </c>
      <c r="AA975" s="8" t="n">
        <v>0</v>
      </c>
      <c r="AB975" s="8" t="n">
        <v>7</v>
      </c>
      <c r="AC975" s="8" t="str">
        <v>2026-10-02 至 2026-10-17</v>
      </c>
      <c r="AD975" s="8" t="str">
        <v>2026-10-02、2026-10-03、2026-10-04、2026-10-05、2026-10-08、2026-10-09、2026-10-10、2026-10-11、2026-10-12、2026-10-13、2026-10-14、2026-10-15、2026-10-16、2026-10-17</v>
      </c>
      <c r="AE975" s="8" t="str">
        <v>2026-10-06 大促；2026-10-07 大促</v>
      </c>
      <c r="AF975" s="8" t="n">
        <v>20</v>
      </c>
      <c r="AG975" s="8" t="n">
        <v>6</v>
      </c>
      <c r="AH975" s="8" t="n">
        <v>14</v>
      </c>
      <c r="AI975" s="8" t="str">
        <v>2026-09-16 至 2026-10-17</v>
      </c>
      <c r="AJ9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5" s="8" t="str">
        <v>2026-10-06 大促；2026-10-07 大促</v>
      </c>
      <c r="AL975" s="8" t="n">
        <v>27</v>
      </c>
      <c r="AM975" s="8" t="n">
        <v>6</v>
      </c>
      <c r="AN975" s="8" t="n">
        <v>30</v>
      </c>
      <c r="AO975" s="8" t="str">
        <v>B06b / 黑色羊京绒 / 13120</v>
      </c>
      <c r="AP975" s="11" t="n">
        <v>1.1090677182221615</v>
      </c>
      <c r="AQ975" s="11" t="n">
        <v>1.1090677182221615</v>
      </c>
      <c r="AR975" s="11" t="n">
        <v>0.9505188216044452</v>
      </c>
      <c r="AS975" s="11" t="n">
        <f>IF(AND(COUNT(I975:K975,AP975:AR975)=6,MIN(AP975:AR975)&gt;0),I975/7/AP975*0.5+J975/14/AQ975*0.3+K975/30/AR975*0.2,"")</f>
        <v>0.9974228551290065</v>
      </c>
      <c r="AT975" s="8" t="n">
        <v>74</v>
      </c>
      <c r="AU975" s="8" t="n">
        <v>6</v>
      </c>
      <c r="AV975" s="8" t="n">
        <v>88</v>
      </c>
      <c r="AW975" s="11" t="n">
        <f>IF(AND(COUNT(AT975:AV975)=3,AT975&gt;=AU975,AU975&gt;=0,AV975&gt;0),(AT975-AU975)/AV975,"")</f>
        <v>0.7727272727272727</v>
      </c>
      <c r="AX975" s="8" t="n">
        <v>102</v>
      </c>
      <c r="AY975" s="8" t="n">
        <v>6</v>
      </c>
      <c r="AZ975" s="8" t="n">
        <v>178</v>
      </c>
      <c r="BA975" s="11" t="n">
        <f>IF(AND(COUNT(AX975:AZ975)=3,AX975&gt;=AY975,AY975&gt;=0,AZ975&gt;0),(AX975-AY975)/AZ975,"")</f>
        <v>0.5393258426966292</v>
      </c>
      <c r="BB975" s="8" t="n">
        <f>IF(COUNT(AS975,AW975,BA975)=3,1,0)</f>
        <v>1</v>
      </c>
      <c r="BC975" s="11" t="n">
        <f>IF(SUMIF($AO$11:$AO$1309,AO975,$BB$11:$BB$1309)=COUNTIF($AO$11:$AO$1309,AO975),SUMIF($AO$11:$AO$1309,AO975,$AS$11:$AS$1309),"")</f>
        <v>8.918815730624303</v>
      </c>
      <c r="BD975" s="11" t="n">
        <f>IF(SUMIF($AO$11:$AO$1309,AO975,$BB$11:$BB$1309)=COUNTIF($AO$11:$AO$1309,AO975),SUMIF($AO$11:$AO$1309,AO975,$AW$11:$AW$1309),"")</f>
        <v>6.183288770053475</v>
      </c>
      <c r="BE975" s="11" t="n">
        <f>IF(SUMIF($AO$11:$AO$1309,AO975,$BB$11:$BB$1309)=COUNTIF($AO$11:$AO$1309,AO975),SUMIF($AO$11:$AO$1309,AO975,$BA$11:$BA$1309),"")</f>
        <v>4.941926163723917</v>
      </c>
      <c r="BF975" s="12" t="n">
        <f>IF(COUNT(BD975:BE975)&lt;&gt;2,"",IF(AND(BD975&gt;0,BE975&gt;0),0.7*AW975/BD975+0.3*BA975/BE975,IF(BD975&gt;0,AW975/BD975,IF(BE975&gt;0,BA975/BE975,IF(AND(ISNUMBER(BH975),BH975=0),0,"")))))</f>
        <v>0.12021900554263844</v>
      </c>
      <c r="BG975" s="11" t="n">
        <f>IF(AND(COUNT(BN975:BU975)=8,MIN(BN975:BU975)&gt;=0),SUMPRODUCT(BN975:BQ975,BR975:BU975),"")</f>
        <v>94.47778160343367</v>
      </c>
      <c r="BH975" s="11" t="n">
        <f>IF(COUNT(BC975,BG975)=2,BC975*BG975,"")</f>
        <v>842.6299247591916</v>
      </c>
      <c r="BI975" s="11" t="n">
        <f>IF(ISNUMBER(CI975),CI975,"")</f>
        <v>101.30013159501827</v>
      </c>
      <c r="BJ975" s="8" t="str"/>
      <c r="BK975" s="8" t="str">
        <v>90天：2026-07-20 至 2026-10-17；180天：2026-04-21 至 2026-10-17</v>
      </c>
      <c r="BL975" s="8" t="str">
        <v>90天：2026-10-06、2026-10-07；180天：2026-10-06、2026-10-07</v>
      </c>
      <c r="BM975" s="8" t="str">
        <v>2026-10：12天 × 1.1090677182221615；2026-11：30天 × 1.0372741535934282；2026-12：31天 × 0.979949351738161；2027-01：17天 × 1.1571949690048173</v>
      </c>
      <c r="BN975" s="11" t="n">
        <v>1.1090677182221615</v>
      </c>
      <c r="BO975" s="11" t="n">
        <v>1.0372741535934282</v>
      </c>
      <c r="BP975" s="11" t="n">
        <v>0.979949351738161</v>
      </c>
      <c r="BQ975" s="11" t="n">
        <v>1.1571949690048173</v>
      </c>
      <c r="BR975" s="8" t="n">
        <v>12</v>
      </c>
      <c r="BS975" s="8" t="n">
        <v>30</v>
      </c>
      <c r="BT975" s="8" t="n">
        <v>31</v>
      </c>
      <c r="BU975" s="8" t="n">
        <v>17</v>
      </c>
      <c r="BV975" s="11" t="n">
        <f>IF(COUNT(BC975,BF975)=2,BC975*BF975,"")</f>
        <v>1.072211157753694</v>
      </c>
      <c r="BW975" s="11" t="n">
        <f>IF(ISNUMBER(BN975),BN975,"")</f>
        <v>1.1090677182221615</v>
      </c>
      <c r="BX975" s="14" t="n">
        <f>IF(ISNUMBER(BR975),BR975,"")</f>
        <v>12</v>
      </c>
      <c r="BY975" s="13" t="n">
        <f>IF(AND(COUNT(BV975,BW975,BX975)=3,MIN(BV975,BW975,BX975)&gt;=0),BV975*BW975*BX975,"")</f>
        <v>14.269857386186779</v>
      </c>
      <c r="BZ975" s="11" t="n">
        <f>IF(ISNUMBER(BO975),BO975,"")</f>
        <v>1.0372741535934282</v>
      </c>
      <c r="CA975" s="14" t="n">
        <f>IF(ISNUMBER(BS975),BS975,"")</f>
        <v>30</v>
      </c>
      <c r="CB975" s="13" t="n">
        <f>IF(AND(COUNT(BV975,BZ975,CA975)=3,MIN(BV975,BZ975,CA975)&gt;=0),BV975*BZ975*CA975,"")</f>
        <v>33.36530763397178</v>
      </c>
      <c r="CC975" s="11" t="n">
        <f>IF(ISNUMBER(BP975),BP975,"")</f>
        <v>0.979949351738161</v>
      </c>
      <c r="CD975" s="14" t="n">
        <f>IF(ISNUMBER(BT975),BT975,"")</f>
        <v>31</v>
      </c>
      <c r="CE975" s="13" t="n">
        <f>IF(AND(COUNT(BV975,CC975,CD975)=3,MIN(BV975,CC975,CD975)&gt;=0),BV975*CC975*CD975,"")</f>
        <v>32.572091497981816</v>
      </c>
      <c r="CF975" s="11" t="n">
        <f>IF(ISNUMBER(BQ975),BQ975,"")</f>
        <v>1.1571949690048173</v>
      </c>
      <c r="CG975" s="14" t="n">
        <f>IF(ISNUMBER(BU975),BU975,"")</f>
        <v>17</v>
      </c>
      <c r="CH975" s="13" t="n">
        <f>IF(AND(COUNT(BV975,CF975,CG975)=3,MIN(BV975,CF975,CG975)&gt;=0),BV975*CF975*CG975,"")</f>
        <v>21.09287507687789</v>
      </c>
      <c r="CI975" s="13" t="n">
        <f>IF(COUNT(BY975,CB975,CE975,CH975)=4,SUM(BY975,CB975,CE975,CH975),"")</f>
        <v>101.30013159501827</v>
      </c>
    </row>
    <row r="976" ht="72" customHeight="1">
      <c r="A976" s="16" t="str">
        <v>B06b-BKP-37.5</v>
      </c>
      <c r="B976" s="16" t="str">
        <v>1店-MUSSHOE-US</v>
      </c>
      <c r="C976" s="16" t="str">
        <v>艾年</v>
      </c>
      <c r="D976" s="26" t="n">
        <f>IF(NOT(ISNUMBER(E976)),"",IF(OR(E976&lt;=0,L976=0),0,IF(OR(NOT(ISNUMBER(F976)),F976&lt;0),"",MIN(E976,INT(F976)))))</f>
        <v>0</v>
      </c>
      <c r="E976" s="27" t="n">
        <f>IF(OR(NOT(ISNUMBER(L976)),COUNT(M976:O976)&lt;&gt;3,MIN(M976:O976)&lt;0),"",ROUNDUP(ROUND(BI976-SUM(M976:O976),10),0))</f>
        <v>-34</v>
      </c>
      <c r="F976" s="28" t="n">
        <v>24</v>
      </c>
      <c r="G976" s="28" t="n">
        <f>IF(AND(ISNUMBER(D976),ISNUMBER(E976)),IF(OR(E976&lt;=0,L976=0),0,E976-D976),"")</f>
        <v>0</v>
      </c>
      <c r="H976" s="16" t="str">
        <f>IF(NOT(ISNUMBER(E976)),"销量或海外库存待补",IF(OR(E976&lt;=0,L976=0),IF(L976=0,"零日销，本批不发","本批无需补货"),IF(NOT(ISNUMBER(D976)),"国内库存待补",IF(D976=0,"国内无可用库存",IF(G976&gt;0,"先发国内现货","按建议量发货")))))</f>
        <v>本批无需补货</v>
      </c>
      <c r="I976" s="28" t="n">
        <f>IF(AND(COUNT(Z976,AA976,AB976)=3,Z976&gt;=AA976,AA976&gt;=0,AB976=7),Z976-AA976,"")</f>
        <v>0</v>
      </c>
      <c r="J976" s="28" t="n">
        <f>IF(AND(COUNT(AF976,AG976,AH976)=3,AF976&gt;=AG976,AG976&gt;=0,AH976=14),AF976-AG976,"")</f>
        <v>0</v>
      </c>
      <c r="K976" s="28" t="n">
        <f>IF(AND(COUNT(AL976,AM976,AN976)=3,AL976&gt;=AM976,AM976&gt;=0,AN976=30),AL976-AM976,"")</f>
        <v>1</v>
      </c>
      <c r="L976" s="29" t="n">
        <f>IF(ISNUMBER(BI976),BI976/90,"")</f>
        <v>0.023953252693850638</v>
      </c>
      <c r="M976" s="28" t="n">
        <v>0</v>
      </c>
      <c r="N976" s="28" t="n">
        <v>0</v>
      </c>
      <c r="O976" s="28" t="n">
        <v>36</v>
      </c>
      <c r="P976" s="30" t="n">
        <f>IF(AND(ISNUMBER(L976),L976&gt;0,COUNT(M976:O976)=3,MIN(M976:O976)&gt;=0),SUM(M976:O976)/L976,"")</f>
        <v>1502.9274086538587</v>
      </c>
      <c r="Q976" s="16" t="str">
        <v>沿用原计划SKU店铺</v>
      </c>
      <c r="R976" s="16" t="str">
        <v>已匹配</v>
      </c>
      <c r="S976" s="16" t="str">
        <v>停售</v>
      </c>
      <c r="T976" s="16" t="str">
        <v>B06b</v>
      </c>
      <c r="U976" s="16" t="str">
        <v>黑色PU</v>
      </c>
      <c r="V976" s="16" t="n">
        <v>6.5</v>
      </c>
      <c r="W976" s="8" t="str">
        <v>2026-10-08 至 2026-10-17</v>
      </c>
      <c r="X976" s="8" t="str">
        <v>2026-10-08、2026-10-09、2026-10-10、2026-10-11、2026-10-14、2026-10-15、2026-10-17</v>
      </c>
      <c r="Y976" s="8" t="str">
        <v>2026-10-12 有记录的停售日；2026-10-13 有记录的停售日；2026-10-16 有记录的停售日</v>
      </c>
      <c r="Z976" s="8" t="n">
        <v>0</v>
      </c>
      <c r="AA976" s="8" t="n">
        <v>0</v>
      </c>
      <c r="AB976" s="8" t="n">
        <v>7</v>
      </c>
      <c r="AC976" s="8" t="str">
        <v>2026-09-29 至 2026-10-17</v>
      </c>
      <c r="AD976" s="8" t="str">
        <v>2026-09-29、2026-09-30、2026-10-01、2026-10-02、2026-10-03、2026-10-04、2026-10-05、2026-10-08、2026-10-09、2026-10-10、2026-10-11、2026-10-14、2026-10-15、2026-10-17</v>
      </c>
      <c r="AE976" s="8" t="str">
        <v>2026-10-06 大促；2026-10-07 大促；2026-10-12 有记录的停售日；2026-10-13 有记录的停售日；2026-10-16 有记录的停售日</v>
      </c>
      <c r="AF976" s="8" t="n">
        <v>0</v>
      </c>
      <c r="AG976" s="8" t="n">
        <v>0</v>
      </c>
      <c r="AH976" s="8" t="n">
        <v>14</v>
      </c>
      <c r="AI976" s="8" t="str">
        <v>2026-09-13 至 2026-10-17</v>
      </c>
      <c r="AJ97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76" s="8" t="str">
        <v>2026-10-06 大促；2026-10-07 大促；2026-10-12 有记录的停售日；2026-10-13 有记录的停售日；2026-10-16 有记录的停售日</v>
      </c>
      <c r="AL976" s="8" t="n">
        <v>1</v>
      </c>
      <c r="AM976" s="8" t="n">
        <v>0</v>
      </c>
      <c r="AN976" s="8" t="n">
        <v>30</v>
      </c>
      <c r="AO976" s="8" t="str">
        <v>B06b / 黑色PU / 13120</v>
      </c>
      <c r="AP976" s="11" t="n">
        <v>1.1090677182221615</v>
      </c>
      <c r="AQ976" s="11" t="n">
        <v>1.0637680334742425</v>
      </c>
      <c r="AR976" s="11" t="n">
        <v>0.9188090422809019</v>
      </c>
      <c r="AS976" s="11" t="n">
        <f>IF(AND(COUNT(I976:K976,AP976:AR976)=6,MIN(AP976:AR976)&gt;0),I976/7/AP976*0.5+J976/14/AQ976*0.3+K976/30/AR976*0.2,"")</f>
        <v>0.007255769545015544</v>
      </c>
      <c r="AT976" s="8" t="n">
        <v>1</v>
      </c>
      <c r="AU976" s="8" t="n">
        <v>0</v>
      </c>
      <c r="AV976" s="8" t="n">
        <v>85</v>
      </c>
      <c r="AW976" s="11" t="n">
        <f>IF(AND(COUNT(AT976:AV976)=3,AT976&gt;=AU976,AU976&gt;=0,AV976&gt;0),(AT976-AU976)/AV976,"")</f>
        <v>0.011764705882352941</v>
      </c>
      <c r="AX976" s="8" t="n">
        <v>8</v>
      </c>
      <c r="AY976" s="8" t="n">
        <v>0</v>
      </c>
      <c r="AZ976" s="8" t="n">
        <v>175</v>
      </c>
      <c r="BA976" s="11" t="n">
        <f>IF(AND(COUNT(AX976:AZ976)=3,AX976&gt;=AY976,AY976&gt;=0,AZ976&gt;0),(AX976-AY976)/AZ976,"")</f>
        <v>0.045714285714285714</v>
      </c>
      <c r="BB976" s="8" t="n">
        <f>IF(COUNT(AS976,AW976,BA976)=3,1,0)</f>
        <v>1</v>
      </c>
      <c r="BC976" s="11" t="n">
        <f>IF(SUMIF($AO$11:$AO$1309,AO976,$BB$11:$BB$1309)=COUNTIF($AO$11:$AO$1309,AO976),SUMIF($AO$11:$AO$1309,AO976,$AS$11:$AS$1309),"")</f>
        <v>2.196839072529989</v>
      </c>
      <c r="BD976" s="11" t="n">
        <f>IF(SUMIF($AO$11:$AO$1309,AO976,$BB$11:$BB$1309)=COUNTIF($AO$11:$AO$1309,AO976),SUMIF($AO$11:$AO$1309,AO976,$AW$11:$AW$1309),"")</f>
        <v>2.461979838957527</v>
      </c>
      <c r="BE976" s="11" t="n">
        <f>IF(SUMIF($AO$11:$AO$1309,AO976,$BB$11:$BB$1309)=COUNTIF($AO$11:$AO$1309,AO976),SUMIF($AO$11:$AO$1309,AO976,$BA$11:$BA$1309),"")</f>
        <v>1.9475686263840901</v>
      </c>
      <c r="BF976" s="12" t="n">
        <f>IF(COUNT(BD976:BE976)&lt;&gt;2,"",IF(AND(BD976&gt;0,BE976&gt;0),0.7*AW976/BD976+0.3*BA976/BE976,IF(BD976&gt;0,AW976/BD976,IF(BE976&gt;0,BA976/BE976,IF(AND(ISNUMBER(BH976),BH976=0),0,"")))))</f>
        <v>0.010386735540359937</v>
      </c>
      <c r="BG976" s="11" t="n">
        <f>IF(AND(COUNT(BN976:BU976)=8,MIN(BN976:BU976)&gt;=0),SUMPRODUCT(BN976:BQ976,BR976:BU976),"")</f>
        <v>94.47778160343367</v>
      </c>
      <c r="BH976" s="11" t="n">
        <f>IF(COUNT(BC976,BG976)=2,BC976*BG976,"")</f>
        <v>207.55248211237807</v>
      </c>
      <c r="BI976" s="11" t="n">
        <f>IF(ISNUMBER(CI976),CI976,"")</f>
        <v>2.1557927424465575</v>
      </c>
      <c r="BJ976" s="8" t="str"/>
      <c r="BK976" s="8" t="str">
        <v>90天：2026-07-20 至 2026-10-17；180天：2026-04-21 至 2026-10-17</v>
      </c>
      <c r="BL976" s="8" t="str">
        <v>90天：2026-10-06、2026-10-07、2026-10-12、2026-10-13、2026-10-16；180天：2026-10-06、2026-10-07、2026-10-12、2026-10-13、2026-10-16</v>
      </c>
      <c r="BM976" s="8" t="str">
        <v>2026-10：12天 × 1.1090677182221615；2026-11：30天 × 1.0372741535934282；2026-12：31天 × 0.979949351738161；2027-01：17天 × 1.1571949690048173</v>
      </c>
      <c r="BN976" s="11" t="n">
        <v>1.1090677182221615</v>
      </c>
      <c r="BO976" s="11" t="n">
        <v>1.0372741535934282</v>
      </c>
      <c r="BP976" s="11" t="n">
        <v>0.979949351738161</v>
      </c>
      <c r="BQ976" s="11" t="n">
        <v>1.1571949690048173</v>
      </c>
      <c r="BR976" s="8" t="n">
        <v>12</v>
      </c>
      <c r="BS976" s="8" t="n">
        <v>30</v>
      </c>
      <c r="BT976" s="8" t="n">
        <v>31</v>
      </c>
      <c r="BU976" s="8" t="n">
        <v>17</v>
      </c>
      <c r="BV976" s="11" t="n">
        <f>IF(COUNT(BC976,BF976)=2,BC976*BF976,"")</f>
        <v>0.022817986471098596</v>
      </c>
      <c r="BW976" s="11" t="n">
        <f>IF(ISNUMBER(BN976),BN976,"")</f>
        <v>1.1090677182221615</v>
      </c>
      <c r="BX976" s="14" t="n">
        <f>IF(ISNUMBER(BR976),BR976,"")</f>
        <v>12</v>
      </c>
      <c r="BY976" s="13" t="n">
        <f>IF(AND(COUNT(BV976,BW976,BX976)=3,MIN(BV976,BW976,BX976)&gt;=0),BV976*BW976*BX976,"")</f>
        <v>0.3036803062791057</v>
      </c>
      <c r="BZ976" s="11" t="n">
        <f>IF(ISNUMBER(BO976),BO976,"")</f>
        <v>1.0372741535934282</v>
      </c>
      <c r="CA976" s="14" t="n">
        <f>IF(ISNUMBER(BS976),BS976,"")</f>
        <v>30</v>
      </c>
      <c r="CB976" s="13" t="n">
        <f>IF(AND(COUNT(BV976,BZ976,CA976)=3,MIN(BV976,BZ976,CA976)&gt;=0),BV976*BZ976*CA976,"")</f>
        <v>0.7100552281054529</v>
      </c>
      <c r="CC976" s="11" t="n">
        <f>IF(ISNUMBER(BP976),BP976,"")</f>
        <v>0.979949351738161</v>
      </c>
      <c r="CD976" s="14" t="n">
        <f>IF(ISNUMBER(BT976),BT976,"")</f>
        <v>31</v>
      </c>
      <c r="CE976" s="13" t="n">
        <f>IF(AND(COUNT(BV976,CC976,CD976)=3,MIN(BV976,CC976,CD976)&gt;=0),BV976*CC976*CD976,"")</f>
        <v>0.6931746025600191</v>
      </c>
      <c r="CF976" s="11" t="n">
        <f>IF(ISNUMBER(BQ976),BQ976,"")</f>
        <v>1.1571949690048173</v>
      </c>
      <c r="CG976" s="14" t="n">
        <f>IF(ISNUMBER(BU976),BU976,"")</f>
        <v>17</v>
      </c>
      <c r="CH976" s="13" t="n">
        <f>IF(AND(COUNT(BV976,CF976,CG976)=3,MIN(BV976,CF976,CG976)&gt;=0),BV976*CF976*CG976,"")</f>
        <v>0.4488826055019798</v>
      </c>
      <c r="CI976" s="13" t="n">
        <f>IF(COUNT(BY976,CB976,CE976,CH976)=4,SUM(BY976,CB976,CE976,CH976),"")</f>
        <v>2.1557927424465575</v>
      </c>
    </row>
    <row r="977" ht="72" customHeight="1">
      <c r="A977" s="16" t="str">
        <v>B06b-BKP-38</v>
      </c>
      <c r="B977" s="16" t="str">
        <v>1店-MUSSHOE-US</v>
      </c>
      <c r="C977" s="16" t="str">
        <v>艾年</v>
      </c>
      <c r="D977" s="26" t="n">
        <f>IF(NOT(ISNUMBER(E977)),"",IF(OR(E977&lt;=0,L977=0),0,IF(OR(NOT(ISNUMBER(F977)),F977&lt;0),"",MIN(E977,INT(F977)))))</f>
        <v>0</v>
      </c>
      <c r="E977" s="27" t="n">
        <f>IF(OR(NOT(ISNUMBER(L977)),COUNT(M977:O977)&lt;&gt;3,MIN(M977:O977)&lt;0),"",ROUNDUP(ROUND(BI977-SUM(M977:O977),10),0))</f>
        <v>-7</v>
      </c>
      <c r="F977" s="28" t="n">
        <v>19</v>
      </c>
      <c r="G977" s="28" t="n">
        <f>IF(AND(ISNUMBER(D977),ISNUMBER(E977)),IF(OR(E977&lt;=0,L977=0),0,E977-D977),"")</f>
        <v>0</v>
      </c>
      <c r="H977" s="16" t="str">
        <f>IF(NOT(ISNUMBER(E977)),"销量或海外库存待补",IF(OR(E977&lt;=0,L977=0),IF(L977=0,"零日销，本批不发","本批无需补货"),IF(NOT(ISNUMBER(D977)),"国内库存待补",IF(D977=0,"国内无可用库存",IF(G977&gt;0,"先发国内现货","按建议量发货")))))</f>
        <v>本批无需补货</v>
      </c>
      <c r="I977" s="28" t="n">
        <f>IF(AND(COUNT(Z977,AA977,AB977)=3,Z977&gt;=AA977,AA977&gt;=0,AB977=7),Z977-AA977,"")</f>
        <v>3</v>
      </c>
      <c r="J977" s="28" t="n">
        <f>IF(AND(COUNT(AF977,AG977,AH977)=3,AF977&gt;=AG977,AG977&gt;=0,AH977=14),AF977-AG977,"")</f>
        <v>8</v>
      </c>
      <c r="K977" s="28" t="n">
        <f>IF(AND(COUNT(AL977,AM977,AN977)=3,AL977&gt;=AM977,AM977&gt;=0,AN977=30),AL977-AM977,"")</f>
        <v>15</v>
      </c>
      <c r="L977" s="29" t="n">
        <f>IF(ISNUMBER(BI977),BI977/90,"")</f>
        <v>0.40487645148976703</v>
      </c>
      <c r="M977" s="28" t="n">
        <v>24</v>
      </c>
      <c r="N977" s="28" t="n">
        <v>0</v>
      </c>
      <c r="O977" s="28" t="n">
        <v>19</v>
      </c>
      <c r="P977" s="30" t="n">
        <f>IF(AND(ISNUMBER(L977),L977&gt;0,COUNT(M977:O977)=3,MIN(M977:O977)&gt;=0),SUM(M977:O977)/L977,"")</f>
        <v>106.20523826905452</v>
      </c>
      <c r="Q977" s="16" t="str">
        <v>沿用原计划SKU店铺</v>
      </c>
      <c r="R977" s="16" t="str">
        <v>已匹配</v>
      </c>
      <c r="S977" s="16" t="str">
        <v>在售</v>
      </c>
      <c r="T977" s="16" t="str">
        <v>B06b</v>
      </c>
      <c r="U977" s="16" t="str">
        <v>黑色PU</v>
      </c>
      <c r="V977" s="16" t="n">
        <v>7</v>
      </c>
      <c r="W977" s="8" t="str">
        <v>2026-10-11 至 2026-10-17</v>
      </c>
      <c r="X977" s="8" t="str">
        <v>2026-10-11、2026-10-12、2026-10-13、2026-10-14、2026-10-15、2026-10-16、2026-10-17</v>
      </c>
      <c r="Y977" s="8" t="str">
        <v>无</v>
      </c>
      <c r="Z977" s="8" t="n">
        <v>3</v>
      </c>
      <c r="AA977" s="8" t="n">
        <v>0</v>
      </c>
      <c r="AB977" s="8" t="n">
        <v>7</v>
      </c>
      <c r="AC977" s="8" t="str">
        <v>2026-10-02 至 2026-10-17</v>
      </c>
      <c r="AD977" s="8" t="str">
        <v>2026-10-02、2026-10-03、2026-10-04、2026-10-05、2026-10-08、2026-10-09、2026-10-10、2026-10-11、2026-10-12、2026-10-13、2026-10-14、2026-10-15、2026-10-16、2026-10-17</v>
      </c>
      <c r="AE977" s="8" t="str">
        <v>2026-10-06 大促；2026-10-07 大促</v>
      </c>
      <c r="AF977" s="8" t="n">
        <v>12</v>
      </c>
      <c r="AG977" s="8" t="n">
        <v>4</v>
      </c>
      <c r="AH977" s="8" t="n">
        <v>14</v>
      </c>
      <c r="AI977" s="8" t="str">
        <v>2026-09-16 至 2026-10-17</v>
      </c>
      <c r="AJ9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7" s="8" t="str">
        <v>2026-10-06 大促；2026-10-07 大促</v>
      </c>
      <c r="AL977" s="8" t="n">
        <v>19</v>
      </c>
      <c r="AM977" s="8" t="n">
        <v>4</v>
      </c>
      <c r="AN977" s="8" t="n">
        <v>30</v>
      </c>
      <c r="AO977" s="8" t="str">
        <v>B06b / 黑色PU / 13120</v>
      </c>
      <c r="AP977" s="11" t="n">
        <v>1.1090677182221615</v>
      </c>
      <c r="AQ977" s="11" t="n">
        <v>1.1090677182221615</v>
      </c>
      <c r="AR977" s="11" t="n">
        <v>0.9505188216044452</v>
      </c>
      <c r="AS977" s="11" t="n">
        <f>IF(AND(COUNT(I977:K977,AP977:AR977)=6,MIN(AP977:AR977)&gt;0),I977/7/AP977*0.5+J977/14/AQ977*0.3+K977/30/AR977*0.2,"")</f>
        <v>0.4529881498199056</v>
      </c>
      <c r="AT977" s="8" t="n">
        <v>42</v>
      </c>
      <c r="AU977" s="8" t="n">
        <v>4</v>
      </c>
      <c r="AV977" s="8" t="n">
        <v>88</v>
      </c>
      <c r="AW977" s="11" t="n">
        <f>IF(AND(COUNT(AT977:AV977)=3,AT977&gt;=AU977,AU977&gt;=0,AV977&gt;0),(AT977-AU977)/AV977,"")</f>
        <v>0.4318181818181818</v>
      </c>
      <c r="AX977" s="8" t="n">
        <v>65</v>
      </c>
      <c r="AY977" s="8" t="n">
        <v>4</v>
      </c>
      <c r="AZ977" s="8" t="n">
        <v>178</v>
      </c>
      <c r="BA977" s="11" t="n">
        <f>IF(AND(COUNT(AX977:AZ977)=3,AX977&gt;=AY977,AY977&gt;=0,AZ977&gt;0),(AX977-AY977)/AZ977,"")</f>
        <v>0.34269662921348315</v>
      </c>
      <c r="BB977" s="8" t="n">
        <f>IF(COUNT(AS977,AW977,BA977)=3,1,0)</f>
        <v>1</v>
      </c>
      <c r="BC977" s="11" t="n">
        <f>IF(SUMIF($AO$11:$AO$1309,AO977,$BB$11:$BB$1309)=COUNTIF($AO$11:$AO$1309,AO977),SUMIF($AO$11:$AO$1309,AO977,$AS$11:$AS$1309),"")</f>
        <v>2.196839072529989</v>
      </c>
      <c r="BD977" s="11" t="n">
        <f>IF(SUMIF($AO$11:$AO$1309,AO977,$BB$11:$BB$1309)=COUNTIF($AO$11:$AO$1309,AO977),SUMIF($AO$11:$AO$1309,AO977,$AW$11:$AW$1309),"")</f>
        <v>2.461979838957527</v>
      </c>
      <c r="BE977" s="11" t="n">
        <f>IF(SUMIF($AO$11:$AO$1309,AO977,$BB$11:$BB$1309)=COUNTIF($AO$11:$AO$1309,AO977),SUMIF($AO$11:$AO$1309,AO977,$BA$11:$BA$1309),"")</f>
        <v>1.9475686263840901</v>
      </c>
      <c r="BF977" s="12" t="n">
        <f>IF(COUNT(BD977:BE977)&lt;&gt;2,"",IF(AND(BD977&gt;0,BE977&gt;0),0.7*AW977/BD977+0.3*BA977/BE977,IF(BD977&gt;0,AW977/BD977,IF(BE977&gt;0,BA977/BE977,IF(AND(ISNUMBER(BH977),BH977=0),0,"")))))</f>
        <v>0.17556465845756264</v>
      </c>
      <c r="BG977" s="11" t="n">
        <f>IF(AND(COUNT(BN977:BU977)=8,MIN(BN977:BU977)&gt;=0),SUMPRODUCT(BN977:BQ977,BR977:BU977),"")</f>
        <v>94.47778160343367</v>
      </c>
      <c r="BH977" s="11" t="n">
        <f>IF(COUNT(BC977,BG977)=2,BC977*BG977,"")</f>
        <v>207.55248211237807</v>
      </c>
      <c r="BI977" s="11" t="n">
        <f>IF(ISNUMBER(CI977),CI977,"")</f>
        <v>36.438880634079034</v>
      </c>
      <c r="BJ977" s="8" t="str"/>
      <c r="BK977" s="8" t="str">
        <v>90天：2026-07-20 至 2026-10-17；180天：2026-04-21 至 2026-10-17</v>
      </c>
      <c r="BL977" s="8" t="str">
        <v>90天：2026-10-06、2026-10-07；180天：2026-10-06、2026-10-07</v>
      </c>
      <c r="BM977" s="8" t="str">
        <v>2026-10：12天 × 1.1090677182221615；2026-11：30天 × 1.0372741535934282；2026-12：31天 × 0.979949351738161；2027-01：17天 × 1.1571949690048173</v>
      </c>
      <c r="BN977" s="11" t="n">
        <v>1.1090677182221615</v>
      </c>
      <c r="BO977" s="11" t="n">
        <v>1.0372741535934282</v>
      </c>
      <c r="BP977" s="11" t="n">
        <v>0.979949351738161</v>
      </c>
      <c r="BQ977" s="11" t="n">
        <v>1.1571949690048173</v>
      </c>
      <c r="BR977" s="8" t="n">
        <v>12</v>
      </c>
      <c r="BS977" s="8" t="n">
        <v>30</v>
      </c>
      <c r="BT977" s="8" t="n">
        <v>31</v>
      </c>
      <c r="BU977" s="8" t="n">
        <v>17</v>
      </c>
      <c r="BV977" s="11" t="n">
        <f>IF(COUNT(BC977,BF977)=2,BC977*BF977,"")</f>
        <v>0.38568730145495617</v>
      </c>
      <c r="BW977" s="11" t="n">
        <f>IF(ISNUMBER(BN977),BN977,"")</f>
        <v>1.1090677182221615</v>
      </c>
      <c r="BX977" s="14" t="n">
        <f>IF(ISNUMBER(BR977),BR977,"")</f>
        <v>12</v>
      </c>
      <c r="BY977" s="13" t="n">
        <f>IF(AND(COUNT(BV977,BW977,BX977)=3,MIN(BV977,BW977,BX977)&gt;=0),BV977*BW977*BX977,"")</f>
        <v>5.133040024462934</v>
      </c>
      <c r="BZ977" s="11" t="n">
        <f>IF(ISNUMBER(BO977),BO977,"")</f>
        <v>1.0372741535934282</v>
      </c>
      <c r="CA977" s="14" t="n">
        <f>IF(ISNUMBER(BS977),BS977,"")</f>
        <v>30</v>
      </c>
      <c r="CB977" s="13" t="n">
        <f>IF(AND(COUNT(BV977,BZ977,CA977)=3,MIN(BV977,BZ977,CA977)&gt;=0),BV977*BZ977*CA977,"")</f>
        <v>12.001904075052693</v>
      </c>
      <c r="CC977" s="11" t="n">
        <f>IF(ISNUMBER(BP977),BP977,"")</f>
        <v>0.979949351738161</v>
      </c>
      <c r="CD977" s="14" t="n">
        <f>IF(ISNUMBER(BT977),BT977,"")</f>
        <v>31</v>
      </c>
      <c r="CE977" s="13" t="n">
        <f>IF(AND(COUNT(BV977,CC977,CD977)=3,MIN(BV977,CC977,CD977)&gt;=0),BV977*CC977*CD977,"")</f>
        <v>11.716574652067175</v>
      </c>
      <c r="CF977" s="11" t="n">
        <f>IF(ISNUMBER(BQ977),BQ977,"")</f>
        <v>1.1571949690048173</v>
      </c>
      <c r="CG977" s="14" t="n">
        <f>IF(ISNUMBER(BU977),BU977,"")</f>
        <v>17</v>
      </c>
      <c r="CH977" s="13" t="n">
        <f>IF(AND(COUNT(BV977,CF977,CG977)=3,MIN(BV977,CF977,CG977)&gt;=0),BV977*CF977*CG977,"")</f>
        <v>7.587361882496234</v>
      </c>
      <c r="CI977" s="13" t="n">
        <f>IF(COUNT(BY977,CB977,CE977,CH977)=4,SUM(BY977,CB977,CE977,CH977),"")</f>
        <v>36.438880634079034</v>
      </c>
    </row>
    <row r="978" ht="72" customHeight="1">
      <c r="A978" s="16" t="str">
        <v>B06b-BKP-38.5</v>
      </c>
      <c r="B978" s="16" t="str">
        <v>1店-MUSSHOE-US</v>
      </c>
      <c r="C978" s="16" t="str">
        <v>艾年</v>
      </c>
      <c r="D978" s="26" t="n">
        <f>IF(NOT(ISNUMBER(E978)),"",IF(OR(E978&lt;=0,L978=0),0,IF(OR(NOT(ISNUMBER(F978)),F978&lt;0),"",MIN(E978,INT(F978)))))</f>
        <v>0</v>
      </c>
      <c r="E978" s="27" t="n">
        <f>IF(OR(NOT(ISNUMBER(L978)),COUNT(M978:O978)&lt;&gt;3,MIN(M978:O978)&lt;0),"",ROUNDUP(ROUND(BI978-SUM(M978:O978),10),0))</f>
        <v>-1</v>
      </c>
      <c r="F978" s="28" t="n">
        <v>0</v>
      </c>
      <c r="G978" s="28" t="n">
        <f>IF(AND(ISNUMBER(D978),ISNUMBER(E978)),IF(OR(E978&lt;=0,L978=0),0,E978-D978),"")</f>
        <v>0</v>
      </c>
      <c r="H978" s="16" t="str">
        <f>IF(NOT(ISNUMBER(E978)),"销量或海外库存待补",IF(OR(E978&lt;=0,L978=0),IF(L978=0,"零日销，本批不发","本批无需补货"),IF(NOT(ISNUMBER(D978)),"国内库存待补",IF(D978=0,"国内无可用库存",IF(G978&gt;0,"先发国内现货","按建议量发货")))))</f>
        <v>本批无需补货</v>
      </c>
      <c r="I978" s="28" t="n">
        <f>IF(AND(COUNT(Z978,AA978,AB978)=3,Z978&gt;=AA978,AA978&gt;=0,AB978=7),Z978-AA978,"")</f>
        <v>2</v>
      </c>
      <c r="J978" s="28" t="n">
        <f>IF(AND(COUNT(AF978,AG978,AH978)=3,AF978&gt;=AG978,AG978&gt;=0,AH978=14),AF978-AG978,"")</f>
        <v>4</v>
      </c>
      <c r="K978" s="28" t="n">
        <f>IF(AND(COUNT(AL978,AM978,AN978)=3,AL978&gt;=AM978,AM978&gt;=0,AN978=30),AL978-AM978,"")</f>
        <v>8</v>
      </c>
      <c r="L978" s="29" t="n">
        <f>IF(ISNUMBER(BI978),BI978/90,"")</f>
        <v>0.2535975871348222</v>
      </c>
      <c r="M978" s="28" t="n">
        <v>21</v>
      </c>
      <c r="N978" s="28" t="n">
        <v>0</v>
      </c>
      <c r="O978" s="28" t="n">
        <v>2</v>
      </c>
      <c r="P978" s="30" t="n">
        <f>IF(AND(ISNUMBER(L978),L978&gt;0,COUNT(M978:O978)=3,MIN(M978:O978)&gt;=0),SUM(M978:O978)/L978,"")</f>
        <v>90.69486922118196</v>
      </c>
      <c r="Q978" s="16" t="str">
        <v>沿用原计划SKU店铺</v>
      </c>
      <c r="R978" s="16" t="str">
        <v>已匹配</v>
      </c>
      <c r="S978" s="16" t="str">
        <v>在售</v>
      </c>
      <c r="T978" s="16" t="str">
        <v>B06b</v>
      </c>
      <c r="U978" s="16" t="str">
        <v>黑色PU</v>
      </c>
      <c r="V978" s="16" t="n">
        <v>7.5</v>
      </c>
      <c r="W978" s="8" t="str">
        <v>2026-10-11 至 2026-10-17</v>
      </c>
      <c r="X978" s="8" t="str">
        <v>2026-10-11、2026-10-12、2026-10-13、2026-10-14、2026-10-15、2026-10-16、2026-10-17</v>
      </c>
      <c r="Y978" s="8" t="str">
        <v>无</v>
      </c>
      <c r="Z978" s="8" t="n">
        <v>2</v>
      </c>
      <c r="AA978" s="8" t="n">
        <v>0</v>
      </c>
      <c r="AB978" s="8" t="n">
        <v>7</v>
      </c>
      <c r="AC978" s="8" t="str">
        <v>2026-10-02 至 2026-10-17</v>
      </c>
      <c r="AD978" s="8" t="str">
        <v>2026-10-02、2026-10-03、2026-10-04、2026-10-05、2026-10-08、2026-10-09、2026-10-10、2026-10-11、2026-10-12、2026-10-13、2026-10-14、2026-10-15、2026-10-16、2026-10-17</v>
      </c>
      <c r="AE978" s="8" t="str">
        <v>2026-10-06 大促；2026-10-07 大促</v>
      </c>
      <c r="AF978" s="8" t="n">
        <v>4</v>
      </c>
      <c r="AG978" s="8" t="n">
        <v>0</v>
      </c>
      <c r="AH978" s="8" t="n">
        <v>14</v>
      </c>
      <c r="AI978" s="8" t="str">
        <v>2026-09-16 至 2026-10-17</v>
      </c>
      <c r="AJ9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8" s="8" t="str">
        <v>2026-10-06 大促；2026-10-07 大促</v>
      </c>
      <c r="AL978" s="8" t="n">
        <v>8</v>
      </c>
      <c r="AM978" s="8" t="n">
        <v>0</v>
      </c>
      <c r="AN978" s="8" t="n">
        <v>30</v>
      </c>
      <c r="AO978" s="8" t="str">
        <v>B06b / 黑色PU / 13120</v>
      </c>
      <c r="AP978" s="11" t="n">
        <v>1.1090677182221615</v>
      </c>
      <c r="AQ978" s="11" t="n">
        <v>1.1090677182221615</v>
      </c>
      <c r="AR978" s="11" t="n">
        <v>0.9505188216044452</v>
      </c>
      <c r="AS978" s="11" t="n">
        <f>IF(AND(COUNT(I978:K978,AP978:AR978)=6,MIN(AP978:AR978)&gt;0),I978/7/AP978*0.5+J978/14/AQ978*0.3+K978/30/AR978*0.2,"")</f>
        <v>0.26220301013834046</v>
      </c>
      <c r="AT978" s="8" t="n">
        <v>26</v>
      </c>
      <c r="AU978" s="8" t="n">
        <v>0</v>
      </c>
      <c r="AV978" s="8" t="n">
        <v>88</v>
      </c>
      <c r="AW978" s="11" t="n">
        <f>IF(AND(COUNT(AT978:AV978)=3,AT978&gt;=AU978,AU978&gt;=0,AV978&gt;0),(AT978-AU978)/AV978,"")</f>
        <v>0.29545454545454547</v>
      </c>
      <c r="AX978" s="8" t="n">
        <v>30</v>
      </c>
      <c r="AY978" s="8" t="n">
        <v>0</v>
      </c>
      <c r="AZ978" s="8" t="n">
        <v>178</v>
      </c>
      <c r="BA978" s="11" t="n">
        <f>IF(AND(COUNT(AX978:AZ978)=3,AX978&gt;=AY978,AY978&gt;=0,AZ978&gt;0),(AX978-AY978)/AZ978,"")</f>
        <v>0.16853932584269662</v>
      </c>
      <c r="BB978" s="8" t="n">
        <f>IF(COUNT(AS978,AW978,BA978)=3,1,0)</f>
        <v>1</v>
      </c>
      <c r="BC978" s="11" t="n">
        <f>IF(SUMIF($AO$11:$AO$1309,AO978,$BB$11:$BB$1309)=COUNTIF($AO$11:$AO$1309,AO978),SUMIF($AO$11:$AO$1309,AO978,$AS$11:$AS$1309),"")</f>
        <v>2.196839072529989</v>
      </c>
      <c r="BD978" s="11" t="n">
        <f>IF(SUMIF($AO$11:$AO$1309,AO978,$BB$11:$BB$1309)=COUNTIF($AO$11:$AO$1309,AO978),SUMIF($AO$11:$AO$1309,AO978,$AW$11:$AW$1309),"")</f>
        <v>2.461979838957527</v>
      </c>
      <c r="BE978" s="11" t="n">
        <f>IF(SUMIF($AO$11:$AO$1309,AO978,$BB$11:$BB$1309)=COUNTIF($AO$11:$AO$1309,AO978),SUMIF($AO$11:$AO$1309,AO978,$BA$11:$BA$1309),"")</f>
        <v>1.9475686263840901</v>
      </c>
      <c r="BF978" s="12" t="n">
        <f>IF(COUNT(BD978:BE978)&lt;&gt;2,"",IF(AND(BD978&gt;0,BE978&gt;0),0.7*AW978/BD978+0.3*BA978/BE978,IF(BD978&gt;0,AW978/BD978,IF(BE978&gt;0,BA978/BE978,IF(AND(ISNUMBER(BH978),BH978=0),0,"")))))</f>
        <v>0.10996632085457883</v>
      </c>
      <c r="BG978" s="11" t="n">
        <f>IF(AND(COUNT(BN978:BU978)=8,MIN(BN978:BU978)&gt;=0),SUMPRODUCT(BN978:BQ978,BR978:BU978),"")</f>
        <v>94.47778160343367</v>
      </c>
      <c r="BH978" s="11" t="n">
        <f>IF(COUNT(BC978,BG978)=2,BC978*BG978,"")</f>
        <v>207.55248211237807</v>
      </c>
      <c r="BI978" s="11" t="n">
        <f>IF(ISNUMBER(CI978),CI978,"")</f>
        <v>22.823782842134</v>
      </c>
      <c r="BJ978" s="8" t="str"/>
      <c r="BK978" s="8" t="str">
        <v>90天：2026-07-20 至 2026-10-17；180天：2026-04-21 至 2026-10-17</v>
      </c>
      <c r="BL978" s="8" t="str">
        <v>90天：2026-10-06、2026-10-07；180天：2026-10-06、2026-10-07</v>
      </c>
      <c r="BM978" s="8" t="str">
        <v>2026-10：12天 × 1.1090677182221615；2026-11：30天 × 1.0372741535934282；2026-12：31天 × 0.979949351738161；2027-01：17天 × 1.1571949690048173</v>
      </c>
      <c r="BN978" s="11" t="n">
        <v>1.1090677182221615</v>
      </c>
      <c r="BO978" s="11" t="n">
        <v>1.0372741535934282</v>
      </c>
      <c r="BP978" s="11" t="n">
        <v>0.979949351738161</v>
      </c>
      <c r="BQ978" s="11" t="n">
        <v>1.1571949690048173</v>
      </c>
      <c r="BR978" s="8" t="n">
        <v>12</v>
      </c>
      <c r="BS978" s="8" t="n">
        <v>30</v>
      </c>
      <c r="BT978" s="8" t="n">
        <v>31</v>
      </c>
      <c r="BU978" s="8" t="n">
        <v>17</v>
      </c>
      <c r="BV978" s="11" t="n">
        <f>IF(COUNT(BC978,BF978)=2,BC978*BF978,"")</f>
        <v>0.24157831031570814</v>
      </c>
      <c r="BW978" s="11" t="n">
        <f>IF(ISNUMBER(BN978),BN978,"")</f>
        <v>1.1090677182221615</v>
      </c>
      <c r="BX978" s="14" t="n">
        <f>IF(ISNUMBER(BR978),BR978,"")</f>
        <v>12</v>
      </c>
      <c r="BY978" s="13" t="n">
        <f>IF(AND(COUNT(BV978,BW978,BX978)=3,MIN(BV978,BW978,BX978)&gt;=0),BV978*BW978*BX978,"")</f>
        <v>3.2151204647256924</v>
      </c>
      <c r="BZ978" s="11" t="n">
        <f>IF(ISNUMBER(BO978),BO978,"")</f>
        <v>1.0372741535934282</v>
      </c>
      <c r="CA978" s="14" t="n">
        <f>IF(ISNUMBER(BS978),BS978,"")</f>
        <v>30</v>
      </c>
      <c r="CB978" s="13" t="n">
        <f>IF(AND(COUNT(BV978,BZ978,CA978)=3,MIN(BV978,BZ978,CA978)&gt;=0),BV978*BZ978*CA978,"")</f>
        <v>7.517488120777703</v>
      </c>
      <c r="CC978" s="11" t="n">
        <f>IF(ISNUMBER(BP978),BP978,"")</f>
        <v>0.979949351738161</v>
      </c>
      <c r="CD978" s="14" t="n">
        <f>IF(ISNUMBER(BT978),BT978,"")</f>
        <v>31</v>
      </c>
      <c r="CE978" s="13" t="n">
        <f>IF(AND(COUNT(BV978,CC978,CD978)=3,MIN(BV978,CC978,CD978)&gt;=0),BV978*CC978*CD978,"")</f>
        <v>7.338769766224233</v>
      </c>
      <c r="CF978" s="11" t="n">
        <f>IF(ISNUMBER(BQ978),BQ978,"")</f>
        <v>1.1571949690048173</v>
      </c>
      <c r="CG978" s="14" t="n">
        <f>IF(ISNUMBER(BU978),BU978,"")</f>
        <v>17</v>
      </c>
      <c r="CH978" s="13" t="n">
        <f>IF(AND(COUNT(BV978,CF978,CG978)=3,MIN(BV978,CF978,CG978)&gt;=0),BV978*CF978*CG978,"")</f>
        <v>4.7524044904063745</v>
      </c>
      <c r="CI978" s="13" t="n">
        <f>IF(COUNT(BY978,CB978,CE978,CH978)=4,SUM(BY978,CB978,CE978,CH978),"")</f>
        <v>22.823782842134</v>
      </c>
    </row>
    <row r="979" ht="72" customHeight="1">
      <c r="A979" s="16" t="str">
        <v>B06b-BKP-39</v>
      </c>
      <c r="B979" s="16" t="str">
        <v>1店-MUSSHOE-US</v>
      </c>
      <c r="C979" s="16" t="str">
        <v>艾年</v>
      </c>
      <c r="D979" s="26" t="n">
        <f>IF(NOT(ISNUMBER(E979)),"",IF(OR(E979&lt;=0,L979=0),0,IF(OR(NOT(ISNUMBER(F979)),F979&lt;0),"",MIN(E979,INT(F979)))))</f>
        <v>0</v>
      </c>
      <c r="E979" s="27" t="n">
        <f>IF(OR(NOT(ISNUMBER(L979)),COUNT(M979:O979)&lt;&gt;3,MIN(M979:O979)&lt;0),"",ROUNDUP(ROUND(BI979-SUM(M979:O979),10),0))</f>
        <v>-24</v>
      </c>
      <c r="F979" s="28" t="n">
        <v>18</v>
      </c>
      <c r="G979" s="28" t="n">
        <f>IF(AND(ISNUMBER(D979),ISNUMBER(E979)),IF(OR(E979&lt;=0,L979=0),0,E979-D979),"")</f>
        <v>0</v>
      </c>
      <c r="H979" s="16" t="str">
        <f>IF(NOT(ISNUMBER(E979)),"销量或海外库存待补",IF(OR(E979&lt;=0,L979=0),IF(L979=0,"零日销，本批不发","本批无需补货"),IF(NOT(ISNUMBER(D979)),"国内库存待补",IF(D979=0,"国内无可用库存",IF(G979&gt;0,"先发国内现货","按建议量发货")))))</f>
        <v>本批无需补货</v>
      </c>
      <c r="I979" s="28" t="n">
        <f>IF(AND(COUNT(Z979,AA979,AB979)=3,Z979&gt;=AA979,AA979&gt;=0,AB979=7),Z979-AA979,"")</f>
        <v>5</v>
      </c>
      <c r="J979" s="28" t="n">
        <f>IF(AND(COUNT(AF979,AG979,AH979)=3,AF979&gt;=AG979,AG979&gt;=0,AH979=14),AF979-AG979,"")</f>
        <v>9</v>
      </c>
      <c r="K979" s="28" t="n">
        <f>IF(AND(COUNT(AL979,AM979,AN979)=3,AL979&gt;=AM979,AM979&gt;=0,AN979=30),AL979-AM979,"")</f>
        <v>15</v>
      </c>
      <c r="L979" s="29" t="n">
        <f>IF(ISNUMBER(BI979),BI979/90,"")</f>
        <v>0.45463750834678857</v>
      </c>
      <c r="M979" s="28" t="n">
        <v>36</v>
      </c>
      <c r="N979" s="28" t="n">
        <v>14</v>
      </c>
      <c r="O979" s="28" t="n">
        <v>14</v>
      </c>
      <c r="P979" s="30" t="n">
        <f>IF(AND(ISNUMBER(L979),L979&gt;0,COUNT(M979:O979)=3,MIN(M979:O979)&gt;=0),SUM(M979:O979)/L979,"")</f>
        <v>140.7714911880567</v>
      </c>
      <c r="Q979" s="16" t="str">
        <v>沿用原计划SKU店铺</v>
      </c>
      <c r="R979" s="16" t="str">
        <v>已匹配</v>
      </c>
      <c r="S979" s="16" t="str">
        <v>在售</v>
      </c>
      <c r="T979" s="16" t="str">
        <v>B06b</v>
      </c>
      <c r="U979" s="16" t="str">
        <v>黑色PU</v>
      </c>
      <c r="V979" s="16" t="n">
        <v>8</v>
      </c>
      <c r="W979" s="8" t="str">
        <v>2026-10-11 至 2026-10-17</v>
      </c>
      <c r="X979" s="8" t="str">
        <v>2026-10-11、2026-10-12、2026-10-13、2026-10-14、2026-10-15、2026-10-16、2026-10-17</v>
      </c>
      <c r="Y979" s="8" t="str">
        <v>无</v>
      </c>
      <c r="Z979" s="8" t="n">
        <v>5</v>
      </c>
      <c r="AA979" s="8" t="n">
        <v>0</v>
      </c>
      <c r="AB979" s="8" t="n">
        <v>7</v>
      </c>
      <c r="AC979" s="8" t="str">
        <v>2026-10-02 至 2026-10-17</v>
      </c>
      <c r="AD979" s="8" t="str">
        <v>2026-10-02、2026-10-03、2026-10-04、2026-10-05、2026-10-08、2026-10-09、2026-10-10、2026-10-11、2026-10-12、2026-10-13、2026-10-14、2026-10-15、2026-10-16、2026-10-17</v>
      </c>
      <c r="AE979" s="8" t="str">
        <v>2026-10-06 大促；2026-10-07 大促</v>
      </c>
      <c r="AF979" s="8" t="n">
        <v>9</v>
      </c>
      <c r="AG979" s="8" t="n">
        <v>0</v>
      </c>
      <c r="AH979" s="8" t="n">
        <v>14</v>
      </c>
      <c r="AI979" s="8" t="str">
        <v>2026-09-16 至 2026-10-17</v>
      </c>
      <c r="AJ9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79" s="8" t="str">
        <v>2026-10-06 大促；2026-10-07 大促</v>
      </c>
      <c r="AL979" s="8" t="n">
        <v>15</v>
      </c>
      <c r="AM979" s="8" t="n">
        <v>0</v>
      </c>
      <c r="AN979" s="8" t="n">
        <v>30</v>
      </c>
      <c r="AO979" s="8" t="str">
        <v>B06b / 黑色PU / 13120</v>
      </c>
      <c r="AP979" s="11" t="n">
        <v>1.1090677182221615</v>
      </c>
      <c r="AQ979" s="11" t="n">
        <v>1.1090677182221615</v>
      </c>
      <c r="AR979" s="11" t="n">
        <v>0.9505188216044452</v>
      </c>
      <c r="AS979" s="11" t="n">
        <f>IF(AND(COUNT(I979:K979,AP979:AR979)=6,MIN(AP979:AR979)&gt;0),I979/7/AP979*0.5+J979/14/AQ979*0.3+K979/30/AR979*0.2,"")</f>
        <v>0.6011177108795898</v>
      </c>
      <c r="AT979" s="8" t="n">
        <v>42</v>
      </c>
      <c r="AU979" s="8" t="n">
        <v>0</v>
      </c>
      <c r="AV979" s="8" t="n">
        <v>88</v>
      </c>
      <c r="AW979" s="11" t="n">
        <f>IF(AND(COUNT(AT979:AV979)=3,AT979&gt;=AU979,AU979&gt;=0,AV979&gt;0),(AT979-AU979)/AV979,"")</f>
        <v>0.4772727272727273</v>
      </c>
      <c r="AX979" s="8" t="n">
        <v>71</v>
      </c>
      <c r="AY979" s="8" t="n">
        <v>0</v>
      </c>
      <c r="AZ979" s="8" t="n">
        <v>178</v>
      </c>
      <c r="BA979" s="11" t="n">
        <f>IF(AND(COUNT(AX979:AZ979)=3,AX979&gt;=AY979,AY979&gt;=0,AZ979&gt;0),(AX979-AY979)/AZ979,"")</f>
        <v>0.398876404494382</v>
      </c>
      <c r="BB979" s="8" t="n">
        <f>IF(COUNT(AS979,AW979,BA979)=3,1,0)</f>
        <v>1</v>
      </c>
      <c r="BC979" s="11" t="n">
        <f>IF(SUMIF($AO$11:$AO$1309,AO979,$BB$11:$BB$1309)=COUNTIF($AO$11:$AO$1309,AO979),SUMIF($AO$11:$AO$1309,AO979,$AS$11:$AS$1309),"")</f>
        <v>2.196839072529989</v>
      </c>
      <c r="BD979" s="11" t="n">
        <f>IF(SUMIF($AO$11:$AO$1309,AO979,$BB$11:$BB$1309)=COUNTIF($AO$11:$AO$1309,AO979),SUMIF($AO$11:$AO$1309,AO979,$AW$11:$AW$1309),"")</f>
        <v>2.461979838957527</v>
      </c>
      <c r="BE979" s="11" t="n">
        <f>IF(SUMIF($AO$11:$AO$1309,AO979,$BB$11:$BB$1309)=COUNTIF($AO$11:$AO$1309,AO979),SUMIF($AO$11:$AO$1309,AO979,$BA$11:$BA$1309),"")</f>
        <v>1.9475686263840901</v>
      </c>
      <c r="BF979" s="12" t="n">
        <f>IF(COUNT(BD979:BE979)&lt;&gt;2,"",IF(AND(BD979&gt;0,BE979&gt;0),0.7*AW979/BD979+0.3*BA979/BE979,IF(BD979&gt;0,AW979/BD979,IF(BE979&gt;0,BA979/BE979,IF(AND(ISNUMBER(BH979),BH979=0),0,"")))))</f>
        <v>0.19714230991010984</v>
      </c>
      <c r="BG979" s="11" t="n">
        <f>IF(AND(COUNT(BN979:BU979)=8,MIN(BN979:BU979)&gt;=0),SUMPRODUCT(BN979:BQ979,BR979:BU979),"")</f>
        <v>94.47778160343367</v>
      </c>
      <c r="BH979" s="11" t="n">
        <f>IF(COUNT(BC979,BG979)=2,BC979*BG979,"")</f>
        <v>207.55248211237807</v>
      </c>
      <c r="BI979" s="11" t="n">
        <f>IF(ISNUMBER(CI979),CI979,"")</f>
        <v>40.91737575121097</v>
      </c>
      <c r="BJ979" s="8" t="str"/>
      <c r="BK979" s="8" t="str">
        <v>90天：2026-07-20 至 2026-10-17；180天：2026-04-21 至 2026-10-17</v>
      </c>
      <c r="BL979" s="8" t="str">
        <v>90天：2026-10-06、2026-10-07；180天：2026-10-06、2026-10-07</v>
      </c>
      <c r="BM979" s="8" t="str">
        <v>2026-10：12天 × 1.1090677182221615；2026-11：30天 × 1.0372741535934282；2026-12：31天 × 0.979949351738161；2027-01：17天 × 1.1571949690048173</v>
      </c>
      <c r="BN979" s="11" t="n">
        <v>1.1090677182221615</v>
      </c>
      <c r="BO979" s="11" t="n">
        <v>1.0372741535934282</v>
      </c>
      <c r="BP979" s="11" t="n">
        <v>0.979949351738161</v>
      </c>
      <c r="BQ979" s="11" t="n">
        <v>1.1571949690048173</v>
      </c>
      <c r="BR979" s="8" t="n">
        <v>12</v>
      </c>
      <c r="BS979" s="8" t="n">
        <v>30</v>
      </c>
      <c r="BT979" s="8" t="n">
        <v>31</v>
      </c>
      <c r="BU979" s="8" t="n">
        <v>17</v>
      </c>
      <c r="BV979" s="11" t="n">
        <f>IF(COUNT(BC979,BF979)=2,BC979*BF979,"")</f>
        <v>0.4330899292593453</v>
      </c>
      <c r="BW979" s="11" t="n">
        <f>IF(ISNUMBER(BN979),BN979,"")</f>
        <v>1.1090677182221615</v>
      </c>
      <c r="BX979" s="14" t="n">
        <f>IF(ISNUMBER(BR979),BR979,"")</f>
        <v>12</v>
      </c>
      <c r="BY979" s="13" t="n">
        <f>IF(AND(COUNT(BV979,BW979,BX979)=3,MIN(BV979,BW979,BX979)&gt;=0),BV979*BW979*BX979,"")</f>
        <v>5.763912715543913</v>
      </c>
      <c r="BZ979" s="11" t="n">
        <f>IF(ISNUMBER(BO979),BO979,"")</f>
        <v>1.0372741535934282</v>
      </c>
      <c r="CA979" s="14" t="n">
        <f>IF(ISNUMBER(BS979),BS979,"")</f>
        <v>30</v>
      </c>
      <c r="CB979" s="13" t="n">
        <f>IF(AND(COUNT(BV979,BZ979,CA979)=3,MIN(BV979,BZ979,CA979)&gt;=0),BV979*BZ979*CA979,"")</f>
        <v>13.476989694069754</v>
      </c>
      <c r="CC979" s="11" t="n">
        <f>IF(ISNUMBER(BP979),BP979,"")</f>
        <v>0.979949351738161</v>
      </c>
      <c r="CD979" s="14" t="n">
        <f>IF(ISNUMBER(BT979),BT979,"")</f>
        <v>31</v>
      </c>
      <c r="CE979" s="13" t="n">
        <f>IF(AND(COUNT(BV979,CC979,CD979)=3,MIN(BV979,CC979,CD979)&gt;=0),BV979*CC979*CD979,"")</f>
        <v>13.156592058082666</v>
      </c>
      <c r="CF979" s="11" t="n">
        <f>IF(ISNUMBER(BQ979),BQ979,"")</f>
        <v>1.1571949690048173</v>
      </c>
      <c r="CG979" s="14" t="n">
        <f>IF(ISNUMBER(BU979),BU979,"")</f>
        <v>17</v>
      </c>
      <c r="CH979" s="13" t="n">
        <f>IF(AND(COUNT(BV979,CF979,CG979)=3,MIN(BV979,CF979,CG979)&gt;=0),BV979*CF979*CG979,"")</f>
        <v>8.519881283514634</v>
      </c>
      <c r="CI979" s="13" t="n">
        <f>IF(COUNT(BY979,CB979,CE979,CH979)=4,SUM(BY979,CB979,CE979,CH979),"")</f>
        <v>40.91737575121097</v>
      </c>
    </row>
    <row r="980" ht="72" customHeight="1">
      <c r="A980" s="16" t="str">
        <v>B06b-BKP-39.5</v>
      </c>
      <c r="B980" s="16" t="str">
        <v>1店-MUSSHOE-US</v>
      </c>
      <c r="C980" s="16" t="str">
        <v>艾年</v>
      </c>
      <c r="D980" s="26" t="n">
        <f>IF(NOT(ISNUMBER(E980)),"",IF(OR(E980&lt;=0,L980=0),0,IF(OR(NOT(ISNUMBER(F980)),F980&lt;0),"",MIN(E980,INT(F980)))))</f>
        <v>0</v>
      </c>
      <c r="E980" s="27" t="n">
        <f>IF(OR(NOT(ISNUMBER(L980)),COUNT(M980:O980)&lt;&gt;3,MIN(M980:O980)&lt;0),"",ROUNDUP(ROUND(BI980-SUM(M980:O980),10),0))</f>
        <v>-7</v>
      </c>
      <c r="F980" s="28" t="n">
        <v>0</v>
      </c>
      <c r="G980" s="28" t="n">
        <f>IF(AND(ISNUMBER(D980),ISNUMBER(E980)),IF(OR(E980&lt;=0,L980=0),0,E980-D980),"")</f>
        <v>0</v>
      </c>
      <c r="H980" s="16" t="str">
        <f>IF(NOT(ISNUMBER(E980)),"销量或海外库存待补",IF(OR(E980&lt;=0,L980=0),IF(L980=0,"零日销，本批不发","本批无需补货"),IF(NOT(ISNUMBER(D980)),"国内库存待补",IF(D980=0,"国内无可用库存",IF(G980&gt;0,"先发国内现货","按建议量发货")))))</f>
        <v>本批无需补货</v>
      </c>
      <c r="I980" s="28" t="n">
        <f>IF(AND(COUNT(Z980,AA980,AB980)=3,Z980&gt;=AA980,AA980&gt;=0,AB980=7),Z980-AA980,"")</f>
        <v>2</v>
      </c>
      <c r="J980" s="28" t="n">
        <f>IF(AND(COUNT(AF980,AG980,AH980)=3,AF980&gt;=AG980,AG980&gt;=0,AH980=14),AF980-AG980,"")</f>
        <v>5</v>
      </c>
      <c r="K980" s="28" t="n">
        <f>IF(AND(COUNT(AL980,AM980,AN980)=3,AL980&gt;=AM980,AM980&gt;=0,AN980=30),AL980-AM980,"")</f>
        <v>12</v>
      </c>
      <c r="L980" s="29" t="n">
        <f>IF(ISNUMBER(BI980),BI980/90,"")</f>
        <v>0.3207881426658003</v>
      </c>
      <c r="M980" s="28" t="n">
        <v>17</v>
      </c>
      <c r="N980" s="28" t="n">
        <v>9</v>
      </c>
      <c r="O980" s="28" t="n">
        <v>9</v>
      </c>
      <c r="P980" s="30" t="n">
        <f>IF(AND(ISNUMBER(L980),L980&gt;0,COUNT(M980:O980)=3,MIN(M980:O980)&gt;=0),SUM(M980:O980)/L980,"")</f>
        <v>109.10627714959928</v>
      </c>
      <c r="Q980" s="16" t="str">
        <v>沿用原计划SKU店铺</v>
      </c>
      <c r="R980" s="16" t="str">
        <v>已匹配</v>
      </c>
      <c r="S980" s="16" t="str">
        <v>在售</v>
      </c>
      <c r="T980" s="16" t="str">
        <v>B06b</v>
      </c>
      <c r="U980" s="16" t="str">
        <v>黑色PU</v>
      </c>
      <c r="V980" s="16" t="n">
        <v>8.5</v>
      </c>
      <c r="W980" s="8" t="str">
        <v>2026-10-11 至 2026-10-17</v>
      </c>
      <c r="X980" s="8" t="str">
        <v>2026-10-11、2026-10-12、2026-10-13、2026-10-14、2026-10-15、2026-10-16、2026-10-17</v>
      </c>
      <c r="Y980" s="8" t="str">
        <v>无</v>
      </c>
      <c r="Z980" s="8" t="n">
        <v>2</v>
      </c>
      <c r="AA980" s="8" t="n">
        <v>0</v>
      </c>
      <c r="AB980" s="8" t="n">
        <v>7</v>
      </c>
      <c r="AC980" s="8" t="str">
        <v>2026-10-02 至 2026-10-17</v>
      </c>
      <c r="AD980" s="8" t="str">
        <v>2026-10-02、2026-10-03、2026-10-04、2026-10-05、2026-10-08、2026-10-09、2026-10-10、2026-10-11、2026-10-12、2026-10-13、2026-10-14、2026-10-15、2026-10-16、2026-10-17</v>
      </c>
      <c r="AE980" s="8" t="str">
        <v>2026-10-06 大促；2026-10-07 大促</v>
      </c>
      <c r="AF980" s="8" t="n">
        <v>5</v>
      </c>
      <c r="AG980" s="8" t="n">
        <v>0</v>
      </c>
      <c r="AH980" s="8" t="n">
        <v>14</v>
      </c>
      <c r="AI980" s="8" t="str">
        <v>2026-09-16 至 2026-10-17</v>
      </c>
      <c r="AJ9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80" s="8" t="str">
        <v>2026-10-06 大促；2026-10-07 大促</v>
      </c>
      <c r="AL980" s="8" t="n">
        <v>12</v>
      </c>
      <c r="AM980" s="8" t="n">
        <v>0</v>
      </c>
      <c r="AN980" s="8" t="n">
        <v>30</v>
      </c>
      <c r="AO980" s="8" t="str">
        <v>B06b / 黑色PU / 13120</v>
      </c>
      <c r="AP980" s="11" t="n">
        <v>1.1090677182221615</v>
      </c>
      <c r="AQ980" s="11" t="n">
        <v>1.1090677182221615</v>
      </c>
      <c r="AR980" s="11" t="n">
        <v>0.9505188216044452</v>
      </c>
      <c r="AS980" s="11" t="n">
        <f>IF(AND(COUNT(I980:K980,AP980:AR980)=6,MIN(AP980:AR980)&gt;0),I980/7/AP980*0.5+J980/14/AQ980*0.3+K980/30/AR980*0.2,"")</f>
        <v>0.3095791111302979</v>
      </c>
      <c r="AT980" s="8" t="n">
        <v>31</v>
      </c>
      <c r="AU980" s="8" t="n">
        <v>0</v>
      </c>
      <c r="AV980" s="8" t="n">
        <v>88</v>
      </c>
      <c r="AW980" s="11" t="n">
        <f>IF(AND(COUNT(AT980:AV980)=3,AT980&gt;=AU980,AU980&gt;=0,AV980&gt;0),(AT980-AU980)/AV980,"")</f>
        <v>0.3522727272727273</v>
      </c>
      <c r="AX980" s="8" t="n">
        <v>45</v>
      </c>
      <c r="AY980" s="8" t="n">
        <v>0</v>
      </c>
      <c r="AZ980" s="8" t="n">
        <v>178</v>
      </c>
      <c r="BA980" s="11" t="n">
        <f>IF(AND(COUNT(AX980:AZ980)=3,AX980&gt;=AY980,AY980&gt;=0,AZ980&gt;0),(AX980-AY980)/AZ980,"")</f>
        <v>0.25280898876404495</v>
      </c>
      <c r="BB980" s="8" t="n">
        <f>IF(COUNT(AS980,AW980,BA980)=3,1,0)</f>
        <v>1</v>
      </c>
      <c r="BC980" s="11" t="n">
        <f>IF(SUMIF($AO$11:$AO$1309,AO980,$BB$11:$BB$1309)=COUNTIF($AO$11:$AO$1309,AO980),SUMIF($AO$11:$AO$1309,AO980,$AS$11:$AS$1309),"")</f>
        <v>2.196839072529989</v>
      </c>
      <c r="BD980" s="11" t="n">
        <f>IF(SUMIF($AO$11:$AO$1309,AO980,$BB$11:$BB$1309)=COUNTIF($AO$11:$AO$1309,AO980),SUMIF($AO$11:$AO$1309,AO980,$AW$11:$AW$1309),"")</f>
        <v>2.461979838957527</v>
      </c>
      <c r="BE980" s="11" t="n">
        <f>IF(SUMIF($AO$11:$AO$1309,AO980,$BB$11:$BB$1309)=COUNTIF($AO$11:$AO$1309,AO980),SUMIF($AO$11:$AO$1309,AO980,$BA$11:$BA$1309),"")</f>
        <v>1.9475686263840901</v>
      </c>
      <c r="BF980" s="12" t="n">
        <f>IF(COUNT(BD980:BE980)&lt;&gt;2,"",IF(AND(BD980&gt;0,BE980&gt;0),0.7*AW980/BD980+0.3*BA980/BE980,IF(BD980&gt;0,AW980/BD980,IF(BE980&gt;0,BA980/BE980,IF(AND(ISNUMBER(BH980),BH980=0),0,"")))))</f>
        <v>0.1391018432836184</v>
      </c>
      <c r="BG980" s="11" t="n">
        <f>IF(AND(COUNT(BN980:BU980)=8,MIN(BN980:BU980)&gt;=0),SUMPRODUCT(BN980:BQ980,BR980:BU980),"")</f>
        <v>94.47778160343367</v>
      </c>
      <c r="BH980" s="11" t="n">
        <f>IF(COUNT(BC980,BG980)=2,BC980*BG980,"")</f>
        <v>207.55248211237807</v>
      </c>
      <c r="BI980" s="11" t="n">
        <f>IF(ISNUMBER(CI980),CI980,"")</f>
        <v>28.870932839922027</v>
      </c>
      <c r="BJ980" s="8" t="str"/>
      <c r="BK980" s="8" t="str">
        <v>90天：2026-07-20 至 2026-10-17；180天：2026-04-21 至 2026-10-17</v>
      </c>
      <c r="BL980" s="8" t="str">
        <v>90天：2026-10-06、2026-10-07；180天：2026-10-06、2026-10-07</v>
      </c>
      <c r="BM980" s="8" t="str">
        <v>2026-10：12天 × 1.1090677182221615；2026-11：30天 × 1.0372741535934282；2026-12：31天 × 0.979949351738161；2027-01：17天 × 1.1571949690048173</v>
      </c>
      <c r="BN980" s="11" t="n">
        <v>1.1090677182221615</v>
      </c>
      <c r="BO980" s="11" t="n">
        <v>1.0372741535934282</v>
      </c>
      <c r="BP980" s="11" t="n">
        <v>0.979949351738161</v>
      </c>
      <c r="BQ980" s="11" t="n">
        <v>1.1571949690048173</v>
      </c>
      <c r="BR980" s="8" t="n">
        <v>12</v>
      </c>
      <c r="BS980" s="8" t="n">
        <v>30</v>
      </c>
      <c r="BT980" s="8" t="n">
        <v>31</v>
      </c>
      <c r="BU980" s="8" t="n">
        <v>17</v>
      </c>
      <c r="BV980" s="11" t="n">
        <f>IF(COUNT(BC980,BF980)=2,BC980*BF980,"")</f>
        <v>0.30558436438639613</v>
      </c>
      <c r="BW980" s="11" t="n">
        <f>IF(ISNUMBER(BN980),BN980,"")</f>
        <v>1.1090677182221615</v>
      </c>
      <c r="BX980" s="14" t="n">
        <f>IF(ISNUMBER(BR980),BR980,"")</f>
        <v>12</v>
      </c>
      <c r="BY980" s="13" t="n">
        <f>IF(AND(COUNT(BV980,BW980,BX980)=3,MIN(BV980,BW980,BX980)&gt;=0),BV980*BW980*BX980,"")</f>
        <v>4.0669650448126795</v>
      </c>
      <c r="BZ980" s="11" t="n">
        <f>IF(ISNUMBER(BO980),BO980,"")</f>
        <v>1.0372741535934282</v>
      </c>
      <c r="CA980" s="14" t="n">
        <f>IF(ISNUMBER(BS980),BS980,"")</f>
        <v>30</v>
      </c>
      <c r="CB980" s="13" t="n">
        <f>IF(AND(COUNT(BV980,BZ980,CA980)=3,MIN(BV980,BZ980,CA980)&gt;=0),BV980*BZ980*CA980,"")</f>
        <v>9.509242887608544</v>
      </c>
      <c r="CC980" s="11" t="n">
        <f>IF(ISNUMBER(BP980),BP980,"")</f>
        <v>0.979949351738161</v>
      </c>
      <c r="CD980" s="14" t="n">
        <f>IF(ISNUMBER(BT980),BT980,"")</f>
        <v>31</v>
      </c>
      <c r="CE980" s="13" t="n">
        <f>IF(AND(COUNT(BV980,CC980,CD980)=3,MIN(BV980,CC980,CD980)&gt;=0),BV980*CC980*CD980,"")</f>
        <v>9.283173193234774</v>
      </c>
      <c r="CF980" s="11" t="n">
        <f>IF(ISNUMBER(BQ980),BQ980,"")</f>
        <v>1.1571949690048173</v>
      </c>
      <c r="CG980" s="14" t="n">
        <f>IF(ISNUMBER(BU980),BU980,"")</f>
        <v>17</v>
      </c>
      <c r="CH980" s="13" t="n">
        <f>IF(AND(COUNT(BV980,CF980,CG980)=3,MIN(BV980,CF980,CG980)&gt;=0),BV980*CF980*CG980,"")</f>
        <v>6.011551714266032</v>
      </c>
      <c r="CI980" s="13" t="n">
        <f>IF(COUNT(BY980,CB980,CE980,CH980)=4,SUM(BY980,CB980,CE980,CH980),"")</f>
        <v>28.870932839922027</v>
      </c>
    </row>
    <row r="981" ht="72" customHeight="1">
      <c r="A981" s="16" t="str">
        <v>B06b-CCP0-6.5</v>
      </c>
      <c r="B981" s="16" t="str">
        <v>1店-MUSSHOE-US</v>
      </c>
      <c r="C981" s="16" t="str">
        <v>艾年</v>
      </c>
      <c r="D981" s="26" t="n">
        <f>IF(NOT(ISNUMBER(E981)),"",IF(OR(E981&lt;=0,L981=0),0,IF(OR(NOT(ISNUMBER(F981)),F981&lt;0),"",MIN(E981,INT(F981)))))</f>
        <v>0</v>
      </c>
      <c r="E981" s="27" t="n">
        <f>IF(OR(NOT(ISNUMBER(L981)),COUNT(M981:O981)&lt;&gt;3,MIN(M981:O981)&lt;0),"",ROUNDUP(ROUND(BI981-SUM(M981:O981),10),0))</f>
        <v>-1</v>
      </c>
      <c r="F981" s="28" t="n">
        <v>0</v>
      </c>
      <c r="G981" s="28" t="n">
        <f>IF(AND(ISNUMBER(D981),ISNUMBER(E981)),IF(OR(E981&lt;=0,L981=0),0,E981-D981),"")</f>
        <v>0</v>
      </c>
      <c r="H981" s="16" t="str">
        <f>IF(NOT(ISNUMBER(E981)),"销量或海外库存待补",IF(OR(E981&lt;=0,L981=0),IF(L981=0,"零日销，本批不发","本批无需补货"),IF(NOT(ISNUMBER(D981)),"国内库存待补",IF(D981=0,"国内无可用库存",IF(G981&gt;0,"先发国内现货","按建议量发货")))))</f>
        <v>本批无需补货</v>
      </c>
      <c r="I981" s="28" t="n">
        <f>IF(AND(COUNT(Z981,AA981,AB981)=3,Z981&gt;=AA981,AA981&gt;=0,AB981=7),Z981-AA981,"")</f>
        <v>2</v>
      </c>
      <c r="J981" s="28" t="n">
        <f>IF(AND(COUNT(AF981,AG981,AH981)=3,AF981&gt;=AG981,AG981&gt;=0,AH981=14),AF981-AG981,"")</f>
        <v>2</v>
      </c>
      <c r="K981" s="28" t="n">
        <f>IF(AND(COUNT(AL981,AM981,AN981)=3,AL981&gt;=AM981,AM981&gt;=0,AN981=30),AL981-AM981,"")</f>
        <v>5</v>
      </c>
      <c r="L981" s="29" t="n">
        <f>IF(ISNUMBER(BI981),BI981/90,"")</f>
        <v>0.22432101235963756</v>
      </c>
      <c r="M981" s="28" t="n">
        <v>21</v>
      </c>
      <c r="N981" s="28" t="n">
        <v>0</v>
      </c>
      <c r="O981" s="28" t="n">
        <v>0</v>
      </c>
      <c r="P981" s="30" t="n">
        <f>IF(AND(ISNUMBER(L981),L981&gt;0,COUNT(M981:O981)=3,MIN(M981:O981)&gt;=0),SUM(M981:O981)/L981,"")</f>
        <v>93.61583999243115</v>
      </c>
      <c r="Q981" s="16" t="str">
        <v>沿用原计划SKU店铺</v>
      </c>
      <c r="R981" s="16" t="str">
        <v>已匹配</v>
      </c>
      <c r="S981" s="16" t="str">
        <v>在售</v>
      </c>
      <c r="T981" s="16" t="str">
        <v>B06b</v>
      </c>
      <c r="U981" s="16" t="str">
        <v>咖色PU</v>
      </c>
      <c r="V981" s="16" t="n">
        <v>6.5</v>
      </c>
      <c r="W981" s="8" t="str">
        <v>2026-10-11 至 2026-10-17</v>
      </c>
      <c r="X981" s="8" t="str">
        <v>2026-10-11、2026-10-12、2026-10-13、2026-10-14、2026-10-15、2026-10-16、2026-10-17</v>
      </c>
      <c r="Y981" s="8" t="str">
        <v>无</v>
      </c>
      <c r="Z981" s="8" t="n">
        <v>2</v>
      </c>
      <c r="AA981" s="8" t="n">
        <v>0</v>
      </c>
      <c r="AB981" s="8" t="n">
        <v>7</v>
      </c>
      <c r="AC981" s="8" t="str">
        <v>2026-10-02 至 2026-10-17</v>
      </c>
      <c r="AD981" s="8" t="str">
        <v>2026-10-02、2026-10-03、2026-10-04、2026-10-05、2026-10-08、2026-10-09、2026-10-10、2026-10-11、2026-10-12、2026-10-13、2026-10-14、2026-10-15、2026-10-16、2026-10-17</v>
      </c>
      <c r="AE981" s="8" t="str">
        <v>2026-10-06 大促；2026-10-07 大促</v>
      </c>
      <c r="AF981" s="8" t="n">
        <v>4</v>
      </c>
      <c r="AG981" s="8" t="n">
        <v>2</v>
      </c>
      <c r="AH981" s="8" t="n">
        <v>14</v>
      </c>
      <c r="AI981" s="8" t="str">
        <v>2026-09-16 至 2026-10-17</v>
      </c>
      <c r="AJ9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81" s="8" t="str">
        <v>2026-10-06 大促；2026-10-07 大促</v>
      </c>
      <c r="AL981" s="8" t="n">
        <v>7</v>
      </c>
      <c r="AM981" s="8" t="n">
        <v>2</v>
      </c>
      <c r="AN981" s="8" t="n">
        <v>30</v>
      </c>
      <c r="AO981" s="8" t="str">
        <v>B06b / 咖色PU / 13120</v>
      </c>
      <c r="AP981" s="11" t="n">
        <v>1.1090677182221615</v>
      </c>
      <c r="AQ981" s="11" t="n">
        <v>1.1090677182221615</v>
      </c>
      <c r="AR981" s="11" t="n">
        <v>0.9505188216044452</v>
      </c>
      <c r="AS981" s="11" t="n">
        <f>IF(AND(COUNT(I981:K981,AP981:AR981)=6,MIN(AP981:AR981)&gt;0),I981/7/AP981*0.5+J981/14/AQ981*0.3+K981/30/AR981*0.2,"")</f>
        <v>0.20251937552594562</v>
      </c>
      <c r="AT981" s="8" t="n">
        <v>21</v>
      </c>
      <c r="AU981" s="8" t="n">
        <v>2</v>
      </c>
      <c r="AV981" s="8" t="n">
        <v>88</v>
      </c>
      <c r="AW981" s="11" t="n">
        <f>IF(AND(COUNT(AT981:AV981)=3,AT981&gt;=AU981,AU981&gt;=0,AV981&gt;0),(AT981-AU981)/AV981,"")</f>
        <v>0.2159090909090909</v>
      </c>
      <c r="AX981" s="8" t="n">
        <v>29</v>
      </c>
      <c r="AY981" s="8" t="n">
        <v>2</v>
      </c>
      <c r="AZ981" s="8" t="n">
        <v>178</v>
      </c>
      <c r="BA981" s="11" t="n">
        <f>IF(AND(COUNT(AX981:AZ981)=3,AX981&gt;=AY981,AY981&gt;=0,AZ981&gt;0),(AX981-AY981)/AZ981,"")</f>
        <v>0.15168539325842698</v>
      </c>
      <c r="BB981" s="8" t="n">
        <f>IF(COUNT(AS981,AW981,BA981)=3,1,0)</f>
        <v>1</v>
      </c>
      <c r="BC981" s="11" t="n">
        <f>IF(SUMIF($AO$11:$AO$1309,AO981,$BB$11:$BB$1309)=COUNTIF($AO$11:$AO$1309,AO981),SUMIF($AO$11:$AO$1309,AO981,$AS$11:$AS$1309),"")</f>
        <v>2.1842159740642213</v>
      </c>
      <c r="BD981" s="11" t="n">
        <f>IF(SUMIF($AO$11:$AO$1309,AO981,$BB$11:$BB$1309)=COUNTIF($AO$11:$AO$1309,AO981),SUMIF($AO$11:$AO$1309,AO981,$AW$11:$AW$1309),"")</f>
        <v>2.1590909090909087</v>
      </c>
      <c r="BE981" s="11" t="n">
        <f>IF(SUMIF($AO$11:$AO$1309,AO981,$BB$11:$BB$1309)=COUNTIF($AO$11:$AO$1309,AO981),SUMIF($AO$11:$AO$1309,AO981,$BA$11:$BA$1309),"")</f>
        <v>1.6349277688603532</v>
      </c>
      <c r="BF981" s="12" t="n">
        <f>IF(COUNT(BD981:BE981)&lt;&gt;2,"",IF(AND(BD981&gt;0,BE981&gt;0),0.7*AW981/BD981+0.3*BA981/BE981,IF(BD981&gt;0,AW981/BD981,IF(BE981&gt;0,BA981/BE981,IF(AND(ISNUMBER(BH981),BH981=0),0,"")))))</f>
        <v>0.09783341187558907</v>
      </c>
      <c r="BG981" s="11" t="n">
        <f>IF(AND(COUNT(BN981:BU981)=8,MIN(BN981:BU981)&gt;=0),SUMPRODUCT(BN981:BQ981,BR981:BU981),"")</f>
        <v>94.47778160343367</v>
      </c>
      <c r="BH981" s="11" t="n">
        <f>IF(COUNT(BC981,BG981)=2,BC981*BG981,"")</f>
        <v>206.35987977237065</v>
      </c>
      <c r="BI981" s="11" t="n">
        <f>IF(ISNUMBER(CI981),CI981,"")</f>
        <v>20.18889111236738</v>
      </c>
      <c r="BJ981" s="8" t="str"/>
      <c r="BK981" s="8" t="str">
        <v>90天：2026-07-20 至 2026-10-17；180天：2026-04-21 至 2026-10-17</v>
      </c>
      <c r="BL981" s="8" t="str">
        <v>90天：2026-10-06、2026-10-07；180天：2026-10-06、2026-10-07</v>
      </c>
      <c r="BM981" s="8" t="str">
        <v>2026-10：12天 × 1.1090677182221615；2026-11：30天 × 1.0372741535934282；2026-12：31天 × 0.979949351738161；2027-01：17天 × 1.1571949690048173</v>
      </c>
      <c r="BN981" s="11" t="n">
        <v>1.1090677182221615</v>
      </c>
      <c r="BO981" s="11" t="n">
        <v>1.0372741535934282</v>
      </c>
      <c r="BP981" s="11" t="n">
        <v>0.979949351738161</v>
      </c>
      <c r="BQ981" s="11" t="n">
        <v>1.1571949690048173</v>
      </c>
      <c r="BR981" s="8" t="n">
        <v>12</v>
      </c>
      <c r="BS981" s="8" t="n">
        <v>30</v>
      </c>
      <c r="BT981" s="8" t="n">
        <v>31</v>
      </c>
      <c r="BU981" s="8" t="n">
        <v>17</v>
      </c>
      <c r="BV981" s="11" t="n">
        <f>IF(COUNT(BC981,BF981)=2,BC981*BF981,"")</f>
        <v>0.21368930101586595</v>
      </c>
      <c r="BW981" s="11" t="n">
        <f>IF(ISNUMBER(BN981),BN981,"")</f>
        <v>1.1090677182221615</v>
      </c>
      <c r="BX981" s="14" t="n">
        <f>IF(ISNUMBER(BR981),BR981,"")</f>
        <v>12</v>
      </c>
      <c r="BY981" s="13" t="n">
        <f>IF(AND(COUNT(BV981,BW981,BX981)=3,MIN(BV981,BW981,BX981)&gt;=0),BV981*BW981*BX981,"")</f>
        <v>2.843950865833861</v>
      </c>
      <c r="BZ981" s="11" t="n">
        <f>IF(ISNUMBER(BO981),BO981,"")</f>
        <v>1.0372741535934282</v>
      </c>
      <c r="CA981" s="14" t="n">
        <f>IF(ISNUMBER(BS981),BS981,"")</f>
        <v>30</v>
      </c>
      <c r="CB981" s="13" t="n">
        <f>IF(AND(COUNT(BV981,BZ981,CA981)=3,MIN(BV981,BZ981,CA981)&gt;=0),BV981*BZ981*CA981,"")</f>
        <v>6.649631665296109</v>
      </c>
      <c r="CC981" s="11" t="n">
        <f>IF(ISNUMBER(BP981),BP981,"")</f>
        <v>0.979949351738161</v>
      </c>
      <c r="CD981" s="14" t="n">
        <f>IF(ISNUMBER(BT981),BT981,"")</f>
        <v>31</v>
      </c>
      <c r="CE981" s="13" t="n">
        <f>IF(AND(COUNT(BV981,CC981,CD981)=3,MIN(BV981,CC981,CD981)&gt;=0),BV981*CC981*CD981,"")</f>
        <v>6.491545452120237</v>
      </c>
      <c r="CF981" s="11" t="n">
        <f>IF(ISNUMBER(BQ981),BQ981,"")</f>
        <v>1.1571949690048173</v>
      </c>
      <c r="CG981" s="14" t="n">
        <f>IF(ISNUMBER(BU981),BU981,"")</f>
        <v>17</v>
      </c>
      <c r="CH981" s="13" t="n">
        <f>IF(AND(COUNT(BV981,CF981,CG981)=3,MIN(BV981,CF981,CG981)&gt;=0),BV981*CF981*CG981,"")</f>
        <v>4.203763129117173</v>
      </c>
      <c r="CI981" s="13" t="n">
        <f>IF(COUNT(BY981,CB981,CE981,CH981)=4,SUM(BY981,CB981,CE981,CH981),"")</f>
        <v>20.18889111236738</v>
      </c>
    </row>
    <row r="982" ht="72" customHeight="1">
      <c r="A982" s="16" t="str">
        <v>B06b-CCP0-8</v>
      </c>
      <c r="B982" s="16" t="str">
        <v>1店-MUSSHOE-US</v>
      </c>
      <c r="C982" s="16" t="str">
        <v>艾年</v>
      </c>
      <c r="D982" s="26" t="n">
        <f>IF(NOT(ISNUMBER(E982)),"",IF(OR(E982&lt;=0,L982=0),0,IF(OR(NOT(ISNUMBER(F982)),F982&lt;0),"",MIN(E982,INT(F982)))))</f>
        <v>0</v>
      </c>
      <c r="E982" s="27" t="n">
        <f>IF(OR(NOT(ISNUMBER(L982)),COUNT(M982:O982)&lt;&gt;3,MIN(M982:O982)&lt;0),"",ROUNDUP(ROUND(BI982-SUM(M982:O982),10),0))</f>
        <v>-3</v>
      </c>
      <c r="F982" s="28" t="n">
        <v>0</v>
      </c>
      <c r="G982" s="28" t="n">
        <f>IF(AND(ISNUMBER(D982),ISNUMBER(E982)),IF(OR(E982&lt;=0,L982=0),0,E982-D982),"")</f>
        <v>0</v>
      </c>
      <c r="H982" s="16" t="str">
        <f>IF(NOT(ISNUMBER(E982)),"销量或海外库存待补",IF(OR(E982&lt;=0,L982=0),IF(L982=0,"零日销，本批不发","本批无需补货"),IF(NOT(ISNUMBER(D982)),"国内库存待补",IF(D982=0,"国内无可用库存",IF(G982&gt;0,"先发国内现货","按建议量发货")))))</f>
        <v>本批无需补货</v>
      </c>
      <c r="I982" s="28" t="n">
        <f>IF(AND(COUNT(Z982,AA982,AB982)=3,Z982&gt;=AA982,AA982&gt;=0,AB982=7),Z982-AA982,"")</f>
        <v>6</v>
      </c>
      <c r="J982" s="28" t="n">
        <f>IF(AND(COUNT(AF982,AG982,AH982)=3,AF982&gt;=AG982,AG982&gt;=0,AH982=14),AF982-AG982,"")</f>
        <v>10</v>
      </c>
      <c r="K982" s="28" t="n">
        <f>IF(AND(COUNT(AL982,AM982,AN982)=3,AL982&gt;=AM982,AM982&gt;=0,AN982=30),AL982-AM982,"")</f>
        <v>15</v>
      </c>
      <c r="L982" s="29" t="n">
        <f>IF(ISNUMBER(BI982),BI982/90,"")</f>
        <v>0.35134173937668095</v>
      </c>
      <c r="M982" s="28" t="n">
        <v>24</v>
      </c>
      <c r="N982" s="28" t="n">
        <v>5</v>
      </c>
      <c r="O982" s="28" t="n">
        <v>5</v>
      </c>
      <c r="P982" s="30" t="n">
        <f>IF(AND(ISNUMBER(L982),L982&gt;0,COUNT(M982:O982)=3,MIN(M982:O982)&gt;=0),SUM(M982:O982)/L982,"")</f>
        <v>96.77187817285744</v>
      </c>
      <c r="Q982" s="16" t="str">
        <v>沿用原计划SKU店铺</v>
      </c>
      <c r="R982" s="16" t="str">
        <v>已匹配</v>
      </c>
      <c r="S982" s="16" t="str">
        <v>在售</v>
      </c>
      <c r="T982" s="16" t="str">
        <v>B06b</v>
      </c>
      <c r="U982" s="16" t="str">
        <v>咖色PU</v>
      </c>
      <c r="V982" s="16" t="n">
        <v>8</v>
      </c>
      <c r="W982" s="8" t="str">
        <v>2026-10-11 至 2026-10-17</v>
      </c>
      <c r="X982" s="8" t="str">
        <v>2026-10-11、2026-10-12、2026-10-13、2026-10-14、2026-10-15、2026-10-16、2026-10-17</v>
      </c>
      <c r="Y982" s="8" t="str">
        <v>无</v>
      </c>
      <c r="Z982" s="8" t="n">
        <v>6</v>
      </c>
      <c r="AA982" s="8" t="n">
        <v>0</v>
      </c>
      <c r="AB982" s="8" t="n">
        <v>7</v>
      </c>
      <c r="AC982" s="8" t="str">
        <v>2026-10-02 至 2026-10-17</v>
      </c>
      <c r="AD982" s="8" t="str">
        <v>2026-10-02、2026-10-03、2026-10-04、2026-10-05、2026-10-08、2026-10-09、2026-10-10、2026-10-11、2026-10-12、2026-10-13、2026-10-14、2026-10-15、2026-10-16、2026-10-17</v>
      </c>
      <c r="AE982" s="8" t="str">
        <v>2026-10-06 大促；2026-10-07 大促</v>
      </c>
      <c r="AF982" s="8" t="n">
        <v>14</v>
      </c>
      <c r="AG982" s="8" t="n">
        <v>4</v>
      </c>
      <c r="AH982" s="8" t="n">
        <v>14</v>
      </c>
      <c r="AI982" s="8" t="str">
        <v>2026-09-16 至 2026-10-17</v>
      </c>
      <c r="AJ9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82" s="8" t="str">
        <v>2026-10-06 大促；2026-10-07 大促</v>
      </c>
      <c r="AL982" s="8" t="n">
        <v>19</v>
      </c>
      <c r="AM982" s="8" t="n">
        <v>4</v>
      </c>
      <c r="AN982" s="8" t="n">
        <v>30</v>
      </c>
      <c r="AO982" s="8" t="str">
        <v>B06b / 咖色PU / 13120</v>
      </c>
      <c r="AP982" s="11" t="n">
        <v>1.1090677182221615</v>
      </c>
      <c r="AQ982" s="11" t="n">
        <v>1.1090677182221615</v>
      </c>
      <c r="AR982" s="11" t="n">
        <v>0.9505188216044452</v>
      </c>
      <c r="AS982" s="11" t="n">
        <f>IF(AND(COUNT(I982:K982,AP982:AR982)=6,MIN(AP982:AR982)&gt;0),I982/7/AP982*0.5+J982/14/AQ982*0.3+K982/30/AR982*0.2,"")</f>
        <v>0.6848431149568026</v>
      </c>
      <c r="AT982" s="8" t="n">
        <v>33</v>
      </c>
      <c r="AU982" s="8" t="n">
        <v>4</v>
      </c>
      <c r="AV982" s="8" t="n">
        <v>88</v>
      </c>
      <c r="AW982" s="11" t="n">
        <f>IF(AND(COUNT(AT982:AV982)=3,AT982&gt;=AU982,AU982&gt;=0,AV982&gt;0),(AT982-AU982)/AV982,"")</f>
        <v>0.32954545454545453</v>
      </c>
      <c r="AX982" s="8" t="n">
        <v>49</v>
      </c>
      <c r="AY982" s="8" t="n">
        <v>4</v>
      </c>
      <c r="AZ982" s="8" t="n">
        <v>178</v>
      </c>
      <c r="BA982" s="11" t="n">
        <f>IF(AND(COUNT(AX982:AZ982)=3,AX982&gt;=AY982,AY982&gt;=0,AZ982&gt;0),(AX982-AY982)/AZ982,"")</f>
        <v>0.25280898876404495</v>
      </c>
      <c r="BB982" s="8" t="n">
        <f>IF(COUNT(AS982,AW982,BA982)=3,1,0)</f>
        <v>1</v>
      </c>
      <c r="BC982" s="11" t="n">
        <f>IF(SUMIF($AO$11:$AO$1309,AO982,$BB$11:$BB$1309)=COUNTIF($AO$11:$AO$1309,AO982),SUMIF($AO$11:$AO$1309,AO982,$AS$11:$AS$1309),"")</f>
        <v>2.1842159740642213</v>
      </c>
      <c r="BD982" s="11" t="n">
        <f>IF(SUMIF($AO$11:$AO$1309,AO982,$BB$11:$BB$1309)=COUNTIF($AO$11:$AO$1309,AO982),SUMIF($AO$11:$AO$1309,AO982,$AW$11:$AW$1309),"")</f>
        <v>2.1590909090909087</v>
      </c>
      <c r="BE982" s="11" t="n">
        <f>IF(SUMIF($AO$11:$AO$1309,AO982,$BB$11:$BB$1309)=COUNTIF($AO$11:$AO$1309,AO982),SUMIF($AO$11:$AO$1309,AO982,$BA$11:$BA$1309),"")</f>
        <v>1.6349277688603532</v>
      </c>
      <c r="BF982" s="12" t="n">
        <f>IF(COUNT(BD982:BE982)&lt;&gt;2,"",IF(AND(BD982&gt;0,BE982&gt;0),0.7*AW982/BD982+0.3*BA982/BE982,IF(BD982&gt;0,AW982/BD982,IF(BE982&gt;0,BA982/BE982,IF(AND(ISNUMBER(BH982),BH982=0),0,"")))))</f>
        <v>0.15323112505580636</v>
      </c>
      <c r="BG982" s="11" t="n">
        <f>IF(AND(COUNT(BN982:BU982)=8,MIN(BN982:BU982)&gt;=0),SUMPRODUCT(BN982:BQ982,BR982:BU982),"")</f>
        <v>94.47778160343367</v>
      </c>
      <c r="BH982" s="11" t="n">
        <f>IF(COUNT(BC982,BG982)=2,BC982*BG982,"")</f>
        <v>206.35987977237065</v>
      </c>
      <c r="BI982" s="11" t="n">
        <f>IF(ISNUMBER(CI982),CI982,"")</f>
        <v>31.620756543901287</v>
      </c>
      <c r="BJ982" s="8" t="str"/>
      <c r="BK982" s="8" t="str">
        <v>90天：2026-07-20 至 2026-10-17；180天：2026-04-21 至 2026-10-17</v>
      </c>
      <c r="BL982" s="8" t="str">
        <v>90天：2026-10-06、2026-10-07；180天：2026-10-06、2026-10-07</v>
      </c>
      <c r="BM982" s="8" t="str">
        <v>2026-10：12天 × 1.1090677182221615；2026-11：30天 × 1.0372741535934282；2026-12：31天 × 0.979949351738161；2027-01：17天 × 1.1571949690048173</v>
      </c>
      <c r="BN982" s="11" t="n">
        <v>1.1090677182221615</v>
      </c>
      <c r="BO982" s="11" t="n">
        <v>1.0372741535934282</v>
      </c>
      <c r="BP982" s="11" t="n">
        <v>0.979949351738161</v>
      </c>
      <c r="BQ982" s="11" t="n">
        <v>1.1571949690048173</v>
      </c>
      <c r="BR982" s="8" t="n">
        <v>12</v>
      </c>
      <c r="BS982" s="8" t="n">
        <v>30</v>
      </c>
      <c r="BT982" s="8" t="n">
        <v>31</v>
      </c>
      <c r="BU982" s="8" t="n">
        <v>17</v>
      </c>
      <c r="BV982" s="11" t="n">
        <f>IF(COUNT(BC982,BF982)=2,BC982*BF982,"")</f>
        <v>0.33468987107072456</v>
      </c>
      <c r="BW982" s="11" t="n">
        <f>IF(ISNUMBER(BN982),BN982,"")</f>
        <v>1.1090677182221615</v>
      </c>
      <c r="BX982" s="14" t="n">
        <f>IF(ISNUMBER(BR982),BR982,"")</f>
        <v>12</v>
      </c>
      <c r="BY982" s="13" t="n">
        <f>IF(AND(COUNT(BV982,BW982,BX982)=3,MIN(BV982,BW982,BX982)&gt;=0),BV982*BW982*BX982,"")</f>
        <v>4.454324779445735</v>
      </c>
      <c r="BZ982" s="11" t="n">
        <f>IF(ISNUMBER(BO982),BO982,"")</f>
        <v>1.0372741535934282</v>
      </c>
      <c r="CA982" s="14" t="n">
        <f>IF(ISNUMBER(BS982),BS982,"")</f>
        <v>30</v>
      </c>
      <c r="CB982" s="13" t="n">
        <f>IF(AND(COUNT(BV982,BZ982,CA982)=3,MIN(BV982,BZ982,CA982)&gt;=0),BV982*BZ982*CA982,"")</f>
        <v>10.414954581935383</v>
      </c>
      <c r="CC982" s="11" t="n">
        <f>IF(ISNUMBER(BP982),BP982,"")</f>
        <v>0.979949351738161</v>
      </c>
      <c r="CD982" s="14" t="n">
        <f>IF(ISNUMBER(BT982),BT982,"")</f>
        <v>31</v>
      </c>
      <c r="CE982" s="13" t="n">
        <f>IF(AND(COUNT(BV982,CC982,CD982)=3,MIN(BV982,CC982,CD982)&gt;=0),BV982*CC982*CD982,"")</f>
        <v>10.167352787861642</v>
      </c>
      <c r="CF982" s="11" t="n">
        <f>IF(ISNUMBER(BQ982),BQ982,"")</f>
        <v>1.1571949690048173</v>
      </c>
      <c r="CG982" s="14" t="n">
        <f>IF(ISNUMBER(BU982),BU982,"")</f>
        <v>17</v>
      </c>
      <c r="CH982" s="13" t="n">
        <f>IF(AND(COUNT(BV982,CF982,CG982)=3,MIN(BV982,CF982,CG982)&gt;=0),BV982*CF982*CG982,"")</f>
        <v>6.584124394658528</v>
      </c>
      <c r="CI982" s="13" t="n">
        <f>IF(COUNT(BY982,CB982,CE982,CH982)=4,SUM(BY982,CB982,CE982,CH982),"")</f>
        <v>31.620756543901287</v>
      </c>
    </row>
    <row r="983" ht="72" customHeight="1">
      <c r="A983" s="16" t="str">
        <v>B06b-GY-37</v>
      </c>
      <c r="B983" s="16" t="str">
        <v>1店-MUSSHOE-US</v>
      </c>
      <c r="C983" s="16" t="str">
        <v>艾年</v>
      </c>
      <c r="D983" s="26" t="n">
        <f>IF(NOT(ISNUMBER(E983)),"",IF(OR(E983&lt;=0,L983=0),0,IF(OR(NOT(ISNUMBER(F983)),F983&lt;0),"",MIN(E983,INT(F983)))))</f>
        <v>0</v>
      </c>
      <c r="E983" s="27" t="n">
        <f>IF(OR(NOT(ISNUMBER(L983)),COUNT(M983:O983)&lt;&gt;3,MIN(M983:O983)&lt;0),"",ROUNDUP(ROUND(BI983-SUM(M983:O983),10),0))</f>
        <v>0</v>
      </c>
      <c r="F983" s="28"/>
      <c r="G983" s="28" t="n">
        <f>IF(AND(ISNUMBER(D983),ISNUMBER(E983)),IF(OR(E983&lt;=0,L983=0),0,E983-D983),"")</f>
        <v>0</v>
      </c>
      <c r="H983" s="16" t="str">
        <f>IF(NOT(ISNUMBER(E983)),"销量或海外库存待补",IF(OR(E983&lt;=0,L983=0),IF(L983=0,"零日销，本批不发","本批无需补货"),IF(NOT(ISNUMBER(D983)),"国内库存待补",IF(D983=0,"国内无可用库存",IF(G983&gt;0,"先发国内现货","按建议量发货")))))</f>
        <v>零日销，本批不发</v>
      </c>
      <c r="I983" s="28" t="n">
        <f>IF(AND(COUNT(Z983,AA983,AB983)=3,Z983&gt;=AA983,AA983&gt;=0,AB983=7),Z983-AA983,"")</f>
        <v>0</v>
      </c>
      <c r="J983" s="28" t="n">
        <f>IF(AND(COUNT(AF983,AG983,AH983)=3,AF983&gt;=AG983,AG983&gt;=0,AH983=14),AF983-AG983,"")</f>
        <v>0</v>
      </c>
      <c r="K983" s="28" t="n">
        <f>IF(AND(COUNT(AL983,AM983,AN983)=3,AL983&gt;=AM983,AM983&gt;=0,AN983=30),AL983-AM983,"")</f>
        <v>0</v>
      </c>
      <c r="L983" s="29" t="n">
        <f>IF(ISNUMBER(BI983),BI983/90,"")</f>
        <v>0</v>
      </c>
      <c r="M983" s="28" t="n">
        <v>0</v>
      </c>
      <c r="N983" s="28" t="n">
        <v>0</v>
      </c>
      <c r="O983" s="28" t="n">
        <v>0</v>
      </c>
      <c r="P983" s="30" t="str">
        <f>IF(AND(ISNUMBER(L983),L983&gt;0,COUNT(M983:O983)=3,MIN(M983:O983)&gt;=0),SUM(M983:O983)/L983,"")</f>
      </c>
      <c r="Q983" s="16" t="str">
        <v>按本SKU唯一未删除Listing店铺核实</v>
      </c>
      <c r="R983" s="16" t="str">
        <v>未匹配</v>
      </c>
      <c r="S983" s="16" t="str">
        <v>停售</v>
      </c>
      <c r="T983" s="16" t="str">
        <v>B06b</v>
      </c>
      <c r="U983" s="16" t="str">
        <v>灰色羊京绒</v>
      </c>
      <c r="V983" s="16" t="n">
        <v>6</v>
      </c>
      <c r="W983" s="8" t="str">
        <v>2026-10-08 至 2026-10-17</v>
      </c>
      <c r="X983" s="8" t="str">
        <v>2026-10-08、2026-10-09、2026-10-10、2026-10-11、2026-10-14、2026-10-15、2026-10-17</v>
      </c>
      <c r="Y983" s="8" t="str">
        <v>2026-10-12 有记录的停售日；2026-10-13 有记录的停售日；2026-10-16 有记录的停售日</v>
      </c>
      <c r="Z983" s="8" t="n">
        <v>0</v>
      </c>
      <c r="AA983" s="8" t="n">
        <v>0</v>
      </c>
      <c r="AB983" s="8" t="n">
        <v>7</v>
      </c>
      <c r="AC983" s="8" t="str">
        <v>2026-09-29 至 2026-10-17</v>
      </c>
      <c r="AD983" s="8" t="str">
        <v>2026-09-29、2026-09-30、2026-10-01、2026-10-02、2026-10-03、2026-10-04、2026-10-05、2026-10-08、2026-10-09、2026-10-10、2026-10-11、2026-10-14、2026-10-15、2026-10-17</v>
      </c>
      <c r="AE983" s="8" t="str">
        <v>2026-10-06 大促；2026-10-07 大促；2026-10-12 有记录的停售日；2026-10-13 有记录的停售日；2026-10-16 有记录的停售日</v>
      </c>
      <c r="AF983" s="8" t="n">
        <v>0</v>
      </c>
      <c r="AG983" s="8" t="n">
        <v>0</v>
      </c>
      <c r="AH983" s="8" t="n">
        <v>14</v>
      </c>
      <c r="AI983" s="8" t="str">
        <v>2026-09-13 至 2026-10-17</v>
      </c>
      <c r="AJ98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3" s="8" t="str">
        <v>2026-10-06 大促；2026-10-07 大促；2026-10-12 有记录的停售日；2026-10-13 有记录的停售日；2026-10-16 有记录的停售日</v>
      </c>
      <c r="AL983" s="8" t="n">
        <v>0</v>
      </c>
      <c r="AM983" s="8" t="n">
        <v>0</v>
      </c>
      <c r="AN983" s="8" t="n">
        <v>30</v>
      </c>
      <c r="AO983" s="8" t="str">
        <v>B06b / 灰色羊京绒 / 13120</v>
      </c>
      <c r="AP983" s="11" t="n">
        <v>1.1090677182221615</v>
      </c>
      <c r="AQ983" s="11" t="n">
        <v>1.0637680334742425</v>
      </c>
      <c r="AR983" s="11" t="n">
        <v>0.9188090422809019</v>
      </c>
      <c r="AS983" s="11" t="n">
        <f>IF(AND(COUNT(I983:K983,AP983:AR983)=6,MIN(AP983:AR983)&gt;0),I983/7/AP983*0.5+J983/14/AQ983*0.3+K983/30/AR983*0.2,"")</f>
        <v>0</v>
      </c>
      <c r="AT983" s="8" t="n">
        <v>0</v>
      </c>
      <c r="AU983" s="8" t="n">
        <v>0</v>
      </c>
      <c r="AV983" s="8" t="n">
        <v>85</v>
      </c>
      <c r="AW983" s="11" t="n">
        <f>IF(AND(COUNT(AT983:AV983)=3,AT983&gt;=AU983,AU983&gt;=0,AV983&gt;0),(AT983-AU983)/AV983,"")</f>
        <v>0</v>
      </c>
      <c r="AX983" s="8" t="n">
        <v>1</v>
      </c>
      <c r="AY983" s="8" t="n">
        <v>0</v>
      </c>
      <c r="AZ983" s="8" t="n">
        <v>175</v>
      </c>
      <c r="BA983" s="11" t="n">
        <f>IF(AND(COUNT(AX983:AZ983)=3,AX983&gt;=AY983,AY983&gt;=0,AZ983&gt;0),(AX983-AY983)/AZ983,"")</f>
        <v>0.005714285714285714</v>
      </c>
      <c r="BB983" s="8" t="n">
        <f>IF(COUNT(AS983,AW983,BA983)=3,1,0)</f>
        <v>1</v>
      </c>
      <c r="BC983" s="11" t="n">
        <f>IF(SUMIF($AO$11:$AO$1309,AO983,$BB$11:$BB$1309)=COUNTIF($AO$11:$AO$1309,AO983),SUMIF($AO$11:$AO$1309,AO983,$AS$11:$AS$1309),"")</f>
        <v>0</v>
      </c>
      <c r="BD983" s="11" t="n">
        <f>IF(SUMIF($AO$11:$AO$1309,AO983,$BB$11:$BB$1309)=COUNTIF($AO$11:$AO$1309,AO983),SUMIF($AO$11:$AO$1309,AO983,$AW$11:$AW$1309),"")</f>
        <v>0</v>
      </c>
      <c r="BE983" s="11" t="n">
        <f>IF(SUMIF($AO$11:$AO$1309,AO983,$BB$11:$BB$1309)=COUNTIF($AO$11:$AO$1309,AO983),SUMIF($AO$11:$AO$1309,AO983,$BA$11:$BA$1309),"")</f>
        <v>0.06285714285714286</v>
      </c>
      <c r="BF983" s="12" t="n">
        <f>IF(COUNT(BD983:BE983)&lt;&gt;2,"",IF(AND(BD983&gt;0,BE983&gt;0),0.7*AW983/BD983+0.3*BA983/BE983,IF(BD983&gt;0,AW983/BD983,IF(BE983&gt;0,BA983/BE983,IF(AND(ISNUMBER(BH983),BH983=0),0,"")))))</f>
        <v>0.0909090909090909</v>
      </c>
      <c r="BG983" s="11" t="n">
        <f>IF(AND(COUNT(BN983:BU983)=8,MIN(BN983:BU983)&gt;=0),SUMPRODUCT(BN983:BQ983,BR983:BU983),"")</f>
        <v>94.47778160343367</v>
      </c>
      <c r="BH983" s="11" t="n">
        <f>IF(COUNT(BC983,BG983)=2,BC983*BG983,"")</f>
        <v>0</v>
      </c>
      <c r="BI983" s="11" t="n">
        <f>IF(ISNUMBER(CI983),CI983,"")</f>
        <v>0</v>
      </c>
      <c r="BJ983" s="8" t="str">
        <v>低销提醒依据不完整</v>
      </c>
      <c r="BK983" s="8" t="str">
        <v>90天：2026-07-20 至 2026-10-17；180天：2026-04-21 至 2026-10-17</v>
      </c>
      <c r="BL983" s="8" t="str">
        <v>90天：2026-10-06、2026-10-07、2026-10-12、2026-10-13、2026-10-16；180天：2026-10-06、2026-10-07、2026-10-12、2026-10-13、2026-10-16</v>
      </c>
      <c r="BM983" s="8" t="str">
        <v>2026-10：12天 × 1.1090677182221615；2026-11：30天 × 1.0372741535934282；2026-12：31天 × 0.979949351738161；2027-01：17天 × 1.1571949690048173</v>
      </c>
      <c r="BN983" s="11" t="n">
        <v>1.1090677182221615</v>
      </c>
      <c r="BO983" s="11" t="n">
        <v>1.0372741535934282</v>
      </c>
      <c r="BP983" s="11" t="n">
        <v>0.979949351738161</v>
      </c>
      <c r="BQ983" s="11" t="n">
        <v>1.1571949690048173</v>
      </c>
      <c r="BR983" s="8" t="n">
        <v>12</v>
      </c>
      <c r="BS983" s="8" t="n">
        <v>30</v>
      </c>
      <c r="BT983" s="8" t="n">
        <v>31</v>
      </c>
      <c r="BU983" s="8" t="n">
        <v>17</v>
      </c>
      <c r="BV983" s="11" t="n">
        <f>IF(COUNT(BC983,BF983)=2,BC983*BF983,"")</f>
        <v>0</v>
      </c>
      <c r="BW983" s="11" t="n">
        <f>IF(ISNUMBER(BN983),BN983,"")</f>
        <v>1.1090677182221615</v>
      </c>
      <c r="BX983" s="14" t="n">
        <f>IF(ISNUMBER(BR983),BR983,"")</f>
        <v>12</v>
      </c>
      <c r="BY983" s="13" t="n">
        <f>IF(AND(COUNT(BV983,BW983,BX983)=3,MIN(BV983,BW983,BX983)&gt;=0),BV983*BW983*BX983,"")</f>
        <v>0</v>
      </c>
      <c r="BZ983" s="11" t="n">
        <f>IF(ISNUMBER(BO983),BO983,"")</f>
        <v>1.0372741535934282</v>
      </c>
      <c r="CA983" s="14" t="n">
        <f>IF(ISNUMBER(BS983),BS983,"")</f>
        <v>30</v>
      </c>
      <c r="CB983" s="13" t="n">
        <f>IF(AND(COUNT(BV983,BZ983,CA983)=3,MIN(BV983,BZ983,CA983)&gt;=0),BV983*BZ983*CA983,"")</f>
        <v>0</v>
      </c>
      <c r="CC983" s="11" t="n">
        <f>IF(ISNUMBER(BP983),BP983,"")</f>
        <v>0.979949351738161</v>
      </c>
      <c r="CD983" s="14" t="n">
        <f>IF(ISNUMBER(BT983),BT983,"")</f>
        <v>31</v>
      </c>
      <c r="CE983" s="13" t="n">
        <f>IF(AND(COUNT(BV983,CC983,CD983)=3,MIN(BV983,CC983,CD983)&gt;=0),BV983*CC983*CD983,"")</f>
        <v>0</v>
      </c>
      <c r="CF983" s="11" t="n">
        <f>IF(ISNUMBER(BQ983),BQ983,"")</f>
        <v>1.1571949690048173</v>
      </c>
      <c r="CG983" s="14" t="n">
        <f>IF(ISNUMBER(BU983),BU983,"")</f>
        <v>17</v>
      </c>
      <c r="CH983" s="13" t="n">
        <f>IF(AND(COUNT(BV983,CF983,CG983)=3,MIN(BV983,CF983,CG983)&gt;=0),BV983*CF983*CG983,"")</f>
        <v>0</v>
      </c>
      <c r="CI983" s="13" t="n">
        <f>IF(COUNT(BY983,CB983,CE983,CH983)=4,SUM(BY983,CB983,CE983,CH983),"")</f>
        <v>0</v>
      </c>
    </row>
    <row r="984" ht="72" customHeight="1">
      <c r="A984" s="16" t="str">
        <v>B06b-GY-37.5</v>
      </c>
      <c r="B984" s="16" t="str">
        <v>1店-MUSSHOE-US</v>
      </c>
      <c r="C984" s="16" t="str">
        <v>艾年</v>
      </c>
      <c r="D984" s="26" t="n">
        <f>IF(NOT(ISNUMBER(E984)),"",IF(OR(E984&lt;=0,L984=0),0,IF(OR(NOT(ISNUMBER(F984)),F984&lt;0),"",MIN(E984,INT(F984)))))</f>
        <v>0</v>
      </c>
      <c r="E984" s="27" t="n">
        <f>IF(OR(NOT(ISNUMBER(L984)),COUNT(M984:O984)&lt;&gt;3,MIN(M984:O984)&lt;0),"",ROUNDUP(ROUND(BI984-SUM(M984:O984),10),0))</f>
        <v>0</v>
      </c>
      <c r="F984" s="28"/>
      <c r="G984" s="28" t="n">
        <f>IF(AND(ISNUMBER(D984),ISNUMBER(E984)),IF(OR(E984&lt;=0,L984=0),0,E984-D984),"")</f>
        <v>0</v>
      </c>
      <c r="H984" s="16" t="str">
        <f>IF(NOT(ISNUMBER(E984)),"销量或海外库存待补",IF(OR(E984&lt;=0,L984=0),IF(L984=0,"零日销，本批不发","本批无需补货"),IF(NOT(ISNUMBER(D984)),"国内库存待补",IF(D984=0,"国内无可用库存",IF(G984&gt;0,"先发国内现货","按建议量发货")))))</f>
        <v>零日销，本批不发</v>
      </c>
      <c r="I984" s="28" t="n">
        <f>IF(AND(COUNT(Z984,AA984,AB984)=3,Z984&gt;=AA984,AA984&gt;=0,AB984=7),Z984-AA984,"")</f>
        <v>0</v>
      </c>
      <c r="J984" s="28" t="n">
        <f>IF(AND(COUNT(AF984,AG984,AH984)=3,AF984&gt;=AG984,AG984&gt;=0,AH984=14),AF984-AG984,"")</f>
        <v>0</v>
      </c>
      <c r="K984" s="28" t="n">
        <f>IF(AND(COUNT(AL984,AM984,AN984)=3,AL984&gt;=AM984,AM984&gt;=0,AN984=30),AL984-AM984,"")</f>
        <v>0</v>
      </c>
      <c r="L984" s="29" t="n">
        <f>IF(ISNUMBER(BI984),BI984/90,"")</f>
        <v>0</v>
      </c>
      <c r="M984" s="28" t="n">
        <v>0</v>
      </c>
      <c r="N984" s="28" t="n">
        <v>0</v>
      </c>
      <c r="O984" s="28" t="n">
        <v>0</v>
      </c>
      <c r="P984" s="30" t="str">
        <f>IF(AND(ISNUMBER(L984),L984&gt;0,COUNT(M984:O984)=3,MIN(M984:O984)&gt;=0),SUM(M984:O984)/L984,"")</f>
      </c>
      <c r="Q984" s="16" t="str">
        <v>按本SKU唯一未删除Listing店铺核实</v>
      </c>
      <c r="R984" s="16" t="str">
        <v>未匹配</v>
      </c>
      <c r="S984" s="16" t="str">
        <v>停售</v>
      </c>
      <c r="T984" s="16" t="str">
        <v>B06b</v>
      </c>
      <c r="U984" s="16" t="str">
        <v>灰色羊京绒</v>
      </c>
      <c r="V984" s="16" t="n">
        <v>6.5</v>
      </c>
      <c r="W984" s="8" t="str">
        <v>2026-10-08 至 2026-10-17</v>
      </c>
      <c r="X984" s="8" t="str">
        <v>2026-10-08、2026-10-09、2026-10-10、2026-10-11、2026-10-14、2026-10-15、2026-10-17</v>
      </c>
      <c r="Y984" s="8" t="str">
        <v>2026-10-12 有记录的停售日；2026-10-13 有记录的停售日；2026-10-16 有记录的停售日</v>
      </c>
      <c r="Z984" s="8" t="n">
        <v>0</v>
      </c>
      <c r="AA984" s="8" t="n">
        <v>0</v>
      </c>
      <c r="AB984" s="8" t="n">
        <v>7</v>
      </c>
      <c r="AC984" s="8" t="str">
        <v>2026-09-29 至 2026-10-17</v>
      </c>
      <c r="AD984" s="8" t="str">
        <v>2026-09-29、2026-09-30、2026-10-01、2026-10-02、2026-10-03、2026-10-04、2026-10-05、2026-10-08、2026-10-09、2026-10-10、2026-10-11、2026-10-14、2026-10-15、2026-10-17</v>
      </c>
      <c r="AE984" s="8" t="str">
        <v>2026-10-06 大促；2026-10-07 大促；2026-10-12 有记录的停售日；2026-10-13 有记录的停售日；2026-10-16 有记录的停售日</v>
      </c>
      <c r="AF984" s="8" t="n">
        <v>0</v>
      </c>
      <c r="AG984" s="8" t="n">
        <v>0</v>
      </c>
      <c r="AH984" s="8" t="n">
        <v>14</v>
      </c>
      <c r="AI984" s="8" t="str">
        <v>2026-09-13 至 2026-10-17</v>
      </c>
      <c r="AJ98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4" s="8" t="str">
        <v>2026-10-06 大促；2026-10-07 大促；2026-10-12 有记录的停售日；2026-10-13 有记录的停售日；2026-10-16 有记录的停售日</v>
      </c>
      <c r="AL984" s="8" t="n">
        <v>0</v>
      </c>
      <c r="AM984" s="8" t="n">
        <v>0</v>
      </c>
      <c r="AN984" s="8" t="n">
        <v>30</v>
      </c>
      <c r="AO984" s="8" t="str">
        <v>B06b / 灰色羊京绒 / 13120</v>
      </c>
      <c r="AP984" s="11" t="n">
        <v>1.1090677182221615</v>
      </c>
      <c r="AQ984" s="11" t="n">
        <v>1.0637680334742425</v>
      </c>
      <c r="AR984" s="11" t="n">
        <v>0.9188090422809019</v>
      </c>
      <c r="AS984" s="11" t="n">
        <f>IF(AND(COUNT(I984:K984,AP984:AR984)=6,MIN(AP984:AR984)&gt;0),I984/7/AP984*0.5+J984/14/AQ984*0.3+K984/30/AR984*0.2,"")</f>
        <v>0</v>
      </c>
      <c r="AT984" s="8" t="n">
        <v>0</v>
      </c>
      <c r="AU984" s="8" t="n">
        <v>0</v>
      </c>
      <c r="AV984" s="8" t="n">
        <v>85</v>
      </c>
      <c r="AW984" s="11" t="n">
        <f>IF(AND(COUNT(AT984:AV984)=3,AT984&gt;=AU984,AU984&gt;=0,AV984&gt;0),(AT984-AU984)/AV984,"")</f>
        <v>0</v>
      </c>
      <c r="AX984" s="8" t="n">
        <v>0</v>
      </c>
      <c r="AY984" s="8" t="n">
        <v>0</v>
      </c>
      <c r="AZ984" s="8" t="n">
        <v>175</v>
      </c>
      <c r="BA984" s="11" t="n">
        <f>IF(AND(COUNT(AX984:AZ984)=3,AX984&gt;=AY984,AY984&gt;=0,AZ984&gt;0),(AX984-AY984)/AZ984,"")</f>
        <v>0</v>
      </c>
      <c r="BB984" s="8" t="n">
        <f>IF(COUNT(AS984,AW984,BA984)=3,1,0)</f>
        <v>1</v>
      </c>
      <c r="BC984" s="11" t="n">
        <f>IF(SUMIF($AO$11:$AO$1309,AO984,$BB$11:$BB$1309)=COUNTIF($AO$11:$AO$1309,AO984),SUMIF($AO$11:$AO$1309,AO984,$AS$11:$AS$1309),"")</f>
        <v>0</v>
      </c>
      <c r="BD984" s="11" t="n">
        <f>IF(SUMIF($AO$11:$AO$1309,AO984,$BB$11:$BB$1309)=COUNTIF($AO$11:$AO$1309,AO984),SUMIF($AO$11:$AO$1309,AO984,$AW$11:$AW$1309),"")</f>
        <v>0</v>
      </c>
      <c r="BE984" s="11" t="n">
        <f>IF(SUMIF($AO$11:$AO$1309,AO984,$BB$11:$BB$1309)=COUNTIF($AO$11:$AO$1309,AO984),SUMIF($AO$11:$AO$1309,AO984,$BA$11:$BA$1309),"")</f>
        <v>0.06285714285714286</v>
      </c>
      <c r="BF984" s="12" t="n">
        <f>IF(COUNT(BD984:BE984)&lt;&gt;2,"",IF(AND(BD984&gt;0,BE984&gt;0),0.7*AW984/BD984+0.3*BA984/BE984,IF(BD984&gt;0,AW984/BD984,IF(BE984&gt;0,BA984/BE984,IF(AND(ISNUMBER(BH984),BH984=0),0,"")))))</f>
        <v>0</v>
      </c>
      <c r="BG984" s="11" t="n">
        <f>IF(AND(COUNT(BN984:BU984)=8,MIN(BN984:BU984)&gt;=0),SUMPRODUCT(BN984:BQ984,BR984:BU984),"")</f>
        <v>94.47778160343367</v>
      </c>
      <c r="BH984" s="11" t="n">
        <f>IF(COUNT(BC984,BG984)=2,BC984*BG984,"")</f>
        <v>0</v>
      </c>
      <c r="BI984" s="11" t="n">
        <f>IF(ISNUMBER(CI984),CI984,"")</f>
        <v>0</v>
      </c>
      <c r="BJ984" s="8" t="str">
        <v>低销提醒依据不完整</v>
      </c>
      <c r="BK984" s="8" t="str">
        <v>90天：2026-07-20 至 2026-10-17；180天：2026-04-21 至 2026-10-17</v>
      </c>
      <c r="BL984" s="8" t="str">
        <v>90天：2026-10-06、2026-10-07、2026-10-12、2026-10-13、2026-10-16；180天：2026-10-06、2026-10-07、2026-10-12、2026-10-13、2026-10-16</v>
      </c>
      <c r="BM984" s="8" t="str">
        <v>2026-10：12天 × 1.1090677182221615；2026-11：30天 × 1.0372741535934282；2026-12：31天 × 0.979949351738161；2027-01：17天 × 1.1571949690048173</v>
      </c>
      <c r="BN984" s="11" t="n">
        <v>1.1090677182221615</v>
      </c>
      <c r="BO984" s="11" t="n">
        <v>1.0372741535934282</v>
      </c>
      <c r="BP984" s="11" t="n">
        <v>0.979949351738161</v>
      </c>
      <c r="BQ984" s="11" t="n">
        <v>1.1571949690048173</v>
      </c>
      <c r="BR984" s="8" t="n">
        <v>12</v>
      </c>
      <c r="BS984" s="8" t="n">
        <v>30</v>
      </c>
      <c r="BT984" s="8" t="n">
        <v>31</v>
      </c>
      <c r="BU984" s="8" t="n">
        <v>17</v>
      </c>
      <c r="BV984" s="11" t="n">
        <f>IF(COUNT(BC984,BF984)=2,BC984*BF984,"")</f>
        <v>0</v>
      </c>
      <c r="BW984" s="11" t="n">
        <f>IF(ISNUMBER(BN984),BN984,"")</f>
        <v>1.1090677182221615</v>
      </c>
      <c r="BX984" s="14" t="n">
        <f>IF(ISNUMBER(BR984),BR984,"")</f>
        <v>12</v>
      </c>
      <c r="BY984" s="13" t="n">
        <f>IF(AND(COUNT(BV984,BW984,BX984)=3,MIN(BV984,BW984,BX984)&gt;=0),BV984*BW984*BX984,"")</f>
        <v>0</v>
      </c>
      <c r="BZ984" s="11" t="n">
        <f>IF(ISNUMBER(BO984),BO984,"")</f>
        <v>1.0372741535934282</v>
      </c>
      <c r="CA984" s="14" t="n">
        <f>IF(ISNUMBER(BS984),BS984,"")</f>
        <v>30</v>
      </c>
      <c r="CB984" s="13" t="n">
        <f>IF(AND(COUNT(BV984,BZ984,CA984)=3,MIN(BV984,BZ984,CA984)&gt;=0),BV984*BZ984*CA984,"")</f>
        <v>0</v>
      </c>
      <c r="CC984" s="11" t="n">
        <f>IF(ISNUMBER(BP984),BP984,"")</f>
        <v>0.979949351738161</v>
      </c>
      <c r="CD984" s="14" t="n">
        <f>IF(ISNUMBER(BT984),BT984,"")</f>
        <v>31</v>
      </c>
      <c r="CE984" s="13" t="n">
        <f>IF(AND(COUNT(BV984,CC984,CD984)=3,MIN(BV984,CC984,CD984)&gt;=0),BV984*CC984*CD984,"")</f>
        <v>0</v>
      </c>
      <c r="CF984" s="11" t="n">
        <f>IF(ISNUMBER(BQ984),BQ984,"")</f>
        <v>1.1571949690048173</v>
      </c>
      <c r="CG984" s="14" t="n">
        <f>IF(ISNUMBER(BU984),BU984,"")</f>
        <v>17</v>
      </c>
      <c r="CH984" s="13" t="n">
        <f>IF(AND(COUNT(BV984,CF984,CG984)=3,MIN(BV984,CF984,CG984)&gt;=0),BV984*CF984*CG984,"")</f>
        <v>0</v>
      </c>
      <c r="CI984" s="13" t="n">
        <f>IF(COUNT(BY984,CB984,CE984,CH984)=4,SUM(BY984,CB984,CE984,CH984),"")</f>
        <v>0</v>
      </c>
    </row>
    <row r="985" ht="72" customHeight="1">
      <c r="A985" s="16" t="str">
        <v>B06b-GY-38</v>
      </c>
      <c r="B985" s="16" t="str">
        <v>1店-MUSSHOE-US</v>
      </c>
      <c r="C985" s="16" t="str">
        <v>艾年</v>
      </c>
      <c r="D985" s="26" t="n">
        <f>IF(NOT(ISNUMBER(E985)),"",IF(OR(E985&lt;=0,L985=0),0,IF(OR(NOT(ISNUMBER(F985)),F985&lt;0),"",MIN(E985,INT(F985)))))</f>
        <v>0</v>
      </c>
      <c r="E985" s="27" t="n">
        <f>IF(OR(NOT(ISNUMBER(L985)),COUNT(M985:O985)&lt;&gt;3,MIN(M985:O985)&lt;0),"",ROUNDUP(ROUND(BI985-SUM(M985:O985),10),0))</f>
        <v>0</v>
      </c>
      <c r="F985" s="28"/>
      <c r="G985" s="28" t="n">
        <f>IF(AND(ISNUMBER(D985),ISNUMBER(E985)),IF(OR(E985&lt;=0,L985=0),0,E985-D985),"")</f>
        <v>0</v>
      </c>
      <c r="H985" s="16" t="str">
        <f>IF(NOT(ISNUMBER(E985)),"销量或海外库存待补",IF(OR(E985&lt;=0,L985=0),IF(L985=0,"零日销，本批不发","本批无需补货"),IF(NOT(ISNUMBER(D985)),"国内库存待补",IF(D985=0,"国内无可用库存",IF(G985&gt;0,"先发国内现货","按建议量发货")))))</f>
        <v>零日销，本批不发</v>
      </c>
      <c r="I985" s="28" t="n">
        <f>IF(AND(COUNT(Z985,AA985,AB985)=3,Z985&gt;=AA985,AA985&gt;=0,AB985=7),Z985-AA985,"")</f>
        <v>0</v>
      </c>
      <c r="J985" s="28" t="n">
        <f>IF(AND(COUNT(AF985,AG985,AH985)=3,AF985&gt;=AG985,AG985&gt;=0,AH985=14),AF985-AG985,"")</f>
        <v>0</v>
      </c>
      <c r="K985" s="28" t="n">
        <f>IF(AND(COUNT(AL985,AM985,AN985)=3,AL985&gt;=AM985,AM985&gt;=0,AN985=30),AL985-AM985,"")</f>
        <v>0</v>
      </c>
      <c r="L985" s="29" t="n">
        <f>IF(ISNUMBER(BI985),BI985/90,"")</f>
        <v>0</v>
      </c>
      <c r="M985" s="28" t="n">
        <v>0</v>
      </c>
      <c r="N985" s="28" t="n">
        <v>0</v>
      </c>
      <c r="O985" s="28" t="n">
        <v>0</v>
      </c>
      <c r="P985" s="30" t="str">
        <f>IF(AND(ISNUMBER(L985),L985&gt;0,COUNT(M985:O985)=3,MIN(M985:O985)&gt;=0),SUM(M985:O985)/L985,"")</f>
      </c>
      <c r="Q985" s="16" t="str">
        <v>按本SKU唯一未删除Listing店铺核实</v>
      </c>
      <c r="R985" s="16" t="str">
        <v>未匹配</v>
      </c>
      <c r="S985" s="16" t="str">
        <v>停售</v>
      </c>
      <c r="T985" s="16" t="str">
        <v>B06b</v>
      </c>
      <c r="U985" s="16" t="str">
        <v>灰色羊京绒</v>
      </c>
      <c r="V985" s="16" t="n">
        <v>7</v>
      </c>
      <c r="W985" s="8" t="str">
        <v>2026-10-08 至 2026-10-17</v>
      </c>
      <c r="X985" s="8" t="str">
        <v>2026-10-08、2026-10-09、2026-10-10、2026-10-11、2026-10-14、2026-10-15、2026-10-17</v>
      </c>
      <c r="Y985" s="8" t="str">
        <v>2026-10-12 有记录的停售日；2026-10-13 有记录的停售日；2026-10-16 有记录的停售日</v>
      </c>
      <c r="Z985" s="8" t="n">
        <v>0</v>
      </c>
      <c r="AA985" s="8" t="n">
        <v>0</v>
      </c>
      <c r="AB985" s="8" t="n">
        <v>7</v>
      </c>
      <c r="AC985" s="8" t="str">
        <v>2026-09-29 至 2026-10-17</v>
      </c>
      <c r="AD985" s="8" t="str">
        <v>2026-09-29、2026-09-30、2026-10-01、2026-10-02、2026-10-03、2026-10-04、2026-10-05、2026-10-08、2026-10-09、2026-10-10、2026-10-11、2026-10-14、2026-10-15、2026-10-17</v>
      </c>
      <c r="AE985" s="8" t="str">
        <v>2026-10-06 大促；2026-10-07 大促；2026-10-12 有记录的停售日；2026-10-13 有记录的停售日；2026-10-16 有记录的停售日</v>
      </c>
      <c r="AF985" s="8" t="n">
        <v>0</v>
      </c>
      <c r="AG985" s="8" t="n">
        <v>0</v>
      </c>
      <c r="AH985" s="8" t="n">
        <v>14</v>
      </c>
      <c r="AI985" s="8" t="str">
        <v>2026-09-13 至 2026-10-17</v>
      </c>
      <c r="AJ98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5" s="8" t="str">
        <v>2026-10-06 大促；2026-10-07 大促；2026-10-12 有记录的停售日；2026-10-13 有记录的停售日；2026-10-16 有记录的停售日</v>
      </c>
      <c r="AL985" s="8" t="n">
        <v>0</v>
      </c>
      <c r="AM985" s="8" t="n">
        <v>0</v>
      </c>
      <c r="AN985" s="8" t="n">
        <v>30</v>
      </c>
      <c r="AO985" s="8" t="str">
        <v>B06b / 灰色羊京绒 / 13120</v>
      </c>
      <c r="AP985" s="11" t="n">
        <v>1.1090677182221615</v>
      </c>
      <c r="AQ985" s="11" t="n">
        <v>1.0637680334742425</v>
      </c>
      <c r="AR985" s="11" t="n">
        <v>0.9188090422809019</v>
      </c>
      <c r="AS985" s="11" t="n">
        <f>IF(AND(COUNT(I985:K985,AP985:AR985)=6,MIN(AP985:AR985)&gt;0),I985/7/AP985*0.5+J985/14/AQ985*0.3+K985/30/AR985*0.2,"")</f>
        <v>0</v>
      </c>
      <c r="AT985" s="8" t="n">
        <v>0</v>
      </c>
      <c r="AU985" s="8" t="n">
        <v>0</v>
      </c>
      <c r="AV985" s="8" t="n">
        <v>85</v>
      </c>
      <c r="AW985" s="11" t="n">
        <f>IF(AND(COUNT(AT985:AV985)=3,AT985&gt;=AU985,AU985&gt;=0,AV985&gt;0),(AT985-AU985)/AV985,"")</f>
        <v>0</v>
      </c>
      <c r="AX985" s="8" t="n">
        <v>2</v>
      </c>
      <c r="AY985" s="8" t="n">
        <v>0</v>
      </c>
      <c r="AZ985" s="8" t="n">
        <v>175</v>
      </c>
      <c r="BA985" s="11" t="n">
        <f>IF(AND(COUNT(AX985:AZ985)=3,AX985&gt;=AY985,AY985&gt;=0,AZ985&gt;0),(AX985-AY985)/AZ985,"")</f>
        <v>0.011428571428571429</v>
      </c>
      <c r="BB985" s="8" t="n">
        <f>IF(COUNT(AS985,AW985,BA985)=3,1,0)</f>
        <v>1</v>
      </c>
      <c r="BC985" s="11" t="n">
        <f>IF(SUMIF($AO$11:$AO$1309,AO985,$BB$11:$BB$1309)=COUNTIF($AO$11:$AO$1309,AO985),SUMIF($AO$11:$AO$1309,AO985,$AS$11:$AS$1309),"")</f>
        <v>0</v>
      </c>
      <c r="BD985" s="11" t="n">
        <f>IF(SUMIF($AO$11:$AO$1309,AO985,$BB$11:$BB$1309)=COUNTIF($AO$11:$AO$1309,AO985),SUMIF($AO$11:$AO$1309,AO985,$AW$11:$AW$1309),"")</f>
        <v>0</v>
      </c>
      <c r="BE985" s="11" t="n">
        <f>IF(SUMIF($AO$11:$AO$1309,AO985,$BB$11:$BB$1309)=COUNTIF($AO$11:$AO$1309,AO985),SUMIF($AO$11:$AO$1309,AO985,$BA$11:$BA$1309),"")</f>
        <v>0.06285714285714286</v>
      </c>
      <c r="BF985" s="12" t="n">
        <f>IF(COUNT(BD985:BE985)&lt;&gt;2,"",IF(AND(BD985&gt;0,BE985&gt;0),0.7*AW985/BD985+0.3*BA985/BE985,IF(BD985&gt;0,AW985/BD985,IF(BE985&gt;0,BA985/BE985,IF(AND(ISNUMBER(BH985),BH985=0),0,"")))))</f>
        <v>0.1818181818181818</v>
      </c>
      <c r="BG985" s="11" t="n">
        <f>IF(AND(COUNT(BN985:BU985)=8,MIN(BN985:BU985)&gt;=0),SUMPRODUCT(BN985:BQ985,BR985:BU985),"")</f>
        <v>94.47778160343367</v>
      </c>
      <c r="BH985" s="11" t="n">
        <f>IF(COUNT(BC985,BG985)=2,BC985*BG985,"")</f>
        <v>0</v>
      </c>
      <c r="BI985" s="11" t="n">
        <f>IF(ISNUMBER(CI985),CI985,"")</f>
        <v>0</v>
      </c>
      <c r="BJ985" s="8" t="str">
        <v>低销提醒依据不完整</v>
      </c>
      <c r="BK985" s="8" t="str">
        <v>90天：2026-07-20 至 2026-10-17；180天：2026-04-21 至 2026-10-17</v>
      </c>
      <c r="BL985" s="8" t="str">
        <v>90天：2026-10-06、2026-10-07、2026-10-12、2026-10-13、2026-10-16；180天：2026-10-06、2026-10-07、2026-10-12、2026-10-13、2026-10-16</v>
      </c>
      <c r="BM985" s="8" t="str">
        <v>2026-10：12天 × 1.1090677182221615；2026-11：30天 × 1.0372741535934282；2026-12：31天 × 0.979949351738161；2027-01：17天 × 1.1571949690048173</v>
      </c>
      <c r="BN985" s="11" t="n">
        <v>1.1090677182221615</v>
      </c>
      <c r="BO985" s="11" t="n">
        <v>1.0372741535934282</v>
      </c>
      <c r="BP985" s="11" t="n">
        <v>0.979949351738161</v>
      </c>
      <c r="BQ985" s="11" t="n">
        <v>1.1571949690048173</v>
      </c>
      <c r="BR985" s="8" t="n">
        <v>12</v>
      </c>
      <c r="BS985" s="8" t="n">
        <v>30</v>
      </c>
      <c r="BT985" s="8" t="n">
        <v>31</v>
      </c>
      <c r="BU985" s="8" t="n">
        <v>17</v>
      </c>
      <c r="BV985" s="11" t="n">
        <f>IF(COUNT(BC985,BF985)=2,BC985*BF985,"")</f>
        <v>0</v>
      </c>
      <c r="BW985" s="11" t="n">
        <f>IF(ISNUMBER(BN985),BN985,"")</f>
        <v>1.1090677182221615</v>
      </c>
      <c r="BX985" s="14" t="n">
        <f>IF(ISNUMBER(BR985),BR985,"")</f>
        <v>12</v>
      </c>
      <c r="BY985" s="13" t="n">
        <f>IF(AND(COUNT(BV985,BW985,BX985)=3,MIN(BV985,BW985,BX985)&gt;=0),BV985*BW985*BX985,"")</f>
        <v>0</v>
      </c>
      <c r="BZ985" s="11" t="n">
        <f>IF(ISNUMBER(BO985),BO985,"")</f>
        <v>1.0372741535934282</v>
      </c>
      <c r="CA985" s="14" t="n">
        <f>IF(ISNUMBER(BS985),BS985,"")</f>
        <v>30</v>
      </c>
      <c r="CB985" s="13" t="n">
        <f>IF(AND(COUNT(BV985,BZ985,CA985)=3,MIN(BV985,BZ985,CA985)&gt;=0),BV985*BZ985*CA985,"")</f>
        <v>0</v>
      </c>
      <c r="CC985" s="11" t="n">
        <f>IF(ISNUMBER(BP985),BP985,"")</f>
        <v>0.979949351738161</v>
      </c>
      <c r="CD985" s="14" t="n">
        <f>IF(ISNUMBER(BT985),BT985,"")</f>
        <v>31</v>
      </c>
      <c r="CE985" s="13" t="n">
        <f>IF(AND(COUNT(BV985,CC985,CD985)=3,MIN(BV985,CC985,CD985)&gt;=0),BV985*CC985*CD985,"")</f>
        <v>0</v>
      </c>
      <c r="CF985" s="11" t="n">
        <f>IF(ISNUMBER(BQ985),BQ985,"")</f>
        <v>1.1571949690048173</v>
      </c>
      <c r="CG985" s="14" t="n">
        <f>IF(ISNUMBER(BU985),BU985,"")</f>
        <v>17</v>
      </c>
      <c r="CH985" s="13" t="n">
        <f>IF(AND(COUNT(BV985,CF985,CG985)=3,MIN(BV985,CF985,CG985)&gt;=0),BV985*CF985*CG985,"")</f>
        <v>0</v>
      </c>
      <c r="CI985" s="13" t="n">
        <f>IF(COUNT(BY985,CB985,CE985,CH985)=4,SUM(BY985,CB985,CE985,CH985),"")</f>
        <v>0</v>
      </c>
    </row>
    <row r="986" ht="72" customHeight="1">
      <c r="A986" s="16" t="str">
        <v>B06b-GY-39</v>
      </c>
      <c r="B986" s="16" t="str">
        <v>1店-MUSSHOE-US</v>
      </c>
      <c r="C986" s="16" t="str">
        <v>艾年</v>
      </c>
      <c r="D986" s="26" t="n">
        <f>IF(NOT(ISNUMBER(E986)),"",IF(OR(E986&lt;=0,L986=0),0,IF(OR(NOT(ISNUMBER(F986)),F986&lt;0),"",MIN(E986,INT(F986)))))</f>
        <v>0</v>
      </c>
      <c r="E986" s="27" t="n">
        <f>IF(OR(NOT(ISNUMBER(L986)),COUNT(M986:O986)&lt;&gt;3,MIN(M986:O986)&lt;0),"",ROUNDUP(ROUND(BI986-SUM(M986:O986),10),0))</f>
        <v>0</v>
      </c>
      <c r="F986" s="28"/>
      <c r="G986" s="28" t="n">
        <f>IF(AND(ISNUMBER(D986),ISNUMBER(E986)),IF(OR(E986&lt;=0,L986=0),0,E986-D986),"")</f>
        <v>0</v>
      </c>
      <c r="H986" s="16" t="str">
        <f>IF(NOT(ISNUMBER(E986)),"销量或海外库存待补",IF(OR(E986&lt;=0,L986=0),IF(L986=0,"零日销，本批不发","本批无需补货"),IF(NOT(ISNUMBER(D986)),"国内库存待补",IF(D986=0,"国内无可用库存",IF(G986&gt;0,"先发国内现货","按建议量发货")))))</f>
        <v>零日销，本批不发</v>
      </c>
      <c r="I986" s="28" t="n">
        <f>IF(AND(COUNT(Z986,AA986,AB986)=3,Z986&gt;=AA986,AA986&gt;=0,AB986=7),Z986-AA986,"")</f>
        <v>0</v>
      </c>
      <c r="J986" s="28" t="n">
        <f>IF(AND(COUNT(AF986,AG986,AH986)=3,AF986&gt;=AG986,AG986&gt;=0,AH986=14),AF986-AG986,"")</f>
        <v>0</v>
      </c>
      <c r="K986" s="28" t="n">
        <f>IF(AND(COUNT(AL986,AM986,AN986)=3,AL986&gt;=AM986,AM986&gt;=0,AN986=30),AL986-AM986,"")</f>
        <v>0</v>
      </c>
      <c r="L986" s="29" t="n">
        <f>IF(ISNUMBER(BI986),BI986/90,"")</f>
        <v>0</v>
      </c>
      <c r="M986" s="28" t="n">
        <v>0</v>
      </c>
      <c r="N986" s="28" t="n">
        <v>0</v>
      </c>
      <c r="O986" s="28" t="n">
        <v>0</v>
      </c>
      <c r="P986" s="30" t="str">
        <f>IF(AND(ISNUMBER(L986),L986&gt;0,COUNT(M986:O986)=3,MIN(M986:O986)&gt;=0),SUM(M986:O986)/L986,"")</f>
      </c>
      <c r="Q986" s="16" t="str">
        <v>按本SKU唯一未删除Listing店铺核实</v>
      </c>
      <c r="R986" s="16" t="str">
        <v>未匹配</v>
      </c>
      <c r="S986" s="16" t="str">
        <v>停售</v>
      </c>
      <c r="T986" s="16" t="str">
        <v>B06b</v>
      </c>
      <c r="U986" s="16" t="str">
        <v>灰色羊京绒</v>
      </c>
      <c r="V986" s="16" t="n">
        <v>8</v>
      </c>
      <c r="W986" s="8" t="str">
        <v>2026-10-08 至 2026-10-17</v>
      </c>
      <c r="X986" s="8" t="str">
        <v>2026-10-08、2026-10-09、2026-10-10、2026-10-11、2026-10-14、2026-10-15、2026-10-17</v>
      </c>
      <c r="Y986" s="8" t="str">
        <v>2026-10-12 有记录的停售日；2026-10-13 有记录的停售日；2026-10-16 有记录的停售日</v>
      </c>
      <c r="Z986" s="8" t="n">
        <v>0</v>
      </c>
      <c r="AA986" s="8" t="n">
        <v>0</v>
      </c>
      <c r="AB986" s="8" t="n">
        <v>7</v>
      </c>
      <c r="AC986" s="8" t="str">
        <v>2026-09-29 至 2026-10-17</v>
      </c>
      <c r="AD986" s="8" t="str">
        <v>2026-09-29、2026-09-30、2026-10-01、2026-10-02、2026-10-03、2026-10-04、2026-10-05、2026-10-08、2026-10-09、2026-10-10、2026-10-11、2026-10-14、2026-10-15、2026-10-17</v>
      </c>
      <c r="AE986" s="8" t="str">
        <v>2026-10-06 大促；2026-10-07 大促；2026-10-12 有记录的停售日；2026-10-13 有记录的停售日；2026-10-16 有记录的停售日</v>
      </c>
      <c r="AF986" s="8" t="n">
        <v>0</v>
      </c>
      <c r="AG986" s="8" t="n">
        <v>0</v>
      </c>
      <c r="AH986" s="8" t="n">
        <v>14</v>
      </c>
      <c r="AI986" s="8" t="str">
        <v>2026-09-13 至 2026-10-17</v>
      </c>
      <c r="AJ98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6" s="8" t="str">
        <v>2026-10-06 大促；2026-10-07 大促；2026-10-12 有记录的停售日；2026-10-13 有记录的停售日；2026-10-16 有记录的停售日</v>
      </c>
      <c r="AL986" s="8" t="n">
        <v>0</v>
      </c>
      <c r="AM986" s="8" t="n">
        <v>0</v>
      </c>
      <c r="AN986" s="8" t="n">
        <v>30</v>
      </c>
      <c r="AO986" s="8" t="str">
        <v>B06b / 灰色羊京绒 / 13120</v>
      </c>
      <c r="AP986" s="11" t="n">
        <v>1.1090677182221615</v>
      </c>
      <c r="AQ986" s="11" t="n">
        <v>1.0637680334742425</v>
      </c>
      <c r="AR986" s="11" t="n">
        <v>0.9188090422809019</v>
      </c>
      <c r="AS986" s="11" t="n">
        <f>IF(AND(COUNT(I986:K986,AP986:AR986)=6,MIN(AP986:AR986)&gt;0),I986/7/AP986*0.5+J986/14/AQ986*0.3+K986/30/AR986*0.2,"")</f>
        <v>0</v>
      </c>
      <c r="AT986" s="8" t="n">
        <v>0</v>
      </c>
      <c r="AU986" s="8" t="n">
        <v>0</v>
      </c>
      <c r="AV986" s="8" t="n">
        <v>85</v>
      </c>
      <c r="AW986" s="11" t="n">
        <f>IF(AND(COUNT(AT986:AV986)=3,AT986&gt;=AU986,AU986&gt;=0,AV986&gt;0),(AT986-AU986)/AV986,"")</f>
        <v>0</v>
      </c>
      <c r="AX986" s="8" t="n">
        <v>8</v>
      </c>
      <c r="AY986" s="8" t="n">
        <v>0</v>
      </c>
      <c r="AZ986" s="8" t="n">
        <v>175</v>
      </c>
      <c r="BA986" s="11" t="n">
        <f>IF(AND(COUNT(AX986:AZ986)=3,AX986&gt;=AY986,AY986&gt;=0,AZ986&gt;0),(AX986-AY986)/AZ986,"")</f>
        <v>0.045714285714285714</v>
      </c>
      <c r="BB986" s="8" t="n">
        <f>IF(COUNT(AS986,AW986,BA986)=3,1,0)</f>
        <v>1</v>
      </c>
      <c r="BC986" s="11" t="n">
        <f>IF(SUMIF($AO$11:$AO$1309,AO986,$BB$11:$BB$1309)=COUNTIF($AO$11:$AO$1309,AO986),SUMIF($AO$11:$AO$1309,AO986,$AS$11:$AS$1309),"")</f>
        <v>0</v>
      </c>
      <c r="BD986" s="11" t="n">
        <f>IF(SUMIF($AO$11:$AO$1309,AO986,$BB$11:$BB$1309)=COUNTIF($AO$11:$AO$1309,AO986),SUMIF($AO$11:$AO$1309,AO986,$AW$11:$AW$1309),"")</f>
        <v>0</v>
      </c>
      <c r="BE986" s="11" t="n">
        <f>IF(SUMIF($AO$11:$AO$1309,AO986,$BB$11:$BB$1309)=COUNTIF($AO$11:$AO$1309,AO986),SUMIF($AO$11:$AO$1309,AO986,$BA$11:$BA$1309),"")</f>
        <v>0.06285714285714286</v>
      </c>
      <c r="BF986" s="12" t="n">
        <f>IF(COUNT(BD986:BE986)&lt;&gt;2,"",IF(AND(BD986&gt;0,BE986&gt;0),0.7*AW986/BD986+0.3*BA986/BE986,IF(BD986&gt;0,AW986/BD986,IF(BE986&gt;0,BA986/BE986,IF(AND(ISNUMBER(BH986),BH986=0),0,"")))))</f>
        <v>0.7272727272727272</v>
      </c>
      <c r="BG986" s="11" t="n">
        <f>IF(AND(COUNT(BN986:BU986)=8,MIN(BN986:BU986)&gt;=0),SUMPRODUCT(BN986:BQ986,BR986:BU986),"")</f>
        <v>94.47778160343367</v>
      </c>
      <c r="BH986" s="11" t="n">
        <f>IF(COUNT(BC986,BG986)=2,BC986*BG986,"")</f>
        <v>0</v>
      </c>
      <c r="BI986" s="11" t="n">
        <f>IF(ISNUMBER(CI986),CI986,"")</f>
        <v>0</v>
      </c>
      <c r="BJ986" s="8" t="str">
        <v>低销提醒依据不完整</v>
      </c>
      <c r="BK986" s="8" t="str">
        <v>90天：2026-07-20 至 2026-10-17；180天：2026-04-21 至 2026-10-17</v>
      </c>
      <c r="BL986" s="8" t="str">
        <v>90天：2026-10-06、2026-10-07、2026-10-12、2026-10-13、2026-10-16；180天：2026-10-06、2026-10-07、2026-10-12、2026-10-13、2026-10-16</v>
      </c>
      <c r="BM986" s="8" t="str">
        <v>2026-10：12天 × 1.1090677182221615；2026-11：30天 × 1.0372741535934282；2026-12：31天 × 0.979949351738161；2027-01：17天 × 1.1571949690048173</v>
      </c>
      <c r="BN986" s="11" t="n">
        <v>1.1090677182221615</v>
      </c>
      <c r="BO986" s="11" t="n">
        <v>1.0372741535934282</v>
      </c>
      <c r="BP986" s="11" t="n">
        <v>0.979949351738161</v>
      </c>
      <c r="BQ986" s="11" t="n">
        <v>1.1571949690048173</v>
      </c>
      <c r="BR986" s="8" t="n">
        <v>12</v>
      </c>
      <c r="BS986" s="8" t="n">
        <v>30</v>
      </c>
      <c r="BT986" s="8" t="n">
        <v>31</v>
      </c>
      <c r="BU986" s="8" t="n">
        <v>17</v>
      </c>
      <c r="BV986" s="11" t="n">
        <f>IF(COUNT(BC986,BF986)=2,BC986*BF986,"")</f>
        <v>0</v>
      </c>
      <c r="BW986" s="11" t="n">
        <f>IF(ISNUMBER(BN986),BN986,"")</f>
        <v>1.1090677182221615</v>
      </c>
      <c r="BX986" s="14" t="n">
        <f>IF(ISNUMBER(BR986),BR986,"")</f>
        <v>12</v>
      </c>
      <c r="BY986" s="13" t="n">
        <f>IF(AND(COUNT(BV986,BW986,BX986)=3,MIN(BV986,BW986,BX986)&gt;=0),BV986*BW986*BX986,"")</f>
        <v>0</v>
      </c>
      <c r="BZ986" s="11" t="n">
        <f>IF(ISNUMBER(BO986),BO986,"")</f>
        <v>1.0372741535934282</v>
      </c>
      <c r="CA986" s="14" t="n">
        <f>IF(ISNUMBER(BS986),BS986,"")</f>
        <v>30</v>
      </c>
      <c r="CB986" s="13" t="n">
        <f>IF(AND(COUNT(BV986,BZ986,CA986)=3,MIN(BV986,BZ986,CA986)&gt;=0),BV986*BZ986*CA986,"")</f>
        <v>0</v>
      </c>
      <c r="CC986" s="11" t="n">
        <f>IF(ISNUMBER(BP986),BP986,"")</f>
        <v>0.979949351738161</v>
      </c>
      <c r="CD986" s="14" t="n">
        <f>IF(ISNUMBER(BT986),BT986,"")</f>
        <v>31</v>
      </c>
      <c r="CE986" s="13" t="n">
        <f>IF(AND(COUNT(BV986,CC986,CD986)=3,MIN(BV986,CC986,CD986)&gt;=0),BV986*CC986*CD986,"")</f>
        <v>0</v>
      </c>
      <c r="CF986" s="11" t="n">
        <f>IF(ISNUMBER(BQ986),BQ986,"")</f>
        <v>1.1571949690048173</v>
      </c>
      <c r="CG986" s="14" t="n">
        <f>IF(ISNUMBER(BU986),BU986,"")</f>
        <v>17</v>
      </c>
      <c r="CH986" s="13" t="n">
        <f>IF(AND(COUNT(BV986,CF986,CG986)=3,MIN(BV986,CF986,CG986)&gt;=0),BV986*CF986*CG986,"")</f>
        <v>0</v>
      </c>
      <c r="CI986" s="13" t="n">
        <f>IF(COUNT(BY986,CB986,CE986,CH986)=4,SUM(BY986,CB986,CE986,CH986),"")</f>
        <v>0</v>
      </c>
    </row>
    <row r="987" ht="72" customHeight="1">
      <c r="A987" s="16" t="str">
        <v>B06b-GY-40</v>
      </c>
      <c r="B987" s="16" t="str">
        <v>1店-MUSSHOE-US</v>
      </c>
      <c r="C987" s="16" t="str">
        <v>艾年</v>
      </c>
      <c r="D987" s="26" t="n">
        <f>IF(NOT(ISNUMBER(E987)),"",IF(OR(E987&lt;=0,L987=0),0,IF(OR(NOT(ISNUMBER(F987)),F987&lt;0),"",MIN(E987,INT(F987)))))</f>
        <v>0</v>
      </c>
      <c r="E987" s="27" t="n">
        <f>IF(OR(NOT(ISNUMBER(L987)),COUNT(M987:O987)&lt;&gt;3,MIN(M987:O987)&lt;0),"",ROUNDUP(ROUND(BI987-SUM(M987:O987),10),0))</f>
        <v>0</v>
      </c>
      <c r="F987" s="28"/>
      <c r="G987" s="28" t="n">
        <f>IF(AND(ISNUMBER(D987),ISNUMBER(E987)),IF(OR(E987&lt;=0,L987=0),0,E987-D987),"")</f>
        <v>0</v>
      </c>
      <c r="H987" s="16" t="str">
        <f>IF(NOT(ISNUMBER(E987)),"销量或海外库存待补",IF(OR(E987&lt;=0,L987=0),IF(L987=0,"零日销，本批不发","本批无需补货"),IF(NOT(ISNUMBER(D987)),"国内库存待补",IF(D987=0,"国内无可用库存",IF(G987&gt;0,"先发国内现货","按建议量发货")))))</f>
        <v>零日销，本批不发</v>
      </c>
      <c r="I987" s="28" t="n">
        <f>IF(AND(COUNT(Z987,AA987,AB987)=3,Z987&gt;=AA987,AA987&gt;=0,AB987=7),Z987-AA987,"")</f>
        <v>0</v>
      </c>
      <c r="J987" s="28" t="n">
        <f>IF(AND(COUNT(AF987,AG987,AH987)=3,AF987&gt;=AG987,AG987&gt;=0,AH987=14),AF987-AG987,"")</f>
        <v>0</v>
      </c>
      <c r="K987" s="28" t="n">
        <f>IF(AND(COUNT(AL987,AM987,AN987)=3,AL987&gt;=AM987,AM987&gt;=0,AN987=30),AL987-AM987,"")</f>
        <v>0</v>
      </c>
      <c r="L987" s="29" t="n">
        <f>IF(ISNUMBER(BI987),BI987/90,"")</f>
        <v>0</v>
      </c>
      <c r="M987" s="28" t="n">
        <v>0</v>
      </c>
      <c r="N987" s="28" t="n">
        <v>0</v>
      </c>
      <c r="O987" s="28" t="n">
        <v>0</v>
      </c>
      <c r="P987" s="30" t="str">
        <f>IF(AND(ISNUMBER(L987),L987&gt;0,COUNT(M987:O987)=3,MIN(M987:O987)&gt;=0),SUM(M987:O987)/L987,"")</f>
      </c>
      <c r="Q987" s="16" t="str">
        <v>按本SKU唯一未删除Listing店铺核实</v>
      </c>
      <c r="R987" s="16" t="str">
        <v>未匹配</v>
      </c>
      <c r="S987" s="16" t="str">
        <v>停售</v>
      </c>
      <c r="T987" s="16" t="str">
        <v>B06b</v>
      </c>
      <c r="U987" s="16" t="str">
        <v>灰色羊京绒</v>
      </c>
      <c r="V987" s="16" t="n">
        <v>9</v>
      </c>
      <c r="W987" s="8" t="str">
        <v>2026-10-08 至 2026-10-17</v>
      </c>
      <c r="X987" s="8" t="str">
        <v>2026-10-08、2026-10-09、2026-10-10、2026-10-11、2026-10-14、2026-10-15、2026-10-17</v>
      </c>
      <c r="Y987" s="8" t="str">
        <v>2026-10-12 有记录的停售日；2026-10-13 有记录的停售日；2026-10-16 有记录的停售日</v>
      </c>
      <c r="Z987" s="8" t="n">
        <v>0</v>
      </c>
      <c r="AA987" s="8" t="n">
        <v>0</v>
      </c>
      <c r="AB987" s="8" t="n">
        <v>7</v>
      </c>
      <c r="AC987" s="8" t="str">
        <v>2026-09-29 至 2026-10-17</v>
      </c>
      <c r="AD987" s="8" t="str">
        <v>2026-09-29、2026-09-30、2026-10-01、2026-10-02、2026-10-03、2026-10-04、2026-10-05、2026-10-08、2026-10-09、2026-10-10、2026-10-11、2026-10-14、2026-10-15、2026-10-17</v>
      </c>
      <c r="AE987" s="8" t="str">
        <v>2026-10-06 大促；2026-10-07 大促；2026-10-12 有记录的停售日；2026-10-13 有记录的停售日；2026-10-16 有记录的停售日</v>
      </c>
      <c r="AF987" s="8" t="n">
        <v>0</v>
      </c>
      <c r="AG987" s="8" t="n">
        <v>0</v>
      </c>
      <c r="AH987" s="8" t="n">
        <v>14</v>
      </c>
      <c r="AI987" s="8" t="str">
        <v>2026-09-13 至 2026-10-17</v>
      </c>
      <c r="AJ9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7" s="8" t="str">
        <v>2026-10-06 大促；2026-10-07 大促；2026-10-12 有记录的停售日；2026-10-13 有记录的停售日；2026-10-16 有记录的停售日</v>
      </c>
      <c r="AL987" s="8" t="n">
        <v>0</v>
      </c>
      <c r="AM987" s="8" t="n">
        <v>0</v>
      </c>
      <c r="AN987" s="8" t="n">
        <v>30</v>
      </c>
      <c r="AO987" s="8" t="str">
        <v>B06b / 灰色羊京绒 / 13120</v>
      </c>
      <c r="AP987" s="11" t="n">
        <v>1.1090677182221615</v>
      </c>
      <c r="AQ987" s="11" t="n">
        <v>1.0637680334742425</v>
      </c>
      <c r="AR987" s="11" t="n">
        <v>0.9188090422809019</v>
      </c>
      <c r="AS987" s="11" t="n">
        <f>IF(AND(COUNT(I987:K987,AP987:AR987)=6,MIN(AP987:AR987)&gt;0),I987/7/AP987*0.5+J987/14/AQ987*0.3+K987/30/AR987*0.2,"")</f>
        <v>0</v>
      </c>
      <c r="AT987" s="8" t="n">
        <v>0</v>
      </c>
      <c r="AU987" s="8" t="n">
        <v>0</v>
      </c>
      <c r="AV987" s="8" t="n">
        <v>85</v>
      </c>
      <c r="AW987" s="11" t="n">
        <f>IF(AND(COUNT(AT987:AV987)=3,AT987&gt;=AU987,AU987&gt;=0,AV987&gt;0),(AT987-AU987)/AV987,"")</f>
        <v>0</v>
      </c>
      <c r="AX987" s="8" t="n">
        <v>0</v>
      </c>
      <c r="AY987" s="8" t="n">
        <v>0</v>
      </c>
      <c r="AZ987" s="8" t="n">
        <v>175</v>
      </c>
      <c r="BA987" s="11" t="n">
        <f>IF(AND(COUNT(AX987:AZ987)=3,AX987&gt;=AY987,AY987&gt;=0,AZ987&gt;0),(AX987-AY987)/AZ987,"")</f>
        <v>0</v>
      </c>
      <c r="BB987" s="8" t="n">
        <f>IF(COUNT(AS987,AW987,BA987)=3,1,0)</f>
        <v>1</v>
      </c>
      <c r="BC987" s="11" t="n">
        <f>IF(SUMIF($AO$11:$AO$1309,AO987,$BB$11:$BB$1309)=COUNTIF($AO$11:$AO$1309,AO987),SUMIF($AO$11:$AO$1309,AO987,$AS$11:$AS$1309),"")</f>
        <v>0</v>
      </c>
      <c r="BD987" s="11" t="n">
        <f>IF(SUMIF($AO$11:$AO$1309,AO987,$BB$11:$BB$1309)=COUNTIF($AO$11:$AO$1309,AO987),SUMIF($AO$11:$AO$1309,AO987,$AW$11:$AW$1309),"")</f>
        <v>0</v>
      </c>
      <c r="BE987" s="11" t="n">
        <f>IF(SUMIF($AO$11:$AO$1309,AO987,$BB$11:$BB$1309)=COUNTIF($AO$11:$AO$1309,AO987),SUMIF($AO$11:$AO$1309,AO987,$BA$11:$BA$1309),"")</f>
        <v>0.06285714285714286</v>
      </c>
      <c r="BF987" s="12" t="n">
        <f>IF(COUNT(BD987:BE987)&lt;&gt;2,"",IF(AND(BD987&gt;0,BE987&gt;0),0.7*AW987/BD987+0.3*BA987/BE987,IF(BD987&gt;0,AW987/BD987,IF(BE987&gt;0,BA987/BE987,IF(AND(ISNUMBER(BH987),BH987=0),0,"")))))</f>
        <v>0</v>
      </c>
      <c r="BG987" s="11" t="n">
        <f>IF(AND(COUNT(BN987:BU987)=8,MIN(BN987:BU987)&gt;=0),SUMPRODUCT(BN987:BQ987,BR987:BU987),"")</f>
        <v>94.47778160343367</v>
      </c>
      <c r="BH987" s="11" t="n">
        <f>IF(COUNT(BC987,BG987)=2,BC987*BG987,"")</f>
        <v>0</v>
      </c>
      <c r="BI987" s="11" t="n">
        <f>IF(ISNUMBER(CI987),CI987,"")</f>
        <v>0</v>
      </c>
      <c r="BJ987" s="8" t="str">
        <v>低销提醒依据不完整</v>
      </c>
      <c r="BK987" s="8" t="str">
        <v>90天：2026-07-20 至 2026-10-17；180天：2026-04-21 至 2026-10-17</v>
      </c>
      <c r="BL987" s="8" t="str">
        <v>90天：2026-10-06、2026-10-07、2026-10-12、2026-10-13、2026-10-16；180天：2026-10-06、2026-10-07、2026-10-12、2026-10-13、2026-10-16</v>
      </c>
      <c r="BM987" s="8" t="str">
        <v>2026-10：12天 × 1.1090677182221615；2026-11：30天 × 1.0372741535934282；2026-12：31天 × 0.979949351738161；2027-01：17天 × 1.1571949690048173</v>
      </c>
      <c r="BN987" s="11" t="n">
        <v>1.1090677182221615</v>
      </c>
      <c r="BO987" s="11" t="n">
        <v>1.0372741535934282</v>
      </c>
      <c r="BP987" s="11" t="n">
        <v>0.979949351738161</v>
      </c>
      <c r="BQ987" s="11" t="n">
        <v>1.1571949690048173</v>
      </c>
      <c r="BR987" s="8" t="n">
        <v>12</v>
      </c>
      <c r="BS987" s="8" t="n">
        <v>30</v>
      </c>
      <c r="BT987" s="8" t="n">
        <v>31</v>
      </c>
      <c r="BU987" s="8" t="n">
        <v>17</v>
      </c>
      <c r="BV987" s="11" t="n">
        <f>IF(COUNT(BC987,BF987)=2,BC987*BF987,"")</f>
        <v>0</v>
      </c>
      <c r="BW987" s="11" t="n">
        <f>IF(ISNUMBER(BN987),BN987,"")</f>
        <v>1.1090677182221615</v>
      </c>
      <c r="BX987" s="14" t="n">
        <f>IF(ISNUMBER(BR987),BR987,"")</f>
        <v>12</v>
      </c>
      <c r="BY987" s="13" t="n">
        <f>IF(AND(COUNT(BV987,BW987,BX987)=3,MIN(BV987,BW987,BX987)&gt;=0),BV987*BW987*BX987,"")</f>
        <v>0</v>
      </c>
      <c r="BZ987" s="11" t="n">
        <f>IF(ISNUMBER(BO987),BO987,"")</f>
        <v>1.0372741535934282</v>
      </c>
      <c r="CA987" s="14" t="n">
        <f>IF(ISNUMBER(BS987),BS987,"")</f>
        <v>30</v>
      </c>
      <c r="CB987" s="13" t="n">
        <f>IF(AND(COUNT(BV987,BZ987,CA987)=3,MIN(BV987,BZ987,CA987)&gt;=0),BV987*BZ987*CA987,"")</f>
        <v>0</v>
      </c>
      <c r="CC987" s="11" t="n">
        <f>IF(ISNUMBER(BP987),BP987,"")</f>
        <v>0.979949351738161</v>
      </c>
      <c r="CD987" s="14" t="n">
        <f>IF(ISNUMBER(BT987),BT987,"")</f>
        <v>31</v>
      </c>
      <c r="CE987" s="13" t="n">
        <f>IF(AND(COUNT(BV987,CC987,CD987)=3,MIN(BV987,CC987,CD987)&gt;=0),BV987*CC987*CD987,"")</f>
        <v>0</v>
      </c>
      <c r="CF987" s="11" t="n">
        <f>IF(ISNUMBER(BQ987),BQ987,"")</f>
        <v>1.1571949690048173</v>
      </c>
      <c r="CG987" s="14" t="n">
        <f>IF(ISNUMBER(BU987),BU987,"")</f>
        <v>17</v>
      </c>
      <c r="CH987" s="13" t="n">
        <f>IF(AND(COUNT(BV987,CF987,CG987)=3,MIN(BV987,CF987,CG987)&gt;=0),BV987*CF987*CG987,"")</f>
        <v>0</v>
      </c>
      <c r="CI987" s="13" t="n">
        <f>IF(COUNT(BY987,CB987,CE987,CH987)=4,SUM(BY987,CB987,CE987,CH987),"")</f>
        <v>0</v>
      </c>
    </row>
    <row r="988" ht="72" customHeight="1">
      <c r="A988" s="16" t="str">
        <v>B06b-GY-42</v>
      </c>
      <c r="B988" s="16" t="str">
        <v>1店-MUSSHOE-US</v>
      </c>
      <c r="C988" s="16" t="str">
        <v>艾年</v>
      </c>
      <c r="D988" s="26" t="n">
        <f>IF(NOT(ISNUMBER(E988)),"",IF(OR(E988&lt;=0,L988=0),0,IF(OR(NOT(ISNUMBER(F988)),F988&lt;0),"",MIN(E988,INT(F988)))))</f>
        <v>0</v>
      </c>
      <c r="E988" s="27" t="n">
        <f>IF(OR(NOT(ISNUMBER(L988)),COUNT(M988:O988)&lt;&gt;3,MIN(M988:O988)&lt;0),"",ROUNDUP(ROUND(BI988-SUM(M988:O988),10),0))</f>
        <v>0</v>
      </c>
      <c r="F988" s="28"/>
      <c r="G988" s="28" t="n">
        <f>IF(AND(ISNUMBER(D988),ISNUMBER(E988)),IF(OR(E988&lt;=0,L988=0),0,E988-D988),"")</f>
        <v>0</v>
      </c>
      <c r="H988" s="16" t="str">
        <f>IF(NOT(ISNUMBER(E988)),"销量或海外库存待补",IF(OR(E988&lt;=0,L988=0),IF(L988=0,"零日销，本批不发","本批无需补货"),IF(NOT(ISNUMBER(D988)),"国内库存待补",IF(D988=0,"国内无可用库存",IF(G988&gt;0,"先发国内现货","按建议量发货")))))</f>
        <v>零日销，本批不发</v>
      </c>
      <c r="I988" s="28" t="n">
        <f>IF(AND(COUNT(Z988,AA988,AB988)=3,Z988&gt;=AA988,AA988&gt;=0,AB988=7),Z988-AA988,"")</f>
        <v>0</v>
      </c>
      <c r="J988" s="28" t="n">
        <f>IF(AND(COUNT(AF988,AG988,AH988)=3,AF988&gt;=AG988,AG988&gt;=0,AH988=14),AF988-AG988,"")</f>
        <v>0</v>
      </c>
      <c r="K988" s="28" t="n">
        <f>IF(AND(COUNT(AL988,AM988,AN988)=3,AL988&gt;=AM988,AM988&gt;=0,AN988=30),AL988-AM988,"")</f>
        <v>0</v>
      </c>
      <c r="L988" s="29" t="n">
        <f>IF(ISNUMBER(BI988),BI988/90,"")</f>
        <v>0</v>
      </c>
      <c r="M988" s="28" t="n">
        <v>0</v>
      </c>
      <c r="N988" s="28" t="n">
        <v>0</v>
      </c>
      <c r="O988" s="28" t="n">
        <v>0</v>
      </c>
      <c r="P988" s="30" t="str">
        <f>IF(AND(ISNUMBER(L988),L988&gt;0,COUNT(M988:O988)=3,MIN(M988:O988)&gt;=0),SUM(M988:O988)/L988,"")</f>
      </c>
      <c r="Q988" s="16" t="str">
        <v>按本SKU唯一未删除Listing店铺核实</v>
      </c>
      <c r="R988" s="16" t="str">
        <v>未匹配</v>
      </c>
      <c r="S988" s="16" t="str">
        <v>停售</v>
      </c>
      <c r="T988" s="16" t="str">
        <v>B06b</v>
      </c>
      <c r="U988" s="16" t="str">
        <v>灰色羊京绒</v>
      </c>
      <c r="V988" s="16" t="n">
        <v>11</v>
      </c>
      <c r="W988" s="8" t="str">
        <v>2026-10-08 至 2026-10-17</v>
      </c>
      <c r="X988" s="8" t="str">
        <v>2026-10-08、2026-10-09、2026-10-10、2026-10-11、2026-10-14、2026-10-15、2026-10-17</v>
      </c>
      <c r="Y988" s="8" t="str">
        <v>2026-10-12 有记录的停售日；2026-10-13 有记录的停售日；2026-10-16 有记录的停售日</v>
      </c>
      <c r="Z988" s="8" t="n">
        <v>0</v>
      </c>
      <c r="AA988" s="8" t="n">
        <v>0</v>
      </c>
      <c r="AB988" s="8" t="n">
        <v>7</v>
      </c>
      <c r="AC988" s="8" t="str">
        <v>2026-09-29 至 2026-10-17</v>
      </c>
      <c r="AD988" s="8" t="str">
        <v>2026-09-29、2026-09-30、2026-10-01、2026-10-02、2026-10-03、2026-10-04、2026-10-05、2026-10-08、2026-10-09、2026-10-10、2026-10-11、2026-10-14、2026-10-15、2026-10-17</v>
      </c>
      <c r="AE988" s="8" t="str">
        <v>2026-10-06 大促；2026-10-07 大促；2026-10-12 有记录的停售日；2026-10-13 有记录的停售日；2026-10-16 有记录的停售日</v>
      </c>
      <c r="AF988" s="8" t="n">
        <v>0</v>
      </c>
      <c r="AG988" s="8" t="n">
        <v>0</v>
      </c>
      <c r="AH988" s="8" t="n">
        <v>14</v>
      </c>
      <c r="AI988" s="8" t="str">
        <v>2026-09-13 至 2026-10-17</v>
      </c>
      <c r="AJ98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88" s="8" t="str">
        <v>2026-10-06 大促；2026-10-07 大促；2026-10-12 有记录的停售日；2026-10-13 有记录的停售日；2026-10-16 有记录的停售日</v>
      </c>
      <c r="AL988" s="8" t="n">
        <v>0</v>
      </c>
      <c r="AM988" s="8" t="n">
        <v>0</v>
      </c>
      <c r="AN988" s="8" t="n">
        <v>30</v>
      </c>
      <c r="AO988" s="8" t="str">
        <v>B06b / 灰色羊京绒 / 13120</v>
      </c>
      <c r="AP988" s="11" t="n">
        <v>1.1090677182221615</v>
      </c>
      <c r="AQ988" s="11" t="n">
        <v>1.0637680334742425</v>
      </c>
      <c r="AR988" s="11" t="n">
        <v>0.9188090422809019</v>
      </c>
      <c r="AS988" s="11" t="n">
        <f>IF(AND(COUNT(I988:K988,AP988:AR988)=6,MIN(AP988:AR988)&gt;0),I988/7/AP988*0.5+J988/14/AQ988*0.3+K988/30/AR988*0.2,"")</f>
        <v>0</v>
      </c>
      <c r="AT988" s="8" t="n">
        <v>0</v>
      </c>
      <c r="AU988" s="8" t="n">
        <v>0</v>
      </c>
      <c r="AV988" s="8" t="n">
        <v>85</v>
      </c>
      <c r="AW988" s="11" t="n">
        <f>IF(AND(COUNT(AT988:AV988)=3,AT988&gt;=AU988,AU988&gt;=0,AV988&gt;0),(AT988-AU988)/AV988,"")</f>
        <v>0</v>
      </c>
      <c r="AX988" s="8" t="n">
        <v>0</v>
      </c>
      <c r="AY988" s="8" t="n">
        <v>0</v>
      </c>
      <c r="AZ988" s="8" t="n">
        <v>175</v>
      </c>
      <c r="BA988" s="11" t="n">
        <f>IF(AND(COUNT(AX988:AZ988)=3,AX988&gt;=AY988,AY988&gt;=0,AZ988&gt;0),(AX988-AY988)/AZ988,"")</f>
        <v>0</v>
      </c>
      <c r="BB988" s="8" t="n">
        <f>IF(COUNT(AS988,AW988,BA988)=3,1,0)</f>
        <v>1</v>
      </c>
      <c r="BC988" s="11" t="n">
        <f>IF(SUMIF($AO$11:$AO$1309,AO988,$BB$11:$BB$1309)=COUNTIF($AO$11:$AO$1309,AO988),SUMIF($AO$11:$AO$1309,AO988,$AS$11:$AS$1309),"")</f>
        <v>0</v>
      </c>
      <c r="BD988" s="11" t="n">
        <f>IF(SUMIF($AO$11:$AO$1309,AO988,$BB$11:$BB$1309)=COUNTIF($AO$11:$AO$1309,AO988),SUMIF($AO$11:$AO$1309,AO988,$AW$11:$AW$1309),"")</f>
        <v>0</v>
      </c>
      <c r="BE988" s="11" t="n">
        <f>IF(SUMIF($AO$11:$AO$1309,AO988,$BB$11:$BB$1309)=COUNTIF($AO$11:$AO$1309,AO988),SUMIF($AO$11:$AO$1309,AO988,$BA$11:$BA$1309),"")</f>
        <v>0.06285714285714286</v>
      </c>
      <c r="BF988" s="12" t="n">
        <f>IF(COUNT(BD988:BE988)&lt;&gt;2,"",IF(AND(BD988&gt;0,BE988&gt;0),0.7*AW988/BD988+0.3*BA988/BE988,IF(BD988&gt;0,AW988/BD988,IF(BE988&gt;0,BA988/BE988,IF(AND(ISNUMBER(BH988),BH988=0),0,"")))))</f>
        <v>0</v>
      </c>
      <c r="BG988" s="11" t="n">
        <f>IF(AND(COUNT(BN988:BU988)=8,MIN(BN988:BU988)&gt;=0),SUMPRODUCT(BN988:BQ988,BR988:BU988),"")</f>
        <v>94.47778160343367</v>
      </c>
      <c r="BH988" s="11" t="n">
        <f>IF(COUNT(BC988,BG988)=2,BC988*BG988,"")</f>
        <v>0</v>
      </c>
      <c r="BI988" s="11" t="n">
        <f>IF(ISNUMBER(CI988),CI988,"")</f>
        <v>0</v>
      </c>
      <c r="BJ988" s="8" t="str">
        <v>低销提醒依据不完整</v>
      </c>
      <c r="BK988" s="8" t="str">
        <v>90天：2026-07-20 至 2026-10-17；180天：2026-04-21 至 2026-10-17</v>
      </c>
      <c r="BL988" s="8" t="str">
        <v>90天：2026-10-06、2026-10-07、2026-10-12、2026-10-13、2026-10-16；180天：2026-10-06、2026-10-07、2026-10-12、2026-10-13、2026-10-16</v>
      </c>
      <c r="BM988" s="8" t="str">
        <v>2026-10：12天 × 1.1090677182221615；2026-11：30天 × 1.0372741535934282；2026-12：31天 × 0.979949351738161；2027-01：17天 × 1.1571949690048173</v>
      </c>
      <c r="BN988" s="11" t="n">
        <v>1.1090677182221615</v>
      </c>
      <c r="BO988" s="11" t="n">
        <v>1.0372741535934282</v>
      </c>
      <c r="BP988" s="11" t="n">
        <v>0.979949351738161</v>
      </c>
      <c r="BQ988" s="11" t="n">
        <v>1.1571949690048173</v>
      </c>
      <c r="BR988" s="8" t="n">
        <v>12</v>
      </c>
      <c r="BS988" s="8" t="n">
        <v>30</v>
      </c>
      <c r="BT988" s="8" t="n">
        <v>31</v>
      </c>
      <c r="BU988" s="8" t="n">
        <v>17</v>
      </c>
      <c r="BV988" s="11" t="n">
        <f>IF(COUNT(BC988,BF988)=2,BC988*BF988,"")</f>
        <v>0</v>
      </c>
      <c r="BW988" s="11" t="n">
        <f>IF(ISNUMBER(BN988),BN988,"")</f>
        <v>1.1090677182221615</v>
      </c>
      <c r="BX988" s="14" t="n">
        <f>IF(ISNUMBER(BR988),BR988,"")</f>
        <v>12</v>
      </c>
      <c r="BY988" s="13" t="n">
        <f>IF(AND(COUNT(BV988,BW988,BX988)=3,MIN(BV988,BW988,BX988)&gt;=0),BV988*BW988*BX988,"")</f>
        <v>0</v>
      </c>
      <c r="BZ988" s="11" t="n">
        <f>IF(ISNUMBER(BO988),BO988,"")</f>
        <v>1.0372741535934282</v>
      </c>
      <c r="CA988" s="14" t="n">
        <f>IF(ISNUMBER(BS988),BS988,"")</f>
        <v>30</v>
      </c>
      <c r="CB988" s="13" t="n">
        <f>IF(AND(COUNT(BV988,BZ988,CA988)=3,MIN(BV988,BZ988,CA988)&gt;=0),BV988*BZ988*CA988,"")</f>
        <v>0</v>
      </c>
      <c r="CC988" s="11" t="n">
        <f>IF(ISNUMBER(BP988),BP988,"")</f>
        <v>0.979949351738161</v>
      </c>
      <c r="CD988" s="14" t="n">
        <f>IF(ISNUMBER(BT988),BT988,"")</f>
        <v>31</v>
      </c>
      <c r="CE988" s="13" t="n">
        <f>IF(AND(COUNT(BV988,CC988,CD988)=3,MIN(BV988,CC988,CD988)&gt;=0),BV988*CC988*CD988,"")</f>
        <v>0</v>
      </c>
      <c r="CF988" s="11" t="n">
        <f>IF(ISNUMBER(BQ988),BQ988,"")</f>
        <v>1.1571949690048173</v>
      </c>
      <c r="CG988" s="14" t="n">
        <f>IF(ISNUMBER(BU988),BU988,"")</f>
        <v>17</v>
      </c>
      <c r="CH988" s="13" t="n">
        <f>IF(AND(COUNT(BV988,CF988,CG988)=3,MIN(BV988,CF988,CG988)&gt;=0),BV988*CF988*CG988,"")</f>
        <v>0</v>
      </c>
      <c r="CI988" s="13" t="n">
        <f>IF(COUNT(BY988,CB988,CE988,CH988)=4,SUM(BY988,CB988,CE988,CH988),"")</f>
        <v>0</v>
      </c>
    </row>
    <row r="989" ht="72" customHeight="1">
      <c r="A989" s="16" t="str">
        <v>B06b-LP-37</v>
      </c>
      <c r="B989" s="16" t="str">
        <v>1店-MUSSHOE-US</v>
      </c>
      <c r="C989" s="16" t="str">
        <v>艾年</v>
      </c>
      <c r="D989" s="26" t="n">
        <f>IF(NOT(ISNUMBER(E989)),"",IF(OR(E989&lt;=0,L989=0),0,IF(OR(NOT(ISNUMBER(F989)),F989&lt;0),"",MIN(E989,INT(F989)))))</f>
        <v>0</v>
      </c>
      <c r="E989" s="27" t="n">
        <f>IF(OR(NOT(ISNUMBER(L989)),COUNT(M989:O989)&lt;&gt;3,MIN(M989:O989)&lt;0),"",ROUNDUP(ROUND(BI989-SUM(M989:O989),10),0))</f>
        <v>-16</v>
      </c>
      <c r="F989" s="28" t="n">
        <v>0</v>
      </c>
      <c r="G989" s="28" t="n">
        <f>IF(AND(ISNUMBER(D989),ISNUMBER(E989)),IF(OR(E989&lt;=0,L989=0),0,E989-D989),"")</f>
        <v>0</v>
      </c>
      <c r="H989" s="16" t="str">
        <f>IF(NOT(ISNUMBER(E989)),"销量或海外库存待补",IF(OR(E989&lt;=0,L989=0),IF(L989=0,"零日销，本批不发","本批无需补货"),IF(NOT(ISNUMBER(D989)),"国内库存待补",IF(D989=0,"国内无可用库存",IF(G989&gt;0,"先发国内现货","按建议量发货")))))</f>
        <v>本批无需补货</v>
      </c>
      <c r="I989" s="28" t="n">
        <f>IF(AND(COUNT(Z989,AA989,AB989)=3,Z989&gt;=AA989,AA989&gt;=0,AB989=7),Z989-AA989,"")</f>
        <v>1</v>
      </c>
      <c r="J989" s="28" t="n">
        <f>IF(AND(COUNT(AF989,AG989,AH989)=3,AF989&gt;=AG989,AG989&gt;=0,AH989=14),AF989-AG989,"")</f>
        <v>2</v>
      </c>
      <c r="K989" s="28" t="n">
        <f>IF(AND(COUNT(AL989,AM989,AN989)=3,AL989&gt;=AM989,AM989&gt;=0,AN989=30),AL989-AM989,"")</f>
        <v>2</v>
      </c>
      <c r="L989" s="29" t="n">
        <f>IF(ISNUMBER(BI989),BI989/90,"")</f>
        <v>0.05091515995055517</v>
      </c>
      <c r="M989" s="28" t="n">
        <v>20</v>
      </c>
      <c r="N989" s="28" t="n">
        <v>0</v>
      </c>
      <c r="O989" s="28" t="n">
        <v>0</v>
      </c>
      <c r="P989" s="30" t="n">
        <f>IF(AND(ISNUMBER(L989),L989&gt;0,COUNT(M989:O989)=3,MIN(M989:O989)&gt;=0),SUM(M989:O989)/L989,"")</f>
        <v>392.8103146375743</v>
      </c>
      <c r="Q989" s="16" t="str">
        <v>沿用原计划SKU店铺</v>
      </c>
      <c r="R989" s="16" t="str">
        <v>已匹配</v>
      </c>
      <c r="S989" s="16" t="str">
        <v>在售</v>
      </c>
      <c r="T989" s="16" t="str">
        <v>B06b</v>
      </c>
      <c r="U989" s="16" t="str">
        <v>豹纹羊京绒</v>
      </c>
      <c r="V989" s="16" t="n">
        <v>6</v>
      </c>
      <c r="W989" s="8" t="str">
        <v>2026-10-11 至 2026-10-17</v>
      </c>
      <c r="X989" s="8" t="str">
        <v>2026-10-11、2026-10-12、2026-10-13、2026-10-14、2026-10-15、2026-10-16、2026-10-17</v>
      </c>
      <c r="Y989" s="8" t="str">
        <v>无</v>
      </c>
      <c r="Z989" s="8" t="n">
        <v>1</v>
      </c>
      <c r="AA989" s="8" t="n">
        <v>0</v>
      </c>
      <c r="AB989" s="8" t="n">
        <v>7</v>
      </c>
      <c r="AC989" s="8" t="str">
        <v>2026-10-02 至 2026-10-17</v>
      </c>
      <c r="AD989" s="8" t="str">
        <v>2026-10-02、2026-10-03、2026-10-04、2026-10-05、2026-10-08、2026-10-09、2026-10-10、2026-10-11、2026-10-12、2026-10-13、2026-10-14、2026-10-15、2026-10-16、2026-10-17</v>
      </c>
      <c r="AE989" s="8" t="str">
        <v>2026-10-06 大促；2026-10-07 大促</v>
      </c>
      <c r="AF989" s="8" t="n">
        <v>2</v>
      </c>
      <c r="AG989" s="8" t="n">
        <v>0</v>
      </c>
      <c r="AH989" s="8" t="n">
        <v>14</v>
      </c>
      <c r="AI989" s="8" t="str">
        <v>2026-09-16 至 2026-10-17</v>
      </c>
      <c r="AJ9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89" s="8" t="str">
        <v>2026-10-06 大促；2026-10-07 大促</v>
      </c>
      <c r="AL989" s="8" t="n">
        <v>2</v>
      </c>
      <c r="AM989" s="8" t="n">
        <v>0</v>
      </c>
      <c r="AN989" s="8" t="n">
        <v>30</v>
      </c>
      <c r="AO989" s="8" t="str">
        <v>B06b / 豹纹羊京绒 / 13120</v>
      </c>
      <c r="AP989" s="11" t="n">
        <v>1.1090677182221615</v>
      </c>
      <c r="AQ989" s="11" t="n">
        <v>1.1090677182221615</v>
      </c>
      <c r="AR989" s="11" t="n">
        <v>0.9505188216044452</v>
      </c>
      <c r="AS989" s="11" t="n">
        <f>IF(AND(COUNT(I989:K989,AP989:AR989)=6,MIN(AP989:AR989)&gt;0),I989/7/AP989*0.5+J989/14/AQ989*0.3+K989/30/AR989*0.2,"")</f>
        <v>0.11707407812056221</v>
      </c>
      <c r="AT989" s="8" t="n">
        <v>3</v>
      </c>
      <c r="AU989" s="8" t="n">
        <v>0</v>
      </c>
      <c r="AV989" s="8" t="n">
        <v>88</v>
      </c>
      <c r="AW989" s="11" t="n">
        <f>IF(AND(COUNT(AT989:AV989)=3,AT989&gt;=AU989,AU989&gt;=0,AV989&gt;0),(AT989-AU989)/AV989,"")</f>
        <v>0.03409090909090909</v>
      </c>
      <c r="AX989" s="8" t="n">
        <v>4</v>
      </c>
      <c r="AY989" s="8" t="n">
        <v>0</v>
      </c>
      <c r="AZ989" s="8" t="n">
        <v>178</v>
      </c>
      <c r="BA989" s="11" t="n">
        <f>IF(AND(COUNT(AX989:AZ989)=3,AX989&gt;=AY989,AY989&gt;=0,AZ989&gt;0),(AX989-AY989)/AZ989,"")</f>
        <v>0.02247191011235955</v>
      </c>
      <c r="BB989" s="8" t="n">
        <f>IF(COUNT(AS989,AW989,BA989)=3,1,0)</f>
        <v>1</v>
      </c>
      <c r="BC989" s="11" t="n">
        <f>IF(SUMIF($AO$11:$AO$1309,AO989,$BB$11:$BB$1309)=COUNTIF($AO$11:$AO$1309,AO989),SUMIF($AO$11:$AO$1309,AO989,$AS$11:$AS$1309),"")</f>
        <v>3.3094608435746915</v>
      </c>
      <c r="BD989" s="11" t="n">
        <f>IF(SUMIF($AO$11:$AO$1309,AO989,$BB$11:$BB$1309)=COUNTIF($AO$11:$AO$1309,AO989),SUMIF($AO$11:$AO$1309,AO989,$AW$11:$AW$1309),"")</f>
        <v>2.343716577540107</v>
      </c>
      <c r="BE989" s="11" t="n">
        <f>IF(SUMIF($AO$11:$AO$1309,AO989,$BB$11:$BB$1309)=COUNTIF($AO$11:$AO$1309,AO989),SUMIF($AO$11:$AO$1309,AO989,$BA$11:$BA$1309),"")</f>
        <v>1.5069662921348317</v>
      </c>
      <c r="BF989" s="12" t="n">
        <f>IF(COUNT(BD989:BE989)&lt;&gt;2,"",IF(AND(BD989&gt;0,BE989&gt;0),0.7*AW989/BD989+0.3*BA989/BE989,IF(BD989&gt;0,AW989/BD989,IF(BE989&gt;0,BA989/BE989,IF(AND(ISNUMBER(BH989),BH989=0),0,"")))))</f>
        <v>0.01465556910537225</v>
      </c>
      <c r="BG989" s="11" t="n">
        <f>IF(AND(COUNT(BN989:BU989)=8,MIN(BN989:BU989)&gt;=0),SUMPRODUCT(BN989:BQ989,BR989:BU989),"")</f>
        <v>94.47778160343367</v>
      </c>
      <c r="BH989" s="11" t="n">
        <f>IF(COUNT(BC989,BG989)=2,BC989*BG989,"")</f>
        <v>312.6705188043651</v>
      </c>
      <c r="BI989" s="11" t="n">
        <f>IF(ISNUMBER(CI989),CI989,"")</f>
        <v>4.582364395549965</v>
      </c>
      <c r="BJ989" s="8" t="str"/>
      <c r="BK989" s="8" t="str">
        <v>90天：2026-07-20 至 2026-10-17；180天：2026-04-21 至 2026-10-17</v>
      </c>
      <c r="BL989" s="8" t="str">
        <v>90天：2026-10-06、2026-10-07；180天：2026-10-06、2026-10-07</v>
      </c>
      <c r="BM989" s="8" t="str">
        <v>2026-10：12天 × 1.1090677182221615；2026-11：30天 × 1.0372741535934282；2026-12：31天 × 0.979949351738161；2027-01：17天 × 1.1571949690048173</v>
      </c>
      <c r="BN989" s="11" t="n">
        <v>1.1090677182221615</v>
      </c>
      <c r="BO989" s="11" t="n">
        <v>1.0372741535934282</v>
      </c>
      <c r="BP989" s="11" t="n">
        <v>0.979949351738161</v>
      </c>
      <c r="BQ989" s="11" t="n">
        <v>1.1571949690048173</v>
      </c>
      <c r="BR989" s="8" t="n">
        <v>12</v>
      </c>
      <c r="BS989" s="8" t="n">
        <v>30</v>
      </c>
      <c r="BT989" s="8" t="n">
        <v>31</v>
      </c>
      <c r="BU989" s="8" t="n">
        <v>17</v>
      </c>
      <c r="BV989" s="11" t="n">
        <f>IF(COUNT(BC989,BF989)=2,BC989*BF989,"")</f>
        <v>0.04850203209453243</v>
      </c>
      <c r="BW989" s="11" t="n">
        <f>IF(ISNUMBER(BN989),BN989,"")</f>
        <v>1.1090677182221615</v>
      </c>
      <c r="BX989" s="14" t="n">
        <f>IF(ISNUMBER(BR989),BR989,"")</f>
        <v>12</v>
      </c>
      <c r="BY989" s="13" t="n">
        <f>IF(AND(COUNT(BV989,BW989,BX989)=3,MIN(BV989,BW989,BX989)&gt;=0),BV989*BW989*BX989,"")</f>
        <v>0.6455044567706536</v>
      </c>
      <c r="BZ989" s="11" t="n">
        <f>IF(ISNUMBER(BO989),BO989,"")</f>
        <v>1.0372741535934282</v>
      </c>
      <c r="CA989" s="14" t="n">
        <f>IF(ISNUMBER(BS989),BS989,"")</f>
        <v>30</v>
      </c>
      <c r="CB989" s="13" t="n">
        <f>IF(AND(COUNT(BV989,BZ989,CA989)=3,MIN(BV989,BZ989,CA989)&gt;=0),BV989*BZ989*CA989,"")</f>
        <v>1.5092971286525225</v>
      </c>
      <c r="CC989" s="11" t="n">
        <f>IF(ISNUMBER(BP989),BP989,"")</f>
        <v>0.979949351738161</v>
      </c>
      <c r="CD989" s="14" t="n">
        <f>IF(ISNUMBER(BT989),BT989,"")</f>
        <v>31</v>
      </c>
      <c r="CE989" s="13" t="n">
        <f>IF(AND(COUNT(BV989,CC989,CD989)=3,MIN(BV989,CC989,CD989)&gt;=0),BV989*CC989*CD989,"")</f>
        <v>1.4734155821796366</v>
      </c>
      <c r="CF989" s="11" t="n">
        <f>IF(ISNUMBER(BQ989),BQ989,"")</f>
        <v>1.1571949690048173</v>
      </c>
      <c r="CG989" s="14" t="n">
        <f>IF(ISNUMBER(BU989),BU989,"")</f>
        <v>17</v>
      </c>
      <c r="CH989" s="13" t="n">
        <f>IF(AND(COUNT(BV989,CF989,CG989)=3,MIN(BV989,CF989,CG989)&gt;=0),BV989*CF989*CG989,"")</f>
        <v>0.9541472279471529</v>
      </c>
      <c r="CI989" s="13" t="n">
        <f>IF(COUNT(BY989,CB989,CE989,CH989)=4,SUM(BY989,CB989,CE989,CH989),"")</f>
        <v>4.582364395549965</v>
      </c>
    </row>
    <row r="990" ht="72" customHeight="1">
      <c r="A990" s="16" t="str">
        <v>B06b-LP-38</v>
      </c>
      <c r="B990" s="16" t="str">
        <v>1店-MUSSHOE-US</v>
      </c>
      <c r="C990" s="16" t="str">
        <v>艾年</v>
      </c>
      <c r="D990" s="26" t="n">
        <f>IF(NOT(ISNUMBER(E990)),"",IF(OR(E990&lt;=0,L990=0),0,IF(OR(NOT(ISNUMBER(F990)),F990&lt;0),"",MIN(E990,INT(F990)))))</f>
        <v>0</v>
      </c>
      <c r="E990" s="27" t="n">
        <f>IF(OR(NOT(ISNUMBER(L990)),COUNT(M990:O990)&lt;&gt;3,MIN(M990:O990)&lt;0),"",ROUNDUP(ROUND(BI990-SUM(M990:O990),10),0))</f>
        <v>-8</v>
      </c>
      <c r="F990" s="28" t="n">
        <v>20</v>
      </c>
      <c r="G990" s="28" t="n">
        <f>IF(AND(ISNUMBER(D990),ISNUMBER(E990)),IF(OR(E990&lt;=0,L990=0),0,E990-D990),"")</f>
        <v>0</v>
      </c>
      <c r="H990" s="16" t="str">
        <f>IF(NOT(ISNUMBER(E990)),"销量或海外库存待补",IF(OR(E990&lt;=0,L990=0),IF(L990=0,"零日销，本批不发","本批无需补货"),IF(NOT(ISNUMBER(D990)),"国内库存待补",IF(D990=0,"国内无可用库存",IF(G990&gt;0,"先发国内现货","按建议量发货")))))</f>
        <v>本批无需补货</v>
      </c>
      <c r="I990" s="28" t="n">
        <f>IF(AND(COUNT(Z990,AA990,AB990)=3,Z990&gt;=AA990,AA990&gt;=0,AB990=7),Z990-AA990,"")</f>
        <v>1</v>
      </c>
      <c r="J990" s="28" t="n">
        <f>IF(AND(COUNT(AF990,AG990,AH990)=3,AF990&gt;=AG990,AG990&gt;=0,AH990=14),AF990-AG990,"")</f>
        <v>1</v>
      </c>
      <c r="K990" s="28" t="n">
        <f>IF(AND(COUNT(AL990,AM990,AN990)=3,AL990&gt;=AM990,AM990&gt;=0,AN990=30),AL990-AM990,"")</f>
        <v>6</v>
      </c>
      <c r="L990" s="29" t="n">
        <f>IF(ISNUMBER(BI990),BI990/90,"")</f>
        <v>0.2899491305550874</v>
      </c>
      <c r="M990" s="28" t="n">
        <v>14</v>
      </c>
      <c r="N990" s="28" t="n">
        <v>0</v>
      </c>
      <c r="O990" s="28" t="n">
        <v>20</v>
      </c>
      <c r="P990" s="30" t="n">
        <f>IF(AND(ISNUMBER(L990),L990&gt;0,COUNT(M990:O990)=3,MIN(M990:O990)&gt;=0),SUM(M990:O990)/L990,"")</f>
        <v>117.26194844905852</v>
      </c>
      <c r="Q990" s="16" t="str">
        <v>沿用原计划SKU店铺</v>
      </c>
      <c r="R990" s="16" t="str">
        <v>已匹配</v>
      </c>
      <c r="S990" s="16" t="str">
        <v>在售</v>
      </c>
      <c r="T990" s="16" t="str">
        <v>B06b</v>
      </c>
      <c r="U990" s="16" t="str">
        <v>豹纹羊京绒</v>
      </c>
      <c r="V990" s="16" t="n">
        <v>7</v>
      </c>
      <c r="W990" s="8" t="str">
        <v>2026-10-11 至 2026-10-17</v>
      </c>
      <c r="X990" s="8" t="str">
        <v>2026-10-11、2026-10-12、2026-10-13、2026-10-14、2026-10-15、2026-10-16、2026-10-17</v>
      </c>
      <c r="Y990" s="8" t="str">
        <v>无</v>
      </c>
      <c r="Z990" s="8" t="n">
        <v>1</v>
      </c>
      <c r="AA990" s="8" t="n">
        <v>0</v>
      </c>
      <c r="AB990" s="8" t="n">
        <v>7</v>
      </c>
      <c r="AC990" s="8" t="str">
        <v>2026-10-02 至 2026-10-17</v>
      </c>
      <c r="AD990" s="8" t="str">
        <v>2026-10-02、2026-10-03、2026-10-04、2026-10-05、2026-10-08、2026-10-09、2026-10-10、2026-10-11、2026-10-12、2026-10-13、2026-10-14、2026-10-15、2026-10-16、2026-10-17</v>
      </c>
      <c r="AE990" s="8" t="str">
        <v>2026-10-06 大促；2026-10-07 大促</v>
      </c>
      <c r="AF990" s="8" t="n">
        <v>2</v>
      </c>
      <c r="AG990" s="8" t="n">
        <v>1</v>
      </c>
      <c r="AH990" s="8" t="n">
        <v>14</v>
      </c>
      <c r="AI990" s="8" t="str">
        <v>2026-09-16 至 2026-10-17</v>
      </c>
      <c r="AJ9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0" s="8" t="str">
        <v>2026-10-06 大促；2026-10-07 大促</v>
      </c>
      <c r="AL990" s="8" t="n">
        <v>7</v>
      </c>
      <c r="AM990" s="8" t="n">
        <v>1</v>
      </c>
      <c r="AN990" s="8" t="n">
        <v>30</v>
      </c>
      <c r="AO990" s="8" t="str">
        <v>B06b / 豹纹羊京绒 / 13120</v>
      </c>
      <c r="AP990" s="11" t="n">
        <v>1.1090677182221615</v>
      </c>
      <c r="AQ990" s="11" t="n">
        <v>1.1090677182221615</v>
      </c>
      <c r="AR990" s="11" t="n">
        <v>0.9505188216044452</v>
      </c>
      <c r="AS990" s="11" t="n">
        <f>IF(AND(COUNT(I990:K990,AP990:AR990)=6,MIN(AP990:AR990)&gt;0),I990/7/AP990*0.5+J990/14/AQ990*0.3+K990/30/AR990*0.2,"")</f>
        <v>0.12580768492303684</v>
      </c>
      <c r="AT990" s="8" t="n">
        <v>19</v>
      </c>
      <c r="AU990" s="8" t="n">
        <v>1</v>
      </c>
      <c r="AV990" s="8" t="n">
        <v>88</v>
      </c>
      <c r="AW990" s="11" t="n">
        <f>IF(AND(COUNT(AT990:AV990)=3,AT990&gt;=AU990,AU990&gt;=0,AV990&gt;0),(AT990-AU990)/AV990,"")</f>
        <v>0.20454545454545456</v>
      </c>
      <c r="AX990" s="8" t="n">
        <v>21</v>
      </c>
      <c r="AY990" s="8" t="n">
        <v>1</v>
      </c>
      <c r="AZ990" s="8" t="n">
        <v>178</v>
      </c>
      <c r="BA990" s="11" t="n">
        <f>IF(AND(COUNT(AX990:AZ990)=3,AX990&gt;=AY990,AY990&gt;=0,AZ990&gt;0),(AX990-AY990)/AZ990,"")</f>
        <v>0.11235955056179775</v>
      </c>
      <c r="BB990" s="8" t="n">
        <f>IF(COUNT(AS990,AW990,BA990)=3,1,0)</f>
        <v>1</v>
      </c>
      <c r="BC990" s="11" t="n">
        <f>IF(SUMIF($AO$11:$AO$1309,AO990,$BB$11:$BB$1309)=COUNTIF($AO$11:$AO$1309,AO990),SUMIF($AO$11:$AO$1309,AO990,$AS$11:$AS$1309),"")</f>
        <v>3.3094608435746915</v>
      </c>
      <c r="BD990" s="11" t="n">
        <f>IF(SUMIF($AO$11:$AO$1309,AO990,$BB$11:$BB$1309)=COUNTIF($AO$11:$AO$1309,AO990),SUMIF($AO$11:$AO$1309,AO990,$AW$11:$AW$1309),"")</f>
        <v>2.343716577540107</v>
      </c>
      <c r="BE990" s="11" t="n">
        <f>IF(SUMIF($AO$11:$AO$1309,AO990,$BB$11:$BB$1309)=COUNTIF($AO$11:$AO$1309,AO990),SUMIF($AO$11:$AO$1309,AO990,$BA$11:$BA$1309),"")</f>
        <v>1.5069662921348317</v>
      </c>
      <c r="BF990" s="12" t="n">
        <f>IF(COUNT(BD990:BE990)&lt;&gt;2,"",IF(AND(BD990&gt;0,BE990&gt;0),0.7*AW990/BD990+0.3*BA990/BE990,IF(BD990&gt;0,AW990/BD990,IF(BE990&gt;0,BA990/BE990,IF(AND(ISNUMBER(BH990),BH990=0),0,"")))))</f>
        <v>0.08345980890601817</v>
      </c>
      <c r="BG990" s="11" t="n">
        <f>IF(AND(COUNT(BN990:BU990)=8,MIN(BN990:BU990)&gt;=0),SUMPRODUCT(BN990:BQ990,BR990:BU990),"")</f>
        <v>94.47778160343367</v>
      </c>
      <c r="BH990" s="11" t="n">
        <f>IF(COUNT(BC990,BG990)=2,BC990*BG990,"")</f>
        <v>312.6705188043651</v>
      </c>
      <c r="BI990" s="11" t="n">
        <f>IF(ISNUMBER(CI990),CI990,"")</f>
        <v>26.09542174995787</v>
      </c>
      <c r="BJ990" s="8" t="str"/>
      <c r="BK990" s="8" t="str">
        <v>90天：2026-07-20 至 2026-10-17；180天：2026-04-21 至 2026-10-17</v>
      </c>
      <c r="BL990" s="8" t="str">
        <v>90天：2026-10-06、2026-10-07；180天：2026-10-06、2026-10-07</v>
      </c>
      <c r="BM990" s="8" t="str">
        <v>2026-10：12天 × 1.1090677182221615；2026-11：30天 × 1.0372741535934282；2026-12：31天 × 0.979949351738161；2027-01：17天 × 1.1571949690048173</v>
      </c>
      <c r="BN990" s="11" t="n">
        <v>1.1090677182221615</v>
      </c>
      <c r="BO990" s="11" t="n">
        <v>1.0372741535934282</v>
      </c>
      <c r="BP990" s="11" t="n">
        <v>0.979949351738161</v>
      </c>
      <c r="BQ990" s="11" t="n">
        <v>1.1571949690048173</v>
      </c>
      <c r="BR990" s="8" t="n">
        <v>12</v>
      </c>
      <c r="BS990" s="8" t="n">
        <v>30</v>
      </c>
      <c r="BT990" s="8" t="n">
        <v>31</v>
      </c>
      <c r="BU990" s="8" t="n">
        <v>17</v>
      </c>
      <c r="BV990" s="11" t="n">
        <f>IF(COUNT(BC990,BF990)=2,BC990*BF990,"")</f>
        <v>0.27620696958669344</v>
      </c>
      <c r="BW990" s="11" t="n">
        <f>IF(ISNUMBER(BN990),BN990,"")</f>
        <v>1.1090677182221615</v>
      </c>
      <c r="BX990" s="14" t="n">
        <f>IF(ISNUMBER(BR990),BR990,"")</f>
        <v>12</v>
      </c>
      <c r="BY990" s="13" t="n">
        <f>IF(AND(COUNT(BV990,BW990,BX990)=3,MIN(BV990,BW990,BX990)&gt;=0),BV990*BW990*BX990,"")</f>
        <v>3.6759868021988646</v>
      </c>
      <c r="BZ990" s="11" t="n">
        <f>IF(ISNUMBER(BO990),BO990,"")</f>
        <v>1.0372741535934282</v>
      </c>
      <c r="CA990" s="14" t="n">
        <f>IF(ISNUMBER(BS990),BS990,"")</f>
        <v>30</v>
      </c>
      <c r="CB990" s="13" t="n">
        <f>IF(AND(COUNT(BV990,BZ990,CA990)=3,MIN(BV990,BZ990,CA990)&gt;=0),BV990*BZ990*CA990,"")</f>
        <v>8.595070517839295</v>
      </c>
      <c r="CC990" s="11" t="n">
        <f>IF(ISNUMBER(BP990),BP990,"")</f>
        <v>0.979949351738161</v>
      </c>
      <c r="CD990" s="14" t="n">
        <f>IF(ISNUMBER(BT990),BT990,"")</f>
        <v>31</v>
      </c>
      <c r="CE990" s="13" t="n">
        <f>IF(AND(COUNT(BV990,CC990,CD990)=3,MIN(BV990,CC990,CD990)&gt;=0),BV990*CC990*CD990,"")</f>
        <v>8.390734064553307</v>
      </c>
      <c r="CF990" s="11" t="n">
        <f>IF(ISNUMBER(BQ990),BQ990,"")</f>
        <v>1.1571949690048173</v>
      </c>
      <c r="CG990" s="14" t="n">
        <f>IF(ISNUMBER(BU990),BU990,"")</f>
        <v>17</v>
      </c>
      <c r="CH990" s="13" t="n">
        <f>IF(AND(COUNT(BV990,CF990,CG990)=3,MIN(BV990,CF990,CG990)&gt;=0),BV990*CF990*CG990,"")</f>
        <v>5.4336303653664</v>
      </c>
      <c r="CI990" s="13" t="n">
        <f>IF(COUNT(BY990,CB990,CE990,CH990)=4,SUM(BY990,CB990,CE990,CH990),"")</f>
        <v>26.09542174995787</v>
      </c>
    </row>
    <row r="991" ht="72" customHeight="1">
      <c r="A991" s="16" t="str">
        <v>B06b-NU-37-N</v>
      </c>
      <c r="B991" s="16" t="str">
        <v>1店-MUSSHOE-US</v>
      </c>
      <c r="C991" s="16" t="str">
        <v>艾年</v>
      </c>
      <c r="D991" s="26" t="n">
        <f>IF(NOT(ISNUMBER(E991)),"",IF(OR(E991&lt;=0,L991=0),0,IF(OR(NOT(ISNUMBER(F991)),F991&lt;0),"",MIN(E991,INT(F991)))))</f>
        <v>0</v>
      </c>
      <c r="E991" s="27" t="n">
        <f>IF(OR(NOT(ISNUMBER(L991)),COUNT(M991:O991)&lt;&gt;3,MIN(M991:O991)&lt;0),"",ROUNDUP(ROUND(BI991-SUM(M991:O991),10),0))</f>
        <v>-32</v>
      </c>
      <c r="F991" s="28" t="n">
        <v>10</v>
      </c>
      <c r="G991" s="28" t="n">
        <f>IF(AND(ISNUMBER(D991),ISNUMBER(E991)),IF(OR(E991&lt;=0,L991=0),0,E991-D991),"")</f>
        <v>0</v>
      </c>
      <c r="H991" s="16" t="str">
        <f>IF(NOT(ISNUMBER(E991)),"销量或海外库存待补",IF(OR(E991&lt;=0,L991=0),IF(L991=0,"零日销，本批不发","本批无需补货"),IF(NOT(ISNUMBER(D991)),"国内库存待补",IF(D991=0,"国内无可用库存",IF(G991&gt;0,"先发国内现货","按建议量发货")))))</f>
        <v>本批无需补货</v>
      </c>
      <c r="I991" s="28" t="n">
        <f>IF(AND(COUNT(Z991,AA991,AB991)=3,Z991&gt;=AA991,AA991&gt;=0,AB991=7),Z991-AA991,"")</f>
        <v>1</v>
      </c>
      <c r="J991" s="28" t="n">
        <f>IF(AND(COUNT(AF991,AG991,AH991)=3,AF991&gt;=AG991,AG991&gt;=0,AH991=14),AF991-AG991,"")</f>
        <v>4</v>
      </c>
      <c r="K991" s="28" t="n">
        <f>IF(AND(COUNT(AL991,AM991,AN991)=3,AL991&gt;=AM991,AM991&gt;=0,AN991=30),AL991-AM991,"")</f>
        <v>7</v>
      </c>
      <c r="L991" s="29" t="n">
        <f>IF(ISNUMBER(BI991),BI991/90,"")</f>
        <v>0.1421094335567423</v>
      </c>
      <c r="M991" s="28" t="n">
        <v>25</v>
      </c>
      <c r="N991" s="28" t="n">
        <v>0</v>
      </c>
      <c r="O991" s="28" t="n">
        <v>19</v>
      </c>
      <c r="P991" s="30" t="n">
        <f>IF(AND(ISNUMBER(L991),L991&gt;0,COUNT(M991:O991)=3,MIN(M991:O991)&gt;=0),SUM(M991:O991)/L991,"")</f>
        <v>309.6205431177897</v>
      </c>
      <c r="Q991" s="16" t="str">
        <v>沿用原计划SKU店铺</v>
      </c>
      <c r="R991" s="16" t="str">
        <v>已匹配</v>
      </c>
      <c r="S991" s="16" t="str">
        <v>在售</v>
      </c>
      <c r="T991" s="16" t="str">
        <v>B06b</v>
      </c>
      <c r="U991" s="16" t="str">
        <v>裸色羊京绒</v>
      </c>
      <c r="V991" s="16" t="n">
        <v>6</v>
      </c>
      <c r="W991" s="8" t="str">
        <v>2026-10-11 至 2026-10-17</v>
      </c>
      <c r="X991" s="8" t="str">
        <v>2026-10-11、2026-10-12、2026-10-13、2026-10-14、2026-10-15、2026-10-16、2026-10-17</v>
      </c>
      <c r="Y991" s="8" t="str">
        <v>无</v>
      </c>
      <c r="Z991" s="8" t="n">
        <v>1</v>
      </c>
      <c r="AA991" s="8" t="n">
        <v>0</v>
      </c>
      <c r="AB991" s="8" t="n">
        <v>7</v>
      </c>
      <c r="AC991" s="8" t="str">
        <v>2026-10-02 至 2026-10-17</v>
      </c>
      <c r="AD991" s="8" t="str">
        <v>2026-10-02、2026-10-03、2026-10-04、2026-10-05、2026-10-08、2026-10-09、2026-10-10、2026-10-11、2026-10-12、2026-10-13、2026-10-14、2026-10-15、2026-10-16、2026-10-17</v>
      </c>
      <c r="AE991" s="8" t="str">
        <v>2026-10-06 大促；2026-10-07 大促</v>
      </c>
      <c r="AF991" s="8" t="n">
        <v>5</v>
      </c>
      <c r="AG991" s="8" t="n">
        <v>1</v>
      </c>
      <c r="AH991" s="8" t="n">
        <v>14</v>
      </c>
      <c r="AI991" s="8" t="str">
        <v>2026-09-16 至 2026-10-17</v>
      </c>
      <c r="AJ9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1" s="8" t="str">
        <v>2026-10-06 大促；2026-10-07 大促</v>
      </c>
      <c r="AL991" s="8" t="n">
        <v>8</v>
      </c>
      <c r="AM991" s="8" t="n">
        <v>1</v>
      </c>
      <c r="AN991" s="8" t="n">
        <v>30</v>
      </c>
      <c r="AO991" s="8" t="str">
        <v>B06b / 裸色羊京绒 / 13120</v>
      </c>
      <c r="AP991" s="11" t="n">
        <v>1.1090677182221615</v>
      </c>
      <c r="AQ991" s="11" t="n">
        <v>1.1090677182221615</v>
      </c>
      <c r="AR991" s="11" t="n">
        <v>0.9505188216044452</v>
      </c>
      <c r="AS991" s="11" t="n">
        <f>IF(AND(COUNT(I991:K991,AP991:AR991)=6,MIN(AP991:AR991)&gt;0),I991/7/AP991*0.5+J991/14/AQ991*0.3+K991/30/AR991*0.2,"")</f>
        <v>0.19078513968156507</v>
      </c>
      <c r="AT991" s="8" t="n">
        <v>16</v>
      </c>
      <c r="AU991" s="8" t="n">
        <v>1</v>
      </c>
      <c r="AV991" s="8" t="n">
        <v>88</v>
      </c>
      <c r="AW991" s="11" t="n">
        <f>IF(AND(COUNT(AT991:AV991)=3,AT991&gt;=AU991,AU991&gt;=0,AV991&gt;0),(AT991-AU991)/AV991,"")</f>
        <v>0.17045454545454544</v>
      </c>
      <c r="AX991" s="8" t="n">
        <v>37</v>
      </c>
      <c r="AY991" s="8" t="n">
        <v>1</v>
      </c>
      <c r="AZ991" s="8" t="n">
        <v>178</v>
      </c>
      <c r="BA991" s="11" t="n">
        <f>IF(AND(COUNT(AX991:AZ991)=3,AX991&gt;=AY991,AY991&gt;=0,AZ991&gt;0),(AX991-AY991)/AZ991,"")</f>
        <v>0.20224719101123595</v>
      </c>
      <c r="BB991" s="8" t="n">
        <f>IF(COUNT(AS991,AW991,BA991)=3,1,0)</f>
        <v>1</v>
      </c>
      <c r="BC991" s="11" t="n">
        <f>IF(SUMIF($AO$11:$AO$1309,AO991,$BB$11:$BB$1309)=COUNTIF($AO$11:$AO$1309,AO991),SUMIF($AO$11:$AO$1309,AO991,$AS$11:$AS$1309),"")</f>
        <v>2.689755745741675</v>
      </c>
      <c r="BD991" s="11" t="n">
        <f>IF(SUMIF($AO$11:$AO$1309,AO991,$BB$11:$BB$1309)=COUNTIF($AO$11:$AO$1309,AO991),SUMIF($AO$11:$AO$1309,AO991,$AW$11:$AW$1309),"")</f>
        <v>3.684342922121827</v>
      </c>
      <c r="BE991" s="11" t="n">
        <f>IF(SUMIF($AO$11:$AO$1309,AO991,$BB$11:$BB$1309)=COUNTIF($AO$11:$AO$1309,AO991),SUMIF($AO$11:$AO$1309,AO991,$BA$11:$BA$1309),"")</f>
        <v>3.3812436633385023</v>
      </c>
      <c r="BF991" s="12" t="n">
        <f>IF(COUNT(BD991:BE991)&lt;&gt;2,"",IF(AND(BD991&gt;0,BE991&gt;0),0.7*AW991/BD991+0.3*BA991/BE991,IF(BD991&gt;0,AW991/BD991,IF(BE991&gt;0,BA991/BE991,IF(AND(ISNUMBER(BH991),BH991=0),0,"")))))</f>
        <v>0.05032953137898536</v>
      </c>
      <c r="BG991" s="11" t="n">
        <f>IF(AND(COUNT(BN991:BU991)=8,MIN(BN991:BU991)&gt;=0),SUMPRODUCT(BN991:BQ991,BR991:BU991),"")</f>
        <v>94.47778160343367</v>
      </c>
      <c r="BH991" s="11" t="n">
        <f>IF(COUNT(BC991,BG991)=2,BC991*BG991,"")</f>
        <v>254.12215591276282</v>
      </c>
      <c r="BI991" s="11" t="n">
        <f>IF(ISNUMBER(CI991),CI991,"")</f>
        <v>12.789849020106807</v>
      </c>
      <c r="BJ991" s="8" t="str"/>
      <c r="BK991" s="8" t="str">
        <v>90天：2026-07-20 至 2026-10-17；180天：2026-04-21 至 2026-10-17</v>
      </c>
      <c r="BL991" s="8" t="str">
        <v>90天：2026-10-06、2026-10-07；180天：2026-10-06、2026-10-07</v>
      </c>
      <c r="BM991" s="8" t="str">
        <v>2026-10：12天 × 1.1090677182221615；2026-11：30天 × 1.0372741535934282；2026-12：31天 × 0.979949351738161；2027-01：17天 × 1.1571949690048173</v>
      </c>
      <c r="BN991" s="11" t="n">
        <v>1.1090677182221615</v>
      </c>
      <c r="BO991" s="11" t="n">
        <v>1.0372741535934282</v>
      </c>
      <c r="BP991" s="11" t="n">
        <v>0.979949351738161</v>
      </c>
      <c r="BQ991" s="11" t="n">
        <v>1.1571949690048173</v>
      </c>
      <c r="BR991" s="8" t="n">
        <v>12</v>
      </c>
      <c r="BS991" s="8" t="n">
        <v>30</v>
      </c>
      <c r="BT991" s="8" t="n">
        <v>31</v>
      </c>
      <c r="BU991" s="8" t="n">
        <v>17</v>
      </c>
      <c r="BV991" s="11" t="n">
        <f>IF(COUNT(BC991,BF991)=2,BC991*BF991,"")</f>
        <v>0.1353741462071118</v>
      </c>
      <c r="BW991" s="11" t="n">
        <f>IF(ISNUMBER(BN991),BN991,"")</f>
        <v>1.1090677182221615</v>
      </c>
      <c r="BX991" s="14" t="n">
        <f>IF(ISNUMBER(BR991),BR991,"")</f>
        <v>12</v>
      </c>
      <c r="BY991" s="13" t="n">
        <f>IF(AND(COUNT(BV991,BW991,BX991)=3,MIN(BV991,BW991,BX991)&gt;=0),BV991*BW991*BX991,"")</f>
        <v>1.8016691452823372</v>
      </c>
      <c r="BZ991" s="11" t="n">
        <f>IF(ISNUMBER(BO991),BO991,"")</f>
        <v>1.0372741535934282</v>
      </c>
      <c r="CA991" s="14" t="n">
        <f>IF(ISNUMBER(BS991),BS991,"")</f>
        <v>30</v>
      </c>
      <c r="CB991" s="13" t="n">
        <f>IF(AND(COUNT(BV991,BZ991,CA991)=3,MIN(BV991,BZ991,CA991)&gt;=0),BV991*BZ991*CA991,"")</f>
        <v>4.212603087762447</v>
      </c>
      <c r="CC991" s="11" t="n">
        <f>IF(ISNUMBER(BP991),BP991,"")</f>
        <v>0.979949351738161</v>
      </c>
      <c r="CD991" s="14" t="n">
        <f>IF(ISNUMBER(BT991),BT991,"")</f>
        <v>31</v>
      </c>
      <c r="CE991" s="13" t="n">
        <f>IF(AND(COUNT(BV991,CC991,CD991)=3,MIN(BV991,CC991,CD991)&gt;=0),BV991*CC991*CD991,"")</f>
        <v>4.112454011350753</v>
      </c>
      <c r="CF991" s="11" t="n">
        <f>IF(ISNUMBER(BQ991),BQ991,"")</f>
        <v>1.1571949690048173</v>
      </c>
      <c r="CG991" s="14" t="n">
        <f>IF(ISNUMBER(BU991),BU991,"")</f>
        <v>17</v>
      </c>
      <c r="CH991" s="13" t="n">
        <f>IF(AND(COUNT(BV991,CF991,CG991)=3,MIN(BV991,CF991,CG991)&gt;=0),BV991*CF991*CG991,"")</f>
        <v>2.66312277571127</v>
      </c>
      <c r="CI991" s="13" t="n">
        <f>IF(COUNT(BY991,CB991,CE991,CH991)=4,SUM(BY991,CB991,CE991,CH991),"")</f>
        <v>12.789849020106807</v>
      </c>
    </row>
    <row r="992" ht="72" customHeight="1">
      <c r="A992" s="16" t="str">
        <v>B06b-NU-37.5</v>
      </c>
      <c r="B992" s="16" t="str">
        <v>1店-MUSSHOE-US</v>
      </c>
      <c r="C992" s="16" t="str">
        <v>艾年</v>
      </c>
      <c r="D992" s="26" t="n">
        <f>IF(NOT(ISNUMBER(E992)),"",IF(OR(E992&lt;=0,L992=0),0,IF(OR(NOT(ISNUMBER(F992)),F992&lt;0),"",MIN(E992,INT(F992)))))</f>
        <v>0</v>
      </c>
      <c r="E992" s="27" t="n">
        <f>IF(OR(NOT(ISNUMBER(L992)),COUNT(M992:O992)&lt;&gt;3,MIN(M992:O992)&lt;0),"",ROUNDUP(ROUND(BI992-SUM(M992:O992),10),0))</f>
        <v>-12</v>
      </c>
      <c r="F992" s="28" t="n">
        <v>12</v>
      </c>
      <c r="G992" s="28" t="n">
        <f>IF(AND(ISNUMBER(D992),ISNUMBER(E992)),IF(OR(E992&lt;=0,L992=0),0,E992-D992),"")</f>
        <v>0</v>
      </c>
      <c r="H992" s="16" t="str">
        <f>IF(NOT(ISNUMBER(E992)),"销量或海外库存待补",IF(OR(E992&lt;=0,L992=0),IF(L992=0,"零日销，本批不发","本批无需补货"),IF(NOT(ISNUMBER(D992)),"国内库存待补",IF(D992=0,"国内无可用库存",IF(G992&gt;0,"先发国内现货","按建议量发货")))))</f>
        <v>本批无需补货</v>
      </c>
      <c r="I992" s="28" t="n">
        <f>IF(AND(COUNT(Z992,AA992,AB992)=3,Z992&gt;=AA992,AA992&gt;=0,AB992=7),Z992-AA992,"")</f>
        <v>0</v>
      </c>
      <c r="J992" s="28" t="n">
        <f>IF(AND(COUNT(AF992,AG992,AH992)=3,AF992&gt;=AG992,AG992&gt;=0,AH992=14),AF992-AG992,"")</f>
        <v>0</v>
      </c>
      <c r="K992" s="28" t="n">
        <f>IF(AND(COUNT(AL992,AM992,AN992)=3,AL992&gt;=AM992,AM992&gt;=0,AN992=30),AL992-AM992,"")</f>
        <v>0</v>
      </c>
      <c r="L992" s="29" t="n">
        <f>IF(ISNUMBER(BI992),BI992/90,"")</f>
        <v>0.07996789666855718</v>
      </c>
      <c r="M992" s="28" t="n">
        <v>0</v>
      </c>
      <c r="N992" s="28" t="n">
        <v>0</v>
      </c>
      <c r="O992" s="28" t="n">
        <v>19</v>
      </c>
      <c r="P992" s="30" t="n">
        <f>IF(AND(ISNUMBER(L992),L992&gt;0,COUNT(M992:O992)=3,MIN(M992:O992)&gt;=0),SUM(M992:O992)/L992,"")</f>
        <v>237.59534502638317</v>
      </c>
      <c r="Q992" s="16" t="str">
        <v>沿用原计划SKU店铺</v>
      </c>
      <c r="R992" s="16" t="str">
        <v>已匹配</v>
      </c>
      <c r="S992" s="16" t="str">
        <v>停售</v>
      </c>
      <c r="T992" s="16" t="str">
        <v>B06b</v>
      </c>
      <c r="U992" s="16" t="str">
        <v>裸色羊京绒</v>
      </c>
      <c r="V992" s="16" t="n">
        <v>6.5</v>
      </c>
      <c r="W992" s="8" t="str">
        <v>2026-10-08 至 2026-10-17</v>
      </c>
      <c r="X992" s="8" t="str">
        <v>2026-10-08、2026-10-09、2026-10-10、2026-10-11、2026-10-14、2026-10-15、2026-10-17</v>
      </c>
      <c r="Y992" s="8" t="str">
        <v>2026-10-12 有记录的停售日；2026-10-13 有记录的停售日；2026-10-16 有记录的停售日</v>
      </c>
      <c r="Z992" s="8" t="n">
        <v>0</v>
      </c>
      <c r="AA992" s="8" t="n">
        <v>0</v>
      </c>
      <c r="AB992" s="8" t="n">
        <v>7</v>
      </c>
      <c r="AC992" s="8" t="str">
        <v>2026-09-29 至 2026-10-17</v>
      </c>
      <c r="AD992" s="8" t="str">
        <v>2026-09-29、2026-09-30、2026-10-01、2026-10-02、2026-10-03、2026-10-04、2026-10-05、2026-10-08、2026-10-09、2026-10-10、2026-10-11、2026-10-14、2026-10-15、2026-10-17</v>
      </c>
      <c r="AE992" s="8" t="str">
        <v>2026-10-06 大促；2026-10-07 大促；2026-10-12 有记录的停售日；2026-10-13 有记录的停售日；2026-10-16 有记录的停售日</v>
      </c>
      <c r="AF992" s="8" t="n">
        <v>0</v>
      </c>
      <c r="AG992" s="8" t="n">
        <v>0</v>
      </c>
      <c r="AH992" s="8" t="n">
        <v>14</v>
      </c>
      <c r="AI992" s="8" t="str">
        <v>2026-09-13 至 2026-10-17</v>
      </c>
      <c r="AJ9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992" s="8" t="str">
        <v>2026-10-06 大促；2026-10-07 大促；2026-10-12 有记录的停售日；2026-10-13 有记录的停售日；2026-10-16 有记录的停售日</v>
      </c>
      <c r="AL992" s="8" t="n">
        <v>0</v>
      </c>
      <c r="AM992" s="8" t="n">
        <v>0</v>
      </c>
      <c r="AN992" s="8" t="n">
        <v>30</v>
      </c>
      <c r="AO992" s="8" t="str">
        <v>B06b / 裸色羊京绒 / 13120</v>
      </c>
      <c r="AP992" s="11" t="n">
        <v>1.1090677182221615</v>
      </c>
      <c r="AQ992" s="11" t="n">
        <v>1.0637680334742425</v>
      </c>
      <c r="AR992" s="11" t="n">
        <v>0.9188090422809019</v>
      </c>
      <c r="AS992" s="11" t="n">
        <f>IF(AND(COUNT(I992:K992,AP992:AR992)=6,MIN(AP992:AR992)&gt;0),I992/7/AP992*0.5+J992/14/AQ992*0.3+K992/30/AR992*0.2,"")</f>
        <v>0</v>
      </c>
      <c r="AT992" s="8" t="n">
        <v>7</v>
      </c>
      <c r="AU992" s="8" t="n">
        <v>0</v>
      </c>
      <c r="AV992" s="8" t="n">
        <v>85</v>
      </c>
      <c r="AW992" s="11" t="n">
        <f>IF(AND(COUNT(AT992:AV992)=3,AT992&gt;=AU992,AU992&gt;=0,AV992&gt;0),(AT992-AU992)/AV992,"")</f>
        <v>0.08235294117647059</v>
      </c>
      <c r="AX992" s="8" t="n">
        <v>25</v>
      </c>
      <c r="AY992" s="8" t="n">
        <v>0</v>
      </c>
      <c r="AZ992" s="8" t="n">
        <v>175</v>
      </c>
      <c r="BA992" s="11" t="n">
        <f>IF(AND(COUNT(AX992:AZ992)=3,AX992&gt;=AY992,AY992&gt;=0,AZ992&gt;0),(AX992-AY992)/AZ992,"")</f>
        <v>0.14285714285714285</v>
      </c>
      <c r="BB992" s="8" t="n">
        <f>IF(COUNT(AS992,AW992,BA992)=3,1,0)</f>
        <v>1</v>
      </c>
      <c r="BC992" s="11" t="n">
        <f>IF(SUMIF($AO$11:$AO$1309,AO992,$BB$11:$BB$1309)=COUNTIF($AO$11:$AO$1309,AO992),SUMIF($AO$11:$AO$1309,AO992,$AS$11:$AS$1309),"")</f>
        <v>2.689755745741675</v>
      </c>
      <c r="BD992" s="11" t="n">
        <f>IF(SUMIF($AO$11:$AO$1309,AO992,$BB$11:$BB$1309)=COUNTIF($AO$11:$AO$1309,AO992),SUMIF($AO$11:$AO$1309,AO992,$AW$11:$AW$1309),"")</f>
        <v>3.684342922121827</v>
      </c>
      <c r="BE992" s="11" t="n">
        <f>IF(SUMIF($AO$11:$AO$1309,AO992,$BB$11:$BB$1309)=COUNTIF($AO$11:$AO$1309,AO992),SUMIF($AO$11:$AO$1309,AO992,$BA$11:$BA$1309),"")</f>
        <v>3.3812436633385023</v>
      </c>
      <c r="BF992" s="12" t="n">
        <f>IF(COUNT(BD992:BE992)&lt;&gt;2,"",IF(AND(BD992&gt;0,BE992&gt;0),0.7*AW992/BD992+0.3*BA992/BE992,IF(BD992&gt;0,AW992/BD992,IF(BE992&gt;0,BA992/BE992,IF(AND(ISNUMBER(BH992),BH992=0),0,"")))))</f>
        <v>0.028321460890804145</v>
      </c>
      <c r="BG992" s="11" t="n">
        <f>IF(AND(COUNT(BN992:BU992)=8,MIN(BN992:BU992)&gt;=0),SUMPRODUCT(BN992:BQ992,BR992:BU992),"")</f>
        <v>94.47778160343367</v>
      </c>
      <c r="BH992" s="11" t="n">
        <f>IF(COUNT(BC992,BG992)=2,BC992*BG992,"")</f>
        <v>254.12215591276282</v>
      </c>
      <c r="BI992" s="11" t="n">
        <f>IF(ISNUMBER(CI992),CI992,"")</f>
        <v>7.197110700170146</v>
      </c>
      <c r="BJ992" s="8" t="str"/>
      <c r="BK992" s="8" t="str">
        <v>90天：2026-07-20 至 2026-10-17；180天：2026-04-21 至 2026-10-17</v>
      </c>
      <c r="BL992" s="8" t="str">
        <v>90天：2026-10-06、2026-10-07、2026-10-12、2026-10-13、2026-10-16；180天：2026-10-06、2026-10-07、2026-10-12、2026-10-13、2026-10-16</v>
      </c>
      <c r="BM992" s="8" t="str">
        <v>2026-10：12天 × 1.1090677182221615；2026-11：30天 × 1.0372741535934282；2026-12：31天 × 0.979949351738161；2027-01：17天 × 1.1571949690048173</v>
      </c>
      <c r="BN992" s="11" t="n">
        <v>1.1090677182221615</v>
      </c>
      <c r="BO992" s="11" t="n">
        <v>1.0372741535934282</v>
      </c>
      <c r="BP992" s="11" t="n">
        <v>0.979949351738161</v>
      </c>
      <c r="BQ992" s="11" t="n">
        <v>1.1571949690048173</v>
      </c>
      <c r="BR992" s="8" t="n">
        <v>12</v>
      </c>
      <c r="BS992" s="8" t="n">
        <v>30</v>
      </c>
      <c r="BT992" s="8" t="n">
        <v>31</v>
      </c>
      <c r="BU992" s="8" t="n">
        <v>17</v>
      </c>
      <c r="BV992" s="11" t="n">
        <f>IF(COUNT(BC992,BF992)=2,BC992*BF992,"")</f>
        <v>0.07617781215883859</v>
      </c>
      <c r="BW992" s="11" t="n">
        <f>IF(ISNUMBER(BN992),BN992,"")</f>
        <v>1.1090677182221615</v>
      </c>
      <c r="BX992" s="14" t="n">
        <f>IF(ISNUMBER(BR992),BR992,"")</f>
        <v>12</v>
      </c>
      <c r="BY992" s="13" t="n">
        <f>IF(AND(COUNT(BV992,BW992,BX992)=3,MIN(BV992,BW992,BX992)&gt;=0),BV992*BW992*BX992,"")</f>
        <v>1.0138362277219146</v>
      </c>
      <c r="BZ992" s="11" t="n">
        <f>IF(ISNUMBER(BO992),BO992,"")</f>
        <v>1.0372741535934282</v>
      </c>
      <c r="CA992" s="14" t="n">
        <f>IF(ISNUMBER(BS992),BS992,"")</f>
        <v>30</v>
      </c>
      <c r="CB992" s="13" t="n">
        <f>IF(AND(COUNT(BV992,BZ992,CA992)=3,MIN(BV992,BZ992,CA992)&gt;=0),BV992*BZ992*CA992,"")</f>
        <v>2.3705182688897537</v>
      </c>
      <c r="CC992" s="11" t="n">
        <f>IF(ISNUMBER(BP992),BP992,"")</f>
        <v>0.979949351738161</v>
      </c>
      <c r="CD992" s="14" t="n">
        <f>IF(ISNUMBER(BT992),BT992,"")</f>
        <v>31</v>
      </c>
      <c r="CE992" s="13" t="n">
        <f>IF(AND(COUNT(BV992,CC992,CD992)=3,MIN(BV992,CC992,CD992)&gt;=0),BV992*CC992*CD992,"")</f>
        <v>2.3141623268984435</v>
      </c>
      <c r="CF992" s="11" t="n">
        <f>IF(ISNUMBER(BQ992),BQ992,"")</f>
        <v>1.1571949690048173</v>
      </c>
      <c r="CG992" s="14" t="n">
        <f>IF(ISNUMBER(BU992),BU992,"")</f>
        <v>17</v>
      </c>
      <c r="CH992" s="13" t="n">
        <f>IF(AND(COUNT(BV992,CF992,CG992)=3,MIN(BV992,CF992,CG992)&gt;=0),BV992*CF992*CG992,"")</f>
        <v>1.4985938766600344</v>
      </c>
      <c r="CI992" s="13" t="n">
        <f>IF(COUNT(BY992,CB992,CE992,CH992)=4,SUM(BY992,CB992,CE992,CH992),"")</f>
        <v>7.197110700170146</v>
      </c>
    </row>
    <row r="993" ht="72" customHeight="1">
      <c r="A993" s="16" t="str">
        <v>B06b-NU-38-N</v>
      </c>
      <c r="B993" s="16" t="str">
        <v>1店-MUSSHOE-US</v>
      </c>
      <c r="C993" s="16" t="str">
        <v>艾年</v>
      </c>
      <c r="D993" s="26" t="n">
        <f>IF(NOT(ISNUMBER(E993)),"",IF(OR(E993&lt;=0,L993=0),0,IF(OR(NOT(ISNUMBER(F993)),F993&lt;0),"",MIN(E993,INT(F993)))))</f>
        <v>0</v>
      </c>
      <c r="E993" s="27" t="n">
        <f>IF(OR(NOT(ISNUMBER(L993)),COUNT(M993:O993)&lt;&gt;3,MIN(M993:O993)&lt;0),"",ROUNDUP(ROUND(BI993-SUM(M993:O993),10),0))</f>
        <v>-38</v>
      </c>
      <c r="F993" s="28" t="n">
        <v>79</v>
      </c>
      <c r="G993" s="28" t="n">
        <f>IF(AND(ISNUMBER(D993),ISNUMBER(E993)),IF(OR(E993&lt;=0,L993=0),0,E993-D993),"")</f>
        <v>0</v>
      </c>
      <c r="H993" s="16" t="str">
        <f>IF(NOT(ISNUMBER(E993)),"销量或海外库存待补",IF(OR(E993&lt;=0,L993=0),IF(L993=0,"零日销，本批不发","本批无需补货"),IF(NOT(ISNUMBER(D993)),"国内库存待补",IF(D993=0,"国内无可用库存",IF(G993&gt;0,"先发国内现货","按建议量发货")))))</f>
        <v>本批无需补货</v>
      </c>
      <c r="I993" s="28" t="n">
        <f>IF(AND(COUNT(Z993,AA993,AB993)=3,Z993&gt;=AA993,AA993&gt;=0,AB993=7),Z993-AA993,"")</f>
        <v>3</v>
      </c>
      <c r="J993" s="28" t="n">
        <f>IF(AND(COUNT(AF993,AG993,AH993)=3,AF993&gt;=AG993,AG993&gt;=0,AH993=14),AF993-AG993,"")</f>
        <v>5</v>
      </c>
      <c r="K993" s="28" t="n">
        <f>IF(AND(COUNT(AL993,AM993,AN993)=3,AL993&gt;=AM993,AM993&gt;=0,AN993=30),AL993-AM993,"")</f>
        <v>17</v>
      </c>
      <c r="L993" s="29" t="n">
        <f>IF(ISNUMBER(BI993),BI993/90,"")</f>
        <v>0.4202160179565413</v>
      </c>
      <c r="M993" s="28" t="n">
        <v>43</v>
      </c>
      <c r="N993" s="28" t="n">
        <v>0</v>
      </c>
      <c r="O993" s="28" t="n">
        <v>32</v>
      </c>
      <c r="P993" s="30" t="n">
        <f>IF(AND(ISNUMBER(L993),L993&gt;0,COUNT(M993:O993)=3,MIN(M993:O993)&gt;=0),SUM(M993:O993)/L993,"")</f>
        <v>178.47963141604112</v>
      </c>
      <c r="Q993" s="16" t="str">
        <v>沿用原计划SKU店铺</v>
      </c>
      <c r="R993" s="16" t="str">
        <v>已匹配</v>
      </c>
      <c r="S993" s="16" t="str">
        <v>在售</v>
      </c>
      <c r="T993" s="16" t="str">
        <v>B06b</v>
      </c>
      <c r="U993" s="16" t="str">
        <v>裸色羊京绒</v>
      </c>
      <c r="V993" s="16" t="n">
        <v>7</v>
      </c>
      <c r="W993" s="8" t="str">
        <v>2026-10-11 至 2026-10-17</v>
      </c>
      <c r="X993" s="8" t="str">
        <v>2026-10-11、2026-10-12、2026-10-13、2026-10-14、2026-10-15、2026-10-16、2026-10-17</v>
      </c>
      <c r="Y993" s="8" t="str">
        <v>无</v>
      </c>
      <c r="Z993" s="8" t="n">
        <v>3</v>
      </c>
      <c r="AA993" s="8" t="n">
        <v>0</v>
      </c>
      <c r="AB993" s="8" t="n">
        <v>7</v>
      </c>
      <c r="AC993" s="8" t="str">
        <v>2026-10-02 至 2026-10-17</v>
      </c>
      <c r="AD993" s="8" t="str">
        <v>2026-10-02、2026-10-03、2026-10-04、2026-10-05、2026-10-08、2026-10-09、2026-10-10、2026-10-11、2026-10-12、2026-10-13、2026-10-14、2026-10-15、2026-10-16、2026-10-17</v>
      </c>
      <c r="AE993" s="8" t="str">
        <v>2026-10-06 大促；2026-10-07 大促</v>
      </c>
      <c r="AF993" s="8" t="n">
        <v>11</v>
      </c>
      <c r="AG993" s="8" t="n">
        <v>6</v>
      </c>
      <c r="AH993" s="8" t="n">
        <v>14</v>
      </c>
      <c r="AI993" s="8" t="str">
        <v>2026-09-16 至 2026-10-17</v>
      </c>
      <c r="AJ9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3" s="8" t="str">
        <v>2026-10-06 大促；2026-10-07 大促</v>
      </c>
      <c r="AL993" s="8" t="n">
        <v>23</v>
      </c>
      <c r="AM993" s="8" t="n">
        <v>6</v>
      </c>
      <c r="AN993" s="8" t="n">
        <v>30</v>
      </c>
      <c r="AO993" s="8" t="str">
        <v>B06b / 裸色羊京绒 / 13120</v>
      </c>
      <c r="AP993" s="11" t="n">
        <v>1.1090677182221615</v>
      </c>
      <c r="AQ993" s="11" t="n">
        <v>1.1090677182221615</v>
      </c>
      <c r="AR993" s="11" t="n">
        <v>0.9505188216044452</v>
      </c>
      <c r="AS993" s="11" t="n">
        <f>IF(AND(COUNT(I993:K993,AP993:AR993)=6,MIN(AP993:AR993)&gt;0),I993/7/AP993*0.5+J993/14/AQ993*0.3+K993/30/AR993*0.2,"")</f>
        <v>0.4090518354842894</v>
      </c>
      <c r="AT993" s="8" t="n">
        <v>56</v>
      </c>
      <c r="AU993" s="8" t="n">
        <v>6</v>
      </c>
      <c r="AV993" s="8" t="n">
        <v>88</v>
      </c>
      <c r="AW993" s="11" t="n">
        <f>IF(AND(COUNT(AT993:AV993)=3,AT993&gt;=AU993,AU993&gt;=0,AV993&gt;0),(AT993-AU993)/AV993,"")</f>
        <v>0.5681818181818182</v>
      </c>
      <c r="AX993" s="8" t="n">
        <v>88</v>
      </c>
      <c r="AY993" s="8" t="n">
        <v>6</v>
      </c>
      <c r="AZ993" s="8" t="n">
        <v>178</v>
      </c>
      <c r="BA993" s="11" t="n">
        <f>IF(AND(COUNT(AX993:AZ993)=3,AX993&gt;=AY993,AY993&gt;=0,AZ993&gt;0),(AX993-AY993)/AZ993,"")</f>
        <v>0.4606741573033708</v>
      </c>
      <c r="BB993" s="8" t="n">
        <f>IF(COUNT(AS993,AW993,BA993)=3,1,0)</f>
        <v>1</v>
      </c>
      <c r="BC993" s="11" t="n">
        <f>IF(SUMIF($AO$11:$AO$1309,AO993,$BB$11:$BB$1309)=COUNTIF($AO$11:$AO$1309,AO993),SUMIF($AO$11:$AO$1309,AO993,$AS$11:$AS$1309),"")</f>
        <v>2.689755745741675</v>
      </c>
      <c r="BD993" s="11" t="n">
        <f>IF(SUMIF($AO$11:$AO$1309,AO993,$BB$11:$BB$1309)=COUNTIF($AO$11:$AO$1309,AO993),SUMIF($AO$11:$AO$1309,AO993,$AW$11:$AW$1309),"")</f>
        <v>3.684342922121827</v>
      </c>
      <c r="BE993" s="11" t="n">
        <f>IF(SUMIF($AO$11:$AO$1309,AO993,$BB$11:$BB$1309)=COUNTIF($AO$11:$AO$1309,AO993),SUMIF($AO$11:$AO$1309,AO993,$BA$11:$BA$1309),"")</f>
        <v>3.3812436633385023</v>
      </c>
      <c r="BF993" s="12" t="n">
        <f>IF(COUNT(BD993:BE993)&lt;&gt;2,"",IF(AND(BD993&gt;0,BE993&gt;0),0.7*AW993/BD993+0.3*BA993/BE993,IF(BD993&gt;0,AW993/BD993,IF(BE993&gt;0,BA993/BE993,IF(AND(ISNUMBER(BH993),BH993=0),0,"")))))</f>
        <v>0.1488238657516808</v>
      </c>
      <c r="BG993" s="11" t="n">
        <f>IF(AND(COUNT(BN993:BU993)=8,MIN(BN993:BU993)&gt;=0),SUMPRODUCT(BN993:BQ993,BR993:BU993),"")</f>
        <v>94.47778160343367</v>
      </c>
      <c r="BH993" s="11" t="n">
        <f>IF(COUNT(BC993,BG993)=2,BC993*BG993,"")</f>
        <v>254.12215591276282</v>
      </c>
      <c r="BI993" s="11" t="n">
        <f>IF(ISNUMBER(CI993),CI993,"")</f>
        <v>37.81944161608872</v>
      </c>
      <c r="BJ993" s="8" t="str"/>
      <c r="BK993" s="8" t="str">
        <v>90天：2026-07-20 至 2026-10-17；180天：2026-04-21 至 2026-10-17</v>
      </c>
      <c r="BL993" s="8" t="str">
        <v>90天：2026-10-06、2026-10-07；180天：2026-10-06、2026-10-07</v>
      </c>
      <c r="BM993" s="8" t="str">
        <v>2026-10：12天 × 1.1090677182221615；2026-11：30天 × 1.0372741535934282；2026-12：31天 × 0.979949351738161；2027-01：17天 × 1.1571949690048173</v>
      </c>
      <c r="BN993" s="11" t="n">
        <v>1.1090677182221615</v>
      </c>
      <c r="BO993" s="11" t="n">
        <v>1.0372741535934282</v>
      </c>
      <c r="BP993" s="11" t="n">
        <v>0.979949351738161</v>
      </c>
      <c r="BQ993" s="11" t="n">
        <v>1.1571949690048173</v>
      </c>
      <c r="BR993" s="8" t="n">
        <v>12</v>
      </c>
      <c r="BS993" s="8" t="n">
        <v>30</v>
      </c>
      <c r="BT993" s="8" t="n">
        <v>31</v>
      </c>
      <c r="BU993" s="8" t="n">
        <v>17</v>
      </c>
      <c r="BV993" s="11" t="n">
        <f>IF(COUNT(BC993,BF993)=2,BC993*BF993,"")</f>
        <v>0.4002998480090711</v>
      </c>
      <c r="BW993" s="11" t="n">
        <f>IF(ISNUMBER(BN993),BN993,"")</f>
        <v>1.1090677182221615</v>
      </c>
      <c r="BX993" s="14" t="n">
        <f>IF(ISNUMBER(BR993),BR993,"")</f>
        <v>12</v>
      </c>
      <c r="BY993" s="13" t="n">
        <f>IF(AND(COUNT(BV993,BW993,BX993)=3,MIN(BV993,BW993,BX993)&gt;=0),BV993*BW993*BX993,"")</f>
        <v>5.327515668433183</v>
      </c>
      <c r="BZ993" s="11" t="n">
        <f>IF(ISNUMBER(BO993),BO993,"")</f>
        <v>1.0372741535934282</v>
      </c>
      <c r="CA993" s="14" t="n">
        <f>IF(ISNUMBER(BS993),BS993,"")</f>
        <v>30</v>
      </c>
      <c r="CB993" s="13" t="n">
        <f>IF(AND(COUNT(BV993,BZ993,CA993)=3,MIN(BV993,BZ993,CA993)&gt;=0),BV993*BZ993*CA993,"")</f>
        <v>12.456620580815617</v>
      </c>
      <c r="CC993" s="11" t="n">
        <f>IF(ISNUMBER(BP993),BP993,"")</f>
        <v>0.979949351738161</v>
      </c>
      <c r="CD993" s="14" t="n">
        <f>IF(ISNUMBER(BT993),BT993,"")</f>
        <v>31</v>
      </c>
      <c r="CE993" s="13" t="n">
        <f>IF(AND(COUNT(BV993,CC993,CD993)=3,MIN(BV993,CC993,CD993)&gt;=0),BV993*CC993*CD993,"")</f>
        <v>12.160480873278582</v>
      </c>
      <c r="CF993" s="11" t="n">
        <f>IF(ISNUMBER(BQ993),BQ993,"")</f>
        <v>1.1571949690048173</v>
      </c>
      <c r="CG993" s="14" t="n">
        <f>IF(ISNUMBER(BU993),BU993,"")</f>
        <v>17</v>
      </c>
      <c r="CH993" s="13" t="n">
        <f>IF(AND(COUNT(BV993,CF993,CG993)=3,MIN(BV993,CF993,CG993)&gt;=0),BV993*CF993*CG993,"")</f>
        <v>7.874824493561332</v>
      </c>
      <c r="CI993" s="13" t="n">
        <f>IF(COUNT(BY993,CB993,CE993,CH993)=4,SUM(BY993,CB993,CE993,CH993),"")</f>
        <v>37.81944161608872</v>
      </c>
    </row>
    <row r="994" ht="72" customHeight="1">
      <c r="A994" s="16" t="str">
        <v>B06b-NU-38.5</v>
      </c>
      <c r="B994" s="16" t="str">
        <v>1店-MUSSHOE-US</v>
      </c>
      <c r="C994" s="16" t="str">
        <v>艾年</v>
      </c>
      <c r="D994" s="26" t="n">
        <f>IF(NOT(ISNUMBER(E994)),"",IF(OR(E994&lt;=0,L994=0),0,IF(OR(NOT(ISNUMBER(F994)),F994&lt;0),"",MIN(E994,INT(F994)))))</f>
        <v>0</v>
      </c>
      <c r="E994" s="27" t="n">
        <f>IF(OR(NOT(ISNUMBER(L994)),COUNT(M994:O994)&lt;&gt;3,MIN(M994:O994)&lt;0),"",ROUNDUP(ROUND(BI994-SUM(M994:O994),10),0))</f>
        <v>-4</v>
      </c>
      <c r="F994" s="28" t="n">
        <v>13</v>
      </c>
      <c r="G994" s="28" t="n">
        <f>IF(AND(ISNUMBER(D994),ISNUMBER(E994)),IF(OR(E994&lt;=0,L994=0),0,E994-D994),"")</f>
        <v>0</v>
      </c>
      <c r="H994" s="16" t="str">
        <f>IF(NOT(ISNUMBER(E994)),"销量或海外库存待补",IF(OR(E994&lt;=0,L994=0),IF(L994=0,"零日销，本批不发","本批无需补货"),IF(NOT(ISNUMBER(D994)),"国内库存待补",IF(D994=0,"国内无可用库存",IF(G994&gt;0,"先发国内现货","按建议量发货")))))</f>
        <v>本批无需补货</v>
      </c>
      <c r="I994" s="28" t="n">
        <f>IF(AND(COUNT(Z994,AA994,AB994)=3,Z994&gt;=AA994,AA994&gt;=0,AB994=7),Z994-AA994,"")</f>
        <v>1</v>
      </c>
      <c r="J994" s="28" t="n">
        <f>IF(AND(COUNT(AF994,AG994,AH994)=3,AF994&gt;=AG994,AG994&gt;=0,AH994=14),AF994-AG994,"")</f>
        <v>7</v>
      </c>
      <c r="K994" s="28" t="n">
        <f>IF(AND(COUNT(AL994,AM994,AN994)=3,AL994&gt;=AM994,AM994&gt;=0,AN994=30),AL994-AM994,"")</f>
        <v>15</v>
      </c>
      <c r="L994" s="29" t="n">
        <f>IF(ISNUMBER(BI994),BI994/90,"")</f>
        <v>0.22230030053891134</v>
      </c>
      <c r="M994" s="28" t="n">
        <v>4</v>
      </c>
      <c r="N994" s="28" t="n">
        <v>0</v>
      </c>
      <c r="O994" s="28" t="n">
        <v>20</v>
      </c>
      <c r="P994" s="30" t="n">
        <f>IF(AND(ISNUMBER(L994),L994&gt;0,COUNT(M994:O994)=3,MIN(M994:O994)&gt;=0),SUM(M994:O994)/L994,"")</f>
        <v>107.96206726584722</v>
      </c>
      <c r="Q994" s="16" t="str">
        <v>沿用原计划SKU店铺</v>
      </c>
      <c r="R994" s="16" t="str">
        <v>已匹配</v>
      </c>
      <c r="S994" s="16" t="str">
        <v>在售</v>
      </c>
      <c r="T994" s="16" t="str">
        <v>B06b</v>
      </c>
      <c r="U994" s="16" t="str">
        <v>裸色羊京绒</v>
      </c>
      <c r="V994" s="16" t="n">
        <v>7.5</v>
      </c>
      <c r="W994" s="8" t="str">
        <v>2026-10-11 至 2026-10-17</v>
      </c>
      <c r="X994" s="8" t="str">
        <v>2026-10-11、2026-10-12、2026-10-13、2026-10-14、2026-10-15、2026-10-16、2026-10-17</v>
      </c>
      <c r="Y994" s="8" t="str">
        <v>无</v>
      </c>
      <c r="Z994" s="8" t="n">
        <v>1</v>
      </c>
      <c r="AA994" s="8" t="n">
        <v>0</v>
      </c>
      <c r="AB994" s="8" t="n">
        <v>7</v>
      </c>
      <c r="AC994" s="8" t="str">
        <v>2026-10-02 至 2026-10-17</v>
      </c>
      <c r="AD994" s="8" t="str">
        <v>2026-10-02、2026-10-03、2026-10-04、2026-10-05、2026-10-08、2026-10-09、2026-10-10、2026-10-11、2026-10-12、2026-10-13、2026-10-14、2026-10-15、2026-10-16、2026-10-17</v>
      </c>
      <c r="AE994" s="8" t="str">
        <v>2026-10-06 大促；2026-10-07 大促</v>
      </c>
      <c r="AF994" s="8" t="n">
        <v>9</v>
      </c>
      <c r="AG994" s="8" t="n">
        <v>2</v>
      </c>
      <c r="AH994" s="8" t="n">
        <v>14</v>
      </c>
      <c r="AI994" s="8" t="str">
        <v>2026-09-16 至 2026-10-17</v>
      </c>
      <c r="AJ9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4" s="8" t="str">
        <v>2026-10-06 大促；2026-10-07 大促</v>
      </c>
      <c r="AL994" s="8" t="n">
        <v>17</v>
      </c>
      <c r="AM994" s="8" t="n">
        <v>2</v>
      </c>
      <c r="AN994" s="8" t="n">
        <v>30</v>
      </c>
      <c r="AO994" s="8" t="str">
        <v>B06b / 裸色羊京绒 / 13120</v>
      </c>
      <c r="AP994" s="11" t="n">
        <v>1.1090677182221615</v>
      </c>
      <c r="AQ994" s="11" t="n">
        <v>1.1090677182221615</v>
      </c>
      <c r="AR994" s="11" t="n">
        <v>0.9505188216044452</v>
      </c>
      <c r="AS994" s="11" t="n">
        <f>IF(AND(COUNT(I994:K994,AP994:AR994)=6,MIN(AP994:AR994)&gt;0),I994/7/AP994*0.5+J994/14/AQ994*0.3+K994/30/AR994*0.2,"")</f>
        <v>0.3048585887602214</v>
      </c>
      <c r="AT994" s="8" t="n">
        <v>29</v>
      </c>
      <c r="AU994" s="8" t="n">
        <v>2</v>
      </c>
      <c r="AV994" s="8" t="n">
        <v>88</v>
      </c>
      <c r="AW994" s="11" t="n">
        <f>IF(AND(COUNT(AT994:AV994)=3,AT994&gt;=AU994,AU994&gt;=0,AV994&gt;0),(AT994-AU994)/AV994,"")</f>
        <v>0.3068181818181818</v>
      </c>
      <c r="AX994" s="8" t="n">
        <v>43</v>
      </c>
      <c r="AY994" s="8" t="n">
        <v>2</v>
      </c>
      <c r="AZ994" s="8" t="n">
        <v>178</v>
      </c>
      <c r="BA994" s="11" t="n">
        <f>IF(AND(COUNT(AX994:AZ994)=3,AX994&gt;=AY994,AY994&gt;=0,AZ994&gt;0),(AX994-AY994)/AZ994,"")</f>
        <v>0.2303370786516854</v>
      </c>
      <c r="BB994" s="8" t="n">
        <f>IF(COUNT(AS994,AW994,BA994)=3,1,0)</f>
        <v>1</v>
      </c>
      <c r="BC994" s="11" t="n">
        <f>IF(SUMIF($AO$11:$AO$1309,AO994,$BB$11:$BB$1309)=COUNTIF($AO$11:$AO$1309,AO994),SUMIF($AO$11:$AO$1309,AO994,$AS$11:$AS$1309),"")</f>
        <v>2.689755745741675</v>
      </c>
      <c r="BD994" s="11" t="n">
        <f>IF(SUMIF($AO$11:$AO$1309,AO994,$BB$11:$BB$1309)=COUNTIF($AO$11:$AO$1309,AO994),SUMIF($AO$11:$AO$1309,AO994,$AW$11:$AW$1309),"")</f>
        <v>3.684342922121827</v>
      </c>
      <c r="BE994" s="11" t="n">
        <f>IF(SUMIF($AO$11:$AO$1309,AO994,$BB$11:$BB$1309)=COUNTIF($AO$11:$AO$1309,AO994),SUMIF($AO$11:$AO$1309,AO994,$BA$11:$BA$1309),"")</f>
        <v>3.3812436633385023</v>
      </c>
      <c r="BF994" s="12" t="n">
        <f>IF(COUNT(BD994:BE994)&lt;&gt;2,"",IF(AND(BD994&gt;0,BE994&gt;0),0.7*AW994/BD994+0.3*BA994/BE994,IF(BD994&gt;0,AW994/BD994,IF(BE994&gt;0,BA994/BE994,IF(AND(ISNUMBER(BH994),BH994=0),0,"")))))</f>
        <v>0.07872995952139726</v>
      </c>
      <c r="BG994" s="11" t="n">
        <f>IF(AND(COUNT(BN994:BU994)=8,MIN(BN994:BU994)&gt;=0),SUMPRODUCT(BN994:BQ994,BR994:BU994),"")</f>
        <v>94.47778160343367</v>
      </c>
      <c r="BH994" s="11" t="n">
        <f>IF(COUNT(BC994,BG994)=2,BC994*BG994,"")</f>
        <v>254.12215591276282</v>
      </c>
      <c r="BI994" s="11" t="n">
        <f>IF(ISNUMBER(CI994),CI994,"")</f>
        <v>20.00702704850202</v>
      </c>
      <c r="BJ994" s="8" t="str"/>
      <c r="BK994" s="8" t="str">
        <v>90天：2026-07-20 至 2026-10-17；180天：2026-04-21 至 2026-10-17</v>
      </c>
      <c r="BL994" s="8" t="str">
        <v>90天：2026-10-06、2026-10-07；180天：2026-10-06、2026-10-07</v>
      </c>
      <c r="BM994" s="8" t="str">
        <v>2026-10：12天 × 1.1090677182221615；2026-11：30天 × 1.0372741535934282；2026-12：31天 × 0.979949351738161；2027-01：17天 × 1.1571949690048173</v>
      </c>
      <c r="BN994" s="11" t="n">
        <v>1.1090677182221615</v>
      </c>
      <c r="BO994" s="11" t="n">
        <v>1.0372741535934282</v>
      </c>
      <c r="BP994" s="11" t="n">
        <v>0.979949351738161</v>
      </c>
      <c r="BQ994" s="11" t="n">
        <v>1.1571949690048173</v>
      </c>
      <c r="BR994" s="8" t="n">
        <v>12</v>
      </c>
      <c r="BS994" s="8" t="n">
        <v>30</v>
      </c>
      <c r="BT994" s="8" t="n">
        <v>31</v>
      </c>
      <c r="BU994" s="8" t="n">
        <v>17</v>
      </c>
      <c r="BV994" s="11" t="n">
        <f>IF(COUNT(BC994,BF994)=2,BC994*BF994,"")</f>
        <v>0.21176436098468776</v>
      </c>
      <c r="BW994" s="11" t="n">
        <f>IF(ISNUMBER(BN994),BN994,"")</f>
        <v>1.1090677182221615</v>
      </c>
      <c r="BX994" s="14" t="n">
        <f>IF(ISNUMBER(BR994),BR994,"")</f>
        <v>12</v>
      </c>
      <c r="BY994" s="13" t="n">
        <f>IF(AND(COUNT(BV994,BW994,BX994)=3,MIN(BV994,BW994,BX994)&gt;=0),BV994*BW994*BX994,"")</f>
        <v>2.818332199656741</v>
      </c>
      <c r="BZ994" s="11" t="n">
        <f>IF(ISNUMBER(BO994),BO994,"")</f>
        <v>1.0372741535934282</v>
      </c>
      <c r="CA994" s="14" t="n">
        <f>IF(ISNUMBER(BS994),BS994,"")</f>
        <v>30</v>
      </c>
      <c r="CB994" s="13" t="n">
        <f>IF(AND(COUNT(BV994,BZ994,CA994)=3,MIN(BV994,BZ994,CA994)&gt;=0),BV994*BZ994*CA994,"")</f>
        <v>6.589730949049356</v>
      </c>
      <c r="CC994" s="11" t="n">
        <f>IF(ISNUMBER(BP994),BP994,"")</f>
        <v>0.979949351738161</v>
      </c>
      <c r="CD994" s="14" t="n">
        <f>IF(ISNUMBER(BT994),BT994,"")</f>
        <v>31</v>
      </c>
      <c r="CE994" s="13" t="n">
        <f>IF(AND(COUNT(BV994,CC994,CD994)=3,MIN(BV994,CC994,CD994)&gt;=0),BV994*CC994*CD994,"")</f>
        <v>6.433068796313911</v>
      </c>
      <c r="CF994" s="11" t="n">
        <f>IF(ISNUMBER(BQ994),BQ994,"")</f>
        <v>1.1571949690048173</v>
      </c>
      <c r="CG994" s="14" t="n">
        <f>IF(ISNUMBER(BU994),BU994,"")</f>
        <v>17</v>
      </c>
      <c r="CH994" s="13" t="n">
        <f>IF(AND(COUNT(BV994,CF994,CG994)=3,MIN(BV994,CF994,CG994)&gt;=0),BV994*CF994*CG994,"")</f>
        <v>4.165895103482012</v>
      </c>
      <c r="CI994" s="13" t="n">
        <f>IF(COUNT(BY994,CB994,CE994,CH994)=4,SUM(BY994,CB994,CE994,CH994),"")</f>
        <v>20.00702704850202</v>
      </c>
    </row>
    <row r="995" ht="72" customHeight="1">
      <c r="A995" s="16" t="str">
        <v>B06b-NU-39-N</v>
      </c>
      <c r="B995" s="16" t="str">
        <v>1店-MUSSHOE-US</v>
      </c>
      <c r="C995" s="16" t="str">
        <v>艾年</v>
      </c>
      <c r="D995" s="26" t="n">
        <f>IF(NOT(ISNUMBER(E995)),"",IF(OR(E995&lt;=0,L995=0),0,IF(OR(NOT(ISNUMBER(F995)),F995&lt;0),"",MIN(E995,INT(F995)))))</f>
        <v>0</v>
      </c>
      <c r="E995" s="27" t="n">
        <f>IF(OR(NOT(ISNUMBER(L995)),COUNT(M995:O995)&lt;&gt;3,MIN(M995:O995)&lt;0),"",ROUNDUP(ROUND(BI995-SUM(M995:O995),10),0))</f>
        <v>-69</v>
      </c>
      <c r="F995" s="28" t="n">
        <v>13</v>
      </c>
      <c r="G995" s="28" t="n">
        <f>IF(AND(ISNUMBER(D995),ISNUMBER(E995)),IF(OR(E995&lt;=0,L995=0),0,E995-D995),"")</f>
        <v>0</v>
      </c>
      <c r="H995" s="16" t="str">
        <f>IF(NOT(ISNUMBER(E995)),"销量或海外库存待补",IF(OR(E995&lt;=0,L995=0),IF(L995=0,"零日销，本批不发","本批无需补货"),IF(NOT(ISNUMBER(D995)),"国内库存待补",IF(D995=0,"国内无可用库存",IF(G995&gt;0,"先发国内现货","按建议量发货")))))</f>
        <v>本批无需补货</v>
      </c>
      <c r="I995" s="28" t="n">
        <f>IF(AND(COUNT(Z995,AA995,AB995)=3,Z995&gt;=AA995,AA995&gt;=0,AB995=7),Z995-AA995,"")</f>
        <v>5</v>
      </c>
      <c r="J995" s="28" t="n">
        <f>IF(AND(COUNT(AF995,AG995,AH995)=3,AF995&gt;=AG995,AG995&gt;=0,AH995=14),AF995-AG995,"")</f>
        <v>7</v>
      </c>
      <c r="K995" s="28" t="n">
        <f>IF(AND(COUNT(AL995,AM995,AN995)=3,AL995&gt;=AM995,AM995&gt;=0,AN995=30),AL995-AM995,"")</f>
        <v>21</v>
      </c>
      <c r="L995" s="29" t="n">
        <f>IF(ISNUMBER(BI995),BI995/90,"")</f>
        <v>0.5346515011923288</v>
      </c>
      <c r="M995" s="28" t="n">
        <v>79</v>
      </c>
      <c r="N995" s="28" t="n">
        <v>0</v>
      </c>
      <c r="O995" s="28" t="n">
        <v>38</v>
      </c>
      <c r="P995" s="30" t="n">
        <f>IF(AND(ISNUMBER(L995),L995&gt;0,COUNT(M995:O995)=3,MIN(M995:O995)&gt;=0),SUM(M995:O995)/L995,"")</f>
        <v>218.83413726339072</v>
      </c>
      <c r="Q995" s="16" t="str">
        <v>沿用原计划SKU店铺</v>
      </c>
      <c r="R995" s="16" t="str">
        <v>已匹配</v>
      </c>
      <c r="S995" s="16" t="str">
        <v>在售</v>
      </c>
      <c r="T995" s="16" t="str">
        <v>B06b</v>
      </c>
      <c r="U995" s="16" t="str">
        <v>裸色羊京绒</v>
      </c>
      <c r="V995" s="16" t="n">
        <v>8</v>
      </c>
      <c r="W995" s="8" t="str">
        <v>2026-10-11 至 2026-10-17</v>
      </c>
      <c r="X995" s="8" t="str">
        <v>2026-10-11、2026-10-12、2026-10-13、2026-10-14、2026-10-15、2026-10-16、2026-10-17</v>
      </c>
      <c r="Y995" s="8" t="str">
        <v>无</v>
      </c>
      <c r="Z995" s="8" t="n">
        <v>5</v>
      </c>
      <c r="AA995" s="8" t="n">
        <v>0</v>
      </c>
      <c r="AB995" s="8" t="n">
        <v>7</v>
      </c>
      <c r="AC995" s="8" t="str">
        <v>2026-10-02 至 2026-10-17</v>
      </c>
      <c r="AD995" s="8" t="str">
        <v>2026-10-02、2026-10-03、2026-10-04、2026-10-05、2026-10-08、2026-10-09、2026-10-10、2026-10-11、2026-10-12、2026-10-13、2026-10-14、2026-10-15、2026-10-16、2026-10-17</v>
      </c>
      <c r="AE995" s="8" t="str">
        <v>2026-10-06 大促；2026-10-07 大促</v>
      </c>
      <c r="AF995" s="8" t="n">
        <v>11</v>
      </c>
      <c r="AG995" s="8" t="n">
        <v>4</v>
      </c>
      <c r="AH995" s="8" t="n">
        <v>14</v>
      </c>
      <c r="AI995" s="8" t="str">
        <v>2026-09-16 至 2026-10-17</v>
      </c>
      <c r="AJ9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5" s="8" t="str">
        <v>2026-10-06 大促；2026-10-07 大促</v>
      </c>
      <c r="AL995" s="8" t="n">
        <v>25</v>
      </c>
      <c r="AM995" s="8" t="n">
        <v>4</v>
      </c>
      <c r="AN995" s="8" t="n">
        <v>30</v>
      </c>
      <c r="AO995" s="8" t="str">
        <v>B06b / 裸色羊京绒 / 13120</v>
      </c>
      <c r="AP995" s="11" t="n">
        <v>1.1090677182221615</v>
      </c>
      <c r="AQ995" s="11" t="n">
        <v>1.1090677182221615</v>
      </c>
      <c r="AR995" s="11" t="n">
        <v>0.9505188216044452</v>
      </c>
      <c r="AS995" s="11" t="n">
        <f>IF(AND(COUNT(I995:K995,AP995:AR995)=6,MIN(AP995:AR995)&gt;0),I995/7/AP995*0.5+J995/14/AQ995*0.3+K995/30/AR995*0.2,"")</f>
        <v>0.604557497535931</v>
      </c>
      <c r="AT995" s="8" t="n">
        <v>67</v>
      </c>
      <c r="AU995" s="8" t="n">
        <v>4</v>
      </c>
      <c r="AV995" s="8" t="n">
        <v>88</v>
      </c>
      <c r="AW995" s="11" t="n">
        <f>IF(AND(COUNT(AT995:AV995)=3,AT995&gt;=AU995,AU995&gt;=0,AV995&gt;0),(AT995-AU995)/AV995,"")</f>
        <v>0.7159090909090909</v>
      </c>
      <c r="AX995" s="8" t="n">
        <v>111</v>
      </c>
      <c r="AY995" s="8" t="n">
        <v>4</v>
      </c>
      <c r="AZ995" s="8" t="n">
        <v>178</v>
      </c>
      <c r="BA995" s="11" t="n">
        <f>IF(AND(COUNT(AX995:AZ995)=3,AX995&gt;=AY995,AY995&gt;=0,AZ995&gt;0),(AX995-AY995)/AZ995,"")</f>
        <v>0.601123595505618</v>
      </c>
      <c r="BB995" s="8" t="n">
        <f>IF(COUNT(AS995,AW995,BA995)=3,1,0)</f>
        <v>1</v>
      </c>
      <c r="BC995" s="11" t="n">
        <f>IF(SUMIF($AO$11:$AO$1309,AO995,$BB$11:$BB$1309)=COUNTIF($AO$11:$AO$1309,AO995),SUMIF($AO$11:$AO$1309,AO995,$AS$11:$AS$1309),"")</f>
        <v>2.689755745741675</v>
      </c>
      <c r="BD995" s="11" t="n">
        <f>IF(SUMIF($AO$11:$AO$1309,AO995,$BB$11:$BB$1309)=COUNTIF($AO$11:$AO$1309,AO995),SUMIF($AO$11:$AO$1309,AO995,$AW$11:$AW$1309),"")</f>
        <v>3.684342922121827</v>
      </c>
      <c r="BE995" s="11" t="n">
        <f>IF(SUMIF($AO$11:$AO$1309,AO995,$BB$11:$BB$1309)=COUNTIF($AO$11:$AO$1309,AO995),SUMIF($AO$11:$AO$1309,AO995,$BA$11:$BA$1309),"")</f>
        <v>3.3812436633385023</v>
      </c>
      <c r="BF995" s="12" t="n">
        <f>IF(COUNT(BD995:BE995)&lt;&gt;2,"",IF(AND(BD995&gt;0,BE995&gt;0),0.7*AW995/BD995+0.3*BA995/BE995,IF(BD995&gt;0,AW995/BD995,IF(BE995&gt;0,BA995/BE995,IF(AND(ISNUMBER(BH995),BH995=0),0,"")))))</f>
        <v>0.18935238029315382</v>
      </c>
      <c r="BG995" s="11" t="n">
        <f>IF(AND(COUNT(BN995:BU995)=8,MIN(BN995:BU995)&gt;=0),SUMPRODUCT(BN995:BQ995,BR995:BU995),"")</f>
        <v>94.47778160343367</v>
      </c>
      <c r="BH995" s="11" t="n">
        <f>IF(COUNT(BC995,BG995)=2,BC995*BG995,"")</f>
        <v>254.12215591276282</v>
      </c>
      <c r="BI995" s="11" t="n">
        <f>IF(ISNUMBER(CI995),CI995,"")</f>
        <v>48.11863510730959</v>
      </c>
      <c r="BJ995" s="8" t="str"/>
      <c r="BK995" s="8" t="str">
        <v>90天：2026-07-20 至 2026-10-17；180天：2026-04-21 至 2026-10-17</v>
      </c>
      <c r="BL995" s="8" t="str">
        <v>90天：2026-10-06、2026-10-07；180天：2026-10-06、2026-10-07</v>
      </c>
      <c r="BM995" s="8" t="str">
        <v>2026-10：12天 × 1.1090677182221615；2026-11：30天 × 1.0372741535934282；2026-12：31天 × 0.979949351738161；2027-01：17天 × 1.1571949690048173</v>
      </c>
      <c r="BN995" s="11" t="n">
        <v>1.1090677182221615</v>
      </c>
      <c r="BO995" s="11" t="n">
        <v>1.0372741535934282</v>
      </c>
      <c r="BP995" s="11" t="n">
        <v>0.979949351738161</v>
      </c>
      <c r="BQ995" s="11" t="n">
        <v>1.1571949690048173</v>
      </c>
      <c r="BR995" s="8" t="n">
        <v>12</v>
      </c>
      <c r="BS995" s="8" t="n">
        <v>30</v>
      </c>
      <c r="BT995" s="8" t="n">
        <v>31</v>
      </c>
      <c r="BU995" s="8" t="n">
        <v>17</v>
      </c>
      <c r="BV995" s="11" t="n">
        <f>IF(COUNT(BC995,BF995)=2,BC995*BF995,"")</f>
        <v>0.5093116528633732</v>
      </c>
      <c r="BW995" s="11" t="n">
        <f>IF(ISNUMBER(BN995),BN995,"")</f>
        <v>1.1090677182221615</v>
      </c>
      <c r="BX995" s="14" t="n">
        <f>IF(ISNUMBER(BR995),BR995,"")</f>
        <v>12</v>
      </c>
      <c r="BY995" s="13" t="n">
        <f>IF(AND(COUNT(BV995,BW995,BX995)=3,MIN(BV995,BW995,BX995)&gt;=0),BV995*BW995*BX995,"")</f>
        <v>6.778333352461667</v>
      </c>
      <c r="BZ995" s="11" t="n">
        <f>IF(ISNUMBER(BO995),BO995,"")</f>
        <v>1.0372741535934282</v>
      </c>
      <c r="CA995" s="14" t="n">
        <f>IF(ISNUMBER(BS995),BS995,"")</f>
        <v>30</v>
      </c>
      <c r="CB995" s="13" t="n">
        <f>IF(AND(COUNT(BV995,BZ995,CA995)=3,MIN(BV995,BZ995,CA995)&gt;=0),BV995*BZ995*CA995,"")</f>
        <v>15.84887440917376</v>
      </c>
      <c r="CC995" s="11" t="n">
        <f>IF(ISNUMBER(BP995),BP995,"")</f>
        <v>0.979949351738161</v>
      </c>
      <c r="CD995" s="14" t="n">
        <f>IF(ISNUMBER(BT995),BT995,"")</f>
        <v>31</v>
      </c>
      <c r="CE995" s="13" t="n">
        <f>IF(AND(COUNT(BV995,CC995,CD995)=3,MIN(BV995,CC995,CD995)&gt;=0),BV995*CC995*CD995,"")</f>
        <v>15.47208834574077</v>
      </c>
      <c r="CF995" s="11" t="n">
        <f>IF(ISNUMBER(BQ995),BQ995,"")</f>
        <v>1.1571949690048173</v>
      </c>
      <c r="CG995" s="14" t="n">
        <f>IF(ISNUMBER(BU995),BU995,"")</f>
        <v>17</v>
      </c>
      <c r="CH995" s="13" t="n">
        <f>IF(AND(COUNT(BV995,CF995,CG995)=3,MIN(BV995,CF995,CG995)&gt;=0),BV995*CF995*CG995,"")</f>
        <v>10.019338999933398</v>
      </c>
      <c r="CI995" s="13" t="n">
        <f>IF(COUNT(BY995,CB995,CE995,CH995)=4,SUM(BY995,CB995,CE995,CH995),"")</f>
        <v>48.11863510730959</v>
      </c>
    </row>
    <row r="996" ht="72" customHeight="1">
      <c r="A996" s="16" t="str">
        <v>B06b-NU-39.5</v>
      </c>
      <c r="B996" s="16" t="str">
        <v>1店-MUSSHOE-US</v>
      </c>
      <c r="C996" s="16" t="str">
        <v>艾年</v>
      </c>
      <c r="D996" s="26" t="n">
        <f>IF(NOT(ISNUMBER(E996)),"",IF(OR(E996&lt;=0,L996=0),0,IF(OR(NOT(ISNUMBER(F996)),F996&lt;0),"",MIN(E996,INT(F996)))))</f>
        <v>0</v>
      </c>
      <c r="E996" s="27" t="n">
        <f>IF(OR(NOT(ISNUMBER(L996)),COUNT(M996:O996)&lt;&gt;3,MIN(M996:O996)&lt;0),"",ROUNDUP(ROUND(BI996-SUM(M996:O996),10),0))</f>
        <v>-15</v>
      </c>
      <c r="F996" s="28" t="n">
        <v>37</v>
      </c>
      <c r="G996" s="28" t="n">
        <f>IF(AND(ISNUMBER(D996),ISNUMBER(E996)),IF(OR(E996&lt;=0,L996=0),0,E996-D996),"")</f>
        <v>0</v>
      </c>
      <c r="H996" s="16" t="str">
        <f>IF(NOT(ISNUMBER(E996)),"销量或海外库存待补",IF(OR(E996&lt;=0,L996=0),IF(L996=0,"零日销，本批不发","本批无需补货"),IF(NOT(ISNUMBER(D996)),"国内库存待补",IF(D996=0,"国内无可用库存",IF(G996&gt;0,"先发国内现货","按建议量发货")))))</f>
        <v>本批无需补货</v>
      </c>
      <c r="I996" s="28" t="n">
        <f>IF(AND(COUNT(Z996,AA996,AB996)=3,Z996&gt;=AA996,AA996&gt;=0,AB996=7),Z996-AA996,"")</f>
        <v>0</v>
      </c>
      <c r="J996" s="28" t="n">
        <f>IF(AND(COUNT(AF996,AG996,AH996)=3,AF996&gt;=AG996,AG996&gt;=0,AH996=14),AF996-AG996,"")</f>
        <v>1</v>
      </c>
      <c r="K996" s="28" t="n">
        <f>IF(AND(COUNT(AL996,AM996,AN996)=3,AL996&gt;=AM996,AM996&gt;=0,AN996=30),AL996-AM996,"")</f>
        <v>1</v>
      </c>
      <c r="L996" s="29" t="n">
        <f>IF(ISNUMBER(BI996),BI996/90,"")</f>
        <v>0.06338470869428345</v>
      </c>
      <c r="M996" s="28" t="n">
        <v>0</v>
      </c>
      <c r="N996" s="28" t="n">
        <v>0</v>
      </c>
      <c r="O996" s="28" t="n">
        <v>20</v>
      </c>
      <c r="P996" s="30" t="n">
        <f>IF(AND(ISNUMBER(L996),L996&gt;0,COUNT(M996:O996)=3,MIN(M996:O996)&gt;=0),SUM(M996:O996)/L996,"")</f>
        <v>315.53351607978226</v>
      </c>
      <c r="Q996" s="16" t="str">
        <v>沿用原计划SKU店铺</v>
      </c>
      <c r="R996" s="16" t="str">
        <v>已匹配</v>
      </c>
      <c r="S996" s="16" t="str">
        <v>停售</v>
      </c>
      <c r="T996" s="16" t="str">
        <v>B06b</v>
      </c>
      <c r="U996" s="16" t="str">
        <v>裸色羊京绒</v>
      </c>
      <c r="V996" s="16" t="n">
        <v>8.5</v>
      </c>
      <c r="W996" s="8" t="str">
        <v>2026-10-10 至 2026-10-17</v>
      </c>
      <c r="X996" s="8" t="str">
        <v>2026-10-10、2026-10-11、2026-10-12、2026-10-13、2026-10-14、2026-10-15、2026-10-17</v>
      </c>
      <c r="Y996" s="8" t="str">
        <v>2026-10-16 有记录的停售日</v>
      </c>
      <c r="Z996" s="8" t="n">
        <v>0</v>
      </c>
      <c r="AA996" s="8" t="n">
        <v>0</v>
      </c>
      <c r="AB996" s="8" t="n">
        <v>7</v>
      </c>
      <c r="AC996" s="8" t="str">
        <v>2026-10-01 至 2026-10-17</v>
      </c>
      <c r="AD996" s="8" t="str">
        <v>2026-10-01、2026-10-02、2026-10-03、2026-10-04、2026-10-05、2026-10-08、2026-10-09、2026-10-10、2026-10-11、2026-10-12、2026-10-13、2026-10-14、2026-10-15、2026-10-17</v>
      </c>
      <c r="AE996" s="8" t="str">
        <v>2026-10-06 大促；2026-10-07 大促；2026-10-16 有记录的停售日</v>
      </c>
      <c r="AF996" s="8" t="n">
        <v>1</v>
      </c>
      <c r="AG996" s="8" t="n">
        <v>0</v>
      </c>
      <c r="AH996" s="8" t="n">
        <v>14</v>
      </c>
      <c r="AI996" s="8" t="str">
        <v>2026-09-15 至 2026-10-17</v>
      </c>
      <c r="AJ996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996" s="8" t="str">
        <v>2026-10-06 大促；2026-10-07 大促；2026-10-16 有记录的停售日</v>
      </c>
      <c r="AL996" s="8" t="n">
        <v>1</v>
      </c>
      <c r="AM996" s="8" t="n">
        <v>0</v>
      </c>
      <c r="AN996" s="8" t="n">
        <v>30</v>
      </c>
      <c r="AO996" s="8" t="str">
        <v>B06b / 裸色羊京绒 / 13120</v>
      </c>
      <c r="AP996" s="11" t="n">
        <v>1.1090677182221615</v>
      </c>
      <c r="AQ996" s="11" t="n">
        <v>1.1090677182221615</v>
      </c>
      <c r="AR996" s="11" t="n">
        <v>0.9399488951632641</v>
      </c>
      <c r="AS996" s="11" t="n">
        <f>IF(AND(COUNT(I996:K996,AP996:AR996)=6,MIN(AP996:AR996)&gt;0),I996/7/AP996*0.5+J996/14/AQ996*0.3+K996/30/AR996*0.2,"")</f>
        <v>0.026413831277745003</v>
      </c>
      <c r="AT996" s="8" t="n">
        <v>5</v>
      </c>
      <c r="AU996" s="8" t="n">
        <v>0</v>
      </c>
      <c r="AV996" s="8" t="n">
        <v>87</v>
      </c>
      <c r="AW996" s="11" t="n">
        <f>IF(AND(COUNT(AT996:AV996)=3,AT996&gt;=AU996,AU996&gt;=0,AV996&gt;0),(AT996-AU996)/AV996,"")</f>
        <v>0.05747126436781609</v>
      </c>
      <c r="AX996" s="8" t="n">
        <v>23</v>
      </c>
      <c r="AY996" s="8" t="n">
        <v>0</v>
      </c>
      <c r="AZ996" s="8" t="n">
        <v>177</v>
      </c>
      <c r="BA996" s="11" t="n">
        <f>IF(AND(COUNT(AX996:AZ996)=3,AX996&gt;=AY996,AY996&gt;=0,AZ996&gt;0),(AX996-AY996)/AZ996,"")</f>
        <v>0.12994350282485875</v>
      </c>
      <c r="BB996" s="8" t="n">
        <f>IF(COUNT(AS996,AW996,BA996)=3,1,0)</f>
        <v>1</v>
      </c>
      <c r="BC996" s="11" t="n">
        <f>IF(SUMIF($AO$11:$AO$1309,AO996,$BB$11:$BB$1309)=COUNTIF($AO$11:$AO$1309,AO996),SUMIF($AO$11:$AO$1309,AO996,$AS$11:$AS$1309),"")</f>
        <v>2.689755745741675</v>
      </c>
      <c r="BD996" s="11" t="n">
        <f>IF(SUMIF($AO$11:$AO$1309,AO996,$BB$11:$BB$1309)=COUNTIF($AO$11:$AO$1309,AO996),SUMIF($AO$11:$AO$1309,AO996,$AW$11:$AW$1309),"")</f>
        <v>3.684342922121827</v>
      </c>
      <c r="BE996" s="11" t="n">
        <f>IF(SUMIF($AO$11:$AO$1309,AO996,$BB$11:$BB$1309)=COUNTIF($AO$11:$AO$1309,AO996),SUMIF($AO$11:$AO$1309,AO996,$BA$11:$BA$1309),"")</f>
        <v>3.3812436633385023</v>
      </c>
      <c r="BF996" s="12" t="n">
        <f>IF(COUNT(BD996:BE996)&lt;&gt;2,"",IF(AND(BD996&gt;0,BE996&gt;0),0.7*AW996/BD996+0.3*BA996/BE996,IF(BD996&gt;0,AW996/BD996,IF(BE996&gt;0,BA996/BE996,IF(AND(ISNUMBER(BH996),BH996=0),0,"")))))</f>
        <v>0.022448352690836768</v>
      </c>
      <c r="BG996" s="11" t="n">
        <f>IF(AND(COUNT(BN996:BU996)=8,MIN(BN996:BU996)&gt;=0),SUMPRODUCT(BN996:BQ996,BR996:BU996),"")</f>
        <v>94.47778160343367</v>
      </c>
      <c r="BH996" s="11" t="n">
        <f>IF(COUNT(BC996,BG996)=2,BC996*BG996,"")</f>
        <v>254.12215591276282</v>
      </c>
      <c r="BI996" s="11" t="n">
        <f>IF(ISNUMBER(CI996),CI996,"")</f>
        <v>5.704623782485511</v>
      </c>
      <c r="BJ996" s="8" t="str"/>
      <c r="BK996" s="8" t="str">
        <v>90天：2026-07-20 至 2026-10-17；180天：2026-04-21 至 2026-10-17</v>
      </c>
      <c r="BL996" s="8" t="str">
        <v>90天：2026-10-06、2026-10-07、2026-10-16；180天：2026-10-06、2026-10-07、2026-10-16</v>
      </c>
      <c r="BM996" s="8" t="str">
        <v>2026-10：12天 × 1.1090677182221615；2026-11：30天 × 1.0372741535934282；2026-12：31天 × 0.979949351738161；2027-01：17天 × 1.1571949690048173</v>
      </c>
      <c r="BN996" s="11" t="n">
        <v>1.1090677182221615</v>
      </c>
      <c r="BO996" s="11" t="n">
        <v>1.0372741535934282</v>
      </c>
      <c r="BP996" s="11" t="n">
        <v>0.979949351738161</v>
      </c>
      <c r="BQ996" s="11" t="n">
        <v>1.1571949690048173</v>
      </c>
      <c r="BR996" s="8" t="n">
        <v>12</v>
      </c>
      <c r="BS996" s="8" t="n">
        <v>30</v>
      </c>
      <c r="BT996" s="8" t="n">
        <v>31</v>
      </c>
      <c r="BU996" s="8" t="n">
        <v>17</v>
      </c>
      <c r="BV996" s="11" t="n">
        <f>IF(COUNT(BC996,BF996)=2,BC996*BF996,"")</f>
        <v>0.06038058563261379</v>
      </c>
      <c r="BW996" s="11" t="n">
        <f>IF(ISNUMBER(BN996),BN996,"")</f>
        <v>1.1090677182221615</v>
      </c>
      <c r="BX996" s="14" t="n">
        <f>IF(ISNUMBER(BR996),BR996,"")</f>
        <v>12</v>
      </c>
      <c r="BY996" s="13" t="n">
        <f>IF(AND(COUNT(BV996,BW996,BX996)=3,MIN(BV996,BW996,BX996)&gt;=0),BV996*BW996*BX996,"")</f>
        <v>0.8035938999897696</v>
      </c>
      <c r="BZ996" s="11" t="n">
        <f>IF(ISNUMBER(BO996),BO996,"")</f>
        <v>1.0372741535934282</v>
      </c>
      <c r="CA996" s="14" t="n">
        <f>IF(ISNUMBER(BS996),BS996,"")</f>
        <v>30</v>
      </c>
      <c r="CB996" s="13" t="n">
        <f>IF(AND(COUNT(BV996,BZ996,CA996)=3,MIN(BV996,BZ996,CA996)&gt;=0),BV996*BZ996*CA996,"")</f>
        <v>1.8789366256663496</v>
      </c>
      <c r="CC996" s="11" t="n">
        <f>IF(ISNUMBER(BP996),BP996,"")</f>
        <v>0.979949351738161</v>
      </c>
      <c r="CD996" s="14" t="n">
        <f>IF(ISNUMBER(BT996),BT996,"")</f>
        <v>31</v>
      </c>
      <c r="CE996" s="13" t="n">
        <f>IF(AND(COUNT(BV996,CC996,CD996)=3,MIN(BV996,CC996,CD996)&gt;=0),BV996*CC996*CD996,"")</f>
        <v>1.8342673881957625</v>
      </c>
      <c r="CF996" s="11" t="n">
        <f>IF(ISNUMBER(BQ996),BQ996,"")</f>
        <v>1.1571949690048173</v>
      </c>
      <c r="CG996" s="14" t="n">
        <f>IF(ISNUMBER(BU996),BU996,"")</f>
        <v>17</v>
      </c>
      <c r="CH996" s="13" t="n">
        <f>IF(AND(COUNT(BV996,CF996,CG996)=3,MIN(BV996,CF996,CG996)&gt;=0),BV996*CF996*CG996,"")</f>
        <v>1.1878258686336287</v>
      </c>
      <c r="CI996" s="13" t="n">
        <f>IF(COUNT(BY996,CB996,CE996,CH996)=4,SUM(BY996,CB996,CE996,CH996),"")</f>
        <v>5.704623782485511</v>
      </c>
    </row>
    <row r="997" ht="72" customHeight="1">
      <c r="A997" s="16" t="str">
        <v>B06b-NU-40.5</v>
      </c>
      <c r="B997" s="16" t="str">
        <v>1店-MUSSHOE-US</v>
      </c>
      <c r="C997" s="16" t="str">
        <v>艾年</v>
      </c>
      <c r="D997" s="26" t="n">
        <f>IF(NOT(ISNUMBER(E997)),"",IF(OR(E997&lt;=0,L997=0),0,IF(OR(NOT(ISNUMBER(F997)),F997&lt;0),"",MIN(E997,INT(F997)))))</f>
        <v>0</v>
      </c>
      <c r="E997" s="27" t="n">
        <f>IF(OR(NOT(ISNUMBER(L997)),COUNT(M997:O997)&lt;&gt;3,MIN(M997:O997)&lt;0),"",ROUNDUP(ROUND(BI997-SUM(M997:O997),10),0))</f>
        <v>-24</v>
      </c>
      <c r="F997" s="28" t="n">
        <v>11</v>
      </c>
      <c r="G997" s="28" t="n">
        <f>IF(AND(ISNUMBER(D997),ISNUMBER(E997)),IF(OR(E997&lt;=0,L997=0),0,E997-D997),"")</f>
        <v>0</v>
      </c>
      <c r="H997" s="16" t="str">
        <f>IF(NOT(ISNUMBER(E997)),"销量或海外库存待补",IF(OR(E997&lt;=0,L997=0),IF(L997=0,"零日销，本批不发","本批无需补货"),IF(NOT(ISNUMBER(D997)),"国内库存待补",IF(D997=0,"国内无可用库存",IF(G997&gt;0,"先发国内现货","按建议量发货")))))</f>
        <v>本批无需补货</v>
      </c>
      <c r="I997" s="28" t="n">
        <f>IF(AND(COUNT(Z997,AA997,AB997)=3,Z997&gt;=AA997,AA997&gt;=0,AB997=7),Z997-AA997,"")</f>
        <v>3</v>
      </c>
      <c r="J997" s="28" t="n">
        <f>IF(AND(COUNT(AF997,AG997,AH997)=3,AF997&gt;=AG997,AG997&gt;=0,AH997=14),AF997-AG997,"")</f>
        <v>5</v>
      </c>
      <c r="K997" s="28" t="n">
        <f>IF(AND(COUNT(AL997,AM997,AN997)=3,AL997&gt;=AM997,AM997&gt;=0,AN997=30),AL997-AM997,"")</f>
        <v>12</v>
      </c>
      <c r="L997" s="29" t="n">
        <f>IF(ISNUMBER(BI997),BI997/90,"")</f>
        <v>0.325009943899719</v>
      </c>
      <c r="M997" s="28" t="n">
        <v>19</v>
      </c>
      <c r="N997" s="28" t="n">
        <v>6</v>
      </c>
      <c r="O997" s="28" t="n">
        <v>28</v>
      </c>
      <c r="P997" s="30" t="n">
        <f>IF(AND(ISNUMBER(L997),L997&gt;0,COUNT(M997:O997)=3,MIN(M997:O997)&gt;=0),SUM(M997:O997)/L997,"")</f>
        <v>163.07193362783084</v>
      </c>
      <c r="Q997" s="16" t="str">
        <v>沿用原计划SKU店铺</v>
      </c>
      <c r="R997" s="16" t="str">
        <v>已匹配</v>
      </c>
      <c r="S997" s="16" t="str">
        <v>在售</v>
      </c>
      <c r="T997" s="16" t="str">
        <v>B06b</v>
      </c>
      <c r="U997" s="16" t="str">
        <v>裸色羊京绒</v>
      </c>
      <c r="V997" s="16" t="n">
        <v>9.5</v>
      </c>
      <c r="W997" s="8" t="str">
        <v>2026-10-11 至 2026-10-17</v>
      </c>
      <c r="X997" s="8" t="str">
        <v>2026-10-11、2026-10-12、2026-10-13、2026-10-14、2026-10-15、2026-10-16、2026-10-17</v>
      </c>
      <c r="Y997" s="8" t="str">
        <v>无</v>
      </c>
      <c r="Z997" s="8" t="n">
        <v>3</v>
      </c>
      <c r="AA997" s="8" t="n">
        <v>0</v>
      </c>
      <c r="AB997" s="8" t="n">
        <v>7</v>
      </c>
      <c r="AC997" s="8" t="str">
        <v>2026-10-02 至 2026-10-17</v>
      </c>
      <c r="AD997" s="8" t="str">
        <v>2026-10-02、2026-10-03、2026-10-04、2026-10-05、2026-10-08、2026-10-09、2026-10-10、2026-10-11、2026-10-12、2026-10-13、2026-10-14、2026-10-15、2026-10-16、2026-10-17</v>
      </c>
      <c r="AE997" s="8" t="str">
        <v>2026-10-06 大促；2026-10-07 大促</v>
      </c>
      <c r="AF997" s="8" t="n">
        <v>7</v>
      </c>
      <c r="AG997" s="8" t="n">
        <v>2</v>
      </c>
      <c r="AH997" s="8" t="n">
        <v>14</v>
      </c>
      <c r="AI997" s="8" t="str">
        <v>2026-09-16 至 2026-10-17</v>
      </c>
      <c r="AJ9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7" s="8" t="str">
        <v>2026-10-06 大促；2026-10-07 大促</v>
      </c>
      <c r="AL997" s="8" t="n">
        <v>14</v>
      </c>
      <c r="AM997" s="8" t="n">
        <v>2</v>
      </c>
      <c r="AN997" s="8" t="n">
        <v>30</v>
      </c>
      <c r="AO997" s="8" t="str">
        <v>B06b / 裸色羊京绒 / 13120</v>
      </c>
      <c r="AP997" s="11" t="n">
        <v>1.1090677182221615</v>
      </c>
      <c r="AQ997" s="11" t="n">
        <v>1.1090677182221615</v>
      </c>
      <c r="AR997" s="11" t="n">
        <v>0.9505188216044452</v>
      </c>
      <c r="AS997" s="11" t="n">
        <f>IF(AND(COUNT(I997:K997,AP997:AR997)=6,MIN(AP997:AR997)&gt;0),I997/7/AP997*0.5+J997/14/AQ997*0.3+K997/30/AR997*0.2,"")</f>
        <v>0.3739832681127694</v>
      </c>
      <c r="AT997" s="8" t="n">
        <v>41</v>
      </c>
      <c r="AU997" s="8" t="n">
        <v>2</v>
      </c>
      <c r="AV997" s="8" t="n">
        <v>88</v>
      </c>
      <c r="AW997" s="11" t="n">
        <f>IF(AND(COUNT(AT997:AV997)=3,AT997&gt;=AU997,AU997&gt;=0,AV997&gt;0),(AT997-AU997)/AV997,"")</f>
        <v>0.4431818181818182</v>
      </c>
      <c r="AX997" s="8" t="n">
        <v>64</v>
      </c>
      <c r="AY997" s="8" t="n">
        <v>2</v>
      </c>
      <c r="AZ997" s="8" t="n">
        <v>178</v>
      </c>
      <c r="BA997" s="11" t="n">
        <f>IF(AND(COUNT(AX997:AZ997)=3,AX997&gt;=AY997,AY997&gt;=0,AZ997&gt;0),(AX997-AY997)/AZ997,"")</f>
        <v>0.34831460674157305</v>
      </c>
      <c r="BB997" s="8" t="n">
        <f>IF(COUNT(AS997,AW997,BA997)=3,1,0)</f>
        <v>1</v>
      </c>
      <c r="BC997" s="11" t="n">
        <f>IF(SUMIF($AO$11:$AO$1309,AO997,$BB$11:$BB$1309)=COUNTIF($AO$11:$AO$1309,AO997),SUMIF($AO$11:$AO$1309,AO997,$AS$11:$AS$1309),"")</f>
        <v>2.689755745741675</v>
      </c>
      <c r="BD997" s="11" t="n">
        <f>IF(SUMIF($AO$11:$AO$1309,AO997,$BB$11:$BB$1309)=COUNTIF($AO$11:$AO$1309,AO997),SUMIF($AO$11:$AO$1309,AO997,$AW$11:$AW$1309),"")</f>
        <v>3.684342922121827</v>
      </c>
      <c r="BE997" s="11" t="n">
        <f>IF(SUMIF($AO$11:$AO$1309,AO997,$BB$11:$BB$1309)=COUNTIF($AO$11:$AO$1309,AO997),SUMIF($AO$11:$AO$1309,AO997,$BA$11:$BA$1309),"")</f>
        <v>3.3812436633385023</v>
      </c>
      <c r="BF997" s="12" t="n">
        <f>IF(COUNT(BD997:BE997)&lt;&gt;2,"",IF(AND(BD997&gt;0,BE997&gt;0),0.7*AW997/BD997+0.3*BA997/BE997,IF(BD997&gt;0,AW997/BD997,IF(BE997&gt;0,BA997/BE997,IF(AND(ISNUMBER(BH997),BH997=0),0,"")))))</f>
        <v>0.11510564612483531</v>
      </c>
      <c r="BG997" s="11" t="n">
        <f>IF(AND(COUNT(BN997:BU997)=8,MIN(BN997:BU997)&gt;=0),SUMPRODUCT(BN997:BQ997,BR997:BU997),"")</f>
        <v>94.47778160343367</v>
      </c>
      <c r="BH997" s="11" t="n">
        <f>IF(COUNT(BC997,BG997)=2,BC997*BG997,"")</f>
        <v>254.12215591276282</v>
      </c>
      <c r="BI997" s="11" t="n">
        <f>IF(ISNUMBER(CI997),CI997,"")</f>
        <v>29.25089495097471</v>
      </c>
      <c r="BJ997" s="8" t="str"/>
      <c r="BK997" s="8" t="str">
        <v>90天：2026-07-20 至 2026-10-17；180天：2026-04-21 至 2026-10-17</v>
      </c>
      <c r="BL997" s="8" t="str">
        <v>90天：2026-10-06、2026-10-07；180天：2026-10-06、2026-10-07</v>
      </c>
      <c r="BM997" s="8" t="str">
        <v>2026-10：12天 × 1.1090677182221615；2026-11：30天 × 1.0372741535934282；2026-12：31天 × 0.979949351738161；2027-01：17天 × 1.1571949690048173</v>
      </c>
      <c r="BN997" s="11" t="n">
        <v>1.1090677182221615</v>
      </c>
      <c r="BO997" s="11" t="n">
        <v>1.0372741535934282</v>
      </c>
      <c r="BP997" s="11" t="n">
        <v>0.979949351738161</v>
      </c>
      <c r="BQ997" s="11" t="n">
        <v>1.1571949690048173</v>
      </c>
      <c r="BR997" s="8" t="n">
        <v>12</v>
      </c>
      <c r="BS997" s="8" t="n">
        <v>30</v>
      </c>
      <c r="BT997" s="8" t="n">
        <v>31</v>
      </c>
      <c r="BU997" s="8" t="n">
        <v>17</v>
      </c>
      <c r="BV997" s="11" t="n">
        <f>IF(COUNT(BC997,BF997)=2,BC997*BF997,"")</f>
        <v>0.3096060730315838</v>
      </c>
      <c r="BW997" s="11" t="n">
        <f>IF(ISNUMBER(BN997),BN997,"")</f>
        <v>1.1090677182221615</v>
      </c>
      <c r="BX997" s="14" t="n">
        <f>IF(ISNUMBER(BR997),BR997,"")</f>
        <v>12</v>
      </c>
      <c r="BY997" s="13" t="n">
        <f>IF(AND(COUNT(BV997,BW997,BX997)=3,MIN(BV997,BW997,BX997)&gt;=0),BV997*BW997*BX997,"")</f>
        <v>4.1204892115783505</v>
      </c>
      <c r="BZ997" s="11" t="n">
        <f>IF(ISNUMBER(BO997),BO997,"")</f>
        <v>1.0372741535934282</v>
      </c>
      <c r="CA997" s="14" t="n">
        <f>IF(ISNUMBER(BS997),BS997,"")</f>
        <v>30</v>
      </c>
      <c r="CB997" s="13" t="n">
        <f>IF(AND(COUNT(BV997,BZ997,CA997)=3,MIN(BV997,BZ997,CA997)&gt;=0),BV997*BZ997*CA997,"")</f>
        <v>9.634391320536636</v>
      </c>
      <c r="CC997" s="11" t="n">
        <f>IF(ISNUMBER(BP997),BP997,"")</f>
        <v>0.979949351738161</v>
      </c>
      <c r="CD997" s="14" t="n">
        <f>IF(ISNUMBER(BT997),BT997,"")</f>
        <v>31</v>
      </c>
      <c r="CE997" s="13" t="n">
        <f>IF(AND(COUNT(BV997,CC997,CD997)=3,MIN(BV997,CC997,CD997)&gt;=0),BV997*CC997*CD997,"")</f>
        <v>9.405346387406446</v>
      </c>
      <c r="CF997" s="11" t="n">
        <f>IF(ISNUMBER(BQ997),BQ997,"")</f>
        <v>1.1571949690048173</v>
      </c>
      <c r="CG997" s="14" t="n">
        <f>IF(ISNUMBER(BU997),BU997,"")</f>
        <v>17</v>
      </c>
      <c r="CH997" s="13" t="n">
        <f>IF(AND(COUNT(BV997,CF997,CG997)=3,MIN(BV997,CF997,CG997)&gt;=0),BV997*CF997*CG997,"")</f>
        <v>6.0906680314532755</v>
      </c>
      <c r="CI997" s="13" t="n">
        <f>IF(COUNT(BY997,CB997,CE997,CH997)=4,SUM(BY997,CB997,CE997,CH997),"")</f>
        <v>29.25089495097471</v>
      </c>
    </row>
    <row r="998" ht="72" customHeight="1">
      <c r="A998" s="16" t="str">
        <v>B06b-NU-41</v>
      </c>
      <c r="B998" s="16" t="str">
        <v>1店-MUSSHOE-US</v>
      </c>
      <c r="C998" s="16" t="str">
        <v>艾年</v>
      </c>
      <c r="D998" s="26" t="n">
        <f>IF(NOT(ISNUMBER(E998)),"",IF(OR(E998&lt;=0,L998=0),0,IF(OR(NOT(ISNUMBER(F998)),F998&lt;0),"",MIN(E998,INT(F998)))))</f>
        <v>0</v>
      </c>
      <c r="E998" s="27" t="n">
        <f>IF(OR(NOT(ISNUMBER(L998)),COUNT(M998:O998)&lt;&gt;3,MIN(M998:O998)&lt;0),"",ROUNDUP(ROUND(BI998-SUM(M998:O998),10),0))</f>
        <v>-17</v>
      </c>
      <c r="F998" s="28" t="n">
        <v>11</v>
      </c>
      <c r="G998" s="28" t="n">
        <f>IF(AND(ISNUMBER(D998),ISNUMBER(E998)),IF(OR(E998&lt;=0,L998=0),0,E998-D998),"")</f>
        <v>0</v>
      </c>
      <c r="H998" s="16" t="str">
        <f>IF(NOT(ISNUMBER(E998)),"销量或海外库存待补",IF(OR(E998&lt;=0,L998=0),IF(L998=0,"零日销，本批不发","本批无需补货"),IF(NOT(ISNUMBER(D998)),"国内库存待补",IF(D998=0,"国内无可用库存",IF(G998&gt;0,"先发国内现货","按建议量发货")))))</f>
        <v>本批无需补货</v>
      </c>
      <c r="I998" s="28" t="n">
        <f>IF(AND(COUNT(Z998,AA998,AB998)=3,Z998&gt;=AA998,AA998&gt;=0,AB998=7),Z998-AA998,"")</f>
        <v>0</v>
      </c>
      <c r="J998" s="28" t="n">
        <f>IF(AND(COUNT(AF998,AG998,AH998)=3,AF998&gt;=AG998,AG998&gt;=0,AH998=14),AF998-AG998,"")</f>
        <v>3</v>
      </c>
      <c r="K998" s="28" t="n">
        <f>IF(AND(COUNT(AL998,AM998,AN998)=3,AL998&gt;=AM998,AM998&gt;=0,AN998=30),AL998-AM998,"")</f>
        <v>9</v>
      </c>
      <c r="L998" s="29" t="n">
        <f>IF(ISNUMBER(BI998),BI998/90,"")</f>
        <v>0.29358824316011284</v>
      </c>
      <c r="M998" s="28" t="n">
        <v>3</v>
      </c>
      <c r="N998" s="28" t="n">
        <v>0</v>
      </c>
      <c r="O998" s="28" t="n">
        <v>40</v>
      </c>
      <c r="P998" s="30" t="n">
        <f>IF(AND(ISNUMBER(L998),L998&gt;0,COUNT(M998:O998)=3,MIN(M998:O998)&gt;=0),SUM(M998:O998)/L998,"")</f>
        <v>146.46363061803294</v>
      </c>
      <c r="Q998" s="16" t="str">
        <v>沿用原计划SKU店铺</v>
      </c>
      <c r="R998" s="16" t="str">
        <v>已匹配</v>
      </c>
      <c r="S998" s="16" t="str">
        <v>在售</v>
      </c>
      <c r="T998" s="16" t="str">
        <v>B06b</v>
      </c>
      <c r="U998" s="16" t="str">
        <v>裸色羊京绒</v>
      </c>
      <c r="V998" s="16" t="n">
        <v>10</v>
      </c>
      <c r="W998" s="8" t="str">
        <v>2026-10-11 至 2026-10-17</v>
      </c>
      <c r="X998" s="8" t="str">
        <v>2026-10-11、2026-10-12、2026-10-13、2026-10-14、2026-10-15、2026-10-16、2026-10-17</v>
      </c>
      <c r="Y998" s="8" t="str">
        <v>无</v>
      </c>
      <c r="Z998" s="8" t="n">
        <v>0</v>
      </c>
      <c r="AA998" s="8" t="n">
        <v>0</v>
      </c>
      <c r="AB998" s="8" t="n">
        <v>7</v>
      </c>
      <c r="AC998" s="8" t="str">
        <v>2026-10-02 至 2026-10-17</v>
      </c>
      <c r="AD998" s="8" t="str">
        <v>2026-10-02、2026-10-03、2026-10-04、2026-10-05、2026-10-08、2026-10-09、2026-10-10、2026-10-11、2026-10-12、2026-10-13、2026-10-14、2026-10-15、2026-10-16、2026-10-17</v>
      </c>
      <c r="AE998" s="8" t="str">
        <v>2026-10-06 大促；2026-10-07 大促</v>
      </c>
      <c r="AF998" s="8" t="n">
        <v>5</v>
      </c>
      <c r="AG998" s="8" t="n">
        <v>2</v>
      </c>
      <c r="AH998" s="8" t="n">
        <v>14</v>
      </c>
      <c r="AI998" s="8" t="str">
        <v>2026-09-16 至 2026-10-17</v>
      </c>
      <c r="AJ9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8" s="8" t="str">
        <v>2026-10-06 大促；2026-10-07 大促</v>
      </c>
      <c r="AL998" s="8" t="n">
        <v>11</v>
      </c>
      <c r="AM998" s="8" t="n">
        <v>2</v>
      </c>
      <c r="AN998" s="8" t="n">
        <v>30</v>
      </c>
      <c r="AO998" s="8" t="str">
        <v>B06b / 裸色羊京绒 / 13120</v>
      </c>
      <c r="AP998" s="11" t="n">
        <v>1.1090677182221615</v>
      </c>
      <c r="AQ998" s="11" t="n">
        <v>1.1090677182221615</v>
      </c>
      <c r="AR998" s="11" t="n">
        <v>0.9505188216044452</v>
      </c>
      <c r="AS998" s="11" t="n">
        <f>IF(AND(COUNT(I998:K998,AP998:AR998)=6,MIN(AP998:AR998)&gt;0),I998/7/AP998*0.5+J998/14/AQ998*0.3+K998/30/AR998*0.2,"")</f>
        <v>0.12108716255296033</v>
      </c>
      <c r="AT998" s="8" t="n">
        <v>37</v>
      </c>
      <c r="AU998" s="8" t="n">
        <v>2</v>
      </c>
      <c r="AV998" s="8" t="n">
        <v>88</v>
      </c>
      <c r="AW998" s="11" t="n">
        <f>IF(AND(COUNT(AT998:AV998)=3,AT998&gt;=AU998,AU998&gt;=0,AV998&gt;0),(AT998-AU998)/AV998,"")</f>
        <v>0.3977272727272727</v>
      </c>
      <c r="AX998" s="8" t="n">
        <v>59</v>
      </c>
      <c r="AY998" s="8" t="n">
        <v>2</v>
      </c>
      <c r="AZ998" s="8" t="n">
        <v>178</v>
      </c>
      <c r="BA998" s="11" t="n">
        <f>IF(AND(COUNT(AX998:AZ998)=3,AX998&gt;=AY998,AY998&gt;=0,AZ998&gt;0),(AX998-AY998)/AZ998,"")</f>
        <v>0.3202247191011236</v>
      </c>
      <c r="BB998" s="8" t="n">
        <f>IF(COUNT(AS998,AW998,BA998)=3,1,0)</f>
        <v>1</v>
      </c>
      <c r="BC998" s="11" t="n">
        <f>IF(SUMIF($AO$11:$AO$1309,AO998,$BB$11:$BB$1309)=COUNTIF($AO$11:$AO$1309,AO998),SUMIF($AO$11:$AO$1309,AO998,$AS$11:$AS$1309),"")</f>
        <v>2.689755745741675</v>
      </c>
      <c r="BD998" s="11" t="n">
        <f>IF(SUMIF($AO$11:$AO$1309,AO998,$BB$11:$BB$1309)=COUNTIF($AO$11:$AO$1309,AO998),SUMIF($AO$11:$AO$1309,AO998,$AW$11:$AW$1309),"")</f>
        <v>3.684342922121827</v>
      </c>
      <c r="BE998" s="11" t="n">
        <f>IF(SUMIF($AO$11:$AO$1309,AO998,$BB$11:$BB$1309)=COUNTIF($AO$11:$AO$1309,AO998),SUMIF($AO$11:$AO$1309,AO998,$BA$11:$BA$1309),"")</f>
        <v>3.3812436633385023</v>
      </c>
      <c r="BF998" s="12" t="n">
        <f>IF(COUNT(BD998:BE998)&lt;&gt;2,"",IF(AND(BD998&gt;0,BE998&gt;0),0.7*AW998/BD998+0.3*BA998/BE998,IF(BD998&gt;0,AW998/BD998,IF(BE998&gt;0,BA998/BE998,IF(AND(ISNUMBER(BH998),BH998=0),0,"")))))</f>
        <v>0.10397732456465089</v>
      </c>
      <c r="BG998" s="11" t="n">
        <f>IF(AND(COUNT(BN998:BU998)=8,MIN(BN998:BU998)&gt;=0),SUMPRODUCT(BN998:BQ998,BR998:BU998),"")</f>
        <v>94.47778160343367</v>
      </c>
      <c r="BH998" s="11" t="n">
        <f>IF(COUNT(BC998,BG998)=2,BC998*BG998,"")</f>
        <v>254.12215591276282</v>
      </c>
      <c r="BI998" s="11" t="n">
        <f>IF(ISNUMBER(CI998),CI998,"")</f>
        <v>26.422941884410157</v>
      </c>
      <c r="BJ998" s="8" t="str"/>
      <c r="BK998" s="8" t="str">
        <v>90天：2026-07-20 至 2026-10-17；180天：2026-04-21 至 2026-10-17</v>
      </c>
      <c r="BL998" s="8" t="str">
        <v>90天：2026-10-06、2026-10-07；180天：2026-10-06、2026-10-07</v>
      </c>
      <c r="BM998" s="8" t="str">
        <v>2026-10：12天 × 1.1090677182221615；2026-11：30天 × 1.0372741535934282；2026-12：31天 × 0.979949351738161；2027-01：17天 × 1.1571949690048173</v>
      </c>
      <c r="BN998" s="11" t="n">
        <v>1.1090677182221615</v>
      </c>
      <c r="BO998" s="11" t="n">
        <v>1.0372741535934282</v>
      </c>
      <c r="BP998" s="11" t="n">
        <v>0.979949351738161</v>
      </c>
      <c r="BQ998" s="11" t="n">
        <v>1.1571949690048173</v>
      </c>
      <c r="BR998" s="8" t="n">
        <v>12</v>
      </c>
      <c r="BS998" s="8" t="n">
        <v>30</v>
      </c>
      <c r="BT998" s="8" t="n">
        <v>31</v>
      </c>
      <c r="BU998" s="8" t="n">
        <v>17</v>
      </c>
      <c r="BV998" s="11" t="n">
        <f>IF(COUNT(BC998,BF998)=2,BC998*BF998,"")</f>
        <v>0.27967360617461673</v>
      </c>
      <c r="BW998" s="11" t="n">
        <f>IF(ISNUMBER(BN998),BN998,"")</f>
        <v>1.1090677182221615</v>
      </c>
      <c r="BX998" s="14" t="n">
        <f>IF(ISNUMBER(BR998),BR998,"")</f>
        <v>12</v>
      </c>
      <c r="BY998" s="13" t="n">
        <f>IF(AND(COUNT(BV998,BW998,BX998)=3,MIN(BV998,BW998,BX998)&gt;=0),BV998*BW998*BX998,"")</f>
        <v>3.722123618964547</v>
      </c>
      <c r="BZ998" s="11" t="n">
        <f>IF(ISNUMBER(BO998),BO998,"")</f>
        <v>1.0372741535934282</v>
      </c>
      <c r="CA998" s="14" t="n">
        <f>IF(ISNUMBER(BS998),BS998,"")</f>
        <v>30</v>
      </c>
      <c r="CB998" s="13" t="n">
        <f>IF(AND(COUNT(BV998,BZ998,CA998)=3,MIN(BV998,BZ998,CA998)&gt;=0),BV998*BZ998*CA998,"")</f>
        <v>8.702946093815921</v>
      </c>
      <c r="CC998" s="11" t="n">
        <f>IF(ISNUMBER(BP998),BP998,"")</f>
        <v>0.979949351738161</v>
      </c>
      <c r="CD998" s="14" t="n">
        <f>IF(ISNUMBER(BT998),BT998,"")</f>
        <v>31</v>
      </c>
      <c r="CE998" s="13" t="n">
        <f>IF(AND(COUNT(BV998,CC998,CD998)=3,MIN(BV998,CC998,CD998)&gt;=0),BV998*CC998*CD998,"")</f>
        <v>8.496045041141771</v>
      </c>
      <c r="CF998" s="11" t="n">
        <f>IF(ISNUMBER(BQ998),BQ998,"")</f>
        <v>1.1571949690048173</v>
      </c>
      <c r="CG998" s="14" t="n">
        <f>IF(ISNUMBER(BU998),BU998,"")</f>
        <v>17</v>
      </c>
      <c r="CH998" s="13" t="n">
        <f>IF(AND(COUNT(BV998,CF998,CG998)=3,MIN(BV998,CF998,CG998)&gt;=0),BV998*CF998*CG998,"")</f>
        <v>5.501827130487919</v>
      </c>
      <c r="CI998" s="13" t="n">
        <f>IF(COUNT(BY998,CB998,CE998,CH998)=4,SUM(BY998,CB998,CE998,CH998),"")</f>
        <v>26.422941884410157</v>
      </c>
    </row>
    <row r="999" ht="72" customHeight="1">
      <c r="A999" s="16" t="str">
        <v>B06b-NY-38.5</v>
      </c>
      <c r="B999" s="16" t="str">
        <v>1店-MUSSHOE-US</v>
      </c>
      <c r="C999" s="16" t="str">
        <v>艾年</v>
      </c>
      <c r="D999" s="26" t="n">
        <f>IF(NOT(ISNUMBER(E999)),"",IF(OR(E999&lt;=0,L999=0),0,IF(OR(NOT(ISNUMBER(F999)),F999&lt;0),"",MIN(E999,INT(F999)))))</f>
        <v>0</v>
      </c>
      <c r="E999" s="27" t="n">
        <f>IF(OR(NOT(ISNUMBER(L999)),COUNT(M999:O999)&lt;&gt;3,MIN(M999:O999)&lt;0),"",ROUNDUP(ROUND(BI999-SUM(M999:O999),10),0))</f>
        <v>-10</v>
      </c>
      <c r="F999" s="28" t="n">
        <v>0</v>
      </c>
      <c r="G999" s="28" t="n">
        <f>IF(AND(ISNUMBER(D999),ISNUMBER(E999)),IF(OR(E999&lt;=0,L999=0),0,E999-D999),"")</f>
        <v>0</v>
      </c>
      <c r="H999" s="16" t="str">
        <f>IF(NOT(ISNUMBER(E999)),"销量或海外库存待补",IF(OR(E999&lt;=0,L999=0),IF(L999=0,"零日销，本批不发","本批无需补货"),IF(NOT(ISNUMBER(D999)),"国内库存待补",IF(D999=0,"国内无可用库存",IF(G999&gt;0,"先发国内现货","按建议量发货")))))</f>
        <v>本批无需补货</v>
      </c>
      <c r="I999" s="28" t="n">
        <f>IF(AND(COUNT(Z999,AA999,AB999)=3,Z999&gt;=AA999,AA999&gt;=0,AB999=7),Z999-AA999,"")</f>
        <v>1</v>
      </c>
      <c r="J999" s="28" t="n">
        <f>IF(AND(COUNT(AF999,AG999,AH999)=3,AF999&gt;=AG999,AG999&gt;=0,AH999=14),AF999-AG999,"")</f>
        <v>1</v>
      </c>
      <c r="K999" s="28" t="n">
        <f>IF(AND(COUNT(AL999,AM999,AN999)=3,AL999&gt;=AM999,AM999&gt;=0,AN999=30),AL999-AM999,"")</f>
        <v>1</v>
      </c>
      <c r="L999" s="29" t="n">
        <f>IF(ISNUMBER(BI999),BI999/90,"")</f>
        <v>0.09207578808625375</v>
      </c>
      <c r="M999" s="28" t="n">
        <v>0</v>
      </c>
      <c r="N999" s="28" t="n">
        <v>0</v>
      </c>
      <c r="O999" s="28" t="n">
        <v>18</v>
      </c>
      <c r="P999" s="30" t="n">
        <f>IF(AND(ISNUMBER(L999),L999&gt;0,COUNT(M999:O999)=3,MIN(M999:O999)&gt;=0),SUM(M999:O999)/L999,"")</f>
        <v>195.49113153544945</v>
      </c>
      <c r="Q999" s="16" t="str">
        <v>沿用原计划SKU店铺</v>
      </c>
      <c r="R999" s="16" t="str">
        <v>已匹配</v>
      </c>
      <c r="S999" s="16" t="str">
        <v>停售</v>
      </c>
      <c r="T999" s="16" t="str">
        <v>B06b</v>
      </c>
      <c r="U999" s="16" t="str">
        <v>藏青色羊京绒</v>
      </c>
      <c r="V999" s="16" t="n">
        <v>7.5</v>
      </c>
      <c r="W999" s="8" t="str">
        <v>2026-10-11 至 2026-10-17</v>
      </c>
      <c r="X999" s="8" t="str">
        <v>2026-10-11、2026-10-12、2026-10-13、2026-10-14、2026-10-15、2026-10-16、2026-10-17</v>
      </c>
      <c r="Y999" s="8" t="str">
        <v>无</v>
      </c>
      <c r="Z999" s="8" t="n">
        <v>1</v>
      </c>
      <c r="AA999" s="8" t="n">
        <v>0</v>
      </c>
      <c r="AB999" s="8" t="n">
        <v>7</v>
      </c>
      <c r="AC999" s="8" t="str">
        <v>2026-10-02 至 2026-10-17</v>
      </c>
      <c r="AD999" s="8" t="str">
        <v>2026-10-02、2026-10-03、2026-10-04、2026-10-05、2026-10-08、2026-10-09、2026-10-10、2026-10-11、2026-10-12、2026-10-13、2026-10-14、2026-10-15、2026-10-16、2026-10-17</v>
      </c>
      <c r="AE999" s="8" t="str">
        <v>2026-10-06 大促；2026-10-07 大促</v>
      </c>
      <c r="AF999" s="8" t="n">
        <v>1</v>
      </c>
      <c r="AG999" s="8" t="n">
        <v>0</v>
      </c>
      <c r="AH999" s="8" t="n">
        <v>14</v>
      </c>
      <c r="AI999" s="8" t="str">
        <v>2026-09-16 至 2026-10-17</v>
      </c>
      <c r="AJ9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999" s="8" t="str">
        <v>2026-10-06 大促；2026-10-07 大促</v>
      </c>
      <c r="AL999" s="8" t="n">
        <v>1</v>
      </c>
      <c r="AM999" s="8" t="n">
        <v>0</v>
      </c>
      <c r="AN999" s="8" t="n">
        <v>30</v>
      </c>
      <c r="AO999" s="8" t="str">
        <v>B06b / 藏青色羊京绒 / 13120</v>
      </c>
      <c r="AP999" s="11" t="n">
        <v>1.1090677182221615</v>
      </c>
      <c r="AQ999" s="11" t="n">
        <v>1.1090677182221615</v>
      </c>
      <c r="AR999" s="11" t="n">
        <v>0.9505188216044452</v>
      </c>
      <c r="AS999" s="11" t="n">
        <f>IF(AND(COUNT(I999:K999,AP999:AR999)=6,MIN(AP999:AR999)&gt;0),I999/7/AP999*0.5+J999/14/AQ999*0.3+K999/30/AR999*0.2,"")</f>
        <v>0.09073911755151678</v>
      </c>
      <c r="AT999" s="8" t="n">
        <v>9</v>
      </c>
      <c r="AU999" s="8" t="n">
        <v>0</v>
      </c>
      <c r="AV999" s="8" t="n">
        <v>88</v>
      </c>
      <c r="AW999" s="11" t="n">
        <f>IF(AND(COUNT(AT999:AV999)=3,AT999&gt;=AU999,AU999&gt;=0,AV999&gt;0),(AT999-AU999)/AV999,"")</f>
        <v>0.10227272727272728</v>
      </c>
      <c r="AX999" s="8" t="n">
        <v>19</v>
      </c>
      <c r="AY999" s="8" t="n">
        <v>0</v>
      </c>
      <c r="AZ999" s="8" t="n">
        <v>178</v>
      </c>
      <c r="BA999" s="11" t="n">
        <f>IF(AND(COUNT(AX999:AZ999)=3,AX999&gt;=AY999,AY999&gt;=0,AZ999&gt;0),(AX999-AY999)/AZ999,"")</f>
        <v>0.10674157303370786</v>
      </c>
      <c r="BB999" s="8" t="n">
        <f>IF(COUNT(AS999,AW999,BA999)=3,1,0)</f>
        <v>1</v>
      </c>
      <c r="BC999" s="11" t="n">
        <f>IF(SUMIF($AO$11:$AO$1309,AO999,$BB$11:$BB$1309)=COUNTIF($AO$11:$AO$1309,AO999),SUMIF($AO$11:$AO$1309,AO999,$AS$11:$AS$1309),"")</f>
        <v>1.0519173612688397</v>
      </c>
      <c r="BD999" s="11" t="n">
        <f>IF(SUMIF($AO$11:$AO$1309,AO999,$BB$11:$BB$1309)=COUNTIF($AO$11:$AO$1309,AO999),SUMIF($AO$11:$AO$1309,AO999,$AW$11:$AW$1309),"")</f>
        <v>1.2745989304812833</v>
      </c>
      <c r="BE999" s="11" t="n">
        <f>IF(SUMIF($AO$11:$AO$1309,AO999,$BB$11:$BB$1309)=COUNTIF($AO$11:$AO$1309,AO999),SUMIF($AO$11:$AO$1309,AO999,$BA$11:$BA$1309),"")</f>
        <v>1.1766292134831462</v>
      </c>
      <c r="BF999" s="12" t="n">
        <f>IF(COUNT(BD999:BE999)&lt;&gt;2,"",IF(AND(BD999&gt;0,BE999&gt;0),0.7*AW999/BD999+0.3*BA999/BE999,IF(BD999&gt;0,AW999/BD999,IF(BE999&gt;0,BA999/BE999,IF(AND(ISNUMBER(BH999),BH999=0),0,"")))))</f>
        <v>0.08338283250825361</v>
      </c>
      <c r="BG999" s="11" t="n">
        <f>IF(AND(COUNT(BN999:BU999)=8,MIN(BN999:BU999)&gt;=0),SUMPRODUCT(BN999:BQ999,BR999:BU999),"")</f>
        <v>94.47778160343367</v>
      </c>
      <c r="BH999" s="11" t="n">
        <f>IF(COUNT(BC999,BG999)=2,BC999*BG999,"")</f>
        <v>99.38281872281767</v>
      </c>
      <c r="BI999" s="11" t="n">
        <f>IF(ISNUMBER(CI999),CI999,"")</f>
        <v>8.286820927762838</v>
      </c>
      <c r="BJ999" s="8" t="str"/>
      <c r="BK999" s="8" t="str">
        <v>90天：2026-07-20 至 2026-10-17；180天：2026-04-21 至 2026-10-17</v>
      </c>
      <c r="BL999" s="8" t="str">
        <v>90天：2026-10-06、2026-10-07；180天：2026-10-06、2026-10-07</v>
      </c>
      <c r="BM999" s="8" t="str">
        <v>2026-10：12天 × 1.1090677182221615；2026-11：30天 × 1.0372741535934282；2026-12：31天 × 0.979949351738161；2027-01：17天 × 1.1571949690048173</v>
      </c>
      <c r="BN999" s="11" t="n">
        <v>1.1090677182221615</v>
      </c>
      <c r="BO999" s="11" t="n">
        <v>1.0372741535934282</v>
      </c>
      <c r="BP999" s="11" t="n">
        <v>0.979949351738161</v>
      </c>
      <c r="BQ999" s="11" t="n">
        <v>1.1571949690048173</v>
      </c>
      <c r="BR999" s="8" t="n">
        <v>12</v>
      </c>
      <c r="BS999" s="8" t="n">
        <v>30</v>
      </c>
      <c r="BT999" s="8" t="n">
        <v>31</v>
      </c>
      <c r="BU999" s="8" t="n">
        <v>17</v>
      </c>
      <c r="BV999" s="11" t="n">
        <f>IF(COUNT(BC999,BF999)=2,BC999*BF999,"")</f>
        <v>0.08771184914720377</v>
      </c>
      <c r="BW999" s="11" t="n">
        <f>IF(ISNUMBER(BN999),BN999,"")</f>
        <v>1.1090677182221615</v>
      </c>
      <c r="BX999" s="14" t="n">
        <f>IF(ISNUMBER(BR999),BR999,"")</f>
        <v>12</v>
      </c>
      <c r="BY999" s="13" t="n">
        <f>IF(AND(COUNT(BV999,BW999,BX999)=3,MIN(BV999,BW999,BX999)&gt;=0),BV999*BW999*BX999,"")</f>
        <v>1.1673405647368287</v>
      </c>
      <c r="BZ999" s="11" t="n">
        <f>IF(ISNUMBER(BO999),BO999,"")</f>
        <v>1.0372741535934282</v>
      </c>
      <c r="CA999" s="14" t="n">
        <f>IF(ISNUMBER(BS999),BS999,"")</f>
        <v>30</v>
      </c>
      <c r="CB999" s="13" t="n">
        <f>IF(AND(COUNT(BV999,BZ999,CA999)=3,MIN(BV999,BZ999,CA999)&gt;=0),BV999*BZ999*CA999,"")</f>
        <v>2.729437022528408</v>
      </c>
      <c r="CC999" s="11" t="n">
        <f>IF(ISNUMBER(BP999),BP999,"")</f>
        <v>0.979949351738161</v>
      </c>
      <c r="CD999" s="14" t="n">
        <f>IF(ISNUMBER(BT999),BT999,"")</f>
        <v>31</v>
      </c>
      <c r="CE999" s="13" t="n">
        <f>IF(AND(COUNT(BV999,CC999,CD999)=3,MIN(BV999,CC999,CD999)&gt;=0),BV999*CC999*CD999,"")</f>
        <v>2.664548261058289</v>
      </c>
      <c r="CF999" s="11" t="n">
        <f>IF(ISNUMBER(BQ999),BQ999,"")</f>
        <v>1.1571949690048173</v>
      </c>
      <c r="CG999" s="14" t="n">
        <f>IF(ISNUMBER(BU999),BU999,"")</f>
        <v>17</v>
      </c>
      <c r="CH999" s="13" t="n">
        <f>IF(AND(COUNT(BV999,CF999,CG999)=3,MIN(BV999,CF999,CG999)&gt;=0),BV999*CF999*CG999,"")</f>
        <v>1.7254950794393127</v>
      </c>
      <c r="CI999" s="13" t="n">
        <f>IF(COUNT(BY999,CB999,CE999,CH999)=4,SUM(BY999,CB999,CE999,CH999),"")</f>
        <v>8.286820927762838</v>
      </c>
    </row>
    <row r="1000" ht="72" customHeight="1">
      <c r="A1000" s="16" t="str">
        <v>B06b-NY-39-N</v>
      </c>
      <c r="B1000" s="16" t="str">
        <v>1店-MUSSHOE-US</v>
      </c>
      <c r="C1000" s="16" t="str">
        <v>艾年</v>
      </c>
      <c r="D1000" s="26" t="n">
        <f>IF(NOT(ISNUMBER(E1000)),"",IF(OR(E1000&lt;=0,L1000=0),0,IF(OR(NOT(ISNUMBER(F1000)),F1000&lt;0),"",MIN(E1000,INT(F1000)))))</f>
        <v>0</v>
      </c>
      <c r="E1000" s="27" t="n">
        <f>IF(OR(NOT(ISNUMBER(L1000)),COUNT(M1000:O1000)&lt;&gt;3,MIN(M1000:O1000)&lt;0),"",ROUNDUP(ROUND(BI1000-SUM(M1000:O1000),10),0))</f>
        <v>-44</v>
      </c>
      <c r="F1000" s="28" t="n">
        <v>0</v>
      </c>
      <c r="G1000" s="28" t="n">
        <f>IF(AND(ISNUMBER(D1000),ISNUMBER(E1000)),IF(OR(E1000&lt;=0,L1000=0),0,E1000-D1000),"")</f>
        <v>0</v>
      </c>
      <c r="H1000" s="16" t="str">
        <f>IF(NOT(ISNUMBER(E1000)),"销量或海外库存待补",IF(OR(E1000&lt;=0,L1000=0),IF(L1000=0,"零日销，本批不发","本批无需补货"),IF(NOT(ISNUMBER(D1000)),"国内库存待补",IF(D1000=0,"国内无可用库存",IF(G1000&gt;0,"先发国内现货","按建议量发货")))))</f>
        <v>本批无需补货</v>
      </c>
      <c r="I1000" s="28" t="n">
        <f>IF(AND(COUNT(Z1000,AA1000,AB1000)=3,Z1000&gt;=AA1000,AA1000&gt;=0,AB1000=7),Z1000-AA1000,"")</f>
        <v>1</v>
      </c>
      <c r="J1000" s="28" t="n">
        <f>IF(AND(COUNT(AF1000,AG1000,AH1000)=3,AF1000&gt;=AG1000,AG1000&gt;=0,AH1000=14),AF1000-AG1000,"")</f>
        <v>1</v>
      </c>
      <c r="K1000" s="28" t="n">
        <f>IF(AND(COUNT(AL1000,AM1000,AN1000)=3,AL1000&gt;=AM1000,AM1000&gt;=0,AN1000=30),AL1000-AM1000,"")</f>
        <v>6</v>
      </c>
      <c r="L1000" s="29" t="n">
        <f>IF(ISNUMBER(BI1000),BI1000/90,"")</f>
        <v>0.15986117316685408</v>
      </c>
      <c r="M1000" s="28" t="n">
        <v>34</v>
      </c>
      <c r="N1000" s="28" t="n">
        <v>0</v>
      </c>
      <c r="O1000" s="28" t="n">
        <v>24</v>
      </c>
      <c r="P1000" s="30" t="n">
        <f>IF(AND(ISNUMBER(L1000),L1000&gt;0,COUNT(M1000:O1000)=3,MIN(M1000:O1000)&gt;=0),SUM(M1000:O1000)/L1000,"")</f>
        <v>362.8148026879727</v>
      </c>
      <c r="Q1000" s="16" t="str">
        <v>沿用原计划SKU店铺</v>
      </c>
      <c r="R1000" s="16" t="str">
        <v>已匹配</v>
      </c>
      <c r="S1000" s="16" t="str">
        <v>在售</v>
      </c>
      <c r="T1000" s="16" t="str">
        <v>B06b</v>
      </c>
      <c r="U1000" s="16" t="str">
        <v>藏青色羊京绒</v>
      </c>
      <c r="V1000" s="16" t="n">
        <v>8</v>
      </c>
      <c r="W1000" s="8" t="str">
        <v>2026-10-11 至 2026-10-17</v>
      </c>
      <c r="X1000" s="8" t="str">
        <v>2026-10-11、2026-10-12、2026-10-13、2026-10-14、2026-10-15、2026-10-16、2026-10-17</v>
      </c>
      <c r="Y1000" s="8" t="str">
        <v>无</v>
      </c>
      <c r="Z1000" s="8" t="n">
        <v>1</v>
      </c>
      <c r="AA1000" s="8" t="n">
        <v>0</v>
      </c>
      <c r="AB1000" s="8" t="n">
        <v>7</v>
      </c>
      <c r="AC1000" s="8" t="str">
        <v>2026-10-02 至 2026-10-17</v>
      </c>
      <c r="AD1000" s="8" t="str">
        <v>2026-10-02、2026-10-03、2026-10-04、2026-10-05、2026-10-08、2026-10-09、2026-10-10、2026-10-11、2026-10-12、2026-10-13、2026-10-14、2026-10-15、2026-10-16、2026-10-17</v>
      </c>
      <c r="AE1000" s="8" t="str">
        <v>2026-10-06 大促；2026-10-07 大促</v>
      </c>
      <c r="AF1000" s="8" t="n">
        <v>1</v>
      </c>
      <c r="AG1000" s="8" t="n">
        <v>0</v>
      </c>
      <c r="AH1000" s="8" t="n">
        <v>14</v>
      </c>
      <c r="AI1000" s="8" t="str">
        <v>2026-09-16 至 2026-10-17</v>
      </c>
      <c r="AJ10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0" s="8" t="str">
        <v>2026-10-06 大促；2026-10-07 大促</v>
      </c>
      <c r="AL1000" s="8" t="n">
        <v>6</v>
      </c>
      <c r="AM1000" s="8" t="n">
        <v>0</v>
      </c>
      <c r="AN1000" s="8" t="n">
        <v>30</v>
      </c>
      <c r="AO1000" s="8" t="str">
        <v>B06b / 藏青色羊京绒 / 13120</v>
      </c>
      <c r="AP1000" s="11" t="n">
        <v>1.1090677182221615</v>
      </c>
      <c r="AQ1000" s="11" t="n">
        <v>1.1090677182221615</v>
      </c>
      <c r="AR1000" s="11" t="n">
        <v>0.9505188216044452</v>
      </c>
      <c r="AS1000" s="11" t="n">
        <f>IF(AND(COUNT(I1000:K1000,AP1000:AR1000)=6,MIN(AP1000:AR1000)&gt;0),I1000/7/AP1000*0.5+J1000/14/AQ1000*0.3+K1000/30/AR1000*0.2,"")</f>
        <v>0.12580768492303684</v>
      </c>
      <c r="AT1000" s="8" t="n">
        <v>17</v>
      </c>
      <c r="AU1000" s="8" t="n">
        <v>0</v>
      </c>
      <c r="AV1000" s="8" t="n">
        <v>88</v>
      </c>
      <c r="AW1000" s="11" t="n">
        <f>IF(AND(COUNT(AT1000:AV1000)=3,AT1000&gt;=AU1000,AU1000&gt;=0,AV1000&gt;0),(AT1000-AU1000)/AV1000,"")</f>
        <v>0.19318181818181818</v>
      </c>
      <c r="AX1000" s="8" t="n">
        <v>27</v>
      </c>
      <c r="AY1000" s="8" t="n">
        <v>0</v>
      </c>
      <c r="AZ1000" s="8" t="n">
        <v>178</v>
      </c>
      <c r="BA1000" s="11" t="n">
        <f>IF(AND(COUNT(AX1000:AZ1000)=3,AX1000&gt;=AY1000,AY1000&gt;=0,AZ1000&gt;0),(AX1000-AY1000)/AZ1000,"")</f>
        <v>0.15168539325842698</v>
      </c>
      <c r="BB1000" s="8" t="n">
        <f>IF(COUNT(AS1000,AW1000,BA1000)=3,1,0)</f>
        <v>1</v>
      </c>
      <c r="BC1000" s="11" t="n">
        <f>IF(SUMIF($AO$11:$AO$1309,AO1000,$BB$11:$BB$1309)=COUNTIF($AO$11:$AO$1309,AO1000),SUMIF($AO$11:$AO$1309,AO1000,$AS$11:$AS$1309),"")</f>
        <v>1.0519173612688397</v>
      </c>
      <c r="BD1000" s="11" t="n">
        <f>IF(SUMIF($AO$11:$AO$1309,AO1000,$BB$11:$BB$1309)=COUNTIF($AO$11:$AO$1309,AO1000),SUMIF($AO$11:$AO$1309,AO1000,$AW$11:$AW$1309),"")</f>
        <v>1.2745989304812833</v>
      </c>
      <c r="BE1000" s="11" t="n">
        <f>IF(SUMIF($AO$11:$AO$1309,AO1000,$BB$11:$BB$1309)=COUNTIF($AO$11:$AO$1309,AO1000),SUMIF($AO$11:$AO$1309,AO1000,$BA$11:$BA$1309),"")</f>
        <v>1.1766292134831462</v>
      </c>
      <c r="BF1000" s="12" t="n">
        <f>IF(COUNT(BD1000:BE1000)&lt;&gt;2,"",IF(AND(BD1000&gt;0,BE1000&gt;0),0.7*AW1000/BD1000+0.3*BA1000/BE1000,IF(BD1000&gt;0,AW1000/BD1000,IF(BE1000&gt;0,BA1000/BE1000,IF(AND(ISNUMBER(BH1000),BH1000=0),0,"")))))</f>
        <v>0.14476854017538132</v>
      </c>
      <c r="BG1000" s="11" t="n">
        <f>IF(AND(COUNT(BN1000:BU1000)=8,MIN(BN1000:BU1000)&gt;=0),SUMPRODUCT(BN1000:BQ1000,BR1000:BU1000),"")</f>
        <v>94.47778160343367</v>
      </c>
      <c r="BH1000" s="11" t="n">
        <f>IF(COUNT(BC1000,BG1000)=2,BC1000*BG1000,"")</f>
        <v>99.38281872281767</v>
      </c>
      <c r="BI1000" s="11" t="n">
        <f>IF(ISNUMBER(CI1000),CI1000,"")</f>
        <v>14.387505585016868</v>
      </c>
      <c r="BJ1000" s="8" t="str"/>
      <c r="BK1000" s="8" t="str">
        <v>90天：2026-07-20 至 2026-10-17；180天：2026-04-21 至 2026-10-17</v>
      </c>
      <c r="BL1000" s="8" t="str">
        <v>90天：2026-10-06、2026-10-07；180天：2026-10-06、2026-10-07</v>
      </c>
      <c r="BM1000" s="8" t="str">
        <v>2026-10：12天 × 1.1090677182221615；2026-11：30天 × 1.0372741535934282；2026-12：31天 × 0.979949351738161；2027-01：17天 × 1.1571949690048173</v>
      </c>
      <c r="BN1000" s="11" t="n">
        <v>1.1090677182221615</v>
      </c>
      <c r="BO1000" s="11" t="n">
        <v>1.0372741535934282</v>
      </c>
      <c r="BP1000" s="11" t="n">
        <v>0.979949351738161</v>
      </c>
      <c r="BQ1000" s="11" t="n">
        <v>1.1571949690048173</v>
      </c>
      <c r="BR1000" s="8" t="n">
        <v>12</v>
      </c>
      <c r="BS1000" s="8" t="n">
        <v>30</v>
      </c>
      <c r="BT1000" s="8" t="n">
        <v>31</v>
      </c>
      <c r="BU1000" s="8" t="n">
        <v>17</v>
      </c>
      <c r="BV1000" s="11" t="n">
        <f>IF(COUNT(BC1000,BF1000)=2,BC1000*BF1000,"")</f>
        <v>0.15228454077602913</v>
      </c>
      <c r="BW1000" s="11" t="n">
        <f>IF(ISNUMBER(BN1000),BN1000,"")</f>
        <v>1.1090677182221615</v>
      </c>
      <c r="BX1000" s="14" t="n">
        <f>IF(ISNUMBER(BR1000),BR1000,"")</f>
        <v>12</v>
      </c>
      <c r="BY1000" s="13" t="n">
        <f>IF(AND(COUNT(BV1000,BW1000,BX1000)=3,MIN(BV1000,BW1000,BX1000)&gt;=0),BV1000*BW1000*BX1000,"")</f>
        <v>2.026726417907764</v>
      </c>
      <c r="BZ1000" s="11" t="n">
        <f>IF(ISNUMBER(BO1000),BO1000,"")</f>
        <v>1.0372741535934282</v>
      </c>
      <c r="CA1000" s="14" t="n">
        <f>IF(ISNUMBER(BS1000),BS1000,"")</f>
        <v>30</v>
      </c>
      <c r="CB1000" s="13" t="n">
        <f>IF(AND(COUNT(BV1000,BZ1000,CA1000)=3,MIN(BV1000,BZ1000,CA1000)&gt;=0),BV1000*BZ1000*CA1000,"")</f>
        <v>4.7388245441645855</v>
      </c>
      <c r="CC1000" s="11" t="n">
        <f>IF(ISNUMBER(BP1000),BP1000,"")</f>
        <v>0.979949351738161</v>
      </c>
      <c r="CD1000" s="14" t="n">
        <f>IF(ISNUMBER(BT1000),BT1000,"")</f>
        <v>31</v>
      </c>
      <c r="CE1000" s="13" t="n">
        <f>IF(AND(COUNT(BV1000,CC1000,CD1000)=3,MIN(BV1000,CC1000,CD1000)&gt;=0),BV1000*CC1000*CD1000,"")</f>
        <v>4.626165247409611</v>
      </c>
      <c r="CF1000" s="11" t="n">
        <f>IF(ISNUMBER(BQ1000),BQ1000,"")</f>
        <v>1.1571949690048173</v>
      </c>
      <c r="CG1000" s="14" t="n">
        <f>IF(ISNUMBER(BU1000),BU1000,"")</f>
        <v>17</v>
      </c>
      <c r="CH1000" s="13" t="n">
        <f>IF(AND(COUNT(BV1000,CF1000,CG1000)=3,MIN(BV1000,CF1000,CG1000)&gt;=0),BV1000*CF1000*CG1000,"")</f>
        <v>2.9957893755349074</v>
      </c>
      <c r="CI1000" s="13" t="n">
        <f>IF(COUNT(BY1000,CB1000,CE1000,CH1000)=4,SUM(BY1000,CB1000,CE1000,CH1000),"")</f>
        <v>14.387505585016868</v>
      </c>
    </row>
    <row r="1001" ht="72" customHeight="1">
      <c r="A1001" s="16" t="str">
        <v>B06b-NY-39.5</v>
      </c>
      <c r="B1001" s="16" t="str">
        <v>1店-MUSSHOE-US</v>
      </c>
      <c r="C1001" s="16" t="str">
        <v>艾年</v>
      </c>
      <c r="D1001" s="26" t="n">
        <f>IF(NOT(ISNUMBER(E1001)),"",IF(OR(E1001&lt;=0,L1001=0),0,IF(OR(NOT(ISNUMBER(F1001)),F1001&lt;0),"",MIN(E1001,INT(F1001)))))</f>
        <v>0</v>
      </c>
      <c r="E1001" s="27" t="n">
        <f>IF(OR(NOT(ISNUMBER(L1001)),COUNT(M1001:O1001)&lt;&gt;3,MIN(M1001:O1001)&lt;0),"",ROUNDUP(ROUND(BI1001-SUM(M1001:O1001),10),0))</f>
        <v>-11</v>
      </c>
      <c r="F1001" s="28" t="n">
        <v>0</v>
      </c>
      <c r="G1001" s="28" t="n">
        <f>IF(AND(ISNUMBER(D1001),ISNUMBER(E1001)),IF(OR(E1001&lt;=0,L1001=0),0,E1001-D1001),"")</f>
        <v>0</v>
      </c>
      <c r="H1001" s="16" t="str">
        <f>IF(NOT(ISNUMBER(E1001)),"销量或海外库存待补",IF(OR(E1001&lt;=0,L1001=0),IF(L1001=0,"零日销，本批不发","本批无需补货"),IF(NOT(ISNUMBER(D1001)),"国内库存待补",IF(D1001=0,"国内无可用库存",IF(G1001&gt;0,"先发国内现货","按建议量发货")))))</f>
        <v>本批无需补货</v>
      </c>
      <c r="I1001" s="28" t="n">
        <f>IF(AND(COUNT(Z1001,AA1001,AB1001)=3,Z1001&gt;=AA1001,AA1001&gt;=0,AB1001=7),Z1001-AA1001,"")</f>
        <v>0</v>
      </c>
      <c r="J1001" s="28" t="n">
        <f>IF(AND(COUNT(AF1001,AG1001,AH1001)=3,AF1001&gt;=AG1001,AG1001&gt;=0,AH1001=14),AF1001-AG1001,"")</f>
        <v>0</v>
      </c>
      <c r="K1001" s="28" t="n">
        <f>IF(AND(COUNT(AL1001,AM1001,AN1001)=3,AL1001&gt;=AM1001,AM1001&gt;=0,AN1001=30),AL1001-AM1001,"")</f>
        <v>0</v>
      </c>
      <c r="L1001" s="29" t="n">
        <f>IF(ISNUMBER(BI1001),BI1001/90,"")</f>
        <v>0.0344849278507973</v>
      </c>
      <c r="M1001" s="28" t="n">
        <v>0</v>
      </c>
      <c r="N1001" s="28" t="n">
        <v>0</v>
      </c>
      <c r="O1001" s="28" t="n">
        <v>14</v>
      </c>
      <c r="P1001" s="30" t="n">
        <f>IF(AND(ISNUMBER(L1001),L1001&gt;0,COUNT(M1001:O1001)=3,MIN(M1001:O1001)&gt;=0),SUM(M1001:O1001)/L1001,"")</f>
        <v>405.9744610913059</v>
      </c>
      <c r="Q1001" s="16" t="str">
        <v>沿用原计划SKU店铺</v>
      </c>
      <c r="R1001" s="16" t="str">
        <v>已匹配</v>
      </c>
      <c r="S1001" s="16" t="str">
        <v>停售</v>
      </c>
      <c r="T1001" s="16" t="str">
        <v>B06b</v>
      </c>
      <c r="U1001" s="16" t="str">
        <v>藏青色羊京绒</v>
      </c>
      <c r="V1001" s="16" t="n">
        <v>8.5</v>
      </c>
      <c r="W1001" s="8" t="str">
        <v>2026-10-08 至 2026-10-17</v>
      </c>
      <c r="X1001" s="8" t="str">
        <v>2026-10-08、2026-10-09、2026-10-10、2026-10-11、2026-10-14、2026-10-15、2026-10-17</v>
      </c>
      <c r="Y1001" s="8" t="str">
        <v>2026-10-12 有记录的停售日；2026-10-13 有记录的停售日；2026-10-16 有记录的停售日</v>
      </c>
      <c r="Z1001" s="8" t="n">
        <v>0</v>
      </c>
      <c r="AA1001" s="8" t="n">
        <v>0</v>
      </c>
      <c r="AB1001" s="8" t="n">
        <v>7</v>
      </c>
      <c r="AC1001" s="8" t="str">
        <v>2026-09-29 至 2026-10-17</v>
      </c>
      <c r="AD1001" s="8" t="str">
        <v>2026-09-29、2026-09-30、2026-10-01、2026-10-02、2026-10-03、2026-10-04、2026-10-05、2026-10-08、2026-10-09、2026-10-10、2026-10-11、2026-10-14、2026-10-15、2026-10-17</v>
      </c>
      <c r="AE1001" s="8" t="str">
        <v>2026-10-06 大促；2026-10-07 大促；2026-10-12 有记录的停售日；2026-10-13 有记录的停售日；2026-10-16 有记录的停售日</v>
      </c>
      <c r="AF1001" s="8" t="n">
        <v>0</v>
      </c>
      <c r="AG1001" s="8" t="n">
        <v>0</v>
      </c>
      <c r="AH1001" s="8" t="n">
        <v>14</v>
      </c>
      <c r="AI1001" s="8" t="str">
        <v>2026-09-13 至 2026-10-17</v>
      </c>
      <c r="AJ100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01" s="8" t="str">
        <v>2026-10-06 大促；2026-10-07 大促；2026-10-12 有记录的停售日；2026-10-13 有记录的停售日；2026-10-16 有记录的停售日</v>
      </c>
      <c r="AL1001" s="8" t="n">
        <v>0</v>
      </c>
      <c r="AM1001" s="8" t="n">
        <v>0</v>
      </c>
      <c r="AN1001" s="8" t="n">
        <v>30</v>
      </c>
      <c r="AO1001" s="8" t="str">
        <v>B06b / 藏青色羊京绒 / 13120</v>
      </c>
      <c r="AP1001" s="11" t="n">
        <v>1.1090677182221615</v>
      </c>
      <c r="AQ1001" s="11" t="n">
        <v>1.0637680334742425</v>
      </c>
      <c r="AR1001" s="11" t="n">
        <v>0.9188090422809019</v>
      </c>
      <c r="AS1001" s="11" t="n">
        <f>IF(AND(COUNT(I1001:K1001,AP1001:AR1001)=6,MIN(AP1001:AR1001)&gt;0),I1001/7/AP1001*0.5+J1001/14/AQ1001*0.3+K1001/30/AR1001*0.2,"")</f>
        <v>0</v>
      </c>
      <c r="AT1001" s="8" t="n">
        <v>1</v>
      </c>
      <c r="AU1001" s="8" t="n">
        <v>0</v>
      </c>
      <c r="AV1001" s="8" t="n">
        <v>85</v>
      </c>
      <c r="AW1001" s="11" t="n">
        <f>IF(AND(COUNT(AT1001:AV1001)=3,AT1001&gt;=AU1001,AU1001&gt;=0,AV1001&gt;0),(AT1001-AU1001)/AV1001,"")</f>
        <v>0.011764705882352941</v>
      </c>
      <c r="AX1001" s="8" t="n">
        <v>17</v>
      </c>
      <c r="AY1001" s="8" t="n">
        <v>0</v>
      </c>
      <c r="AZ1001" s="8" t="n">
        <v>175</v>
      </c>
      <c r="BA1001" s="11" t="n">
        <f>IF(AND(COUNT(AX1001:AZ1001)=3,AX1001&gt;=AY1001,AY1001&gt;=0,AZ1001&gt;0),(AX1001-AY1001)/AZ1001,"")</f>
        <v>0.09714285714285714</v>
      </c>
      <c r="BB1001" s="8" t="n">
        <f>IF(COUNT(AS1001,AW1001,BA1001)=3,1,0)</f>
        <v>1</v>
      </c>
      <c r="BC1001" s="11" t="n">
        <f>IF(SUMIF($AO$11:$AO$1309,AO1001,$BB$11:$BB$1309)=COUNTIF($AO$11:$AO$1309,AO1001),SUMIF($AO$11:$AO$1309,AO1001,$AS$11:$AS$1309),"")</f>
        <v>1.0519173612688397</v>
      </c>
      <c r="BD1001" s="11" t="n">
        <f>IF(SUMIF($AO$11:$AO$1309,AO1001,$BB$11:$BB$1309)=COUNTIF($AO$11:$AO$1309,AO1001),SUMIF($AO$11:$AO$1309,AO1001,$AW$11:$AW$1309),"")</f>
        <v>1.2745989304812833</v>
      </c>
      <c r="BE1001" s="11" t="n">
        <f>IF(SUMIF($AO$11:$AO$1309,AO1001,$BB$11:$BB$1309)=COUNTIF($AO$11:$AO$1309,AO1001),SUMIF($AO$11:$AO$1309,AO1001,$BA$11:$BA$1309),"")</f>
        <v>1.1766292134831462</v>
      </c>
      <c r="BF1001" s="12" t="n">
        <f>IF(COUNT(BD1001:BE1001)&lt;&gt;2,"",IF(AND(BD1001&gt;0,BE1001&gt;0),0.7*AW1001/BD1001+0.3*BA1001/BE1001,IF(BD1001&gt;0,AW1001/BD1001,IF(BE1001&gt;0,BA1001/BE1001,IF(AND(ISNUMBER(BH1001),BH1001=0),0,"")))))</f>
        <v>0.031229175691101424</v>
      </c>
      <c r="BG1001" s="11" t="n">
        <f>IF(AND(COUNT(BN1001:BU1001)=8,MIN(BN1001:BU1001)&gt;=0),SUMPRODUCT(BN1001:BQ1001,BR1001:BU1001),"")</f>
        <v>94.47778160343367</v>
      </c>
      <c r="BH1001" s="11" t="n">
        <f>IF(COUNT(BC1001,BG1001)=2,BC1001*BG1001,"")</f>
        <v>99.38281872281767</v>
      </c>
      <c r="BI1001" s="11" t="n">
        <f>IF(ISNUMBER(CI1001),CI1001,"")</f>
        <v>3.103643506571757</v>
      </c>
      <c r="BJ1001" s="8" t="str"/>
      <c r="BK1001" s="8" t="str">
        <v>90天：2026-07-20 至 2026-10-17；180天：2026-04-21 至 2026-10-17</v>
      </c>
      <c r="BL1001" s="8" t="str">
        <v>90天：2026-10-06、2026-10-07、2026-10-12、2026-10-13、2026-10-16；180天：2026-10-06、2026-10-07、2026-10-12、2026-10-13、2026-10-16</v>
      </c>
      <c r="BM1001" s="8" t="str">
        <v>2026-10：12天 × 1.1090677182221615；2026-11：30天 × 1.0372741535934282；2026-12：31天 × 0.979949351738161；2027-01：17天 × 1.1571949690048173</v>
      </c>
      <c r="BN1001" s="11" t="n">
        <v>1.1090677182221615</v>
      </c>
      <c r="BO1001" s="11" t="n">
        <v>1.0372741535934282</v>
      </c>
      <c r="BP1001" s="11" t="n">
        <v>0.979949351738161</v>
      </c>
      <c r="BQ1001" s="11" t="n">
        <v>1.1571949690048173</v>
      </c>
      <c r="BR1001" s="8" t="n">
        <v>12</v>
      </c>
      <c r="BS1001" s="8" t="n">
        <v>30</v>
      </c>
      <c r="BT1001" s="8" t="n">
        <v>31</v>
      </c>
      <c r="BU1001" s="8" t="n">
        <v>17</v>
      </c>
      <c r="BV1001" s="11" t="n">
        <f>IF(COUNT(BC1001,BF1001)=2,BC1001*BF1001,"")</f>
        <v>0.0328505120875844</v>
      </c>
      <c r="BW1001" s="11" t="n">
        <f>IF(ISNUMBER(BN1001),BN1001,"")</f>
        <v>1.1090677182221615</v>
      </c>
      <c r="BX1001" s="14" t="n">
        <f>IF(ISNUMBER(BR1001),BR1001,"")</f>
        <v>12</v>
      </c>
      <c r="BY1001" s="13" t="n">
        <f>IF(AND(COUNT(BV1001,BW1001,BX1001)=3,MIN(BV1001,BW1001,BX1001)&gt;=0),BV1001*BW1001*BX1001,"")</f>
        <v>0.43720130980088123</v>
      </c>
      <c r="BZ1001" s="11" t="n">
        <f>IF(ISNUMBER(BO1001),BO1001,"")</f>
        <v>1.0372741535934282</v>
      </c>
      <c r="CA1001" s="14" t="n">
        <f>IF(ISNUMBER(BS1001),BS1001,"")</f>
        <v>30</v>
      </c>
      <c r="CB1001" s="13" t="n">
        <f>IF(AND(COUNT(BV1001,BZ1001,CA1001)=3,MIN(BV1001,BZ1001,CA1001)&gt;=0),BV1001*BZ1001*CA1001,"")</f>
        <v>1.0222496136227939</v>
      </c>
      <c r="CC1001" s="11" t="n">
        <f>IF(ISNUMBER(BP1001),BP1001,"")</f>
        <v>0.979949351738161</v>
      </c>
      <c r="CD1001" s="14" t="n">
        <f>IF(ISNUMBER(BT1001),BT1001,"")</f>
        <v>31</v>
      </c>
      <c r="CE1001" s="13" t="n">
        <f>IF(AND(COUNT(BV1001,CC1001,CD1001)=3,MIN(BV1001,CC1001,CD1001)&gt;=0),BV1001*CC1001*CD1001,"")</f>
        <v>0.9979469787593436</v>
      </c>
      <c r="CF1001" s="11" t="n">
        <f>IF(ISNUMBER(BQ1001),BQ1001,"")</f>
        <v>1.1571949690048173</v>
      </c>
      <c r="CG1001" s="14" t="n">
        <f>IF(ISNUMBER(BU1001),BU1001,"")</f>
        <v>17</v>
      </c>
      <c r="CH1001" s="13" t="n">
        <f>IF(AND(COUNT(BV1001,CF1001,CG1001)=3,MIN(BV1001,CF1001,CG1001)&gt;=0),BV1001*CF1001*CG1001,"")</f>
        <v>0.6462456043887383</v>
      </c>
      <c r="CI1001" s="13" t="n">
        <f>IF(COUNT(BY1001,CB1001,CE1001,CH1001)=4,SUM(BY1001,CB1001,CE1001,CH1001),"")</f>
        <v>3.103643506571757</v>
      </c>
    </row>
    <row r="1002" ht="72" customHeight="1">
      <c r="A1002" s="16" t="str">
        <v>B06b-NY-41</v>
      </c>
      <c r="B1002" s="16" t="str">
        <v>1店-MUSSHOE-US</v>
      </c>
      <c r="C1002" s="16" t="str">
        <v>艾年</v>
      </c>
      <c r="D1002" s="26" t="n">
        <f>IF(NOT(ISNUMBER(E1002)),"",IF(OR(E1002&lt;=0,L1002=0),0,IF(OR(NOT(ISNUMBER(F1002)),F1002&lt;0),"",MIN(E1002,INT(F1002)))))</f>
        <v>0</v>
      </c>
      <c r="E1002" s="27" t="n">
        <f>IF(OR(NOT(ISNUMBER(L1002)),COUNT(M1002:O1002)&lt;&gt;3,MIN(M1002:O1002)&lt;0),"",ROUNDUP(ROUND(BI1002-SUM(M1002:O1002),10),0))</f>
        <v>-20</v>
      </c>
      <c r="F1002" s="28" t="n">
        <v>0</v>
      </c>
      <c r="G1002" s="28" t="n">
        <f>IF(AND(ISNUMBER(D1002),ISNUMBER(E1002)),IF(OR(E1002&lt;=0,L1002=0),0,E1002-D1002),"")</f>
        <v>0</v>
      </c>
      <c r="H1002" s="16" t="str">
        <f>IF(NOT(ISNUMBER(E1002)),"销量或海外库存待补",IF(OR(E1002&lt;=0,L1002=0),IF(L1002=0,"零日销，本批不发","本批无需补货"),IF(NOT(ISNUMBER(D1002)),"国内库存待补",IF(D1002=0,"国内无可用库存",IF(G1002&gt;0,"先发国内现货","按建议量发货")))))</f>
        <v>本批无需补货</v>
      </c>
      <c r="I1002" s="28" t="n">
        <f>IF(AND(COUNT(Z1002,AA1002,AB1002)=3,Z1002&gt;=AA1002,AA1002&gt;=0,AB1002=7),Z1002-AA1002,"")</f>
        <v>0</v>
      </c>
      <c r="J1002" s="28" t="n">
        <f>IF(AND(COUNT(AF1002,AG1002,AH1002)=3,AF1002&gt;=AG1002,AG1002&gt;=0,AH1002=14),AF1002-AG1002,"")</f>
        <v>0</v>
      </c>
      <c r="K1002" s="28" t="n">
        <f>IF(AND(COUNT(AL1002,AM1002,AN1002)=3,AL1002&gt;=AM1002,AM1002&gt;=0,AN1002=30),AL1002-AM1002,"")</f>
        <v>0</v>
      </c>
      <c r="L1002" s="29" t="n">
        <f>IF(ISNUMBER(BI1002),BI1002/90,"")</f>
        <v>0.03035773798324572</v>
      </c>
      <c r="M1002" s="28" t="n">
        <v>0</v>
      </c>
      <c r="N1002" s="28" t="n">
        <v>0</v>
      </c>
      <c r="O1002" s="28" t="n">
        <v>22</v>
      </c>
      <c r="P1002" s="30" t="n">
        <f>IF(AND(ISNUMBER(L1002),L1002&gt;0,COUNT(M1002:O1002)=3,MIN(M1002:O1002)&gt;=0),SUM(M1002:O1002)/L1002,"")</f>
        <v>724.6916753857513</v>
      </c>
      <c r="Q1002" s="16" t="str">
        <v>沿用原计划SKU店铺</v>
      </c>
      <c r="R1002" s="16" t="str">
        <v>已匹配</v>
      </c>
      <c r="S1002" s="16" t="str">
        <v>停售</v>
      </c>
      <c r="T1002" s="16" t="str">
        <v>B06b</v>
      </c>
      <c r="U1002" s="16" t="str">
        <v>藏青色羊京绒</v>
      </c>
      <c r="V1002" s="16" t="n">
        <v>10</v>
      </c>
      <c r="W1002" s="8" t="str">
        <v>2026-10-08 至 2026-10-17</v>
      </c>
      <c r="X1002" s="8" t="str">
        <v>2026-10-08、2026-10-09、2026-10-10、2026-10-11、2026-10-14、2026-10-15、2026-10-17</v>
      </c>
      <c r="Y1002" s="8" t="str">
        <v>2026-10-12 有记录的停售日；2026-10-13 有记录的停售日；2026-10-16 有记录的停售日</v>
      </c>
      <c r="Z1002" s="8" t="n">
        <v>0</v>
      </c>
      <c r="AA1002" s="8" t="n">
        <v>0</v>
      </c>
      <c r="AB1002" s="8" t="n">
        <v>7</v>
      </c>
      <c r="AC1002" s="8" t="str">
        <v>2026-09-29 至 2026-10-17</v>
      </c>
      <c r="AD1002" s="8" t="str">
        <v>2026-09-29、2026-09-30、2026-10-01、2026-10-02、2026-10-03、2026-10-04、2026-10-05、2026-10-08、2026-10-09、2026-10-10、2026-10-11、2026-10-14、2026-10-15、2026-10-17</v>
      </c>
      <c r="AE1002" s="8" t="str">
        <v>2026-10-06 大促；2026-10-07 大促；2026-10-12 有记录的停售日；2026-10-13 有记录的停售日；2026-10-16 有记录的停售日</v>
      </c>
      <c r="AF1002" s="8" t="n">
        <v>0</v>
      </c>
      <c r="AG1002" s="8" t="n">
        <v>0</v>
      </c>
      <c r="AH1002" s="8" t="n">
        <v>14</v>
      </c>
      <c r="AI1002" s="8" t="str">
        <v>2026-09-13 至 2026-10-17</v>
      </c>
      <c r="AJ100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02" s="8" t="str">
        <v>2026-10-06 大促；2026-10-07 大促；2026-10-12 有记录的停售日；2026-10-13 有记录的停售日；2026-10-16 有记录的停售日</v>
      </c>
      <c r="AL1002" s="8" t="n">
        <v>0</v>
      </c>
      <c r="AM1002" s="8" t="n">
        <v>0</v>
      </c>
      <c r="AN1002" s="8" t="n">
        <v>30</v>
      </c>
      <c r="AO1002" s="8" t="str">
        <v>B06b / 藏青色羊京绒 / 13120</v>
      </c>
      <c r="AP1002" s="11" t="n">
        <v>1.1090677182221615</v>
      </c>
      <c r="AQ1002" s="11" t="n">
        <v>1.0637680334742425</v>
      </c>
      <c r="AR1002" s="11" t="n">
        <v>0.9188090422809019</v>
      </c>
      <c r="AS1002" s="11" t="n">
        <f>IF(AND(COUNT(I1002:K1002,AP1002:AR1002)=6,MIN(AP1002:AR1002)&gt;0),I1002/7/AP1002*0.5+J1002/14/AQ1002*0.3+K1002/30/AR1002*0.2,"")</f>
        <v>0</v>
      </c>
      <c r="AT1002" s="8" t="n">
        <v>2</v>
      </c>
      <c r="AU1002" s="8" t="n">
        <v>0</v>
      </c>
      <c r="AV1002" s="8" t="n">
        <v>85</v>
      </c>
      <c r="AW1002" s="11" t="n">
        <f>IF(AND(COUNT(AT1002:AV1002)=3,AT1002&gt;=AU1002,AU1002&gt;=0,AV1002&gt;0),(AT1002-AU1002)/AV1002,"")</f>
        <v>0.023529411764705882</v>
      </c>
      <c r="AX1002" s="8" t="n">
        <v>10</v>
      </c>
      <c r="AY1002" s="8" t="n">
        <v>0</v>
      </c>
      <c r="AZ1002" s="8" t="n">
        <v>175</v>
      </c>
      <c r="BA1002" s="11" t="n">
        <f>IF(AND(COUNT(AX1002:AZ1002)=3,AX1002&gt;=AY1002,AY1002&gt;=0,AZ1002&gt;0),(AX1002-AY1002)/AZ1002,"")</f>
        <v>0.05714285714285714</v>
      </c>
      <c r="BB1002" s="8" t="n">
        <f>IF(COUNT(AS1002,AW1002,BA1002)=3,1,0)</f>
        <v>1</v>
      </c>
      <c r="BC1002" s="11" t="n">
        <f>IF(SUMIF($AO$11:$AO$1309,AO1002,$BB$11:$BB$1309)=COUNTIF($AO$11:$AO$1309,AO1002),SUMIF($AO$11:$AO$1309,AO1002,$AS$11:$AS$1309),"")</f>
        <v>1.0519173612688397</v>
      </c>
      <c r="BD1002" s="11" t="n">
        <f>IF(SUMIF($AO$11:$AO$1309,AO1002,$BB$11:$BB$1309)=COUNTIF($AO$11:$AO$1309,AO1002),SUMIF($AO$11:$AO$1309,AO1002,$AW$11:$AW$1309),"")</f>
        <v>1.2745989304812833</v>
      </c>
      <c r="BE1002" s="11" t="n">
        <f>IF(SUMIF($AO$11:$AO$1309,AO1002,$BB$11:$BB$1309)=COUNTIF($AO$11:$AO$1309,AO1002),SUMIF($AO$11:$AO$1309,AO1002,$BA$11:$BA$1309),"")</f>
        <v>1.1766292134831462</v>
      </c>
      <c r="BF1002" s="12" t="n">
        <f>IF(COUNT(BD1002:BE1002)&lt;&gt;2,"",IF(AND(BD1002&gt;0,BE1002&gt;0),0.7*AW1002/BD1002+0.3*BA1002/BE1002,IF(BD1002&gt;0,AW1002/BD1002,IF(BE1002&gt;0,BA1002/BE1002,IF(AND(ISNUMBER(BH1002),BH1002=0),0,"")))))</f>
        <v>0.02749163742389226</v>
      </c>
      <c r="BG1002" s="11" t="n">
        <f>IF(AND(COUNT(BN1002:BU1002)=8,MIN(BN1002:BU1002)&gt;=0),SUMPRODUCT(BN1002:BQ1002,BR1002:BU1002),"")</f>
        <v>94.47778160343367</v>
      </c>
      <c r="BH1002" s="11" t="n">
        <f>IF(COUNT(BC1002,BG1002)=2,BC1002*BG1002,"")</f>
        <v>99.38281872281767</v>
      </c>
      <c r="BI1002" s="11" t="n">
        <f>IF(ISNUMBER(CI1002),CI1002,"")</f>
        <v>2.732196418492115</v>
      </c>
      <c r="BJ1002" s="8" t="str"/>
      <c r="BK1002" s="8" t="str">
        <v>90天：2026-07-20 至 2026-10-17；180天：2026-04-21 至 2026-10-17</v>
      </c>
      <c r="BL1002" s="8" t="str">
        <v>90天：2026-10-06、2026-10-07、2026-10-12、2026-10-13、2026-10-16；180天：2026-10-06、2026-10-07、2026-10-12、2026-10-13、2026-10-16</v>
      </c>
      <c r="BM1002" s="8" t="str">
        <v>2026-10：12天 × 1.1090677182221615；2026-11：30天 × 1.0372741535934282；2026-12：31天 × 0.979949351738161；2027-01：17天 × 1.1571949690048173</v>
      </c>
      <c r="BN1002" s="11" t="n">
        <v>1.1090677182221615</v>
      </c>
      <c r="BO1002" s="11" t="n">
        <v>1.0372741535934282</v>
      </c>
      <c r="BP1002" s="11" t="n">
        <v>0.979949351738161</v>
      </c>
      <c r="BQ1002" s="11" t="n">
        <v>1.1571949690048173</v>
      </c>
      <c r="BR1002" s="8" t="n">
        <v>12</v>
      </c>
      <c r="BS1002" s="8" t="n">
        <v>30</v>
      </c>
      <c r="BT1002" s="8" t="n">
        <v>31</v>
      </c>
      <c r="BU1002" s="8" t="n">
        <v>17</v>
      </c>
      <c r="BV1002" s="11" t="n">
        <f>IF(COUNT(BC1002,BF1002)=2,BC1002*BF1002,"")</f>
        <v>0.02891893069590043</v>
      </c>
      <c r="BW1002" s="11" t="n">
        <f>IF(ISNUMBER(BN1002),BN1002,"")</f>
        <v>1.1090677182221615</v>
      </c>
      <c r="BX1002" s="14" t="n">
        <f>IF(ISNUMBER(BR1002),BR1002,"")</f>
        <v>12</v>
      </c>
      <c r="BY1002" s="13" t="n">
        <f>IF(AND(COUNT(BV1002,BW1002,BX1002)=3,MIN(BV1002,BW1002,BX1002)&gt;=0),BV1002*BW1002*BX1002,"")</f>
        <v>0.3848766297639254</v>
      </c>
      <c r="BZ1002" s="11" t="n">
        <f>IF(ISNUMBER(BO1002),BO1002,"")</f>
        <v>1.0372741535934282</v>
      </c>
      <c r="CA1002" s="14" t="n">
        <f>IF(ISNUMBER(BS1002),BS1002,"")</f>
        <v>30</v>
      </c>
      <c r="CB1002" s="13" t="n">
        <f>IF(AND(COUNT(BV1002,BZ1002,CA1002)=3,MIN(BV1002,BZ1002,CA1002)&gt;=0),BV1002*BZ1002*CA1002,"")</f>
        <v>0.8999057808125138</v>
      </c>
      <c r="CC1002" s="11" t="n">
        <f>IF(ISNUMBER(BP1002),BP1002,"")</f>
        <v>0.979949351738161</v>
      </c>
      <c r="CD1002" s="14" t="n">
        <f>IF(ISNUMBER(BT1002),BT1002,"")</f>
        <v>31</v>
      </c>
      <c r="CE1002" s="13" t="n">
        <f>IF(AND(COUNT(BV1002,CC1002,CD1002)=3,MIN(BV1002,CC1002,CD1002)&gt;=0),BV1002*CC1002*CD1002,"")</f>
        <v>0.8785117090406614</v>
      </c>
      <c r="CF1002" s="11" t="n">
        <f>IF(ISNUMBER(BQ1002),BQ1002,"")</f>
        <v>1.1571949690048173</v>
      </c>
      <c r="CG1002" s="14" t="n">
        <f>IF(ISNUMBER(BU1002),BU1002,"")</f>
        <v>17</v>
      </c>
      <c r="CH1002" s="13" t="n">
        <f>IF(AND(COUNT(BV1002,CF1002,CG1002)=3,MIN(BV1002,CF1002,CG1002)&gt;=0),BV1002*CF1002*CG1002,"")</f>
        <v>0.5689022988750142</v>
      </c>
      <c r="CI1002" s="13" t="n">
        <f>IF(COUNT(BY1002,CB1002,CE1002,CH1002)=4,SUM(BY1002,CB1002,CE1002,CH1002),"")</f>
        <v>2.732196418492115</v>
      </c>
    </row>
    <row r="1003" ht="72" customHeight="1">
      <c r="A1003" s="16" t="str">
        <v>B06b-RD-37</v>
      </c>
      <c r="B1003" s="16" t="str">
        <v>1店-MUSSHOE-US</v>
      </c>
      <c r="C1003" s="16" t="str">
        <v>艾年</v>
      </c>
      <c r="D1003" s="26" t="n">
        <f>IF(NOT(ISNUMBER(E1003)),"",IF(OR(E1003&lt;=0,L1003=0),0,IF(OR(NOT(ISNUMBER(F1003)),F1003&lt;0),"",MIN(E1003,INT(F1003)))))</f>
        <v>0</v>
      </c>
      <c r="E1003" s="27" t="n">
        <f>IF(OR(NOT(ISNUMBER(L1003)),COUNT(M1003:O1003)&lt;&gt;3,MIN(M1003:O1003)&lt;0),"",ROUNDUP(ROUND(BI1003-SUM(M1003:O1003),10),0))</f>
        <v>-16</v>
      </c>
      <c r="F1003" s="28" t="n">
        <v>0</v>
      </c>
      <c r="G1003" s="28" t="n">
        <f>IF(AND(ISNUMBER(D1003),ISNUMBER(E1003)),IF(OR(E1003&lt;=0,L1003=0),0,E1003-D1003),"")</f>
        <v>0</v>
      </c>
      <c r="H1003" s="16" t="str">
        <f>IF(NOT(ISNUMBER(E1003)),"销量或海外库存待补",IF(OR(E1003&lt;=0,L1003=0),IF(L1003=0,"零日销，本批不发","本批无需补货"),IF(NOT(ISNUMBER(D1003)),"国内库存待补",IF(D1003=0,"国内无可用库存",IF(G1003&gt;0,"先发国内现货","按建议量发货")))))</f>
        <v>本批无需补货</v>
      </c>
      <c r="I1003" s="28" t="n">
        <f>IF(AND(COUNT(Z1003,AA1003,AB1003)=3,Z1003&gt;=AA1003,AA1003&gt;=0,AB1003=7),Z1003-AA1003,"")</f>
        <v>0</v>
      </c>
      <c r="J1003" s="28" t="n">
        <f>IF(AND(COUNT(AF1003,AG1003,AH1003)=3,AF1003&gt;=AG1003,AG1003&gt;=0,AH1003=14),AF1003-AG1003,"")</f>
        <v>0</v>
      </c>
      <c r="K1003" s="28" t="n">
        <f>IF(AND(COUNT(AL1003,AM1003,AN1003)=3,AL1003&gt;=AM1003,AM1003&gt;=0,AN1003=30),AL1003-AM1003,"")</f>
        <v>0</v>
      </c>
      <c r="L1003" s="29" t="n">
        <f>IF(ISNUMBER(BI1003),BI1003/90,"")</f>
        <v>0.003928421510415597</v>
      </c>
      <c r="M1003" s="28" t="n">
        <v>16</v>
      </c>
      <c r="N1003" s="28" t="n">
        <v>0</v>
      </c>
      <c r="O1003" s="28" t="n">
        <v>0</v>
      </c>
      <c r="P1003" s="30" t="n">
        <f>IF(AND(ISNUMBER(L1003),L1003&gt;0,COUNT(M1003:O1003)=3,MIN(M1003:O1003)&gt;=0),SUM(M1003:O1003)/L1003,"")</f>
        <v>4072.882697943308</v>
      </c>
      <c r="Q1003" s="16" t="str">
        <v>沿用原计划SKU店铺</v>
      </c>
      <c r="R1003" s="16" t="str">
        <v>已匹配</v>
      </c>
      <c r="S1003" s="16" t="str">
        <v>在售</v>
      </c>
      <c r="T1003" s="16" t="str">
        <v>B06b</v>
      </c>
      <c r="U1003" s="16" t="str">
        <v>大红色羊京绒</v>
      </c>
      <c r="V1003" s="16" t="n">
        <v>6</v>
      </c>
      <c r="W1003" s="8" t="str">
        <v>2026-10-11 至 2026-10-17</v>
      </c>
      <c r="X1003" s="8" t="str">
        <v>2026-10-11、2026-10-12、2026-10-13、2026-10-14、2026-10-15、2026-10-16、2026-10-17</v>
      </c>
      <c r="Y1003" s="8" t="str">
        <v>无</v>
      </c>
      <c r="Z1003" s="8" t="n">
        <v>0</v>
      </c>
      <c r="AA1003" s="8" t="n">
        <v>0</v>
      </c>
      <c r="AB1003" s="8" t="n">
        <v>7</v>
      </c>
      <c r="AC1003" s="8" t="str">
        <v>2026-10-02 至 2026-10-17</v>
      </c>
      <c r="AD1003" s="8" t="str">
        <v>2026-10-02、2026-10-03、2026-10-04、2026-10-05、2026-10-08、2026-10-09、2026-10-10、2026-10-11、2026-10-12、2026-10-13、2026-10-14、2026-10-15、2026-10-16、2026-10-17</v>
      </c>
      <c r="AE1003" s="8" t="str">
        <v>2026-10-06 大促；2026-10-07 大促</v>
      </c>
      <c r="AF1003" s="8" t="n">
        <v>0</v>
      </c>
      <c r="AG1003" s="8" t="n">
        <v>0</v>
      </c>
      <c r="AH1003" s="8" t="n">
        <v>14</v>
      </c>
      <c r="AI1003" s="8" t="str">
        <v>2026-09-16 至 2026-10-17</v>
      </c>
      <c r="AJ10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3" s="8" t="str">
        <v>2026-10-06 大促；2026-10-07 大促</v>
      </c>
      <c r="AL1003" s="8" t="n">
        <v>0</v>
      </c>
      <c r="AM1003" s="8" t="n">
        <v>0</v>
      </c>
      <c r="AN1003" s="8" t="n">
        <v>30</v>
      </c>
      <c r="AO1003" s="8" t="str">
        <v>B06b / 大红色羊京绒 / 13120</v>
      </c>
      <c r="AP1003" s="11" t="n">
        <v>1.1090677182221615</v>
      </c>
      <c r="AQ1003" s="11" t="n">
        <v>1.1090677182221615</v>
      </c>
      <c r="AR1003" s="11" t="n">
        <v>0.9505188216044452</v>
      </c>
      <c r="AS1003" s="11" t="n">
        <f>IF(AND(COUNT(I1003:K1003,AP1003:AR1003)=6,MIN(AP1003:AR1003)&gt;0),I1003/7/AP1003*0.5+J1003/14/AQ1003*0.3+K1003/30/AR1003*0.2,"")</f>
        <v>0</v>
      </c>
      <c r="AT1003" s="8" t="n">
        <v>1</v>
      </c>
      <c r="AU1003" s="8" t="n">
        <v>0</v>
      </c>
      <c r="AV1003" s="8" t="n">
        <v>88</v>
      </c>
      <c r="AW1003" s="11" t="n">
        <f>IF(AND(COUNT(AT1003:AV1003)=3,AT1003&gt;=AU1003,AU1003&gt;=0,AV1003&gt;0),(AT1003-AU1003)/AV1003,"")</f>
        <v>0.011363636363636364</v>
      </c>
      <c r="AX1003" s="8" t="n">
        <v>1</v>
      </c>
      <c r="AY1003" s="8" t="n">
        <v>0</v>
      </c>
      <c r="AZ1003" s="8" t="n">
        <v>178</v>
      </c>
      <c r="BA1003" s="11" t="n">
        <f>IF(AND(COUNT(AX1003:AZ1003)=3,AX1003&gt;=AY1003,AY1003&gt;=0,AZ1003&gt;0),(AX1003-AY1003)/AZ1003,"")</f>
        <v>0.0056179775280898875</v>
      </c>
      <c r="BB1003" s="8" t="n">
        <f>IF(COUNT(AS1003,AW1003,BA1003)=3,1,0)</f>
        <v>1</v>
      </c>
      <c r="BC1003" s="11" t="n">
        <f>IF(SUMIF($AO$11:$AO$1309,AO1003,$BB$11:$BB$1309)=COUNTIF($AO$11:$AO$1309,AO1003),SUMIF($AO$11:$AO$1309,AO1003,$AS$11:$AS$1309),"")</f>
        <v>0.1047665445001248</v>
      </c>
      <c r="BD1003" s="11" t="n">
        <f>IF(SUMIF($AO$11:$AO$1309,AO1003,$BB$11:$BB$1309)=COUNTIF($AO$11:$AO$1309,AO1003),SUMIF($AO$11:$AO$1309,AO1003,$AW$11:$AW$1309),"")</f>
        <v>0.28569518716577535</v>
      </c>
      <c r="BE1003" s="11" t="n">
        <f>IF(SUMIF($AO$11:$AO$1309,AO1003,$BB$11:$BB$1309)=COUNTIF($AO$11:$AO$1309,AO1003),SUMIF($AO$11:$AO$1309,AO1003,$BA$11:$BA$1309),"")</f>
        <v>0.21396468699839485</v>
      </c>
      <c r="BF1003" s="12" t="n">
        <f>IF(COUNT(BD1003:BE1003)&lt;&gt;2,"",IF(AND(BD1003&gt;0,BE1003&gt;0),0.7*AW1003/BD1003+0.3*BA1003/BE1003,IF(BD1003&gt;0,AW1003/BD1003,IF(BE1003&gt;0,BA1003/BE1003,IF(AND(ISNUMBER(BH1003),BH1003=0),0,"")))))</f>
        <v>0.035719739480962895</v>
      </c>
      <c r="BG1003" s="11" t="n">
        <f>IF(AND(COUNT(BN1003:BU1003)=8,MIN(BN1003:BU1003)&gt;=0),SUMPRODUCT(BN1003:BQ1003,BR1003:BU1003),"")</f>
        <v>94.47778160343367</v>
      </c>
      <c r="BH1003" s="11" t="n">
        <f>IF(COUNT(BC1003,BG1003)=2,BC1003*BG1003,"")</f>
        <v>9.898110710629206</v>
      </c>
      <c r="BI1003" s="11" t="n">
        <f>IF(ISNUMBER(CI1003),CI1003,"")</f>
        <v>0.3535579359374037</v>
      </c>
      <c r="BJ1003" s="8" t="str">
        <v>近180天本色销量49双（＜90），无有效新采购，请运营判断</v>
      </c>
      <c r="BK1003" s="8" t="str">
        <v>90天：2026-07-20 至 2026-10-17；180天：2026-04-21 至 2026-10-17</v>
      </c>
      <c r="BL1003" s="8" t="str">
        <v>90天：2026-10-06、2026-10-07；180天：2026-10-06、2026-10-07</v>
      </c>
      <c r="BM1003" s="8" t="str">
        <v>2026-10：12天 × 1.1090677182221615；2026-11：30天 × 1.0372741535934282；2026-12：31天 × 0.979949351738161；2027-01：17天 × 1.1571949690048173</v>
      </c>
      <c r="BN1003" s="11" t="n">
        <v>1.1090677182221615</v>
      </c>
      <c r="BO1003" s="11" t="n">
        <v>1.0372741535934282</v>
      </c>
      <c r="BP1003" s="11" t="n">
        <v>0.979949351738161</v>
      </c>
      <c r="BQ1003" s="11" t="n">
        <v>1.1571949690048173</v>
      </c>
      <c r="BR1003" s="8" t="n">
        <v>12</v>
      </c>
      <c r="BS1003" s="8" t="n">
        <v>30</v>
      </c>
      <c r="BT1003" s="8" t="n">
        <v>31</v>
      </c>
      <c r="BU1003" s="8" t="n">
        <v>17</v>
      </c>
      <c r="BV1003" s="11" t="n">
        <f>IF(COUNT(BC1003,BF1003)=2,BC1003*BF1003,"")</f>
        <v>0.003742233675865164</v>
      </c>
      <c r="BW1003" s="11" t="n">
        <f>IF(ISNUMBER(BN1003),BN1003,"")</f>
        <v>1.1090677182221615</v>
      </c>
      <c r="BX1003" s="14" t="n">
        <f>IF(ISNUMBER(BR1003),BR1003,"")</f>
        <v>12</v>
      </c>
      <c r="BY1003" s="13" t="n">
        <f>IF(AND(COUNT(BV1003,BW1003,BX1003)=3,MIN(BV1003,BW1003,BX1003)&gt;=0),BV1003*BW1003*BX1003,"")</f>
        <v>0.04980468676735091</v>
      </c>
      <c r="BZ1003" s="11" t="n">
        <f>IF(ISNUMBER(BO1003),BO1003,"")</f>
        <v>1.0372741535934282</v>
      </c>
      <c r="CA1003" s="14" t="n">
        <f>IF(ISNUMBER(BS1003),BS1003,"")</f>
        <v>30</v>
      </c>
      <c r="CB1003" s="13" t="n">
        <f>IF(AND(COUNT(BV1003,BZ1003,CA1003)=3,MIN(BV1003,BZ1003,CA1003)&gt;=0),BV1003*BZ1003*CA1003,"")</f>
        <v>0.11645166806045586</v>
      </c>
      <c r="CC1003" s="11" t="n">
        <f>IF(ISNUMBER(BP1003),BP1003,"")</f>
        <v>0.979949351738161</v>
      </c>
      <c r="CD1003" s="14" t="n">
        <f>IF(ISNUMBER(BT1003),BT1003,"")</f>
        <v>31</v>
      </c>
      <c r="CE1003" s="13" t="n">
        <f>IF(AND(COUNT(BV1003,CC1003,CD1003)=3,MIN(BV1003,CC1003,CD1003)&gt;=0),BV1003*CC1003*CD1003,"")</f>
        <v>0.11368318340622026</v>
      </c>
      <c r="CF1003" s="11" t="n">
        <f>IF(ISNUMBER(BQ1003),BQ1003,"")</f>
        <v>1.1571949690048173</v>
      </c>
      <c r="CG1003" s="14" t="n">
        <f>IF(ISNUMBER(BU1003),BU1003,"")</f>
        <v>17</v>
      </c>
      <c r="CH1003" s="13" t="n">
        <f>IF(AND(COUNT(BV1003,CF1003,CG1003)=3,MIN(BV1003,CF1003,CG1003)&gt;=0),BV1003*CF1003*CG1003,"")</f>
        <v>0.07361839770337672</v>
      </c>
      <c r="CI1003" s="13" t="n">
        <f>IF(COUNT(BY1003,CB1003,CE1003,CH1003)=4,SUM(BY1003,CB1003,CE1003,CH1003),"")</f>
        <v>0.3535579359374037</v>
      </c>
    </row>
    <row r="1004" ht="72" customHeight="1">
      <c r="A1004" s="16" t="str">
        <v>B06b-RD-39</v>
      </c>
      <c r="B1004" s="16" t="str">
        <v>1店-MUSSHOE-US</v>
      </c>
      <c r="C1004" s="16" t="str">
        <v>艾年</v>
      </c>
      <c r="D1004" s="26" t="n">
        <f>IF(NOT(ISNUMBER(E1004)),"",IF(OR(E1004&lt;=0,L1004=0),0,IF(OR(NOT(ISNUMBER(F1004)),F1004&lt;0),"",MIN(E1004,INT(F1004)))))</f>
        <v>0</v>
      </c>
      <c r="E1004" s="27" t="n">
        <f>IF(OR(NOT(ISNUMBER(L1004)),COUNT(M1004:O1004)&lt;&gt;3,MIN(M1004:O1004)&lt;0),"",ROUNDUP(ROUND(BI1004-SUM(M1004:O1004),10),0))</f>
        <v>-22</v>
      </c>
      <c r="F1004" s="28" t="n">
        <v>0</v>
      </c>
      <c r="G1004" s="28" t="n">
        <f>IF(AND(ISNUMBER(D1004),ISNUMBER(E1004)),IF(OR(E1004&lt;=0,L1004=0),0,E1004-D1004),"")</f>
        <v>0</v>
      </c>
      <c r="H1004" s="16" t="str">
        <f>IF(NOT(ISNUMBER(E1004)),"销量或海外库存待补",IF(OR(E1004&lt;=0,L1004=0),IF(L1004=0,"零日销，本批不发","本批无需补货"),IF(NOT(ISNUMBER(D1004)),"国内库存待补",IF(D1004=0,"国内无可用库存",IF(G1004&gt;0,"先发国内现货","按建议量发货")))))</f>
        <v>本批无需补货</v>
      </c>
      <c r="I1004" s="28" t="n">
        <f>IF(AND(COUNT(Z1004,AA1004,AB1004)=3,Z1004&gt;=AA1004,AA1004&gt;=0,AB1004=7),Z1004-AA1004,"")</f>
        <v>1</v>
      </c>
      <c r="J1004" s="28" t="n">
        <f>IF(AND(COUNT(AF1004,AG1004,AH1004)=3,AF1004&gt;=AG1004,AG1004&gt;=0,AH1004=14),AF1004-AG1004,"")</f>
        <v>1</v>
      </c>
      <c r="K1004" s="28" t="n">
        <f>IF(AND(COUNT(AL1004,AM1004,AN1004)=3,AL1004&gt;=AM1004,AM1004&gt;=0,AN1004=30),AL1004-AM1004,"")</f>
        <v>2</v>
      </c>
      <c r="L1004" s="29" t="n">
        <f>IF(ISNUMBER(BI1004),BI1004/90,"")</f>
        <v>0.04887366064997853</v>
      </c>
      <c r="M1004" s="28" t="n">
        <v>26</v>
      </c>
      <c r="N1004" s="28" t="n">
        <v>0</v>
      </c>
      <c r="O1004" s="28" t="n">
        <v>0</v>
      </c>
      <c r="P1004" s="30" t="n">
        <f>IF(AND(ISNUMBER(L1004),L1004&gt;0,COUNT(M1004:O1004)=3,MIN(M1004:O1004)&gt;=0),SUM(M1004:O1004)/L1004,"")</f>
        <v>531.9838877264747</v>
      </c>
      <c r="Q1004" s="16" t="str">
        <v>沿用原计划SKU店铺</v>
      </c>
      <c r="R1004" s="16" t="str">
        <v>已匹配</v>
      </c>
      <c r="S1004" s="16" t="str">
        <v>在售</v>
      </c>
      <c r="T1004" s="16" t="str">
        <v>B06b</v>
      </c>
      <c r="U1004" s="16" t="str">
        <v>大红色羊京绒</v>
      </c>
      <c r="V1004" s="16" t="n">
        <v>8</v>
      </c>
      <c r="W1004" s="8" t="str">
        <v>2026-10-11 至 2026-10-17</v>
      </c>
      <c r="X1004" s="8" t="str">
        <v>2026-10-11、2026-10-12、2026-10-13、2026-10-14、2026-10-15、2026-10-16、2026-10-17</v>
      </c>
      <c r="Y1004" s="8" t="str">
        <v>无</v>
      </c>
      <c r="Z1004" s="8" t="n">
        <v>1</v>
      </c>
      <c r="AA1004" s="8" t="n">
        <v>0</v>
      </c>
      <c r="AB1004" s="8" t="n">
        <v>7</v>
      </c>
      <c r="AC1004" s="8" t="str">
        <v>2026-10-02 至 2026-10-17</v>
      </c>
      <c r="AD1004" s="8" t="str">
        <v>2026-10-02、2026-10-03、2026-10-04、2026-10-05、2026-10-08、2026-10-09、2026-10-10、2026-10-11、2026-10-12、2026-10-13、2026-10-14、2026-10-15、2026-10-16、2026-10-17</v>
      </c>
      <c r="AE1004" s="8" t="str">
        <v>2026-10-06 大促；2026-10-07 大促</v>
      </c>
      <c r="AF1004" s="8" t="n">
        <v>1</v>
      </c>
      <c r="AG1004" s="8" t="n">
        <v>0</v>
      </c>
      <c r="AH1004" s="8" t="n">
        <v>14</v>
      </c>
      <c r="AI1004" s="8" t="str">
        <v>2026-09-16 至 2026-10-17</v>
      </c>
      <c r="AJ10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4" s="8" t="str">
        <v>2026-10-06 大促；2026-10-07 大促</v>
      </c>
      <c r="AL1004" s="8" t="n">
        <v>2</v>
      </c>
      <c r="AM1004" s="8" t="n">
        <v>0</v>
      </c>
      <c r="AN1004" s="8" t="n">
        <v>30</v>
      </c>
      <c r="AO1004" s="8" t="str">
        <v>B06b / 大红色羊京绒 / 13120</v>
      </c>
      <c r="AP1004" s="11" t="n">
        <v>1.1090677182221615</v>
      </c>
      <c r="AQ1004" s="11" t="n">
        <v>1.1090677182221615</v>
      </c>
      <c r="AR1004" s="11" t="n">
        <v>0.9505188216044452</v>
      </c>
      <c r="AS1004" s="11" t="n">
        <f>IF(AND(COUNT(I1004:K1004,AP1004:AR1004)=6,MIN(AP1004:AR1004)&gt;0),I1004/7/AP1004*0.5+J1004/14/AQ1004*0.3+K1004/30/AR1004*0.2,"")</f>
        <v>0.0977528310258208</v>
      </c>
      <c r="AT1004" s="8" t="n">
        <v>12</v>
      </c>
      <c r="AU1004" s="8" t="n">
        <v>0</v>
      </c>
      <c r="AV1004" s="8" t="n">
        <v>88</v>
      </c>
      <c r="AW1004" s="11" t="n">
        <f>IF(AND(COUNT(AT1004:AV1004)=3,AT1004&gt;=AU1004,AU1004&gt;=0,AV1004&gt;0),(AT1004-AU1004)/AV1004,"")</f>
        <v>0.13636363636363635</v>
      </c>
      <c r="AX1004" s="8" t="n">
        <v>14</v>
      </c>
      <c r="AY1004" s="8" t="n">
        <v>0</v>
      </c>
      <c r="AZ1004" s="8" t="n">
        <v>178</v>
      </c>
      <c r="BA1004" s="11" t="n">
        <f>IF(AND(COUNT(AX1004:AZ1004)=3,AX1004&gt;=AY1004,AY1004&gt;=0,AZ1004&gt;0),(AX1004-AY1004)/AZ1004,"")</f>
        <v>0.07865168539325842</v>
      </c>
      <c r="BB1004" s="8" t="n">
        <f>IF(COUNT(AS1004,AW1004,BA1004)=3,1,0)</f>
        <v>1</v>
      </c>
      <c r="BC1004" s="11" t="n">
        <f>IF(SUMIF($AO$11:$AO$1309,AO1004,$BB$11:$BB$1309)=COUNTIF($AO$11:$AO$1309,AO1004),SUMIF($AO$11:$AO$1309,AO1004,$AS$11:$AS$1309),"")</f>
        <v>0.1047665445001248</v>
      </c>
      <c r="BD1004" s="11" t="n">
        <f>IF(SUMIF($AO$11:$AO$1309,AO1004,$BB$11:$BB$1309)=COUNTIF($AO$11:$AO$1309,AO1004),SUMIF($AO$11:$AO$1309,AO1004,$AW$11:$AW$1309),"")</f>
        <v>0.28569518716577535</v>
      </c>
      <c r="BE1004" s="11" t="n">
        <f>IF(SUMIF($AO$11:$AO$1309,AO1004,$BB$11:$BB$1309)=COUNTIF($AO$11:$AO$1309,AO1004),SUMIF($AO$11:$AO$1309,AO1004,$BA$11:$BA$1309),"")</f>
        <v>0.21396468699839485</v>
      </c>
      <c r="BF1004" s="12" t="n">
        <f>IF(COUNT(BD1004:BE1004)&lt;&gt;2,"",IF(AND(BD1004&gt;0,BE1004&gt;0),0.7*AW1004/BD1004+0.3*BA1004/BE1004,IF(BD1004&gt;0,AW1004/BD1004,IF(BE1004&gt;0,BA1004/BE1004,IF(AND(ISNUMBER(BH1004),BH1004=0),0,"")))))</f>
        <v>0.4443908122561759</v>
      </c>
      <c r="BG1004" s="11" t="n">
        <f>IF(AND(COUNT(BN1004:BU1004)=8,MIN(BN1004:BU1004)&gt;=0),SUMPRODUCT(BN1004:BQ1004,BR1004:BU1004),"")</f>
        <v>94.47778160343367</v>
      </c>
      <c r="BH1004" s="11" t="n">
        <f>IF(COUNT(BC1004,BG1004)=2,BC1004*BG1004,"")</f>
        <v>9.898110710629206</v>
      </c>
      <c r="BI1004" s="11" t="n">
        <f>IF(ISNUMBER(CI1004),CI1004,"")</f>
        <v>4.398629458498068</v>
      </c>
      <c r="BJ1004" s="8" t="str">
        <v>近180天本色销量49双（＜90），无有效新采购，请运营判断</v>
      </c>
      <c r="BK1004" s="8" t="str">
        <v>90天：2026-07-20 至 2026-10-17；180天：2026-04-21 至 2026-10-17</v>
      </c>
      <c r="BL1004" s="8" t="str">
        <v>90天：2026-10-06、2026-10-07；180天：2026-10-06、2026-10-07</v>
      </c>
      <c r="BM1004" s="8" t="str">
        <v>2026-10：12天 × 1.1090677182221615；2026-11：30天 × 1.0372741535934282；2026-12：31天 × 0.979949351738161；2027-01：17天 × 1.1571949690048173</v>
      </c>
      <c r="BN1004" s="11" t="n">
        <v>1.1090677182221615</v>
      </c>
      <c r="BO1004" s="11" t="n">
        <v>1.0372741535934282</v>
      </c>
      <c r="BP1004" s="11" t="n">
        <v>0.979949351738161</v>
      </c>
      <c r="BQ1004" s="11" t="n">
        <v>1.1571949690048173</v>
      </c>
      <c r="BR1004" s="8" t="n">
        <v>12</v>
      </c>
      <c r="BS1004" s="8" t="n">
        <v>30</v>
      </c>
      <c r="BT1004" s="8" t="n">
        <v>31</v>
      </c>
      <c r="BU1004" s="8" t="n">
        <v>17</v>
      </c>
      <c r="BV1004" s="11" t="n">
        <f>IF(COUNT(BC1004,BF1004)=2,BC1004*BF1004,"")</f>
        <v>0.046557289807683255</v>
      </c>
      <c r="BW1004" s="11" t="n">
        <f>IF(ISNUMBER(BN1004),BN1004,"")</f>
        <v>1.1090677182221615</v>
      </c>
      <c r="BX1004" s="14" t="n">
        <f>IF(ISNUMBER(BR1004),BR1004,"")</f>
        <v>12</v>
      </c>
      <c r="BY1004" s="13" t="n">
        <f>IF(AND(COUNT(BV1004,BW1004,BX1004)=3,MIN(BV1004,BW1004,BX1004)&gt;=0),BV1004*BW1004*BX1004,"")</f>
        <v>0.619622246083382</v>
      </c>
      <c r="BZ1004" s="11" t="n">
        <f>IF(ISNUMBER(BO1004),BO1004,"")</f>
        <v>1.0372741535934282</v>
      </c>
      <c r="CA1004" s="14" t="n">
        <f>IF(ISNUMBER(BS1004),BS1004,"")</f>
        <v>30</v>
      </c>
      <c r="CB1004" s="13" t="n">
        <f>IF(AND(COUNT(BV1004,BZ1004,CA1004)=3,MIN(BV1004,BZ1004,CA1004)&gt;=0),BV1004*BZ1004*CA1004,"")</f>
        <v>1.4487802013660578</v>
      </c>
      <c r="CC1004" s="11" t="n">
        <f>IF(ISNUMBER(BP1004),BP1004,"")</f>
        <v>0.979949351738161</v>
      </c>
      <c r="CD1004" s="14" t="n">
        <f>IF(ISNUMBER(BT1004),BT1004,"")</f>
        <v>31</v>
      </c>
      <c r="CE1004" s="13" t="n">
        <f>IF(AND(COUNT(BV1004,CC1004,CD1004)=3,MIN(BV1004,CC1004,CD1004)&gt;=0),BV1004*CC1004*CD1004,"")</f>
        <v>1.4143373649374718</v>
      </c>
      <c r="CF1004" s="11" t="n">
        <f>IF(ISNUMBER(BQ1004),BQ1004,"")</f>
        <v>1.1571949690048173</v>
      </c>
      <c r="CG1004" s="14" t="n">
        <f>IF(ISNUMBER(BU1004),BU1004,"")</f>
        <v>17</v>
      </c>
      <c r="CH1004" s="13" t="n">
        <f>IF(AND(COUNT(BV1004,CF1004,CG1004)=3,MIN(BV1004,CF1004,CG1004)&gt;=0),BV1004*CF1004*CG1004,"")</f>
        <v>0.9158896461111555</v>
      </c>
      <c r="CI1004" s="13" t="n">
        <f>IF(COUNT(BY1004,CB1004,CE1004,CH1004)=4,SUM(BY1004,CB1004,CE1004,CH1004),"")</f>
        <v>4.398629458498068</v>
      </c>
    </row>
    <row r="1005" ht="72" customHeight="1">
      <c r="A1005" s="16" t="str">
        <v>B06b-RD-40</v>
      </c>
      <c r="B1005" s="16" t="str">
        <v>1店-MUSSHOE-US</v>
      </c>
      <c r="C1005" s="16" t="str">
        <v>艾年</v>
      </c>
      <c r="D1005" s="26" t="n">
        <f>IF(NOT(ISNUMBER(E1005)),"",IF(OR(E1005&lt;=0,L1005=0),0,IF(OR(NOT(ISNUMBER(F1005)),F1005&lt;0),"",MIN(E1005,INT(F1005)))))</f>
        <v>0</v>
      </c>
      <c r="E1005" s="27" t="n">
        <f>IF(OR(NOT(ISNUMBER(L1005)),COUNT(M1005:O1005)&lt;&gt;3,MIN(M1005:O1005)&lt;0),"",ROUNDUP(ROUND(BI1005-SUM(M1005:O1005),10),0))</f>
        <v>-4</v>
      </c>
      <c r="F1005" s="28" t="n">
        <v>0</v>
      </c>
      <c r="G1005" s="28" t="n">
        <f>IF(AND(ISNUMBER(D1005),ISNUMBER(E1005)),IF(OR(E1005&lt;=0,L1005=0),0,E1005-D1005),"")</f>
        <v>0</v>
      </c>
      <c r="H1005" s="16" t="str">
        <f>IF(NOT(ISNUMBER(E1005)),"销量或海外库存待补",IF(OR(E1005&lt;=0,L1005=0),IF(L1005=0,"零日销，本批不发","本批无需补货"),IF(NOT(ISNUMBER(D1005)),"国内库存待补",IF(D1005=0,"国内无可用库存",IF(G1005&gt;0,"先发国内现货","按建议量发货")))))</f>
        <v>本批无需补货</v>
      </c>
      <c r="I1005" s="28" t="n">
        <f>IF(AND(COUNT(Z1005,AA1005,AB1005)=3,Z1005&gt;=AA1005,AA1005&gt;=0,AB1005=7),Z1005-AA1005,"")</f>
        <v>0</v>
      </c>
      <c r="J1005" s="28" t="n">
        <f>IF(AND(COUNT(AF1005,AG1005,AH1005)=3,AF1005&gt;=AG1005,AG1005&gt;=0,AH1005=14),AF1005-AG1005,"")</f>
        <v>0</v>
      </c>
      <c r="K1005" s="28" t="n">
        <f>IF(AND(COUNT(AL1005,AM1005,AN1005)=3,AL1005&gt;=AM1005,AM1005&gt;=0,AN1005=30),AL1005-AM1005,"")</f>
        <v>1</v>
      </c>
      <c r="L1005" s="29" t="n">
        <f>IF(ISNUMBER(BI1005),BI1005/90,"")</f>
        <v>0.04009038470828157</v>
      </c>
      <c r="M1005" s="28" t="n">
        <v>7</v>
      </c>
      <c r="N1005" s="28" t="n">
        <v>0</v>
      </c>
      <c r="O1005" s="28" t="n">
        <v>0</v>
      </c>
      <c r="P1005" s="30" t="n">
        <f>IF(AND(ISNUMBER(L1005),L1005&gt;0,COUNT(M1005:O1005)=3,MIN(M1005:O1005)&gt;=0),SUM(M1005:O1005)/L1005,"")</f>
        <v>174.60545841442107</v>
      </c>
      <c r="Q1005" s="16" t="str">
        <v>沿用原计划SKU店铺</v>
      </c>
      <c r="R1005" s="16" t="str">
        <v>已匹配</v>
      </c>
      <c r="S1005" s="16" t="str">
        <v>在售</v>
      </c>
      <c r="T1005" s="16" t="str">
        <v>B06b</v>
      </c>
      <c r="U1005" s="16" t="str">
        <v>大红色羊京绒</v>
      </c>
      <c r="V1005" s="16" t="n">
        <v>9</v>
      </c>
      <c r="W1005" s="8" t="str">
        <v>2026-10-11 至 2026-10-17</v>
      </c>
      <c r="X1005" s="8" t="str">
        <v>2026-10-11、2026-10-12、2026-10-13、2026-10-14、2026-10-15、2026-10-16、2026-10-17</v>
      </c>
      <c r="Y1005" s="8" t="str">
        <v>无</v>
      </c>
      <c r="Z1005" s="8" t="n">
        <v>0</v>
      </c>
      <c r="AA1005" s="8" t="n">
        <v>0</v>
      </c>
      <c r="AB1005" s="8" t="n">
        <v>7</v>
      </c>
      <c r="AC1005" s="8" t="str">
        <v>2026-10-02 至 2026-10-17</v>
      </c>
      <c r="AD1005" s="8" t="str">
        <v>2026-10-02、2026-10-03、2026-10-04、2026-10-05、2026-10-08、2026-10-09、2026-10-10、2026-10-11、2026-10-12、2026-10-13、2026-10-14、2026-10-15、2026-10-16、2026-10-17</v>
      </c>
      <c r="AE1005" s="8" t="str">
        <v>2026-10-06 大促；2026-10-07 大促</v>
      </c>
      <c r="AF1005" s="8" t="n">
        <v>0</v>
      </c>
      <c r="AG1005" s="8" t="n">
        <v>0</v>
      </c>
      <c r="AH1005" s="8" t="n">
        <v>14</v>
      </c>
      <c r="AI1005" s="8" t="str">
        <v>2026-09-16 至 2026-10-17</v>
      </c>
      <c r="AJ10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5" s="8" t="str">
        <v>2026-10-06 大促；2026-10-07 大促</v>
      </c>
      <c r="AL1005" s="8" t="n">
        <v>1</v>
      </c>
      <c r="AM1005" s="8" t="n">
        <v>0</v>
      </c>
      <c r="AN1005" s="8" t="n">
        <v>30</v>
      </c>
      <c r="AO1005" s="8" t="str">
        <v>B06b / 大红色羊京绒 / 13120</v>
      </c>
      <c r="AP1005" s="11" t="n">
        <v>1.1090677182221615</v>
      </c>
      <c r="AQ1005" s="11" t="n">
        <v>1.1090677182221615</v>
      </c>
      <c r="AR1005" s="11" t="n">
        <v>0.9505188216044452</v>
      </c>
      <c r="AS1005" s="11" t="n">
        <f>IF(AND(COUNT(I1005:K1005,AP1005:AR1005)=6,MIN(AP1005:AR1005)&gt;0),I1005/7/AP1005*0.5+J1005/14/AQ1005*0.3+K1005/30/AR1005*0.2,"")</f>
        <v>0.00701371347430401</v>
      </c>
      <c r="AT1005" s="8" t="n">
        <v>8</v>
      </c>
      <c r="AU1005" s="8" t="n">
        <v>0</v>
      </c>
      <c r="AV1005" s="8" t="n">
        <v>88</v>
      </c>
      <c r="AW1005" s="11" t="n">
        <f>IF(AND(COUNT(AT1005:AV1005)=3,AT1005&gt;=AU1005,AU1005&gt;=0,AV1005&gt;0),(AT1005-AU1005)/AV1005,"")</f>
        <v>0.09090909090909091</v>
      </c>
      <c r="AX1005" s="8" t="n">
        <v>18</v>
      </c>
      <c r="AY1005" s="8" t="n">
        <v>0</v>
      </c>
      <c r="AZ1005" s="8" t="n">
        <v>178</v>
      </c>
      <c r="BA1005" s="11" t="n">
        <f>IF(AND(COUNT(AX1005:AZ1005)=3,AX1005&gt;=AY1005,AY1005&gt;=0,AZ1005&gt;0),(AX1005-AY1005)/AZ1005,"")</f>
        <v>0.10112359550561797</v>
      </c>
      <c r="BB1005" s="8" t="n">
        <f>IF(COUNT(AS1005,AW1005,BA1005)=3,1,0)</f>
        <v>1</v>
      </c>
      <c r="BC1005" s="11" t="n">
        <f>IF(SUMIF($AO$11:$AO$1309,AO1005,$BB$11:$BB$1309)=COUNTIF($AO$11:$AO$1309,AO1005),SUMIF($AO$11:$AO$1309,AO1005,$AS$11:$AS$1309),"")</f>
        <v>0.1047665445001248</v>
      </c>
      <c r="BD1005" s="11" t="n">
        <f>IF(SUMIF($AO$11:$AO$1309,AO1005,$BB$11:$BB$1309)=COUNTIF($AO$11:$AO$1309,AO1005),SUMIF($AO$11:$AO$1309,AO1005,$AW$11:$AW$1309),"")</f>
        <v>0.28569518716577535</v>
      </c>
      <c r="BE1005" s="11" t="n">
        <f>IF(SUMIF($AO$11:$AO$1309,AO1005,$BB$11:$BB$1309)=COUNTIF($AO$11:$AO$1309,AO1005),SUMIF($AO$11:$AO$1309,AO1005,$BA$11:$BA$1309),"")</f>
        <v>0.21396468699839485</v>
      </c>
      <c r="BF1005" s="12" t="n">
        <f>IF(COUNT(BD1005:BE1005)&lt;&gt;2,"",IF(AND(BD1005&gt;0,BE1005&gt;0),0.7*AW1005/BD1005+0.3*BA1005/BE1005,IF(BD1005&gt;0,AW1005/BD1005,IF(BE1005&gt;0,BA1005/BE1005,IF(AND(ISNUMBER(BH1005),BH1005=0),0,"")))))</f>
        <v>0.36452760827080893</v>
      </c>
      <c r="BG1005" s="11" t="n">
        <f>IF(AND(COUNT(BN1005:BU1005)=8,MIN(BN1005:BU1005)&gt;=0),SUMPRODUCT(BN1005:BQ1005,BR1005:BU1005),"")</f>
        <v>94.47778160343367</v>
      </c>
      <c r="BH1005" s="11" t="n">
        <f>IF(COUNT(BC1005,BG1005)=2,BC1005*BG1005,"")</f>
        <v>9.898110710629206</v>
      </c>
      <c r="BI1005" s="11" t="n">
        <f>IF(ISNUMBER(CI1005),CI1005,"")</f>
        <v>3.6081346237453418</v>
      </c>
      <c r="BJ1005" s="8" t="str">
        <v>近180天本色销量49双（＜90），无有效新采购，请运营判断</v>
      </c>
      <c r="BK1005" s="8" t="str">
        <v>90天：2026-07-20 至 2026-10-17；180天：2026-04-21 至 2026-10-17</v>
      </c>
      <c r="BL1005" s="8" t="str">
        <v>90天：2026-10-06、2026-10-07；180天：2026-10-06、2026-10-07</v>
      </c>
      <c r="BM1005" s="8" t="str">
        <v>2026-10：12天 × 1.1090677182221615；2026-11：30天 × 1.0372741535934282；2026-12：31天 × 0.979949351738161；2027-01：17天 × 1.1571949690048173</v>
      </c>
      <c r="BN1005" s="11" t="n">
        <v>1.1090677182221615</v>
      </c>
      <c r="BO1005" s="11" t="n">
        <v>1.0372741535934282</v>
      </c>
      <c r="BP1005" s="11" t="n">
        <v>0.979949351738161</v>
      </c>
      <c r="BQ1005" s="11" t="n">
        <v>1.1571949690048173</v>
      </c>
      <c r="BR1005" s="8" t="n">
        <v>12</v>
      </c>
      <c r="BS1005" s="8" t="n">
        <v>30</v>
      </c>
      <c r="BT1005" s="8" t="n">
        <v>31</v>
      </c>
      <c r="BU1005" s="8" t="n">
        <v>17</v>
      </c>
      <c r="BV1005" s="11" t="n">
        <f>IF(COUNT(BC1005,BF1005)=2,BC1005*BF1005,"")</f>
        <v>0.03819029789342777</v>
      </c>
      <c r="BW1005" s="11" t="n">
        <f>IF(ISNUMBER(BN1005),BN1005,"")</f>
        <v>1.1090677182221615</v>
      </c>
      <c r="BX1005" s="14" t="n">
        <f>IF(ISNUMBER(BR1005),BR1005,"")</f>
        <v>12</v>
      </c>
      <c r="BY1005" s="13" t="n">
        <f>IF(AND(COUNT(BV1005,BW1005,BX1005)=3,MIN(BV1005,BW1005,BX1005)&gt;=0),BV1005*BW1005*BX1005,"")</f>
        <v>0.5082675185146627</v>
      </c>
      <c r="BZ1005" s="11" t="n">
        <f>IF(ISNUMBER(BO1005),BO1005,"")</f>
        <v>1.0372741535934282</v>
      </c>
      <c r="CA1005" s="14" t="n">
        <f>IF(ISNUMBER(BS1005),BS1005,"")</f>
        <v>30</v>
      </c>
      <c r="CB1005" s="13" t="n">
        <f>IF(AND(COUNT(BV1005,BZ1005,CA1005)=3,MIN(BV1005,BZ1005,CA1005)&gt;=0),BV1005*BZ1005*CA1005,"")</f>
        <v>1.1884142676865852</v>
      </c>
      <c r="CC1005" s="11" t="n">
        <f>IF(ISNUMBER(BP1005),BP1005,"")</f>
        <v>0.979949351738161</v>
      </c>
      <c r="CD1005" s="14" t="n">
        <f>IF(ISNUMBER(BT1005),BT1005,"")</f>
        <v>31</v>
      </c>
      <c r="CE1005" s="13" t="n">
        <f>IF(AND(COUNT(BV1005,CC1005,CD1005)=3,MIN(BV1005,CC1005,CD1005)&gt;=0),BV1005*CC1005*CD1005,"")</f>
        <v>1.1601612875639056</v>
      </c>
      <c r="CF1005" s="11" t="n">
        <f>IF(ISNUMBER(BQ1005),BQ1005,"")</f>
        <v>1.1571949690048173</v>
      </c>
      <c r="CG1005" s="14" t="n">
        <f>IF(ISNUMBER(BU1005),BU1005,"")</f>
        <v>17</v>
      </c>
      <c r="CH1005" s="13" t="n">
        <f>IF(AND(COUNT(BV1005,CF1005,CG1005)=3,MIN(BV1005,CF1005,CG1005)&gt;=0),BV1005*CF1005*CG1005,"")</f>
        <v>0.7512915499801881</v>
      </c>
      <c r="CI1005" s="13" t="n">
        <f>IF(COUNT(BY1005,CB1005,CE1005,CH1005)=4,SUM(BY1005,CB1005,CE1005,CH1005),"")</f>
        <v>3.6081346237453418</v>
      </c>
    </row>
    <row r="1006" ht="72" customHeight="1">
      <c r="A1006" s="16" t="str">
        <v>B06b-RD-41</v>
      </c>
      <c r="B1006" s="16" t="str">
        <v>1店-MUSSHOE-US</v>
      </c>
      <c r="C1006" s="16" t="str">
        <v>艾年</v>
      </c>
      <c r="D1006" s="26" t="n">
        <f>IF(NOT(ISNUMBER(E1006)),"",IF(OR(E1006&lt;=0,L1006=0),0,IF(OR(NOT(ISNUMBER(F1006)),F1006&lt;0),"",MIN(E1006,INT(F1006)))))</f>
        <v>0</v>
      </c>
      <c r="E1006" s="27" t="n">
        <f>IF(OR(NOT(ISNUMBER(L1006)),COUNT(M1006:O1006)&lt;&gt;3,MIN(M1006:O1006)&lt;0),"",ROUNDUP(ROUND(BI1006-SUM(M1006:O1006),10),0))</f>
        <v>0</v>
      </c>
      <c r="F1006" s="28" t="n">
        <v>0</v>
      </c>
      <c r="G1006" s="28" t="n">
        <f>IF(AND(ISNUMBER(D1006),ISNUMBER(E1006)),IF(OR(E1006&lt;=0,L1006=0),0,E1006-D1006),"")</f>
        <v>0</v>
      </c>
      <c r="H1006" s="16" t="str">
        <f>IF(NOT(ISNUMBER(E1006)),"销量或海外库存待补",IF(OR(E1006&lt;=0,L1006=0),IF(L1006=0,"零日销，本批不发","本批无需补货"),IF(NOT(ISNUMBER(D1006)),"国内库存待补",IF(D1006=0,"国内无可用库存",IF(G1006&gt;0,"先发国内现货","按建议量发货")))))</f>
        <v>零日销，本批不发</v>
      </c>
      <c r="I1006" s="28" t="n">
        <f>IF(AND(COUNT(Z1006,AA1006,AB1006)=3,Z1006&gt;=AA1006,AA1006&gt;=0,AB1006=7),Z1006-AA1006,"")</f>
        <v>0</v>
      </c>
      <c r="J1006" s="28" t="n">
        <f>IF(AND(COUNT(AF1006,AG1006,AH1006)=3,AF1006&gt;=AG1006,AG1006&gt;=0,AH1006=14),AF1006-AG1006,"")</f>
        <v>0</v>
      </c>
      <c r="K1006" s="28" t="n">
        <f>IF(AND(COUNT(AL1006,AM1006,AN1006)=3,AL1006&gt;=AM1006,AM1006&gt;=0,AN1006=30),AL1006-AM1006,"")</f>
        <v>0</v>
      </c>
      <c r="L1006" s="29" t="n">
        <f>IF(ISNUMBER(BI1006),BI1006/90,"")</f>
        <v>0</v>
      </c>
      <c r="M1006" s="28" t="n">
        <v>0</v>
      </c>
      <c r="N1006" s="28" t="n">
        <v>0</v>
      </c>
      <c r="O1006" s="28" t="n">
        <v>0</v>
      </c>
      <c r="P1006" s="30" t="str">
        <f>IF(AND(ISNUMBER(L1006),L1006&gt;0,COUNT(M1006:O1006)=3,MIN(M1006:O1006)&gt;=0),SUM(M1006:O1006)/L1006,"")</f>
      </c>
      <c r="Q1006" s="16" t="str">
        <v>沿用原计划SKU店铺</v>
      </c>
      <c r="R1006" s="16" t="str">
        <v>已匹配</v>
      </c>
      <c r="S1006" s="16" t="str">
        <v>停售</v>
      </c>
      <c r="T1006" s="16" t="str">
        <v>B06b</v>
      </c>
      <c r="U1006" s="16" t="str">
        <v>大红色羊京绒</v>
      </c>
      <c r="V1006" s="16" t="n">
        <v>10</v>
      </c>
      <c r="W1006" s="8" t="str">
        <v>2026-10-08 至 2026-10-17</v>
      </c>
      <c r="X1006" s="8" t="str">
        <v>2026-10-08、2026-10-09、2026-10-10、2026-10-11、2026-10-14、2026-10-15、2026-10-17</v>
      </c>
      <c r="Y1006" s="8" t="str">
        <v>2026-10-12 有记录的停售日；2026-10-13 有记录的停售日；2026-10-16 有记录的停售日</v>
      </c>
      <c r="Z1006" s="8" t="n">
        <v>0</v>
      </c>
      <c r="AA1006" s="8" t="n">
        <v>0</v>
      </c>
      <c r="AB1006" s="8" t="n">
        <v>7</v>
      </c>
      <c r="AC1006" s="8" t="str">
        <v>2026-09-29 至 2026-10-17</v>
      </c>
      <c r="AD1006" s="8" t="str">
        <v>2026-09-29、2026-09-30、2026-10-01、2026-10-02、2026-10-03、2026-10-04、2026-10-05、2026-10-08、2026-10-09、2026-10-10、2026-10-11、2026-10-14、2026-10-15、2026-10-17</v>
      </c>
      <c r="AE1006" s="8" t="str">
        <v>2026-10-06 大促；2026-10-07 大促；2026-10-12 有记录的停售日；2026-10-13 有记录的停售日；2026-10-16 有记录的停售日</v>
      </c>
      <c r="AF1006" s="8" t="n">
        <v>0</v>
      </c>
      <c r="AG1006" s="8" t="n">
        <v>0</v>
      </c>
      <c r="AH1006" s="8" t="n">
        <v>14</v>
      </c>
      <c r="AI1006" s="8" t="str">
        <v>2026-09-13 至 2026-10-17</v>
      </c>
      <c r="AJ100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06" s="8" t="str">
        <v>2026-10-06 大促；2026-10-07 大促；2026-10-12 有记录的停售日；2026-10-13 有记录的停售日；2026-10-16 有记录的停售日</v>
      </c>
      <c r="AL1006" s="8" t="n">
        <v>0</v>
      </c>
      <c r="AM1006" s="8" t="n">
        <v>0</v>
      </c>
      <c r="AN1006" s="8" t="n">
        <v>30</v>
      </c>
      <c r="AO1006" s="8" t="str">
        <v>B06b / 大红色羊京绒 / 13120</v>
      </c>
      <c r="AP1006" s="11" t="n">
        <v>1.1090677182221615</v>
      </c>
      <c r="AQ1006" s="11" t="n">
        <v>1.0637680334742425</v>
      </c>
      <c r="AR1006" s="11" t="n">
        <v>0.9188090422809019</v>
      </c>
      <c r="AS1006" s="11" t="n">
        <f>IF(AND(COUNT(I1006:K1006,AP1006:AR1006)=6,MIN(AP1006:AR1006)&gt;0),I1006/7/AP1006*0.5+J1006/14/AQ1006*0.3+K1006/30/AR1006*0.2,"")</f>
        <v>0</v>
      </c>
      <c r="AT1006" s="8" t="n">
        <v>0</v>
      </c>
      <c r="AU1006" s="8" t="n">
        <v>0</v>
      </c>
      <c r="AV1006" s="8" t="n">
        <v>85</v>
      </c>
      <c r="AW1006" s="11" t="n">
        <f>IF(AND(COUNT(AT1006:AV1006)=3,AT1006&gt;=AU1006,AU1006&gt;=0,AV1006&gt;0),(AT1006-AU1006)/AV1006,"")</f>
        <v>0</v>
      </c>
      <c r="AX1006" s="8" t="n">
        <v>0</v>
      </c>
      <c r="AY1006" s="8" t="n">
        <v>0</v>
      </c>
      <c r="AZ1006" s="8" t="n">
        <v>175</v>
      </c>
      <c r="BA1006" s="11" t="n">
        <f>IF(AND(COUNT(AX1006:AZ1006)=3,AX1006&gt;=AY1006,AY1006&gt;=0,AZ1006&gt;0),(AX1006-AY1006)/AZ1006,"")</f>
        <v>0</v>
      </c>
      <c r="BB1006" s="8" t="n">
        <f>IF(COUNT(AS1006,AW1006,BA1006)=3,1,0)</f>
        <v>1</v>
      </c>
      <c r="BC1006" s="11" t="n">
        <f>IF(SUMIF($AO$11:$AO$1309,AO1006,$BB$11:$BB$1309)=COUNTIF($AO$11:$AO$1309,AO1006),SUMIF($AO$11:$AO$1309,AO1006,$AS$11:$AS$1309),"")</f>
        <v>0.1047665445001248</v>
      </c>
      <c r="BD1006" s="11" t="n">
        <f>IF(SUMIF($AO$11:$AO$1309,AO1006,$BB$11:$BB$1309)=COUNTIF($AO$11:$AO$1309,AO1006),SUMIF($AO$11:$AO$1309,AO1006,$AW$11:$AW$1309),"")</f>
        <v>0.28569518716577535</v>
      </c>
      <c r="BE1006" s="11" t="n">
        <f>IF(SUMIF($AO$11:$AO$1309,AO1006,$BB$11:$BB$1309)=COUNTIF($AO$11:$AO$1309,AO1006),SUMIF($AO$11:$AO$1309,AO1006,$BA$11:$BA$1309),"")</f>
        <v>0.21396468699839485</v>
      </c>
      <c r="BF1006" s="12" t="n">
        <f>IF(COUNT(BD1006:BE1006)&lt;&gt;2,"",IF(AND(BD1006&gt;0,BE1006&gt;0),0.7*AW1006/BD1006+0.3*BA1006/BE1006,IF(BD1006&gt;0,AW1006/BD1006,IF(BE1006&gt;0,BA1006/BE1006,IF(AND(ISNUMBER(BH1006),BH1006=0),0,"")))))</f>
        <v>0</v>
      </c>
      <c r="BG1006" s="11" t="n">
        <f>IF(AND(COUNT(BN1006:BU1006)=8,MIN(BN1006:BU1006)&gt;=0),SUMPRODUCT(BN1006:BQ1006,BR1006:BU1006),"")</f>
        <v>94.47778160343367</v>
      </c>
      <c r="BH1006" s="11" t="n">
        <f>IF(COUNT(BC1006,BG1006)=2,BC1006*BG1006,"")</f>
        <v>9.898110710629206</v>
      </c>
      <c r="BI1006" s="11" t="n">
        <f>IF(ISNUMBER(CI1006),CI1006,"")</f>
        <v>0</v>
      </c>
      <c r="BJ1006" s="8" t="str">
        <v>近180天本色销量49双（＜90），无有效新采购，请运营判断</v>
      </c>
      <c r="BK1006" s="8" t="str">
        <v>90天：2026-07-20 至 2026-10-17；180天：2026-04-21 至 2026-10-17</v>
      </c>
      <c r="BL1006" s="8" t="str">
        <v>90天：2026-10-06、2026-10-07、2026-10-12、2026-10-13、2026-10-16；180天：2026-10-06、2026-10-07、2026-10-12、2026-10-13、2026-10-16</v>
      </c>
      <c r="BM1006" s="8" t="str">
        <v>2026-10：12天 × 1.1090677182221615；2026-11：30天 × 1.0372741535934282；2026-12：31天 × 0.979949351738161；2027-01：17天 × 1.1571949690048173</v>
      </c>
      <c r="BN1006" s="11" t="n">
        <v>1.1090677182221615</v>
      </c>
      <c r="BO1006" s="11" t="n">
        <v>1.0372741535934282</v>
      </c>
      <c r="BP1006" s="11" t="n">
        <v>0.979949351738161</v>
      </c>
      <c r="BQ1006" s="11" t="n">
        <v>1.1571949690048173</v>
      </c>
      <c r="BR1006" s="8" t="n">
        <v>12</v>
      </c>
      <c r="BS1006" s="8" t="n">
        <v>30</v>
      </c>
      <c r="BT1006" s="8" t="n">
        <v>31</v>
      </c>
      <c r="BU1006" s="8" t="n">
        <v>17</v>
      </c>
      <c r="BV1006" s="11" t="n">
        <f>IF(COUNT(BC1006,BF1006)=2,BC1006*BF1006,"")</f>
        <v>0</v>
      </c>
      <c r="BW1006" s="11" t="n">
        <f>IF(ISNUMBER(BN1006),BN1006,"")</f>
        <v>1.1090677182221615</v>
      </c>
      <c r="BX1006" s="14" t="n">
        <f>IF(ISNUMBER(BR1006),BR1006,"")</f>
        <v>12</v>
      </c>
      <c r="BY1006" s="13" t="n">
        <f>IF(AND(COUNT(BV1006,BW1006,BX1006)=3,MIN(BV1006,BW1006,BX1006)&gt;=0),BV1006*BW1006*BX1006,"")</f>
        <v>0</v>
      </c>
      <c r="BZ1006" s="11" t="n">
        <f>IF(ISNUMBER(BO1006),BO1006,"")</f>
        <v>1.0372741535934282</v>
      </c>
      <c r="CA1006" s="14" t="n">
        <f>IF(ISNUMBER(BS1006),BS1006,"")</f>
        <v>30</v>
      </c>
      <c r="CB1006" s="13" t="n">
        <f>IF(AND(COUNT(BV1006,BZ1006,CA1006)=3,MIN(BV1006,BZ1006,CA1006)&gt;=0),BV1006*BZ1006*CA1006,"")</f>
        <v>0</v>
      </c>
      <c r="CC1006" s="11" t="n">
        <f>IF(ISNUMBER(BP1006),BP1006,"")</f>
        <v>0.979949351738161</v>
      </c>
      <c r="CD1006" s="14" t="n">
        <f>IF(ISNUMBER(BT1006),BT1006,"")</f>
        <v>31</v>
      </c>
      <c r="CE1006" s="13" t="n">
        <f>IF(AND(COUNT(BV1006,CC1006,CD1006)=3,MIN(BV1006,CC1006,CD1006)&gt;=0),BV1006*CC1006*CD1006,"")</f>
        <v>0</v>
      </c>
      <c r="CF1006" s="11" t="n">
        <f>IF(ISNUMBER(BQ1006),BQ1006,"")</f>
        <v>1.1571949690048173</v>
      </c>
      <c r="CG1006" s="14" t="n">
        <f>IF(ISNUMBER(BU1006),BU1006,"")</f>
        <v>17</v>
      </c>
      <c r="CH1006" s="13" t="n">
        <f>IF(AND(COUNT(BV1006,CF1006,CG1006)=3,MIN(BV1006,CF1006,CG1006)&gt;=0),BV1006*CF1006*CG1006,"")</f>
        <v>0</v>
      </c>
      <c r="CI1006" s="13" t="n">
        <f>IF(COUNT(BY1006,CB1006,CE1006,CH1006)=4,SUM(BY1006,CB1006,CE1006,CH1006),"")</f>
        <v>0</v>
      </c>
    </row>
    <row r="1007" ht="72" customHeight="1">
      <c r="A1007" s="16" t="str">
        <v>B06b-RD-42</v>
      </c>
      <c r="B1007" s="16" t="str">
        <v>1店-MUSSHOE-US</v>
      </c>
      <c r="C1007" s="16" t="str">
        <v>艾年</v>
      </c>
      <c r="D1007" s="26" t="n">
        <f>IF(NOT(ISNUMBER(E1007)),"",IF(OR(E1007&lt;=0,L1007=0),0,IF(OR(NOT(ISNUMBER(F1007)),F1007&lt;0),"",MIN(E1007,INT(F1007)))))</f>
        <v>0</v>
      </c>
      <c r="E1007" s="27" t="n">
        <f>IF(OR(NOT(ISNUMBER(L1007)),COUNT(M1007:O1007)&lt;&gt;3,MIN(M1007:O1007)&lt;0),"",ROUNDUP(ROUND(BI1007-SUM(M1007:O1007),10),0))</f>
        <v>0</v>
      </c>
      <c r="F1007" s="28" t="n">
        <v>0</v>
      </c>
      <c r="G1007" s="28" t="n">
        <f>IF(AND(ISNUMBER(D1007),ISNUMBER(E1007)),IF(OR(E1007&lt;=0,L1007=0),0,E1007-D1007),"")</f>
        <v>0</v>
      </c>
      <c r="H1007" s="16" t="str">
        <f>IF(NOT(ISNUMBER(E1007)),"销量或海外库存待补",IF(OR(E1007&lt;=0,L1007=0),IF(L1007=0,"零日销，本批不发","本批无需补货"),IF(NOT(ISNUMBER(D1007)),"国内库存待补",IF(D1007=0,"国内无可用库存",IF(G1007&gt;0,"先发国内现货","按建议量发货")))))</f>
        <v>零日销，本批不发</v>
      </c>
      <c r="I1007" s="28" t="n">
        <f>IF(AND(COUNT(Z1007,AA1007,AB1007)=3,Z1007&gt;=AA1007,AA1007&gt;=0,AB1007=7),Z1007-AA1007,"")</f>
        <v>0</v>
      </c>
      <c r="J1007" s="28" t="n">
        <f>IF(AND(COUNT(AF1007,AG1007,AH1007)=3,AF1007&gt;=AG1007,AG1007&gt;=0,AH1007=14),AF1007-AG1007,"")</f>
        <v>0</v>
      </c>
      <c r="K1007" s="28" t="n">
        <f>IF(AND(COUNT(AL1007,AM1007,AN1007)=3,AL1007&gt;=AM1007,AM1007&gt;=0,AN1007=30),AL1007-AM1007,"")</f>
        <v>0</v>
      </c>
      <c r="L1007" s="29" t="n">
        <f>IF(ISNUMBER(BI1007),BI1007/90,"")</f>
        <v>0</v>
      </c>
      <c r="M1007" s="28" t="n">
        <v>0</v>
      </c>
      <c r="N1007" s="28" t="n">
        <v>0</v>
      </c>
      <c r="O1007" s="28" t="n">
        <v>0</v>
      </c>
      <c r="P1007" s="30" t="str">
        <f>IF(AND(ISNUMBER(L1007),L1007&gt;0,COUNT(M1007:O1007)=3,MIN(M1007:O1007)&gt;=0),SUM(M1007:O1007)/L1007,"")</f>
      </c>
      <c r="Q1007" s="16" t="str">
        <v>沿用原计划SKU店铺</v>
      </c>
      <c r="R1007" s="16" t="str">
        <v>已匹配</v>
      </c>
      <c r="S1007" s="16" t="str">
        <v>停售</v>
      </c>
      <c r="T1007" s="16" t="str">
        <v>B06b</v>
      </c>
      <c r="U1007" s="16" t="str">
        <v>大红色羊京绒</v>
      </c>
      <c r="V1007" s="16" t="n">
        <v>11</v>
      </c>
      <c r="W1007" s="8" t="str">
        <v>2026-10-08 至 2026-10-17</v>
      </c>
      <c r="X1007" s="8" t="str">
        <v>2026-10-08、2026-10-09、2026-10-10、2026-10-11、2026-10-14、2026-10-15、2026-10-17</v>
      </c>
      <c r="Y1007" s="8" t="str">
        <v>2026-10-12 有记录的停售日；2026-10-13 有记录的停售日；2026-10-16 有记录的停售日</v>
      </c>
      <c r="Z1007" s="8" t="n">
        <v>0</v>
      </c>
      <c r="AA1007" s="8" t="n">
        <v>0</v>
      </c>
      <c r="AB1007" s="8" t="n">
        <v>7</v>
      </c>
      <c r="AC1007" s="8" t="str">
        <v>2026-09-29 至 2026-10-17</v>
      </c>
      <c r="AD1007" s="8" t="str">
        <v>2026-09-29、2026-09-30、2026-10-01、2026-10-02、2026-10-03、2026-10-04、2026-10-05、2026-10-08、2026-10-09、2026-10-10、2026-10-11、2026-10-14、2026-10-15、2026-10-17</v>
      </c>
      <c r="AE1007" s="8" t="str">
        <v>2026-10-06 大促；2026-10-07 大促；2026-10-12 有记录的停售日；2026-10-13 有记录的停售日；2026-10-16 有记录的停售日</v>
      </c>
      <c r="AF1007" s="8" t="n">
        <v>0</v>
      </c>
      <c r="AG1007" s="8" t="n">
        <v>0</v>
      </c>
      <c r="AH1007" s="8" t="n">
        <v>14</v>
      </c>
      <c r="AI1007" s="8" t="str">
        <v>2026-09-13 至 2026-10-17</v>
      </c>
      <c r="AJ100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07" s="8" t="str">
        <v>2026-10-06 大促；2026-10-07 大促；2026-10-12 有记录的停售日；2026-10-13 有记录的停售日；2026-10-16 有记录的停售日</v>
      </c>
      <c r="AL1007" s="8" t="n">
        <v>0</v>
      </c>
      <c r="AM1007" s="8" t="n">
        <v>0</v>
      </c>
      <c r="AN1007" s="8" t="n">
        <v>30</v>
      </c>
      <c r="AO1007" s="8" t="str">
        <v>B06b / 大红色羊京绒 / 13120</v>
      </c>
      <c r="AP1007" s="11" t="n">
        <v>1.1090677182221615</v>
      </c>
      <c r="AQ1007" s="11" t="n">
        <v>1.0637680334742425</v>
      </c>
      <c r="AR1007" s="11" t="n">
        <v>0.9188090422809019</v>
      </c>
      <c r="AS1007" s="11" t="n">
        <f>IF(AND(COUNT(I1007:K1007,AP1007:AR1007)=6,MIN(AP1007:AR1007)&gt;0),I1007/7/AP1007*0.5+J1007/14/AQ1007*0.3+K1007/30/AR1007*0.2,"")</f>
        <v>0</v>
      </c>
      <c r="AT1007" s="8" t="n">
        <v>0</v>
      </c>
      <c r="AU1007" s="8" t="n">
        <v>0</v>
      </c>
      <c r="AV1007" s="8" t="n">
        <v>85</v>
      </c>
      <c r="AW1007" s="11" t="n">
        <f>IF(AND(COUNT(AT1007:AV1007)=3,AT1007&gt;=AU1007,AU1007&gt;=0,AV1007&gt;0),(AT1007-AU1007)/AV1007,"")</f>
        <v>0</v>
      </c>
      <c r="AX1007" s="8" t="n">
        <v>0</v>
      </c>
      <c r="AY1007" s="8" t="n">
        <v>0</v>
      </c>
      <c r="AZ1007" s="8" t="n">
        <v>175</v>
      </c>
      <c r="BA1007" s="11" t="n">
        <f>IF(AND(COUNT(AX1007:AZ1007)=3,AX1007&gt;=AY1007,AY1007&gt;=0,AZ1007&gt;0),(AX1007-AY1007)/AZ1007,"")</f>
        <v>0</v>
      </c>
      <c r="BB1007" s="8" t="n">
        <f>IF(COUNT(AS1007,AW1007,BA1007)=3,1,0)</f>
        <v>1</v>
      </c>
      <c r="BC1007" s="11" t="n">
        <f>IF(SUMIF($AO$11:$AO$1309,AO1007,$BB$11:$BB$1309)=COUNTIF($AO$11:$AO$1309,AO1007),SUMIF($AO$11:$AO$1309,AO1007,$AS$11:$AS$1309),"")</f>
        <v>0.1047665445001248</v>
      </c>
      <c r="BD1007" s="11" t="n">
        <f>IF(SUMIF($AO$11:$AO$1309,AO1007,$BB$11:$BB$1309)=COUNTIF($AO$11:$AO$1309,AO1007),SUMIF($AO$11:$AO$1309,AO1007,$AW$11:$AW$1309),"")</f>
        <v>0.28569518716577535</v>
      </c>
      <c r="BE1007" s="11" t="n">
        <f>IF(SUMIF($AO$11:$AO$1309,AO1007,$BB$11:$BB$1309)=COUNTIF($AO$11:$AO$1309,AO1007),SUMIF($AO$11:$AO$1309,AO1007,$BA$11:$BA$1309),"")</f>
        <v>0.21396468699839485</v>
      </c>
      <c r="BF1007" s="12" t="n">
        <f>IF(COUNT(BD1007:BE1007)&lt;&gt;2,"",IF(AND(BD1007&gt;0,BE1007&gt;0),0.7*AW1007/BD1007+0.3*BA1007/BE1007,IF(BD1007&gt;0,AW1007/BD1007,IF(BE1007&gt;0,BA1007/BE1007,IF(AND(ISNUMBER(BH1007),BH1007=0),0,"")))))</f>
        <v>0</v>
      </c>
      <c r="BG1007" s="11" t="n">
        <f>IF(AND(COUNT(BN1007:BU1007)=8,MIN(BN1007:BU1007)&gt;=0),SUMPRODUCT(BN1007:BQ1007,BR1007:BU1007),"")</f>
        <v>94.47778160343367</v>
      </c>
      <c r="BH1007" s="11" t="n">
        <f>IF(COUNT(BC1007,BG1007)=2,BC1007*BG1007,"")</f>
        <v>9.898110710629206</v>
      </c>
      <c r="BI1007" s="11" t="n">
        <f>IF(ISNUMBER(CI1007),CI1007,"")</f>
        <v>0</v>
      </c>
      <c r="BJ1007" s="8" t="str">
        <v>近180天本色销量49双（＜90），无有效新采购，请运营判断</v>
      </c>
      <c r="BK1007" s="8" t="str">
        <v>90天：2026-07-20 至 2026-10-17；180天：2026-04-21 至 2026-10-17</v>
      </c>
      <c r="BL1007" s="8" t="str">
        <v>90天：2026-10-06、2026-10-07、2026-10-12、2026-10-13、2026-10-16；180天：2026-10-06、2026-10-07、2026-10-12、2026-10-13、2026-10-16</v>
      </c>
      <c r="BM1007" s="8" t="str">
        <v>2026-10：12天 × 1.1090677182221615；2026-11：30天 × 1.0372741535934282；2026-12：31天 × 0.979949351738161；2027-01：17天 × 1.1571949690048173</v>
      </c>
      <c r="BN1007" s="11" t="n">
        <v>1.1090677182221615</v>
      </c>
      <c r="BO1007" s="11" t="n">
        <v>1.0372741535934282</v>
      </c>
      <c r="BP1007" s="11" t="n">
        <v>0.979949351738161</v>
      </c>
      <c r="BQ1007" s="11" t="n">
        <v>1.1571949690048173</v>
      </c>
      <c r="BR1007" s="8" t="n">
        <v>12</v>
      </c>
      <c r="BS1007" s="8" t="n">
        <v>30</v>
      </c>
      <c r="BT1007" s="8" t="n">
        <v>31</v>
      </c>
      <c r="BU1007" s="8" t="n">
        <v>17</v>
      </c>
      <c r="BV1007" s="11" t="n">
        <f>IF(COUNT(BC1007,BF1007)=2,BC1007*BF1007,"")</f>
        <v>0</v>
      </c>
      <c r="BW1007" s="11" t="n">
        <f>IF(ISNUMBER(BN1007),BN1007,"")</f>
        <v>1.1090677182221615</v>
      </c>
      <c r="BX1007" s="14" t="n">
        <f>IF(ISNUMBER(BR1007),BR1007,"")</f>
        <v>12</v>
      </c>
      <c r="BY1007" s="13" t="n">
        <f>IF(AND(COUNT(BV1007,BW1007,BX1007)=3,MIN(BV1007,BW1007,BX1007)&gt;=0),BV1007*BW1007*BX1007,"")</f>
        <v>0</v>
      </c>
      <c r="BZ1007" s="11" t="n">
        <f>IF(ISNUMBER(BO1007),BO1007,"")</f>
        <v>1.0372741535934282</v>
      </c>
      <c r="CA1007" s="14" t="n">
        <f>IF(ISNUMBER(BS1007),BS1007,"")</f>
        <v>30</v>
      </c>
      <c r="CB1007" s="13" t="n">
        <f>IF(AND(COUNT(BV1007,BZ1007,CA1007)=3,MIN(BV1007,BZ1007,CA1007)&gt;=0),BV1007*BZ1007*CA1007,"")</f>
        <v>0</v>
      </c>
      <c r="CC1007" s="11" t="n">
        <f>IF(ISNUMBER(BP1007),BP1007,"")</f>
        <v>0.979949351738161</v>
      </c>
      <c r="CD1007" s="14" t="n">
        <f>IF(ISNUMBER(BT1007),BT1007,"")</f>
        <v>31</v>
      </c>
      <c r="CE1007" s="13" t="n">
        <f>IF(AND(COUNT(BV1007,CC1007,CD1007)=3,MIN(BV1007,CC1007,CD1007)&gt;=0),BV1007*CC1007*CD1007,"")</f>
        <v>0</v>
      </c>
      <c r="CF1007" s="11" t="n">
        <f>IF(ISNUMBER(BQ1007),BQ1007,"")</f>
        <v>1.1571949690048173</v>
      </c>
      <c r="CG1007" s="14" t="n">
        <f>IF(ISNUMBER(BU1007),BU1007,"")</f>
        <v>17</v>
      </c>
      <c r="CH1007" s="13" t="n">
        <f>IF(AND(COUNT(BV1007,CF1007,CG1007)=3,MIN(BV1007,CF1007,CG1007)&gt;=0),BV1007*CF1007*CG1007,"")</f>
        <v>0</v>
      </c>
      <c r="CI1007" s="13" t="n">
        <f>IF(COUNT(BY1007,CB1007,CE1007,CH1007)=4,SUM(BY1007,CB1007,CE1007,CH1007),"")</f>
        <v>0</v>
      </c>
    </row>
    <row r="1008" ht="72" customHeight="1">
      <c r="A1008" s="16" t="str">
        <v>B06b-TN-39</v>
      </c>
      <c r="B1008" s="16" t="str">
        <v>1店-MUSSHOE-US</v>
      </c>
      <c r="C1008" s="16" t="str">
        <v>艾年</v>
      </c>
      <c r="D1008" s="26" t="n">
        <f>IF(NOT(ISNUMBER(E1008)),"",IF(OR(E1008&lt;=0,L1008=0),0,IF(OR(NOT(ISNUMBER(F1008)),F1008&lt;0),"",MIN(E1008,INT(F1008)))))</f>
        <v>0</v>
      </c>
      <c r="E1008" s="27" t="n">
        <f>IF(OR(NOT(ISNUMBER(L1008)),COUNT(M1008:O1008)&lt;&gt;3,MIN(M1008:O1008)&lt;0),"",ROUNDUP(ROUND(BI1008-SUM(M1008:O1008),10),0))</f>
        <v>0</v>
      </c>
      <c r="F1008" s="28" t="n">
        <v>0</v>
      </c>
      <c r="G1008" s="28" t="n">
        <f>IF(AND(ISNUMBER(D1008),ISNUMBER(E1008)),IF(OR(E1008&lt;=0,L1008=0),0,E1008-D1008),"")</f>
        <v>0</v>
      </c>
      <c r="H1008" s="16" t="str">
        <f>IF(NOT(ISNUMBER(E1008)),"销量或海外库存待补",IF(OR(E1008&lt;=0,L1008=0),IF(L1008=0,"零日销，本批不发","本批无需补货"),IF(NOT(ISNUMBER(D1008)),"国内库存待补",IF(D1008=0,"国内无可用库存",IF(G1008&gt;0,"先发国内现货","按建议量发货")))))</f>
        <v>零日销，本批不发</v>
      </c>
      <c r="I1008" s="28" t="n">
        <f>IF(AND(COUNT(Z1008,AA1008,AB1008)=3,Z1008&gt;=AA1008,AA1008&gt;=0,AB1008=7),Z1008-AA1008,"")</f>
        <v>0</v>
      </c>
      <c r="J1008" s="28" t="n">
        <f>IF(AND(COUNT(AF1008,AG1008,AH1008)=3,AF1008&gt;=AG1008,AG1008&gt;=0,AH1008=14),AF1008-AG1008,"")</f>
        <v>0</v>
      </c>
      <c r="K1008" s="28" t="n">
        <f>IF(AND(COUNT(AL1008,AM1008,AN1008)=3,AL1008&gt;=AM1008,AM1008&gt;=0,AN1008=30),AL1008-AM1008,"")</f>
        <v>0</v>
      </c>
      <c r="L1008" s="29" t="n">
        <f>IF(ISNUMBER(BI1008),BI1008/90,"")</f>
        <v>0</v>
      </c>
      <c r="M1008" s="28" t="n">
        <v>0</v>
      </c>
      <c r="N1008" s="28" t="n">
        <v>0</v>
      </c>
      <c r="O1008" s="28" t="n">
        <v>0</v>
      </c>
      <c r="P1008" s="30" t="str">
        <f>IF(AND(ISNUMBER(L1008),L1008&gt;0,COUNT(M1008:O1008)=3,MIN(M1008:O1008)&gt;=0),SUM(M1008:O1008)/L1008,"")</f>
      </c>
      <c r="Q1008" s="16" t="str">
        <v>沿用原计划SKU店铺</v>
      </c>
      <c r="R1008" s="16" t="str">
        <v>已匹配</v>
      </c>
      <c r="S1008" s="16" t="str">
        <v>停售</v>
      </c>
      <c r="T1008" s="16" t="str">
        <v>B06b</v>
      </c>
      <c r="U1008" s="16" t="str">
        <v>驼色羊京绒</v>
      </c>
      <c r="V1008" s="16" t="n">
        <v>8</v>
      </c>
      <c r="W1008" s="8" t="str">
        <v>2026-10-08 至 2026-10-17</v>
      </c>
      <c r="X1008" s="8" t="str">
        <v>2026-10-08、2026-10-09、2026-10-10、2026-10-11、2026-10-14、2026-10-15、2026-10-17</v>
      </c>
      <c r="Y1008" s="8" t="str">
        <v>2026-10-12 有记录的停售日；2026-10-13 有记录的停售日；2026-10-16 有记录的停售日</v>
      </c>
      <c r="Z1008" s="8" t="n">
        <v>0</v>
      </c>
      <c r="AA1008" s="8" t="n">
        <v>0</v>
      </c>
      <c r="AB1008" s="8" t="n">
        <v>7</v>
      </c>
      <c r="AC1008" s="8" t="str">
        <v>2026-09-29 至 2026-10-17</v>
      </c>
      <c r="AD1008" s="8" t="str">
        <v>2026-09-29、2026-09-30、2026-10-01、2026-10-02、2026-10-03、2026-10-04、2026-10-05、2026-10-08、2026-10-09、2026-10-10、2026-10-11、2026-10-14、2026-10-15、2026-10-17</v>
      </c>
      <c r="AE1008" s="8" t="str">
        <v>2026-10-06 大促；2026-10-07 大促；2026-10-12 有记录的停售日；2026-10-13 有记录的停售日；2026-10-16 有记录的停售日</v>
      </c>
      <c r="AF1008" s="8" t="n">
        <v>0</v>
      </c>
      <c r="AG1008" s="8" t="n">
        <v>0</v>
      </c>
      <c r="AH1008" s="8" t="n">
        <v>14</v>
      </c>
      <c r="AI1008" s="8" t="str">
        <v>2026-09-13 至 2026-10-17</v>
      </c>
      <c r="AJ10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08" s="8" t="str">
        <v>2026-10-06 大促；2026-10-07 大促；2026-10-12 有记录的停售日；2026-10-13 有记录的停售日；2026-10-16 有记录的停售日</v>
      </c>
      <c r="AL1008" s="8" t="n">
        <v>0</v>
      </c>
      <c r="AM1008" s="8" t="n">
        <v>0</v>
      </c>
      <c r="AN1008" s="8" t="n">
        <v>30</v>
      </c>
      <c r="AO1008" s="8" t="str">
        <v>B06b / 驼色羊京绒 / 13120</v>
      </c>
      <c r="AP1008" s="11" t="n">
        <v>1.1090677182221615</v>
      </c>
      <c r="AQ1008" s="11" t="n">
        <v>1.0637680334742425</v>
      </c>
      <c r="AR1008" s="11" t="n">
        <v>0.9188090422809019</v>
      </c>
      <c r="AS1008" s="11" t="n">
        <f>IF(AND(COUNT(I1008:K1008,AP1008:AR1008)=6,MIN(AP1008:AR1008)&gt;0),I1008/7/AP1008*0.5+J1008/14/AQ1008*0.3+K1008/30/AR1008*0.2,"")</f>
        <v>0</v>
      </c>
      <c r="AT1008" s="8" t="n">
        <v>0</v>
      </c>
      <c r="AU1008" s="8" t="n">
        <v>0</v>
      </c>
      <c r="AV1008" s="8" t="n">
        <v>85</v>
      </c>
      <c r="AW1008" s="11" t="n">
        <f>IF(AND(COUNT(AT1008:AV1008)=3,AT1008&gt;=AU1008,AU1008&gt;=0,AV1008&gt;0),(AT1008-AU1008)/AV1008,"")</f>
        <v>0</v>
      </c>
      <c r="AX1008" s="8" t="n">
        <v>1</v>
      </c>
      <c r="AY1008" s="8" t="n">
        <v>0</v>
      </c>
      <c r="AZ1008" s="8" t="n">
        <v>175</v>
      </c>
      <c r="BA1008" s="11" t="n">
        <f>IF(AND(COUNT(AX1008:AZ1008)=3,AX1008&gt;=AY1008,AY1008&gt;=0,AZ1008&gt;0),(AX1008-AY1008)/AZ1008,"")</f>
        <v>0.005714285714285714</v>
      </c>
      <c r="BB1008" s="8" t="n">
        <f>IF(COUNT(AS1008,AW1008,BA1008)=3,1,0)</f>
        <v>1</v>
      </c>
      <c r="BC1008" s="11" t="n">
        <f>IF(SUMIF($AO$11:$AO$1309,AO1008,$BB$11:$BB$1309)=COUNTIF($AO$11:$AO$1309,AO1008),SUMIF($AO$11:$AO$1309,AO1008,$AS$11:$AS$1309),"")</f>
        <v>0</v>
      </c>
      <c r="BD1008" s="11" t="n">
        <f>IF(SUMIF($AO$11:$AO$1309,AO1008,$BB$11:$BB$1309)=COUNTIF($AO$11:$AO$1309,AO1008),SUMIF($AO$11:$AO$1309,AO1008,$AW$11:$AW$1309),"")</f>
        <v>0.023128342245989305</v>
      </c>
      <c r="BE1008" s="11" t="n">
        <f>IF(SUMIF($AO$11:$AO$1309,AO1008,$BB$11:$BB$1309)=COUNTIF($AO$11:$AO$1309,AO1008),SUMIF($AO$11:$AO$1309,AO1008,$BA$11:$BA$1309),"")</f>
        <v>0.03390048154093098</v>
      </c>
      <c r="BF1008" s="12" t="n">
        <f>IF(COUNT(BD1008:BE1008)&lt;&gt;2,"",IF(AND(BD1008&gt;0,BE1008&gt;0),0.7*AW1008/BD1008+0.3*BA1008/BE1008,IF(BD1008&gt;0,AW1008/BD1008,IF(BE1008&gt;0,BA1008/BE1008,IF(AND(ISNUMBER(BH1008),BH1008=0),0,"")))))</f>
        <v>0.05056818181818182</v>
      </c>
      <c r="BG1008" s="11" t="n">
        <f>IF(AND(COUNT(BN1008:BU1008)=8,MIN(BN1008:BU1008)&gt;=0),SUMPRODUCT(BN1008:BQ1008,BR1008:BU1008),"")</f>
        <v>94.47778160343367</v>
      </c>
      <c r="BH1008" s="11" t="n">
        <f>IF(COUNT(BC1008,BG1008)=2,BC1008*BG1008,"")</f>
        <v>0</v>
      </c>
      <c r="BI1008" s="11" t="n">
        <f>IF(ISNUMBER(CI1008),CI1008,"")</f>
        <v>0</v>
      </c>
      <c r="BJ1008" s="8" t="str">
        <v>近180天本色销量10双（＜90），无有效新采购，请运营判断</v>
      </c>
      <c r="BK1008" s="8" t="str">
        <v>90天：2026-07-20 至 2026-10-17；180天：2026-04-21 至 2026-10-17</v>
      </c>
      <c r="BL1008" s="8" t="str">
        <v>90天：2026-10-06、2026-10-07、2026-10-12、2026-10-13、2026-10-16；180天：2026-10-06、2026-10-07、2026-10-12、2026-10-13、2026-10-16</v>
      </c>
      <c r="BM1008" s="8" t="str">
        <v>2026-10：12天 × 1.1090677182221615；2026-11：30天 × 1.0372741535934282；2026-12：31天 × 0.979949351738161；2027-01：17天 × 1.1571949690048173</v>
      </c>
      <c r="BN1008" s="11" t="n">
        <v>1.1090677182221615</v>
      </c>
      <c r="BO1008" s="11" t="n">
        <v>1.0372741535934282</v>
      </c>
      <c r="BP1008" s="11" t="n">
        <v>0.979949351738161</v>
      </c>
      <c r="BQ1008" s="11" t="n">
        <v>1.1571949690048173</v>
      </c>
      <c r="BR1008" s="8" t="n">
        <v>12</v>
      </c>
      <c r="BS1008" s="8" t="n">
        <v>30</v>
      </c>
      <c r="BT1008" s="8" t="n">
        <v>31</v>
      </c>
      <c r="BU1008" s="8" t="n">
        <v>17</v>
      </c>
      <c r="BV1008" s="11" t="n">
        <f>IF(COUNT(BC1008,BF1008)=2,BC1008*BF1008,"")</f>
        <v>0</v>
      </c>
      <c r="BW1008" s="11" t="n">
        <f>IF(ISNUMBER(BN1008),BN1008,"")</f>
        <v>1.1090677182221615</v>
      </c>
      <c r="BX1008" s="14" t="n">
        <f>IF(ISNUMBER(BR1008),BR1008,"")</f>
        <v>12</v>
      </c>
      <c r="BY1008" s="13" t="n">
        <f>IF(AND(COUNT(BV1008,BW1008,BX1008)=3,MIN(BV1008,BW1008,BX1008)&gt;=0),BV1008*BW1008*BX1008,"")</f>
        <v>0</v>
      </c>
      <c r="BZ1008" s="11" t="n">
        <f>IF(ISNUMBER(BO1008),BO1008,"")</f>
        <v>1.0372741535934282</v>
      </c>
      <c r="CA1008" s="14" t="n">
        <f>IF(ISNUMBER(BS1008),BS1008,"")</f>
        <v>30</v>
      </c>
      <c r="CB1008" s="13" t="n">
        <f>IF(AND(COUNT(BV1008,BZ1008,CA1008)=3,MIN(BV1008,BZ1008,CA1008)&gt;=0),BV1008*BZ1008*CA1008,"")</f>
        <v>0</v>
      </c>
      <c r="CC1008" s="11" t="n">
        <f>IF(ISNUMBER(BP1008),BP1008,"")</f>
        <v>0.979949351738161</v>
      </c>
      <c r="CD1008" s="14" t="n">
        <f>IF(ISNUMBER(BT1008),BT1008,"")</f>
        <v>31</v>
      </c>
      <c r="CE1008" s="13" t="n">
        <f>IF(AND(COUNT(BV1008,CC1008,CD1008)=3,MIN(BV1008,CC1008,CD1008)&gt;=0),BV1008*CC1008*CD1008,"")</f>
        <v>0</v>
      </c>
      <c r="CF1008" s="11" t="n">
        <f>IF(ISNUMBER(BQ1008),BQ1008,"")</f>
        <v>1.1571949690048173</v>
      </c>
      <c r="CG1008" s="14" t="n">
        <f>IF(ISNUMBER(BU1008),BU1008,"")</f>
        <v>17</v>
      </c>
      <c r="CH1008" s="13" t="n">
        <f>IF(AND(COUNT(BV1008,CF1008,CG1008)=3,MIN(BV1008,CF1008,CG1008)&gt;=0),BV1008*CF1008*CG1008,"")</f>
        <v>0</v>
      </c>
      <c r="CI1008" s="13" t="n">
        <f>IF(COUNT(BY1008,CB1008,CE1008,CH1008)=4,SUM(BY1008,CB1008,CE1008,CH1008),"")</f>
        <v>0</v>
      </c>
    </row>
    <row r="1009" ht="72" customHeight="1">
      <c r="A1009" s="16" t="str">
        <v>B06b-TN-40-N</v>
      </c>
      <c r="B1009" s="16" t="str">
        <v>1店-MUSSHOE-US</v>
      </c>
      <c r="C1009" s="16" t="str">
        <v>艾年</v>
      </c>
      <c r="D1009" s="26" t="n">
        <f>IF(NOT(ISNUMBER(E1009)),"",IF(OR(E1009&lt;=0,L1009=0),0,IF(OR(NOT(ISNUMBER(F1009)),F1009&lt;0),"",MIN(E1009,INT(F1009)))))</f>
        <v>0</v>
      </c>
      <c r="E1009" s="27" t="n">
        <f>IF(OR(NOT(ISNUMBER(L1009)),COUNT(M1009:O1009)&lt;&gt;3,MIN(M1009:O1009)&lt;0),"",ROUNDUP(ROUND(BI1009-SUM(M1009:O1009),10),0))</f>
        <v>-5</v>
      </c>
      <c r="F1009" s="28" t="n">
        <v>0</v>
      </c>
      <c r="G1009" s="28" t="n">
        <f>IF(AND(ISNUMBER(D1009),ISNUMBER(E1009)),IF(OR(E1009&lt;=0,L1009=0),0,E1009-D1009),"")</f>
        <v>0</v>
      </c>
      <c r="H1009" s="16" t="str">
        <f>IF(NOT(ISNUMBER(E1009)),"销量或海外库存待补",IF(OR(E1009&lt;=0,L1009=0),IF(L1009=0,"零日销，本批不发","本批无需补货"),IF(NOT(ISNUMBER(D1009)),"国内库存待补",IF(D1009=0,"国内无可用库存",IF(G1009&gt;0,"先发国内现货","按建议量发货")))))</f>
        <v>零日销，本批不发</v>
      </c>
      <c r="I1009" s="28" t="n">
        <f>IF(AND(COUNT(Z1009,AA1009,AB1009)=3,Z1009&gt;=AA1009,AA1009&gt;=0,AB1009=7),Z1009-AA1009,"")</f>
        <v>0</v>
      </c>
      <c r="J1009" s="28" t="n">
        <f>IF(AND(COUNT(AF1009,AG1009,AH1009)=3,AF1009&gt;=AG1009,AG1009&gt;=0,AH1009=14),AF1009-AG1009,"")</f>
        <v>0</v>
      </c>
      <c r="K1009" s="28" t="n">
        <f>IF(AND(COUNT(AL1009,AM1009,AN1009)=3,AL1009&gt;=AM1009,AM1009&gt;=0,AN1009=30),AL1009-AM1009,"")</f>
        <v>0</v>
      </c>
      <c r="L1009" s="29" t="n">
        <f>IF(ISNUMBER(BI1009),BI1009/90,"")</f>
        <v>0</v>
      </c>
      <c r="M1009" s="28" t="n">
        <v>5</v>
      </c>
      <c r="N1009" s="28" t="n">
        <v>0</v>
      </c>
      <c r="O1009" s="28" t="n">
        <v>0</v>
      </c>
      <c r="P1009" s="30" t="str">
        <f>IF(AND(ISNUMBER(L1009),L1009&gt;0,COUNT(M1009:O1009)=3,MIN(M1009:O1009)&gt;=0),SUM(M1009:O1009)/L1009,"")</f>
      </c>
      <c r="Q1009" s="16" t="str">
        <v>沿用原计划SKU店铺</v>
      </c>
      <c r="R1009" s="16" t="str">
        <v>已匹配</v>
      </c>
      <c r="S1009" s="16" t="str">
        <v>在售</v>
      </c>
      <c r="T1009" s="16" t="str">
        <v>B06b</v>
      </c>
      <c r="U1009" s="16" t="str">
        <v>驼色羊京绒</v>
      </c>
      <c r="V1009" s="16" t="n">
        <v>9</v>
      </c>
      <c r="W1009" s="8" t="str">
        <v>2026-10-11 至 2026-10-17</v>
      </c>
      <c r="X1009" s="8" t="str">
        <v>2026-10-11、2026-10-12、2026-10-13、2026-10-14、2026-10-15、2026-10-16、2026-10-17</v>
      </c>
      <c r="Y1009" s="8" t="str">
        <v>无</v>
      </c>
      <c r="Z1009" s="8" t="n">
        <v>0</v>
      </c>
      <c r="AA1009" s="8" t="n">
        <v>0</v>
      </c>
      <c r="AB1009" s="8" t="n">
        <v>7</v>
      </c>
      <c r="AC1009" s="8" t="str">
        <v>2026-10-02 至 2026-10-17</v>
      </c>
      <c r="AD1009" s="8" t="str">
        <v>2026-10-02、2026-10-03、2026-10-04、2026-10-05、2026-10-08、2026-10-09、2026-10-10、2026-10-11、2026-10-12、2026-10-13、2026-10-14、2026-10-15、2026-10-16、2026-10-17</v>
      </c>
      <c r="AE1009" s="8" t="str">
        <v>2026-10-06 大促；2026-10-07 大促</v>
      </c>
      <c r="AF1009" s="8" t="n">
        <v>0</v>
      </c>
      <c r="AG1009" s="8" t="n">
        <v>0</v>
      </c>
      <c r="AH1009" s="8" t="n">
        <v>14</v>
      </c>
      <c r="AI1009" s="8" t="str">
        <v>2026-09-16 至 2026-10-17</v>
      </c>
      <c r="AJ10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09" s="8" t="str">
        <v>2026-10-06 大促；2026-10-07 大促</v>
      </c>
      <c r="AL1009" s="8" t="n">
        <v>0</v>
      </c>
      <c r="AM1009" s="8" t="n">
        <v>0</v>
      </c>
      <c r="AN1009" s="8" t="n">
        <v>30</v>
      </c>
      <c r="AO1009" s="8" t="str">
        <v>B06b / 驼色羊京绒 / 13120</v>
      </c>
      <c r="AP1009" s="11" t="n">
        <v>1.1090677182221615</v>
      </c>
      <c r="AQ1009" s="11" t="n">
        <v>1.1090677182221615</v>
      </c>
      <c r="AR1009" s="11" t="n">
        <v>0.9505188216044452</v>
      </c>
      <c r="AS1009" s="11" t="n">
        <f>IF(AND(COUNT(I1009:K1009,AP1009:AR1009)=6,MIN(AP1009:AR1009)&gt;0),I1009/7/AP1009*0.5+J1009/14/AQ1009*0.3+K1009/30/AR1009*0.2,"")</f>
        <v>0</v>
      </c>
      <c r="AT1009" s="8" t="n">
        <v>1</v>
      </c>
      <c r="AU1009" s="8" t="n">
        <v>0</v>
      </c>
      <c r="AV1009" s="8" t="n">
        <v>88</v>
      </c>
      <c r="AW1009" s="11" t="n">
        <f>IF(AND(COUNT(AT1009:AV1009)=3,AT1009&gt;=AU1009,AU1009&gt;=0,AV1009&gt;0),(AT1009-AU1009)/AV1009,"")</f>
        <v>0.011363636363636364</v>
      </c>
      <c r="AX1009" s="8" t="n">
        <v>4</v>
      </c>
      <c r="AY1009" s="8" t="n">
        <v>0</v>
      </c>
      <c r="AZ1009" s="8" t="n">
        <v>178</v>
      </c>
      <c r="BA1009" s="11" t="n">
        <f>IF(AND(COUNT(AX1009:AZ1009)=3,AX1009&gt;=AY1009,AY1009&gt;=0,AZ1009&gt;0),(AX1009-AY1009)/AZ1009,"")</f>
        <v>0.02247191011235955</v>
      </c>
      <c r="BB1009" s="8" t="n">
        <f>IF(COUNT(AS1009,AW1009,BA1009)=3,1,0)</f>
        <v>1</v>
      </c>
      <c r="BC1009" s="11" t="n">
        <f>IF(SUMIF($AO$11:$AO$1309,AO1009,$BB$11:$BB$1309)=COUNTIF($AO$11:$AO$1309,AO1009),SUMIF($AO$11:$AO$1309,AO1009,$AS$11:$AS$1309),"")</f>
        <v>0</v>
      </c>
      <c r="BD1009" s="11" t="n">
        <f>IF(SUMIF($AO$11:$AO$1309,AO1009,$BB$11:$BB$1309)=COUNTIF($AO$11:$AO$1309,AO1009),SUMIF($AO$11:$AO$1309,AO1009,$AW$11:$AW$1309),"")</f>
        <v>0.023128342245989305</v>
      </c>
      <c r="BE1009" s="11" t="n">
        <f>IF(SUMIF($AO$11:$AO$1309,AO1009,$BB$11:$BB$1309)=COUNTIF($AO$11:$AO$1309,AO1009),SUMIF($AO$11:$AO$1309,AO1009,$BA$11:$BA$1309),"")</f>
        <v>0.03390048154093098</v>
      </c>
      <c r="BF1009" s="12" t="n">
        <f>IF(COUNT(BD1009:BE1009)&lt;&gt;2,"",IF(AND(BD1009&gt;0,BE1009&gt;0),0.7*AW1009/BD1009+0.3*BA1009/BE1009,IF(BD1009&gt;0,AW1009/BD1009,IF(BE1009&gt;0,BA1009/BE1009,IF(AND(ISNUMBER(BH1009),BH1009=0),0,"")))))</f>
        <v>0.5427942722017867</v>
      </c>
      <c r="BG1009" s="11" t="n">
        <f>IF(AND(COUNT(BN1009:BU1009)=8,MIN(BN1009:BU1009)&gt;=0),SUMPRODUCT(BN1009:BQ1009,BR1009:BU1009),"")</f>
        <v>94.47778160343367</v>
      </c>
      <c r="BH1009" s="11" t="n">
        <f>IF(COUNT(BC1009,BG1009)=2,BC1009*BG1009,"")</f>
        <v>0</v>
      </c>
      <c r="BI1009" s="11" t="n">
        <f>IF(ISNUMBER(CI1009),CI1009,"")</f>
        <v>0</v>
      </c>
      <c r="BJ1009" s="8" t="str">
        <v>近180天本色销量10双（＜90），无有效新采购，请运营判断</v>
      </c>
      <c r="BK1009" s="8" t="str">
        <v>90天：2026-07-20 至 2026-10-17；180天：2026-04-21 至 2026-10-17</v>
      </c>
      <c r="BL1009" s="8" t="str">
        <v>90天：2026-10-06、2026-10-07；180天：2026-10-06、2026-10-07</v>
      </c>
      <c r="BM1009" s="8" t="str">
        <v>2026-10：12天 × 1.1090677182221615；2026-11：30天 × 1.0372741535934282；2026-12：31天 × 0.979949351738161；2027-01：17天 × 1.1571949690048173</v>
      </c>
      <c r="BN1009" s="11" t="n">
        <v>1.1090677182221615</v>
      </c>
      <c r="BO1009" s="11" t="n">
        <v>1.0372741535934282</v>
      </c>
      <c r="BP1009" s="11" t="n">
        <v>0.979949351738161</v>
      </c>
      <c r="BQ1009" s="11" t="n">
        <v>1.1571949690048173</v>
      </c>
      <c r="BR1009" s="8" t="n">
        <v>12</v>
      </c>
      <c r="BS1009" s="8" t="n">
        <v>30</v>
      </c>
      <c r="BT1009" s="8" t="n">
        <v>31</v>
      </c>
      <c r="BU1009" s="8" t="n">
        <v>17</v>
      </c>
      <c r="BV1009" s="11" t="n">
        <f>IF(COUNT(BC1009,BF1009)=2,BC1009*BF1009,"")</f>
        <v>0</v>
      </c>
      <c r="BW1009" s="11" t="n">
        <f>IF(ISNUMBER(BN1009),BN1009,"")</f>
        <v>1.1090677182221615</v>
      </c>
      <c r="BX1009" s="14" t="n">
        <f>IF(ISNUMBER(BR1009),BR1009,"")</f>
        <v>12</v>
      </c>
      <c r="BY1009" s="13" t="n">
        <f>IF(AND(COUNT(BV1009,BW1009,BX1009)=3,MIN(BV1009,BW1009,BX1009)&gt;=0),BV1009*BW1009*BX1009,"")</f>
        <v>0</v>
      </c>
      <c r="BZ1009" s="11" t="n">
        <f>IF(ISNUMBER(BO1009),BO1009,"")</f>
        <v>1.0372741535934282</v>
      </c>
      <c r="CA1009" s="14" t="n">
        <f>IF(ISNUMBER(BS1009),BS1009,"")</f>
        <v>30</v>
      </c>
      <c r="CB1009" s="13" t="n">
        <f>IF(AND(COUNT(BV1009,BZ1009,CA1009)=3,MIN(BV1009,BZ1009,CA1009)&gt;=0),BV1009*BZ1009*CA1009,"")</f>
        <v>0</v>
      </c>
      <c r="CC1009" s="11" t="n">
        <f>IF(ISNUMBER(BP1009),BP1009,"")</f>
        <v>0.979949351738161</v>
      </c>
      <c r="CD1009" s="14" t="n">
        <f>IF(ISNUMBER(BT1009),BT1009,"")</f>
        <v>31</v>
      </c>
      <c r="CE1009" s="13" t="n">
        <f>IF(AND(COUNT(BV1009,CC1009,CD1009)=3,MIN(BV1009,CC1009,CD1009)&gt;=0),BV1009*CC1009*CD1009,"")</f>
        <v>0</v>
      </c>
      <c r="CF1009" s="11" t="n">
        <f>IF(ISNUMBER(BQ1009),BQ1009,"")</f>
        <v>1.1571949690048173</v>
      </c>
      <c r="CG1009" s="14" t="n">
        <f>IF(ISNUMBER(BU1009),BU1009,"")</f>
        <v>17</v>
      </c>
      <c r="CH1009" s="13" t="n">
        <f>IF(AND(COUNT(BV1009,CF1009,CG1009)=3,MIN(BV1009,CF1009,CG1009)&gt;=0),BV1009*CF1009*CG1009,"")</f>
        <v>0</v>
      </c>
      <c r="CI1009" s="13" t="n">
        <f>IF(COUNT(BY1009,CB1009,CE1009,CH1009)=4,SUM(BY1009,CB1009,CE1009,CH1009),"")</f>
        <v>0</v>
      </c>
    </row>
    <row r="1010" ht="72" customHeight="1">
      <c r="A1010" s="16" t="str">
        <v>B06b-TN-41</v>
      </c>
      <c r="B1010" s="16" t="str">
        <v>1店-MUSSHOE-US</v>
      </c>
      <c r="C1010" s="16" t="str">
        <v>艾年</v>
      </c>
      <c r="D1010" s="26" t="n">
        <f>IF(NOT(ISNUMBER(E1010)),"",IF(OR(E1010&lt;=0,L1010=0),0,IF(OR(NOT(ISNUMBER(F1010)),F1010&lt;0),"",MIN(E1010,INT(F1010)))))</f>
        <v>0</v>
      </c>
      <c r="E1010" s="27" t="n">
        <f>IF(OR(NOT(ISNUMBER(L1010)),COUNT(M1010:O1010)&lt;&gt;3,MIN(M1010:O1010)&lt;0),"",ROUNDUP(ROUND(BI1010-SUM(M1010:O1010),10),0))</f>
        <v>0</v>
      </c>
      <c r="F1010" s="28" t="n">
        <v>0</v>
      </c>
      <c r="G1010" s="28" t="n">
        <f>IF(AND(ISNUMBER(D1010),ISNUMBER(E1010)),IF(OR(E1010&lt;=0,L1010=0),0,E1010-D1010),"")</f>
        <v>0</v>
      </c>
      <c r="H1010" s="16" t="str">
        <f>IF(NOT(ISNUMBER(E1010)),"销量或海外库存待补",IF(OR(E1010&lt;=0,L1010=0),IF(L1010=0,"零日销，本批不发","本批无需补货"),IF(NOT(ISNUMBER(D1010)),"国内库存待补",IF(D1010=0,"国内无可用库存",IF(G1010&gt;0,"先发国内现货","按建议量发货")))))</f>
        <v>零日销，本批不发</v>
      </c>
      <c r="I1010" s="28" t="n">
        <f>IF(AND(COUNT(Z1010,AA1010,AB1010)=3,Z1010&gt;=AA1010,AA1010&gt;=0,AB1010=7),Z1010-AA1010,"")</f>
        <v>0</v>
      </c>
      <c r="J1010" s="28" t="n">
        <f>IF(AND(COUNT(AF1010,AG1010,AH1010)=3,AF1010&gt;=AG1010,AG1010&gt;=0,AH1010=14),AF1010-AG1010,"")</f>
        <v>0</v>
      </c>
      <c r="K1010" s="28" t="n">
        <f>IF(AND(COUNT(AL1010,AM1010,AN1010)=3,AL1010&gt;=AM1010,AM1010&gt;=0,AN1010=30),AL1010-AM1010,"")</f>
        <v>0</v>
      </c>
      <c r="L1010" s="29" t="n">
        <f>IF(ISNUMBER(BI1010),BI1010/90,"")</f>
        <v>0</v>
      </c>
      <c r="M1010" s="28" t="n">
        <v>0</v>
      </c>
      <c r="N1010" s="28" t="n">
        <v>0</v>
      </c>
      <c r="O1010" s="28" t="n">
        <v>0</v>
      </c>
      <c r="P1010" s="30" t="str">
        <f>IF(AND(ISNUMBER(L1010),L1010&gt;0,COUNT(M1010:O1010)=3,MIN(M1010:O1010)&gt;=0),SUM(M1010:O1010)/L1010,"")</f>
      </c>
      <c r="Q1010" s="16" t="str">
        <v>沿用原计划SKU店铺</v>
      </c>
      <c r="R1010" s="16" t="str">
        <v>已匹配</v>
      </c>
      <c r="S1010" s="16" t="str">
        <v>停售</v>
      </c>
      <c r="T1010" s="16" t="str">
        <v>B06b</v>
      </c>
      <c r="U1010" s="16" t="str">
        <v>驼色羊京绒</v>
      </c>
      <c r="V1010" s="16" t="n">
        <v>10</v>
      </c>
      <c r="W1010" s="8" t="str">
        <v>2026-10-08 至 2026-10-17</v>
      </c>
      <c r="X1010" s="8" t="str">
        <v>2026-10-08、2026-10-09、2026-10-10、2026-10-11、2026-10-14、2026-10-15、2026-10-17</v>
      </c>
      <c r="Y1010" s="8" t="str">
        <v>2026-10-12 有记录的停售日；2026-10-13 有记录的停售日；2026-10-16 有记录的停售日</v>
      </c>
      <c r="Z1010" s="8" t="n">
        <v>0</v>
      </c>
      <c r="AA1010" s="8" t="n">
        <v>0</v>
      </c>
      <c r="AB1010" s="8" t="n">
        <v>7</v>
      </c>
      <c r="AC1010" s="8" t="str">
        <v>2026-09-29 至 2026-10-17</v>
      </c>
      <c r="AD1010" s="8" t="str">
        <v>2026-09-29、2026-09-30、2026-10-01、2026-10-02、2026-10-03、2026-10-04、2026-10-05、2026-10-08、2026-10-09、2026-10-10、2026-10-11、2026-10-14、2026-10-15、2026-10-17</v>
      </c>
      <c r="AE1010" s="8" t="str">
        <v>2026-10-06 大促；2026-10-07 大促；2026-10-12 有记录的停售日；2026-10-13 有记录的停售日；2026-10-16 有记录的停售日</v>
      </c>
      <c r="AF1010" s="8" t="n">
        <v>0</v>
      </c>
      <c r="AG1010" s="8" t="n">
        <v>0</v>
      </c>
      <c r="AH1010" s="8" t="n">
        <v>14</v>
      </c>
      <c r="AI1010" s="8" t="str">
        <v>2026-09-13 至 2026-10-17</v>
      </c>
      <c r="AJ10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10" s="8" t="str">
        <v>2026-10-06 大促；2026-10-07 大促；2026-10-12 有记录的停售日；2026-10-13 有记录的停售日；2026-10-16 有记录的停售日</v>
      </c>
      <c r="AL1010" s="8" t="n">
        <v>0</v>
      </c>
      <c r="AM1010" s="8" t="n">
        <v>0</v>
      </c>
      <c r="AN1010" s="8" t="n">
        <v>30</v>
      </c>
      <c r="AO1010" s="8" t="str">
        <v>B06b / 驼色羊京绒 / 13120</v>
      </c>
      <c r="AP1010" s="11" t="n">
        <v>1.1090677182221615</v>
      </c>
      <c r="AQ1010" s="11" t="n">
        <v>1.0637680334742425</v>
      </c>
      <c r="AR1010" s="11" t="n">
        <v>0.9188090422809019</v>
      </c>
      <c r="AS1010" s="11" t="n">
        <f>IF(AND(COUNT(I1010:K1010,AP1010:AR1010)=6,MIN(AP1010:AR1010)&gt;0),I1010/7/AP1010*0.5+J1010/14/AQ1010*0.3+K1010/30/AR1010*0.2,"")</f>
        <v>0</v>
      </c>
      <c r="AT1010" s="8" t="n">
        <v>1</v>
      </c>
      <c r="AU1010" s="8" t="n">
        <v>0</v>
      </c>
      <c r="AV1010" s="8" t="n">
        <v>85</v>
      </c>
      <c r="AW1010" s="11" t="n">
        <f>IF(AND(COUNT(AT1010:AV1010)=3,AT1010&gt;=AU1010,AU1010&gt;=0,AV1010&gt;0),(AT1010-AU1010)/AV1010,"")</f>
        <v>0.011764705882352941</v>
      </c>
      <c r="AX1010" s="8" t="n">
        <v>1</v>
      </c>
      <c r="AY1010" s="8" t="n">
        <v>0</v>
      </c>
      <c r="AZ1010" s="8" t="n">
        <v>175</v>
      </c>
      <c r="BA1010" s="11" t="n">
        <f>IF(AND(COUNT(AX1010:AZ1010)=3,AX1010&gt;=AY1010,AY1010&gt;=0,AZ1010&gt;0),(AX1010-AY1010)/AZ1010,"")</f>
        <v>0.005714285714285714</v>
      </c>
      <c r="BB1010" s="8" t="n">
        <f>IF(COUNT(AS1010,AW1010,BA1010)=3,1,0)</f>
        <v>1</v>
      </c>
      <c r="BC1010" s="11" t="n">
        <f>IF(SUMIF($AO$11:$AO$1309,AO1010,$BB$11:$BB$1309)=COUNTIF($AO$11:$AO$1309,AO1010),SUMIF($AO$11:$AO$1309,AO1010,$AS$11:$AS$1309),"")</f>
        <v>0</v>
      </c>
      <c r="BD1010" s="11" t="n">
        <f>IF(SUMIF($AO$11:$AO$1309,AO1010,$BB$11:$BB$1309)=COUNTIF($AO$11:$AO$1309,AO1010),SUMIF($AO$11:$AO$1309,AO1010,$AW$11:$AW$1309),"")</f>
        <v>0.023128342245989305</v>
      </c>
      <c r="BE1010" s="11" t="n">
        <f>IF(SUMIF($AO$11:$AO$1309,AO1010,$BB$11:$BB$1309)=COUNTIF($AO$11:$AO$1309,AO1010),SUMIF($AO$11:$AO$1309,AO1010,$BA$11:$BA$1309),"")</f>
        <v>0.03390048154093098</v>
      </c>
      <c r="BF1010" s="12" t="n">
        <f>IF(COUNT(BD1010:BE1010)&lt;&gt;2,"",IF(AND(BD1010&gt;0,BE1010&gt;0),0.7*AW1010/BD1010+0.3*BA1010/BE1010,IF(BD1010&gt;0,AW1010/BD1010,IF(BE1010&gt;0,BA1010/BE1010,IF(AND(ISNUMBER(BH1010),BH1010=0),0,"")))))</f>
        <v>0.40663754598003143</v>
      </c>
      <c r="BG1010" s="11" t="n">
        <f>IF(AND(COUNT(BN1010:BU1010)=8,MIN(BN1010:BU1010)&gt;=0),SUMPRODUCT(BN1010:BQ1010,BR1010:BU1010),"")</f>
        <v>94.47778160343367</v>
      </c>
      <c r="BH1010" s="11" t="n">
        <f>IF(COUNT(BC1010,BG1010)=2,BC1010*BG1010,"")</f>
        <v>0</v>
      </c>
      <c r="BI1010" s="11" t="n">
        <f>IF(ISNUMBER(CI1010),CI1010,"")</f>
        <v>0</v>
      </c>
      <c r="BJ1010" s="8" t="str">
        <v>近180天本色销量10双（＜90），无有效新采购，请运营判断</v>
      </c>
      <c r="BK1010" s="8" t="str">
        <v>90天：2026-07-20 至 2026-10-17；180天：2026-04-21 至 2026-10-17</v>
      </c>
      <c r="BL1010" s="8" t="str">
        <v>90天：2026-10-06、2026-10-07、2026-10-12、2026-10-13、2026-10-16；180天：2026-10-06、2026-10-07、2026-10-12、2026-10-13、2026-10-16</v>
      </c>
      <c r="BM1010" s="8" t="str">
        <v>2026-10：12天 × 1.1090677182221615；2026-11：30天 × 1.0372741535934282；2026-12：31天 × 0.979949351738161；2027-01：17天 × 1.1571949690048173</v>
      </c>
      <c r="BN1010" s="11" t="n">
        <v>1.1090677182221615</v>
      </c>
      <c r="BO1010" s="11" t="n">
        <v>1.0372741535934282</v>
      </c>
      <c r="BP1010" s="11" t="n">
        <v>0.979949351738161</v>
      </c>
      <c r="BQ1010" s="11" t="n">
        <v>1.1571949690048173</v>
      </c>
      <c r="BR1010" s="8" t="n">
        <v>12</v>
      </c>
      <c r="BS1010" s="8" t="n">
        <v>30</v>
      </c>
      <c r="BT1010" s="8" t="n">
        <v>31</v>
      </c>
      <c r="BU1010" s="8" t="n">
        <v>17</v>
      </c>
      <c r="BV1010" s="11" t="n">
        <f>IF(COUNT(BC1010,BF1010)=2,BC1010*BF1010,"")</f>
        <v>0</v>
      </c>
      <c r="BW1010" s="11" t="n">
        <f>IF(ISNUMBER(BN1010),BN1010,"")</f>
        <v>1.1090677182221615</v>
      </c>
      <c r="BX1010" s="14" t="n">
        <f>IF(ISNUMBER(BR1010),BR1010,"")</f>
        <v>12</v>
      </c>
      <c r="BY1010" s="13" t="n">
        <f>IF(AND(COUNT(BV1010,BW1010,BX1010)=3,MIN(BV1010,BW1010,BX1010)&gt;=0),BV1010*BW1010*BX1010,"")</f>
        <v>0</v>
      </c>
      <c r="BZ1010" s="11" t="n">
        <f>IF(ISNUMBER(BO1010),BO1010,"")</f>
        <v>1.0372741535934282</v>
      </c>
      <c r="CA1010" s="14" t="n">
        <f>IF(ISNUMBER(BS1010),BS1010,"")</f>
        <v>30</v>
      </c>
      <c r="CB1010" s="13" t="n">
        <f>IF(AND(COUNT(BV1010,BZ1010,CA1010)=3,MIN(BV1010,BZ1010,CA1010)&gt;=0),BV1010*BZ1010*CA1010,"")</f>
        <v>0</v>
      </c>
      <c r="CC1010" s="11" t="n">
        <f>IF(ISNUMBER(BP1010),BP1010,"")</f>
        <v>0.979949351738161</v>
      </c>
      <c r="CD1010" s="14" t="n">
        <f>IF(ISNUMBER(BT1010),BT1010,"")</f>
        <v>31</v>
      </c>
      <c r="CE1010" s="13" t="n">
        <f>IF(AND(COUNT(BV1010,CC1010,CD1010)=3,MIN(BV1010,CC1010,CD1010)&gt;=0),BV1010*CC1010*CD1010,"")</f>
        <v>0</v>
      </c>
      <c r="CF1010" s="11" t="n">
        <f>IF(ISNUMBER(BQ1010),BQ1010,"")</f>
        <v>1.1571949690048173</v>
      </c>
      <c r="CG1010" s="14" t="n">
        <f>IF(ISNUMBER(BU1010),BU1010,"")</f>
        <v>17</v>
      </c>
      <c r="CH1010" s="13" t="n">
        <f>IF(AND(COUNT(BV1010,CF1010,CG1010)=3,MIN(BV1010,CF1010,CG1010)&gt;=0),BV1010*CF1010*CG1010,"")</f>
        <v>0</v>
      </c>
      <c r="CI1010" s="13" t="n">
        <f>IF(COUNT(BY1010,CB1010,CE1010,CH1010)=4,SUM(BY1010,CB1010,CE1010,CH1010),"")</f>
        <v>0</v>
      </c>
    </row>
    <row r="1011" ht="72" customHeight="1">
      <c r="A1011" s="16" t="str">
        <v>B07-BG-37.5</v>
      </c>
      <c r="B1011" s="16" t="str">
        <v>4店-彬郁-US</v>
      </c>
      <c r="C1011" s="16" t="str">
        <v>艾年</v>
      </c>
      <c r="D1011" s="26" t="n">
        <f>IF(NOT(ISNUMBER(E1011)),"",IF(OR(E1011&lt;=0,L1011=0),0,IF(OR(NOT(ISNUMBER(F1011)),F1011&lt;0),"",MIN(E1011,INT(F1011)))))</f>
        <v>0</v>
      </c>
      <c r="E1011" s="27" t="n">
        <f>IF(OR(NOT(ISNUMBER(L1011)),COUNT(M1011:O1011)&lt;&gt;3,MIN(M1011:O1011)&lt;0),"",ROUNDUP(ROUND(BI1011-SUM(M1011:O1011),10),0))</f>
        <v>-24</v>
      </c>
      <c r="F1011" s="28" t="n">
        <v>0</v>
      </c>
      <c r="G1011" s="28" t="n">
        <f>IF(AND(ISNUMBER(D1011),ISNUMBER(E1011)),IF(OR(E1011&lt;=0,L1011=0),0,E1011-D1011),"")</f>
        <v>0</v>
      </c>
      <c r="H1011" s="16" t="str">
        <f>IF(NOT(ISNUMBER(E1011)),"销量或海外库存待补",IF(OR(E1011&lt;=0,L1011=0),IF(L1011=0,"零日销，本批不发","本批无需补货"),IF(NOT(ISNUMBER(D1011)),"国内库存待补",IF(D1011=0,"国内无可用库存",IF(G1011&gt;0,"先发国内现货","按建议量发货")))))</f>
        <v>本批无需补货</v>
      </c>
      <c r="I1011" s="28" t="n">
        <f>IF(AND(COUNT(Z1011,AA1011,AB1011)=3,Z1011&gt;=AA1011,AA1011&gt;=0,AB1011=7),Z1011-AA1011,"")</f>
        <v>2</v>
      </c>
      <c r="J1011" s="28" t="n">
        <f>IF(AND(COUNT(AF1011,AG1011,AH1011)=3,AF1011&gt;=AG1011,AG1011&gt;=0,AH1011=14),AF1011-AG1011,"")</f>
        <v>2</v>
      </c>
      <c r="K1011" s="28" t="n">
        <f>IF(AND(COUNT(AL1011,AM1011,AN1011)=3,AL1011&gt;=AM1011,AM1011&gt;=0,AN1011=30),AL1011-AM1011,"")</f>
        <v>3</v>
      </c>
      <c r="L1011" s="29" t="n">
        <f>IF(ISNUMBER(BI1011),BI1011/90,"")</f>
        <v>0.19548117383638963</v>
      </c>
      <c r="M1011" s="28" t="n">
        <v>26</v>
      </c>
      <c r="N1011" s="28" t="n">
        <v>0</v>
      </c>
      <c r="O1011" s="28" t="n">
        <v>15</v>
      </c>
      <c r="P1011" s="30" t="n">
        <f>IF(AND(ISNUMBER(L1011),L1011&gt;0,COUNT(M1011:O1011)=3,MIN(M1011:O1011)&gt;=0),SUM(M1011:O1011)/L1011,"")</f>
        <v>209.73886740784283</v>
      </c>
      <c r="Q1011" s="16" t="str">
        <v>沿用原计划SKU店铺</v>
      </c>
      <c r="R1011" s="16" t="str">
        <v>已匹配</v>
      </c>
      <c r="S1011" s="16" t="str">
        <v>在售</v>
      </c>
      <c r="T1011" s="16" t="str">
        <v>B07</v>
      </c>
      <c r="U1011" s="16" t="str">
        <v>米色羊京绒</v>
      </c>
      <c r="V1011" s="16" t="n">
        <v>6.5</v>
      </c>
      <c r="W1011" s="8" t="str">
        <v>2026-10-11 至 2026-10-17</v>
      </c>
      <c r="X1011" s="8" t="str">
        <v>2026-10-11、2026-10-12、2026-10-13、2026-10-14、2026-10-15、2026-10-16、2026-10-17</v>
      </c>
      <c r="Y1011" s="8" t="str">
        <v>无</v>
      </c>
      <c r="Z1011" s="8" t="n">
        <v>2</v>
      </c>
      <c r="AA1011" s="8" t="n">
        <v>0</v>
      </c>
      <c r="AB1011" s="8" t="n">
        <v>7</v>
      </c>
      <c r="AC1011" s="8" t="str">
        <v>2026-10-02 至 2026-10-17</v>
      </c>
      <c r="AD1011" s="8" t="str">
        <v>2026-10-02、2026-10-03、2026-10-04、2026-10-05、2026-10-08、2026-10-09、2026-10-10、2026-10-11、2026-10-12、2026-10-13、2026-10-14、2026-10-15、2026-10-16、2026-10-17</v>
      </c>
      <c r="AE1011" s="8" t="str">
        <v>2026-10-06 大促；2026-10-07 大促</v>
      </c>
      <c r="AF1011" s="8" t="n">
        <v>3</v>
      </c>
      <c r="AG1011" s="8" t="n">
        <v>1</v>
      </c>
      <c r="AH1011" s="8" t="n">
        <v>14</v>
      </c>
      <c r="AI1011" s="8" t="str">
        <v>2026-09-16 至 2026-10-17</v>
      </c>
      <c r="AJ10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1" s="8" t="str">
        <v>2026-10-06 大促；2026-10-07 大促</v>
      </c>
      <c r="AL1011" s="8" t="n">
        <v>4</v>
      </c>
      <c r="AM1011" s="8" t="n">
        <v>1</v>
      </c>
      <c r="AN1011" s="8" t="n">
        <v>30</v>
      </c>
      <c r="AO1011" s="8" t="str">
        <v>B07 / 米色羊京绒 / 13306</v>
      </c>
      <c r="AP1011" s="11" t="n">
        <v>0.7307750238224848</v>
      </c>
      <c r="AQ1011" s="11" t="n">
        <v>0.7307750238224848</v>
      </c>
      <c r="AR1011" s="11" t="n">
        <v>0.7449809054134506</v>
      </c>
      <c r="AS1011" s="11" t="n">
        <f>IF(AND(COUNT(I1011:K1011,AP1011:AR1011)=6,MIN(AP1011:AR1011)&gt;0),I1011/7/AP1011*0.5+J1011/14/AQ1011*0.3+K1011/30/AR1011*0.2,"")</f>
        <v>0.28097964940935394</v>
      </c>
      <c r="AT1011" s="8" t="n">
        <v>10</v>
      </c>
      <c r="AU1011" s="8" t="n">
        <v>1</v>
      </c>
      <c r="AV1011" s="8" t="n">
        <v>88</v>
      </c>
      <c r="AW1011" s="11" t="n">
        <f>IF(AND(COUNT(AT1011:AV1011)=3,AT1011&gt;=AU1011,AU1011&gt;=0,AV1011&gt;0),(AT1011-AU1011)/AV1011,"")</f>
        <v>0.10227272727272728</v>
      </c>
      <c r="AX1011" s="8" t="n">
        <v>17</v>
      </c>
      <c r="AY1011" s="8" t="n">
        <v>1</v>
      </c>
      <c r="AZ1011" s="8" t="n">
        <v>178</v>
      </c>
      <c r="BA1011" s="11" t="n">
        <f>IF(AND(COUNT(AX1011:AZ1011)=3,AX1011&gt;=AY1011,AY1011&gt;=0,AZ1011&gt;0),(AX1011-AY1011)/AZ1011,"")</f>
        <v>0.0898876404494382</v>
      </c>
      <c r="BB1011" s="8" t="n">
        <f>IF(COUNT(AS1011,AW1011,BA1011)=3,1,0)</f>
        <v>1</v>
      </c>
      <c r="BC1011" s="11" t="n">
        <f>IF(SUMIF($AO$11:$AO$1309,AO1011,$BB$11:$BB$1309)=COUNTIF($AO$11:$AO$1309,AO1011),SUMIF($AO$11:$AO$1309,AO1011,$AS$11:$AS$1309),"")</f>
        <v>3.1019363848639383</v>
      </c>
      <c r="BD1011" s="11" t="n">
        <f>IF(SUMIF($AO$11:$AO$1309,AO1011,$BB$11:$BB$1309)=COUNTIF($AO$11:$AO$1309,AO1011),SUMIF($AO$11:$AO$1309,AO1011,$AW$11:$AW$1309),"")</f>
        <v>1.4098837209302328</v>
      </c>
      <c r="BE1011" s="11" t="n">
        <f>IF(SUMIF($AO$11:$AO$1309,AO1011,$BB$11:$BB$1309)=COUNTIF($AO$11:$AO$1309,AO1011),SUMIF($AO$11:$AO$1309,AO1011,$BA$11:$BA$1309),"")</f>
        <v>1.2482449292280753</v>
      </c>
      <c r="BF1011" s="12" t="n">
        <f>IF(COUNT(BD1011:BE1011)&lt;&gt;2,"",IF(AND(BD1011&gt;0,BE1011&gt;0),0.7*AW1011/BD1011+0.3*BA1011/BE1011,IF(BD1011&gt;0,AW1011/BD1011,IF(BE1011&gt;0,BA1011/BE1011,IF(AND(ISNUMBER(BH1011),BH1011=0),0,"")))))</f>
        <v>0.07238124796884107</v>
      </c>
      <c r="BG1011" s="11" t="n">
        <f>IF(AND(COUNT(BN1011:BU1011)=8,MIN(BN1011:BU1011)&gt;=0),SUMPRODUCT(BN1011:BQ1011,BR1011:BU1011),"")</f>
        <v>78.35892944347341</v>
      </c>
      <c r="BH1011" s="11" t="n">
        <f>IF(COUNT(BC1011,BG1011)=2,BC1011*BG1011,"")</f>
        <v>243.06441431969634</v>
      </c>
      <c r="BI1011" s="11" t="n">
        <f>IF(ISNUMBER(CI1011),CI1011,"")</f>
        <v>17.593305645275066</v>
      </c>
      <c r="BJ1011" s="8" t="str"/>
      <c r="BK1011" s="8" t="str">
        <v>90天：2026-07-20 至 2026-10-17；180天：2026-04-21 至 2026-10-17</v>
      </c>
      <c r="BL1011" s="8" t="str">
        <v>90天：2026-10-06、2026-10-07；180天：2026-10-06、2026-10-07</v>
      </c>
      <c r="BM1011" s="8" t="str">
        <v>2026-10：12天 × 0.7307750238224848；2026-11：30天 × 0.9523018155490097；2026-12：31天 × 0.5958545198749097；2027-01：17天 × 1.3264167397065354</v>
      </c>
      <c r="BN1011" s="11" t="n">
        <v>0.7307750238224848</v>
      </c>
      <c r="BO1011" s="11" t="n">
        <v>0.9523018155490097</v>
      </c>
      <c r="BP1011" s="11" t="n">
        <v>0.5958545198749097</v>
      </c>
      <c r="BQ1011" s="11" t="n">
        <v>1.3264167397065354</v>
      </c>
      <c r="BR1011" s="8" t="n">
        <v>12</v>
      </c>
      <c r="BS1011" s="8" t="n">
        <v>30</v>
      </c>
      <c r="BT1011" s="8" t="n">
        <v>31</v>
      </c>
      <c r="BU1011" s="8" t="n">
        <v>17</v>
      </c>
      <c r="BV1011" s="11" t="n">
        <f>IF(COUNT(BC1011,BF1011)=2,BC1011*BF1011,"")</f>
        <v>0.22452202665640716</v>
      </c>
      <c r="BW1011" s="11" t="n">
        <f>IF(ISNUMBER(BN1011),BN1011,"")</f>
        <v>0.7307750238224848</v>
      </c>
      <c r="BX1011" s="14" t="n">
        <f>IF(ISNUMBER(BR1011),BR1011,"")</f>
        <v>12</v>
      </c>
      <c r="BY1011" s="13" t="n">
        <f>IF(AND(COUNT(BV1011,BW1011,BX1011)=3,MIN(BV1011,BW1011,BX1011)&gt;=0),BV1011*BW1011*BX1011,"")</f>
        <v>1.9689010725421021</v>
      </c>
      <c r="BZ1011" s="11" t="n">
        <f>IF(ISNUMBER(BO1011),BO1011,"")</f>
        <v>0.9523018155490097</v>
      </c>
      <c r="CA1011" s="14" t="n">
        <f>IF(ISNUMBER(BS1011),BS1011,"")</f>
        <v>30</v>
      </c>
      <c r="CB1011" s="13" t="n">
        <f>IF(AND(COUNT(BV1011,BZ1011,CA1011)=3,MIN(BV1011,BZ1011,CA1011)&gt;=0),BV1011*BZ1011*CA1011,"")</f>
        <v>6.414382008469191</v>
      </c>
      <c r="CC1011" s="11" t="n">
        <f>IF(ISNUMBER(BP1011),BP1011,"")</f>
        <v>0.5958545198749097</v>
      </c>
      <c r="CD1011" s="14" t="n">
        <f>IF(ISNUMBER(BT1011),BT1011,"")</f>
        <v>31</v>
      </c>
      <c r="CE1011" s="13" t="n">
        <f>IF(AND(COUNT(BV1011,CC1011,CD1011)=3,MIN(BV1011,CC1011,CD1011)&gt;=0),BV1011*CC1011*CD1011,"")</f>
        <v>4.14725639623555</v>
      </c>
      <c r="CF1011" s="11" t="n">
        <f>IF(ISNUMBER(BQ1011),BQ1011,"")</f>
        <v>1.3264167397065354</v>
      </c>
      <c r="CG1011" s="14" t="n">
        <f>IF(ISNUMBER(BU1011),BU1011,"")</f>
        <v>17</v>
      </c>
      <c r="CH1011" s="13" t="n">
        <f>IF(AND(COUNT(BV1011,CF1011,CG1011)=3,MIN(BV1011,CF1011,CG1011)&gt;=0),BV1011*CF1011*CG1011,"")</f>
        <v>5.062766168028222</v>
      </c>
      <c r="CI1011" s="13" t="n">
        <f>IF(COUNT(BY1011,CB1011,CE1011,CH1011)=4,SUM(BY1011,CB1011,CE1011,CH1011),"")</f>
        <v>17.593305645275066</v>
      </c>
    </row>
    <row r="1012" ht="72" customHeight="1">
      <c r="A1012" s="16" t="str">
        <v>B07-BG-39-New</v>
      </c>
      <c r="B1012" s="16" t="str">
        <v>4店-彬郁-US</v>
      </c>
      <c r="C1012" s="16" t="str">
        <v>艾年</v>
      </c>
      <c r="D1012" s="26" t="n">
        <f>IF(NOT(ISNUMBER(E1012)),"",IF(OR(E1012&lt;=0,L1012=0),0,IF(OR(NOT(ISNUMBER(F1012)),F1012&lt;0),"",MIN(E1012,INT(F1012)))))</f>
        <v>0</v>
      </c>
      <c r="E1012" s="27" t="n">
        <f>IF(OR(NOT(ISNUMBER(L1012)),COUNT(M1012:O1012)&lt;&gt;3,MIN(M1012:O1012)&lt;0),"",ROUNDUP(ROUND(BI1012-SUM(M1012:O1012),10),0))</f>
        <v>-2</v>
      </c>
      <c r="F1012" s="28" t="n">
        <v>16</v>
      </c>
      <c r="G1012" s="28" t="n">
        <f>IF(AND(ISNUMBER(D1012),ISNUMBER(E1012)),IF(OR(E1012&lt;=0,L1012=0),0,E1012-D1012),"")</f>
        <v>0</v>
      </c>
      <c r="H1012" s="16" t="str">
        <f>IF(NOT(ISNUMBER(E1012)),"销量或海外库存待补",IF(OR(E1012&lt;=0,L1012=0),IF(L1012=0,"零日销，本批不发","本批无需补货"),IF(NOT(ISNUMBER(D1012)),"国内库存待补",IF(D1012=0,"国内无可用库存",IF(G1012&gt;0,"先发国内现货","按建议量发货")))))</f>
        <v>本批无需补货</v>
      </c>
      <c r="I1012" s="28" t="n">
        <f>IF(AND(COUNT(Z1012,AA1012,AB1012)=3,Z1012&gt;=AA1012,AA1012&gt;=0,AB1012=7),Z1012-AA1012,"")</f>
        <v>5</v>
      </c>
      <c r="J1012" s="28" t="n">
        <f>IF(AND(COUNT(AF1012,AG1012,AH1012)=3,AF1012&gt;=AG1012,AG1012&gt;=0,AH1012=14),AF1012-AG1012,"")</f>
        <v>6</v>
      </c>
      <c r="K1012" s="28" t="n">
        <f>IF(AND(COUNT(AL1012,AM1012,AN1012)=3,AL1012&gt;=AM1012,AM1012&gt;=0,AN1012=30),AL1012-AM1012,"")</f>
        <v>16</v>
      </c>
      <c r="L1012" s="29" t="n">
        <f>IF(ISNUMBER(BI1012),BI1012/90,"")</f>
        <v>0.7782781609580836</v>
      </c>
      <c r="M1012" s="28" t="n">
        <v>32</v>
      </c>
      <c r="N1012" s="28" t="n">
        <v>0</v>
      </c>
      <c r="O1012" s="28" t="n">
        <v>40</v>
      </c>
      <c r="P1012" s="30" t="n">
        <f>IF(AND(ISNUMBER(L1012),L1012&gt;0,COUNT(M1012:O1012)=3,MIN(M1012:O1012)&gt;=0),SUM(M1012:O1012)/L1012,"")</f>
        <v>92.51191105165518</v>
      </c>
      <c r="Q1012" s="16" t="str">
        <v>沿用原计划SKU店铺</v>
      </c>
      <c r="R1012" s="16" t="str">
        <v>已匹配</v>
      </c>
      <c r="S1012" s="16" t="str">
        <v>在售</v>
      </c>
      <c r="T1012" s="16" t="str">
        <v>B07</v>
      </c>
      <c r="U1012" s="16" t="str">
        <v>米色羊京绒</v>
      </c>
      <c r="V1012" s="16" t="n">
        <v>8</v>
      </c>
      <c r="W1012" s="8" t="str">
        <v>2026-10-11 至 2026-10-17</v>
      </c>
      <c r="X1012" s="8" t="str">
        <v>2026-10-11、2026-10-12、2026-10-13、2026-10-14、2026-10-15、2026-10-16、2026-10-17</v>
      </c>
      <c r="Y1012" s="8" t="str">
        <v>无</v>
      </c>
      <c r="Z1012" s="8" t="n">
        <v>5</v>
      </c>
      <c r="AA1012" s="8" t="n">
        <v>0</v>
      </c>
      <c r="AB1012" s="8" t="n">
        <v>7</v>
      </c>
      <c r="AC1012" s="8" t="str">
        <v>2026-10-02 至 2026-10-17</v>
      </c>
      <c r="AD1012" s="8" t="str">
        <v>2026-10-02、2026-10-03、2026-10-04、2026-10-05、2026-10-08、2026-10-09、2026-10-10、2026-10-11、2026-10-12、2026-10-13、2026-10-14、2026-10-15、2026-10-16、2026-10-17</v>
      </c>
      <c r="AE1012" s="8" t="str">
        <v>2026-10-06 大促；2026-10-07 大促</v>
      </c>
      <c r="AF1012" s="8" t="n">
        <v>8</v>
      </c>
      <c r="AG1012" s="8" t="n">
        <v>2</v>
      </c>
      <c r="AH1012" s="8" t="n">
        <v>14</v>
      </c>
      <c r="AI1012" s="8" t="str">
        <v>2026-09-16 至 2026-10-17</v>
      </c>
      <c r="AJ10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2" s="8" t="str">
        <v>2026-10-06 大促；2026-10-07 大促</v>
      </c>
      <c r="AL1012" s="8" t="n">
        <v>18</v>
      </c>
      <c r="AM1012" s="8" t="n">
        <v>2</v>
      </c>
      <c r="AN1012" s="8" t="n">
        <v>30</v>
      </c>
      <c r="AO1012" s="8" t="str">
        <v>B07 / 米色羊京绒 / 13306</v>
      </c>
      <c r="AP1012" s="11" t="n">
        <v>0.7307750238224848</v>
      </c>
      <c r="AQ1012" s="11" t="n">
        <v>0.7307750238224848</v>
      </c>
      <c r="AR1012" s="11" t="n">
        <v>0.7449809054134506</v>
      </c>
      <c r="AS1012" s="11" t="n">
        <f>IF(AND(COUNT(I1012:K1012,AP1012:AR1012)=6,MIN(AP1012:AR1012)&gt;0),I1012/7/AP1012*0.5+J1012/14/AQ1012*0.3+K1012/30/AR1012*0.2,"")</f>
        <v>0.8078367887207927</v>
      </c>
      <c r="AT1012" s="8" t="n">
        <v>38</v>
      </c>
      <c r="AU1012" s="8" t="n">
        <v>2</v>
      </c>
      <c r="AV1012" s="8" t="n">
        <v>88</v>
      </c>
      <c r="AW1012" s="11" t="n">
        <f>IF(AND(COUNT(AT1012:AV1012)=3,AT1012&gt;=AU1012,AU1012&gt;=0,AV1012&gt;0),(AT1012-AU1012)/AV1012,"")</f>
        <v>0.4090909090909091</v>
      </c>
      <c r="AX1012" s="8" t="n">
        <v>65</v>
      </c>
      <c r="AY1012" s="8" t="n">
        <v>2</v>
      </c>
      <c r="AZ1012" s="8" t="n">
        <v>178</v>
      </c>
      <c r="BA1012" s="11" t="n">
        <f>IF(AND(COUNT(AX1012:AZ1012)=3,AX1012&gt;=AY1012,AY1012&gt;=0,AZ1012&gt;0),(AX1012-AY1012)/AZ1012,"")</f>
        <v>0.3539325842696629</v>
      </c>
      <c r="BB1012" s="8" t="n">
        <f>IF(COUNT(AS1012,AW1012,BA1012)=3,1,0)</f>
        <v>1</v>
      </c>
      <c r="BC1012" s="11" t="n">
        <f>IF(SUMIF($AO$11:$AO$1309,AO1012,$BB$11:$BB$1309)=COUNTIF($AO$11:$AO$1309,AO1012),SUMIF($AO$11:$AO$1309,AO1012,$AS$11:$AS$1309),"")</f>
        <v>3.1019363848639383</v>
      </c>
      <c r="BD1012" s="11" t="n">
        <f>IF(SUMIF($AO$11:$AO$1309,AO1012,$BB$11:$BB$1309)=COUNTIF($AO$11:$AO$1309,AO1012),SUMIF($AO$11:$AO$1309,AO1012,$AW$11:$AW$1309),"")</f>
        <v>1.4098837209302328</v>
      </c>
      <c r="BE1012" s="11" t="n">
        <f>IF(SUMIF($AO$11:$AO$1309,AO1012,$BB$11:$BB$1309)=COUNTIF($AO$11:$AO$1309,AO1012),SUMIF($AO$11:$AO$1309,AO1012,$BA$11:$BA$1309),"")</f>
        <v>1.2482449292280753</v>
      </c>
      <c r="BF1012" s="12" t="n">
        <f>IF(COUNT(BD1012:BE1012)&lt;&gt;2,"",IF(AND(BD1012&gt;0,BE1012&gt;0),0.7*AW1012/BD1012+0.3*BA1012/BE1012,IF(BD1012&gt;0,AW1012/BD1012,IF(BE1012&gt;0,BA1012/BE1012,IF(AND(ISNUMBER(BH1012),BH1012=0),0,"")))))</f>
        <v>0.28817478149680564</v>
      </c>
      <c r="BG1012" s="11" t="n">
        <f>IF(AND(COUNT(BN1012:BU1012)=8,MIN(BN1012:BU1012)&gt;=0),SUMPRODUCT(BN1012:BQ1012,BR1012:BU1012),"")</f>
        <v>78.35892944347341</v>
      </c>
      <c r="BH1012" s="11" t="n">
        <f>IF(COUNT(BC1012,BG1012)=2,BC1012*BG1012,"")</f>
        <v>243.06441431969634</v>
      </c>
      <c r="BI1012" s="11" t="n">
        <f>IF(ISNUMBER(CI1012),CI1012,"")</f>
        <v>70.04503448622752</v>
      </c>
      <c r="BJ1012" s="8" t="str"/>
      <c r="BK1012" s="8" t="str">
        <v>90天：2026-07-20 至 2026-10-17；180天：2026-04-21 至 2026-10-17</v>
      </c>
      <c r="BL1012" s="8" t="str">
        <v>90天：2026-10-06、2026-10-07；180天：2026-10-06、2026-10-07</v>
      </c>
      <c r="BM1012" s="8" t="str">
        <v>2026-10：12天 × 0.7307750238224848；2026-11：30天 × 0.9523018155490097；2026-12：31天 × 0.5958545198749097；2027-01：17天 × 1.3264167397065354</v>
      </c>
      <c r="BN1012" s="11" t="n">
        <v>0.7307750238224848</v>
      </c>
      <c r="BO1012" s="11" t="n">
        <v>0.9523018155490097</v>
      </c>
      <c r="BP1012" s="11" t="n">
        <v>0.5958545198749097</v>
      </c>
      <c r="BQ1012" s="11" t="n">
        <v>1.3264167397065354</v>
      </c>
      <c r="BR1012" s="8" t="n">
        <v>12</v>
      </c>
      <c r="BS1012" s="8" t="n">
        <v>30</v>
      </c>
      <c r="BT1012" s="8" t="n">
        <v>31</v>
      </c>
      <c r="BU1012" s="8" t="n">
        <v>17</v>
      </c>
      <c r="BV1012" s="11" t="n">
        <f>IF(COUNT(BC1012,BF1012)=2,BC1012*BF1012,"")</f>
        <v>0.8938998399251566</v>
      </c>
      <c r="BW1012" s="11" t="n">
        <f>IF(ISNUMBER(BN1012),BN1012,"")</f>
        <v>0.7307750238224848</v>
      </c>
      <c r="BX1012" s="14" t="n">
        <f>IF(ISNUMBER(BR1012),BR1012,"")</f>
        <v>12</v>
      </c>
      <c r="BY1012" s="13" t="n">
        <f>IF(AND(COUNT(BV1012,BW1012,BX1012)=3,MIN(BV1012,BW1012,BX1012)&gt;=0),BV1012*BW1012*BX1012,"")</f>
        <v>7.8388761217946605</v>
      </c>
      <c r="BZ1012" s="11" t="n">
        <f>IF(ISNUMBER(BO1012),BO1012,"")</f>
        <v>0.9523018155490097</v>
      </c>
      <c r="CA1012" s="14" t="n">
        <f>IF(ISNUMBER(BS1012),BS1012,"")</f>
        <v>30</v>
      </c>
      <c r="CB1012" s="13" t="n">
        <f>IF(AND(COUNT(BV1012,BZ1012,CA1012)=3,MIN(BV1012,BZ1012,CA1012)&gt;=0),BV1012*BZ1012*CA1012,"")</f>
        <v>25.537873214390874</v>
      </c>
      <c r="CC1012" s="11" t="n">
        <f>IF(ISNUMBER(BP1012),BP1012,"")</f>
        <v>0.5958545198749097</v>
      </c>
      <c r="CD1012" s="14" t="n">
        <f>IF(ISNUMBER(BT1012),BT1012,"")</f>
        <v>31</v>
      </c>
      <c r="CE1012" s="13" t="n">
        <f>IF(AND(COUNT(BV1012,CC1012,CD1012)=3,MIN(BV1012,CC1012,CD1012)&gt;=0),BV1012*CC1012*CD1012,"")</f>
        <v>16.511662057980747</v>
      </c>
      <c r="CF1012" s="11" t="n">
        <f>IF(ISNUMBER(BQ1012),BQ1012,"")</f>
        <v>1.3264167397065354</v>
      </c>
      <c r="CG1012" s="14" t="n">
        <f>IF(ISNUMBER(BU1012),BU1012,"")</f>
        <v>17</v>
      </c>
      <c r="CH1012" s="13" t="n">
        <f>IF(AND(COUNT(BV1012,CF1012,CG1012)=3,MIN(BV1012,CF1012,CG1012)&gt;=0),BV1012*CF1012*CG1012,"")</f>
        <v>20.156623092061242</v>
      </c>
      <c r="CI1012" s="13" t="n">
        <f>IF(COUNT(BY1012,CB1012,CE1012,CH1012)=4,SUM(BY1012,CB1012,CE1012,CH1012),"")</f>
        <v>70.04503448622752</v>
      </c>
    </row>
    <row r="1013" ht="72" customHeight="1">
      <c r="A1013" s="16" t="str">
        <v>B07-BG-39.5</v>
      </c>
      <c r="B1013" s="16" t="str">
        <v>4店-彬郁-US</v>
      </c>
      <c r="C1013" s="16" t="str">
        <v>艾年</v>
      </c>
      <c r="D1013" s="26" t="n">
        <f>IF(NOT(ISNUMBER(E1013)),"",IF(OR(E1013&lt;=0,L1013=0),0,IF(OR(NOT(ISNUMBER(F1013)),F1013&lt;0),"",MIN(E1013,INT(F1013)))))</f>
        <v>0</v>
      </c>
      <c r="E1013" s="27" t="n">
        <f>IF(OR(NOT(ISNUMBER(L1013)),COUNT(M1013:O1013)&lt;&gt;3,MIN(M1013:O1013)&lt;0),"",ROUNDUP(ROUND(BI1013-SUM(M1013:O1013),10),0))</f>
        <v>-3</v>
      </c>
      <c r="F1013" s="28" t="n">
        <v>0</v>
      </c>
      <c r="G1013" s="28" t="n">
        <f>IF(AND(ISNUMBER(D1013),ISNUMBER(E1013)),IF(OR(E1013&lt;=0,L1013=0),0,E1013-D1013),"")</f>
        <v>0</v>
      </c>
      <c r="H1013" s="16" t="str">
        <f>IF(NOT(ISNUMBER(E1013)),"销量或海外库存待补",IF(OR(E1013&lt;=0,L1013=0),IF(L1013=0,"零日销，本批不发","本批无需补货"),IF(NOT(ISNUMBER(D1013)),"国内库存待补",IF(D1013=0,"国内无可用库存",IF(G1013&gt;0,"先发国内现货","按建议量发货")))))</f>
        <v>本批无需补货</v>
      </c>
      <c r="I1013" s="28" t="n">
        <f>IF(AND(COUNT(Z1013,AA1013,AB1013)=3,Z1013&gt;=AA1013,AA1013&gt;=0,AB1013=7),Z1013-AA1013,"")</f>
        <v>4</v>
      </c>
      <c r="J1013" s="28" t="n">
        <f>IF(AND(COUNT(AF1013,AG1013,AH1013)=3,AF1013&gt;=AG1013,AG1013&gt;=0,AH1013=14),AF1013-AG1013,"")</f>
        <v>6</v>
      </c>
      <c r="K1013" s="28" t="n">
        <f>IF(AND(COUNT(AL1013,AM1013,AN1013)=3,AL1013&gt;=AM1013,AM1013&gt;=0,AN1013=30),AL1013-AM1013,"")</f>
        <v>9</v>
      </c>
      <c r="L1013" s="29" t="n">
        <f>IF(ISNUMBER(BI1013),BI1013/90,"")</f>
        <v>0.4055484852226785</v>
      </c>
      <c r="M1013" s="28" t="n">
        <v>16</v>
      </c>
      <c r="N1013" s="28" t="n">
        <v>0</v>
      </c>
      <c r="O1013" s="28" t="n">
        <v>23</v>
      </c>
      <c r="P1013" s="30" t="n">
        <f>IF(AND(ISNUMBER(L1013),L1013&gt;0,COUNT(M1013:O1013)=3,MIN(M1013:O1013)&gt;=0),SUM(M1013:O1013)/L1013,"")</f>
        <v>96.16606009164573</v>
      </c>
      <c r="Q1013" s="16" t="str">
        <v>沿用原计划SKU店铺</v>
      </c>
      <c r="R1013" s="16" t="str">
        <v>已匹配</v>
      </c>
      <c r="S1013" s="16" t="str">
        <v>在售</v>
      </c>
      <c r="T1013" s="16" t="str">
        <v>B07</v>
      </c>
      <c r="U1013" s="16" t="str">
        <v>米色羊京绒</v>
      </c>
      <c r="V1013" s="16" t="n">
        <v>8.5</v>
      </c>
      <c r="W1013" s="8" t="str">
        <v>2026-10-11 至 2026-10-17</v>
      </c>
      <c r="X1013" s="8" t="str">
        <v>2026-10-11、2026-10-12、2026-10-13、2026-10-14、2026-10-15、2026-10-16、2026-10-17</v>
      </c>
      <c r="Y1013" s="8" t="str">
        <v>无</v>
      </c>
      <c r="Z1013" s="8" t="n">
        <v>4</v>
      </c>
      <c r="AA1013" s="8" t="n">
        <v>0</v>
      </c>
      <c r="AB1013" s="8" t="n">
        <v>7</v>
      </c>
      <c r="AC1013" s="8" t="str">
        <v>2026-10-02 至 2026-10-17</v>
      </c>
      <c r="AD1013" s="8" t="str">
        <v>2026-10-02、2026-10-03、2026-10-04、2026-10-05、2026-10-08、2026-10-09、2026-10-10、2026-10-11、2026-10-12、2026-10-13、2026-10-14、2026-10-15、2026-10-16、2026-10-17</v>
      </c>
      <c r="AE1013" s="8" t="str">
        <v>2026-10-06 大促；2026-10-07 大促</v>
      </c>
      <c r="AF1013" s="8" t="n">
        <v>9</v>
      </c>
      <c r="AG1013" s="8" t="n">
        <v>3</v>
      </c>
      <c r="AH1013" s="8" t="n">
        <v>14</v>
      </c>
      <c r="AI1013" s="8" t="str">
        <v>2026-09-16 至 2026-10-17</v>
      </c>
      <c r="AJ10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3" s="8" t="str">
        <v>2026-10-06 大促；2026-10-07 大促</v>
      </c>
      <c r="AL1013" s="8" t="n">
        <v>12</v>
      </c>
      <c r="AM1013" s="8" t="n">
        <v>3</v>
      </c>
      <c r="AN1013" s="8" t="n">
        <v>30</v>
      </c>
      <c r="AO1013" s="8" t="str">
        <v>B07 / 米色羊京绒 / 13306</v>
      </c>
      <c r="AP1013" s="11" t="n">
        <v>0.7307750238224848</v>
      </c>
      <c r="AQ1013" s="11" t="n">
        <v>0.7307750238224848</v>
      </c>
      <c r="AR1013" s="11" t="n">
        <v>0.7449809054134506</v>
      </c>
      <c r="AS1013" s="11" t="n">
        <f>IF(AND(COUNT(I1013:K1013,AP1013:AR1013)=6,MIN(AP1013:AR1013)&gt;0),I1013/7/AP1013*0.5+J1013/14/AQ1013*0.3+K1013/30/AR1013*0.2,"")</f>
        <v>0.6474517761160539</v>
      </c>
      <c r="AT1013" s="8" t="n">
        <v>21</v>
      </c>
      <c r="AU1013" s="8" t="n">
        <v>3</v>
      </c>
      <c r="AV1013" s="8" t="n">
        <v>88</v>
      </c>
      <c r="AW1013" s="11" t="n">
        <f>IF(AND(COUNT(AT1013:AV1013)=3,AT1013&gt;=AU1013,AU1013&gt;=0,AV1013&gt;0),(AT1013-AU1013)/AV1013,"")</f>
        <v>0.20454545454545456</v>
      </c>
      <c r="AX1013" s="8" t="n">
        <v>39</v>
      </c>
      <c r="AY1013" s="8" t="n">
        <v>3</v>
      </c>
      <c r="AZ1013" s="8" t="n">
        <v>178</v>
      </c>
      <c r="BA1013" s="11" t="n">
        <f>IF(AND(COUNT(AX1013:AZ1013)=3,AX1013&gt;=AY1013,AY1013&gt;=0,AZ1013&gt;0),(AX1013-AY1013)/AZ1013,"")</f>
        <v>0.20224719101123595</v>
      </c>
      <c r="BB1013" s="8" t="n">
        <f>IF(COUNT(AS1013,AW1013,BA1013)=3,1,0)</f>
        <v>1</v>
      </c>
      <c r="BC1013" s="11" t="n">
        <f>IF(SUMIF($AO$11:$AO$1309,AO1013,$BB$11:$BB$1309)=COUNTIF($AO$11:$AO$1309,AO1013),SUMIF($AO$11:$AO$1309,AO1013,$AS$11:$AS$1309),"")</f>
        <v>3.1019363848639383</v>
      </c>
      <c r="BD1013" s="11" t="n">
        <f>IF(SUMIF($AO$11:$AO$1309,AO1013,$BB$11:$BB$1309)=COUNTIF($AO$11:$AO$1309,AO1013),SUMIF($AO$11:$AO$1309,AO1013,$AW$11:$AW$1309),"")</f>
        <v>1.4098837209302328</v>
      </c>
      <c r="BE1013" s="11" t="n">
        <f>IF(SUMIF($AO$11:$AO$1309,AO1013,$BB$11:$BB$1309)=COUNTIF($AO$11:$AO$1309,AO1013),SUMIF($AO$11:$AO$1309,AO1013,$BA$11:$BA$1309),"")</f>
        <v>1.2482449292280753</v>
      </c>
      <c r="BF1013" s="12" t="n">
        <f>IF(COUNT(BD1013:BE1013)&lt;&gt;2,"",IF(AND(BD1013&gt;0,BE1013&gt;0),0.7*AW1013/BD1013+0.3*BA1013/BE1013,IF(BD1013&gt;0,AW1013/BD1013,IF(BE1013&gt;0,BA1013/BE1013,IF(AND(ISNUMBER(BH1013),BH1013=0),0,"")))))</f>
        <v>0.15016333745191676</v>
      </c>
      <c r="BG1013" s="11" t="n">
        <f>IF(AND(COUNT(BN1013:BU1013)=8,MIN(BN1013:BU1013)&gt;=0),SUMPRODUCT(BN1013:BQ1013,BR1013:BU1013),"")</f>
        <v>78.35892944347341</v>
      </c>
      <c r="BH1013" s="11" t="n">
        <f>IF(COUNT(BC1013,BG1013)=2,BC1013*BG1013,"")</f>
        <v>243.06441431969634</v>
      </c>
      <c r="BI1013" s="11" t="n">
        <f>IF(ISNUMBER(CI1013),CI1013,"")</f>
        <v>36.49936367004106</v>
      </c>
      <c r="BJ1013" s="8" t="str"/>
      <c r="BK1013" s="8" t="str">
        <v>90天：2026-07-20 至 2026-10-17；180天：2026-04-21 至 2026-10-17</v>
      </c>
      <c r="BL1013" s="8" t="str">
        <v>90天：2026-10-06、2026-10-07；180天：2026-10-06、2026-10-07</v>
      </c>
      <c r="BM1013" s="8" t="str">
        <v>2026-10：12天 × 0.7307750238224848；2026-11：30天 × 0.9523018155490097；2026-12：31天 × 0.5958545198749097；2027-01：17天 × 1.3264167397065354</v>
      </c>
      <c r="BN1013" s="11" t="n">
        <v>0.7307750238224848</v>
      </c>
      <c r="BO1013" s="11" t="n">
        <v>0.9523018155490097</v>
      </c>
      <c r="BP1013" s="11" t="n">
        <v>0.5958545198749097</v>
      </c>
      <c r="BQ1013" s="11" t="n">
        <v>1.3264167397065354</v>
      </c>
      <c r="BR1013" s="8" t="n">
        <v>12</v>
      </c>
      <c r="BS1013" s="8" t="n">
        <v>30</v>
      </c>
      <c r="BT1013" s="8" t="n">
        <v>31</v>
      </c>
      <c r="BU1013" s="8" t="n">
        <v>17</v>
      </c>
      <c r="BV1013" s="11" t="n">
        <f>IF(COUNT(BC1013,BF1013)=2,BC1013*BF1013,"")</f>
        <v>0.4657971201147023</v>
      </c>
      <c r="BW1013" s="11" t="n">
        <f>IF(ISNUMBER(BN1013),BN1013,"")</f>
        <v>0.7307750238224848</v>
      </c>
      <c r="BX1013" s="14" t="n">
        <f>IF(ISNUMBER(BR1013),BR1013,"")</f>
        <v>12</v>
      </c>
      <c r="BY1013" s="13" t="n">
        <f>IF(AND(COUNT(BV1013,BW1013,BX1013)=3,MIN(BV1013,BW1013,BX1013)&gt;=0),BV1013*BW1013*BX1013,"")</f>
        <v>4.084714818579197</v>
      </c>
      <c r="BZ1013" s="11" t="n">
        <f>IF(ISNUMBER(BO1013),BO1013,"")</f>
        <v>0.9523018155490097</v>
      </c>
      <c r="CA1013" s="14" t="n">
        <f>IF(ISNUMBER(BS1013),BS1013,"")</f>
        <v>30</v>
      </c>
      <c r="CB1013" s="13" t="n">
        <f>IF(AND(COUNT(BV1013,BZ1013,CA1013)=3,MIN(BV1013,BZ1013,CA1013)&gt;=0),BV1013*BZ1013*CA1013,"")</f>
        <v>13.307383294881935</v>
      </c>
      <c r="CC1013" s="11" t="n">
        <f>IF(ISNUMBER(BP1013),BP1013,"")</f>
        <v>0.5958545198749097</v>
      </c>
      <c r="CD1013" s="14" t="n">
        <f>IF(ISNUMBER(BT1013),BT1013,"")</f>
        <v>31</v>
      </c>
      <c r="CE1013" s="13" t="n">
        <f>IF(AND(COUNT(BV1013,CC1013,CD1013)=3,MIN(BV1013,CC1013,CD1013)&gt;=0),BV1013*CC1013*CD1013,"")</f>
        <v>8.603966900316909</v>
      </c>
      <c r="CF1013" s="11" t="n">
        <f>IF(ISNUMBER(BQ1013),BQ1013,"")</f>
        <v>1.3264167397065354</v>
      </c>
      <c r="CG1013" s="14" t="n">
        <f>IF(ISNUMBER(BU1013),BU1013,"")</f>
        <v>17</v>
      </c>
      <c r="CH1013" s="13" t="n">
        <f>IF(AND(COUNT(BV1013,CF1013,CG1013)=3,MIN(BV1013,CF1013,CG1013)&gt;=0),BV1013*CF1013*CG1013,"")</f>
        <v>10.503298656263027</v>
      </c>
      <c r="CI1013" s="13" t="n">
        <f>IF(COUNT(BY1013,CB1013,CE1013,CH1013)=4,SUM(BY1013,CB1013,CE1013,CH1013),"")</f>
        <v>36.49936367004106</v>
      </c>
    </row>
    <row r="1014" ht="72" customHeight="1">
      <c r="A1014" s="16" t="str">
        <v>B07-BG-41-by</v>
      </c>
      <c r="B1014" s="16" t="str">
        <v>4店-彬郁-US</v>
      </c>
      <c r="C1014" s="16" t="str">
        <v>艾年</v>
      </c>
      <c r="D1014" s="26" t="n">
        <f>IF(NOT(ISNUMBER(E1014)),"",IF(OR(E1014&lt;=0,L1014=0),0,IF(OR(NOT(ISNUMBER(F1014)),F1014&lt;0),"",MIN(E1014,INT(F1014)))))</f>
        <v>0</v>
      </c>
      <c r="E1014" s="27" t="n">
        <f>IF(OR(NOT(ISNUMBER(L1014)),COUNT(M1014:O1014)&lt;&gt;3,MIN(M1014:O1014)&lt;0),"",ROUNDUP(ROUND(BI1014-SUM(M1014:O1014),10),0))</f>
        <v>-9</v>
      </c>
      <c r="F1014" s="28" t="n">
        <v>0</v>
      </c>
      <c r="G1014" s="28" t="n">
        <f>IF(AND(ISNUMBER(D1014),ISNUMBER(E1014)),IF(OR(E1014&lt;=0,L1014=0),0,E1014-D1014),"")</f>
        <v>0</v>
      </c>
      <c r="H1014" s="16" t="str">
        <f>IF(NOT(ISNUMBER(E1014)),"销量或海外库存待补",IF(OR(E1014&lt;=0,L1014=0),IF(L1014=0,"零日销，本批不发","本批无需补货"),IF(NOT(ISNUMBER(D1014)),"国内库存待补",IF(D1014=0,"国内无可用库存",IF(G1014&gt;0,"先发国内现货","按建议量发货")))))</f>
        <v>本批无需补货</v>
      </c>
      <c r="I1014" s="28" t="n">
        <f>IF(AND(COUNT(Z1014,AA1014,AB1014)=3,Z1014&gt;=AA1014,AA1014&gt;=0,AB1014=7),Z1014-AA1014,"")</f>
        <v>1</v>
      </c>
      <c r="J1014" s="28" t="n">
        <f>IF(AND(COUNT(AF1014,AG1014,AH1014)=3,AF1014&gt;=AG1014,AG1014&gt;=0,AH1014=14),AF1014-AG1014,"")</f>
        <v>1</v>
      </c>
      <c r="K1014" s="28" t="n">
        <f>IF(AND(COUNT(AL1014,AM1014,AN1014)=3,AL1014&gt;=AM1014,AM1014&gt;=0,AN1014=30),AL1014-AM1014,"")</f>
        <v>2</v>
      </c>
      <c r="L1014" s="29" t="n">
        <f>IF(ISNUMBER(BI1014),BI1014/90,"")</f>
        <v>0.15042023103386973</v>
      </c>
      <c r="M1014" s="28" t="n">
        <v>0</v>
      </c>
      <c r="N1014" s="28" t="n">
        <v>0</v>
      </c>
      <c r="O1014" s="28" t="n">
        <v>22</v>
      </c>
      <c r="P1014" s="30" t="n">
        <f>IF(AND(ISNUMBER(L1014),L1014&gt;0,COUNT(M1014:O1014)=3,MIN(M1014:O1014)&gt;=0),SUM(M1014:O1014)/L1014,"")</f>
        <v>146.25692201633646</v>
      </c>
      <c r="Q1014" s="16" t="str">
        <v>沿用原计划SKU店铺</v>
      </c>
      <c r="R1014" s="16" t="str">
        <v>已匹配</v>
      </c>
      <c r="S1014" s="16" t="str">
        <v>在售</v>
      </c>
      <c r="T1014" s="16" t="str">
        <v>B07</v>
      </c>
      <c r="U1014" s="16" t="str">
        <v>米色羊京绒</v>
      </c>
      <c r="V1014" s="16" t="n">
        <v>10</v>
      </c>
      <c r="W1014" s="8" t="str">
        <v>2026-10-11 至 2026-10-17</v>
      </c>
      <c r="X1014" s="8" t="str">
        <v>2026-10-11、2026-10-12、2026-10-13、2026-10-14、2026-10-15、2026-10-16、2026-10-17</v>
      </c>
      <c r="Y1014" s="8" t="str">
        <v>无</v>
      </c>
      <c r="Z1014" s="8" t="n">
        <v>1</v>
      </c>
      <c r="AA1014" s="8" t="n">
        <v>0</v>
      </c>
      <c r="AB1014" s="8" t="n">
        <v>7</v>
      </c>
      <c r="AC1014" s="8" t="str">
        <v>2026-10-02 至 2026-10-17</v>
      </c>
      <c r="AD1014" s="8" t="str">
        <v>2026-10-02、2026-10-03、2026-10-04、2026-10-05、2026-10-08、2026-10-09、2026-10-10、2026-10-11、2026-10-12、2026-10-13、2026-10-14、2026-10-15、2026-10-16、2026-10-17</v>
      </c>
      <c r="AE1014" s="8" t="str">
        <v>2026-10-06 大促；2026-10-07 大促</v>
      </c>
      <c r="AF1014" s="8" t="n">
        <v>2</v>
      </c>
      <c r="AG1014" s="8" t="n">
        <v>1</v>
      </c>
      <c r="AH1014" s="8" t="n">
        <v>14</v>
      </c>
      <c r="AI1014" s="8" t="str">
        <v>2026-09-16 至 2026-10-17</v>
      </c>
      <c r="AJ10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4" s="8" t="str">
        <v>2026-10-06 大促；2026-10-07 大促</v>
      </c>
      <c r="AL1014" s="8" t="n">
        <v>3</v>
      </c>
      <c r="AM1014" s="8" t="n">
        <v>1</v>
      </c>
      <c r="AN1014" s="8" t="n">
        <v>30</v>
      </c>
      <c r="AO1014" s="8" t="str">
        <v>B07 / 米色羊京绒 / 13306</v>
      </c>
      <c r="AP1014" s="11" t="n">
        <v>0.7307750238224848</v>
      </c>
      <c r="AQ1014" s="11" t="n">
        <v>0.7307750238224848</v>
      </c>
      <c r="AR1014" s="11" t="n">
        <v>0.7449809054134506</v>
      </c>
      <c r="AS1014" s="11" t="n">
        <f>IF(AND(COUNT(I1014:K1014,AP1014:AR1014)=6,MIN(AP1014:AR1014)&gt;0),I1014/7/AP1014*0.5+J1014/14/AQ1014*0.3+K1014/30/AR1014*0.2,"")</f>
        <v>0.14496421231530088</v>
      </c>
      <c r="AT1014" s="8" t="n">
        <v>8</v>
      </c>
      <c r="AU1014" s="8" t="n">
        <v>1</v>
      </c>
      <c r="AV1014" s="8" t="n">
        <v>88</v>
      </c>
      <c r="AW1014" s="11" t="n">
        <f>IF(AND(COUNT(AT1014:AV1014)=3,AT1014&gt;=AU1014,AU1014&gt;=0,AV1014&gt;0),(AT1014-AU1014)/AV1014,"")</f>
        <v>0.07954545454545454</v>
      </c>
      <c r="AX1014" s="8" t="n">
        <v>13</v>
      </c>
      <c r="AY1014" s="8" t="n">
        <v>1</v>
      </c>
      <c r="AZ1014" s="8" t="n">
        <v>178</v>
      </c>
      <c r="BA1014" s="11" t="n">
        <f>IF(AND(COUNT(AX1014:AZ1014)=3,AX1014&gt;=AY1014,AY1014&gt;=0,AZ1014&gt;0),(AX1014-AY1014)/AZ1014,"")</f>
        <v>0.06741573033707865</v>
      </c>
      <c r="BB1014" s="8" t="n">
        <f>IF(COUNT(AS1014,AW1014,BA1014)=3,1,0)</f>
        <v>1</v>
      </c>
      <c r="BC1014" s="11" t="n">
        <f>IF(SUMIF($AO$11:$AO$1309,AO1014,$BB$11:$BB$1309)=COUNTIF($AO$11:$AO$1309,AO1014),SUMIF($AO$11:$AO$1309,AO1014,$AS$11:$AS$1309),"")</f>
        <v>3.1019363848639383</v>
      </c>
      <c r="BD1014" s="11" t="n">
        <f>IF(SUMIF($AO$11:$AO$1309,AO1014,$BB$11:$BB$1309)=COUNTIF($AO$11:$AO$1309,AO1014),SUMIF($AO$11:$AO$1309,AO1014,$AW$11:$AW$1309),"")</f>
        <v>1.4098837209302328</v>
      </c>
      <c r="BE1014" s="11" t="n">
        <f>IF(SUMIF($AO$11:$AO$1309,AO1014,$BB$11:$BB$1309)=COUNTIF($AO$11:$AO$1309,AO1014),SUMIF($AO$11:$AO$1309,AO1014,$BA$11:$BA$1309),"")</f>
        <v>1.2482449292280753</v>
      </c>
      <c r="BF1014" s="12" t="n">
        <f>IF(COUNT(BD1014:BE1014)&lt;&gt;2,"",IF(AND(BD1014&gt;0,BE1014&gt;0),0.7*AW1014/BD1014+0.3*BA1014/BE1014,IF(BD1014&gt;0,AW1014/BD1014,IF(BE1014&gt;0,BA1014/BE1014,IF(AND(ISNUMBER(BH1014),BH1014=0),0,"")))))</f>
        <v>0.05569643269640587</v>
      </c>
      <c r="BG1014" s="11" t="n">
        <f>IF(AND(COUNT(BN1014:BU1014)=8,MIN(BN1014:BU1014)&gt;=0),SUMPRODUCT(BN1014:BQ1014,BR1014:BU1014),"")</f>
        <v>78.35892944347341</v>
      </c>
      <c r="BH1014" s="11" t="n">
        <f>IF(COUNT(BC1014,BG1014)=2,BC1014*BG1014,"")</f>
        <v>243.06441431969634</v>
      </c>
      <c r="BI1014" s="11" t="n">
        <f>IF(ISNUMBER(CI1014),CI1014,"")</f>
        <v>13.537820793048276</v>
      </c>
      <c r="BJ1014" s="8" t="str"/>
      <c r="BK1014" s="8" t="str">
        <v>90天：2026-07-20 至 2026-10-17；180天：2026-04-21 至 2026-10-17</v>
      </c>
      <c r="BL1014" s="8" t="str">
        <v>90天：2026-10-06、2026-10-07；180天：2026-10-06、2026-10-07</v>
      </c>
      <c r="BM1014" s="8" t="str">
        <v>2026-10：12天 × 0.7307750238224848；2026-11：30天 × 0.9523018155490097；2026-12：31天 × 0.5958545198749097；2027-01：17天 × 1.3264167397065354</v>
      </c>
      <c r="BN1014" s="11" t="n">
        <v>0.7307750238224848</v>
      </c>
      <c r="BO1014" s="11" t="n">
        <v>0.9523018155490097</v>
      </c>
      <c r="BP1014" s="11" t="n">
        <v>0.5958545198749097</v>
      </c>
      <c r="BQ1014" s="11" t="n">
        <v>1.3264167397065354</v>
      </c>
      <c r="BR1014" s="8" t="n">
        <v>12</v>
      </c>
      <c r="BS1014" s="8" t="n">
        <v>30</v>
      </c>
      <c r="BT1014" s="8" t="n">
        <v>31</v>
      </c>
      <c r="BU1014" s="8" t="n">
        <v>17</v>
      </c>
      <c r="BV1014" s="11" t="n">
        <f>IF(COUNT(BC1014,BF1014)=2,BC1014*BF1014,"")</f>
        <v>0.17276679108810686</v>
      </c>
      <c r="BW1014" s="11" t="n">
        <f>IF(ISNUMBER(BN1014),BN1014,"")</f>
        <v>0.7307750238224848</v>
      </c>
      <c r="BX1014" s="14" t="n">
        <f>IF(ISNUMBER(BR1014),BR1014,"")</f>
        <v>12</v>
      </c>
      <c r="BY1014" s="13" t="n">
        <f>IF(AND(COUNT(BV1014,BW1014,BX1014)=3,MIN(BV1014,BW1014,BX1014)&gt;=0),BV1014*BW1014*BX1014,"")</f>
        <v>1.5150438704777467</v>
      </c>
      <c r="BZ1014" s="11" t="n">
        <f>IF(ISNUMBER(BO1014),BO1014,"")</f>
        <v>0.9523018155490097</v>
      </c>
      <c r="CA1014" s="14" t="n">
        <f>IF(ISNUMBER(BS1014),BS1014,"")</f>
        <v>30</v>
      </c>
      <c r="CB1014" s="13" t="n">
        <f>IF(AND(COUNT(BV1014,BZ1014,CA1014)=3,MIN(BV1014,BZ1014,CA1014)&gt;=0),BV1014*BZ1014*CA1014,"")</f>
        <v>4.935783864593419</v>
      </c>
      <c r="CC1014" s="11" t="n">
        <f>IF(ISNUMBER(BP1014),BP1014,"")</f>
        <v>0.5958545198749097</v>
      </c>
      <c r="CD1014" s="14" t="n">
        <f>IF(ISNUMBER(BT1014),BT1014,"")</f>
        <v>31</v>
      </c>
      <c r="CE1014" s="13" t="n">
        <f>IF(AND(COUNT(BV1014,CC1014,CD1014)=3,MIN(BV1014,CC1014,CD1014)&gt;=0),BV1014*CC1014*CD1014,"")</f>
        <v>3.1912600739781145</v>
      </c>
      <c r="CF1014" s="11" t="n">
        <f>IF(ISNUMBER(BQ1014),BQ1014,"")</f>
        <v>1.3264167397065354</v>
      </c>
      <c r="CG1014" s="14" t="n">
        <f>IF(ISNUMBER(BU1014),BU1014,"")</f>
        <v>17</v>
      </c>
      <c r="CH1014" s="13" t="n">
        <f>IF(AND(COUNT(BV1014,CF1014,CG1014)=3,MIN(BV1014,CF1014,CG1014)&gt;=0),BV1014*CF1014*CG1014,"")</f>
        <v>3.895732983998996</v>
      </c>
      <c r="CI1014" s="13" t="n">
        <f>IF(COUNT(BY1014,CB1014,CE1014,CH1014)=4,SUM(BY1014,CB1014,CE1014,CH1014),"")</f>
        <v>13.537820793048276</v>
      </c>
    </row>
    <row r="1015" ht="72" customHeight="1">
      <c r="A1015" s="16" t="str">
        <v>B07-BG-41.5</v>
      </c>
      <c r="B1015" s="16" t="str">
        <v>4店-彬郁-US</v>
      </c>
      <c r="C1015" s="16" t="str">
        <v>艾年</v>
      </c>
      <c r="D1015" s="26" t="n">
        <f>IF(NOT(ISNUMBER(E1015)),"",IF(OR(E1015&lt;=0,L1015=0),0,IF(OR(NOT(ISNUMBER(F1015)),F1015&lt;0),"",MIN(E1015,INT(F1015)))))</f>
        <v>0</v>
      </c>
      <c r="E1015" s="27" t="n">
        <f>IF(OR(NOT(ISNUMBER(L1015)),COUNT(M1015:O1015)&lt;&gt;3,MIN(M1015:O1015)&lt;0),"",ROUNDUP(ROUND(BI1015-SUM(M1015:O1015),10),0))</f>
        <v>-14</v>
      </c>
      <c r="F1015" s="28" t="n">
        <v>0</v>
      </c>
      <c r="G1015" s="28" t="n">
        <f>IF(AND(ISNUMBER(D1015),ISNUMBER(E1015)),IF(OR(E1015&lt;=0,L1015=0),0,E1015-D1015),"")</f>
        <v>0</v>
      </c>
      <c r="H1015" s="16" t="str">
        <f>IF(NOT(ISNUMBER(E1015)),"销量或海外库存待补",IF(OR(E1015&lt;=0,L1015=0),IF(L1015=0,"零日销，本批不发","本批无需补货"),IF(NOT(ISNUMBER(D1015)),"国内库存待补",IF(D1015=0,"国内无可用库存",IF(G1015&gt;0,"先发国内现货","按建议量发货")))))</f>
        <v>零日销，本批不发</v>
      </c>
      <c r="I1015" s="28" t="n">
        <f>IF(AND(COUNT(Z1015,AA1015,AB1015)=3,Z1015&gt;=AA1015,AA1015&gt;=0,AB1015=7),Z1015-AA1015,"")</f>
        <v>0</v>
      </c>
      <c r="J1015" s="28" t="n">
        <f>IF(AND(COUNT(AF1015,AG1015,AH1015)=3,AF1015&gt;=AG1015,AG1015&gt;=0,AH1015=14),AF1015-AG1015,"")</f>
        <v>0</v>
      </c>
      <c r="K1015" s="28" t="n">
        <f>IF(AND(COUNT(AL1015,AM1015,AN1015)=3,AL1015&gt;=AM1015,AM1015&gt;=0,AN1015=30),AL1015-AM1015,"")</f>
        <v>0</v>
      </c>
      <c r="L1015" s="29" t="n">
        <f>IF(ISNUMBER(BI1015),BI1015/90,"")</f>
        <v>0</v>
      </c>
      <c r="M1015" s="28" t="n">
        <v>0</v>
      </c>
      <c r="N1015" s="28" t="n">
        <v>0</v>
      </c>
      <c r="O1015" s="28" t="n">
        <v>14</v>
      </c>
      <c r="P1015" s="30" t="str">
        <f>IF(AND(ISNUMBER(L1015),L1015&gt;0,COUNT(M1015:O1015)=3,MIN(M1015:O1015)&gt;=0),SUM(M1015:O1015)/L1015,"")</f>
      </c>
      <c r="Q1015" s="16" t="str">
        <v>沿用原计划SKU店铺</v>
      </c>
      <c r="R1015" s="16" t="str">
        <v>已匹配</v>
      </c>
      <c r="S1015" s="16" t="str">
        <v>在售</v>
      </c>
      <c r="T1015" s="16" t="str">
        <v>B07</v>
      </c>
      <c r="U1015" s="16" t="str">
        <v>米色羊京绒</v>
      </c>
      <c r="V1015" s="16" t="n">
        <v>10.5</v>
      </c>
      <c r="W1015" s="8" t="str">
        <v>2026-10-11 至 2026-10-17</v>
      </c>
      <c r="X1015" s="8" t="str">
        <v>2026-10-11、2026-10-12、2026-10-13、2026-10-14、2026-10-15、2026-10-16、2026-10-17</v>
      </c>
      <c r="Y1015" s="8" t="str">
        <v>无</v>
      </c>
      <c r="Z1015" s="8" t="n">
        <v>0</v>
      </c>
      <c r="AA1015" s="8" t="n">
        <v>0</v>
      </c>
      <c r="AB1015" s="8" t="n">
        <v>7</v>
      </c>
      <c r="AC1015" s="8" t="str">
        <v>2026-10-02 至 2026-10-17</v>
      </c>
      <c r="AD1015" s="8" t="str">
        <v>2026-10-02、2026-10-03、2026-10-04、2026-10-05、2026-10-08、2026-10-09、2026-10-10、2026-10-11、2026-10-12、2026-10-13、2026-10-14、2026-10-15、2026-10-16、2026-10-17</v>
      </c>
      <c r="AE1015" s="8" t="str">
        <v>2026-10-06 大促；2026-10-07 大促</v>
      </c>
      <c r="AF1015" s="8" t="n">
        <v>0</v>
      </c>
      <c r="AG1015" s="8" t="n">
        <v>0</v>
      </c>
      <c r="AH1015" s="8" t="n">
        <v>14</v>
      </c>
      <c r="AI1015" s="8" t="str">
        <v>2026-09-16 至 2026-10-17</v>
      </c>
      <c r="AJ101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5" s="8" t="str">
        <v>2026-10-06 大促；2026-10-07 大促</v>
      </c>
      <c r="AL1015" s="8" t="n">
        <v>0</v>
      </c>
      <c r="AM1015" s="8" t="n">
        <v>0</v>
      </c>
      <c r="AN1015" s="8" t="n">
        <v>30</v>
      </c>
      <c r="AO1015" s="8" t="str">
        <v>B07 / 米色羊京绒 / 13306</v>
      </c>
      <c r="AP1015" s="11" t="n">
        <v>0.7307750238224848</v>
      </c>
      <c r="AQ1015" s="11" t="n">
        <v>0.7307750238224848</v>
      </c>
      <c r="AR1015" s="11" t="n">
        <v>0.7449809054134506</v>
      </c>
      <c r="AS1015" s="11" t="n">
        <f>IF(AND(COUNT(I1015:K1015,AP1015:AR1015)=6,MIN(AP1015:AR1015)&gt;0),I1015/7/AP1015*0.5+J1015/14/AQ1015*0.3+K1015/30/AR1015*0.2,"")</f>
        <v>0</v>
      </c>
      <c r="AT1015" s="8" t="n">
        <v>0</v>
      </c>
      <c r="AU1015" s="8" t="n">
        <v>0</v>
      </c>
      <c r="AV1015" s="8" t="n">
        <v>88</v>
      </c>
      <c r="AW1015" s="11" t="n">
        <f>IF(AND(COUNT(AT1015:AV1015)=3,AT1015&gt;=AU1015,AU1015&gt;=0,AV1015&gt;0),(AT1015-AU1015)/AV1015,"")</f>
        <v>0</v>
      </c>
      <c r="AX1015" s="8" t="n">
        <v>0</v>
      </c>
      <c r="AY1015" s="8" t="n">
        <v>0</v>
      </c>
      <c r="AZ1015" s="8" t="n">
        <v>178</v>
      </c>
      <c r="BA1015" s="11" t="n">
        <f>IF(AND(COUNT(AX1015:AZ1015)=3,AX1015&gt;=AY1015,AY1015&gt;=0,AZ1015&gt;0),(AX1015-AY1015)/AZ1015,"")</f>
        <v>0</v>
      </c>
      <c r="BB1015" s="8" t="n">
        <f>IF(COUNT(AS1015,AW1015,BA1015)=3,1,0)</f>
        <v>1</v>
      </c>
      <c r="BC1015" s="11" t="n">
        <f>IF(SUMIF($AO$11:$AO$1309,AO1015,$BB$11:$BB$1309)=COUNTIF($AO$11:$AO$1309,AO1015),SUMIF($AO$11:$AO$1309,AO1015,$AS$11:$AS$1309),"")</f>
        <v>3.1019363848639383</v>
      </c>
      <c r="BD1015" s="11" t="n">
        <f>IF(SUMIF($AO$11:$AO$1309,AO1015,$BB$11:$BB$1309)=COUNTIF($AO$11:$AO$1309,AO1015),SUMIF($AO$11:$AO$1309,AO1015,$AW$11:$AW$1309),"")</f>
        <v>1.4098837209302328</v>
      </c>
      <c r="BE1015" s="11" t="n">
        <f>IF(SUMIF($AO$11:$AO$1309,AO1015,$BB$11:$BB$1309)=COUNTIF($AO$11:$AO$1309,AO1015),SUMIF($AO$11:$AO$1309,AO1015,$BA$11:$BA$1309),"")</f>
        <v>1.2482449292280753</v>
      </c>
      <c r="BF1015" s="12" t="n">
        <f>IF(COUNT(BD1015:BE1015)&lt;&gt;2,"",IF(AND(BD1015&gt;0,BE1015&gt;0),0.7*AW1015/BD1015+0.3*BA1015/BE1015,IF(BD1015&gt;0,AW1015/BD1015,IF(BE1015&gt;0,BA1015/BE1015,IF(AND(ISNUMBER(BH1015),BH1015=0),0,"")))))</f>
        <v>0</v>
      </c>
      <c r="BG1015" s="11" t="n">
        <f>IF(AND(COUNT(BN1015:BU1015)=8,MIN(BN1015:BU1015)&gt;=0),SUMPRODUCT(BN1015:BQ1015,BR1015:BU1015),"")</f>
        <v>78.35892944347341</v>
      </c>
      <c r="BH1015" s="11" t="n">
        <f>IF(COUNT(BC1015,BG1015)=2,BC1015*BG1015,"")</f>
        <v>243.06441431969634</v>
      </c>
      <c r="BI1015" s="11" t="n">
        <f>IF(ISNUMBER(CI1015),CI1015,"")</f>
        <v>0</v>
      </c>
      <c r="BJ1015" s="8" t="str"/>
      <c r="BK1015" s="8" t="str">
        <v>90天：2026-07-20 至 2026-10-17；180天：2026-04-21 至 2026-10-17</v>
      </c>
      <c r="BL1015" s="8" t="str">
        <v>90天：2026-10-06、2026-10-07；180天：2026-10-06、2026-10-07</v>
      </c>
      <c r="BM1015" s="8" t="str">
        <v>2026-10：12天 × 0.7307750238224848；2026-11：30天 × 0.9523018155490097；2026-12：31天 × 0.5958545198749097；2027-01：17天 × 1.3264167397065354</v>
      </c>
      <c r="BN1015" s="11" t="n">
        <v>0.7307750238224848</v>
      </c>
      <c r="BO1015" s="11" t="n">
        <v>0.9523018155490097</v>
      </c>
      <c r="BP1015" s="11" t="n">
        <v>0.5958545198749097</v>
      </c>
      <c r="BQ1015" s="11" t="n">
        <v>1.3264167397065354</v>
      </c>
      <c r="BR1015" s="8" t="n">
        <v>12</v>
      </c>
      <c r="BS1015" s="8" t="n">
        <v>30</v>
      </c>
      <c r="BT1015" s="8" t="n">
        <v>31</v>
      </c>
      <c r="BU1015" s="8" t="n">
        <v>17</v>
      </c>
      <c r="BV1015" s="11" t="n">
        <f>IF(COUNT(BC1015,BF1015)=2,BC1015*BF1015,"")</f>
        <v>0</v>
      </c>
      <c r="BW1015" s="11" t="n">
        <f>IF(ISNUMBER(BN1015),BN1015,"")</f>
        <v>0.7307750238224848</v>
      </c>
      <c r="BX1015" s="14" t="n">
        <f>IF(ISNUMBER(BR1015),BR1015,"")</f>
        <v>12</v>
      </c>
      <c r="BY1015" s="13" t="n">
        <f>IF(AND(COUNT(BV1015,BW1015,BX1015)=3,MIN(BV1015,BW1015,BX1015)&gt;=0),BV1015*BW1015*BX1015,"")</f>
        <v>0</v>
      </c>
      <c r="BZ1015" s="11" t="n">
        <f>IF(ISNUMBER(BO1015),BO1015,"")</f>
        <v>0.9523018155490097</v>
      </c>
      <c r="CA1015" s="14" t="n">
        <f>IF(ISNUMBER(BS1015),BS1015,"")</f>
        <v>30</v>
      </c>
      <c r="CB1015" s="13" t="n">
        <f>IF(AND(COUNT(BV1015,BZ1015,CA1015)=3,MIN(BV1015,BZ1015,CA1015)&gt;=0),BV1015*BZ1015*CA1015,"")</f>
        <v>0</v>
      </c>
      <c r="CC1015" s="11" t="n">
        <f>IF(ISNUMBER(BP1015),BP1015,"")</f>
        <v>0.5958545198749097</v>
      </c>
      <c r="CD1015" s="14" t="n">
        <f>IF(ISNUMBER(BT1015),BT1015,"")</f>
        <v>31</v>
      </c>
      <c r="CE1015" s="13" t="n">
        <f>IF(AND(COUNT(BV1015,CC1015,CD1015)=3,MIN(BV1015,CC1015,CD1015)&gt;=0),BV1015*CC1015*CD1015,"")</f>
        <v>0</v>
      </c>
      <c r="CF1015" s="11" t="n">
        <f>IF(ISNUMBER(BQ1015),BQ1015,"")</f>
        <v>1.3264167397065354</v>
      </c>
      <c r="CG1015" s="14" t="n">
        <f>IF(ISNUMBER(BU1015),BU1015,"")</f>
        <v>17</v>
      </c>
      <c r="CH1015" s="13" t="n">
        <f>IF(AND(COUNT(BV1015,CF1015,CG1015)=3,MIN(BV1015,CF1015,CG1015)&gt;=0),BV1015*CF1015*CG1015,"")</f>
        <v>0</v>
      </c>
      <c r="CI1015" s="13" t="n">
        <f>IF(COUNT(BY1015,CB1015,CE1015,CH1015)=4,SUM(BY1015,CB1015,CE1015,CH1015),"")</f>
        <v>0</v>
      </c>
    </row>
    <row r="1016" ht="72" customHeight="1">
      <c r="A1016" s="16" t="str">
        <v>B07-BG-42-by</v>
      </c>
      <c r="B1016" s="16" t="str">
        <v>4店-彬郁-US</v>
      </c>
      <c r="C1016" s="16" t="str">
        <v>艾年</v>
      </c>
      <c r="D1016" s="26" t="n">
        <f>IF(NOT(ISNUMBER(E1016)),"",IF(OR(E1016&lt;=0,L1016=0),0,IF(OR(NOT(ISNUMBER(F1016)),F1016&lt;0),"",MIN(E1016,INT(F1016)))))</f>
        <v>0</v>
      </c>
      <c r="E1016" s="27" t="n">
        <f>IF(OR(NOT(ISNUMBER(L1016)),COUNT(M1016:O1016)&lt;&gt;3,MIN(M1016:O1016)&lt;0),"",ROUNDUP(ROUND(BI1016-SUM(M1016:O1016),10),0))</f>
        <v>-14</v>
      </c>
      <c r="F1016" s="28" t="n">
        <v>0</v>
      </c>
      <c r="G1016" s="28" t="n">
        <f>IF(AND(ISNUMBER(D1016),ISNUMBER(E1016)),IF(OR(E1016&lt;=0,L1016=0),0,E1016-D1016),"")</f>
        <v>0</v>
      </c>
      <c r="H1016" s="16" t="str">
        <f>IF(NOT(ISNUMBER(E1016)),"销量或海外库存待补",IF(OR(E1016&lt;=0,L1016=0),IF(L1016=0,"零日销，本批不发","本批无需补货"),IF(NOT(ISNUMBER(D1016)),"国内库存待补",IF(D1016=0,"国内无可用库存",IF(G1016&gt;0,"先发国内现货","按建议量发货")))))</f>
        <v>本批无需补货</v>
      </c>
      <c r="I1016" s="28" t="n">
        <f>IF(AND(COUNT(Z1016,AA1016,AB1016)=3,Z1016&gt;=AA1016,AA1016&gt;=0,AB1016=7),Z1016-AA1016,"")</f>
        <v>2</v>
      </c>
      <c r="J1016" s="28" t="n">
        <f>IF(AND(COUNT(AF1016,AG1016,AH1016)=3,AF1016&gt;=AG1016,AG1016&gt;=0,AH1016=14),AF1016-AG1016,"")</f>
        <v>2</v>
      </c>
      <c r="K1016" s="28" t="n">
        <f>IF(AND(COUNT(AL1016,AM1016,AN1016)=3,AL1016&gt;=AM1016,AM1016&gt;=0,AN1016=30),AL1016-AM1016,"")</f>
        <v>3</v>
      </c>
      <c r="L1016" s="29" t="n">
        <f>IF(ISNUMBER(BI1016),BI1016/90,"")</f>
        <v>0.16135983419629427</v>
      </c>
      <c r="M1016" s="28" t="n">
        <v>12</v>
      </c>
      <c r="N1016" s="28" t="n">
        <v>0</v>
      </c>
      <c r="O1016" s="28" t="n">
        <v>16</v>
      </c>
      <c r="P1016" s="30" t="n">
        <f>IF(AND(ISNUMBER(L1016),L1016&gt;0,COUNT(M1016:O1016)=3,MIN(M1016:O1016)&gt;=0),SUM(M1016:O1016)/L1016,"")</f>
        <v>173.52521548787658</v>
      </c>
      <c r="Q1016" s="16" t="str">
        <v>沿用原计划SKU店铺</v>
      </c>
      <c r="R1016" s="16" t="str">
        <v>已匹配</v>
      </c>
      <c r="S1016" s="16" t="str">
        <v>在售</v>
      </c>
      <c r="T1016" s="16" t="str">
        <v>B07</v>
      </c>
      <c r="U1016" s="16" t="str">
        <v>米色羊京绒</v>
      </c>
      <c r="V1016" s="16" t="n">
        <v>11</v>
      </c>
      <c r="W1016" s="8" t="str">
        <v>2026-10-11 至 2026-10-17</v>
      </c>
      <c r="X1016" s="8" t="str">
        <v>2026-10-11、2026-10-12、2026-10-13、2026-10-14、2026-10-15、2026-10-16、2026-10-17</v>
      </c>
      <c r="Y1016" s="8" t="str">
        <v>无</v>
      </c>
      <c r="Z1016" s="8" t="n">
        <v>2</v>
      </c>
      <c r="AA1016" s="8" t="n">
        <v>0</v>
      </c>
      <c r="AB1016" s="8" t="n">
        <v>7</v>
      </c>
      <c r="AC1016" s="8" t="str">
        <v>2026-10-02 至 2026-10-17</v>
      </c>
      <c r="AD1016" s="8" t="str">
        <v>2026-10-02、2026-10-03、2026-10-04、2026-10-05、2026-10-08、2026-10-09、2026-10-10、2026-10-11、2026-10-12、2026-10-13、2026-10-14、2026-10-15、2026-10-16、2026-10-17</v>
      </c>
      <c r="AE1016" s="8" t="str">
        <v>2026-10-06 大促；2026-10-07 大促</v>
      </c>
      <c r="AF1016" s="8" t="n">
        <v>3</v>
      </c>
      <c r="AG1016" s="8" t="n">
        <v>1</v>
      </c>
      <c r="AH1016" s="8" t="n">
        <v>14</v>
      </c>
      <c r="AI1016" s="8" t="str">
        <v>2026-09-16 至 2026-10-17</v>
      </c>
      <c r="AJ10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6" s="8" t="str">
        <v>2026-10-06 大促；2026-10-07 大促</v>
      </c>
      <c r="AL1016" s="8" t="n">
        <v>4</v>
      </c>
      <c r="AM1016" s="8" t="n">
        <v>1</v>
      </c>
      <c r="AN1016" s="8" t="n">
        <v>30</v>
      </c>
      <c r="AO1016" s="8" t="str">
        <v>B07 / 米色羊京绒 / 13306</v>
      </c>
      <c r="AP1016" s="11" t="n">
        <v>0.7307750238224848</v>
      </c>
      <c r="AQ1016" s="11" t="n">
        <v>0.7307750238224848</v>
      </c>
      <c r="AR1016" s="11" t="n">
        <v>0.7449809054134506</v>
      </c>
      <c r="AS1016" s="11" t="n">
        <f>IF(AND(COUNT(I1016:K1016,AP1016:AR1016)=6,MIN(AP1016:AR1016)&gt;0),I1016/7/AP1016*0.5+J1016/14/AQ1016*0.3+K1016/30/AR1016*0.2,"")</f>
        <v>0.28097964940935394</v>
      </c>
      <c r="AT1016" s="8" t="n">
        <v>8</v>
      </c>
      <c r="AU1016" s="8" t="n">
        <v>1</v>
      </c>
      <c r="AV1016" s="8" t="n">
        <v>88</v>
      </c>
      <c r="AW1016" s="11" t="n">
        <f>IF(AND(COUNT(AT1016:AV1016)=3,AT1016&gt;=AU1016,AU1016&gt;=0,AV1016&gt;0),(AT1016-AU1016)/AV1016,"")</f>
        <v>0.07954545454545454</v>
      </c>
      <c r="AX1016" s="8" t="n">
        <v>16</v>
      </c>
      <c r="AY1016" s="8" t="n">
        <v>1</v>
      </c>
      <c r="AZ1016" s="8" t="n">
        <v>178</v>
      </c>
      <c r="BA1016" s="11" t="n">
        <f>IF(AND(COUNT(AX1016:AZ1016)=3,AX1016&gt;=AY1016,AY1016&gt;=0,AZ1016&gt;0),(AX1016-AY1016)/AZ1016,"")</f>
        <v>0.08426966292134831</v>
      </c>
      <c r="BB1016" s="8" t="n">
        <f>IF(COUNT(AS1016,AW1016,BA1016)=3,1,0)</f>
        <v>1</v>
      </c>
      <c r="BC1016" s="11" t="n">
        <f>IF(SUMIF($AO$11:$AO$1309,AO1016,$BB$11:$BB$1309)=COUNTIF($AO$11:$AO$1309,AO1016),SUMIF($AO$11:$AO$1309,AO1016,$AS$11:$AS$1309),"")</f>
        <v>3.1019363848639383</v>
      </c>
      <c r="BD1016" s="11" t="n">
        <f>IF(SUMIF($AO$11:$AO$1309,AO1016,$BB$11:$BB$1309)=COUNTIF($AO$11:$AO$1309,AO1016),SUMIF($AO$11:$AO$1309,AO1016,$AW$11:$AW$1309),"")</f>
        <v>1.4098837209302328</v>
      </c>
      <c r="BE1016" s="11" t="n">
        <f>IF(SUMIF($AO$11:$AO$1309,AO1016,$BB$11:$BB$1309)=COUNTIF($AO$11:$AO$1309,AO1016),SUMIF($AO$11:$AO$1309,AO1016,$BA$11:$BA$1309),"")</f>
        <v>1.2482449292280753</v>
      </c>
      <c r="BF1016" s="12" t="n">
        <f>IF(COUNT(BD1016:BE1016)&lt;&gt;2,"",IF(AND(BD1016&gt;0,BE1016&gt;0),0.7*AW1016/BD1016+0.3*BA1016/BE1016,IF(BD1016&gt;0,AW1016/BD1016,IF(BE1016&gt;0,BA1016/BE1016,IF(AND(ISNUMBER(BH1016),BH1016=0),0,"")))))</f>
        <v>0.059747063832081844</v>
      </c>
      <c r="BG1016" s="11" t="n">
        <f>IF(AND(COUNT(BN1016:BU1016)=8,MIN(BN1016:BU1016)&gt;=0),SUMPRODUCT(BN1016:BQ1016,BR1016:BU1016),"")</f>
        <v>78.35892944347341</v>
      </c>
      <c r="BH1016" s="11" t="n">
        <f>IF(COUNT(BC1016,BG1016)=2,BC1016*BG1016,"")</f>
        <v>243.06441431969634</v>
      </c>
      <c r="BI1016" s="11" t="n">
        <f>IF(ISNUMBER(CI1016),CI1016,"")</f>
        <v>14.522385077666485</v>
      </c>
      <c r="BJ1016" s="8" t="str"/>
      <c r="BK1016" s="8" t="str">
        <v>90天：2026-07-20 至 2026-10-17；180天：2026-04-21 至 2026-10-17</v>
      </c>
      <c r="BL1016" s="8" t="str">
        <v>90天：2026-10-06、2026-10-07；180天：2026-10-06、2026-10-07</v>
      </c>
      <c r="BM1016" s="8" t="str">
        <v>2026-10：12天 × 0.7307750238224848；2026-11：30天 × 0.9523018155490097；2026-12：31天 × 0.5958545198749097；2027-01：17天 × 1.3264167397065354</v>
      </c>
      <c r="BN1016" s="11" t="n">
        <v>0.7307750238224848</v>
      </c>
      <c r="BO1016" s="11" t="n">
        <v>0.9523018155490097</v>
      </c>
      <c r="BP1016" s="11" t="n">
        <v>0.5958545198749097</v>
      </c>
      <c r="BQ1016" s="11" t="n">
        <v>1.3264167397065354</v>
      </c>
      <c r="BR1016" s="8" t="n">
        <v>12</v>
      </c>
      <c r="BS1016" s="8" t="n">
        <v>30</v>
      </c>
      <c r="BT1016" s="8" t="n">
        <v>31</v>
      </c>
      <c r="BU1016" s="8" t="n">
        <v>17</v>
      </c>
      <c r="BV1016" s="11" t="n">
        <f>IF(COUNT(BC1016,BF1016)=2,BC1016*BF1016,"")</f>
        <v>0.18533159118952292</v>
      </c>
      <c r="BW1016" s="11" t="n">
        <f>IF(ISNUMBER(BN1016),BN1016,"")</f>
        <v>0.7307750238224848</v>
      </c>
      <c r="BX1016" s="14" t="n">
        <f>IF(ISNUMBER(BR1016),BR1016,"")</f>
        <v>12</v>
      </c>
      <c r="BY1016" s="13" t="n">
        <f>IF(AND(COUNT(BV1016,BW1016,BX1016)=3,MIN(BV1016,BW1016,BX1016)&gt;=0),BV1016*BW1016*BX1016,"")</f>
        <v>1.6252283755989918</v>
      </c>
      <c r="BZ1016" s="11" t="n">
        <f>IF(ISNUMBER(BO1016),BO1016,"")</f>
        <v>0.9523018155490097</v>
      </c>
      <c r="CA1016" s="14" t="n">
        <f>IF(ISNUMBER(BS1016),BS1016,"")</f>
        <v>30</v>
      </c>
      <c r="CB1016" s="13" t="n">
        <f>IF(AND(COUNT(BV1016,BZ1016,CA1016)=3,MIN(BV1016,BZ1016,CA1016)&gt;=0),BV1016*BZ1016*CA1016,"")</f>
        <v>5.294748323051086</v>
      </c>
      <c r="CC1016" s="11" t="n">
        <f>IF(ISNUMBER(BP1016),BP1016,"")</f>
        <v>0.5958545198749097</v>
      </c>
      <c r="CD1016" s="14" t="n">
        <f>IF(ISNUMBER(BT1016),BT1016,"")</f>
        <v>31</v>
      </c>
      <c r="CE1016" s="13" t="n">
        <f>IF(AND(COUNT(BV1016,CC1016,CD1016)=3,MIN(BV1016,CC1016,CD1016)&gt;=0),BV1016*CC1016*CD1016,"")</f>
        <v>3.423350654862473</v>
      </c>
      <c r="CF1016" s="11" t="n">
        <f>IF(ISNUMBER(BQ1016),BQ1016,"")</f>
        <v>1.3264167397065354</v>
      </c>
      <c r="CG1016" s="14" t="n">
        <f>IF(ISNUMBER(BU1016),BU1016,"")</f>
        <v>17</v>
      </c>
      <c r="CH1016" s="13" t="n">
        <f>IF(AND(COUNT(BV1016,CF1016,CG1016)=3,MIN(BV1016,CF1016,CG1016)&gt;=0),BV1016*CF1016*CG1016,"")</f>
        <v>4.179057724153934</v>
      </c>
      <c r="CI1016" s="13" t="n">
        <f>IF(COUNT(BY1016,CB1016,CE1016,CH1016)=4,SUM(BY1016,CB1016,CE1016,CH1016),"")</f>
        <v>14.522385077666485</v>
      </c>
    </row>
    <row r="1017" ht="72" customHeight="1">
      <c r="A1017" s="16" t="str">
        <v>B07-BGP-37.5</v>
      </c>
      <c r="B1017" s="16" t="str">
        <v>4店-彬郁-US</v>
      </c>
      <c r="C1017" s="16" t="str">
        <v>艾年</v>
      </c>
      <c r="D1017" s="26" t="n">
        <f>IF(NOT(ISNUMBER(E1017)),"",IF(OR(E1017&lt;=0,L1017=0),0,IF(OR(NOT(ISNUMBER(F1017)),F1017&lt;0),"",MIN(E1017,INT(F1017)))))</f>
        <v>0</v>
      </c>
      <c r="E1017" s="27" t="n">
        <f>IF(OR(NOT(ISNUMBER(L1017)),COUNT(M1017:O1017)&lt;&gt;3,MIN(M1017:O1017)&lt;0),"",ROUNDUP(ROUND(BI1017-SUM(M1017:O1017),10),0))</f>
        <v>-4</v>
      </c>
      <c r="F1017" s="28" t="n">
        <v>0</v>
      </c>
      <c r="G1017" s="28" t="n">
        <f>IF(AND(ISNUMBER(D1017),ISNUMBER(E1017)),IF(OR(E1017&lt;=0,L1017=0),0,E1017-D1017),"")</f>
        <v>0</v>
      </c>
      <c r="H1017" s="16" t="str">
        <f>IF(NOT(ISNUMBER(E1017)),"销量或海外库存待补",IF(OR(E1017&lt;=0,L1017=0),IF(L1017=0,"零日销，本批不发","本批无需补货"),IF(NOT(ISNUMBER(D1017)),"国内库存待补",IF(D1017=0,"国内无可用库存",IF(G1017&gt;0,"先发国内现货","按建议量发货")))))</f>
        <v>本批无需补货</v>
      </c>
      <c r="I1017" s="28" t="n">
        <f>IF(AND(COUNT(Z1017,AA1017,AB1017)=3,Z1017&gt;=AA1017,AA1017&gt;=0,AB1017=7),Z1017-AA1017,"")</f>
        <v>0</v>
      </c>
      <c r="J1017" s="28" t="n">
        <f>IF(AND(COUNT(AF1017,AG1017,AH1017)=3,AF1017&gt;=AG1017,AG1017&gt;=0,AH1017=14),AF1017-AG1017,"")</f>
        <v>1</v>
      </c>
      <c r="K1017" s="28" t="n">
        <f>IF(AND(COUNT(AL1017,AM1017,AN1017)=3,AL1017&gt;=AM1017,AM1017&gt;=0,AN1017=30),AL1017-AM1017,"")</f>
        <v>3</v>
      </c>
      <c r="L1017" s="29" t="n">
        <f>IF(ISNUMBER(BI1017),BI1017/90,"")</f>
        <v>0.14368564558914015</v>
      </c>
      <c r="M1017" s="28" t="n">
        <v>16</v>
      </c>
      <c r="N1017" s="28" t="n">
        <v>0</v>
      </c>
      <c r="O1017" s="28" t="n">
        <v>0</v>
      </c>
      <c r="P1017" s="30" t="n">
        <f>IF(AND(ISNUMBER(L1017),L1017&gt;0,COUNT(M1017:O1017)=3,MIN(M1017:O1017)&gt;=0),SUM(M1017:O1017)/L1017,"")</f>
        <v>111.35419919224896</v>
      </c>
      <c r="Q1017" s="16" t="str">
        <v>沿用原计划SKU店铺</v>
      </c>
      <c r="R1017" s="16" t="str">
        <v>已匹配</v>
      </c>
      <c r="S1017" s="16" t="str">
        <v>在售</v>
      </c>
      <c r="T1017" s="16" t="str">
        <v>B07</v>
      </c>
      <c r="U1017" s="16" t="str">
        <v>米色PU</v>
      </c>
      <c r="V1017" s="16" t="n">
        <v>6.5</v>
      </c>
      <c r="W1017" s="8" t="str">
        <v>2026-10-11 至 2026-10-17</v>
      </c>
      <c r="X1017" s="8" t="str">
        <v>2026-10-11、2026-10-12、2026-10-13、2026-10-14、2026-10-15、2026-10-16、2026-10-17</v>
      </c>
      <c r="Y1017" s="8" t="str">
        <v>无</v>
      </c>
      <c r="Z1017" s="8" t="n">
        <v>0</v>
      </c>
      <c r="AA1017" s="8" t="n">
        <v>0</v>
      </c>
      <c r="AB1017" s="8" t="n">
        <v>7</v>
      </c>
      <c r="AC1017" s="8" t="str">
        <v>2026-10-02 至 2026-10-17</v>
      </c>
      <c r="AD1017" s="8" t="str">
        <v>2026-10-02、2026-10-03、2026-10-04、2026-10-05、2026-10-08、2026-10-09、2026-10-10、2026-10-11、2026-10-12、2026-10-13、2026-10-14、2026-10-15、2026-10-16、2026-10-17</v>
      </c>
      <c r="AE1017" s="8" t="str">
        <v>2026-10-06 大促；2026-10-07 大促</v>
      </c>
      <c r="AF1017" s="8" t="n">
        <v>1</v>
      </c>
      <c r="AG1017" s="8" t="n">
        <v>0</v>
      </c>
      <c r="AH1017" s="8" t="n">
        <v>14</v>
      </c>
      <c r="AI1017" s="8" t="str">
        <v>2026-09-16 至 2026-10-17</v>
      </c>
      <c r="AJ10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7" s="8" t="str">
        <v>2026-10-06 大促；2026-10-07 大促</v>
      </c>
      <c r="AL1017" s="8" t="n">
        <v>3</v>
      </c>
      <c r="AM1017" s="8" t="n">
        <v>0</v>
      </c>
      <c r="AN1017" s="8" t="n">
        <v>30</v>
      </c>
      <c r="AO1017" s="8" t="str">
        <v>B07 / 米色PU / 13306</v>
      </c>
      <c r="AP1017" s="11" t="n">
        <v>0.7307750238224848</v>
      </c>
      <c r="AQ1017" s="11" t="n">
        <v>0.7307750238224848</v>
      </c>
      <c r="AR1017" s="11" t="n">
        <v>0.7449809054134506</v>
      </c>
      <c r="AS1017" s="11" t="n">
        <f>IF(AND(COUNT(I1017:K1017,AP1017:AR1017)=6,MIN(AP1017:AR1017)&gt;0),I1017/7/AP1017*0.5+J1017/14/AQ1017*0.3+K1017/30/AR1017*0.2,"")</f>
        <v>0.05616940148054472</v>
      </c>
      <c r="AT1017" s="8" t="n">
        <v>9</v>
      </c>
      <c r="AU1017" s="8" t="n">
        <v>0</v>
      </c>
      <c r="AV1017" s="8" t="n">
        <v>88</v>
      </c>
      <c r="AW1017" s="11" t="n">
        <f>IF(AND(COUNT(AT1017:AV1017)=3,AT1017&gt;=AU1017,AU1017&gt;=0,AV1017&gt;0),(AT1017-AU1017)/AV1017,"")</f>
        <v>0.10227272727272728</v>
      </c>
      <c r="AX1017" s="8" t="n">
        <v>17</v>
      </c>
      <c r="AY1017" s="8" t="n">
        <v>0</v>
      </c>
      <c r="AZ1017" s="8" t="n">
        <v>178</v>
      </c>
      <c r="BA1017" s="11" t="n">
        <f>IF(AND(COUNT(AX1017:AZ1017)=3,AX1017&gt;=AY1017,AY1017&gt;=0,AZ1017&gt;0),(AX1017-AY1017)/AZ1017,"")</f>
        <v>0.09550561797752809</v>
      </c>
      <c r="BB1017" s="8" t="n">
        <f>IF(COUNT(AS1017,AW1017,BA1017)=3,1,0)</f>
        <v>1</v>
      </c>
      <c r="BC1017" s="11" t="n">
        <f>IF(SUMIF($AO$11:$AO$1309,AO1017,$BB$11:$BB$1309)=COUNTIF($AO$11:$AO$1309,AO1017),SUMIF($AO$11:$AO$1309,AO1017,$AS$11:$AS$1309),"")</f>
        <v>0.9852937683836747</v>
      </c>
      <c r="BD1017" s="11" t="n">
        <f>IF(SUMIF($AO$11:$AO$1309,AO1017,$BB$11:$BB$1309)=COUNTIF($AO$11:$AO$1309,AO1017),SUMIF($AO$11:$AO$1309,AO1017,$AW$11:$AW$1309),"")</f>
        <v>0.5795454545454545</v>
      </c>
      <c r="BE1017" s="11" t="n">
        <f>IF(SUMIF($AO$11:$AO$1309,AO1017,$BB$11:$BB$1309)=COUNTIF($AO$11:$AO$1309,AO1017),SUMIF($AO$11:$AO$1309,AO1017,$BA$11:$BA$1309),"")</f>
        <v>0.651685393258427</v>
      </c>
      <c r="BF1017" s="12" t="n">
        <f>IF(COUNT(BD1017:BE1017)&lt;&gt;2,"",IF(AND(BD1017&gt;0,BE1017&gt;0),0.7*AW1017/BD1017+0.3*BA1017/BE1017,IF(BD1017&gt;0,AW1017/BD1017,IF(BE1017&gt;0,BA1017/BE1017,IF(AND(ISNUMBER(BH1017),BH1017=0),0,"")))))</f>
        <v>0.1674949290060852</v>
      </c>
      <c r="BG1017" s="11" t="n">
        <f>IF(AND(COUNT(BN1017:BU1017)=8,MIN(BN1017:BU1017)&gt;=0),SUMPRODUCT(BN1017:BQ1017,BR1017:BU1017),"")</f>
        <v>78.35892944347341</v>
      </c>
      <c r="BH1017" s="11" t="n">
        <f>IF(COUNT(BC1017,BG1017)=2,BC1017*BG1017,"")</f>
        <v>77.2065648778704</v>
      </c>
      <c r="BI1017" s="11" t="n">
        <f>IF(ISNUMBER(CI1017),CI1017,"")</f>
        <v>12.931708103022613</v>
      </c>
      <c r="BJ1017" s="8" t="str"/>
      <c r="BK1017" s="8" t="str">
        <v>90天：2026-07-20 至 2026-10-17；180天：2026-04-21 至 2026-10-17</v>
      </c>
      <c r="BL1017" s="8" t="str">
        <v>90天：2026-10-06、2026-10-07；180天：2026-10-06、2026-10-07</v>
      </c>
      <c r="BM1017" s="8" t="str">
        <v>2026-10：12天 × 0.7307750238224848；2026-11：30天 × 0.9523018155490097；2026-12：31天 × 0.5958545198749097；2027-01：17天 × 1.3264167397065354</v>
      </c>
      <c r="BN1017" s="11" t="n">
        <v>0.7307750238224848</v>
      </c>
      <c r="BO1017" s="11" t="n">
        <v>0.9523018155490097</v>
      </c>
      <c r="BP1017" s="11" t="n">
        <v>0.5958545198749097</v>
      </c>
      <c r="BQ1017" s="11" t="n">
        <v>1.3264167397065354</v>
      </c>
      <c r="BR1017" s="8" t="n">
        <v>12</v>
      </c>
      <c r="BS1017" s="8" t="n">
        <v>30</v>
      </c>
      <c r="BT1017" s="8" t="n">
        <v>31</v>
      </c>
      <c r="BU1017" s="8" t="n">
        <v>17</v>
      </c>
      <c r="BV1017" s="11" t="n">
        <f>IF(COUNT(BC1017,BF1017)=2,BC1017*BF1017,"")</f>
        <v>0.16503170978556175</v>
      </c>
      <c r="BW1017" s="11" t="n">
        <f>IF(ISNUMBER(BN1017),BN1017,"")</f>
        <v>0.7307750238224848</v>
      </c>
      <c r="BX1017" s="14" t="n">
        <f>IF(ISNUMBER(BR1017),BR1017,"")</f>
        <v>12</v>
      </c>
      <c r="BY1017" s="13" t="n">
        <f>IF(AND(COUNT(BV1017,BW1017,BX1017)=3,MIN(BV1017,BW1017,BX1017)&gt;=0),BV1017*BW1017*BX1017,"")</f>
        <v>1.4472126198001116</v>
      </c>
      <c r="BZ1017" s="11" t="n">
        <f>IF(ISNUMBER(BO1017),BO1017,"")</f>
        <v>0.9523018155490097</v>
      </c>
      <c r="CA1017" s="14" t="n">
        <f>IF(ISNUMBER(BS1017),BS1017,"")</f>
        <v>30</v>
      </c>
      <c r="CB1017" s="13" t="n">
        <f>IF(AND(COUNT(BV1017,BZ1017,CA1017)=3,MIN(BV1017,BZ1017,CA1017)&gt;=0),BV1017*BZ1017*CA1017,"")</f>
        <v>4.714799905558432</v>
      </c>
      <c r="CC1017" s="11" t="n">
        <f>IF(ISNUMBER(BP1017),BP1017,"")</f>
        <v>0.5958545198749097</v>
      </c>
      <c r="CD1017" s="14" t="n">
        <f>IF(ISNUMBER(BT1017),BT1017,"")</f>
        <v>31</v>
      </c>
      <c r="CE1017" s="13" t="n">
        <f>IF(AND(COUNT(BV1017,CC1017,CD1017)=3,MIN(BV1017,CC1017,CD1017)&gt;=0),BV1017*CC1017*CD1017,"")</f>
        <v>3.0483815961507514</v>
      </c>
      <c r="CF1017" s="11" t="n">
        <f>IF(ISNUMBER(BQ1017),BQ1017,"")</f>
        <v>1.3264167397065354</v>
      </c>
      <c r="CG1017" s="14" t="n">
        <f>IF(ISNUMBER(BU1017),BU1017,"")</f>
        <v>17</v>
      </c>
      <c r="CH1017" s="13" t="n">
        <f>IF(AND(COUNT(BV1017,CF1017,CG1017)=3,MIN(BV1017,CF1017,CG1017)&gt;=0),BV1017*CF1017*CG1017,"")</f>
        <v>3.7213139815133194</v>
      </c>
      <c r="CI1017" s="13" t="n">
        <f>IF(COUNT(BY1017,CB1017,CE1017,CH1017)=4,SUM(BY1017,CB1017,CE1017,CH1017),"")</f>
        <v>12.931708103022613</v>
      </c>
    </row>
    <row r="1018" ht="72" customHeight="1">
      <c r="A1018" s="16" t="str">
        <v>B07-BGP-38-by</v>
      </c>
      <c r="B1018" s="16" t="str">
        <v>4店-彬郁-US</v>
      </c>
      <c r="C1018" s="16" t="str">
        <v>艾年</v>
      </c>
      <c r="D1018" s="26" t="n">
        <f>IF(NOT(ISNUMBER(E1018)),"",IF(OR(E1018&lt;=0,L1018=0),0,IF(OR(NOT(ISNUMBER(F1018)),F1018&lt;0),"",MIN(E1018,INT(F1018)))))</f>
        <v>0</v>
      </c>
      <c r="E1018" s="27" t="n">
        <f>IF(OR(NOT(ISNUMBER(L1018)),COUNT(M1018:O1018)&lt;&gt;3,MIN(M1018:O1018)&lt;0),"",ROUNDUP(ROUND(BI1018-SUM(M1018:O1018),10),0))</f>
        <v>-4</v>
      </c>
      <c r="F1018" s="28" t="n">
        <v>0</v>
      </c>
      <c r="G1018" s="28" t="n">
        <f>IF(AND(ISNUMBER(D1018),ISNUMBER(E1018)),IF(OR(E1018&lt;=0,L1018=0),0,E1018-D1018),"")</f>
        <v>0</v>
      </c>
      <c r="H1018" s="16" t="str">
        <f>IF(NOT(ISNUMBER(E1018)),"销量或海外库存待补",IF(OR(E1018&lt;=0,L1018=0),IF(L1018=0,"零日销，本批不发","本批无需补货"),IF(NOT(ISNUMBER(D1018)),"国内库存待补",IF(D1018=0,"国内无可用库存",IF(G1018&gt;0,"先发国内现货","按建议量发货")))))</f>
        <v>本批无需补货</v>
      </c>
      <c r="I1018" s="28" t="n">
        <f>IF(AND(COUNT(Z1018,AA1018,AB1018)=3,Z1018&gt;=AA1018,AA1018&gt;=0,AB1018=7),Z1018-AA1018,"")</f>
        <v>1</v>
      </c>
      <c r="J1018" s="28" t="n">
        <f>IF(AND(COUNT(AF1018,AG1018,AH1018)=3,AF1018&gt;=AG1018,AG1018&gt;=0,AH1018=14),AF1018-AG1018,"")</f>
        <v>2</v>
      </c>
      <c r="K1018" s="28" t="n">
        <f>IF(AND(COUNT(AL1018,AM1018,AN1018)=3,AL1018&gt;=AM1018,AM1018&gt;=0,AN1018=30),AL1018-AM1018,"")</f>
        <v>5</v>
      </c>
      <c r="L1018" s="29" t="n">
        <f>IF(ISNUMBER(BI1018),BI1018/90,"")</f>
        <v>0.1201368022712712</v>
      </c>
      <c r="M1018" s="28" t="n">
        <v>5</v>
      </c>
      <c r="N1018" s="28" t="n">
        <v>0</v>
      </c>
      <c r="O1018" s="28" t="n">
        <v>9</v>
      </c>
      <c r="P1018" s="30" t="n">
        <f>IF(AND(ISNUMBER(L1018),L1018&gt;0,COUNT(M1018:O1018)=3,MIN(M1018:O1018)&gt;=0),SUM(M1018:O1018)/L1018,"")</f>
        <v>116.53381591086244</v>
      </c>
      <c r="Q1018" s="16" t="str">
        <v>沿用原计划SKU店铺</v>
      </c>
      <c r="R1018" s="16" t="str">
        <v>已匹配</v>
      </c>
      <c r="S1018" s="16" t="str">
        <v>在售</v>
      </c>
      <c r="T1018" s="16" t="str">
        <v>B07</v>
      </c>
      <c r="U1018" s="16" t="str">
        <v>米色PU</v>
      </c>
      <c r="V1018" s="16" t="n">
        <v>7</v>
      </c>
      <c r="W1018" s="8" t="str">
        <v>2026-10-11 至 2026-10-17</v>
      </c>
      <c r="X1018" s="8" t="str">
        <v>2026-10-11、2026-10-12、2026-10-13、2026-10-14、2026-10-15、2026-10-16、2026-10-17</v>
      </c>
      <c r="Y1018" s="8" t="str">
        <v>无</v>
      </c>
      <c r="Z1018" s="8" t="n">
        <v>1</v>
      </c>
      <c r="AA1018" s="8" t="n">
        <v>0</v>
      </c>
      <c r="AB1018" s="8" t="n">
        <v>7</v>
      </c>
      <c r="AC1018" s="8" t="str">
        <v>2026-10-02 至 2026-10-17</v>
      </c>
      <c r="AD1018" s="8" t="str">
        <v>2026-10-02、2026-10-03、2026-10-04、2026-10-05、2026-10-08、2026-10-09、2026-10-10、2026-10-11、2026-10-12、2026-10-13、2026-10-14、2026-10-15、2026-10-16、2026-10-17</v>
      </c>
      <c r="AE1018" s="8" t="str">
        <v>2026-10-06 大促；2026-10-07 大促</v>
      </c>
      <c r="AF1018" s="8" t="n">
        <v>2</v>
      </c>
      <c r="AG1018" s="8" t="n">
        <v>0</v>
      </c>
      <c r="AH1018" s="8" t="n">
        <v>14</v>
      </c>
      <c r="AI1018" s="8" t="str">
        <v>2026-09-16 至 2026-10-17</v>
      </c>
      <c r="AJ10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8" s="8" t="str">
        <v>2026-10-06 大促；2026-10-07 大促</v>
      </c>
      <c r="AL1018" s="8" t="n">
        <v>5</v>
      </c>
      <c r="AM1018" s="8" t="n">
        <v>0</v>
      </c>
      <c r="AN1018" s="8" t="n">
        <v>30</v>
      </c>
      <c r="AO1018" s="8" t="str">
        <v>B07 / 米色PU / 13306</v>
      </c>
      <c r="AP1018" s="11" t="n">
        <v>0.7307750238224848</v>
      </c>
      <c r="AQ1018" s="11" t="n">
        <v>0.7307750238224848</v>
      </c>
      <c r="AR1018" s="11" t="n">
        <v>0.7449809054134506</v>
      </c>
      <c r="AS1018" s="11" t="n">
        <f>IF(AND(COUNT(I1018:K1018,AP1018:AR1018)=6,MIN(AP1018:AR1018)&gt;0),I1018/7/AP1018*0.5+J1018/14/AQ1018*0.3+K1018/30/AR1018*0.2,"")</f>
        <v>0.20113361379584563</v>
      </c>
      <c r="AT1018" s="8" t="n">
        <v>7</v>
      </c>
      <c r="AU1018" s="8" t="n">
        <v>0</v>
      </c>
      <c r="AV1018" s="8" t="n">
        <v>88</v>
      </c>
      <c r="AW1018" s="11" t="n">
        <f>IF(AND(COUNT(AT1018:AV1018)=3,AT1018&gt;=AU1018,AU1018&gt;=0,AV1018&gt;0),(AT1018-AU1018)/AV1018,"")</f>
        <v>0.07954545454545454</v>
      </c>
      <c r="AX1018" s="8" t="n">
        <v>17</v>
      </c>
      <c r="AY1018" s="8" t="n">
        <v>0</v>
      </c>
      <c r="AZ1018" s="8" t="n">
        <v>178</v>
      </c>
      <c r="BA1018" s="11" t="n">
        <f>IF(AND(COUNT(AX1018:AZ1018)=3,AX1018&gt;=AY1018,AY1018&gt;=0,AZ1018&gt;0),(AX1018-AY1018)/AZ1018,"")</f>
        <v>0.09550561797752809</v>
      </c>
      <c r="BB1018" s="8" t="n">
        <f>IF(COUNT(AS1018,AW1018,BA1018)=3,1,0)</f>
        <v>1</v>
      </c>
      <c r="BC1018" s="11" t="n">
        <f>IF(SUMIF($AO$11:$AO$1309,AO1018,$BB$11:$BB$1309)=COUNTIF($AO$11:$AO$1309,AO1018),SUMIF($AO$11:$AO$1309,AO1018,$AS$11:$AS$1309),"")</f>
        <v>0.9852937683836747</v>
      </c>
      <c r="BD1018" s="11" t="n">
        <f>IF(SUMIF($AO$11:$AO$1309,AO1018,$BB$11:$BB$1309)=COUNTIF($AO$11:$AO$1309,AO1018),SUMIF($AO$11:$AO$1309,AO1018,$AW$11:$AW$1309),"")</f>
        <v>0.5795454545454545</v>
      </c>
      <c r="BE1018" s="11" t="n">
        <f>IF(SUMIF($AO$11:$AO$1309,AO1018,$BB$11:$BB$1309)=COUNTIF($AO$11:$AO$1309,AO1018),SUMIF($AO$11:$AO$1309,AO1018,$BA$11:$BA$1309),"")</f>
        <v>0.651685393258427</v>
      </c>
      <c r="BF1018" s="12" t="n">
        <f>IF(COUNT(BD1018:BE1018)&lt;&gt;2,"",IF(AND(BD1018&gt;0,BE1018&gt;0),0.7*AW1018/BD1018+0.3*BA1018/BE1018,IF(BD1018&gt;0,AW1018/BD1018,IF(BE1018&gt;0,BA1018/BE1018,IF(AND(ISNUMBER(BH1018),BH1018=0),0,"")))))</f>
        <v>0.14004394861392833</v>
      </c>
      <c r="BG1018" s="11" t="n">
        <f>IF(AND(COUNT(BN1018:BU1018)=8,MIN(BN1018:BU1018)&gt;=0),SUMPRODUCT(BN1018:BQ1018,BR1018:BU1018),"")</f>
        <v>78.35892944347341</v>
      </c>
      <c r="BH1018" s="11" t="n">
        <f>IF(COUNT(BC1018,BG1018)=2,BC1018*BG1018,"")</f>
        <v>77.2065648778704</v>
      </c>
      <c r="BI1018" s="11" t="n">
        <f>IF(ISNUMBER(CI1018),CI1018,"")</f>
        <v>10.812312204414408</v>
      </c>
      <c r="BJ1018" s="8" t="str"/>
      <c r="BK1018" s="8" t="str">
        <v>90天：2026-07-20 至 2026-10-17；180天：2026-04-21 至 2026-10-17</v>
      </c>
      <c r="BL1018" s="8" t="str">
        <v>90天：2026-10-06、2026-10-07；180天：2026-10-06、2026-10-07</v>
      </c>
      <c r="BM1018" s="8" t="str">
        <v>2026-10：12天 × 0.7307750238224848；2026-11：30天 × 0.9523018155490097；2026-12：31天 × 0.5958545198749097；2027-01：17天 × 1.3264167397065354</v>
      </c>
      <c r="BN1018" s="11" t="n">
        <v>0.7307750238224848</v>
      </c>
      <c r="BO1018" s="11" t="n">
        <v>0.9523018155490097</v>
      </c>
      <c r="BP1018" s="11" t="n">
        <v>0.5958545198749097</v>
      </c>
      <c r="BQ1018" s="11" t="n">
        <v>1.3264167397065354</v>
      </c>
      <c r="BR1018" s="8" t="n">
        <v>12</v>
      </c>
      <c r="BS1018" s="8" t="n">
        <v>30</v>
      </c>
      <c r="BT1018" s="8" t="n">
        <v>31</v>
      </c>
      <c r="BU1018" s="8" t="n">
        <v>17</v>
      </c>
      <c r="BV1018" s="11" t="n">
        <f>IF(COUNT(BC1018,BF1018)=2,BC1018*BF1018,"")</f>
        <v>0.13798442986914713</v>
      </c>
      <c r="BW1018" s="11" t="n">
        <f>IF(ISNUMBER(BN1018),BN1018,"")</f>
        <v>0.7307750238224848</v>
      </c>
      <c r="BX1018" s="14" t="n">
        <f>IF(ISNUMBER(BR1018),BR1018,"")</f>
        <v>12</v>
      </c>
      <c r="BY1018" s="13" t="n">
        <f>IF(AND(COUNT(BV1018,BW1018,BX1018)=3,MIN(BV1018,BW1018,BX1018)&gt;=0),BV1018*BW1018*BX1018,"")</f>
        <v>1.2100269002970958</v>
      </c>
      <c r="BZ1018" s="11" t="n">
        <f>IF(ISNUMBER(BO1018),BO1018,"")</f>
        <v>0.9523018155490097</v>
      </c>
      <c r="CA1018" s="14" t="n">
        <f>IF(ISNUMBER(BS1018),BS1018,"")</f>
        <v>30</v>
      </c>
      <c r="CB1018" s="13" t="n">
        <f>IF(AND(COUNT(BV1018,BZ1018,CA1018)=3,MIN(BV1018,BZ1018,CA1018)&gt;=0),BV1018*BZ1018*CA1018,"")</f>
        <v>3.942084692456515</v>
      </c>
      <c r="CC1018" s="11" t="n">
        <f>IF(ISNUMBER(BP1018),BP1018,"")</f>
        <v>0.5958545198749097</v>
      </c>
      <c r="CD1018" s="14" t="n">
        <f>IF(ISNUMBER(BT1018),BT1018,"")</f>
        <v>31</v>
      </c>
      <c r="CE1018" s="13" t="n">
        <f>IF(AND(COUNT(BV1018,CC1018,CD1018)=3,MIN(BV1018,CC1018,CD1018)&gt;=0),BV1018*CC1018*CD1018,"")</f>
        <v>2.5487780325067084</v>
      </c>
      <c r="CF1018" s="11" t="n">
        <f>IF(ISNUMBER(BQ1018),BQ1018,"")</f>
        <v>1.3264167397065354</v>
      </c>
      <c r="CG1018" s="14" t="n">
        <f>IF(ISNUMBER(BU1018),BU1018,"")</f>
        <v>17</v>
      </c>
      <c r="CH1018" s="13" t="n">
        <f>IF(AND(COUNT(BV1018,CF1018,CG1018)=3,MIN(BV1018,CF1018,CG1018)&gt;=0),BV1018*CF1018*CG1018,"")</f>
        <v>3.1114225791540866</v>
      </c>
      <c r="CI1018" s="13" t="n">
        <f>IF(COUNT(BY1018,CB1018,CE1018,CH1018)=4,SUM(BY1018,CB1018,CE1018,CH1018),"")</f>
        <v>10.812312204414408</v>
      </c>
    </row>
    <row r="1019" ht="72" customHeight="1">
      <c r="A1019" s="16" t="str">
        <v>B07-BGP-39-by</v>
      </c>
      <c r="B1019" s="16" t="str">
        <v>4店-彬郁-US</v>
      </c>
      <c r="C1019" s="16" t="str">
        <v>艾年</v>
      </c>
      <c r="D1019" s="26" t="n">
        <f>IF(NOT(ISNUMBER(E1019)),"",IF(OR(E1019&lt;=0,L1019=0),0,IF(OR(NOT(ISNUMBER(F1019)),F1019&lt;0),"",MIN(E1019,INT(F1019)))))</f>
        <v>0</v>
      </c>
      <c r="E1019" s="27" t="n">
        <f>IF(OR(NOT(ISNUMBER(L1019)),COUNT(M1019:O1019)&lt;&gt;3,MIN(M1019:O1019)&lt;0),"",ROUNDUP(ROUND(BI1019-SUM(M1019:O1019),10),0))</f>
        <v>-42</v>
      </c>
      <c r="F1019" s="28" t="n">
        <v>15</v>
      </c>
      <c r="G1019" s="28" t="n">
        <f>IF(AND(ISNUMBER(D1019),ISNUMBER(E1019)),IF(OR(E1019&lt;=0,L1019=0),0,E1019-D1019),"")</f>
        <v>0</v>
      </c>
      <c r="H1019" s="16" t="str">
        <f>IF(NOT(ISNUMBER(E1019)),"销量或海外库存待补",IF(OR(E1019&lt;=0,L1019=0),IF(L1019=0,"零日销，本批不发","本批无需补货"),IF(NOT(ISNUMBER(D1019)),"国内库存待补",IF(D1019=0,"国内无可用库存",IF(G1019&gt;0,"先发国内现货","按建议量发货")))))</f>
        <v>本批无需补货</v>
      </c>
      <c r="I1019" s="28" t="n">
        <f>IF(AND(COUNT(Z1019,AA1019,AB1019)=3,Z1019&gt;=AA1019,AA1019&gt;=0,AB1019=7),Z1019-AA1019,"")</f>
        <v>2</v>
      </c>
      <c r="J1019" s="28" t="n">
        <f>IF(AND(COUNT(AF1019,AG1019,AH1019)=3,AF1019&gt;=AG1019,AG1019&gt;=0,AH1019=14),AF1019-AG1019,"")</f>
        <v>3</v>
      </c>
      <c r="K1019" s="28" t="n">
        <f>IF(AND(COUNT(AL1019,AM1019,AN1019)=3,AL1019&gt;=AM1019,AM1019&gt;=0,AN1019=30),AL1019-AM1019,"")</f>
        <v>5</v>
      </c>
      <c r="L1019" s="29" t="n">
        <f>IF(ISNUMBER(BI1019),BI1019/90,"")</f>
        <v>0.2527295506078437</v>
      </c>
      <c r="M1019" s="28" t="n">
        <v>44</v>
      </c>
      <c r="N1019" s="28" t="n">
        <v>0</v>
      </c>
      <c r="O1019" s="28" t="n">
        <v>20</v>
      </c>
      <c r="P1019" s="30" t="n">
        <f>IF(AND(ISNUMBER(L1019),L1019&gt;0,COUNT(M1019:O1019)=3,MIN(M1019:O1019)&gt;=0),SUM(M1019:O1019)/L1019,"")</f>
        <v>253.2351276139756</v>
      </c>
      <c r="Q1019" s="16" t="str">
        <v>沿用原计划SKU店铺</v>
      </c>
      <c r="R1019" s="16" t="str">
        <v>已匹配</v>
      </c>
      <c r="S1019" s="16" t="str">
        <v>在售</v>
      </c>
      <c r="T1019" s="16" t="str">
        <v>B07</v>
      </c>
      <c r="U1019" s="16" t="str">
        <v>米色PU</v>
      </c>
      <c r="V1019" s="16" t="n">
        <v>8</v>
      </c>
      <c r="W1019" s="8" t="str">
        <v>2026-10-11 至 2026-10-17</v>
      </c>
      <c r="X1019" s="8" t="str">
        <v>2026-10-11、2026-10-12、2026-10-13、2026-10-14、2026-10-15、2026-10-16、2026-10-17</v>
      </c>
      <c r="Y1019" s="8" t="str">
        <v>无</v>
      </c>
      <c r="Z1019" s="8" t="n">
        <v>2</v>
      </c>
      <c r="AA1019" s="8" t="n">
        <v>0</v>
      </c>
      <c r="AB1019" s="8" t="n">
        <v>7</v>
      </c>
      <c r="AC1019" s="8" t="str">
        <v>2026-10-02 至 2026-10-17</v>
      </c>
      <c r="AD1019" s="8" t="str">
        <v>2026-10-02、2026-10-03、2026-10-04、2026-10-05、2026-10-08、2026-10-09、2026-10-10、2026-10-11、2026-10-12、2026-10-13、2026-10-14、2026-10-15、2026-10-16、2026-10-17</v>
      </c>
      <c r="AE1019" s="8" t="str">
        <v>2026-10-06 大促；2026-10-07 大促</v>
      </c>
      <c r="AF1019" s="8" t="n">
        <v>3</v>
      </c>
      <c r="AG1019" s="8" t="n">
        <v>0</v>
      </c>
      <c r="AH1019" s="8" t="n">
        <v>14</v>
      </c>
      <c r="AI1019" s="8" t="str">
        <v>2026-09-16 至 2026-10-17</v>
      </c>
      <c r="AJ10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19" s="8" t="str">
        <v>2026-10-06 大促；2026-10-07 大促</v>
      </c>
      <c r="AL1019" s="8" t="n">
        <v>5</v>
      </c>
      <c r="AM1019" s="8" t="n">
        <v>0</v>
      </c>
      <c r="AN1019" s="8" t="n">
        <v>30</v>
      </c>
      <c r="AO1019" s="8" t="str">
        <v>B07 / 米色PU / 13306</v>
      </c>
      <c r="AP1019" s="11" t="n">
        <v>0.7307750238224848</v>
      </c>
      <c r="AQ1019" s="11" t="n">
        <v>0.7307750238224848</v>
      </c>
      <c r="AR1019" s="11" t="n">
        <v>0.7449809054134506</v>
      </c>
      <c r="AS1019" s="11" t="n">
        <f>IF(AND(COUNT(I1019:K1019,AP1019:AR1019)=6,MIN(AP1019:AR1019)&gt;0),I1019/7/AP1019*0.5+J1019/14/AQ1019*0.3+K1019/30/AR1019*0.2,"")</f>
        <v>0.32820027566865084</v>
      </c>
      <c r="AT1019" s="8" t="n">
        <v>16</v>
      </c>
      <c r="AU1019" s="8" t="n">
        <v>0</v>
      </c>
      <c r="AV1019" s="8" t="n">
        <v>88</v>
      </c>
      <c r="AW1019" s="11" t="n">
        <f>IF(AND(COUNT(AT1019:AV1019)=3,AT1019&gt;=AU1019,AU1019&gt;=0,AV1019&gt;0),(AT1019-AU1019)/AV1019,"")</f>
        <v>0.18181818181818182</v>
      </c>
      <c r="AX1019" s="8" t="n">
        <v>29</v>
      </c>
      <c r="AY1019" s="8" t="n">
        <v>0</v>
      </c>
      <c r="AZ1019" s="8" t="n">
        <v>178</v>
      </c>
      <c r="BA1019" s="11" t="n">
        <f>IF(AND(COUNT(AX1019:AZ1019)=3,AX1019&gt;=AY1019,AY1019&gt;=0,AZ1019&gt;0),(AX1019-AY1019)/AZ1019,"")</f>
        <v>0.16292134831460675</v>
      </c>
      <c r="BB1019" s="8" t="n">
        <f>IF(COUNT(AS1019,AW1019,BA1019)=3,1,0)</f>
        <v>1</v>
      </c>
      <c r="BC1019" s="11" t="n">
        <f>IF(SUMIF($AO$11:$AO$1309,AO1019,$BB$11:$BB$1309)=COUNTIF($AO$11:$AO$1309,AO1019),SUMIF($AO$11:$AO$1309,AO1019,$AS$11:$AS$1309),"")</f>
        <v>0.9852937683836747</v>
      </c>
      <c r="BD1019" s="11" t="n">
        <f>IF(SUMIF($AO$11:$AO$1309,AO1019,$BB$11:$BB$1309)=COUNTIF($AO$11:$AO$1309,AO1019),SUMIF($AO$11:$AO$1309,AO1019,$AW$11:$AW$1309),"")</f>
        <v>0.5795454545454545</v>
      </c>
      <c r="BE1019" s="11" t="n">
        <f>IF(SUMIF($AO$11:$AO$1309,AO1019,$BB$11:$BB$1309)=COUNTIF($AO$11:$AO$1309,AO1019),SUMIF($AO$11:$AO$1309,AO1019,$BA$11:$BA$1309),"")</f>
        <v>0.651685393258427</v>
      </c>
      <c r="BF1019" s="12" t="n">
        <f>IF(COUNT(BD1019:BE1019)&lt;&gt;2,"",IF(AND(BD1019&gt;0,BE1019&gt;0),0.7*AW1019/BD1019+0.3*BA1019/BE1019,IF(BD1019&gt;0,AW1019/BD1019,IF(BE1019&gt;0,BA1019/BE1019,IF(AND(ISNUMBER(BH1019),BH1019=0),0,"")))))</f>
        <v>0.2946078431372549</v>
      </c>
      <c r="BG1019" s="11" t="n">
        <f>IF(AND(COUNT(BN1019:BU1019)=8,MIN(BN1019:BU1019)&gt;=0),SUMPRODUCT(BN1019:BQ1019,BR1019:BU1019),"")</f>
        <v>78.35892944347341</v>
      </c>
      <c r="BH1019" s="11" t="n">
        <f>IF(COUNT(BC1019,BG1019)=2,BC1019*BG1019,"")</f>
        <v>77.2065648778704</v>
      </c>
      <c r="BI1019" s="11" t="n">
        <f>IF(ISNUMBER(CI1019),CI1019,"")</f>
        <v>22.745659554705934</v>
      </c>
      <c r="BJ1019" s="8" t="str"/>
      <c r="BK1019" s="8" t="str">
        <v>90天：2026-07-20 至 2026-10-17；180天：2026-04-21 至 2026-10-17</v>
      </c>
      <c r="BL1019" s="8" t="str">
        <v>90天：2026-10-06、2026-10-07；180天：2026-10-06、2026-10-07</v>
      </c>
      <c r="BM1019" s="8" t="str">
        <v>2026-10：12天 × 0.7307750238224848；2026-11：30天 × 0.9523018155490097；2026-12：31天 × 0.5958545198749097；2027-01：17天 × 1.3264167397065354</v>
      </c>
      <c r="BN1019" s="11" t="n">
        <v>0.7307750238224848</v>
      </c>
      <c r="BO1019" s="11" t="n">
        <v>0.9523018155490097</v>
      </c>
      <c r="BP1019" s="11" t="n">
        <v>0.5958545198749097</v>
      </c>
      <c r="BQ1019" s="11" t="n">
        <v>1.3264167397065354</v>
      </c>
      <c r="BR1019" s="8" t="n">
        <v>12</v>
      </c>
      <c r="BS1019" s="8" t="n">
        <v>30</v>
      </c>
      <c r="BT1019" s="8" t="n">
        <v>31</v>
      </c>
      <c r="BU1019" s="8" t="n">
        <v>17</v>
      </c>
      <c r="BV1019" s="11" t="n">
        <f>IF(COUNT(BC1019,BF1019)=2,BC1019*BF1019,"")</f>
        <v>0.2902752719600924</v>
      </c>
      <c r="BW1019" s="11" t="n">
        <f>IF(ISNUMBER(BN1019),BN1019,"")</f>
        <v>0.7307750238224848</v>
      </c>
      <c r="BX1019" s="14" t="n">
        <f>IF(ISNUMBER(BR1019),BR1019,"")</f>
        <v>12</v>
      </c>
      <c r="BY1019" s="13" t="n">
        <f>IF(AND(COUNT(BV1019,BW1019,BX1019)=3,MIN(BV1019,BW1019,BX1019)&gt;=0),BV1019*BW1019*BX1019,"")</f>
        <v>2.545511025380577</v>
      </c>
      <c r="BZ1019" s="11" t="n">
        <f>IF(ISNUMBER(BO1019),BO1019,"")</f>
        <v>0.9523018155490097</v>
      </c>
      <c r="CA1019" s="14" t="n">
        <f>IF(ISNUMBER(BS1019),BS1019,"")</f>
        <v>30</v>
      </c>
      <c r="CB1019" s="13" t="n">
        <f>IF(AND(COUNT(BV1019,BZ1019,CA1019)=3,MIN(BV1019,BZ1019,CA1019)&gt;=0),BV1019*BZ1019*CA1019,"")</f>
        <v>8.292890054897356</v>
      </c>
      <c r="CC1019" s="11" t="n">
        <f>IF(ISNUMBER(BP1019),BP1019,"")</f>
        <v>0.5958545198749097</v>
      </c>
      <c r="CD1019" s="14" t="n">
        <f>IF(ISNUMBER(BT1019),BT1019,"")</f>
        <v>31</v>
      </c>
      <c r="CE1019" s="13" t="n">
        <f>IF(AND(COUNT(BV1019,CC1019,CD1019)=3,MIN(BV1019,CC1019,CD1019)&gt;=0),BV1019*CC1019*CD1019,"")</f>
        <v>5.361816816965531</v>
      </c>
      <c r="CF1019" s="11" t="n">
        <f>IF(ISNUMBER(BQ1019),BQ1019,"")</f>
        <v>1.3264167397065354</v>
      </c>
      <c r="CG1019" s="14" t="n">
        <f>IF(ISNUMBER(BU1019),BU1019,"")</f>
        <v>17</v>
      </c>
      <c r="CH1019" s="13" t="n">
        <f>IF(AND(COUNT(BV1019,CF1019,CG1019)=3,MIN(BV1019,CF1019,CG1019)&gt;=0),BV1019*CF1019*CG1019,"")</f>
        <v>6.545441657462472</v>
      </c>
      <c r="CI1019" s="13" t="n">
        <f>IF(COUNT(BY1019,CB1019,CE1019,CH1019)=4,SUM(BY1019,CB1019,CE1019,CH1019),"")</f>
        <v>22.745659554705934</v>
      </c>
    </row>
    <row r="1020" ht="72" customHeight="1">
      <c r="A1020" s="16" t="str">
        <v>B07-BGP-39.5</v>
      </c>
      <c r="B1020" s="16" t="str">
        <v>4店-彬郁-US</v>
      </c>
      <c r="C1020" s="16" t="str">
        <v>艾年</v>
      </c>
      <c r="D1020" s="26" t="n">
        <f>IF(NOT(ISNUMBER(E1020)),"",IF(OR(E1020&lt;=0,L1020=0),0,IF(OR(NOT(ISNUMBER(F1020)),F1020&lt;0),"",MIN(E1020,INT(F1020)))))</f>
        <v>0</v>
      </c>
      <c r="E1020" s="27" t="n">
        <f>IF(OR(NOT(ISNUMBER(L1020)),COUNT(M1020:O1020)&lt;&gt;3,MIN(M1020:O1020)&lt;0),"",ROUNDUP(ROUND(BI1020-SUM(M1020:O1020),10),0))</f>
        <v>-17</v>
      </c>
      <c r="F1020" s="28" t="n">
        <v>69</v>
      </c>
      <c r="G1020" s="28" t="n">
        <f>IF(AND(ISNUMBER(D1020),ISNUMBER(E1020)),IF(OR(E1020&lt;=0,L1020=0),0,E1020-D1020),"")</f>
        <v>0</v>
      </c>
      <c r="H1020" s="16" t="str">
        <f>IF(NOT(ISNUMBER(E1020)),"销量或海外库存待补",IF(OR(E1020&lt;=0,L1020=0),IF(L1020=0,"零日销，本批不发","本批无需补货"),IF(NOT(ISNUMBER(D1020)),"国内库存待补",IF(D1020=0,"国内无可用库存",IF(G1020&gt;0,"先发国内现货","按建议量发货")))))</f>
        <v>本批无需补货</v>
      </c>
      <c r="I1020" s="28" t="n">
        <f>IF(AND(COUNT(Z1020,AA1020,AB1020)=3,Z1020&gt;=AA1020,AA1020&gt;=0,AB1020=7),Z1020-AA1020,"")</f>
        <v>0</v>
      </c>
      <c r="J1020" s="28" t="n">
        <f>IF(AND(COUNT(AF1020,AG1020,AH1020)=3,AF1020&gt;=AG1020,AG1020&gt;=0,AH1020=14),AF1020-AG1020,"")</f>
        <v>0</v>
      </c>
      <c r="K1020" s="28" t="n">
        <f>IF(AND(COUNT(AL1020,AM1020,AN1020)=3,AL1020&gt;=AM1020,AM1020&gt;=0,AN1020=30),AL1020-AM1020,"")</f>
        <v>1</v>
      </c>
      <c r="L1020" s="29" t="n">
        <f>IF(ISNUMBER(BI1020),BI1020/90,"")</f>
        <v>0.04727169286715075</v>
      </c>
      <c r="M1020" s="28" t="n">
        <v>1</v>
      </c>
      <c r="N1020" s="28" t="n">
        <v>0</v>
      </c>
      <c r="O1020" s="28" t="n">
        <v>20</v>
      </c>
      <c r="P1020" s="30" t="n">
        <f>IF(AND(ISNUMBER(L1020),L1020&gt;0,COUNT(M1020:O1020)=3,MIN(M1020:O1020)&gt;=0),SUM(M1020:O1020)/L1020,"")</f>
        <v>444.240489948541</v>
      </c>
      <c r="Q1020" s="16" t="str">
        <v>沿用原计划SKU店铺</v>
      </c>
      <c r="R1020" s="16" t="str">
        <v>已匹配</v>
      </c>
      <c r="S1020" s="16" t="str">
        <v>在售</v>
      </c>
      <c r="T1020" s="16" t="str">
        <v>B07</v>
      </c>
      <c r="U1020" s="16" t="str">
        <v>米色PU</v>
      </c>
      <c r="V1020" s="16" t="n">
        <v>8.5</v>
      </c>
      <c r="W1020" s="8" t="str">
        <v>2026-10-11 至 2026-10-17</v>
      </c>
      <c r="X1020" s="8" t="str">
        <v>2026-10-11、2026-10-12、2026-10-13、2026-10-14、2026-10-15、2026-10-16、2026-10-17</v>
      </c>
      <c r="Y1020" s="8" t="str">
        <v>无</v>
      </c>
      <c r="Z1020" s="8" t="n">
        <v>0</v>
      </c>
      <c r="AA1020" s="8" t="n">
        <v>0</v>
      </c>
      <c r="AB1020" s="8" t="n">
        <v>7</v>
      </c>
      <c r="AC1020" s="8" t="str">
        <v>2026-10-02 至 2026-10-17</v>
      </c>
      <c r="AD1020" s="8" t="str">
        <v>2026-10-02、2026-10-03、2026-10-04、2026-10-05、2026-10-08、2026-10-09、2026-10-10、2026-10-11、2026-10-12、2026-10-13、2026-10-14、2026-10-15、2026-10-16、2026-10-17</v>
      </c>
      <c r="AE1020" s="8" t="str">
        <v>2026-10-06 大促；2026-10-07 大促</v>
      </c>
      <c r="AF1020" s="8" t="n">
        <v>0</v>
      </c>
      <c r="AG1020" s="8" t="n">
        <v>0</v>
      </c>
      <c r="AH1020" s="8" t="n">
        <v>14</v>
      </c>
      <c r="AI1020" s="8" t="str">
        <v>2026-09-16 至 2026-10-17</v>
      </c>
      <c r="AJ10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0" s="8" t="str">
        <v>2026-10-06 大促；2026-10-07 大促</v>
      </c>
      <c r="AL1020" s="8" t="n">
        <v>1</v>
      </c>
      <c r="AM1020" s="8" t="n">
        <v>0</v>
      </c>
      <c r="AN1020" s="8" t="n">
        <v>30</v>
      </c>
      <c r="AO1020" s="8" t="str">
        <v>B07 / 米色PU / 13306</v>
      </c>
      <c r="AP1020" s="11" t="n">
        <v>0.7307750238224848</v>
      </c>
      <c r="AQ1020" s="11" t="n">
        <v>0.7307750238224848</v>
      </c>
      <c r="AR1020" s="11" t="n">
        <v>0.7449809054134506</v>
      </c>
      <c r="AS1020" s="11" t="n">
        <f>IF(AND(COUNT(I1020:K1020,AP1020:AR1020)=6,MIN(AP1020:AR1020)&gt;0),I1020/7/AP1020*0.5+J1020/14/AQ1020*0.3+K1020/30/AR1020*0.2,"")</f>
        <v>0.008948775221247839</v>
      </c>
      <c r="AT1020" s="8" t="n">
        <v>1</v>
      </c>
      <c r="AU1020" s="8" t="n">
        <v>0</v>
      </c>
      <c r="AV1020" s="8" t="n">
        <v>88</v>
      </c>
      <c r="AW1020" s="11" t="n">
        <f>IF(AND(COUNT(AT1020:AV1020)=3,AT1020&gt;=AU1020,AU1020&gt;=0,AV1020&gt;0),(AT1020-AU1020)/AV1020,"")</f>
        <v>0.011363636363636364</v>
      </c>
      <c r="AX1020" s="8" t="n">
        <v>16</v>
      </c>
      <c r="AY1020" s="8" t="n">
        <v>0</v>
      </c>
      <c r="AZ1020" s="8" t="n">
        <v>178</v>
      </c>
      <c r="BA1020" s="11" t="n">
        <f>IF(AND(COUNT(AX1020:AZ1020)=3,AX1020&gt;=AY1020,AY1020&gt;=0,AZ1020&gt;0),(AX1020-AY1020)/AZ1020,"")</f>
        <v>0.0898876404494382</v>
      </c>
      <c r="BB1020" s="8" t="n">
        <f>IF(COUNT(AS1020,AW1020,BA1020)=3,1,0)</f>
        <v>1</v>
      </c>
      <c r="BC1020" s="11" t="n">
        <f>IF(SUMIF($AO$11:$AO$1309,AO1020,$BB$11:$BB$1309)=COUNTIF($AO$11:$AO$1309,AO1020),SUMIF($AO$11:$AO$1309,AO1020,$AS$11:$AS$1309),"")</f>
        <v>0.9852937683836747</v>
      </c>
      <c r="BD1020" s="11" t="n">
        <f>IF(SUMIF($AO$11:$AO$1309,AO1020,$BB$11:$BB$1309)=COUNTIF($AO$11:$AO$1309,AO1020),SUMIF($AO$11:$AO$1309,AO1020,$AW$11:$AW$1309),"")</f>
        <v>0.5795454545454545</v>
      </c>
      <c r="BE1020" s="11" t="n">
        <f>IF(SUMIF($AO$11:$AO$1309,AO1020,$BB$11:$BB$1309)=COUNTIF($AO$11:$AO$1309,AO1020),SUMIF($AO$11:$AO$1309,AO1020,$BA$11:$BA$1309),"")</f>
        <v>0.651685393258427</v>
      </c>
      <c r="BF1020" s="12" t="n">
        <f>IF(COUNT(BD1020:BE1020)&lt;&gt;2,"",IF(AND(BD1020&gt;0,BE1020&gt;0),0.7*AW1020/BD1020+0.3*BA1020/BE1020,IF(BD1020&gt;0,AW1020/BD1020,IF(BE1020&gt;0,BA1020/BE1020,IF(AND(ISNUMBER(BH1020),BH1020=0),0,"")))))</f>
        <v>0.05510480054090601</v>
      </c>
      <c r="BG1020" s="11" t="n">
        <f>IF(AND(COUNT(BN1020:BU1020)=8,MIN(BN1020:BU1020)&gt;=0),SUMPRODUCT(BN1020:BQ1020,BR1020:BU1020),"")</f>
        <v>78.35892944347341</v>
      </c>
      <c r="BH1020" s="11" t="n">
        <f>IF(COUNT(BC1020,BG1020)=2,BC1020*BG1020,"")</f>
        <v>77.2065648778704</v>
      </c>
      <c r="BI1020" s="11" t="n">
        <f>IF(ISNUMBER(CI1020),CI1020,"")</f>
        <v>4.254452358043568</v>
      </c>
      <c r="BJ1020" s="8" t="str"/>
      <c r="BK1020" s="8" t="str">
        <v>90天：2026-07-20 至 2026-10-17；180天：2026-04-21 至 2026-10-17</v>
      </c>
      <c r="BL1020" s="8" t="str">
        <v>90天：2026-10-06、2026-10-07；180天：2026-10-06、2026-10-07</v>
      </c>
      <c r="BM1020" s="8" t="str">
        <v>2026-10：12天 × 0.7307750238224848；2026-11：30天 × 0.9523018155490097；2026-12：31天 × 0.5958545198749097；2027-01：17天 × 1.3264167397065354</v>
      </c>
      <c r="BN1020" s="11" t="n">
        <v>0.7307750238224848</v>
      </c>
      <c r="BO1020" s="11" t="n">
        <v>0.9523018155490097</v>
      </c>
      <c r="BP1020" s="11" t="n">
        <v>0.5958545198749097</v>
      </c>
      <c r="BQ1020" s="11" t="n">
        <v>1.3264167397065354</v>
      </c>
      <c r="BR1020" s="8" t="n">
        <v>12</v>
      </c>
      <c r="BS1020" s="8" t="n">
        <v>30</v>
      </c>
      <c r="BT1020" s="8" t="n">
        <v>31</v>
      </c>
      <c r="BU1020" s="8" t="n">
        <v>17</v>
      </c>
      <c r="BV1020" s="11" t="n">
        <f>IF(COUNT(BC1020,BF1020)=2,BC1020*BF1020,"")</f>
        <v>0.05429441658098003</v>
      </c>
      <c r="BW1020" s="11" t="n">
        <f>IF(ISNUMBER(BN1020),BN1020,"")</f>
        <v>0.7307750238224848</v>
      </c>
      <c r="BX1020" s="14" t="n">
        <f>IF(ISNUMBER(BR1020),BR1020,"")</f>
        <v>12</v>
      </c>
      <c r="BY1020" s="13" t="n">
        <f>IF(AND(COUNT(BV1020,BW1020,BX1020)=3,MIN(BV1020,BW1020,BX1020)&gt;=0),BV1020*BW1020*BX1020,"")</f>
        <v>0.47612404284472315</v>
      </c>
      <c r="BZ1020" s="11" t="n">
        <f>IF(ISNUMBER(BO1020),BO1020,"")</f>
        <v>0.9523018155490097</v>
      </c>
      <c r="CA1020" s="14" t="n">
        <f>IF(ISNUMBER(BS1020),BS1020,"")</f>
        <v>30</v>
      </c>
      <c r="CB1020" s="13" t="n">
        <f>IF(AND(COUNT(BV1020,BZ1020,CA1020)=3,MIN(BV1020,BZ1020,CA1020)&gt;=0),BV1020*BZ1020*CA1020,"")</f>
        <v>1.5511401445272464</v>
      </c>
      <c r="CC1020" s="11" t="n">
        <f>IF(ISNUMBER(BP1020),BP1020,"")</f>
        <v>0.5958545198749097</v>
      </c>
      <c r="CD1020" s="14" t="n">
        <f>IF(ISNUMBER(BT1020),BT1020,"")</f>
        <v>31</v>
      </c>
      <c r="CE1020" s="13" t="n">
        <f>IF(AND(COUNT(BV1020,CC1020,CD1020)=3,MIN(BV1020,CC1020,CD1020)&gt;=0),BV1020*CC1020*CD1020,"")</f>
        <v>1.0028987792361939</v>
      </c>
      <c r="CF1020" s="11" t="n">
        <f>IF(ISNUMBER(BQ1020),BQ1020,"")</f>
        <v>1.3264167397065354</v>
      </c>
      <c r="CG1020" s="14" t="n">
        <f>IF(ISNUMBER(BU1020),BU1020,"")</f>
        <v>17</v>
      </c>
      <c r="CH1020" s="13" t="n">
        <f>IF(AND(COUNT(BV1020,CF1020,CG1020)=3,MIN(BV1020,CF1020,CG1020)&gt;=0),BV1020*CF1020*CG1020,"")</f>
        <v>1.224289391435404</v>
      </c>
      <c r="CI1020" s="13" t="n">
        <f>IF(COUNT(BY1020,CB1020,CE1020,CH1020)=4,SUM(BY1020,CB1020,CE1020,CH1020),"")</f>
        <v>4.254452358043568</v>
      </c>
    </row>
    <row r="1021" ht="72" customHeight="1">
      <c r="A1021" s="16" t="str">
        <v>B07-BGP-40-New</v>
      </c>
      <c r="B1021" s="16" t="str">
        <v>4店-彬郁-US</v>
      </c>
      <c r="C1021" s="16" t="str">
        <v>艾年</v>
      </c>
      <c r="D1021" s="26" t="n">
        <f>IF(NOT(ISNUMBER(E1021)),"",IF(OR(E1021&lt;=0,L1021=0),0,IF(OR(NOT(ISNUMBER(F1021)),F1021&lt;0),"",MIN(E1021,INT(F1021)))))</f>
        <v>0</v>
      </c>
      <c r="E1021" s="27" t="n">
        <f>IF(OR(NOT(ISNUMBER(L1021)),COUNT(M1021:O1021)&lt;&gt;3,MIN(M1021:O1021)&lt;0),"",ROUNDUP(ROUND(BI1021-SUM(M1021:O1021),10),0))</f>
        <v>-50</v>
      </c>
      <c r="F1021" s="28" t="n">
        <v>0</v>
      </c>
      <c r="G1021" s="28" t="n">
        <f>IF(AND(ISNUMBER(D1021),ISNUMBER(E1021)),IF(OR(E1021&lt;=0,L1021=0),0,E1021-D1021),"")</f>
        <v>0</v>
      </c>
      <c r="H1021" s="16" t="str">
        <f>IF(NOT(ISNUMBER(E1021)),"销量或海外库存待补",IF(OR(E1021&lt;=0,L1021=0),IF(L1021=0,"零日销，本批不发","本批无需补货"),IF(NOT(ISNUMBER(D1021)),"国内库存待补",IF(D1021=0,"国内无可用库存",IF(G1021&gt;0,"先发国内现货","按建议量发货")))))</f>
        <v>本批无需补货</v>
      </c>
      <c r="I1021" s="28" t="n">
        <f>IF(AND(COUNT(Z1021,AA1021,AB1021)=3,Z1021&gt;=AA1021,AA1021&gt;=0,AB1021=7),Z1021-AA1021,"")</f>
        <v>1</v>
      </c>
      <c r="J1021" s="28" t="n">
        <f>IF(AND(COUNT(AF1021,AG1021,AH1021)=3,AF1021&gt;=AG1021,AG1021&gt;=0,AH1021=14),AF1021-AG1021,"")</f>
        <v>2</v>
      </c>
      <c r="K1021" s="28" t="n">
        <f>IF(AND(COUNT(AL1021,AM1021,AN1021)=3,AL1021&gt;=AM1021,AM1021&gt;=0,AN1021=30),AL1021-AM1021,"")</f>
        <v>5</v>
      </c>
      <c r="L1021" s="29" t="n">
        <f>IF(ISNUMBER(BI1021),BI1021/90,"")</f>
        <v>0.10836238061233669</v>
      </c>
      <c r="M1021" s="28" t="n">
        <v>49</v>
      </c>
      <c r="N1021" s="28" t="n">
        <v>10</v>
      </c>
      <c r="O1021" s="28" t="n">
        <v>0</v>
      </c>
      <c r="P1021" s="30" t="n">
        <f>IF(AND(ISNUMBER(L1021),L1021&gt;0,COUNT(M1021:O1021)=3,MIN(M1021:O1021)&gt;=0),SUM(M1021:O1021)/L1021,"")</f>
        <v>544.469396727918</v>
      </c>
      <c r="Q1021" s="16" t="str">
        <v>沿用原计划SKU店铺</v>
      </c>
      <c r="R1021" s="16" t="str">
        <v>已匹配</v>
      </c>
      <c r="S1021" s="16" t="str">
        <v>在售</v>
      </c>
      <c r="T1021" s="16" t="str">
        <v>B07</v>
      </c>
      <c r="U1021" s="16" t="str">
        <v>米色PU</v>
      </c>
      <c r="V1021" s="16" t="n">
        <v>9</v>
      </c>
      <c r="W1021" s="8" t="str">
        <v>2026-10-11 至 2026-10-17</v>
      </c>
      <c r="X1021" s="8" t="str">
        <v>2026-10-11、2026-10-12、2026-10-13、2026-10-14、2026-10-15、2026-10-16、2026-10-17</v>
      </c>
      <c r="Y1021" s="8" t="str">
        <v>无</v>
      </c>
      <c r="Z1021" s="8" t="n">
        <v>1</v>
      </c>
      <c r="AA1021" s="8" t="n">
        <v>0</v>
      </c>
      <c r="AB1021" s="8" t="n">
        <v>7</v>
      </c>
      <c r="AC1021" s="8" t="str">
        <v>2026-10-02 至 2026-10-17</v>
      </c>
      <c r="AD1021" s="8" t="str">
        <v>2026-10-02、2026-10-03、2026-10-04、2026-10-05、2026-10-08、2026-10-09、2026-10-10、2026-10-11、2026-10-12、2026-10-13、2026-10-14、2026-10-15、2026-10-16、2026-10-17</v>
      </c>
      <c r="AE1021" s="8" t="str">
        <v>2026-10-06 大促；2026-10-07 大促</v>
      </c>
      <c r="AF1021" s="8" t="n">
        <v>2</v>
      </c>
      <c r="AG1021" s="8" t="n">
        <v>0</v>
      </c>
      <c r="AH1021" s="8" t="n">
        <v>14</v>
      </c>
      <c r="AI1021" s="8" t="str">
        <v>2026-09-16 至 2026-10-17</v>
      </c>
      <c r="AJ10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1" s="8" t="str">
        <v>2026-10-06 大促；2026-10-07 大促</v>
      </c>
      <c r="AL1021" s="8" t="n">
        <v>5</v>
      </c>
      <c r="AM1021" s="8" t="n">
        <v>0</v>
      </c>
      <c r="AN1021" s="8" t="n">
        <v>30</v>
      </c>
      <c r="AO1021" s="8" t="str">
        <v>B07 / 米色PU / 13306</v>
      </c>
      <c r="AP1021" s="11" t="n">
        <v>0.7307750238224848</v>
      </c>
      <c r="AQ1021" s="11" t="n">
        <v>0.7307750238224848</v>
      </c>
      <c r="AR1021" s="11" t="n">
        <v>0.7449809054134506</v>
      </c>
      <c r="AS1021" s="11" t="n">
        <f>IF(AND(COUNT(I1021:K1021,AP1021:AR1021)=6,MIN(AP1021:AR1021)&gt;0),I1021/7/AP1021*0.5+J1021/14/AQ1021*0.3+K1021/30/AR1021*0.2,"")</f>
        <v>0.20113361379584563</v>
      </c>
      <c r="AT1021" s="8" t="n">
        <v>6</v>
      </c>
      <c r="AU1021" s="8" t="n">
        <v>0</v>
      </c>
      <c r="AV1021" s="8" t="n">
        <v>88</v>
      </c>
      <c r="AW1021" s="11" t="n">
        <f>IF(AND(COUNT(AT1021:AV1021)=3,AT1021&gt;=AU1021,AU1021&gt;=0,AV1021&gt;0),(AT1021-AU1021)/AV1021,"")</f>
        <v>0.06818181818181818</v>
      </c>
      <c r="AX1021" s="8" t="n">
        <v>17</v>
      </c>
      <c r="AY1021" s="8" t="n">
        <v>0</v>
      </c>
      <c r="AZ1021" s="8" t="n">
        <v>178</v>
      </c>
      <c r="BA1021" s="11" t="n">
        <f>IF(AND(COUNT(AX1021:AZ1021)=3,AX1021&gt;=AY1021,AY1021&gt;=0,AZ1021&gt;0),(AX1021-AY1021)/AZ1021,"")</f>
        <v>0.09550561797752809</v>
      </c>
      <c r="BB1021" s="8" t="n">
        <f>IF(COUNT(AS1021,AW1021,BA1021)=3,1,0)</f>
        <v>1</v>
      </c>
      <c r="BC1021" s="11" t="n">
        <f>IF(SUMIF($AO$11:$AO$1309,AO1021,$BB$11:$BB$1309)=COUNTIF($AO$11:$AO$1309,AO1021),SUMIF($AO$11:$AO$1309,AO1021,$AS$11:$AS$1309),"")</f>
        <v>0.9852937683836747</v>
      </c>
      <c r="BD1021" s="11" t="n">
        <f>IF(SUMIF($AO$11:$AO$1309,AO1021,$BB$11:$BB$1309)=COUNTIF($AO$11:$AO$1309,AO1021),SUMIF($AO$11:$AO$1309,AO1021,$AW$11:$AW$1309),"")</f>
        <v>0.5795454545454545</v>
      </c>
      <c r="BE1021" s="11" t="n">
        <f>IF(SUMIF($AO$11:$AO$1309,AO1021,$BB$11:$BB$1309)=COUNTIF($AO$11:$AO$1309,AO1021),SUMIF($AO$11:$AO$1309,AO1021,$BA$11:$BA$1309),"")</f>
        <v>0.651685393258427</v>
      </c>
      <c r="BF1021" s="12" t="n">
        <f>IF(COUNT(BD1021:BE1021)&lt;&gt;2,"",IF(AND(BD1021&gt;0,BE1021&gt;0),0.7*AW1021/BD1021+0.3*BA1021/BE1021,IF(BD1021&gt;0,AW1021/BD1021,IF(BE1021&gt;0,BA1021/BE1021,IF(AND(ISNUMBER(BH1021),BH1021=0),0,"")))))</f>
        <v>0.1263184584178499</v>
      </c>
      <c r="BG1021" s="11" t="n">
        <f>IF(AND(COUNT(BN1021:BU1021)=8,MIN(BN1021:BU1021)&gt;=0),SUMPRODUCT(BN1021:BQ1021,BR1021:BU1021),"")</f>
        <v>78.35892944347341</v>
      </c>
      <c r="BH1021" s="11" t="n">
        <f>IF(COUNT(BC1021,BG1021)=2,BC1021*BG1021,"")</f>
        <v>77.2065648778704</v>
      </c>
      <c r="BI1021" s="11" t="n">
        <f>IF(ISNUMBER(CI1021),CI1021,"")</f>
        <v>9.752614255110302</v>
      </c>
      <c r="BJ1021" s="8" t="str"/>
      <c r="BK1021" s="8" t="str">
        <v>90天：2026-07-20 至 2026-10-17；180天：2026-04-21 至 2026-10-17</v>
      </c>
      <c r="BL1021" s="8" t="str">
        <v>90天：2026-10-06、2026-10-07；180天：2026-10-06、2026-10-07</v>
      </c>
      <c r="BM1021" s="8" t="str">
        <v>2026-10：12天 × 0.7307750238224848；2026-11：30天 × 0.9523018155490097；2026-12：31天 × 0.5958545198749097；2027-01：17天 × 1.3264167397065354</v>
      </c>
      <c r="BN1021" s="11" t="n">
        <v>0.7307750238224848</v>
      </c>
      <c r="BO1021" s="11" t="n">
        <v>0.9523018155490097</v>
      </c>
      <c r="BP1021" s="11" t="n">
        <v>0.5958545198749097</v>
      </c>
      <c r="BQ1021" s="11" t="n">
        <v>1.3264167397065354</v>
      </c>
      <c r="BR1021" s="8" t="n">
        <v>12</v>
      </c>
      <c r="BS1021" s="8" t="n">
        <v>30</v>
      </c>
      <c r="BT1021" s="8" t="n">
        <v>31</v>
      </c>
      <c r="BU1021" s="8" t="n">
        <v>17</v>
      </c>
      <c r="BV1021" s="11" t="n">
        <f>IF(COUNT(BC1021,BF1021)=2,BC1021*BF1021,"")</f>
        <v>0.12446078991093983</v>
      </c>
      <c r="BW1021" s="11" t="n">
        <f>IF(ISNUMBER(BN1021),BN1021,"")</f>
        <v>0.7307750238224848</v>
      </c>
      <c r="BX1021" s="14" t="n">
        <f>IF(ISNUMBER(BR1021),BR1021,"")</f>
        <v>12</v>
      </c>
      <c r="BY1021" s="13" t="n">
        <f>IF(AND(COUNT(BV1021,BW1021,BX1021)=3,MIN(BV1021,BW1021,BX1021)&gt;=0),BV1021*BW1021*BX1021,"")</f>
        <v>1.091434040545588</v>
      </c>
      <c r="BZ1021" s="11" t="n">
        <f>IF(ISNUMBER(BO1021),BO1021,"")</f>
        <v>0.9523018155490097</v>
      </c>
      <c r="CA1021" s="14" t="n">
        <f>IF(ISNUMBER(BS1021),BS1021,"")</f>
        <v>30</v>
      </c>
      <c r="CB1021" s="13" t="n">
        <f>IF(AND(COUNT(BV1021,BZ1021,CA1021)=3,MIN(BV1021,BZ1021,CA1021)&gt;=0),BV1021*BZ1021*CA1021,"")</f>
        <v>3.555727085905556</v>
      </c>
      <c r="CC1021" s="11" t="n">
        <f>IF(ISNUMBER(BP1021),BP1021,"")</f>
        <v>0.5958545198749097</v>
      </c>
      <c r="CD1021" s="14" t="n">
        <f>IF(ISNUMBER(BT1021),BT1021,"")</f>
        <v>31</v>
      </c>
      <c r="CE1021" s="13" t="n">
        <f>IF(AND(COUNT(BV1021,CC1021,CD1021)=3,MIN(BV1021,CC1021,CD1021)&gt;=0),BV1021*CC1021*CD1021,"")</f>
        <v>2.298976250684687</v>
      </c>
      <c r="CF1021" s="11" t="n">
        <f>IF(ISNUMBER(BQ1021),BQ1021,"")</f>
        <v>1.3264167397065354</v>
      </c>
      <c r="CG1021" s="14" t="n">
        <f>IF(ISNUMBER(BU1021),BU1021,"")</f>
        <v>17</v>
      </c>
      <c r="CH1021" s="13" t="n">
        <f>IF(AND(COUNT(BV1021,CF1021,CG1021)=3,MIN(BV1021,CF1021,CG1021)&gt;=0),BV1021*CF1021*CG1021,"")</f>
        <v>2.806476877974471</v>
      </c>
      <c r="CI1021" s="13" t="n">
        <f>IF(COUNT(BY1021,CB1021,CE1021,CH1021)=4,SUM(BY1021,CB1021,CE1021,CH1021),"")</f>
        <v>9.752614255110302</v>
      </c>
    </row>
    <row r="1022" ht="72" customHeight="1">
      <c r="A1022" s="16" t="str">
        <v>B07-BGP-40.5</v>
      </c>
      <c r="B1022" s="16" t="str">
        <v>4店-彬郁-US</v>
      </c>
      <c r="C1022" s="16" t="str">
        <v>艾年</v>
      </c>
      <c r="D1022" s="26" t="n">
        <f>IF(NOT(ISNUMBER(E1022)),"",IF(OR(E1022&lt;=0,L1022=0),0,IF(OR(NOT(ISNUMBER(F1022)),F1022&lt;0),"",MIN(E1022,INT(F1022)))))</f>
        <v>0</v>
      </c>
      <c r="E1022" s="27" t="n">
        <f>IF(OR(NOT(ISNUMBER(L1022)),COUNT(M1022:O1022)&lt;&gt;3,MIN(M1022:O1022)&lt;0),"",ROUNDUP(ROUND(BI1022-SUM(M1022:O1022),10),0))</f>
        <v>-2</v>
      </c>
      <c r="F1022" s="28" t="n">
        <v>0</v>
      </c>
      <c r="G1022" s="28" t="n">
        <f>IF(AND(ISNUMBER(D1022),ISNUMBER(E1022)),IF(OR(E1022&lt;=0,L1022=0),0,E1022-D1022),"")</f>
        <v>0</v>
      </c>
      <c r="H1022" s="16" t="str">
        <f>IF(NOT(ISNUMBER(E1022)),"销量或海外库存待补",IF(OR(E1022&lt;=0,L1022=0),IF(L1022=0,"零日销，本批不发","本批无需补货"),IF(NOT(ISNUMBER(D1022)),"国内库存待补",IF(D1022=0,"国内无可用库存",IF(G1022&gt;0,"先发国内现货","按建议量发货")))))</f>
        <v>本批无需补货</v>
      </c>
      <c r="I1022" s="28" t="n">
        <f>IF(AND(COUNT(Z1022,AA1022,AB1022)=3,Z1022&gt;=AA1022,AA1022&gt;=0,AB1022=7),Z1022-AA1022,"")</f>
        <v>1</v>
      </c>
      <c r="J1022" s="28" t="n">
        <f>IF(AND(COUNT(AF1022,AG1022,AH1022)=3,AF1022&gt;=AG1022,AG1022&gt;=0,AH1022=14),AF1022-AG1022,"")</f>
        <v>1</v>
      </c>
      <c r="K1022" s="28" t="n">
        <f>IF(AND(COUNT(AL1022,AM1022,AN1022)=3,AL1022&gt;=AM1022,AM1022&gt;=0,AN1022=30),AL1022-AM1022,"")</f>
        <v>2</v>
      </c>
      <c r="L1022" s="29" t="n">
        <f>IF(ISNUMBER(BI1022),BI1022/90,"")</f>
        <v>0.06484632223984607</v>
      </c>
      <c r="M1022" s="28" t="n">
        <v>7</v>
      </c>
      <c r="N1022" s="28" t="n">
        <v>0</v>
      </c>
      <c r="O1022" s="28" t="n">
        <v>0</v>
      </c>
      <c r="P1022" s="30" t="n">
        <f>IF(AND(ISNUMBER(L1022),L1022&gt;0,COUNT(M1022:O1022)=3,MIN(M1022:O1022)&gt;=0),SUM(M1022:O1022)/L1022,"")</f>
        <v>107.94752513657151</v>
      </c>
      <c r="Q1022" s="16" t="str">
        <v>沿用原计划SKU店铺</v>
      </c>
      <c r="R1022" s="16" t="str">
        <v>已匹配</v>
      </c>
      <c r="S1022" s="16" t="str">
        <v>在售</v>
      </c>
      <c r="T1022" s="16" t="str">
        <v>B07</v>
      </c>
      <c r="U1022" s="16" t="str">
        <v>米色PU</v>
      </c>
      <c r="V1022" s="16" t="n">
        <v>9.5</v>
      </c>
      <c r="W1022" s="8" t="str">
        <v>2026-10-11 至 2026-10-17</v>
      </c>
      <c r="X1022" s="8" t="str">
        <v>2026-10-11、2026-10-12、2026-10-13、2026-10-14、2026-10-15、2026-10-16、2026-10-17</v>
      </c>
      <c r="Y1022" s="8" t="str">
        <v>无</v>
      </c>
      <c r="Z1022" s="8" t="n">
        <v>1</v>
      </c>
      <c r="AA1022" s="8" t="n">
        <v>0</v>
      </c>
      <c r="AB1022" s="8" t="n">
        <v>7</v>
      </c>
      <c r="AC1022" s="8" t="str">
        <v>2026-10-02 至 2026-10-17</v>
      </c>
      <c r="AD1022" s="8" t="str">
        <v>2026-10-02、2026-10-03、2026-10-04、2026-10-05、2026-10-08、2026-10-09、2026-10-10、2026-10-11、2026-10-12、2026-10-13、2026-10-14、2026-10-15、2026-10-16、2026-10-17</v>
      </c>
      <c r="AE1022" s="8" t="str">
        <v>2026-10-06 大促；2026-10-07 大促</v>
      </c>
      <c r="AF1022" s="8" t="n">
        <v>2</v>
      </c>
      <c r="AG1022" s="8" t="n">
        <v>1</v>
      </c>
      <c r="AH1022" s="8" t="n">
        <v>14</v>
      </c>
      <c r="AI1022" s="8" t="str">
        <v>2026-09-16 至 2026-10-17</v>
      </c>
      <c r="AJ10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2" s="8" t="str">
        <v>2026-10-06 大促；2026-10-07 大促</v>
      </c>
      <c r="AL1022" s="8" t="n">
        <v>3</v>
      </c>
      <c r="AM1022" s="8" t="n">
        <v>1</v>
      </c>
      <c r="AN1022" s="8" t="n">
        <v>30</v>
      </c>
      <c r="AO1022" s="8" t="str">
        <v>B07 / 米色PU / 13306</v>
      </c>
      <c r="AP1022" s="11" t="n">
        <v>0.7307750238224848</v>
      </c>
      <c r="AQ1022" s="11" t="n">
        <v>0.7307750238224848</v>
      </c>
      <c r="AR1022" s="11" t="n">
        <v>0.7449809054134506</v>
      </c>
      <c r="AS1022" s="11" t="n">
        <f>IF(AND(COUNT(I1022:K1022,AP1022:AR1022)=6,MIN(AP1022:AR1022)&gt;0),I1022/7/AP1022*0.5+J1022/14/AQ1022*0.3+K1022/30/AR1022*0.2,"")</f>
        <v>0.14496421231530088</v>
      </c>
      <c r="AT1022" s="8" t="n">
        <v>5</v>
      </c>
      <c r="AU1022" s="8" t="n">
        <v>1</v>
      </c>
      <c r="AV1022" s="8" t="n">
        <v>88</v>
      </c>
      <c r="AW1022" s="11" t="n">
        <f>IF(AND(COUNT(AT1022:AV1022)=3,AT1022&gt;=AU1022,AU1022&gt;=0,AV1022&gt;0),(AT1022-AU1022)/AV1022,"")</f>
        <v>0.045454545454545456</v>
      </c>
      <c r="AX1022" s="8" t="n">
        <v>9</v>
      </c>
      <c r="AY1022" s="8" t="n">
        <v>1</v>
      </c>
      <c r="AZ1022" s="8" t="n">
        <v>178</v>
      </c>
      <c r="BA1022" s="11" t="n">
        <f>IF(AND(COUNT(AX1022:AZ1022)=3,AX1022&gt;=AY1022,AY1022&gt;=0,AZ1022&gt;0),(AX1022-AY1022)/AZ1022,"")</f>
        <v>0.0449438202247191</v>
      </c>
      <c r="BB1022" s="8" t="n">
        <f>IF(COUNT(AS1022,AW1022,BA1022)=3,1,0)</f>
        <v>1</v>
      </c>
      <c r="BC1022" s="11" t="n">
        <f>IF(SUMIF($AO$11:$AO$1309,AO1022,$BB$11:$BB$1309)=COUNTIF($AO$11:$AO$1309,AO1022),SUMIF($AO$11:$AO$1309,AO1022,$AS$11:$AS$1309),"")</f>
        <v>0.9852937683836747</v>
      </c>
      <c r="BD1022" s="11" t="n">
        <f>IF(SUMIF($AO$11:$AO$1309,AO1022,$BB$11:$BB$1309)=COUNTIF($AO$11:$AO$1309,AO1022),SUMIF($AO$11:$AO$1309,AO1022,$AW$11:$AW$1309),"")</f>
        <v>0.5795454545454545</v>
      </c>
      <c r="BE1022" s="11" t="n">
        <f>IF(SUMIF($AO$11:$AO$1309,AO1022,$BB$11:$BB$1309)=COUNTIF($AO$11:$AO$1309,AO1022),SUMIF($AO$11:$AO$1309,AO1022,$BA$11:$BA$1309),"")</f>
        <v>0.651685393258427</v>
      </c>
      <c r="BF1022" s="12" t="n">
        <f>IF(COUNT(BD1022:BE1022)&lt;&gt;2,"",IF(AND(BD1022&gt;0,BE1022&gt;0),0.7*AW1022/BD1022+0.3*BA1022/BE1022,IF(BD1022&gt;0,AW1022/BD1022,IF(BE1022&gt;0,BA1022/BE1022,IF(AND(ISNUMBER(BH1022),BH1022=0),0,"")))))</f>
        <v>0.07559161595672752</v>
      </c>
      <c r="BG1022" s="11" t="n">
        <f>IF(AND(COUNT(BN1022:BU1022)=8,MIN(BN1022:BU1022)&gt;=0),SUMPRODUCT(BN1022:BQ1022,BR1022:BU1022),"")</f>
        <v>78.35892944347341</v>
      </c>
      <c r="BH1022" s="11" t="n">
        <f>IF(COUNT(BC1022,BG1022)=2,BC1022*BG1022,"")</f>
        <v>77.2065648778704</v>
      </c>
      <c r="BI1022" s="11" t="n">
        <f>IF(ISNUMBER(CI1022),CI1022,"")</f>
        <v>5.836169001586146</v>
      </c>
      <c r="BJ1022" s="8" t="str"/>
      <c r="BK1022" s="8" t="str">
        <v>90天：2026-07-20 至 2026-10-17；180天：2026-04-21 至 2026-10-17</v>
      </c>
      <c r="BL1022" s="8" t="str">
        <v>90天：2026-10-06、2026-10-07；180天：2026-10-06、2026-10-07</v>
      </c>
      <c r="BM1022" s="8" t="str">
        <v>2026-10：12天 × 0.7307750238224848；2026-11：30天 × 0.9523018155490097；2026-12：31天 × 0.5958545198749097；2027-01：17天 × 1.3264167397065354</v>
      </c>
      <c r="BN1022" s="11" t="n">
        <v>0.7307750238224848</v>
      </c>
      <c r="BO1022" s="11" t="n">
        <v>0.9523018155490097</v>
      </c>
      <c r="BP1022" s="11" t="n">
        <v>0.5958545198749097</v>
      </c>
      <c r="BQ1022" s="11" t="n">
        <v>1.3264167397065354</v>
      </c>
      <c r="BR1022" s="8" t="n">
        <v>12</v>
      </c>
      <c r="BS1022" s="8" t="n">
        <v>30</v>
      </c>
      <c r="BT1022" s="8" t="n">
        <v>31</v>
      </c>
      <c r="BU1022" s="8" t="n">
        <v>17</v>
      </c>
      <c r="BV1022" s="11" t="n">
        <f>IF(COUNT(BC1022,BF1022)=2,BC1022*BF1022,"")</f>
        <v>0.07447994814421557</v>
      </c>
      <c r="BW1022" s="11" t="n">
        <f>IF(ISNUMBER(BN1022),BN1022,"")</f>
        <v>0.7307750238224848</v>
      </c>
      <c r="BX1022" s="14" t="n">
        <f>IF(ISNUMBER(BR1022),BR1022,"")</f>
        <v>12</v>
      </c>
      <c r="BY1022" s="13" t="n">
        <f>IF(AND(COUNT(BV1022,BW1022,BX1022)=3,MIN(BV1022,BW1022,BX1022)&gt;=0),BV1022*BW1022*BX1022,"")</f>
        <v>0.6531370305526388</v>
      </c>
      <c r="BZ1022" s="11" t="n">
        <f>IF(ISNUMBER(BO1022),BO1022,"")</f>
        <v>0.9523018155490097</v>
      </c>
      <c r="CA1022" s="14" t="n">
        <f>IF(ISNUMBER(BS1022),BS1022,"")</f>
        <v>30</v>
      </c>
      <c r="CB1022" s="13" t="n">
        <f>IF(AND(COUNT(BV1022,BZ1022,CA1022)=3,MIN(BV1022,BZ1022,CA1022)&gt;=0),BV1022*BZ1022*CA1022,"")</f>
        <v>2.1278216951919773</v>
      </c>
      <c r="CC1022" s="11" t="n">
        <f>IF(ISNUMBER(BP1022),BP1022,"")</f>
        <v>0.5958545198749097</v>
      </c>
      <c r="CD1022" s="14" t="n">
        <f>IF(ISNUMBER(BT1022),BT1022,"")</f>
        <v>31</v>
      </c>
      <c r="CE1022" s="13" t="n">
        <f>IF(AND(COUNT(BV1022,CC1022,CD1022)=3,MIN(BV1022,CC1022,CD1022)&gt;=0),BV1022*CC1022*CD1022,"")</f>
        <v>1.375755625995172</v>
      </c>
      <c r="CF1022" s="11" t="n">
        <f>IF(ISNUMBER(BQ1022),BQ1022,"")</f>
        <v>1.3264167397065354</v>
      </c>
      <c r="CG1022" s="14" t="n">
        <f>IF(ISNUMBER(BU1022),BU1022,"")</f>
        <v>17</v>
      </c>
      <c r="CH1022" s="13" t="n">
        <f>IF(AND(COUNT(BV1022,CF1022,CG1022)=3,MIN(BV1022,CF1022,CG1022)&gt;=0),BV1022*CF1022*CG1022,"")</f>
        <v>1.6794546498463583</v>
      </c>
      <c r="CI1022" s="13" t="n">
        <f>IF(COUNT(BY1022,CB1022,CE1022,CH1022)=4,SUM(BY1022,CB1022,CE1022,CH1022),"")</f>
        <v>5.836169001586146</v>
      </c>
    </row>
    <row r="1023" ht="72" customHeight="1">
      <c r="A1023" s="16" t="str">
        <v>B07-BGP-41.5</v>
      </c>
      <c r="B1023" s="16" t="str">
        <v>4店-彬郁-US</v>
      </c>
      <c r="C1023" s="16" t="str">
        <v>艾年</v>
      </c>
      <c r="D1023" s="26" t="n">
        <f>IF(NOT(ISNUMBER(E1023)),"",IF(OR(E1023&lt;=0,L1023=0),0,IF(OR(NOT(ISNUMBER(F1023)),F1023&lt;0),"",MIN(E1023,INT(F1023)))))</f>
        <v>0</v>
      </c>
      <c r="E1023" s="27" t="n">
        <f>IF(OR(NOT(ISNUMBER(L1023)),COUNT(M1023:O1023)&lt;&gt;3,MIN(M1023:O1023)&lt;0),"",ROUNDUP(ROUND(BI1023-SUM(M1023:O1023),10),0))</f>
        <v>0</v>
      </c>
      <c r="F1023" s="28"/>
      <c r="G1023" s="28" t="n">
        <f>IF(AND(ISNUMBER(D1023),ISNUMBER(E1023)),IF(OR(E1023&lt;=0,L1023=0),0,E1023-D1023),"")</f>
        <v>0</v>
      </c>
      <c r="H1023" s="16" t="str">
        <f>IF(NOT(ISNUMBER(E1023)),"销量或海外库存待补",IF(OR(E1023&lt;=0,L1023=0),IF(L1023=0,"零日销，本批不发","本批无需补货"),IF(NOT(ISNUMBER(D1023)),"国内库存待补",IF(D1023=0,"国内无可用库存",IF(G1023&gt;0,"先发国内现货","按建议量发货")))))</f>
        <v>零日销，本批不发</v>
      </c>
      <c r="I1023" s="28" t="n">
        <f>IF(AND(COUNT(Z1023,AA1023,AB1023)=3,Z1023&gt;=AA1023,AA1023&gt;=0,AB1023=7),Z1023-AA1023,"")</f>
        <v>0</v>
      </c>
      <c r="J1023" s="28" t="n">
        <f>IF(AND(COUNT(AF1023,AG1023,AH1023)=3,AF1023&gt;=AG1023,AG1023&gt;=0,AH1023=14),AF1023-AG1023,"")</f>
        <v>0</v>
      </c>
      <c r="K1023" s="28" t="n">
        <f>IF(AND(COUNT(AL1023,AM1023,AN1023)=3,AL1023&gt;=AM1023,AM1023&gt;=0,AN1023=30),AL1023-AM1023,"")</f>
        <v>0</v>
      </c>
      <c r="L1023" s="29" t="n">
        <f>IF(ISNUMBER(BI1023),BI1023/90,"")</f>
        <v>0</v>
      </c>
      <c r="M1023" s="28" t="n">
        <v>0</v>
      </c>
      <c r="N1023" s="28" t="n">
        <v>0</v>
      </c>
      <c r="O1023" s="28" t="n">
        <v>0</v>
      </c>
      <c r="P1023" s="30" t="str">
        <f>IF(AND(ISNUMBER(L1023),L1023&gt;0,COUNT(M1023:O1023)=3,MIN(M1023:O1023)&gt;=0),SUM(M1023:O1023)/L1023,"")</f>
      </c>
      <c r="Q1023" s="16" t="str">
        <v>沿用原计划SKU店铺</v>
      </c>
      <c r="R1023" s="16" t="str">
        <v>未匹配</v>
      </c>
      <c r="S1023" s="16" t="str">
        <v>停售</v>
      </c>
      <c r="T1023" s="16" t="str">
        <v>B07</v>
      </c>
      <c r="U1023" s="16" t="str">
        <v>米色PU</v>
      </c>
      <c r="V1023" s="16" t="n">
        <v>10.5</v>
      </c>
      <c r="W1023" s="8" t="str">
        <v>2026-10-08 至 2026-10-17</v>
      </c>
      <c r="X1023" s="8" t="str">
        <v>2026-10-08、2026-10-09、2026-10-10、2026-10-11、2026-10-14、2026-10-15、2026-10-17</v>
      </c>
      <c r="Y1023" s="8" t="str">
        <v>2026-10-12 有记录的停售日；2026-10-13 有记录的停售日；2026-10-16 有记录的停售日</v>
      </c>
      <c r="Z1023" s="8" t="n">
        <v>0</v>
      </c>
      <c r="AA1023" s="8" t="n">
        <v>0</v>
      </c>
      <c r="AB1023" s="8" t="n">
        <v>7</v>
      </c>
      <c r="AC1023" s="8" t="str">
        <v>2026-09-29 至 2026-10-17</v>
      </c>
      <c r="AD1023" s="8" t="str">
        <v>2026-09-29、2026-09-30、2026-10-01、2026-10-02、2026-10-03、2026-10-04、2026-10-05、2026-10-08、2026-10-09、2026-10-10、2026-10-11、2026-10-14、2026-10-15、2026-10-17</v>
      </c>
      <c r="AE1023" s="8" t="str">
        <v>2026-10-06 大促；2026-10-07 大促；2026-10-12 有记录的停售日；2026-10-13 有记录的停售日；2026-10-16 有记录的停售日</v>
      </c>
      <c r="AF1023" s="8" t="n">
        <v>0</v>
      </c>
      <c r="AG1023" s="8" t="n">
        <v>0</v>
      </c>
      <c r="AH1023" s="8" t="n">
        <v>14</v>
      </c>
      <c r="AI1023" s="8" t="str">
        <v>2026-09-13 至 2026-10-17</v>
      </c>
      <c r="AJ10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023" s="8" t="str">
        <v>2026-10-06 大促；2026-10-07 大促；2026-10-12 有记录的停售日；2026-10-13 有记录的停售日；2026-10-16 有记录的停售日</v>
      </c>
      <c r="AL1023" s="8" t="n">
        <v>0</v>
      </c>
      <c r="AM1023" s="8" t="n">
        <v>0</v>
      </c>
      <c r="AN1023" s="8" t="n">
        <v>30</v>
      </c>
      <c r="AO1023" s="8" t="str">
        <v>B07 / 米色PU / 13306</v>
      </c>
      <c r="AP1023" s="11" t="n">
        <v>0.7307750238224848</v>
      </c>
      <c r="AQ1023" s="11" t="n">
        <v>0.7348338471341894</v>
      </c>
      <c r="AR1023" s="11" t="n">
        <v>0.7478220817316438</v>
      </c>
      <c r="AS1023" s="11" t="n">
        <f>IF(AND(COUNT(I1023:K1023,AP1023:AR1023)=6,MIN(AP1023:AR1023)&gt;0),I1023/7/AP1023*0.5+J1023/14/AQ1023*0.3+K1023/30/AR1023*0.2,"")</f>
        <v>0</v>
      </c>
      <c r="AT1023" s="8" t="n">
        <v>0</v>
      </c>
      <c r="AU1023" s="8" t="n">
        <v>0</v>
      </c>
      <c r="AV1023" s="8" t="n">
        <v>85</v>
      </c>
      <c r="AW1023" s="11" t="n">
        <f>IF(AND(COUNT(AT1023:AV1023)=3,AT1023&gt;=AU1023,AU1023&gt;=0,AV1023&gt;0),(AT1023-AU1023)/AV1023,"")</f>
        <v>0</v>
      </c>
      <c r="AX1023" s="8" t="n">
        <v>0</v>
      </c>
      <c r="AY1023" s="8" t="n">
        <v>0</v>
      </c>
      <c r="AZ1023" s="8" t="n">
        <v>175</v>
      </c>
      <c r="BA1023" s="11" t="n">
        <f>IF(AND(COUNT(AX1023:AZ1023)=3,AX1023&gt;=AY1023,AY1023&gt;=0,AZ1023&gt;0),(AX1023-AY1023)/AZ1023,"")</f>
        <v>0</v>
      </c>
      <c r="BB1023" s="8" t="n">
        <f>IF(COUNT(AS1023,AW1023,BA1023)=3,1,0)</f>
        <v>1</v>
      </c>
      <c r="BC1023" s="11" t="n">
        <f>IF(SUMIF($AO$11:$AO$1309,AO1023,$BB$11:$BB$1309)=COUNTIF($AO$11:$AO$1309,AO1023),SUMIF($AO$11:$AO$1309,AO1023,$AS$11:$AS$1309),"")</f>
        <v>0.9852937683836747</v>
      </c>
      <c r="BD1023" s="11" t="n">
        <f>IF(SUMIF($AO$11:$AO$1309,AO1023,$BB$11:$BB$1309)=COUNTIF($AO$11:$AO$1309,AO1023),SUMIF($AO$11:$AO$1309,AO1023,$AW$11:$AW$1309),"")</f>
        <v>0.5795454545454545</v>
      </c>
      <c r="BE1023" s="11" t="n">
        <f>IF(SUMIF($AO$11:$AO$1309,AO1023,$BB$11:$BB$1309)=COUNTIF($AO$11:$AO$1309,AO1023),SUMIF($AO$11:$AO$1309,AO1023,$BA$11:$BA$1309),"")</f>
        <v>0.651685393258427</v>
      </c>
      <c r="BF1023" s="12" t="n">
        <f>IF(COUNT(BD1023:BE1023)&lt;&gt;2,"",IF(AND(BD1023&gt;0,BE1023&gt;0),0.7*AW1023/BD1023+0.3*BA1023/BE1023,IF(BD1023&gt;0,AW1023/BD1023,IF(BE1023&gt;0,BA1023/BE1023,IF(AND(ISNUMBER(BH1023),BH1023=0),0,"")))))</f>
        <v>0</v>
      </c>
      <c r="BG1023" s="11" t="n">
        <f>IF(AND(COUNT(BN1023:BU1023)=8,MIN(BN1023:BU1023)&gt;=0),SUMPRODUCT(BN1023:BQ1023,BR1023:BU1023),"")</f>
        <v>78.35892944347341</v>
      </c>
      <c r="BH1023" s="11" t="n">
        <f>IF(COUNT(BC1023,BG1023)=2,BC1023*BG1023,"")</f>
        <v>77.2065648778704</v>
      </c>
      <c r="BI1023" s="11" t="n">
        <f>IF(ISNUMBER(CI1023),CI1023,"")</f>
        <v>0</v>
      </c>
      <c r="BJ1023" s="8" t="str"/>
      <c r="BK1023" s="8" t="str">
        <v>90天：2026-07-20 至 2026-10-17；180天：2026-04-21 至 2026-10-17</v>
      </c>
      <c r="BL1023" s="8" t="str">
        <v>90天：2026-10-06、2026-10-07、2026-10-12、2026-10-13、2026-10-16；180天：2026-10-06、2026-10-07、2026-10-12、2026-10-13、2026-10-16</v>
      </c>
      <c r="BM1023" s="8" t="str">
        <v>2026-10：12天 × 0.7307750238224848；2026-11：30天 × 0.9523018155490097；2026-12：31天 × 0.5958545198749097；2027-01：17天 × 1.3264167397065354</v>
      </c>
      <c r="BN1023" s="11" t="n">
        <v>0.7307750238224848</v>
      </c>
      <c r="BO1023" s="11" t="n">
        <v>0.9523018155490097</v>
      </c>
      <c r="BP1023" s="11" t="n">
        <v>0.5958545198749097</v>
      </c>
      <c r="BQ1023" s="11" t="n">
        <v>1.3264167397065354</v>
      </c>
      <c r="BR1023" s="8" t="n">
        <v>12</v>
      </c>
      <c r="BS1023" s="8" t="n">
        <v>30</v>
      </c>
      <c r="BT1023" s="8" t="n">
        <v>31</v>
      </c>
      <c r="BU1023" s="8" t="n">
        <v>17</v>
      </c>
      <c r="BV1023" s="11" t="n">
        <f>IF(COUNT(BC1023,BF1023)=2,BC1023*BF1023,"")</f>
        <v>0</v>
      </c>
      <c r="BW1023" s="11" t="n">
        <f>IF(ISNUMBER(BN1023),BN1023,"")</f>
        <v>0.7307750238224848</v>
      </c>
      <c r="BX1023" s="14" t="n">
        <f>IF(ISNUMBER(BR1023),BR1023,"")</f>
        <v>12</v>
      </c>
      <c r="BY1023" s="13" t="n">
        <f>IF(AND(COUNT(BV1023,BW1023,BX1023)=3,MIN(BV1023,BW1023,BX1023)&gt;=0),BV1023*BW1023*BX1023,"")</f>
        <v>0</v>
      </c>
      <c r="BZ1023" s="11" t="n">
        <f>IF(ISNUMBER(BO1023),BO1023,"")</f>
        <v>0.9523018155490097</v>
      </c>
      <c r="CA1023" s="14" t="n">
        <f>IF(ISNUMBER(BS1023),BS1023,"")</f>
        <v>30</v>
      </c>
      <c r="CB1023" s="13" t="n">
        <f>IF(AND(COUNT(BV1023,BZ1023,CA1023)=3,MIN(BV1023,BZ1023,CA1023)&gt;=0),BV1023*BZ1023*CA1023,"")</f>
        <v>0</v>
      </c>
      <c r="CC1023" s="11" t="n">
        <f>IF(ISNUMBER(BP1023),BP1023,"")</f>
        <v>0.5958545198749097</v>
      </c>
      <c r="CD1023" s="14" t="n">
        <f>IF(ISNUMBER(BT1023),BT1023,"")</f>
        <v>31</v>
      </c>
      <c r="CE1023" s="13" t="n">
        <f>IF(AND(COUNT(BV1023,CC1023,CD1023)=3,MIN(BV1023,CC1023,CD1023)&gt;=0),BV1023*CC1023*CD1023,"")</f>
        <v>0</v>
      </c>
      <c r="CF1023" s="11" t="n">
        <f>IF(ISNUMBER(BQ1023),BQ1023,"")</f>
        <v>1.3264167397065354</v>
      </c>
      <c r="CG1023" s="14" t="n">
        <f>IF(ISNUMBER(BU1023),BU1023,"")</f>
        <v>17</v>
      </c>
      <c r="CH1023" s="13" t="n">
        <f>IF(AND(COUNT(BV1023,CF1023,CG1023)=3,MIN(BV1023,CF1023,CG1023)&gt;=0),BV1023*CF1023*CG1023,"")</f>
        <v>0</v>
      </c>
      <c r="CI1023" s="13" t="n">
        <f>IF(COUNT(BY1023,CB1023,CE1023,CH1023)=4,SUM(BY1023,CB1023,CE1023,CH1023),"")</f>
        <v>0</v>
      </c>
    </row>
    <row r="1024" ht="72" customHeight="1">
      <c r="A1024" s="16" t="str">
        <v>B07-BK-38-New</v>
      </c>
      <c r="B1024" s="16" t="str">
        <v>4店-彬郁-US</v>
      </c>
      <c r="C1024" s="16" t="str">
        <v>艾年</v>
      </c>
      <c r="D1024" s="26" t="n">
        <f>IF(NOT(ISNUMBER(E1024)),"",IF(OR(E1024&lt;=0,L1024=0),0,IF(OR(NOT(ISNUMBER(F1024)),F1024&lt;0),"",MIN(E1024,INT(F1024)))))</f>
        <v>0</v>
      </c>
      <c r="E1024" s="27" t="n">
        <f>IF(OR(NOT(ISNUMBER(L1024)),COUNT(M1024:O1024)&lt;&gt;3,MIN(M1024:O1024)&lt;0),"",ROUNDUP(ROUND(BI1024-SUM(M1024:O1024),10),0))</f>
        <v>-67</v>
      </c>
      <c r="F1024" s="28" t="n">
        <v>0</v>
      </c>
      <c r="G1024" s="28" t="n">
        <f>IF(AND(ISNUMBER(D1024),ISNUMBER(E1024)),IF(OR(E1024&lt;=0,L1024=0),0,E1024-D1024),"")</f>
        <v>0</v>
      </c>
      <c r="H1024" s="16" t="str">
        <f>IF(NOT(ISNUMBER(E1024)),"销量或海外库存待补",IF(OR(E1024&lt;=0,L1024=0),IF(L1024=0,"零日销，本批不发","本批无需补货"),IF(NOT(ISNUMBER(D1024)),"国内库存待补",IF(D1024=0,"国内无可用库存",IF(G1024&gt;0,"先发国内现货","按建议量发货")))))</f>
        <v>本批无需补货</v>
      </c>
      <c r="I1024" s="28" t="n">
        <f>IF(AND(COUNT(Z1024,AA1024,AB1024)=3,Z1024&gt;=AA1024,AA1024&gt;=0,AB1024=7),Z1024-AA1024,"")</f>
        <v>11</v>
      </c>
      <c r="J1024" s="28" t="n">
        <f>IF(AND(COUNT(AF1024,AG1024,AH1024)=3,AF1024&gt;=AG1024,AG1024&gt;=0,AH1024=14),AF1024-AG1024,"")</f>
        <v>18</v>
      </c>
      <c r="K1024" s="28" t="n">
        <f>IF(AND(COUNT(AL1024,AM1024,AN1024)=3,AL1024&gt;=AM1024,AM1024&gt;=0,AN1024=30),AL1024-AM1024,"")</f>
        <v>27</v>
      </c>
      <c r="L1024" s="29" t="n">
        <f>IF(ISNUMBER(BI1024),BI1024/90,"")</f>
        <v>1.006265338337133</v>
      </c>
      <c r="M1024" s="28" t="n">
        <v>133</v>
      </c>
      <c r="N1024" s="28" t="n">
        <v>16</v>
      </c>
      <c r="O1024" s="28" t="n">
        <v>8</v>
      </c>
      <c r="P1024" s="30" t="n">
        <f>IF(AND(ISNUMBER(L1024),L1024&gt;0,COUNT(M1024:O1024)=3,MIN(M1024:O1024)&gt;=0),SUM(M1024:O1024)/L1024,"")</f>
        <v>156.02246645943765</v>
      </c>
      <c r="Q1024" s="16" t="str">
        <v>沿用原计划SKU店铺</v>
      </c>
      <c r="R1024" s="16" t="str">
        <v>已匹配</v>
      </c>
      <c r="S1024" s="16" t="str">
        <v>在售</v>
      </c>
      <c r="T1024" s="16" t="str">
        <v>B07</v>
      </c>
      <c r="U1024" s="16" t="str">
        <v>黑色羊京绒</v>
      </c>
      <c r="V1024" s="16" t="n">
        <v>7</v>
      </c>
      <c r="W1024" s="8" t="str">
        <v>2026-10-11 至 2026-10-17</v>
      </c>
      <c r="X1024" s="8" t="str">
        <v>2026-10-11、2026-10-12、2026-10-13、2026-10-14、2026-10-15、2026-10-16、2026-10-17</v>
      </c>
      <c r="Y1024" s="8" t="str">
        <v>无</v>
      </c>
      <c r="Z1024" s="8" t="n">
        <v>11</v>
      </c>
      <c r="AA1024" s="8" t="n">
        <v>0</v>
      </c>
      <c r="AB1024" s="8" t="n">
        <v>7</v>
      </c>
      <c r="AC1024" s="8" t="str">
        <v>2026-10-02 至 2026-10-17</v>
      </c>
      <c r="AD1024" s="8" t="str">
        <v>2026-10-02、2026-10-03、2026-10-04、2026-10-05、2026-10-08、2026-10-09、2026-10-10、2026-10-11、2026-10-12、2026-10-13、2026-10-14、2026-10-15、2026-10-16、2026-10-17</v>
      </c>
      <c r="AE1024" s="8" t="str">
        <v>2026-10-06 大促；2026-10-07 大促</v>
      </c>
      <c r="AF1024" s="8" t="n">
        <v>26</v>
      </c>
      <c r="AG1024" s="8" t="n">
        <v>8</v>
      </c>
      <c r="AH1024" s="8" t="n">
        <v>14</v>
      </c>
      <c r="AI1024" s="8" t="str">
        <v>2026-09-16 至 2026-10-17</v>
      </c>
      <c r="AJ10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4" s="8" t="str">
        <v>2026-10-06 大促；2026-10-07 大促</v>
      </c>
      <c r="AL1024" s="8" t="n">
        <v>35</v>
      </c>
      <c r="AM1024" s="8" t="n">
        <v>8</v>
      </c>
      <c r="AN1024" s="8" t="n">
        <v>30</v>
      </c>
      <c r="AO1024" s="8" t="str">
        <v>B07 / 黑色天鹅绒 / 13306</v>
      </c>
      <c r="AP1024" s="11" t="n">
        <v>0.7307750238224848</v>
      </c>
      <c r="AQ1024" s="11" t="n">
        <v>0.7307750238224848</v>
      </c>
      <c r="AR1024" s="11" t="n">
        <v>0.7449809054134506</v>
      </c>
      <c r="AS1024" s="11" t="n">
        <f>IF(AND(COUNT(I1024:K1024,AP1024:AR1024)=6,MIN(AP1024:AR1024)&gt;0),I1024/7/AP1024*0.5+J1024/14/AQ1024*0.3+K1024/30/AR1024*0.2,"")</f>
        <v>1.8446117422921575</v>
      </c>
      <c r="AT1024" s="8" t="n">
        <v>58</v>
      </c>
      <c r="AU1024" s="8" t="n">
        <v>8</v>
      </c>
      <c r="AV1024" s="8" t="n">
        <v>88</v>
      </c>
      <c r="AW1024" s="11" t="n">
        <f>IF(AND(COUNT(AT1024:AV1024)=3,AT1024&gt;=AU1024,AU1024&gt;=0,AV1024&gt;0),(AT1024-AU1024)/AV1024,"")</f>
        <v>0.5681818181818182</v>
      </c>
      <c r="AX1024" s="8" t="n">
        <v>97</v>
      </c>
      <c r="AY1024" s="8" t="n">
        <v>8</v>
      </c>
      <c r="AZ1024" s="8" t="n">
        <v>178</v>
      </c>
      <c r="BA1024" s="11" t="n">
        <f>IF(AND(COUNT(AX1024:AZ1024)=3,AX1024&gt;=AY1024,AY1024&gt;=0,AZ1024&gt;0),(AX1024-AY1024)/AZ1024,"")</f>
        <v>0.5</v>
      </c>
      <c r="BB1024" s="8" t="n">
        <f>IF(COUNT(AS1024,AW1024,BA1024)=3,1,0)</f>
        <v>1</v>
      </c>
      <c r="BC1024" s="11" t="n">
        <f>IF(SUMIF($AO$11:$AO$1309,AO1024,$BB$11:$BB$1309)=COUNTIF($AO$11:$AO$1309,AO1024),SUMIF($AO$11:$AO$1309,AO1024,$AS$11:$AS$1309),"")</f>
        <v>11.92937132043239</v>
      </c>
      <c r="BD1024" s="11" t="n">
        <f>IF(SUMIF($AO$11:$AO$1309,AO1024,$BB$11:$BB$1309)=COUNTIF($AO$11:$AO$1309,AO1024),SUMIF($AO$11:$AO$1309,AO1024,$AW$11:$AW$1309),"")</f>
        <v>5.794919786096258</v>
      </c>
      <c r="BE1024" s="11" t="n">
        <f>IF(SUMIF($AO$11:$AO$1309,AO1024,$BB$11:$BB$1309)=COUNTIF($AO$11:$AO$1309,AO1024),SUMIF($AO$11:$AO$1309,AO1024,$BA$11:$BA$1309),"")</f>
        <v>5.3098234349919755</v>
      </c>
      <c r="BF1024" s="12" t="n">
        <f>IF(COUNT(BD1024:BE1024)&lt;&gt;2,"",IF(AND(BD1024&gt;0,BE1024&gt;0),0.7*AW1024/BD1024+0.3*BA1024/BE1024,IF(BD1024&gt;0,AW1024/BD1024,IF(BE1024&gt;0,BA1024/BE1024,IF(AND(ISNUMBER(BH1024),BH1024=0),0,"")))))</f>
        <v>0.09688331087817358</v>
      </c>
      <c r="BG1024" s="11" t="n">
        <f>IF(AND(COUNT(BN1024:BU1024)=8,MIN(BN1024:BU1024)&gt;=0),SUMPRODUCT(BN1024:BQ1024,BR1024:BU1024),"")</f>
        <v>78.35892944347341</v>
      </c>
      <c r="BH1024" s="11" t="n">
        <f>IF(COUNT(BC1024,BG1024)=2,BC1024*BG1024,"")</f>
        <v>934.7727656027569</v>
      </c>
      <c r="BI1024" s="11" t="n">
        <f>IF(ISNUMBER(CI1024),CI1024,"")</f>
        <v>90.56388045034197</v>
      </c>
      <c r="BJ1024" s="8" t="str">
        <v>低销提醒依据不完整</v>
      </c>
      <c r="BK1024" s="8" t="str">
        <v>90天：2026-07-20 至 2026-10-17；180天：2026-04-21 至 2026-10-17</v>
      </c>
      <c r="BL1024" s="8" t="str">
        <v>90天：2026-10-06、2026-10-07；180天：2026-10-06、2026-10-07</v>
      </c>
      <c r="BM1024" s="8" t="str">
        <v>2026-10：12天 × 0.7307750238224848；2026-11：30天 × 0.9523018155490097；2026-12：31天 × 0.5958545198749097；2027-01：17天 × 1.3264167397065354</v>
      </c>
      <c r="BN1024" s="11" t="n">
        <v>0.7307750238224848</v>
      </c>
      <c r="BO1024" s="11" t="n">
        <v>0.9523018155490097</v>
      </c>
      <c r="BP1024" s="11" t="n">
        <v>0.5958545198749097</v>
      </c>
      <c r="BQ1024" s="11" t="n">
        <v>1.3264167397065354</v>
      </c>
      <c r="BR1024" s="8" t="n">
        <v>12</v>
      </c>
      <c r="BS1024" s="8" t="n">
        <v>30</v>
      </c>
      <c r="BT1024" s="8" t="n">
        <v>31</v>
      </c>
      <c r="BU1024" s="8" t="n">
        <v>17</v>
      </c>
      <c r="BV1024" s="11" t="n">
        <f>IF(COUNT(BC1024,BF1024)=2,BC1024*BF1024,"")</f>
        <v>1.155756990218619</v>
      </c>
      <c r="BW1024" s="11" t="n">
        <f>IF(ISNUMBER(BN1024),BN1024,"")</f>
        <v>0.7307750238224848</v>
      </c>
      <c r="BX1024" s="14" t="n">
        <f>IF(ISNUMBER(BR1024),BR1024,"")</f>
        <v>12</v>
      </c>
      <c r="BY1024" s="13" t="n">
        <f>IF(AND(COUNT(BV1024,BW1024,BX1024)=3,MIN(BV1024,BW1024,BX1024)&gt;=0),BV1024*BW1024*BX1024,"")</f>
        <v>10.135180104720177</v>
      </c>
      <c r="BZ1024" s="11" t="n">
        <f>IF(ISNUMBER(BO1024),BO1024,"")</f>
        <v>0.9523018155490097</v>
      </c>
      <c r="CA1024" s="14" t="n">
        <f>IF(ISNUMBER(BS1024),BS1024,"")</f>
        <v>30</v>
      </c>
      <c r="CB1024" s="13" t="n">
        <f>IF(AND(COUNT(BV1024,BZ1024,CA1024)=3,MIN(BV1024,BZ1024,CA1024)&gt;=0),BV1024*BZ1024*CA1024,"")</f>
        <v>33.018884403559504</v>
      </c>
      <c r="CC1024" s="11" t="n">
        <f>IF(ISNUMBER(BP1024),BP1024,"")</f>
        <v>0.5958545198749097</v>
      </c>
      <c r="CD1024" s="14" t="n">
        <f>IF(ISNUMBER(BT1024),BT1024,"")</f>
        <v>31</v>
      </c>
      <c r="CE1024" s="13" t="n">
        <f>IF(AND(COUNT(BV1024,CC1024,CD1024)=3,MIN(BV1024,CC1024,CD1024)&gt;=0),BV1024*CC1024*CD1024,"")</f>
        <v>21.348553821462364</v>
      </c>
      <c r="CF1024" s="11" t="n">
        <f>IF(ISNUMBER(BQ1024),BQ1024,"")</f>
        <v>1.3264167397065354</v>
      </c>
      <c r="CG1024" s="14" t="n">
        <f>IF(ISNUMBER(BU1024),BU1024,"")</f>
        <v>17</v>
      </c>
      <c r="CH1024" s="13" t="n">
        <f>IF(AND(COUNT(BV1024,CF1024,CG1024)=3,MIN(BV1024,CF1024,CG1024)&gt;=0),BV1024*CF1024*CG1024,"")</f>
        <v>26.061262120599924</v>
      </c>
      <c r="CI1024" s="13" t="n">
        <f>IF(COUNT(BY1024,CB1024,CE1024,CH1024)=4,SUM(BY1024,CB1024,CE1024,CH1024),"")</f>
        <v>90.56388045034197</v>
      </c>
    </row>
    <row r="1025" ht="72" customHeight="1">
      <c r="A1025" s="16" t="str">
        <v>B07-BK-38.5</v>
      </c>
      <c r="B1025" s="16" t="str">
        <v>4店-彬郁-US</v>
      </c>
      <c r="C1025" s="16" t="str">
        <v>艾年</v>
      </c>
      <c r="D1025" s="26" t="n">
        <f>IF(NOT(ISNUMBER(E1025)),"",IF(OR(E1025&lt;=0,L1025=0),0,IF(OR(NOT(ISNUMBER(F1025)),F1025&lt;0),"",MIN(E1025,INT(F1025)))))</f>
        <v>0</v>
      </c>
      <c r="E1025" s="27" t="n">
        <f>IF(OR(NOT(ISNUMBER(L1025)),COUNT(M1025:O1025)&lt;&gt;3,MIN(M1025:O1025)&lt;0),"",ROUNDUP(ROUND(BI1025-SUM(M1025:O1025),10),0))</f>
        <v>-392</v>
      </c>
      <c r="F1025" s="28" t="n">
        <v>40</v>
      </c>
      <c r="G1025" s="28" t="n">
        <f>IF(AND(ISNUMBER(D1025),ISNUMBER(E1025)),IF(OR(E1025&lt;=0,L1025=0),0,E1025-D1025),"")</f>
        <v>0</v>
      </c>
      <c r="H1025" s="16" t="str">
        <f>IF(NOT(ISNUMBER(E1025)),"销量或海外库存待补",IF(OR(E1025&lt;=0,L1025=0),IF(L1025=0,"零日销，本批不发","本批无需补货"),IF(NOT(ISNUMBER(D1025)),"国内库存待补",IF(D1025=0,"国内无可用库存",IF(G1025&gt;0,"先发国内现货","按建议量发货")))))</f>
        <v>本批无需补货</v>
      </c>
      <c r="I1025" s="28" t="n">
        <f>IF(AND(COUNT(Z1025,AA1025,AB1025)=3,Z1025&gt;=AA1025,AA1025&gt;=0,AB1025=7),Z1025-AA1025,"")</f>
        <v>6</v>
      </c>
      <c r="J1025" s="28" t="n">
        <f>IF(AND(COUNT(AF1025,AG1025,AH1025)=3,AF1025&gt;=AG1025,AG1025&gt;=0,AH1025=14),AF1025-AG1025,"")</f>
        <v>12</v>
      </c>
      <c r="K1025" s="28" t="n">
        <f>IF(AND(COUNT(AL1025,AM1025,AN1025)=3,AL1025&gt;=AM1025,AM1025&gt;=0,AN1025=30),AL1025-AM1025,"")</f>
        <v>27</v>
      </c>
      <c r="L1025" s="29" t="n">
        <f>IF(ISNUMBER(BI1025),BI1025/90,"")</f>
        <v>1.0951910281121722</v>
      </c>
      <c r="M1025" s="28" t="n">
        <v>490</v>
      </c>
      <c r="N1025" s="28" t="n">
        <v>0</v>
      </c>
      <c r="O1025" s="28" t="n">
        <v>0</v>
      </c>
      <c r="P1025" s="30" t="n">
        <f>IF(AND(ISNUMBER(L1025),L1025&gt;0,COUNT(M1025:O1025)=3,MIN(M1025:O1025)&gt;=0),SUM(M1025:O1025)/L1025,"")</f>
        <v>447.4105315167109</v>
      </c>
      <c r="Q1025" s="16" t="str">
        <v>沿用原计划SKU店铺</v>
      </c>
      <c r="R1025" s="16" t="str">
        <v>已匹配</v>
      </c>
      <c r="S1025" s="16" t="str">
        <v>在售</v>
      </c>
      <c r="T1025" s="16" t="str">
        <v>B07</v>
      </c>
      <c r="U1025" s="16" t="str">
        <v>黑色羊京绒</v>
      </c>
      <c r="V1025" s="16" t="n">
        <v>7.5</v>
      </c>
      <c r="W1025" s="8" t="str">
        <v>2026-10-11 至 2026-10-17</v>
      </c>
      <c r="X1025" s="8" t="str">
        <v>2026-10-11、2026-10-12、2026-10-13、2026-10-14、2026-10-15、2026-10-16、2026-10-17</v>
      </c>
      <c r="Y1025" s="8" t="str">
        <v>无</v>
      </c>
      <c r="Z1025" s="8" t="n">
        <v>6</v>
      </c>
      <c r="AA1025" s="8" t="n">
        <v>0</v>
      </c>
      <c r="AB1025" s="8" t="n">
        <v>7</v>
      </c>
      <c r="AC1025" s="8" t="str">
        <v>2026-10-02 至 2026-10-17</v>
      </c>
      <c r="AD1025" s="8" t="str">
        <v>2026-10-02、2026-10-03、2026-10-04、2026-10-05、2026-10-08、2026-10-09、2026-10-10、2026-10-11、2026-10-12、2026-10-13、2026-10-14、2026-10-15、2026-10-16、2026-10-17</v>
      </c>
      <c r="AE1025" s="8" t="str">
        <v>2026-10-06 大促；2026-10-07 大促</v>
      </c>
      <c r="AF1025" s="8" t="n">
        <v>24</v>
      </c>
      <c r="AG1025" s="8" t="n">
        <v>12</v>
      </c>
      <c r="AH1025" s="8" t="n">
        <v>14</v>
      </c>
      <c r="AI1025" s="8" t="str">
        <v>2026-09-16 至 2026-10-17</v>
      </c>
      <c r="AJ10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5" s="8" t="str">
        <v>2026-10-06 大促；2026-10-07 大促</v>
      </c>
      <c r="AL1025" s="8" t="n">
        <v>39</v>
      </c>
      <c r="AM1025" s="8" t="n">
        <v>12</v>
      </c>
      <c r="AN1025" s="8" t="n">
        <v>30</v>
      </c>
      <c r="AO1025" s="8" t="str">
        <v>B07 / 黑色天鹅绒 / 13306</v>
      </c>
      <c r="AP1025" s="11" t="n">
        <v>0.7307750238224848</v>
      </c>
      <c r="AQ1025" s="11" t="n">
        <v>0.7307750238224848</v>
      </c>
      <c r="AR1025" s="11" t="n">
        <v>0.7449809054134506</v>
      </c>
      <c r="AS1025" s="11" t="n">
        <f>IF(AND(COUNT(I1025:K1025,AP1025:AR1025)=6,MIN(AP1025:AR1025)&gt;0),I1025/7/AP1025*0.5+J1025/14/AQ1025*0.3+K1025/30/AR1025*0.2,"")</f>
        <v>1.1799553571113301</v>
      </c>
      <c r="AT1025" s="8" t="n">
        <v>65</v>
      </c>
      <c r="AU1025" s="8" t="n">
        <v>12</v>
      </c>
      <c r="AV1025" s="8" t="n">
        <v>88</v>
      </c>
      <c r="AW1025" s="11" t="n">
        <f>IF(AND(COUNT(AT1025:AV1025)=3,AT1025&gt;=AU1025,AU1025&gt;=0,AV1025&gt;0),(AT1025-AU1025)/AV1025,"")</f>
        <v>0.6022727272727273</v>
      </c>
      <c r="AX1025" s="8" t="n">
        <v>115</v>
      </c>
      <c r="AY1025" s="8" t="n">
        <v>12</v>
      </c>
      <c r="AZ1025" s="8" t="n">
        <v>178</v>
      </c>
      <c r="BA1025" s="11" t="n">
        <f>IF(AND(COUNT(AX1025:AZ1025)=3,AX1025&gt;=AY1025,AY1025&gt;=0,AZ1025&gt;0),(AX1025-AY1025)/AZ1025,"")</f>
        <v>0.5786516853932584</v>
      </c>
      <c r="BB1025" s="8" t="n">
        <f>IF(COUNT(AS1025,AW1025,BA1025)=3,1,0)</f>
        <v>1</v>
      </c>
      <c r="BC1025" s="11" t="n">
        <f>IF(SUMIF($AO$11:$AO$1309,AO1025,$BB$11:$BB$1309)=COUNTIF($AO$11:$AO$1309,AO1025),SUMIF($AO$11:$AO$1309,AO1025,$AS$11:$AS$1309),"")</f>
        <v>11.92937132043239</v>
      </c>
      <c r="BD1025" s="11" t="n">
        <f>IF(SUMIF($AO$11:$AO$1309,AO1025,$BB$11:$BB$1309)=COUNTIF($AO$11:$AO$1309,AO1025),SUMIF($AO$11:$AO$1309,AO1025,$AW$11:$AW$1309),"")</f>
        <v>5.794919786096258</v>
      </c>
      <c r="BE1025" s="11" t="n">
        <f>IF(SUMIF($AO$11:$AO$1309,AO1025,$BB$11:$BB$1309)=COUNTIF($AO$11:$AO$1309,AO1025),SUMIF($AO$11:$AO$1309,AO1025,$BA$11:$BA$1309),"")</f>
        <v>5.3098234349919755</v>
      </c>
      <c r="BF1025" s="12" t="n">
        <f>IF(COUNT(BD1025:BE1025)&lt;&gt;2,"",IF(AND(BD1025&gt;0,BE1025&gt;0),0.7*AW1025/BD1025+0.3*BA1025/BE1025,IF(BD1025&gt;0,AW1025/BD1025,IF(BE1025&gt;0,BA1025/BE1025,IF(AND(ISNUMBER(BH1025),BH1025=0),0,"")))))</f>
        <v>0.10544508372207201</v>
      </c>
      <c r="BG1025" s="11" t="n">
        <f>IF(AND(COUNT(BN1025:BU1025)=8,MIN(BN1025:BU1025)&gt;=0),SUMPRODUCT(BN1025:BQ1025,BR1025:BU1025),"")</f>
        <v>78.35892944347341</v>
      </c>
      <c r="BH1025" s="11" t="n">
        <f>IF(COUNT(BC1025,BG1025)=2,BC1025*BG1025,"")</f>
        <v>934.7727656027569</v>
      </c>
      <c r="BI1025" s="11" t="n">
        <f>IF(ISNUMBER(CI1025),CI1025,"")</f>
        <v>98.5671925300955</v>
      </c>
      <c r="BJ1025" s="8" t="str">
        <v>低销提醒依据不完整</v>
      </c>
      <c r="BK1025" s="8" t="str">
        <v>90天：2026-07-20 至 2026-10-17；180天：2026-04-21 至 2026-10-17</v>
      </c>
      <c r="BL1025" s="8" t="str">
        <v>90天：2026-10-06、2026-10-07；180天：2026-10-06、2026-10-07</v>
      </c>
      <c r="BM1025" s="8" t="str">
        <v>2026-10：12天 × 0.7307750238224848；2026-11：30天 × 0.9523018155490097；2026-12：31天 × 0.5958545198749097；2027-01：17天 × 1.3264167397065354</v>
      </c>
      <c r="BN1025" s="11" t="n">
        <v>0.7307750238224848</v>
      </c>
      <c r="BO1025" s="11" t="n">
        <v>0.9523018155490097</v>
      </c>
      <c r="BP1025" s="11" t="n">
        <v>0.5958545198749097</v>
      </c>
      <c r="BQ1025" s="11" t="n">
        <v>1.3264167397065354</v>
      </c>
      <c r="BR1025" s="8" t="n">
        <v>12</v>
      </c>
      <c r="BS1025" s="8" t="n">
        <v>30</v>
      </c>
      <c r="BT1025" s="8" t="n">
        <v>31</v>
      </c>
      <c r="BU1025" s="8" t="n">
        <v>17</v>
      </c>
      <c r="BV1025" s="11" t="n">
        <f>IF(COUNT(BC1025,BF1025)=2,BC1025*BF1025,"")</f>
        <v>1.2578935576346781</v>
      </c>
      <c r="BW1025" s="11" t="n">
        <f>IF(ISNUMBER(BN1025),BN1025,"")</f>
        <v>0.7307750238224848</v>
      </c>
      <c r="BX1025" s="14" t="n">
        <f>IF(ISNUMBER(BR1025),BR1025,"")</f>
        <v>12</v>
      </c>
      <c r="BY1025" s="13" t="n">
        <f>IF(AND(COUNT(BV1025,BW1025,BX1025)=3,MIN(BV1025,BW1025,BX1025)&gt;=0),BV1025*BW1025*BX1025,"")</f>
        <v>11.030846334559586</v>
      </c>
      <c r="BZ1025" s="11" t="n">
        <f>IF(ISNUMBER(BO1025),BO1025,"")</f>
        <v>0.9523018155490097</v>
      </c>
      <c r="CA1025" s="14" t="n">
        <f>IF(ISNUMBER(BS1025),BS1025,"")</f>
        <v>30</v>
      </c>
      <c r="CB1025" s="13" t="n">
        <f>IF(AND(COUNT(BV1025,BZ1025,CA1025)=3,MIN(BV1025,BZ1025,CA1025)&gt;=0),BV1025*BZ1025*CA1025,"")</f>
        <v>35.93682956108721</v>
      </c>
      <c r="CC1025" s="11" t="n">
        <f>IF(ISNUMBER(BP1025),BP1025,"")</f>
        <v>0.5958545198749097</v>
      </c>
      <c r="CD1025" s="14" t="n">
        <f>IF(ISNUMBER(BT1025),BT1025,"")</f>
        <v>31</v>
      </c>
      <c r="CE1025" s="13" t="n">
        <f>IF(AND(COUNT(BV1025,CC1025,CD1025)=3,MIN(BV1025,CC1025,CD1025)&gt;=0),BV1025*CC1025*CD1025,"")</f>
        <v>23.235168416982745</v>
      </c>
      <c r="CF1025" s="11" t="n">
        <f>IF(ISNUMBER(BQ1025),BQ1025,"")</f>
        <v>1.3264167397065354</v>
      </c>
      <c r="CG1025" s="14" t="n">
        <f>IF(ISNUMBER(BU1025),BU1025,"")</f>
        <v>17</v>
      </c>
      <c r="CH1025" s="13" t="n">
        <f>IF(AND(COUNT(BV1025,CF1025,CG1025)=3,MIN(BV1025,CF1025,CG1025)&gt;=0),BV1025*CF1025*CG1025,"")</f>
        <v>28.36434821746596</v>
      </c>
      <c r="CI1025" s="13" t="n">
        <f>IF(COUNT(BY1025,CB1025,CE1025,CH1025)=4,SUM(BY1025,CB1025,CE1025,CH1025),"")</f>
        <v>98.5671925300955</v>
      </c>
    </row>
    <row r="1026" ht="72" customHeight="1">
      <c r="A1026" s="16" t="str">
        <v>B07-BK-39-New</v>
      </c>
      <c r="B1026" s="16" t="str">
        <v>4店-彬郁-US</v>
      </c>
      <c r="C1026" s="16" t="str">
        <v>艾年</v>
      </c>
      <c r="D1026" s="26" t="n">
        <f>IF(NOT(ISNUMBER(E1026)),"",IF(OR(E1026&lt;=0,L1026=0),0,IF(OR(NOT(ISNUMBER(F1026)),F1026&lt;0),"",MIN(E1026,INT(F1026)))))</f>
        <v>0</v>
      </c>
      <c r="E1026" s="27" t="n">
        <f>IF(OR(NOT(ISNUMBER(L1026)),COUNT(M1026:O1026)&lt;&gt;3,MIN(M1026:O1026)&lt;0),"",ROUNDUP(ROUND(BI1026-SUM(M1026:O1026),10),0))</f>
        <v>-6</v>
      </c>
      <c r="F1026" s="28" t="n">
        <v>85</v>
      </c>
      <c r="G1026" s="28" t="n">
        <f>IF(AND(ISNUMBER(D1026),ISNUMBER(E1026)),IF(OR(E1026&lt;=0,L1026=0),0,E1026-D1026),"")</f>
        <v>0</v>
      </c>
      <c r="H1026" s="16" t="str">
        <f>IF(NOT(ISNUMBER(E1026)),"销量或海外库存待补",IF(OR(E1026&lt;=0,L1026=0),IF(L1026=0,"零日销，本批不发","本批无需补货"),IF(NOT(ISNUMBER(D1026)),"国内库存待补",IF(D1026=0,"国内无可用库存",IF(G1026&gt;0,"先发国内现货","按建议量发货")))))</f>
        <v>本批无需补货</v>
      </c>
      <c r="I1026" s="28" t="n">
        <f>IF(AND(COUNT(Z1026,AA1026,AB1026)=3,Z1026&gt;=AA1026,AA1026&gt;=0,AB1026=7),Z1026-AA1026,"")</f>
        <v>14</v>
      </c>
      <c r="J1026" s="28" t="n">
        <f>IF(AND(COUNT(AF1026,AG1026,AH1026)=3,AF1026&gt;=AG1026,AG1026&gt;=0,AH1026=14),AF1026-AG1026,"")</f>
        <v>19</v>
      </c>
      <c r="K1026" s="28" t="n">
        <f>IF(AND(COUNT(AL1026,AM1026,AN1026)=3,AL1026&gt;=AM1026,AM1026&gt;=0,AN1026=30),AL1026-AM1026,"")</f>
        <v>34</v>
      </c>
      <c r="L1026" s="29" t="n">
        <f>IF(ISNUMBER(BI1026),BI1026/90,"")</f>
        <v>1.4616815692820622</v>
      </c>
      <c r="M1026" s="28" t="n">
        <v>121</v>
      </c>
      <c r="N1026" s="28" t="n">
        <v>16</v>
      </c>
      <c r="O1026" s="28" t="n">
        <v>0</v>
      </c>
      <c r="P1026" s="30" t="n">
        <f>IF(AND(ISNUMBER(L1026),L1026&gt;0,COUNT(M1026:O1026)=3,MIN(M1026:O1026)&gt;=0),SUM(M1026:O1026)/L1026,"")</f>
        <v>93.72766468369075</v>
      </c>
      <c r="Q1026" s="16" t="str">
        <v>沿用原计划SKU店铺</v>
      </c>
      <c r="R1026" s="16" t="str">
        <v>已匹配</v>
      </c>
      <c r="S1026" s="16" t="str">
        <v>在售</v>
      </c>
      <c r="T1026" s="16" t="str">
        <v>B07</v>
      </c>
      <c r="U1026" s="16" t="str">
        <v>黑色羊京绒</v>
      </c>
      <c r="V1026" s="16" t="n">
        <v>8</v>
      </c>
      <c r="W1026" s="8" t="str">
        <v>2026-10-11 至 2026-10-17</v>
      </c>
      <c r="X1026" s="8" t="str">
        <v>2026-10-11、2026-10-12、2026-10-13、2026-10-14、2026-10-15、2026-10-16、2026-10-17</v>
      </c>
      <c r="Y1026" s="8" t="str">
        <v>无</v>
      </c>
      <c r="Z1026" s="8" t="n">
        <v>14</v>
      </c>
      <c r="AA1026" s="8" t="n">
        <v>0</v>
      </c>
      <c r="AB1026" s="8" t="n">
        <v>7</v>
      </c>
      <c r="AC1026" s="8" t="str">
        <v>2026-10-02 至 2026-10-17</v>
      </c>
      <c r="AD1026" s="8" t="str">
        <v>2026-10-02、2026-10-03、2026-10-04、2026-10-05、2026-10-08、2026-10-09、2026-10-10、2026-10-11、2026-10-12、2026-10-13、2026-10-14、2026-10-15、2026-10-16、2026-10-17</v>
      </c>
      <c r="AE1026" s="8" t="str">
        <v>2026-10-06 大促；2026-10-07 大促</v>
      </c>
      <c r="AF1026" s="8" t="n">
        <v>26</v>
      </c>
      <c r="AG1026" s="8" t="n">
        <v>7</v>
      </c>
      <c r="AH1026" s="8" t="n">
        <v>14</v>
      </c>
      <c r="AI1026" s="8" t="str">
        <v>2026-09-16 至 2026-10-17</v>
      </c>
      <c r="AJ10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6" s="8" t="str">
        <v>2026-10-06 大促；2026-10-07 大促</v>
      </c>
      <c r="AL1026" s="8" t="n">
        <v>41</v>
      </c>
      <c r="AM1026" s="8" t="n">
        <v>7</v>
      </c>
      <c r="AN1026" s="8" t="n">
        <v>30</v>
      </c>
      <c r="AO1026" s="8" t="str">
        <v>B07 / 黑色天鹅绒 / 13306</v>
      </c>
      <c r="AP1026" s="11" t="n">
        <v>0.7307750238224848</v>
      </c>
      <c r="AQ1026" s="11" t="n">
        <v>0.7307750238224848</v>
      </c>
      <c r="AR1026" s="11" t="n">
        <v>0.7449809054134506</v>
      </c>
      <c r="AS1026" s="11" t="n">
        <f>IF(AND(COUNT(I1026:K1026,AP1026:AR1026)=6,MIN(AP1026:AR1026)&gt;0),I1026/7/AP1026*0.5+J1026/14/AQ1026*0.3+K1026/30/AR1026*0.2,"")</f>
        <v>2.229807002825706</v>
      </c>
      <c r="AT1026" s="8" t="n">
        <v>79</v>
      </c>
      <c r="AU1026" s="8" t="n">
        <v>7</v>
      </c>
      <c r="AV1026" s="8" t="n">
        <v>88</v>
      </c>
      <c r="AW1026" s="11" t="n">
        <f>IF(AND(COUNT(AT1026:AV1026)=3,AT1026&gt;=AU1026,AU1026&gt;=0,AV1026&gt;0),(AT1026-AU1026)/AV1026,"")</f>
        <v>0.8181818181818182</v>
      </c>
      <c r="AX1026" s="8" t="n">
        <v>139</v>
      </c>
      <c r="AY1026" s="8" t="n">
        <v>7</v>
      </c>
      <c r="AZ1026" s="8" t="n">
        <v>178</v>
      </c>
      <c r="BA1026" s="11" t="n">
        <f>IF(AND(COUNT(AX1026:AZ1026)=3,AX1026&gt;=AY1026,AY1026&gt;=0,AZ1026&gt;0),(AX1026-AY1026)/AZ1026,"")</f>
        <v>0.7415730337078652</v>
      </c>
      <c r="BB1026" s="8" t="n">
        <f>IF(COUNT(AS1026,AW1026,BA1026)=3,1,0)</f>
        <v>1</v>
      </c>
      <c r="BC1026" s="11" t="n">
        <f>IF(SUMIF($AO$11:$AO$1309,AO1026,$BB$11:$BB$1309)=COUNTIF($AO$11:$AO$1309,AO1026),SUMIF($AO$11:$AO$1309,AO1026,$AS$11:$AS$1309),"")</f>
        <v>11.92937132043239</v>
      </c>
      <c r="BD1026" s="11" t="n">
        <f>IF(SUMIF($AO$11:$AO$1309,AO1026,$BB$11:$BB$1309)=COUNTIF($AO$11:$AO$1309,AO1026),SUMIF($AO$11:$AO$1309,AO1026,$AW$11:$AW$1309),"")</f>
        <v>5.794919786096258</v>
      </c>
      <c r="BE1026" s="11" t="n">
        <f>IF(SUMIF($AO$11:$AO$1309,AO1026,$BB$11:$BB$1309)=COUNTIF($AO$11:$AO$1309,AO1026),SUMIF($AO$11:$AO$1309,AO1026,$BA$11:$BA$1309),"")</f>
        <v>5.3098234349919755</v>
      </c>
      <c r="BF1026" s="12" t="n">
        <f>IF(COUNT(BD1026:BE1026)&lt;&gt;2,"",IF(AND(BD1026&gt;0,BE1026&gt;0),0.7*AW1026/BD1026+0.3*BA1026/BE1026,IF(BD1026&gt;0,AW1026/BD1026,IF(BE1026&gt;0,BA1026/BE1026,IF(AND(ISNUMBER(BH1026),BH1026=0),0,"")))))</f>
        <v>0.14073082365697628</v>
      </c>
      <c r="BG1026" s="11" t="n">
        <f>IF(AND(COUNT(BN1026:BU1026)=8,MIN(BN1026:BU1026)&gt;=0),SUMPRODUCT(BN1026:BQ1026,BR1026:BU1026),"")</f>
        <v>78.35892944347341</v>
      </c>
      <c r="BH1026" s="11" t="n">
        <f>IF(COUNT(BC1026,BG1026)=2,BC1026*BG1026,"")</f>
        <v>934.7727656027569</v>
      </c>
      <c r="BI1026" s="11" t="n">
        <f>IF(ISNUMBER(CI1026),CI1026,"")</f>
        <v>131.5513412353856</v>
      </c>
      <c r="BJ1026" s="8" t="str">
        <v>低销提醒依据不完整</v>
      </c>
      <c r="BK1026" s="8" t="str">
        <v>90天：2026-07-20 至 2026-10-17；180天：2026-04-21 至 2026-10-17</v>
      </c>
      <c r="BL1026" s="8" t="str">
        <v>90天：2026-10-06、2026-10-07；180天：2026-10-06、2026-10-07</v>
      </c>
      <c r="BM1026" s="8" t="str">
        <v>2026-10：12天 × 0.7307750238224848；2026-11：30天 × 0.9523018155490097；2026-12：31天 × 0.5958545198749097；2027-01：17天 × 1.3264167397065354</v>
      </c>
      <c r="BN1026" s="11" t="n">
        <v>0.7307750238224848</v>
      </c>
      <c r="BO1026" s="11" t="n">
        <v>0.9523018155490097</v>
      </c>
      <c r="BP1026" s="11" t="n">
        <v>0.5958545198749097</v>
      </c>
      <c r="BQ1026" s="11" t="n">
        <v>1.3264167397065354</v>
      </c>
      <c r="BR1026" s="8" t="n">
        <v>12</v>
      </c>
      <c r="BS1026" s="8" t="n">
        <v>30</v>
      </c>
      <c r="BT1026" s="8" t="n">
        <v>31</v>
      </c>
      <c r="BU1026" s="8" t="n">
        <v>17</v>
      </c>
      <c r="BV1026" s="11" t="n">
        <f>IF(COUNT(BC1026,BF1026)=2,BC1026*BF1026,"")</f>
        <v>1.678830251634361</v>
      </c>
      <c r="BW1026" s="11" t="n">
        <f>IF(ISNUMBER(BN1026),BN1026,"")</f>
        <v>0.7307750238224848</v>
      </c>
      <c r="BX1026" s="14" t="n">
        <f>IF(ISNUMBER(BR1026),BR1026,"")</f>
        <v>12</v>
      </c>
      <c r="BY1026" s="13" t="n">
        <f>IF(AND(COUNT(BV1026,BW1026,BX1026)=3,MIN(BV1026,BW1026,BX1026)&gt;=0),BV1026*BW1026*BX1026,"")</f>
        <v>14.7221666055841</v>
      </c>
      <c r="BZ1026" s="11" t="n">
        <f>IF(ISNUMBER(BO1026),BO1026,"")</f>
        <v>0.9523018155490097</v>
      </c>
      <c r="CA1026" s="14" t="n">
        <f>IF(ISNUMBER(BS1026),BS1026,"")</f>
        <v>30</v>
      </c>
      <c r="CB1026" s="13" t="n">
        <f>IF(AND(COUNT(BV1026,BZ1026,CA1026)=3,MIN(BV1026,BZ1026,CA1026)&gt;=0),BV1026*BZ1026*CA1026,"")</f>
        <v>47.962592898900084</v>
      </c>
      <c r="CC1026" s="11" t="n">
        <f>IF(ISNUMBER(BP1026),BP1026,"")</f>
        <v>0.5958545198749097</v>
      </c>
      <c r="CD1026" s="14" t="n">
        <f>IF(ISNUMBER(BT1026),BT1026,"")</f>
        <v>31</v>
      </c>
      <c r="CE1026" s="13" t="n">
        <f>IF(AND(COUNT(BV1026,CC1026,CD1026)=3,MIN(BV1026,CC1026,CD1026)&gt;=0),BV1026*CC1026*CD1026,"")</f>
        <v>31.01049639971104</v>
      </c>
      <c r="CF1026" s="11" t="n">
        <f>IF(ISNUMBER(BQ1026),BQ1026,"")</f>
        <v>1.3264167397065354</v>
      </c>
      <c r="CG1026" s="14" t="n">
        <f>IF(ISNUMBER(BU1026),BU1026,"")</f>
        <v>17</v>
      </c>
      <c r="CH1026" s="13" t="n">
        <f>IF(AND(COUNT(BV1026,CF1026,CG1026)=3,MIN(BV1026,CF1026,CG1026)&gt;=0),BV1026*CF1026*CG1026,"")</f>
        <v>37.85608533119037</v>
      </c>
      <c r="CI1026" s="13" t="n">
        <f>IF(COUNT(BY1026,CB1026,CE1026,CH1026)=4,SUM(BY1026,CB1026,CE1026,CH1026),"")</f>
        <v>131.5513412353856</v>
      </c>
    </row>
    <row r="1027" ht="72" customHeight="1">
      <c r="A1027" s="16" t="str">
        <v>B07-BK-39.5</v>
      </c>
      <c r="B1027" s="16" t="str">
        <v>4店-彬郁-US</v>
      </c>
      <c r="C1027" s="16" t="str">
        <v>艾年</v>
      </c>
      <c r="D1027" s="26" t="n">
        <f>IF(NOT(ISNUMBER(E1027)),"",IF(OR(E1027&lt;=0,L1027=0),0,IF(OR(NOT(ISNUMBER(F1027)),F1027&lt;0),"",MIN(E1027,INT(F1027)))))</f>
        <v>0</v>
      </c>
      <c r="E1027" s="27" t="n">
        <f>IF(OR(NOT(ISNUMBER(L1027)),COUNT(M1027:O1027)&lt;&gt;3,MIN(M1027:O1027)&lt;0),"",ROUNDUP(ROUND(BI1027-SUM(M1027:O1027),10),0))</f>
        <v>-86</v>
      </c>
      <c r="F1027" s="28" t="n">
        <v>38</v>
      </c>
      <c r="G1027" s="28" t="n">
        <f>IF(AND(ISNUMBER(D1027),ISNUMBER(E1027)),IF(OR(E1027&lt;=0,L1027=0),0,E1027-D1027),"")</f>
        <v>0</v>
      </c>
      <c r="H1027" s="16" t="str">
        <f>IF(NOT(ISNUMBER(E1027)),"销量或海外库存待补",IF(OR(E1027&lt;=0,L1027=0),IF(L1027=0,"零日销，本批不发","本批无需补货"),IF(NOT(ISNUMBER(D1027)),"国内库存待补",IF(D1027=0,"国内无可用库存",IF(G1027&gt;0,"先发国内现货","按建议量发货")))))</f>
        <v>本批无需补货</v>
      </c>
      <c r="I1027" s="28" t="n">
        <f>IF(AND(COUNT(Z1027,AA1027,AB1027)=3,Z1027&gt;=AA1027,AA1027&gt;=0,AB1027=7),Z1027-AA1027,"")</f>
        <v>9</v>
      </c>
      <c r="J1027" s="28" t="n">
        <f>IF(AND(COUNT(AF1027,AG1027,AH1027)=3,AF1027&gt;=AG1027,AG1027&gt;=0,AH1027=14),AF1027-AG1027,"")</f>
        <v>15</v>
      </c>
      <c r="K1027" s="28" t="n">
        <f>IF(AND(COUNT(AL1027,AM1027,AN1027)=3,AL1027&gt;=AM1027,AM1027&gt;=0,AN1027=30),AL1027-AM1027,"")</f>
        <v>31</v>
      </c>
      <c r="L1027" s="29" t="n">
        <f>IF(ISNUMBER(BI1027),BI1027/90,"")</f>
        <v>1.6986153903381926</v>
      </c>
      <c r="M1027" s="28" t="n">
        <v>238</v>
      </c>
      <c r="N1027" s="28" t="n">
        <v>0</v>
      </c>
      <c r="O1027" s="28" t="n">
        <v>0</v>
      </c>
      <c r="P1027" s="30" t="n">
        <f>IF(AND(ISNUMBER(L1027),L1027&gt;0,COUNT(M1027:O1027)=3,MIN(M1027:O1027)&gt;=0),SUM(M1027:O1027)/L1027,"")</f>
        <v>140.1141196257585</v>
      </c>
      <c r="Q1027" s="16" t="str">
        <v>沿用原计划SKU店铺</v>
      </c>
      <c r="R1027" s="16" t="str">
        <v>已匹配</v>
      </c>
      <c r="S1027" s="16" t="str">
        <v>在售</v>
      </c>
      <c r="T1027" s="16" t="str">
        <v>B07</v>
      </c>
      <c r="U1027" s="16" t="str">
        <v>黑色羊京绒</v>
      </c>
      <c r="V1027" s="16" t="n">
        <v>8.5</v>
      </c>
      <c r="W1027" s="8" t="str">
        <v>2026-10-11 至 2026-10-17</v>
      </c>
      <c r="X1027" s="8" t="str">
        <v>2026-10-11、2026-10-12、2026-10-13、2026-10-14、2026-10-15、2026-10-16、2026-10-17</v>
      </c>
      <c r="Y1027" s="8" t="str">
        <v>无</v>
      </c>
      <c r="Z1027" s="8" t="n">
        <v>9</v>
      </c>
      <c r="AA1027" s="8" t="n">
        <v>0</v>
      </c>
      <c r="AB1027" s="8" t="n">
        <v>7</v>
      </c>
      <c r="AC1027" s="8" t="str">
        <v>2026-10-02 至 2026-10-17</v>
      </c>
      <c r="AD1027" s="8" t="str">
        <v>2026-10-02、2026-10-03、2026-10-04、2026-10-05、2026-10-08、2026-10-09、2026-10-10、2026-10-11、2026-10-12、2026-10-13、2026-10-14、2026-10-15、2026-10-16、2026-10-17</v>
      </c>
      <c r="AE1027" s="8" t="str">
        <v>2026-10-06 大促；2026-10-07 大促</v>
      </c>
      <c r="AF1027" s="8" t="n">
        <v>23</v>
      </c>
      <c r="AG1027" s="8" t="n">
        <v>8</v>
      </c>
      <c r="AH1027" s="8" t="n">
        <v>14</v>
      </c>
      <c r="AI1027" s="8" t="str">
        <v>2026-09-16 至 2026-10-17</v>
      </c>
      <c r="AJ10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7" s="8" t="str">
        <v>2026-10-06 大促；2026-10-07 大促</v>
      </c>
      <c r="AL1027" s="8" t="n">
        <v>39</v>
      </c>
      <c r="AM1027" s="8" t="n">
        <v>8</v>
      </c>
      <c r="AN1027" s="8" t="n">
        <v>30</v>
      </c>
      <c r="AO1027" s="8" t="str">
        <v>B07 / 黑色天鹅绒 / 13306</v>
      </c>
      <c r="AP1027" s="11" t="n">
        <v>0.7307750238224848</v>
      </c>
      <c r="AQ1027" s="11" t="n">
        <v>0.7307750238224848</v>
      </c>
      <c r="AR1027" s="11" t="n">
        <v>0.7449809054134506</v>
      </c>
      <c r="AS1027" s="11" t="n">
        <f>IF(AND(COUNT(I1027:K1027,AP1027:AR1027)=6,MIN(AP1027:AR1027)&gt;0),I1027/7/AP1027*0.5+J1027/14/AQ1027*0.3+K1027/30/AR1027*0.2,"")</f>
        <v>1.5969504436147373</v>
      </c>
      <c r="AT1027" s="8" t="n">
        <v>95</v>
      </c>
      <c r="AU1027" s="8" t="n">
        <v>8</v>
      </c>
      <c r="AV1027" s="8" t="n">
        <v>88</v>
      </c>
      <c r="AW1027" s="11" t="n">
        <f>IF(AND(COUNT(AT1027:AV1027)=3,AT1027&gt;=AU1027,AU1027&gt;=0,AV1027&gt;0),(AT1027-AU1027)/AV1027,"")</f>
        <v>0.9886363636363636</v>
      </c>
      <c r="AX1027" s="8" t="n">
        <v>147</v>
      </c>
      <c r="AY1027" s="8" t="n">
        <v>8</v>
      </c>
      <c r="AZ1027" s="8" t="n">
        <v>178</v>
      </c>
      <c r="BA1027" s="11" t="n">
        <f>IF(AND(COUNT(AX1027:AZ1027)=3,AX1027&gt;=AY1027,AY1027&gt;=0,AZ1027&gt;0),(AX1027-AY1027)/AZ1027,"")</f>
        <v>0.7808988764044944</v>
      </c>
      <c r="BB1027" s="8" t="n">
        <f>IF(COUNT(AS1027,AW1027,BA1027)=3,1,0)</f>
        <v>1</v>
      </c>
      <c r="BC1027" s="11" t="n">
        <f>IF(SUMIF($AO$11:$AO$1309,AO1027,$BB$11:$BB$1309)=COUNTIF($AO$11:$AO$1309,AO1027),SUMIF($AO$11:$AO$1309,AO1027,$AS$11:$AS$1309),"")</f>
        <v>11.92937132043239</v>
      </c>
      <c r="BD1027" s="11" t="n">
        <f>IF(SUMIF($AO$11:$AO$1309,AO1027,$BB$11:$BB$1309)=COUNTIF($AO$11:$AO$1309,AO1027),SUMIF($AO$11:$AO$1309,AO1027,$AW$11:$AW$1309),"")</f>
        <v>5.794919786096258</v>
      </c>
      <c r="BE1027" s="11" t="n">
        <f>IF(SUMIF($AO$11:$AO$1309,AO1027,$BB$11:$BB$1309)=COUNTIF($AO$11:$AO$1309,AO1027),SUMIF($AO$11:$AO$1309,AO1027,$BA$11:$BA$1309),"")</f>
        <v>5.3098234349919755</v>
      </c>
      <c r="BF1027" s="12" t="n">
        <f>IF(COUNT(BD1027:BE1027)&lt;&gt;2,"",IF(AND(BD1027&gt;0,BE1027&gt;0),0.7*AW1027/BD1027+0.3*BA1027/BE1027,IF(BD1027&gt;0,AW1027/BD1027,IF(BE1027&gt;0,BA1027/BE1027,IF(AND(ISNUMBER(BH1027),BH1027=0),0,"")))))</f>
        <v>0.1635428317510521</v>
      </c>
      <c r="BG1027" s="11" t="n">
        <f>IF(AND(COUNT(BN1027:BU1027)=8,MIN(BN1027:BU1027)&gt;=0),SUMPRODUCT(BN1027:BQ1027,BR1027:BU1027),"")</f>
        <v>78.35892944347341</v>
      </c>
      <c r="BH1027" s="11" t="n">
        <f>IF(COUNT(BC1027,BG1027)=2,BC1027*BG1027,"")</f>
        <v>934.7727656027569</v>
      </c>
      <c r="BI1027" s="11" t="n">
        <f>IF(ISNUMBER(CI1027),CI1027,"")</f>
        <v>152.87538513043734</v>
      </c>
      <c r="BJ1027" s="8" t="str">
        <v>低销提醒依据不完整</v>
      </c>
      <c r="BK1027" s="8" t="str">
        <v>90天：2026-07-20 至 2026-10-17；180天：2026-04-21 至 2026-10-17</v>
      </c>
      <c r="BL1027" s="8" t="str">
        <v>90天：2026-10-06、2026-10-07；180天：2026-10-06、2026-10-07</v>
      </c>
      <c r="BM1027" s="8" t="str">
        <v>2026-10：12天 × 0.7307750238224848；2026-11：30天 × 0.9523018155490097；2026-12：31天 × 0.5958545198749097；2027-01：17天 × 1.3264167397065354</v>
      </c>
      <c r="BN1027" s="11" t="n">
        <v>0.7307750238224848</v>
      </c>
      <c r="BO1027" s="11" t="n">
        <v>0.9523018155490097</v>
      </c>
      <c r="BP1027" s="11" t="n">
        <v>0.5958545198749097</v>
      </c>
      <c r="BQ1027" s="11" t="n">
        <v>1.3264167397065354</v>
      </c>
      <c r="BR1027" s="8" t="n">
        <v>12</v>
      </c>
      <c r="BS1027" s="8" t="n">
        <v>30</v>
      </c>
      <c r="BT1027" s="8" t="n">
        <v>31</v>
      </c>
      <c r="BU1027" s="8" t="n">
        <v>17</v>
      </c>
      <c r="BV1027" s="11" t="n">
        <f>IF(COUNT(BC1027,BF1027)=2,BC1027*BF1027,"")</f>
        <v>1.9509631667533007</v>
      </c>
      <c r="BW1027" s="11" t="n">
        <f>IF(ISNUMBER(BN1027),BN1027,"")</f>
        <v>0.7307750238224848</v>
      </c>
      <c r="BX1027" s="14" t="n">
        <f>IF(ISNUMBER(BR1027),BR1027,"")</f>
        <v>12</v>
      </c>
      <c r="BY1027" s="13" t="n">
        <f>IF(AND(COUNT(BV1027,BW1027,BX1027)=3,MIN(BV1027,BW1027,BX1027)&gt;=0),BV1027*BW1027*BX1027,"")</f>
        <v>17.108581855931206</v>
      </c>
      <c r="BZ1027" s="11" t="n">
        <f>IF(ISNUMBER(BO1027),BO1027,"")</f>
        <v>0.9523018155490097</v>
      </c>
      <c r="CA1027" s="14" t="n">
        <f>IF(ISNUMBER(BS1027),BS1027,"")</f>
        <v>30</v>
      </c>
      <c r="CB1027" s="13" t="n">
        <f>IF(AND(COUNT(BV1027,BZ1027,CA1027)=3,MIN(BV1027,BZ1027,CA1027)&gt;=0),BV1027*BZ1027*CA1027,"")</f>
        <v>55.73717297305241</v>
      </c>
      <c r="CC1027" s="11" t="n">
        <f>IF(ISNUMBER(BP1027),BP1027,"")</f>
        <v>0.5958545198749097</v>
      </c>
      <c r="CD1027" s="14" t="n">
        <f>IF(ISNUMBER(BT1027),BT1027,"")</f>
        <v>31</v>
      </c>
      <c r="CE1027" s="13" t="n">
        <f>IF(AND(COUNT(BV1027,CC1027,CD1027)=3,MIN(BV1027,CC1027,CD1027)&gt;=0),BV1027*CC1027*CD1027,"")</f>
        <v>36.03719685160206</v>
      </c>
      <c r="CF1027" s="11" t="n">
        <f>IF(ISNUMBER(BQ1027),BQ1027,"")</f>
        <v>1.3264167397065354</v>
      </c>
      <c r="CG1027" s="14" t="n">
        <f>IF(ISNUMBER(BU1027),BU1027,"")</f>
        <v>17</v>
      </c>
      <c r="CH1027" s="13" t="n">
        <f>IF(AND(COUNT(BV1027,CF1027,CG1027)=3,MIN(BV1027,CF1027,CG1027)&gt;=0),BV1027*CF1027*CG1027,"")</f>
        <v>43.99243344985167</v>
      </c>
      <c r="CI1027" s="13" t="n">
        <f>IF(COUNT(BY1027,CB1027,CE1027,CH1027)=4,SUM(BY1027,CB1027,CE1027,CH1027),"")</f>
        <v>152.87538513043734</v>
      </c>
    </row>
    <row r="1028" ht="72" customHeight="1">
      <c r="A1028" s="16" t="str">
        <v>B07-BK-I-0-37.5</v>
      </c>
      <c r="B1028" s="16" t="str">
        <v>4店-彬郁-US</v>
      </c>
      <c r="C1028" s="16" t="str">
        <v>艾年</v>
      </c>
      <c r="D1028" s="26" t="n">
        <f>IF(NOT(ISNUMBER(E1028)),"",IF(OR(E1028&lt;=0,L1028=0),0,IF(OR(NOT(ISNUMBER(F1028)),F1028&lt;0),"",MIN(E1028,INT(F1028)))))</f>
        <v>0</v>
      </c>
      <c r="E1028" s="27" t="n">
        <f>IF(OR(NOT(ISNUMBER(L1028)),COUNT(M1028:O1028)&lt;&gt;3,MIN(M1028:O1028)&lt;0),"",ROUNDUP(ROUND(BI1028-SUM(M1028:O1028),10),0))</f>
        <v>-6</v>
      </c>
      <c r="F1028" s="28" t="n">
        <v>0</v>
      </c>
      <c r="G1028" s="28" t="n">
        <f>IF(AND(ISNUMBER(D1028),ISNUMBER(E1028)),IF(OR(E1028&lt;=0,L1028=0),0,E1028-D1028),"")</f>
        <v>0</v>
      </c>
      <c r="H1028" s="16" t="str">
        <f>IF(NOT(ISNUMBER(E1028)),"销量或海外库存待补",IF(OR(E1028&lt;=0,L1028=0),IF(L1028=0,"零日销，本批不发","本批无需补货"),IF(NOT(ISNUMBER(D1028)),"国内库存待补",IF(D1028=0,"国内无可用库存",IF(G1028&gt;0,"先发国内现货","按建议量发货")))))</f>
        <v>本批无需补货</v>
      </c>
      <c r="I1028" s="28" t="n">
        <f>IF(AND(COUNT(Z1028,AA1028,AB1028)=3,Z1028&gt;=AA1028,AA1028&gt;=0,AB1028=7),Z1028-AA1028,"")</f>
        <v>1</v>
      </c>
      <c r="J1028" s="28" t="n">
        <f>IF(AND(COUNT(AF1028,AG1028,AH1028)=3,AF1028&gt;=AG1028,AG1028&gt;=0,AH1028=14),AF1028-AG1028,"")</f>
        <v>1</v>
      </c>
      <c r="K1028" s="28" t="n">
        <f>IF(AND(COUNT(AL1028,AM1028,AN1028)=3,AL1028&gt;=AM1028,AM1028&gt;=0,AN1028=30),AL1028-AM1028,"")</f>
        <v>1</v>
      </c>
      <c r="L1028" s="29" t="n">
        <f>IF(ISNUMBER(BI1028),BI1028/90,"")</f>
        <v>0.020850589594047335</v>
      </c>
      <c r="M1028" s="28" t="n">
        <v>7</v>
      </c>
      <c r="N1028" s="28" t="n">
        <v>0</v>
      </c>
      <c r="O1028" s="28" t="n">
        <v>0</v>
      </c>
      <c r="P1028" s="30" t="n">
        <f>IF(AND(ISNUMBER(L1028),L1028&gt;0,COUNT(M1028:O1028)=3,MIN(M1028:O1028)&gt;=0),SUM(M1028:O1028)/L1028,"")</f>
        <v>335.7219213598852</v>
      </c>
      <c r="Q1028" s="16" t="str">
        <v>沿用原计划SKU店铺</v>
      </c>
      <c r="R1028" s="16" t="str">
        <v>已匹配</v>
      </c>
      <c r="S1028" s="16" t="str">
        <v>在售</v>
      </c>
      <c r="T1028" s="16" t="str">
        <v>B07</v>
      </c>
      <c r="U1028" s="16" t="str">
        <v>黑色色织提花</v>
      </c>
      <c r="V1028" s="16" t="n">
        <v>6.5</v>
      </c>
      <c r="W1028" s="8" t="str">
        <v>2026-10-11 至 2026-10-17</v>
      </c>
      <c r="X1028" s="8" t="str">
        <v>2026-10-11、2026-10-12、2026-10-13、2026-10-14、2026-10-15、2026-10-16、2026-10-17</v>
      </c>
      <c r="Y1028" s="8" t="str">
        <v>无</v>
      </c>
      <c r="Z1028" s="8" t="n">
        <v>1</v>
      </c>
      <c r="AA1028" s="8" t="n">
        <v>0</v>
      </c>
      <c r="AB1028" s="8" t="n">
        <v>7</v>
      </c>
      <c r="AC1028" s="8" t="str">
        <v>2026-10-02 至 2026-10-17</v>
      </c>
      <c r="AD1028" s="8" t="str">
        <v>2026-10-02、2026-10-03、2026-10-04、2026-10-05、2026-10-08、2026-10-09、2026-10-10、2026-10-11、2026-10-12、2026-10-13、2026-10-14、2026-10-15、2026-10-16、2026-10-17</v>
      </c>
      <c r="AE1028" s="8" t="str">
        <v>2026-10-06 大促；2026-10-07 大促</v>
      </c>
      <c r="AF1028" s="8" t="n">
        <v>1</v>
      </c>
      <c r="AG1028" s="8" t="n">
        <v>0</v>
      </c>
      <c r="AH1028" s="8" t="n">
        <v>14</v>
      </c>
      <c r="AI1028" s="8" t="str">
        <v>2026-09-16 至 2026-10-17</v>
      </c>
      <c r="AJ10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8" s="8" t="str">
        <v>2026-10-06 大促；2026-10-07 大促</v>
      </c>
      <c r="AL1028" s="8" t="n">
        <v>1</v>
      </c>
      <c r="AM1028" s="8" t="n">
        <v>0</v>
      </c>
      <c r="AN1028" s="8" t="n">
        <v>30</v>
      </c>
      <c r="AO1028" s="8" t="str">
        <v>B07 / 黑色天鹅绒 / 13306</v>
      </c>
      <c r="AP1028" s="11" t="n">
        <v>0.7307750238224848</v>
      </c>
      <c r="AQ1028" s="11" t="n">
        <v>0.7307750238224848</v>
      </c>
      <c r="AR1028" s="11" t="n">
        <v>0.7449809054134506</v>
      </c>
      <c r="AS1028" s="11" t="n">
        <f>IF(AND(COUNT(I1028:K1028,AP1028:AR1028)=6,MIN(AP1028:AR1028)&gt;0),I1028/7/AP1028*0.5+J1028/14/AQ1028*0.3+K1028/30/AR1028*0.2,"")</f>
        <v>0.13601543709405306</v>
      </c>
      <c r="AT1028" s="8" t="n">
        <v>1</v>
      </c>
      <c r="AU1028" s="8" t="n">
        <v>0</v>
      </c>
      <c r="AV1028" s="8" t="n">
        <v>88</v>
      </c>
      <c r="AW1028" s="11" t="n">
        <f>IF(AND(COUNT(AT1028:AV1028)=3,AT1028&gt;=AU1028,AU1028&gt;=0,AV1028&gt;0),(AT1028-AU1028)/AV1028,"")</f>
        <v>0.011363636363636364</v>
      </c>
      <c r="AX1028" s="8" t="n">
        <v>2</v>
      </c>
      <c r="AY1028" s="8" t="n">
        <v>0</v>
      </c>
      <c r="AZ1028" s="8" t="n">
        <v>178</v>
      </c>
      <c r="BA1028" s="11" t="n">
        <f>IF(AND(COUNT(AX1028:AZ1028)=3,AX1028&gt;=AY1028,AY1028&gt;=0,AZ1028&gt;0),(AX1028-AY1028)/AZ1028,"")</f>
        <v>0.011235955056179775</v>
      </c>
      <c r="BB1028" s="8" t="n">
        <f>IF(COUNT(AS1028,AW1028,BA1028)=3,1,0)</f>
        <v>1</v>
      </c>
      <c r="BC1028" s="11" t="n">
        <f>IF(SUMIF($AO$11:$AO$1309,AO1028,$BB$11:$BB$1309)=COUNTIF($AO$11:$AO$1309,AO1028),SUMIF($AO$11:$AO$1309,AO1028,$AS$11:$AS$1309),"")</f>
        <v>11.92937132043239</v>
      </c>
      <c r="BD1028" s="11" t="n">
        <f>IF(SUMIF($AO$11:$AO$1309,AO1028,$BB$11:$BB$1309)=COUNTIF($AO$11:$AO$1309,AO1028),SUMIF($AO$11:$AO$1309,AO1028,$AW$11:$AW$1309),"")</f>
        <v>5.794919786096258</v>
      </c>
      <c r="BE1028" s="11" t="n">
        <f>IF(SUMIF($AO$11:$AO$1309,AO1028,$BB$11:$BB$1309)=COUNTIF($AO$11:$AO$1309,AO1028),SUMIF($AO$11:$AO$1309,AO1028,$BA$11:$BA$1309),"")</f>
        <v>5.3098234349919755</v>
      </c>
      <c r="BF1028" s="12" t="n">
        <f>IF(COUNT(BD1028:BE1028)&lt;&gt;2,"",IF(AND(BD1028&gt;0,BE1028&gt;0),0.7*AW1028/BD1028+0.3*BA1028/BE1028,IF(BD1028&gt;0,AW1028/BD1028,IF(BE1028&gt;0,BA1028/BE1028,IF(AND(ISNUMBER(BH1028),BH1028=0),0,"")))))</f>
        <v>0.0020074965087950843</v>
      </c>
      <c r="BG1028" s="11" t="n">
        <f>IF(AND(COUNT(BN1028:BU1028)=8,MIN(BN1028:BU1028)&gt;=0),SUMPRODUCT(BN1028:BQ1028,BR1028:BU1028),"")</f>
        <v>78.35892944347341</v>
      </c>
      <c r="BH1028" s="11" t="n">
        <f>IF(COUNT(BC1028,BG1028)=2,BC1028*BG1028,"")</f>
        <v>934.7727656027569</v>
      </c>
      <c r="BI1028" s="11" t="n">
        <f>IF(ISNUMBER(CI1028),CI1028,"")</f>
        <v>1.87655306346426</v>
      </c>
      <c r="BJ1028" s="8" t="str">
        <v>低销提醒依据不完整</v>
      </c>
      <c r="BK1028" s="8" t="str">
        <v>90天：2026-07-20 至 2026-10-17；180天：2026-04-21 至 2026-10-17</v>
      </c>
      <c r="BL1028" s="8" t="str">
        <v>90天：2026-10-06、2026-10-07；180天：2026-10-06、2026-10-07</v>
      </c>
      <c r="BM1028" s="8" t="str">
        <v>2026-10：12天 × 0.7307750238224848；2026-11：30天 × 0.9523018155490097；2026-12：31天 × 0.5958545198749097；2027-01：17天 × 1.3264167397065354</v>
      </c>
      <c r="BN1028" s="11" t="n">
        <v>0.7307750238224848</v>
      </c>
      <c r="BO1028" s="11" t="n">
        <v>0.9523018155490097</v>
      </c>
      <c r="BP1028" s="11" t="n">
        <v>0.5958545198749097</v>
      </c>
      <c r="BQ1028" s="11" t="n">
        <v>1.3264167397065354</v>
      </c>
      <c r="BR1028" s="8" t="n">
        <v>12</v>
      </c>
      <c r="BS1028" s="8" t="n">
        <v>30</v>
      </c>
      <c r="BT1028" s="8" t="n">
        <v>31</v>
      </c>
      <c r="BU1028" s="8" t="n">
        <v>17</v>
      </c>
      <c r="BV1028" s="11" t="n">
        <f>IF(COUNT(BC1028,BF1028)=2,BC1028*BF1028,"")</f>
        <v>0.023948171277888227</v>
      </c>
      <c r="BW1028" s="11" t="n">
        <f>IF(ISNUMBER(BN1028),BN1028,"")</f>
        <v>0.7307750238224848</v>
      </c>
      <c r="BX1028" s="14" t="n">
        <f>IF(ISNUMBER(BR1028),BR1028,"")</f>
        <v>12</v>
      </c>
      <c r="BY1028" s="13" t="n">
        <f>IF(AND(COUNT(BV1028,BW1028,BX1028)=3,MIN(BV1028,BW1028,BX1028)&gt;=0),BV1028*BW1028*BX1028,"")</f>
        <v>0.2100087052332446</v>
      </c>
      <c r="BZ1028" s="11" t="n">
        <f>IF(ISNUMBER(BO1028),BO1028,"")</f>
        <v>0.9523018155490097</v>
      </c>
      <c r="CA1028" s="14" t="n">
        <f>IF(ISNUMBER(BS1028),BS1028,"")</f>
        <v>30</v>
      </c>
      <c r="CB1028" s="13" t="n">
        <f>IF(AND(COUNT(BV1028,BZ1028,CA1028)=3,MIN(BV1028,BZ1028,CA1028)&gt;=0),BV1028*BZ1028*CA1028,"")</f>
        <v>0.6841766096103482</v>
      </c>
      <c r="CC1028" s="11" t="n">
        <f>IF(ISNUMBER(BP1028),BP1028,"")</f>
        <v>0.5958545198749097</v>
      </c>
      <c r="CD1028" s="14" t="n">
        <f>IF(ISNUMBER(BT1028),BT1028,"")</f>
        <v>31</v>
      </c>
      <c r="CE1028" s="13" t="n">
        <f>IF(AND(COUNT(BV1028,CC1028,CD1028)=3,MIN(BV1028,CC1028,CD1028)&gt;=0),BV1028*CC1028*CD1028,"")</f>
        <v>0.44235840905871393</v>
      </c>
      <c r="CF1028" s="11" t="n">
        <f>IF(ISNUMBER(BQ1028),BQ1028,"")</f>
        <v>1.3264167397065354</v>
      </c>
      <c r="CG1028" s="14" t="n">
        <f>IF(ISNUMBER(BU1028),BU1028,"")</f>
        <v>17</v>
      </c>
      <c r="CH1028" s="13" t="n">
        <f>IF(AND(COUNT(BV1028,CF1028,CG1028)=3,MIN(BV1028,CF1028,CG1028)&gt;=0),BV1028*CF1028*CG1028,"")</f>
        <v>0.5400093395619533</v>
      </c>
      <c r="CI1028" s="13" t="n">
        <f>IF(COUNT(BY1028,CB1028,CE1028,CH1028)=4,SUM(BY1028,CB1028,CE1028,CH1028),"")</f>
        <v>1.87655306346426</v>
      </c>
    </row>
    <row r="1029" ht="72" customHeight="1">
      <c r="A1029" s="16" t="str">
        <v>B07-BK-I-0-40</v>
      </c>
      <c r="B1029" s="16" t="str">
        <v>4店-彬郁-US</v>
      </c>
      <c r="C1029" s="16" t="str">
        <v>艾年</v>
      </c>
      <c r="D1029" s="26" t="n">
        <f>IF(NOT(ISNUMBER(E1029)),"",IF(OR(E1029&lt;=0,L1029=0),0,IF(OR(NOT(ISNUMBER(F1029)),F1029&lt;0),"",MIN(E1029,INT(F1029)))))</f>
        <v>0</v>
      </c>
      <c r="E1029" s="27" t="n">
        <f>IF(OR(NOT(ISNUMBER(L1029)),COUNT(M1029:O1029)&lt;&gt;3,MIN(M1029:O1029)&lt;0),"",ROUNDUP(ROUND(BI1029-SUM(M1029:O1029),10),0))</f>
        <v>-16</v>
      </c>
      <c r="F1029" s="28" t="n">
        <v>4</v>
      </c>
      <c r="G1029" s="28" t="n">
        <f>IF(AND(ISNUMBER(D1029),ISNUMBER(E1029)),IF(OR(E1029&lt;=0,L1029=0),0,E1029-D1029),"")</f>
        <v>0</v>
      </c>
      <c r="H1029" s="16" t="str">
        <f>IF(NOT(ISNUMBER(E1029)),"销量或海外库存待补",IF(OR(E1029&lt;=0,L1029=0),IF(L1029=0,"零日销，本批不发","本批无需补货"),IF(NOT(ISNUMBER(D1029)),"国内库存待补",IF(D1029=0,"国内无可用库存",IF(G1029&gt;0,"先发国内现货","按建议量发货")))))</f>
        <v>零日销，本批不发</v>
      </c>
      <c r="I1029" s="28" t="n">
        <f>IF(AND(COUNT(Z1029,AA1029,AB1029)=3,Z1029&gt;=AA1029,AA1029&gt;=0,AB1029=7),Z1029-AA1029,"")</f>
        <v>0</v>
      </c>
      <c r="J1029" s="28" t="n">
        <f>IF(AND(COUNT(AF1029,AG1029,AH1029)=3,AF1029&gt;=AG1029,AG1029&gt;=0,AH1029=14),AF1029-AG1029,"")</f>
        <v>0</v>
      </c>
      <c r="K1029" s="28" t="n">
        <f>IF(AND(COUNT(AL1029,AM1029,AN1029)=3,AL1029&gt;=AM1029,AM1029&gt;=0,AN1029=30),AL1029-AM1029,"")</f>
        <v>0</v>
      </c>
      <c r="L1029" s="29" t="n">
        <f>IF(ISNUMBER(BI1029),BI1029/90,"")</f>
        <v>0</v>
      </c>
      <c r="M1029" s="28" t="n">
        <v>0</v>
      </c>
      <c r="N1029" s="28" t="n">
        <v>0</v>
      </c>
      <c r="O1029" s="28" t="n">
        <v>16</v>
      </c>
      <c r="P1029" s="30" t="str">
        <f>IF(AND(ISNUMBER(L1029),L1029&gt;0,COUNT(M1029:O1029)=3,MIN(M1029:O1029)&gt;=0),SUM(M1029:O1029)/L1029,"")</f>
      </c>
      <c r="Q1029" s="16" t="str">
        <v>沿用原计划SKU店铺</v>
      </c>
      <c r="R1029" s="16" t="str">
        <v>已匹配</v>
      </c>
      <c r="S1029" s="16" t="str">
        <v>在售</v>
      </c>
      <c r="T1029" s="16" t="str">
        <v>B07</v>
      </c>
      <c r="U1029" s="16" t="str">
        <v>米色PU</v>
      </c>
      <c r="V1029" s="16" t="n">
        <v>9</v>
      </c>
      <c r="W1029" s="8" t="str">
        <v>2026-10-11 至 2026-10-17</v>
      </c>
      <c r="X1029" s="8" t="str">
        <v>2026-10-11、2026-10-12、2026-10-13、2026-10-14、2026-10-15、2026-10-16、2026-10-17</v>
      </c>
      <c r="Y1029" s="8" t="str">
        <v>无</v>
      </c>
      <c r="Z1029" s="8" t="n">
        <v>0</v>
      </c>
      <c r="AA1029" s="8" t="n">
        <v>0</v>
      </c>
      <c r="AB1029" s="8" t="n">
        <v>7</v>
      </c>
      <c r="AC1029" s="8" t="str">
        <v>2026-10-02 至 2026-10-17</v>
      </c>
      <c r="AD1029" s="8" t="str">
        <v>2026-10-02、2026-10-03、2026-10-04、2026-10-05、2026-10-08、2026-10-09、2026-10-10、2026-10-11、2026-10-12、2026-10-13、2026-10-14、2026-10-15、2026-10-16、2026-10-17</v>
      </c>
      <c r="AE1029" s="8" t="str">
        <v>2026-10-06 大促；2026-10-07 大促</v>
      </c>
      <c r="AF1029" s="8" t="n">
        <v>0</v>
      </c>
      <c r="AG1029" s="8" t="n">
        <v>0</v>
      </c>
      <c r="AH1029" s="8" t="n">
        <v>14</v>
      </c>
      <c r="AI1029" s="8" t="str">
        <v>2026-09-16 至 2026-10-17</v>
      </c>
      <c r="AJ10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29" s="8" t="str">
        <v>2026-10-06 大促；2026-10-07 大促</v>
      </c>
      <c r="AL1029" s="8" t="n">
        <v>0</v>
      </c>
      <c r="AM1029" s="8" t="n">
        <v>0</v>
      </c>
      <c r="AN1029" s="8" t="n">
        <v>30</v>
      </c>
      <c r="AO1029" s="8" t="str">
        <v>B07 / 黑色天鹅绒 / 13306</v>
      </c>
      <c r="AP1029" s="11" t="n">
        <v>0.7307750238224848</v>
      </c>
      <c r="AQ1029" s="11" t="n">
        <v>0.7307750238224848</v>
      </c>
      <c r="AR1029" s="11" t="n">
        <v>0.7449809054134506</v>
      </c>
      <c r="AS1029" s="11" t="n">
        <f>IF(AND(COUNT(I1029:K1029,AP1029:AR1029)=6,MIN(AP1029:AR1029)&gt;0),I1029/7/AP1029*0.5+J1029/14/AQ1029*0.3+K1029/30/AR1029*0.2,"")</f>
        <v>0</v>
      </c>
      <c r="AT1029" s="8" t="n">
        <v>0</v>
      </c>
      <c r="AU1029" s="8" t="n">
        <v>0</v>
      </c>
      <c r="AV1029" s="8" t="n">
        <v>88</v>
      </c>
      <c r="AW1029" s="11" t="n">
        <f>IF(AND(COUNT(AT1029:AV1029)=3,AT1029&gt;=AU1029,AU1029&gt;=0,AV1029&gt;0),(AT1029-AU1029)/AV1029,"")</f>
        <v>0</v>
      </c>
      <c r="AX1029" s="8" t="n">
        <v>0</v>
      </c>
      <c r="AY1029" s="8" t="n">
        <v>0</v>
      </c>
      <c r="AZ1029" s="8" t="n">
        <v>178</v>
      </c>
      <c r="BA1029" s="11" t="n">
        <f>IF(AND(COUNT(AX1029:AZ1029)=3,AX1029&gt;=AY1029,AY1029&gt;=0,AZ1029&gt;0),(AX1029-AY1029)/AZ1029,"")</f>
        <v>0</v>
      </c>
      <c r="BB1029" s="8" t="n">
        <f>IF(COUNT(AS1029,AW1029,BA1029)=3,1,0)</f>
        <v>1</v>
      </c>
      <c r="BC1029" s="11" t="n">
        <f>IF(SUMIF($AO$11:$AO$1309,AO1029,$BB$11:$BB$1309)=COUNTIF($AO$11:$AO$1309,AO1029),SUMIF($AO$11:$AO$1309,AO1029,$AS$11:$AS$1309),"")</f>
        <v>11.92937132043239</v>
      </c>
      <c r="BD1029" s="11" t="n">
        <f>IF(SUMIF($AO$11:$AO$1309,AO1029,$BB$11:$BB$1309)=COUNTIF($AO$11:$AO$1309,AO1029),SUMIF($AO$11:$AO$1309,AO1029,$AW$11:$AW$1309),"")</f>
        <v>5.794919786096258</v>
      </c>
      <c r="BE1029" s="11" t="n">
        <f>IF(SUMIF($AO$11:$AO$1309,AO1029,$BB$11:$BB$1309)=COUNTIF($AO$11:$AO$1309,AO1029),SUMIF($AO$11:$AO$1309,AO1029,$BA$11:$BA$1309),"")</f>
        <v>5.3098234349919755</v>
      </c>
      <c r="BF1029" s="12" t="n">
        <f>IF(COUNT(BD1029:BE1029)&lt;&gt;2,"",IF(AND(BD1029&gt;0,BE1029&gt;0),0.7*AW1029/BD1029+0.3*BA1029/BE1029,IF(BD1029&gt;0,AW1029/BD1029,IF(BE1029&gt;0,BA1029/BE1029,IF(AND(ISNUMBER(BH1029),BH1029=0),0,"")))))</f>
        <v>0</v>
      </c>
      <c r="BG1029" s="11" t="n">
        <f>IF(AND(COUNT(BN1029:BU1029)=8,MIN(BN1029:BU1029)&gt;=0),SUMPRODUCT(BN1029:BQ1029,BR1029:BU1029),"")</f>
        <v>78.35892944347341</v>
      </c>
      <c r="BH1029" s="11" t="n">
        <f>IF(COUNT(BC1029,BG1029)=2,BC1029*BG1029,"")</f>
        <v>934.7727656027569</v>
      </c>
      <c r="BI1029" s="11" t="n">
        <f>IF(ISNUMBER(CI1029),CI1029,"")</f>
        <v>0</v>
      </c>
      <c r="BJ1029" s="8" t="str">
        <v>低销提醒依据不完整</v>
      </c>
      <c r="BK1029" s="8" t="str">
        <v>90天：2026-07-20 至 2026-10-17；180天：2026-04-21 至 2026-10-17</v>
      </c>
      <c r="BL1029" s="8" t="str">
        <v>90天：2026-10-06、2026-10-07；180天：2026-10-06、2026-10-07</v>
      </c>
      <c r="BM1029" s="8" t="str">
        <v>2026-10：12天 × 0.7307750238224848；2026-11：30天 × 0.9523018155490097；2026-12：31天 × 0.5958545198749097；2027-01：17天 × 1.3264167397065354</v>
      </c>
      <c r="BN1029" s="11" t="n">
        <v>0.7307750238224848</v>
      </c>
      <c r="BO1029" s="11" t="n">
        <v>0.9523018155490097</v>
      </c>
      <c r="BP1029" s="11" t="n">
        <v>0.5958545198749097</v>
      </c>
      <c r="BQ1029" s="11" t="n">
        <v>1.3264167397065354</v>
      </c>
      <c r="BR1029" s="8" t="n">
        <v>12</v>
      </c>
      <c r="BS1029" s="8" t="n">
        <v>30</v>
      </c>
      <c r="BT1029" s="8" t="n">
        <v>31</v>
      </c>
      <c r="BU1029" s="8" t="n">
        <v>17</v>
      </c>
      <c r="BV1029" s="11" t="n">
        <f>IF(COUNT(BC1029,BF1029)=2,BC1029*BF1029,"")</f>
        <v>0</v>
      </c>
      <c r="BW1029" s="11" t="n">
        <f>IF(ISNUMBER(BN1029),BN1029,"")</f>
        <v>0.7307750238224848</v>
      </c>
      <c r="BX1029" s="14" t="n">
        <f>IF(ISNUMBER(BR1029),BR1029,"")</f>
        <v>12</v>
      </c>
      <c r="BY1029" s="13" t="n">
        <f>IF(AND(COUNT(BV1029,BW1029,BX1029)=3,MIN(BV1029,BW1029,BX1029)&gt;=0),BV1029*BW1029*BX1029,"")</f>
        <v>0</v>
      </c>
      <c r="BZ1029" s="11" t="n">
        <f>IF(ISNUMBER(BO1029),BO1029,"")</f>
        <v>0.9523018155490097</v>
      </c>
      <c r="CA1029" s="14" t="n">
        <f>IF(ISNUMBER(BS1029),BS1029,"")</f>
        <v>30</v>
      </c>
      <c r="CB1029" s="13" t="n">
        <f>IF(AND(COUNT(BV1029,BZ1029,CA1029)=3,MIN(BV1029,BZ1029,CA1029)&gt;=0),BV1029*BZ1029*CA1029,"")</f>
        <v>0</v>
      </c>
      <c r="CC1029" s="11" t="n">
        <f>IF(ISNUMBER(BP1029),BP1029,"")</f>
        <v>0.5958545198749097</v>
      </c>
      <c r="CD1029" s="14" t="n">
        <f>IF(ISNUMBER(BT1029),BT1029,"")</f>
        <v>31</v>
      </c>
      <c r="CE1029" s="13" t="n">
        <f>IF(AND(COUNT(BV1029,CC1029,CD1029)=3,MIN(BV1029,CC1029,CD1029)&gt;=0),BV1029*CC1029*CD1029,"")</f>
        <v>0</v>
      </c>
      <c r="CF1029" s="11" t="n">
        <f>IF(ISNUMBER(BQ1029),BQ1029,"")</f>
        <v>1.3264167397065354</v>
      </c>
      <c r="CG1029" s="14" t="n">
        <f>IF(ISNUMBER(BU1029),BU1029,"")</f>
        <v>17</v>
      </c>
      <c r="CH1029" s="13" t="n">
        <f>IF(AND(COUNT(BV1029,CF1029,CG1029)=3,MIN(BV1029,CF1029,CG1029)&gt;=0),BV1029*CF1029*CG1029,"")</f>
        <v>0</v>
      </c>
      <c r="CI1029" s="13" t="n">
        <f>IF(COUNT(BY1029,CB1029,CE1029,CH1029)=4,SUM(BY1029,CB1029,CE1029,CH1029),"")</f>
        <v>0</v>
      </c>
    </row>
    <row r="1030" ht="72" customHeight="1">
      <c r="A1030" s="16" t="str">
        <v>B07-BK-I-0-41.5</v>
      </c>
      <c r="B1030" s="16" t="str">
        <v>4店-彬郁-US</v>
      </c>
      <c r="C1030" s="16" t="str">
        <v>艾年</v>
      </c>
      <c r="D1030" s="26" t="n">
        <f>IF(NOT(ISNUMBER(E1030)),"",IF(OR(E1030&lt;=0,L1030=0),0,IF(OR(NOT(ISNUMBER(F1030)),F1030&lt;0),"",MIN(E1030,INT(F1030)))))</f>
        <v>0</v>
      </c>
      <c r="E1030" s="27" t="n">
        <f>IF(OR(NOT(ISNUMBER(L1030)),COUNT(M1030:O1030)&lt;&gt;3,MIN(M1030:O1030)&lt;0),"",ROUNDUP(ROUND(BI1030-SUM(M1030:O1030),10),0))</f>
        <v>-7</v>
      </c>
      <c r="F1030" s="28" t="n">
        <v>0</v>
      </c>
      <c r="G1030" s="28" t="n">
        <f>IF(AND(ISNUMBER(D1030),ISNUMBER(E1030)),IF(OR(E1030&lt;=0,L1030=0),0,E1030-D1030),"")</f>
        <v>0</v>
      </c>
      <c r="H1030" s="16" t="str">
        <f>IF(NOT(ISNUMBER(E1030)),"销量或海外库存待补",IF(OR(E1030&lt;=0,L1030=0),IF(L1030=0,"零日销，本批不发","本批无需补货"),IF(NOT(ISNUMBER(D1030)),"国内库存待补",IF(D1030=0,"国内无可用库存",IF(G1030&gt;0,"先发国内现货","按建议量发货")))))</f>
        <v>本批无需补货</v>
      </c>
      <c r="I1030" s="28" t="n">
        <f>IF(AND(COUNT(Z1030,AA1030,AB1030)=3,Z1030&gt;=AA1030,AA1030&gt;=0,AB1030=7),Z1030-AA1030,"")</f>
        <v>0</v>
      </c>
      <c r="J1030" s="28" t="n">
        <f>IF(AND(COUNT(AF1030,AG1030,AH1030)=3,AF1030&gt;=AG1030,AG1030&gt;=0,AH1030=14),AF1030-AG1030,"")</f>
        <v>0</v>
      </c>
      <c r="K1030" s="28" t="n">
        <f>IF(AND(COUNT(AL1030,AM1030,AN1030)=3,AL1030&gt;=AM1030,AM1030&gt;=0,AN1030=30),AL1030-AM1030,"")</f>
        <v>0</v>
      </c>
      <c r="L1030" s="29" t="n">
        <f>IF(ISNUMBER(BI1030),BI1030/90,"")</f>
        <v>0.020850589594047335</v>
      </c>
      <c r="M1030" s="28" t="n">
        <v>8</v>
      </c>
      <c r="N1030" s="28" t="n">
        <v>0</v>
      </c>
      <c r="O1030" s="28" t="n">
        <v>0</v>
      </c>
      <c r="P1030" s="30" t="n">
        <f>IF(AND(ISNUMBER(L1030),L1030&gt;0,COUNT(M1030:O1030)=3,MIN(M1030:O1030)&gt;=0),SUM(M1030:O1030)/L1030,"")</f>
        <v>383.6821958398688</v>
      </c>
      <c r="Q1030" s="16" t="str">
        <v>沿用原计划SKU店铺</v>
      </c>
      <c r="R1030" s="16" t="str">
        <v>已匹配</v>
      </c>
      <c r="S1030" s="16" t="str">
        <v>在售</v>
      </c>
      <c r="T1030" s="16" t="str">
        <v>B07</v>
      </c>
      <c r="U1030" s="16" t="str">
        <v>黑色色织提花</v>
      </c>
      <c r="V1030" s="16" t="n">
        <v>10.5</v>
      </c>
      <c r="W1030" s="8" t="str">
        <v>2026-10-11 至 2026-10-17</v>
      </c>
      <c r="X1030" s="8" t="str">
        <v>2026-10-11、2026-10-12、2026-10-13、2026-10-14、2026-10-15、2026-10-16、2026-10-17</v>
      </c>
      <c r="Y1030" s="8" t="str">
        <v>无</v>
      </c>
      <c r="Z1030" s="8" t="n">
        <v>0</v>
      </c>
      <c r="AA1030" s="8" t="n">
        <v>0</v>
      </c>
      <c r="AB1030" s="8" t="n">
        <v>7</v>
      </c>
      <c r="AC1030" s="8" t="str">
        <v>2026-10-02 至 2026-10-17</v>
      </c>
      <c r="AD1030" s="8" t="str">
        <v>2026-10-02、2026-10-03、2026-10-04、2026-10-05、2026-10-08、2026-10-09、2026-10-10、2026-10-11、2026-10-12、2026-10-13、2026-10-14、2026-10-15、2026-10-16、2026-10-17</v>
      </c>
      <c r="AE1030" s="8" t="str">
        <v>2026-10-06 大促；2026-10-07 大促</v>
      </c>
      <c r="AF1030" s="8" t="n">
        <v>1</v>
      </c>
      <c r="AG1030" s="8" t="n">
        <v>1</v>
      </c>
      <c r="AH1030" s="8" t="n">
        <v>14</v>
      </c>
      <c r="AI1030" s="8" t="str">
        <v>2026-09-16 至 2026-10-17</v>
      </c>
      <c r="AJ10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0" s="8" t="str">
        <v>2026-10-06 大促；2026-10-07 大促</v>
      </c>
      <c r="AL1030" s="8" t="n">
        <v>1</v>
      </c>
      <c r="AM1030" s="8" t="n">
        <v>1</v>
      </c>
      <c r="AN1030" s="8" t="n">
        <v>30</v>
      </c>
      <c r="AO1030" s="8" t="str">
        <v>B07 / 黑色天鹅绒 / 13306</v>
      </c>
      <c r="AP1030" s="11" t="n">
        <v>0.7307750238224848</v>
      </c>
      <c r="AQ1030" s="11" t="n">
        <v>0.7307750238224848</v>
      </c>
      <c r="AR1030" s="11" t="n">
        <v>0.7449809054134506</v>
      </c>
      <c r="AS1030" s="11" t="n">
        <f>IF(AND(COUNT(I1030:K1030,AP1030:AR1030)=6,MIN(AP1030:AR1030)&gt;0),I1030/7/AP1030*0.5+J1030/14/AQ1030*0.3+K1030/30/AR1030*0.2,"")</f>
        <v>0</v>
      </c>
      <c r="AT1030" s="8" t="n">
        <v>2</v>
      </c>
      <c r="AU1030" s="8" t="n">
        <v>1</v>
      </c>
      <c r="AV1030" s="8" t="n">
        <v>88</v>
      </c>
      <c r="AW1030" s="11" t="n">
        <f>IF(AND(COUNT(AT1030:AV1030)=3,AT1030&gt;=AU1030,AU1030&gt;=0,AV1030&gt;0),(AT1030-AU1030)/AV1030,"")</f>
        <v>0.011363636363636364</v>
      </c>
      <c r="AX1030" s="8" t="n">
        <v>3</v>
      </c>
      <c r="AY1030" s="8" t="n">
        <v>1</v>
      </c>
      <c r="AZ1030" s="8" t="n">
        <v>178</v>
      </c>
      <c r="BA1030" s="11" t="n">
        <f>IF(AND(COUNT(AX1030:AZ1030)=3,AX1030&gt;=AY1030,AY1030&gt;=0,AZ1030&gt;0),(AX1030-AY1030)/AZ1030,"")</f>
        <v>0.011235955056179775</v>
      </c>
      <c r="BB1030" s="8" t="n">
        <f>IF(COUNT(AS1030,AW1030,BA1030)=3,1,0)</f>
        <v>1</v>
      </c>
      <c r="BC1030" s="11" t="n">
        <f>IF(SUMIF($AO$11:$AO$1309,AO1030,$BB$11:$BB$1309)=COUNTIF($AO$11:$AO$1309,AO1030),SUMIF($AO$11:$AO$1309,AO1030,$AS$11:$AS$1309),"")</f>
        <v>11.92937132043239</v>
      </c>
      <c r="BD1030" s="11" t="n">
        <f>IF(SUMIF($AO$11:$AO$1309,AO1030,$BB$11:$BB$1309)=COUNTIF($AO$11:$AO$1309,AO1030),SUMIF($AO$11:$AO$1309,AO1030,$AW$11:$AW$1309),"")</f>
        <v>5.794919786096258</v>
      </c>
      <c r="BE1030" s="11" t="n">
        <f>IF(SUMIF($AO$11:$AO$1309,AO1030,$BB$11:$BB$1309)=COUNTIF($AO$11:$AO$1309,AO1030),SUMIF($AO$11:$AO$1309,AO1030,$BA$11:$BA$1309),"")</f>
        <v>5.3098234349919755</v>
      </c>
      <c r="BF1030" s="12" t="n">
        <f>IF(COUNT(BD1030:BE1030)&lt;&gt;2,"",IF(AND(BD1030&gt;0,BE1030&gt;0),0.7*AW1030/BD1030+0.3*BA1030/BE1030,IF(BD1030&gt;0,AW1030/BD1030,IF(BE1030&gt;0,BA1030/BE1030,IF(AND(ISNUMBER(BH1030),BH1030=0),0,"")))))</f>
        <v>0.0020074965087950843</v>
      </c>
      <c r="BG1030" s="11" t="n">
        <f>IF(AND(COUNT(BN1030:BU1030)=8,MIN(BN1030:BU1030)&gt;=0),SUMPRODUCT(BN1030:BQ1030,BR1030:BU1030),"")</f>
        <v>78.35892944347341</v>
      </c>
      <c r="BH1030" s="11" t="n">
        <f>IF(COUNT(BC1030,BG1030)=2,BC1030*BG1030,"")</f>
        <v>934.7727656027569</v>
      </c>
      <c r="BI1030" s="11" t="n">
        <f>IF(ISNUMBER(CI1030),CI1030,"")</f>
        <v>1.87655306346426</v>
      </c>
      <c r="BJ1030" s="8" t="str">
        <v>低销提醒依据不完整</v>
      </c>
      <c r="BK1030" s="8" t="str">
        <v>90天：2026-07-20 至 2026-10-17；180天：2026-04-21 至 2026-10-17</v>
      </c>
      <c r="BL1030" s="8" t="str">
        <v>90天：2026-10-06、2026-10-07；180天：2026-10-06、2026-10-07</v>
      </c>
      <c r="BM1030" s="8" t="str">
        <v>2026-10：12天 × 0.7307750238224848；2026-11：30天 × 0.9523018155490097；2026-12：31天 × 0.5958545198749097；2027-01：17天 × 1.3264167397065354</v>
      </c>
      <c r="BN1030" s="11" t="n">
        <v>0.7307750238224848</v>
      </c>
      <c r="BO1030" s="11" t="n">
        <v>0.9523018155490097</v>
      </c>
      <c r="BP1030" s="11" t="n">
        <v>0.5958545198749097</v>
      </c>
      <c r="BQ1030" s="11" t="n">
        <v>1.3264167397065354</v>
      </c>
      <c r="BR1030" s="8" t="n">
        <v>12</v>
      </c>
      <c r="BS1030" s="8" t="n">
        <v>30</v>
      </c>
      <c r="BT1030" s="8" t="n">
        <v>31</v>
      </c>
      <c r="BU1030" s="8" t="n">
        <v>17</v>
      </c>
      <c r="BV1030" s="11" t="n">
        <f>IF(COUNT(BC1030,BF1030)=2,BC1030*BF1030,"")</f>
        <v>0.023948171277888227</v>
      </c>
      <c r="BW1030" s="11" t="n">
        <f>IF(ISNUMBER(BN1030),BN1030,"")</f>
        <v>0.7307750238224848</v>
      </c>
      <c r="BX1030" s="14" t="n">
        <f>IF(ISNUMBER(BR1030),BR1030,"")</f>
        <v>12</v>
      </c>
      <c r="BY1030" s="13" t="n">
        <f>IF(AND(COUNT(BV1030,BW1030,BX1030)=3,MIN(BV1030,BW1030,BX1030)&gt;=0),BV1030*BW1030*BX1030,"")</f>
        <v>0.2100087052332446</v>
      </c>
      <c r="BZ1030" s="11" t="n">
        <f>IF(ISNUMBER(BO1030),BO1030,"")</f>
        <v>0.9523018155490097</v>
      </c>
      <c r="CA1030" s="14" t="n">
        <f>IF(ISNUMBER(BS1030),BS1030,"")</f>
        <v>30</v>
      </c>
      <c r="CB1030" s="13" t="n">
        <f>IF(AND(COUNT(BV1030,BZ1030,CA1030)=3,MIN(BV1030,BZ1030,CA1030)&gt;=0),BV1030*BZ1030*CA1030,"")</f>
        <v>0.6841766096103482</v>
      </c>
      <c r="CC1030" s="11" t="n">
        <f>IF(ISNUMBER(BP1030),BP1030,"")</f>
        <v>0.5958545198749097</v>
      </c>
      <c r="CD1030" s="14" t="n">
        <f>IF(ISNUMBER(BT1030),BT1030,"")</f>
        <v>31</v>
      </c>
      <c r="CE1030" s="13" t="n">
        <f>IF(AND(COUNT(BV1030,CC1030,CD1030)=3,MIN(BV1030,CC1030,CD1030)&gt;=0),BV1030*CC1030*CD1030,"")</f>
        <v>0.44235840905871393</v>
      </c>
      <c r="CF1030" s="11" t="n">
        <f>IF(ISNUMBER(BQ1030),BQ1030,"")</f>
        <v>1.3264167397065354</v>
      </c>
      <c r="CG1030" s="14" t="n">
        <f>IF(ISNUMBER(BU1030),BU1030,"")</f>
        <v>17</v>
      </c>
      <c r="CH1030" s="13" t="n">
        <f>IF(AND(COUNT(BV1030,CF1030,CG1030)=3,MIN(BV1030,CF1030,CG1030)&gt;=0),BV1030*CF1030*CG1030,"")</f>
        <v>0.5400093395619533</v>
      </c>
      <c r="CI1030" s="13" t="n">
        <f>IF(COUNT(BY1030,CB1030,CE1030,CH1030)=4,SUM(BY1030,CB1030,CE1030,CH1030),"")</f>
        <v>1.87655306346426</v>
      </c>
    </row>
    <row r="1031" ht="72" customHeight="1">
      <c r="A1031" s="16" t="str">
        <v>B07-BK-V-0-37</v>
      </c>
      <c r="B1031" s="16" t="str">
        <v>4店-彬郁-US</v>
      </c>
      <c r="C1031" s="16" t="str">
        <v>艾年</v>
      </c>
      <c r="D1031" s="26" t="n">
        <f>IF(NOT(ISNUMBER(E1031)),"",IF(OR(E1031&lt;=0,L1031=0),0,IF(OR(NOT(ISNUMBER(F1031)),F1031&lt;0),"",MIN(E1031,INT(F1031)))))</f>
        <v>0</v>
      </c>
      <c r="E1031" s="27" t="n">
        <f>IF(OR(NOT(ISNUMBER(L1031)),COUNT(M1031:O1031)&lt;&gt;3,MIN(M1031:O1031)&lt;0),"",ROUNDUP(ROUND(BI1031-SUM(M1031:O1031),10),0))</f>
        <v>-21</v>
      </c>
      <c r="F1031" s="28" t="n">
        <v>0</v>
      </c>
      <c r="G1031" s="28" t="n">
        <f>IF(AND(ISNUMBER(D1031),ISNUMBER(E1031)),IF(OR(E1031&lt;=0,L1031=0),0,E1031-D1031),"")</f>
        <v>0</v>
      </c>
      <c r="H1031" s="16" t="str">
        <f>IF(NOT(ISNUMBER(E1031)),"销量或海外库存待补",IF(OR(E1031&lt;=0,L1031=0),IF(L1031=0,"零日销，本批不发","本批无需补货"),IF(NOT(ISNUMBER(D1031)),"国内库存待补",IF(D1031=0,"国内无可用库存",IF(G1031&gt;0,"先发国内现货","按建议量发货")))))</f>
        <v>本批无需补货</v>
      </c>
      <c r="I1031" s="28" t="n">
        <f>IF(AND(COUNT(Z1031,AA1031,AB1031)=3,Z1031&gt;=AA1031,AA1031&gt;=0,AB1031=7),Z1031-AA1031,"")</f>
        <v>0</v>
      </c>
      <c r="J1031" s="28" t="n">
        <f>IF(AND(COUNT(AF1031,AG1031,AH1031)=3,AF1031&gt;=AG1031,AG1031&gt;=0,AH1031=14),AF1031-AG1031,"")</f>
        <v>0</v>
      </c>
      <c r="K1031" s="28" t="n">
        <f>IF(AND(COUNT(AL1031,AM1031,AN1031)=3,AL1031&gt;=AM1031,AM1031&gt;=0,AN1031=30),AL1031-AM1031,"")</f>
        <v>0</v>
      </c>
      <c r="L1031" s="29" t="n">
        <f>IF(ISNUMBER(BI1031),BI1031/90,"")</f>
        <v>0.0032967401241121557</v>
      </c>
      <c r="M1031" s="28" t="n">
        <v>1</v>
      </c>
      <c r="N1031" s="28" t="n">
        <v>0</v>
      </c>
      <c r="O1031" s="28" t="n">
        <v>20</v>
      </c>
      <c r="P1031" s="30" t="n">
        <f>IF(AND(ISNUMBER(L1031),L1031&gt;0,COUNT(M1031:O1031)=3,MIN(M1031:O1031)&gt;=0),SUM(M1031:O1031)/L1031,"")</f>
        <v>6369.928841647931</v>
      </c>
      <c r="Q1031" s="16" t="str">
        <v>沿用原计划SKU店铺</v>
      </c>
      <c r="R1031" s="16" t="str">
        <v>已匹配</v>
      </c>
      <c r="S1031" s="16" t="str">
        <v>在售</v>
      </c>
      <c r="T1031" s="16" t="str">
        <v>B07</v>
      </c>
      <c r="U1031" s="16" t="str">
        <v>黑色天鹅绒</v>
      </c>
      <c r="V1031" s="16" t="n">
        <v>6</v>
      </c>
      <c r="W1031" s="8" t="str">
        <v>2026-10-11 至 2026-10-17</v>
      </c>
      <c r="X1031" s="8" t="str">
        <v>2026-10-11、2026-10-12、2026-10-13、2026-10-14、2026-10-15、2026-10-16、2026-10-17</v>
      </c>
      <c r="Y1031" s="8" t="str">
        <v>无</v>
      </c>
      <c r="Z1031" s="8" t="n">
        <v>0</v>
      </c>
      <c r="AA1031" s="8" t="n">
        <v>0</v>
      </c>
      <c r="AB1031" s="8" t="n">
        <v>7</v>
      </c>
      <c r="AC1031" s="8" t="str">
        <v>2026-10-02 至 2026-10-17</v>
      </c>
      <c r="AD1031" s="8" t="str">
        <v>2026-10-02、2026-10-03、2026-10-04、2026-10-05、2026-10-08、2026-10-09、2026-10-10、2026-10-11、2026-10-12、2026-10-13、2026-10-14、2026-10-15、2026-10-16、2026-10-17</v>
      </c>
      <c r="AE1031" s="8" t="str">
        <v>2026-10-06 大促；2026-10-07 大促</v>
      </c>
      <c r="AF1031" s="8" t="n">
        <v>0</v>
      </c>
      <c r="AG1031" s="8" t="n">
        <v>0</v>
      </c>
      <c r="AH1031" s="8" t="n">
        <v>14</v>
      </c>
      <c r="AI1031" s="8" t="str">
        <v>2026-09-16 至 2026-10-17</v>
      </c>
      <c r="AJ10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1" s="8" t="str">
        <v>2026-10-06 大促；2026-10-07 大促</v>
      </c>
      <c r="AL1031" s="8" t="n">
        <v>0</v>
      </c>
      <c r="AM1031" s="8" t="n">
        <v>0</v>
      </c>
      <c r="AN1031" s="8" t="n">
        <v>30</v>
      </c>
      <c r="AO1031" s="8" t="str">
        <v>B07 / 黑色天鹅绒 / 13306</v>
      </c>
      <c r="AP1031" s="11" t="n">
        <v>0.7307750238224848</v>
      </c>
      <c r="AQ1031" s="11" t="n">
        <v>0.7307750238224848</v>
      </c>
      <c r="AR1031" s="11" t="n">
        <v>0.7449809054134506</v>
      </c>
      <c r="AS1031" s="11" t="n">
        <f>IF(AND(COUNT(I1031:K1031,AP1031:AR1031)=6,MIN(AP1031:AR1031)&gt;0),I1031/7/AP1031*0.5+J1031/14/AQ1031*0.3+K1031/30/AR1031*0.2,"")</f>
        <v>0</v>
      </c>
      <c r="AT1031" s="8" t="n">
        <v>0</v>
      </c>
      <c r="AU1031" s="8" t="n">
        <v>0</v>
      </c>
      <c r="AV1031" s="8" t="n">
        <v>88</v>
      </c>
      <c r="AW1031" s="11" t="n">
        <f>IF(AND(COUNT(AT1031:AV1031)=3,AT1031&gt;=AU1031,AU1031&gt;=0,AV1031&gt;0),(AT1031-AU1031)/AV1031,"")</f>
        <v>0</v>
      </c>
      <c r="AX1031" s="8" t="n">
        <v>1</v>
      </c>
      <c r="AY1031" s="8" t="n">
        <v>0</v>
      </c>
      <c r="AZ1031" s="8" t="n">
        <v>178</v>
      </c>
      <c r="BA1031" s="11" t="n">
        <f>IF(AND(COUNT(AX1031:AZ1031)=3,AX1031&gt;=AY1031,AY1031&gt;=0,AZ1031&gt;0),(AX1031-AY1031)/AZ1031,"")</f>
        <v>0.0056179775280898875</v>
      </c>
      <c r="BB1031" s="8" t="n">
        <f>IF(COUNT(AS1031,AW1031,BA1031)=3,1,0)</f>
        <v>1</v>
      </c>
      <c r="BC1031" s="11" t="n">
        <f>IF(SUMIF($AO$11:$AO$1309,AO1031,$BB$11:$BB$1309)=COUNTIF($AO$11:$AO$1309,AO1031),SUMIF($AO$11:$AO$1309,AO1031,$AS$11:$AS$1309),"")</f>
        <v>11.92937132043239</v>
      </c>
      <c r="BD1031" s="11" t="n">
        <f>IF(SUMIF($AO$11:$AO$1309,AO1031,$BB$11:$BB$1309)=COUNTIF($AO$11:$AO$1309,AO1031),SUMIF($AO$11:$AO$1309,AO1031,$AW$11:$AW$1309),"")</f>
        <v>5.794919786096258</v>
      </c>
      <c r="BE1031" s="11" t="n">
        <f>IF(SUMIF($AO$11:$AO$1309,AO1031,$BB$11:$BB$1309)=COUNTIF($AO$11:$AO$1309,AO1031),SUMIF($AO$11:$AO$1309,AO1031,$BA$11:$BA$1309),"")</f>
        <v>5.3098234349919755</v>
      </c>
      <c r="BF1031" s="12" t="n">
        <f>IF(COUNT(BD1031:BE1031)&lt;&gt;2,"",IF(AND(BD1031&gt;0,BE1031&gt;0),0.7*AW1031/BD1031+0.3*BA1031/BE1031,IF(BD1031&gt;0,AW1031/BD1031,IF(BE1031&gt;0,BA1031/BE1031,IF(AND(ISNUMBER(BH1031),BH1031=0),0,"")))))</f>
        <v>0.0003174104146891493</v>
      </c>
      <c r="BG1031" s="11" t="n">
        <f>IF(AND(COUNT(BN1031:BU1031)=8,MIN(BN1031:BU1031)&gt;=0),SUMPRODUCT(BN1031:BQ1031,BR1031:BU1031),"")</f>
        <v>78.35892944347341</v>
      </c>
      <c r="BH1031" s="11" t="n">
        <f>IF(COUNT(BC1031,BG1031)=2,BC1031*BG1031,"")</f>
        <v>934.7727656027569</v>
      </c>
      <c r="BI1031" s="11" t="n">
        <f>IF(ISNUMBER(CI1031),CI1031,"")</f>
        <v>0.296706611170094</v>
      </c>
      <c r="BJ1031" s="8" t="str">
        <v>低销提醒依据不完整</v>
      </c>
      <c r="BK1031" s="8" t="str">
        <v>90天：2026-07-20 至 2026-10-17；180天：2026-04-21 至 2026-10-17</v>
      </c>
      <c r="BL1031" s="8" t="str">
        <v>90天：2026-10-06、2026-10-07；180天：2026-10-06、2026-10-07</v>
      </c>
      <c r="BM1031" s="8" t="str">
        <v>2026-10：12天 × 0.7307750238224848；2026-11：30天 × 0.9523018155490097；2026-12：31天 × 0.5958545198749097；2027-01：17天 × 1.3264167397065354</v>
      </c>
      <c r="BN1031" s="11" t="n">
        <v>0.7307750238224848</v>
      </c>
      <c r="BO1031" s="11" t="n">
        <v>0.9523018155490097</v>
      </c>
      <c r="BP1031" s="11" t="n">
        <v>0.5958545198749097</v>
      </c>
      <c r="BQ1031" s="11" t="n">
        <v>1.3264167397065354</v>
      </c>
      <c r="BR1031" s="8" t="n">
        <v>12</v>
      </c>
      <c r="BS1031" s="8" t="n">
        <v>30</v>
      </c>
      <c r="BT1031" s="8" t="n">
        <v>31</v>
      </c>
      <c r="BU1031" s="8" t="n">
        <v>17</v>
      </c>
      <c r="BV1031" s="11" t="n">
        <f>IF(COUNT(BC1031,BF1031)=2,BC1031*BF1031,"")</f>
        <v>0.0037865066977992895</v>
      </c>
      <c r="BW1031" s="11" t="n">
        <f>IF(ISNUMBER(BN1031),BN1031,"")</f>
        <v>0.7307750238224848</v>
      </c>
      <c r="BX1031" s="14" t="n">
        <f>IF(ISNUMBER(BR1031),BR1031,"")</f>
        <v>12</v>
      </c>
      <c r="BY1031" s="13" t="n">
        <f>IF(AND(COUNT(BV1031,BW1031,BX1031)=3,MIN(BV1031,BW1031,BX1031)&gt;=0),BV1031*BW1031*BX1031,"")</f>
        <v>0.03320501426745929</v>
      </c>
      <c r="BZ1031" s="11" t="n">
        <f>IF(ISNUMBER(BO1031),BO1031,"")</f>
        <v>0.9523018155490097</v>
      </c>
      <c r="CA1031" s="14" t="n">
        <f>IF(ISNUMBER(BS1031),BS1031,"")</f>
        <v>30</v>
      </c>
      <c r="CB1031" s="13" t="n">
        <f>IF(AND(COUNT(BV1031,BZ1031,CA1031)=3,MIN(BV1031,BZ1031,CA1031)&gt;=0),BV1031*BZ1031*CA1031,"")</f>
        <v>0.10817691608708246</v>
      </c>
      <c r="CC1031" s="11" t="n">
        <f>IF(ISNUMBER(BP1031),BP1031,"")</f>
        <v>0.5958545198749097</v>
      </c>
      <c r="CD1031" s="14" t="n">
        <f>IF(ISNUMBER(BT1031),BT1031,"")</f>
        <v>31</v>
      </c>
      <c r="CE1031" s="13" t="n">
        <f>IF(AND(COUNT(BV1031,CC1031,CD1031)=3,MIN(BV1031,CC1031,CD1031)&gt;=0),BV1031*CC1031*CD1031,"")</f>
        <v>0.06994242104303008</v>
      </c>
      <c r="CF1031" s="11" t="n">
        <f>IF(ISNUMBER(BQ1031),BQ1031,"")</f>
        <v>1.3264167397065354</v>
      </c>
      <c r="CG1031" s="14" t="n">
        <f>IF(ISNUMBER(BU1031),BU1031,"")</f>
        <v>17</v>
      </c>
      <c r="CH1031" s="13" t="n">
        <f>IF(AND(COUNT(BV1031,CF1031,CG1031)=3,MIN(BV1031,CF1031,CG1031)&gt;=0),BV1031*CF1031*CG1031,"")</f>
        <v>0.08538225977252217</v>
      </c>
      <c r="CI1031" s="13" t="n">
        <f>IF(COUNT(BY1031,CB1031,CE1031,CH1031)=4,SUM(BY1031,CB1031,CE1031,CH1031),"")</f>
        <v>0.296706611170094</v>
      </c>
    </row>
    <row r="1032" ht="72" customHeight="1">
      <c r="A1032" s="16" t="str">
        <v>B07-BK-V-0-37.5</v>
      </c>
      <c r="B1032" s="16" t="str">
        <v>4店-彬郁-US</v>
      </c>
      <c r="C1032" s="16" t="str">
        <v>艾年</v>
      </c>
      <c r="D1032" s="26" t="n">
        <f>IF(NOT(ISNUMBER(E1032)),"",IF(OR(E1032&lt;=0,L1032=0),0,IF(OR(NOT(ISNUMBER(F1032)),F1032&lt;0),"",MIN(E1032,INT(F1032)))))</f>
        <v>0</v>
      </c>
      <c r="E1032" s="27" t="n">
        <f>IF(OR(NOT(ISNUMBER(L1032)),COUNT(M1032:O1032)&lt;&gt;3,MIN(M1032:O1032)&lt;0),"",ROUNDUP(ROUND(BI1032-SUM(M1032:O1032),10),0))</f>
        <v>-17</v>
      </c>
      <c r="F1032" s="28" t="n">
        <v>0</v>
      </c>
      <c r="G1032" s="28" t="n">
        <f>IF(AND(ISNUMBER(D1032),ISNUMBER(E1032)),IF(OR(E1032&lt;=0,L1032=0),0,E1032-D1032),"")</f>
        <v>0</v>
      </c>
      <c r="H1032" s="16" t="str">
        <f>IF(NOT(ISNUMBER(E1032)),"销量或海外库存待补",IF(OR(E1032&lt;=0,L1032=0),IF(L1032=0,"零日销，本批不发","本批无需补货"),IF(NOT(ISNUMBER(D1032)),"国内库存待补",IF(D1032=0,"国内无可用库存",IF(G1032&gt;0,"先发国内现货","按建议量发货")))))</f>
        <v>本批无需补货</v>
      </c>
      <c r="I1032" s="28" t="n">
        <f>IF(AND(COUNT(Z1032,AA1032,AB1032)=3,Z1032&gt;=AA1032,AA1032&gt;=0,AB1032=7),Z1032-AA1032,"")</f>
        <v>0</v>
      </c>
      <c r="J1032" s="28" t="n">
        <f>IF(AND(COUNT(AF1032,AG1032,AH1032)=3,AF1032&gt;=AG1032,AG1032&gt;=0,AH1032=14),AF1032-AG1032,"")</f>
        <v>1</v>
      </c>
      <c r="K1032" s="28" t="n">
        <f>IF(AND(COUNT(AL1032,AM1032,AN1032)=3,AL1032&gt;=AM1032,AM1032&gt;=0,AN1032=30),AL1032-AM1032,"")</f>
        <v>1</v>
      </c>
      <c r="L1032" s="29" t="n">
        <f>IF(ISNUMBER(BI1032),BI1032/90,"")</f>
        <v>0.04499791931220682</v>
      </c>
      <c r="M1032" s="28" t="n">
        <v>21</v>
      </c>
      <c r="N1032" s="28" t="n">
        <v>0</v>
      </c>
      <c r="O1032" s="28" t="n">
        <v>0</v>
      </c>
      <c r="P1032" s="30" t="n">
        <f>IF(AND(ISNUMBER(L1032),L1032&gt;0,COUNT(M1032:O1032)=3,MIN(M1032:O1032)&gt;=0),SUM(M1032:O1032)/L1032,"")</f>
        <v>466.68824516744314</v>
      </c>
      <c r="Q1032" s="16" t="str">
        <v>沿用原计划SKU店铺</v>
      </c>
      <c r="R1032" s="16" t="str">
        <v>已匹配</v>
      </c>
      <c r="S1032" s="16" t="str">
        <v>在售</v>
      </c>
      <c r="T1032" s="16" t="str">
        <v>B07</v>
      </c>
      <c r="U1032" s="16" t="str">
        <v>黑色天鹅绒</v>
      </c>
      <c r="V1032" s="16" t="n">
        <v>6.5</v>
      </c>
      <c r="W1032" s="8" t="str">
        <v>2026-10-11 至 2026-10-17</v>
      </c>
      <c r="X1032" s="8" t="str">
        <v>2026-10-11、2026-10-12、2026-10-13、2026-10-14、2026-10-15、2026-10-16、2026-10-17</v>
      </c>
      <c r="Y1032" s="8" t="str">
        <v>无</v>
      </c>
      <c r="Z1032" s="8" t="n">
        <v>0</v>
      </c>
      <c r="AA1032" s="8" t="n">
        <v>0</v>
      </c>
      <c r="AB1032" s="8" t="n">
        <v>7</v>
      </c>
      <c r="AC1032" s="8" t="str">
        <v>2026-10-02 至 2026-10-17</v>
      </c>
      <c r="AD1032" s="8" t="str">
        <v>2026-10-02、2026-10-03、2026-10-04、2026-10-05、2026-10-08、2026-10-09、2026-10-10、2026-10-11、2026-10-12、2026-10-13、2026-10-14、2026-10-15、2026-10-16、2026-10-17</v>
      </c>
      <c r="AE1032" s="8" t="str">
        <v>2026-10-06 大促；2026-10-07 大促</v>
      </c>
      <c r="AF1032" s="8" t="n">
        <v>1</v>
      </c>
      <c r="AG1032" s="8" t="n">
        <v>0</v>
      </c>
      <c r="AH1032" s="8" t="n">
        <v>14</v>
      </c>
      <c r="AI1032" s="8" t="str">
        <v>2026-09-16 至 2026-10-17</v>
      </c>
      <c r="AJ10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2" s="8" t="str">
        <v>2026-10-06 大促；2026-10-07 大促</v>
      </c>
      <c r="AL1032" s="8" t="n">
        <v>1</v>
      </c>
      <c r="AM1032" s="8" t="n">
        <v>0</v>
      </c>
      <c r="AN1032" s="8" t="n">
        <v>30</v>
      </c>
      <c r="AO1032" s="8" t="str">
        <v>B07 / 黑色天鹅绒 / 13306</v>
      </c>
      <c r="AP1032" s="11" t="n">
        <v>0.7307750238224848</v>
      </c>
      <c r="AQ1032" s="11" t="n">
        <v>0.7307750238224848</v>
      </c>
      <c r="AR1032" s="11" t="n">
        <v>0.7449809054134506</v>
      </c>
      <c r="AS1032" s="11" t="n">
        <f>IF(AND(COUNT(I1032:K1032,AP1032:AR1032)=6,MIN(AP1032:AR1032)&gt;0),I1032/7/AP1032*0.5+J1032/14/AQ1032*0.3+K1032/30/AR1032*0.2,"")</f>
        <v>0.038271851038049046</v>
      </c>
      <c r="AT1032" s="8" t="n">
        <v>2</v>
      </c>
      <c r="AU1032" s="8" t="n">
        <v>0</v>
      </c>
      <c r="AV1032" s="8" t="n">
        <v>88</v>
      </c>
      <c r="AW1032" s="11" t="n">
        <f>IF(AND(COUNT(AT1032:AV1032)=3,AT1032&gt;=AU1032,AU1032&gt;=0,AV1032&gt;0),(AT1032-AU1032)/AV1032,"")</f>
        <v>0.022727272727272728</v>
      </c>
      <c r="AX1032" s="8" t="n">
        <v>5</v>
      </c>
      <c r="AY1032" s="8" t="n">
        <v>0</v>
      </c>
      <c r="AZ1032" s="8" t="n">
        <v>178</v>
      </c>
      <c r="BA1032" s="11" t="n">
        <f>IF(AND(COUNT(AX1032:AZ1032)=3,AX1032&gt;=AY1032,AY1032&gt;=0,AZ1032&gt;0),(AX1032-AY1032)/AZ1032,"")</f>
        <v>0.028089887640449437</v>
      </c>
      <c r="BB1032" s="8" t="n">
        <f>IF(COUNT(AS1032,AW1032,BA1032)=3,1,0)</f>
        <v>1</v>
      </c>
      <c r="BC1032" s="11" t="n">
        <f>IF(SUMIF($AO$11:$AO$1309,AO1032,$BB$11:$BB$1309)=COUNTIF($AO$11:$AO$1309,AO1032),SUMIF($AO$11:$AO$1309,AO1032,$AS$11:$AS$1309),"")</f>
        <v>11.92937132043239</v>
      </c>
      <c r="BD1032" s="11" t="n">
        <f>IF(SUMIF($AO$11:$AO$1309,AO1032,$BB$11:$BB$1309)=COUNTIF($AO$11:$AO$1309,AO1032),SUMIF($AO$11:$AO$1309,AO1032,$AW$11:$AW$1309),"")</f>
        <v>5.794919786096258</v>
      </c>
      <c r="BE1032" s="11" t="n">
        <f>IF(SUMIF($AO$11:$AO$1309,AO1032,$BB$11:$BB$1309)=COUNTIF($AO$11:$AO$1309,AO1032),SUMIF($AO$11:$AO$1309,AO1032,$BA$11:$BA$1309),"")</f>
        <v>5.3098234349919755</v>
      </c>
      <c r="BF1032" s="12" t="n">
        <f>IF(COUNT(BD1032:BE1032)&lt;&gt;2,"",IF(AND(BD1032&gt;0,BE1032&gt;0),0.7*AW1032/BD1032+0.3*BA1032/BE1032,IF(BD1032&gt;0,AW1032/BD1032,IF(BE1032&gt;0,BA1032/BE1032,IF(AND(ISNUMBER(BH1032),BH1032=0),0,"")))))</f>
        <v>0.004332403432279318</v>
      </c>
      <c r="BG1032" s="11" t="n">
        <f>IF(AND(COUNT(BN1032:BU1032)=8,MIN(BN1032:BU1032)&gt;=0),SUMPRODUCT(BN1032:BQ1032,BR1032:BU1032),"")</f>
        <v>78.35892944347341</v>
      </c>
      <c r="BH1032" s="11" t="n">
        <f>IF(COUNT(BC1032,BG1032)=2,BC1032*BG1032,"")</f>
        <v>934.7727656027569</v>
      </c>
      <c r="BI1032" s="11" t="n">
        <f>IF(ISNUMBER(CI1032),CI1032,"")</f>
        <v>4.0498127380986135</v>
      </c>
      <c r="BJ1032" s="8" t="str">
        <v>低销提醒依据不完整</v>
      </c>
      <c r="BK1032" s="8" t="str">
        <v>90天：2026-07-20 至 2026-10-17；180天：2026-04-21 至 2026-10-17</v>
      </c>
      <c r="BL1032" s="8" t="str">
        <v>90天：2026-10-06、2026-10-07；180天：2026-10-06、2026-10-07</v>
      </c>
      <c r="BM1032" s="8" t="str">
        <v>2026-10：12天 × 0.7307750238224848；2026-11：30天 × 0.9523018155490097；2026-12：31天 × 0.5958545198749097；2027-01：17天 × 1.3264167397065354</v>
      </c>
      <c r="BN1032" s="11" t="n">
        <v>0.7307750238224848</v>
      </c>
      <c r="BO1032" s="11" t="n">
        <v>0.9523018155490097</v>
      </c>
      <c r="BP1032" s="11" t="n">
        <v>0.5958545198749097</v>
      </c>
      <c r="BQ1032" s="11" t="n">
        <v>1.3264167397065354</v>
      </c>
      <c r="BR1032" s="8" t="n">
        <v>12</v>
      </c>
      <c r="BS1032" s="8" t="n">
        <v>30</v>
      </c>
      <c r="BT1032" s="8" t="n">
        <v>31</v>
      </c>
      <c r="BU1032" s="8" t="n">
        <v>17</v>
      </c>
      <c r="BV1032" s="11" t="n">
        <f>IF(COUNT(BC1032,BF1032)=2,BC1032*BF1032,"")</f>
        <v>0.05168284925357574</v>
      </c>
      <c r="BW1032" s="11" t="n">
        <f>IF(ISNUMBER(BN1032),BN1032,"")</f>
        <v>0.7307750238224848</v>
      </c>
      <c r="BX1032" s="14" t="n">
        <f>IF(ISNUMBER(BR1032),BR1032,"")</f>
        <v>12</v>
      </c>
      <c r="BY1032" s="13" t="n">
        <f>IF(AND(COUNT(BV1032,BW1032,BX1032)=3,MIN(BV1032,BW1032,BX1032)&gt;=0),BV1032*BW1032*BX1032,"")</f>
        <v>0.45322242473394847</v>
      </c>
      <c r="BZ1032" s="11" t="n">
        <f>IF(ISNUMBER(BO1032),BO1032,"")</f>
        <v>0.9523018155490097</v>
      </c>
      <c r="CA1032" s="14" t="n">
        <f>IF(ISNUMBER(BS1032),BS1032,"")</f>
        <v>30</v>
      </c>
      <c r="CB1032" s="13" t="n">
        <f>IF(AND(COUNT(BV1032,BZ1032,CA1032)=3,MIN(BV1032,BZ1032,CA1032)&gt;=0),BV1032*BZ1032*CA1032,"")</f>
        <v>1.4765301353077787</v>
      </c>
      <c r="CC1032" s="11" t="n">
        <f>IF(ISNUMBER(BP1032),BP1032,"")</f>
        <v>0.5958545198749097</v>
      </c>
      <c r="CD1032" s="14" t="n">
        <f>IF(ISNUMBER(BT1032),BT1032,"")</f>
        <v>31</v>
      </c>
      <c r="CE1032" s="13" t="n">
        <f>IF(AND(COUNT(BV1032,CC1032,CD1032)=3,MIN(BV1032,CC1032,CD1032)&gt;=0),BV1032*CC1032*CD1032,"")</f>
        <v>0.9546592391604578</v>
      </c>
      <c r="CF1032" s="11" t="n">
        <f>IF(ISNUMBER(BQ1032),BQ1032,"")</f>
        <v>1.3264167397065354</v>
      </c>
      <c r="CG1032" s="14" t="n">
        <f>IF(ISNUMBER(BU1032),BU1032,"")</f>
        <v>17</v>
      </c>
      <c r="CH1032" s="13" t="n">
        <f>IF(AND(COUNT(BV1032,CF1032,CG1032)=3,MIN(BV1032,CF1032,CG1032)&gt;=0),BV1032*CF1032*CG1032,"")</f>
        <v>1.1654009388964288</v>
      </c>
      <c r="CI1032" s="13" t="n">
        <f>IF(COUNT(BY1032,CB1032,CE1032,CH1032)=4,SUM(BY1032,CB1032,CE1032,CH1032),"")</f>
        <v>4.0498127380986135</v>
      </c>
    </row>
    <row r="1033" ht="72" customHeight="1">
      <c r="A1033" s="16" t="str">
        <v>B07-BK-V-0-39</v>
      </c>
      <c r="B1033" s="16" t="str">
        <v>4店-彬郁-US</v>
      </c>
      <c r="C1033" s="16" t="str">
        <v>艾年</v>
      </c>
      <c r="D1033" s="26" t="n">
        <f>IF(NOT(ISNUMBER(E1033)),"",IF(OR(E1033&lt;=0,L1033=0),0,IF(OR(NOT(ISNUMBER(F1033)),F1033&lt;0),"",MIN(E1033,INT(F1033)))))</f>
        <v>0</v>
      </c>
      <c r="E1033" s="27" t="n">
        <f>IF(OR(NOT(ISNUMBER(L1033)),COUNT(M1033:O1033)&lt;&gt;3,MIN(M1033:O1033)&lt;0),"",ROUNDUP(ROUND(BI1033-SUM(M1033:O1033),10),0))</f>
        <v>-66</v>
      </c>
      <c r="F1033" s="28" t="n">
        <v>156</v>
      </c>
      <c r="G1033" s="28" t="n">
        <f>IF(AND(ISNUMBER(D1033),ISNUMBER(E1033)),IF(OR(E1033&lt;=0,L1033=0),0,E1033-D1033),"")</f>
        <v>0</v>
      </c>
      <c r="H1033" s="16" t="str">
        <f>IF(NOT(ISNUMBER(E1033)),"销量或海外库存待补",IF(OR(E1033&lt;=0,L1033=0),IF(L1033=0,"零日销，本批不发","本批无需补货"),IF(NOT(ISNUMBER(D1033)),"国内库存待补",IF(D1033=0,"国内无可用库存",IF(G1033&gt;0,"先发国内现货","按建议量发货")))))</f>
        <v>本批无需补货</v>
      </c>
      <c r="I1033" s="28" t="n">
        <f>IF(AND(COUNT(Z1033,AA1033,AB1033)=3,Z1033&gt;=AA1033,AA1033&gt;=0,AB1033=7),Z1033-AA1033,"")</f>
        <v>1</v>
      </c>
      <c r="J1033" s="28" t="n">
        <f>IF(AND(COUNT(AF1033,AG1033,AH1033)=3,AF1033&gt;=AG1033,AG1033&gt;=0,AH1033=14),AF1033-AG1033,"")</f>
        <v>3</v>
      </c>
      <c r="K1033" s="28" t="n">
        <f>IF(AND(COUNT(AL1033,AM1033,AN1033)=3,AL1033&gt;=AM1033,AM1033&gt;=0,AN1033=30),AL1033-AM1033,"")</f>
        <v>5</v>
      </c>
      <c r="L1033" s="29" t="n">
        <f>IF(ISNUMBER(BI1033),BI1033/90,"")</f>
        <v>0.26883107344787754</v>
      </c>
      <c r="M1033" s="28" t="n">
        <v>49</v>
      </c>
      <c r="N1033" s="28" t="n">
        <v>21</v>
      </c>
      <c r="O1033" s="28" t="n">
        <v>20</v>
      </c>
      <c r="P1033" s="30" t="n">
        <f>IF(AND(ISNUMBER(L1033),L1033&gt;0,COUNT(M1033:O1033)=3,MIN(M1033:O1033)&gt;=0),SUM(M1033:O1033)/L1033,"")</f>
        <v>334.7827274790453</v>
      </c>
      <c r="Q1033" s="16" t="str">
        <v>沿用原计划SKU店铺</v>
      </c>
      <c r="R1033" s="16" t="str">
        <v>已匹配</v>
      </c>
      <c r="S1033" s="16" t="str">
        <v>在售</v>
      </c>
      <c r="T1033" s="16" t="str">
        <v>B07</v>
      </c>
      <c r="U1033" s="16" t="str">
        <v>黑色天鹅绒</v>
      </c>
      <c r="V1033" s="16" t="n">
        <v>8</v>
      </c>
      <c r="W1033" s="8" t="str">
        <v>2026-10-11 至 2026-10-17</v>
      </c>
      <c r="X1033" s="8" t="str">
        <v>2026-10-11、2026-10-12、2026-10-13、2026-10-14、2026-10-15、2026-10-16、2026-10-17</v>
      </c>
      <c r="Y1033" s="8" t="str">
        <v>无</v>
      </c>
      <c r="Z1033" s="8" t="n">
        <v>1</v>
      </c>
      <c r="AA1033" s="8" t="n">
        <v>0</v>
      </c>
      <c r="AB1033" s="8" t="n">
        <v>7</v>
      </c>
      <c r="AC1033" s="8" t="str">
        <v>2026-10-02 至 2026-10-17</v>
      </c>
      <c r="AD1033" s="8" t="str">
        <v>2026-10-02、2026-10-03、2026-10-04、2026-10-05、2026-10-08、2026-10-09、2026-10-10、2026-10-11、2026-10-12、2026-10-13、2026-10-14、2026-10-15、2026-10-16、2026-10-17</v>
      </c>
      <c r="AE1033" s="8" t="str">
        <v>2026-10-06 大促；2026-10-07 大促</v>
      </c>
      <c r="AF1033" s="8" t="n">
        <v>3</v>
      </c>
      <c r="AG1033" s="8" t="n">
        <v>0</v>
      </c>
      <c r="AH1033" s="8" t="n">
        <v>14</v>
      </c>
      <c r="AI1033" s="8" t="str">
        <v>2026-09-16 至 2026-10-17</v>
      </c>
      <c r="AJ10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3" s="8" t="str">
        <v>2026-10-06 大促；2026-10-07 大促</v>
      </c>
      <c r="AL1033" s="8" t="n">
        <v>5</v>
      </c>
      <c r="AM1033" s="8" t="n">
        <v>0</v>
      </c>
      <c r="AN1033" s="8" t="n">
        <v>30</v>
      </c>
      <c r="AO1033" s="8" t="str">
        <v>B07 / 黑色天鹅绒 / 13306</v>
      </c>
      <c r="AP1033" s="11" t="n">
        <v>0.7307750238224848</v>
      </c>
      <c r="AQ1033" s="11" t="n">
        <v>0.7307750238224848</v>
      </c>
      <c r="AR1033" s="11" t="n">
        <v>0.7449809054134506</v>
      </c>
      <c r="AS1033" s="11" t="n">
        <f>IF(AND(COUNT(I1033:K1033,AP1033:AR1033)=6,MIN(AP1033:AR1033)&gt;0),I1033/7/AP1033*0.5+J1033/14/AQ1033*0.3+K1033/30/AR1033*0.2,"")</f>
        <v>0.23045668961264681</v>
      </c>
      <c r="AT1033" s="8" t="n">
        <v>14</v>
      </c>
      <c r="AU1033" s="8" t="n">
        <v>0</v>
      </c>
      <c r="AV1033" s="8" t="n">
        <v>88</v>
      </c>
      <c r="AW1033" s="11" t="n">
        <f>IF(AND(COUNT(AT1033:AV1033)=3,AT1033&gt;=AU1033,AU1033&gt;=0,AV1033&gt;0),(AT1033-AU1033)/AV1033,"")</f>
        <v>0.1590909090909091</v>
      </c>
      <c r="AX1033" s="8" t="n">
        <v>21</v>
      </c>
      <c r="AY1033" s="8" t="n">
        <v>0</v>
      </c>
      <c r="AZ1033" s="8" t="n">
        <v>178</v>
      </c>
      <c r="BA1033" s="11" t="n">
        <f>IF(AND(COUNT(AX1033:AZ1033)=3,AX1033&gt;=AY1033,AY1033&gt;=0,AZ1033&gt;0),(AX1033-AY1033)/AZ1033,"")</f>
        <v>0.11797752808988764</v>
      </c>
      <c r="BB1033" s="8" t="n">
        <f>IF(COUNT(AS1033,AW1033,BA1033)=3,1,0)</f>
        <v>1</v>
      </c>
      <c r="BC1033" s="11" t="n">
        <f>IF(SUMIF($AO$11:$AO$1309,AO1033,$BB$11:$BB$1309)=COUNTIF($AO$11:$AO$1309,AO1033),SUMIF($AO$11:$AO$1309,AO1033,$AS$11:$AS$1309),"")</f>
        <v>11.92937132043239</v>
      </c>
      <c r="BD1033" s="11" t="n">
        <f>IF(SUMIF($AO$11:$AO$1309,AO1033,$BB$11:$BB$1309)=COUNTIF($AO$11:$AO$1309,AO1033),SUMIF($AO$11:$AO$1309,AO1033,$AW$11:$AW$1309),"")</f>
        <v>5.794919786096258</v>
      </c>
      <c r="BE1033" s="11" t="n">
        <f>IF(SUMIF($AO$11:$AO$1309,AO1033,$BB$11:$BB$1309)=COUNTIF($AO$11:$AO$1309,AO1033),SUMIF($AO$11:$AO$1309,AO1033,$BA$11:$BA$1309),"")</f>
        <v>5.3098234349919755</v>
      </c>
      <c r="BF1033" s="12" t="n">
        <f>IF(COUNT(BD1033:BE1033)&lt;&gt;2,"",IF(AND(BD1033&gt;0,BE1033&gt;0),0.7*AW1033/BD1033+0.3*BA1033/BE1033,IF(BD1033&gt;0,AW1033/BD1033,IF(BE1033&gt;0,BA1033/BE1033,IF(AND(ISNUMBER(BH1033),BH1033=0),0,"")))))</f>
        <v>0.025883078220307134</v>
      </c>
      <c r="BG1033" s="11" t="n">
        <f>IF(AND(COUNT(BN1033:BU1033)=8,MIN(BN1033:BU1033)&gt;=0),SUMPRODUCT(BN1033:BQ1033,BR1033:BU1033),"")</f>
        <v>78.35892944347341</v>
      </c>
      <c r="BH1033" s="11" t="n">
        <f>IF(COUNT(BC1033,BG1033)=2,BC1033*BG1033,"")</f>
        <v>934.7727656027569</v>
      </c>
      <c r="BI1033" s="11" t="n">
        <f>IF(ISNUMBER(CI1033),CI1033,"")</f>
        <v>24.194796610308977</v>
      </c>
      <c r="BJ1033" s="8" t="str">
        <v>低销提醒依据不完整</v>
      </c>
      <c r="BK1033" s="8" t="str">
        <v>90天：2026-07-20 至 2026-10-17；180天：2026-04-21 至 2026-10-17</v>
      </c>
      <c r="BL1033" s="8" t="str">
        <v>90天：2026-10-06、2026-10-07；180天：2026-10-06、2026-10-07</v>
      </c>
      <c r="BM1033" s="8" t="str">
        <v>2026-10：12天 × 0.7307750238224848；2026-11：30天 × 0.9523018155490097；2026-12：31天 × 0.5958545198749097；2027-01：17天 × 1.3264167397065354</v>
      </c>
      <c r="BN1033" s="11" t="n">
        <v>0.7307750238224848</v>
      </c>
      <c r="BO1033" s="11" t="n">
        <v>0.9523018155490097</v>
      </c>
      <c r="BP1033" s="11" t="n">
        <v>0.5958545198749097</v>
      </c>
      <c r="BQ1033" s="11" t="n">
        <v>1.3264167397065354</v>
      </c>
      <c r="BR1033" s="8" t="n">
        <v>12</v>
      </c>
      <c r="BS1033" s="8" t="n">
        <v>30</v>
      </c>
      <c r="BT1033" s="8" t="n">
        <v>31</v>
      </c>
      <c r="BU1033" s="8" t="n">
        <v>17</v>
      </c>
      <c r="BV1033" s="11" t="n">
        <f>IF(COUNT(BC1033,BF1033)=2,BC1033*BF1033,"")</f>
        <v>0.3087688510058401</v>
      </c>
      <c r="BW1033" s="11" t="n">
        <f>IF(ISNUMBER(BN1033),BN1033,"")</f>
        <v>0.7307750238224848</v>
      </c>
      <c r="BX1033" s="14" t="n">
        <f>IF(ISNUMBER(BR1033),BR1033,"")</f>
        <v>12</v>
      </c>
      <c r="BY1033" s="13" t="n">
        <f>IF(AND(COUNT(BV1033,BW1033,BX1033)=3,MIN(BV1033,BW1033,BX1033)&gt;=0),BV1033*BW1033*BX1033,"")</f>
        <v>2.707686773393209</v>
      </c>
      <c r="BZ1033" s="11" t="n">
        <f>IF(ISNUMBER(BO1033),BO1033,"")</f>
        <v>0.9523018155490097</v>
      </c>
      <c r="CA1033" s="14" t="n">
        <f>IF(ISNUMBER(BS1033),BS1033,"")</f>
        <v>30</v>
      </c>
      <c r="CB1033" s="13" t="n">
        <f>IF(AND(COUNT(BV1033,BZ1033,CA1033)=3,MIN(BV1033,BZ1033,CA1033)&gt;=0),BV1033*BZ1033*CA1033,"")</f>
        <v>8.821234121935296</v>
      </c>
      <c r="CC1033" s="11" t="n">
        <f>IF(ISNUMBER(BP1033),BP1033,"")</f>
        <v>0.5958545198749097</v>
      </c>
      <c r="CD1033" s="14" t="n">
        <f>IF(ISNUMBER(BT1033),BT1033,"")</f>
        <v>31</v>
      </c>
      <c r="CE1033" s="13" t="n">
        <f>IF(AND(COUNT(BV1033,CC1033,CD1033)=3,MIN(BV1033,CC1033,CD1033)&gt;=0),BV1033*CC1033*CD1033,"")</f>
        <v>5.703420779520783</v>
      </c>
      <c r="CF1033" s="11" t="n">
        <f>IF(ISNUMBER(BQ1033),BQ1033,"")</f>
        <v>1.3264167397065354</v>
      </c>
      <c r="CG1033" s="14" t="n">
        <f>IF(ISNUMBER(BU1033),BU1033,"")</f>
        <v>17</v>
      </c>
      <c r="CH1033" s="13" t="n">
        <f>IF(AND(COUNT(BV1033,CF1033,CG1033)=3,MIN(BV1033,CF1033,CG1033)&gt;=0),BV1033*CF1033*CG1033,"")</f>
        <v>6.96245493545969</v>
      </c>
      <c r="CI1033" s="13" t="n">
        <f>IF(COUNT(BY1033,CB1033,CE1033,CH1033)=4,SUM(BY1033,CB1033,CE1033,CH1033),"")</f>
        <v>24.194796610308977</v>
      </c>
    </row>
    <row r="1034" ht="72" customHeight="1">
      <c r="A1034" s="16" t="str">
        <v>B07-BK-V-0-41.5</v>
      </c>
      <c r="B1034" s="16" t="str">
        <v>4店-彬郁-US</v>
      </c>
      <c r="C1034" s="16" t="str">
        <v>艾年</v>
      </c>
      <c r="D1034" s="26" t="n">
        <f>IF(NOT(ISNUMBER(E1034)),"",IF(OR(E1034&lt;=0,L1034=0),0,IF(OR(NOT(ISNUMBER(F1034)),F1034&lt;0),"",MIN(E1034,INT(F1034)))))</f>
        <v>0</v>
      </c>
      <c r="E1034" s="27" t="n">
        <f>IF(OR(NOT(ISNUMBER(L1034)),COUNT(M1034:O1034)&lt;&gt;3,MIN(M1034:O1034)&lt;0),"",ROUNDUP(ROUND(BI1034-SUM(M1034:O1034),10),0))</f>
        <v>-40</v>
      </c>
      <c r="F1034" s="28" t="n">
        <v>10</v>
      </c>
      <c r="G1034" s="28" t="n">
        <f>IF(AND(ISNUMBER(D1034),ISNUMBER(E1034)),IF(OR(E1034&lt;=0,L1034=0),0,E1034-D1034),"")</f>
        <v>0</v>
      </c>
      <c r="H1034" s="16" t="str">
        <f>IF(NOT(ISNUMBER(E1034)),"销量或海外库存待补",IF(OR(E1034&lt;=0,L1034=0),IF(L1034=0,"零日销，本批不发","本批无需补货"),IF(NOT(ISNUMBER(D1034)),"国内库存待补",IF(D1034=0,"国内无可用库存",IF(G1034&gt;0,"先发国内现货","按建议量发货")))))</f>
        <v>本批无需补货</v>
      </c>
      <c r="I1034" s="28" t="n">
        <f>IF(AND(COUNT(Z1034,AA1034,AB1034)=3,Z1034&gt;=AA1034,AA1034&gt;=0,AB1034=7),Z1034-AA1034,"")</f>
        <v>1</v>
      </c>
      <c r="J1034" s="28" t="n">
        <f>IF(AND(COUNT(AF1034,AG1034,AH1034)=3,AF1034&gt;=AG1034,AG1034&gt;=0,AH1034=14),AF1034-AG1034,"")</f>
        <v>1</v>
      </c>
      <c r="K1034" s="28" t="n">
        <f>IF(AND(COUNT(AL1034,AM1034,AN1034)=3,AL1034&gt;=AM1034,AM1034&gt;=0,AN1034=30),AL1034-AM1034,"")</f>
        <v>1</v>
      </c>
      <c r="L1034" s="29" t="n">
        <f>IF(ISNUMBER(BI1034),BI1034/90,"")</f>
        <v>0.027444069842271643</v>
      </c>
      <c r="M1034" s="28" t="n">
        <v>18</v>
      </c>
      <c r="N1034" s="28" t="n">
        <v>24</v>
      </c>
      <c r="O1034" s="28" t="n">
        <v>0</v>
      </c>
      <c r="P1034" s="30" t="n">
        <f>IF(AND(ISNUMBER(L1034),L1034&gt;0,COUNT(M1034:O1034)=3,MIN(M1034:O1034)&gt;=0),SUM(M1034:O1034)/L1034,"")</f>
        <v>1530.3852614202322</v>
      </c>
      <c r="Q1034" s="16" t="str">
        <v>沿用原计划SKU店铺</v>
      </c>
      <c r="R1034" s="16" t="str">
        <v>已匹配</v>
      </c>
      <c r="S1034" s="16" t="str">
        <v>在售</v>
      </c>
      <c r="T1034" s="16" t="str">
        <v>B07</v>
      </c>
      <c r="U1034" s="16" t="str">
        <v>黑色天鹅绒</v>
      </c>
      <c r="V1034" s="16" t="n">
        <v>10.5</v>
      </c>
      <c r="W1034" s="8" t="str">
        <v>2026-10-11 至 2026-10-17</v>
      </c>
      <c r="X1034" s="8" t="str">
        <v>2026-10-11、2026-10-12、2026-10-13、2026-10-14、2026-10-15、2026-10-16、2026-10-17</v>
      </c>
      <c r="Y1034" s="8" t="str">
        <v>无</v>
      </c>
      <c r="Z1034" s="8" t="n">
        <v>1</v>
      </c>
      <c r="AA1034" s="8" t="n">
        <v>0</v>
      </c>
      <c r="AB1034" s="8" t="n">
        <v>7</v>
      </c>
      <c r="AC1034" s="8" t="str">
        <v>2026-10-02 至 2026-10-17</v>
      </c>
      <c r="AD1034" s="8" t="str">
        <v>2026-10-02、2026-10-03、2026-10-04、2026-10-05、2026-10-08、2026-10-09、2026-10-10、2026-10-11、2026-10-12、2026-10-13、2026-10-14、2026-10-15、2026-10-16、2026-10-17</v>
      </c>
      <c r="AE1034" s="8" t="str">
        <v>2026-10-06 大促；2026-10-07 大促</v>
      </c>
      <c r="AF1034" s="8" t="n">
        <v>2</v>
      </c>
      <c r="AG1034" s="8" t="n">
        <v>1</v>
      </c>
      <c r="AH1034" s="8" t="n">
        <v>14</v>
      </c>
      <c r="AI1034" s="8" t="str">
        <v>2026-09-16 至 2026-10-17</v>
      </c>
      <c r="AJ10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4" s="8" t="str">
        <v>2026-10-06 大促；2026-10-07 大促</v>
      </c>
      <c r="AL1034" s="8" t="n">
        <v>2</v>
      </c>
      <c r="AM1034" s="8" t="n">
        <v>1</v>
      </c>
      <c r="AN1034" s="8" t="n">
        <v>30</v>
      </c>
      <c r="AO1034" s="8" t="str">
        <v>B07 / 黑色天鹅绒 / 13306</v>
      </c>
      <c r="AP1034" s="11" t="n">
        <v>0.7307750238224848</v>
      </c>
      <c r="AQ1034" s="11" t="n">
        <v>0.7307750238224848</v>
      </c>
      <c r="AR1034" s="11" t="n">
        <v>0.7449809054134506</v>
      </c>
      <c r="AS1034" s="11" t="n">
        <f>IF(AND(COUNT(I1034:K1034,AP1034:AR1034)=6,MIN(AP1034:AR1034)&gt;0),I1034/7/AP1034*0.5+J1034/14/AQ1034*0.3+K1034/30/AR1034*0.2,"")</f>
        <v>0.13601543709405306</v>
      </c>
      <c r="AT1034" s="8" t="n">
        <v>2</v>
      </c>
      <c r="AU1034" s="8" t="n">
        <v>1</v>
      </c>
      <c r="AV1034" s="8" t="n">
        <v>88</v>
      </c>
      <c r="AW1034" s="11" t="n">
        <f>IF(AND(COUNT(AT1034:AV1034)=3,AT1034&gt;=AU1034,AU1034&gt;=0,AV1034&gt;0),(AT1034-AU1034)/AV1034,"")</f>
        <v>0.011363636363636364</v>
      </c>
      <c r="AX1034" s="8" t="n">
        <v>5</v>
      </c>
      <c r="AY1034" s="8" t="n">
        <v>1</v>
      </c>
      <c r="AZ1034" s="8" t="n">
        <v>178</v>
      </c>
      <c r="BA1034" s="11" t="n">
        <f>IF(AND(COUNT(AX1034:AZ1034)=3,AX1034&gt;=AY1034,AY1034&gt;=0,AZ1034&gt;0),(AX1034-AY1034)/AZ1034,"")</f>
        <v>0.02247191011235955</v>
      </c>
      <c r="BB1034" s="8" t="n">
        <f>IF(COUNT(AS1034,AW1034,BA1034)=3,1,0)</f>
        <v>1</v>
      </c>
      <c r="BC1034" s="11" t="n">
        <f>IF(SUMIF($AO$11:$AO$1309,AO1034,$BB$11:$BB$1309)=COUNTIF($AO$11:$AO$1309,AO1034),SUMIF($AO$11:$AO$1309,AO1034,$AS$11:$AS$1309),"")</f>
        <v>11.92937132043239</v>
      </c>
      <c r="BD1034" s="11" t="n">
        <f>IF(SUMIF($AO$11:$AO$1309,AO1034,$BB$11:$BB$1309)=COUNTIF($AO$11:$AO$1309,AO1034),SUMIF($AO$11:$AO$1309,AO1034,$AW$11:$AW$1309),"")</f>
        <v>5.794919786096258</v>
      </c>
      <c r="BE1034" s="11" t="n">
        <f>IF(SUMIF($AO$11:$AO$1309,AO1034,$BB$11:$BB$1309)=COUNTIF($AO$11:$AO$1309,AO1034),SUMIF($AO$11:$AO$1309,AO1034,$BA$11:$BA$1309),"")</f>
        <v>5.3098234349919755</v>
      </c>
      <c r="BF1034" s="12" t="n">
        <f>IF(COUNT(BD1034:BE1034)&lt;&gt;2,"",IF(AND(BD1034&gt;0,BE1034&gt;0),0.7*AW1034/BD1034+0.3*BA1034/BE1034,IF(BD1034&gt;0,AW1034/BD1034,IF(BE1034&gt;0,BA1034/BE1034,IF(AND(ISNUMBER(BH1034),BH1034=0),0,"")))))</f>
        <v>0.0026423173381733825</v>
      </c>
      <c r="BG1034" s="11" t="n">
        <f>IF(AND(COUNT(BN1034:BU1034)=8,MIN(BN1034:BU1034)&gt;=0),SUMPRODUCT(BN1034:BQ1034,BR1034:BU1034),"")</f>
        <v>78.35892944347341</v>
      </c>
      <c r="BH1034" s="11" t="n">
        <f>IF(COUNT(BC1034,BG1034)=2,BC1034*BG1034,"")</f>
        <v>934.7727656027569</v>
      </c>
      <c r="BI1034" s="11" t="n">
        <f>IF(ISNUMBER(CI1034),CI1034,"")</f>
        <v>2.469966285804448</v>
      </c>
      <c r="BJ1034" s="8" t="str">
        <v>低销提醒依据不完整</v>
      </c>
      <c r="BK1034" s="8" t="str">
        <v>90天：2026-07-20 至 2026-10-17；180天：2026-04-21 至 2026-10-17</v>
      </c>
      <c r="BL1034" s="8" t="str">
        <v>90天：2026-10-06、2026-10-07；180天：2026-10-06、2026-10-07</v>
      </c>
      <c r="BM1034" s="8" t="str">
        <v>2026-10：12天 × 0.7307750238224848；2026-11：30天 × 0.9523018155490097；2026-12：31天 × 0.5958545198749097；2027-01：17天 × 1.3264167397065354</v>
      </c>
      <c r="BN1034" s="11" t="n">
        <v>0.7307750238224848</v>
      </c>
      <c r="BO1034" s="11" t="n">
        <v>0.9523018155490097</v>
      </c>
      <c r="BP1034" s="11" t="n">
        <v>0.5958545198749097</v>
      </c>
      <c r="BQ1034" s="11" t="n">
        <v>1.3264167397065354</v>
      </c>
      <c r="BR1034" s="8" t="n">
        <v>12</v>
      </c>
      <c r="BS1034" s="8" t="n">
        <v>30</v>
      </c>
      <c r="BT1034" s="8" t="n">
        <v>31</v>
      </c>
      <c r="BU1034" s="8" t="n">
        <v>17</v>
      </c>
      <c r="BV1034" s="11" t="n">
        <f>IF(COUNT(BC1034,BF1034)=2,BC1034*BF1034,"")</f>
        <v>0.0315211846734868</v>
      </c>
      <c r="BW1034" s="11" t="n">
        <f>IF(ISNUMBER(BN1034),BN1034,"")</f>
        <v>0.7307750238224848</v>
      </c>
      <c r="BX1034" s="14" t="n">
        <f>IF(ISNUMBER(BR1034),BR1034,"")</f>
        <v>12</v>
      </c>
      <c r="BY1034" s="13" t="n">
        <f>IF(AND(COUNT(BV1034,BW1034,BX1034)=3,MIN(BV1034,BW1034,BX1034)&gt;=0),BV1034*BW1034*BX1034,"")</f>
        <v>0.2764187337681631</v>
      </c>
      <c r="BZ1034" s="11" t="n">
        <f>IF(ISNUMBER(BO1034),BO1034,"")</f>
        <v>0.9523018155490097</v>
      </c>
      <c r="CA1034" s="14" t="n">
        <f>IF(ISNUMBER(BS1034),BS1034,"")</f>
        <v>30</v>
      </c>
      <c r="CB1034" s="13" t="n">
        <f>IF(AND(COUNT(BV1034,BZ1034,CA1034)=3,MIN(BV1034,BZ1034,CA1034)&gt;=0),BV1034*BZ1034*CA1034,"")</f>
        <v>0.900530441784513</v>
      </c>
      <c r="CC1034" s="11" t="n">
        <f>IF(ISNUMBER(BP1034),BP1034,"")</f>
        <v>0.5958545198749097</v>
      </c>
      <c r="CD1034" s="14" t="n">
        <f>IF(ISNUMBER(BT1034),BT1034,"")</f>
        <v>31</v>
      </c>
      <c r="CE1034" s="13" t="n">
        <f>IF(AND(COUNT(BV1034,CC1034,CD1034)=3,MIN(BV1034,CC1034,CD1034)&gt;=0),BV1034*CC1034*CD1034,"")</f>
        <v>0.582243251144774</v>
      </c>
      <c r="CF1034" s="11" t="n">
        <f>IF(ISNUMBER(BQ1034),BQ1034,"")</f>
        <v>1.3264167397065354</v>
      </c>
      <c r="CG1034" s="14" t="n">
        <f>IF(ISNUMBER(BU1034),BU1034,"")</f>
        <v>17</v>
      </c>
      <c r="CH1034" s="13" t="n">
        <f>IF(AND(COUNT(BV1034,CF1034,CG1034)=3,MIN(BV1034,CF1034,CG1034)&gt;=0),BV1034*CF1034*CG1034,"")</f>
        <v>0.7107738591069976</v>
      </c>
      <c r="CI1034" s="13" t="n">
        <f>IF(COUNT(BY1034,CB1034,CE1034,CH1034)=4,SUM(BY1034,CB1034,CE1034,CH1034),"")</f>
        <v>2.469966285804448</v>
      </c>
    </row>
    <row r="1035" ht="72" customHeight="1">
      <c r="A1035" s="16" t="str">
        <v>B07-BK-Z-0-37</v>
      </c>
      <c r="B1035" s="16" t="str">
        <v>4店-彬郁-US</v>
      </c>
      <c r="C1035" s="16" t="str">
        <v>艾年</v>
      </c>
      <c r="D1035" s="26" t="n">
        <f>IF(NOT(ISNUMBER(E1035)),"",IF(OR(E1035&lt;=0,L1035=0),0,IF(OR(NOT(ISNUMBER(F1035)),F1035&lt;0),"",MIN(E1035,INT(F1035)))))</f>
        <v>0</v>
      </c>
      <c r="E1035" s="27" t="n">
        <f>IF(OR(NOT(ISNUMBER(L1035)),COUNT(M1035:O1035)&lt;&gt;3,MIN(M1035:O1035)&lt;0),"",ROUNDUP(ROUND(BI1035-SUM(M1035:O1035),10),0))</f>
        <v>-8</v>
      </c>
      <c r="F1035" s="28" t="n">
        <v>0</v>
      </c>
      <c r="G1035" s="28" t="n">
        <f>IF(AND(ISNUMBER(D1035),ISNUMBER(E1035)),IF(OR(E1035&lt;=0,L1035=0),0,E1035-D1035),"")</f>
        <v>0</v>
      </c>
      <c r="H1035" s="16" t="str">
        <f>IF(NOT(ISNUMBER(E1035)),"销量或海外库存待补",IF(OR(E1035&lt;=0,L1035=0),IF(L1035=0,"零日销，本批不发","本批无需补货"),IF(NOT(ISNUMBER(D1035)),"国内库存待补",IF(D1035=0,"国内无可用库存",IF(G1035&gt;0,"先发国内现货","按建议量发货")))))</f>
        <v>本批无需补货</v>
      </c>
      <c r="I1035" s="28" t="n">
        <f>IF(AND(COUNT(Z1035,AA1035,AB1035)=3,Z1035&gt;=AA1035,AA1035&gt;=0,AB1035=7),Z1035-AA1035,"")</f>
        <v>0</v>
      </c>
      <c r="J1035" s="28" t="n">
        <f>IF(AND(COUNT(AF1035,AG1035,AH1035)=3,AF1035&gt;=AG1035,AG1035&gt;=0,AH1035=14),AF1035-AG1035,"")</f>
        <v>0</v>
      </c>
      <c r="K1035" s="28" t="n">
        <f>IF(AND(COUNT(AL1035,AM1035,AN1035)=3,AL1035&gt;=AM1035,AM1035&gt;=0,AN1035=30),AL1035-AM1035,"")</f>
        <v>0</v>
      </c>
      <c r="L1035" s="29" t="n">
        <f>IF(ISNUMBER(BI1035),BI1035/90,"")</f>
        <v>0.03733429021460811</v>
      </c>
      <c r="M1035" s="28" t="n">
        <v>11</v>
      </c>
      <c r="N1035" s="28" t="n">
        <v>0</v>
      </c>
      <c r="O1035" s="28" t="n">
        <v>0</v>
      </c>
      <c r="P1035" s="30" t="n">
        <f>IF(AND(ISNUMBER(L1035),L1035&gt;0,COUNT(M1035:O1035)=3,MIN(M1035:O1035)&gt;=0),SUM(M1035:O1035)/L1035,"")</f>
        <v>294.6353054194649</v>
      </c>
      <c r="Q1035" s="16" t="str">
        <v>沿用原计划SKU店铺</v>
      </c>
      <c r="R1035" s="16" t="str">
        <v>已匹配</v>
      </c>
      <c r="S1035" s="16" t="str">
        <v>在售</v>
      </c>
      <c r="T1035" s="16" t="str">
        <v>B07</v>
      </c>
      <c r="U1035" s="16" t="str">
        <v>黑色镜面PU</v>
      </c>
      <c r="V1035" s="16" t="n">
        <v>6</v>
      </c>
      <c r="W1035" s="8" t="str">
        <v>2026-10-11 至 2026-10-17</v>
      </c>
      <c r="X1035" s="8" t="str">
        <v>2026-10-11、2026-10-12、2026-10-13、2026-10-14、2026-10-15、2026-10-16、2026-10-17</v>
      </c>
      <c r="Y1035" s="8" t="str">
        <v>无</v>
      </c>
      <c r="Z1035" s="8" t="n">
        <v>0</v>
      </c>
      <c r="AA1035" s="8" t="n">
        <v>0</v>
      </c>
      <c r="AB1035" s="8" t="n">
        <v>7</v>
      </c>
      <c r="AC1035" s="8" t="str">
        <v>2026-10-02 至 2026-10-17</v>
      </c>
      <c r="AD1035" s="8" t="str">
        <v>2026-10-02、2026-10-03、2026-10-04、2026-10-05、2026-10-08、2026-10-09、2026-10-10、2026-10-11、2026-10-12、2026-10-13、2026-10-14、2026-10-15、2026-10-16、2026-10-17</v>
      </c>
      <c r="AE1035" s="8" t="str">
        <v>2026-10-06 大促；2026-10-07 大促</v>
      </c>
      <c r="AF1035" s="8" t="n">
        <v>0</v>
      </c>
      <c r="AG1035" s="8" t="n">
        <v>0</v>
      </c>
      <c r="AH1035" s="8" t="n">
        <v>14</v>
      </c>
      <c r="AI1035" s="8" t="str">
        <v>2026-09-16 至 2026-10-17</v>
      </c>
      <c r="AJ10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5" s="8" t="str">
        <v>2026-10-06 大促；2026-10-07 大促</v>
      </c>
      <c r="AL1035" s="8" t="n">
        <v>0</v>
      </c>
      <c r="AM1035" s="8" t="n">
        <v>0</v>
      </c>
      <c r="AN1035" s="8" t="n">
        <v>30</v>
      </c>
      <c r="AO1035" s="8" t="str">
        <v>B07 / 黑色天鹅绒 / 13306</v>
      </c>
      <c r="AP1035" s="11" t="n">
        <v>0.7307750238224848</v>
      </c>
      <c r="AQ1035" s="11" t="n">
        <v>0.7307750238224848</v>
      </c>
      <c r="AR1035" s="11" t="n">
        <v>0.7449809054134506</v>
      </c>
      <c r="AS1035" s="11" t="n">
        <f>IF(AND(COUNT(I1035:K1035,AP1035:AR1035)=6,MIN(AP1035:AR1035)&gt;0),I1035/7/AP1035*0.5+J1035/14/AQ1035*0.3+K1035/30/AR1035*0.2,"")</f>
        <v>0</v>
      </c>
      <c r="AT1035" s="8" t="n">
        <v>1</v>
      </c>
      <c r="AU1035" s="8" t="n">
        <v>0</v>
      </c>
      <c r="AV1035" s="8" t="n">
        <v>88</v>
      </c>
      <c r="AW1035" s="11" t="n">
        <f>IF(AND(COUNT(AT1035:AV1035)=3,AT1035&gt;=AU1035,AU1035&gt;=0,AV1035&gt;0),(AT1035-AU1035)/AV1035,"")</f>
        <v>0.011363636363636364</v>
      </c>
      <c r="AX1035" s="8" t="n">
        <v>7</v>
      </c>
      <c r="AY1035" s="8" t="n">
        <v>0</v>
      </c>
      <c r="AZ1035" s="8" t="n">
        <v>178</v>
      </c>
      <c r="BA1035" s="11" t="n">
        <f>IF(AND(COUNT(AX1035:AZ1035)=3,AX1035&gt;=AY1035,AY1035&gt;=0,AZ1035&gt;0),(AX1035-AY1035)/AZ1035,"")</f>
        <v>0.03932584269662921</v>
      </c>
      <c r="BB1035" s="8" t="n">
        <f>IF(COUNT(AS1035,AW1035,BA1035)=3,1,0)</f>
        <v>1</v>
      </c>
      <c r="BC1035" s="11" t="n">
        <f>IF(SUMIF($AO$11:$AO$1309,AO1035,$BB$11:$BB$1309)=COUNTIF($AO$11:$AO$1309,AO1035),SUMIF($AO$11:$AO$1309,AO1035,$AS$11:$AS$1309),"")</f>
        <v>11.92937132043239</v>
      </c>
      <c r="BD1035" s="11" t="n">
        <f>IF(SUMIF($AO$11:$AO$1309,AO1035,$BB$11:$BB$1309)=COUNTIF($AO$11:$AO$1309,AO1035),SUMIF($AO$11:$AO$1309,AO1035,$AW$11:$AW$1309),"")</f>
        <v>5.794919786096258</v>
      </c>
      <c r="BE1035" s="11" t="n">
        <f>IF(SUMIF($AO$11:$AO$1309,AO1035,$BB$11:$BB$1309)=COUNTIF($AO$11:$AO$1309,AO1035),SUMIF($AO$11:$AO$1309,AO1035,$BA$11:$BA$1309),"")</f>
        <v>5.3098234349919755</v>
      </c>
      <c r="BF1035" s="12" t="n">
        <f>IF(COUNT(BD1035:BE1035)&lt;&gt;2,"",IF(AND(BD1035&gt;0,BE1035&gt;0),0.7*AW1035/BD1035+0.3*BA1035/BE1035,IF(BD1035&gt;0,AW1035/BD1035,IF(BE1035&gt;0,BA1035/BE1035,IF(AND(ISNUMBER(BH1035),BH1035=0),0,"")))))</f>
        <v>0.0035945485822408306</v>
      </c>
      <c r="BG1035" s="11" t="n">
        <f>IF(AND(COUNT(BN1035:BU1035)=8,MIN(BN1035:BU1035)&gt;=0),SUMPRODUCT(BN1035:BQ1035,BR1035:BU1035),"")</f>
        <v>78.35892944347341</v>
      </c>
      <c r="BH1035" s="11" t="n">
        <f>IF(COUNT(BC1035,BG1035)=2,BC1035*BG1035,"")</f>
        <v>934.7727656027569</v>
      </c>
      <c r="BI1035" s="11" t="n">
        <f>IF(ISNUMBER(CI1035),CI1035,"")</f>
        <v>3.36008611931473</v>
      </c>
      <c r="BJ1035" s="8" t="str">
        <v>低销提醒依据不完整</v>
      </c>
      <c r="BK1035" s="8" t="str">
        <v>90天：2026-07-20 至 2026-10-17；180天：2026-04-21 至 2026-10-17</v>
      </c>
      <c r="BL1035" s="8" t="str">
        <v>90天：2026-10-06、2026-10-07；180天：2026-10-06、2026-10-07</v>
      </c>
      <c r="BM1035" s="8" t="str">
        <v>2026-10：12天 × 0.7307750238224848；2026-11：30天 × 0.9523018155490097；2026-12：31天 × 0.5958545198749097；2027-01：17天 × 1.3264167397065354</v>
      </c>
      <c r="BN1035" s="11" t="n">
        <v>0.7307750238224848</v>
      </c>
      <c r="BO1035" s="11" t="n">
        <v>0.9523018155490097</v>
      </c>
      <c r="BP1035" s="11" t="n">
        <v>0.5958545198749097</v>
      </c>
      <c r="BQ1035" s="11" t="n">
        <v>1.3264167397065354</v>
      </c>
      <c r="BR1035" s="8" t="n">
        <v>12</v>
      </c>
      <c r="BS1035" s="8" t="n">
        <v>30</v>
      </c>
      <c r="BT1035" s="8" t="n">
        <v>31</v>
      </c>
      <c r="BU1035" s="8" t="n">
        <v>17</v>
      </c>
      <c r="BV1035" s="11" t="n">
        <f>IF(COUNT(BC1035,BF1035)=2,BC1035*BF1035,"")</f>
        <v>0.04288070476688467</v>
      </c>
      <c r="BW1035" s="11" t="n">
        <f>IF(ISNUMBER(BN1035),BN1035,"")</f>
        <v>0.7307750238224848</v>
      </c>
      <c r="BX1035" s="14" t="n">
        <f>IF(ISNUMBER(BR1035),BR1035,"")</f>
        <v>12</v>
      </c>
      <c r="BY1035" s="13" t="n">
        <f>IF(AND(COUNT(BV1035,BW1035,BX1035)=3,MIN(BV1035,BW1035,BX1035)&gt;=0),BV1035*BW1035*BX1035,"")</f>
        <v>0.37603377657054105</v>
      </c>
      <c r="BZ1035" s="11" t="n">
        <f>IF(ISNUMBER(BO1035),BO1035,"")</f>
        <v>0.9523018155490097</v>
      </c>
      <c r="CA1035" s="14" t="n">
        <f>IF(ISNUMBER(BS1035),BS1035,"")</f>
        <v>30</v>
      </c>
      <c r="CB1035" s="13" t="n">
        <f>IF(AND(COUNT(BV1035,BZ1035,CA1035)=3,MIN(BV1035,BZ1035,CA1035)&gt;=0),BV1035*BZ1035*CA1035,"")</f>
        <v>1.2250611900457604</v>
      </c>
      <c r="CC1035" s="11" t="n">
        <f>IF(ISNUMBER(BP1035),BP1035,"")</f>
        <v>0.5958545198749097</v>
      </c>
      <c r="CD1035" s="14" t="n">
        <f>IF(ISNUMBER(BT1035),BT1035,"")</f>
        <v>31</v>
      </c>
      <c r="CE1035" s="13" t="n">
        <f>IF(AND(COUNT(BV1035,CC1035,CD1035)=3,MIN(BV1035,CC1035,CD1035)&gt;=0),BV1035*CC1035*CD1035,"")</f>
        <v>0.7920705142738643</v>
      </c>
      <c r="CF1035" s="11" t="n">
        <f>IF(ISNUMBER(BQ1035),BQ1035,"")</f>
        <v>1.3264167397065354</v>
      </c>
      <c r="CG1035" s="14" t="n">
        <f>IF(ISNUMBER(BU1035),BU1035,"")</f>
        <v>17</v>
      </c>
      <c r="CH1035" s="13" t="n">
        <f>IF(AND(COUNT(BV1035,CF1035,CG1035)=3,MIN(BV1035,CF1035,CG1035)&gt;=0),BV1035*CF1035*CG1035,"")</f>
        <v>0.9669206384245642</v>
      </c>
      <c r="CI1035" s="13" t="n">
        <f>IF(COUNT(BY1035,CB1035,CE1035,CH1035)=4,SUM(BY1035,CB1035,CE1035,CH1035),"")</f>
        <v>3.36008611931473</v>
      </c>
    </row>
    <row r="1036" ht="72" customHeight="1">
      <c r="A1036" s="16" t="str">
        <v>B07-BK-Z-0-37.5</v>
      </c>
      <c r="B1036" s="16" t="str">
        <v>4店-彬郁-US</v>
      </c>
      <c r="C1036" s="16" t="str">
        <v>艾年</v>
      </c>
      <c r="D1036" s="26" t="n">
        <f>IF(NOT(ISNUMBER(E1036)),"",IF(OR(E1036&lt;=0,L1036=0),0,IF(OR(NOT(ISNUMBER(F1036)),F1036&lt;0),"",MIN(E1036,INT(F1036)))))</f>
        <v>0</v>
      </c>
      <c r="E1036" s="27" t="n">
        <f>IF(OR(NOT(ISNUMBER(L1036)),COUNT(M1036:O1036)&lt;&gt;3,MIN(M1036:O1036)&lt;0),"",ROUNDUP(ROUND(BI1036-SUM(M1036:O1036),10),0))</f>
        <v>-10</v>
      </c>
      <c r="F1036" s="28" t="n">
        <v>10</v>
      </c>
      <c r="G1036" s="28" t="n">
        <f>IF(AND(ISNUMBER(D1036),ISNUMBER(E1036)),IF(OR(E1036&lt;=0,L1036=0),0,E1036-D1036),"")</f>
        <v>0</v>
      </c>
      <c r="H1036" s="16" t="str">
        <f>IF(NOT(ISNUMBER(E1036)),"销量或海外库存待补",IF(OR(E1036&lt;=0,L1036=0),IF(L1036=0,"零日销，本批不发","本批无需补货"),IF(NOT(ISNUMBER(D1036)),"国内库存待补",IF(D1036=0,"国内无可用库存",IF(G1036&gt;0,"先发国内现货","按建议量发货")))))</f>
        <v>本批无需补货</v>
      </c>
      <c r="I1036" s="28" t="n">
        <f>IF(AND(COUNT(Z1036,AA1036,AB1036)=3,Z1036&gt;=AA1036,AA1036&gt;=0,AB1036=7),Z1036-AA1036,"")</f>
        <v>0</v>
      </c>
      <c r="J1036" s="28" t="n">
        <f>IF(AND(COUNT(AF1036,AG1036,AH1036)=3,AF1036&gt;=AG1036,AG1036&gt;=0,AH1036=14),AF1036-AG1036,"")</f>
        <v>0</v>
      </c>
      <c r="K1036" s="28" t="n">
        <f>IF(AND(COUNT(AL1036,AM1036,AN1036)=3,AL1036&gt;=AM1036,AM1036&gt;=0,AN1036=30),AL1036-AM1036,"")</f>
        <v>0</v>
      </c>
      <c r="L1036" s="29" t="n">
        <f>IF(ISNUMBER(BI1036),BI1036/90,"")</f>
        <v>0.04499791931220682</v>
      </c>
      <c r="M1036" s="28" t="n">
        <v>14</v>
      </c>
      <c r="N1036" s="28" t="n">
        <v>0</v>
      </c>
      <c r="O1036" s="28" t="n">
        <v>0</v>
      </c>
      <c r="P1036" s="30" t="n">
        <f>IF(AND(ISNUMBER(L1036),L1036&gt;0,COUNT(M1036:O1036)=3,MIN(M1036:O1036)&gt;=0),SUM(M1036:O1036)/L1036,"")</f>
        <v>311.1254967782954</v>
      </c>
      <c r="Q1036" s="16" t="str">
        <v>沿用原计划SKU店铺</v>
      </c>
      <c r="R1036" s="16" t="str">
        <v>已匹配</v>
      </c>
      <c r="S1036" s="16" t="str">
        <v>在售</v>
      </c>
      <c r="T1036" s="16" t="str">
        <v>B07</v>
      </c>
      <c r="U1036" s="16" t="str">
        <v>黑色镜面PU</v>
      </c>
      <c r="V1036" s="16" t="n">
        <v>6.5</v>
      </c>
      <c r="W1036" s="8" t="str">
        <v>2026-10-11 至 2026-10-17</v>
      </c>
      <c r="X1036" s="8" t="str">
        <v>2026-10-11、2026-10-12、2026-10-13、2026-10-14、2026-10-15、2026-10-16、2026-10-17</v>
      </c>
      <c r="Y1036" s="8" t="str">
        <v>无</v>
      </c>
      <c r="Z1036" s="8" t="n">
        <v>0</v>
      </c>
      <c r="AA1036" s="8" t="n">
        <v>0</v>
      </c>
      <c r="AB1036" s="8" t="n">
        <v>7</v>
      </c>
      <c r="AC1036" s="8" t="str">
        <v>2026-10-02 至 2026-10-17</v>
      </c>
      <c r="AD1036" s="8" t="str">
        <v>2026-10-02、2026-10-03、2026-10-04、2026-10-05、2026-10-08、2026-10-09、2026-10-10、2026-10-11、2026-10-12、2026-10-13、2026-10-14、2026-10-15、2026-10-16、2026-10-17</v>
      </c>
      <c r="AE1036" s="8" t="str">
        <v>2026-10-06 大促；2026-10-07 大促</v>
      </c>
      <c r="AF1036" s="8" t="n">
        <v>0</v>
      </c>
      <c r="AG1036" s="8" t="n">
        <v>0</v>
      </c>
      <c r="AH1036" s="8" t="n">
        <v>14</v>
      </c>
      <c r="AI1036" s="8" t="str">
        <v>2026-09-16 至 2026-10-17</v>
      </c>
      <c r="AJ10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6" s="8" t="str">
        <v>2026-10-06 大促；2026-10-07 大促</v>
      </c>
      <c r="AL1036" s="8" t="n">
        <v>0</v>
      </c>
      <c r="AM1036" s="8" t="n">
        <v>0</v>
      </c>
      <c r="AN1036" s="8" t="n">
        <v>30</v>
      </c>
      <c r="AO1036" s="8" t="str">
        <v>B07 / 黑色天鹅绒 / 13306</v>
      </c>
      <c r="AP1036" s="11" t="n">
        <v>0.7307750238224848</v>
      </c>
      <c r="AQ1036" s="11" t="n">
        <v>0.7307750238224848</v>
      </c>
      <c r="AR1036" s="11" t="n">
        <v>0.7449809054134506</v>
      </c>
      <c r="AS1036" s="11" t="n">
        <f>IF(AND(COUNT(I1036:K1036,AP1036:AR1036)=6,MIN(AP1036:AR1036)&gt;0),I1036/7/AP1036*0.5+J1036/14/AQ1036*0.3+K1036/30/AR1036*0.2,"")</f>
        <v>0</v>
      </c>
      <c r="AT1036" s="8" t="n">
        <v>2</v>
      </c>
      <c r="AU1036" s="8" t="n">
        <v>0</v>
      </c>
      <c r="AV1036" s="8" t="n">
        <v>88</v>
      </c>
      <c r="AW1036" s="11" t="n">
        <f>IF(AND(COUNT(AT1036:AV1036)=3,AT1036&gt;=AU1036,AU1036&gt;=0,AV1036&gt;0),(AT1036-AU1036)/AV1036,"")</f>
        <v>0.022727272727272728</v>
      </c>
      <c r="AX1036" s="8" t="n">
        <v>5</v>
      </c>
      <c r="AY1036" s="8" t="n">
        <v>0</v>
      </c>
      <c r="AZ1036" s="8" t="n">
        <v>178</v>
      </c>
      <c r="BA1036" s="11" t="n">
        <f>IF(AND(COUNT(AX1036:AZ1036)=3,AX1036&gt;=AY1036,AY1036&gt;=0,AZ1036&gt;0),(AX1036-AY1036)/AZ1036,"")</f>
        <v>0.028089887640449437</v>
      </c>
      <c r="BB1036" s="8" t="n">
        <f>IF(COUNT(AS1036,AW1036,BA1036)=3,1,0)</f>
        <v>1</v>
      </c>
      <c r="BC1036" s="11" t="n">
        <f>IF(SUMIF($AO$11:$AO$1309,AO1036,$BB$11:$BB$1309)=COUNTIF($AO$11:$AO$1309,AO1036),SUMIF($AO$11:$AO$1309,AO1036,$AS$11:$AS$1309),"")</f>
        <v>11.92937132043239</v>
      </c>
      <c r="BD1036" s="11" t="n">
        <f>IF(SUMIF($AO$11:$AO$1309,AO1036,$BB$11:$BB$1309)=COUNTIF($AO$11:$AO$1309,AO1036),SUMIF($AO$11:$AO$1309,AO1036,$AW$11:$AW$1309),"")</f>
        <v>5.794919786096258</v>
      </c>
      <c r="BE1036" s="11" t="n">
        <f>IF(SUMIF($AO$11:$AO$1309,AO1036,$BB$11:$BB$1309)=COUNTIF($AO$11:$AO$1309,AO1036),SUMIF($AO$11:$AO$1309,AO1036,$BA$11:$BA$1309),"")</f>
        <v>5.3098234349919755</v>
      </c>
      <c r="BF1036" s="12" t="n">
        <f>IF(COUNT(BD1036:BE1036)&lt;&gt;2,"",IF(AND(BD1036&gt;0,BE1036&gt;0),0.7*AW1036/BD1036+0.3*BA1036/BE1036,IF(BD1036&gt;0,AW1036/BD1036,IF(BE1036&gt;0,BA1036/BE1036,IF(AND(ISNUMBER(BH1036),BH1036=0),0,"")))))</f>
        <v>0.004332403432279318</v>
      </c>
      <c r="BG1036" s="11" t="n">
        <f>IF(AND(COUNT(BN1036:BU1036)=8,MIN(BN1036:BU1036)&gt;=0),SUMPRODUCT(BN1036:BQ1036,BR1036:BU1036),"")</f>
        <v>78.35892944347341</v>
      </c>
      <c r="BH1036" s="11" t="n">
        <f>IF(COUNT(BC1036,BG1036)=2,BC1036*BG1036,"")</f>
        <v>934.7727656027569</v>
      </c>
      <c r="BI1036" s="11" t="n">
        <f>IF(ISNUMBER(CI1036),CI1036,"")</f>
        <v>4.0498127380986135</v>
      </c>
      <c r="BJ1036" s="8" t="str">
        <v>低销提醒依据不完整</v>
      </c>
      <c r="BK1036" s="8" t="str">
        <v>90天：2026-07-20 至 2026-10-17；180天：2026-04-21 至 2026-10-17</v>
      </c>
      <c r="BL1036" s="8" t="str">
        <v>90天：2026-10-06、2026-10-07；180天：2026-10-06、2026-10-07</v>
      </c>
      <c r="BM1036" s="8" t="str">
        <v>2026-10：12天 × 0.7307750238224848；2026-11：30天 × 0.9523018155490097；2026-12：31天 × 0.5958545198749097；2027-01：17天 × 1.3264167397065354</v>
      </c>
      <c r="BN1036" s="11" t="n">
        <v>0.7307750238224848</v>
      </c>
      <c r="BO1036" s="11" t="n">
        <v>0.9523018155490097</v>
      </c>
      <c r="BP1036" s="11" t="n">
        <v>0.5958545198749097</v>
      </c>
      <c r="BQ1036" s="11" t="n">
        <v>1.3264167397065354</v>
      </c>
      <c r="BR1036" s="8" t="n">
        <v>12</v>
      </c>
      <c r="BS1036" s="8" t="n">
        <v>30</v>
      </c>
      <c r="BT1036" s="8" t="n">
        <v>31</v>
      </c>
      <c r="BU1036" s="8" t="n">
        <v>17</v>
      </c>
      <c r="BV1036" s="11" t="n">
        <f>IF(COUNT(BC1036,BF1036)=2,BC1036*BF1036,"")</f>
        <v>0.05168284925357574</v>
      </c>
      <c r="BW1036" s="11" t="n">
        <f>IF(ISNUMBER(BN1036),BN1036,"")</f>
        <v>0.7307750238224848</v>
      </c>
      <c r="BX1036" s="14" t="n">
        <f>IF(ISNUMBER(BR1036),BR1036,"")</f>
        <v>12</v>
      </c>
      <c r="BY1036" s="13" t="n">
        <f>IF(AND(COUNT(BV1036,BW1036,BX1036)=3,MIN(BV1036,BW1036,BX1036)&gt;=0),BV1036*BW1036*BX1036,"")</f>
        <v>0.45322242473394847</v>
      </c>
      <c r="BZ1036" s="11" t="n">
        <f>IF(ISNUMBER(BO1036),BO1036,"")</f>
        <v>0.9523018155490097</v>
      </c>
      <c r="CA1036" s="14" t="n">
        <f>IF(ISNUMBER(BS1036),BS1036,"")</f>
        <v>30</v>
      </c>
      <c r="CB1036" s="13" t="n">
        <f>IF(AND(COUNT(BV1036,BZ1036,CA1036)=3,MIN(BV1036,BZ1036,CA1036)&gt;=0),BV1036*BZ1036*CA1036,"")</f>
        <v>1.4765301353077787</v>
      </c>
      <c r="CC1036" s="11" t="n">
        <f>IF(ISNUMBER(BP1036),BP1036,"")</f>
        <v>0.5958545198749097</v>
      </c>
      <c r="CD1036" s="14" t="n">
        <f>IF(ISNUMBER(BT1036),BT1036,"")</f>
        <v>31</v>
      </c>
      <c r="CE1036" s="13" t="n">
        <f>IF(AND(COUNT(BV1036,CC1036,CD1036)=3,MIN(BV1036,CC1036,CD1036)&gt;=0),BV1036*CC1036*CD1036,"")</f>
        <v>0.9546592391604578</v>
      </c>
      <c r="CF1036" s="11" t="n">
        <f>IF(ISNUMBER(BQ1036),BQ1036,"")</f>
        <v>1.3264167397065354</v>
      </c>
      <c r="CG1036" s="14" t="n">
        <f>IF(ISNUMBER(BU1036),BU1036,"")</f>
        <v>17</v>
      </c>
      <c r="CH1036" s="13" t="n">
        <f>IF(AND(COUNT(BV1036,CF1036,CG1036)=3,MIN(BV1036,CF1036,CG1036)&gt;=0),BV1036*CF1036*CG1036,"")</f>
        <v>1.1654009388964288</v>
      </c>
      <c r="CI1036" s="13" t="n">
        <f>IF(COUNT(BY1036,CB1036,CE1036,CH1036)=4,SUM(BY1036,CB1036,CE1036,CH1036),"")</f>
        <v>4.0498127380986135</v>
      </c>
    </row>
    <row r="1037" ht="72" customHeight="1">
      <c r="A1037" s="16" t="str">
        <v>B07-BK-Z-0-40.5</v>
      </c>
      <c r="B1037" s="16" t="str">
        <v>4店-彬郁-US</v>
      </c>
      <c r="C1037" s="16" t="str">
        <v>艾年</v>
      </c>
      <c r="D1037" s="26" t="n">
        <f>IF(NOT(ISNUMBER(E1037)),"",IF(OR(E1037&lt;=0,L1037=0),0,IF(OR(NOT(ISNUMBER(F1037)),F1037&lt;0),"",MIN(E1037,INT(F1037)))))</f>
        <v>0</v>
      </c>
      <c r="E1037" s="27" t="n">
        <f>IF(OR(NOT(ISNUMBER(L1037)),COUNT(M1037:O1037)&lt;&gt;3,MIN(M1037:O1037)&lt;0),"",ROUNDUP(ROUND(BI1037-SUM(M1037:O1037),10),0))</f>
        <v>-2</v>
      </c>
      <c r="F1037" s="28" t="n">
        <v>5</v>
      </c>
      <c r="G1037" s="28" t="n">
        <f>IF(AND(ISNUMBER(D1037),ISNUMBER(E1037)),IF(OR(E1037&lt;=0,L1037=0),0,E1037-D1037),"")</f>
        <v>0</v>
      </c>
      <c r="H1037" s="16" t="str">
        <f>IF(NOT(ISNUMBER(E1037)),"销量或海外库存待补",IF(OR(E1037&lt;=0,L1037=0),IF(L1037=0,"零日销，本批不发","本批无需补货"),IF(NOT(ISNUMBER(D1037)),"国内库存待补",IF(D1037=0,"国内无可用库存",IF(G1037&gt;0,"先发国内现货","按建议量发货")))))</f>
        <v>本批无需补货</v>
      </c>
      <c r="I1037" s="28" t="n">
        <f>IF(AND(COUNT(Z1037,AA1037,AB1037)=3,Z1037&gt;=AA1037,AA1037&gt;=0,AB1037=7),Z1037-AA1037,"")</f>
        <v>0</v>
      </c>
      <c r="J1037" s="28" t="n">
        <f>IF(AND(COUNT(AF1037,AG1037,AH1037)=3,AF1037&gt;=AG1037,AG1037&gt;=0,AH1037=14),AF1037-AG1037,"")</f>
        <v>3</v>
      </c>
      <c r="K1037" s="28" t="n">
        <f>IF(AND(COUNT(AL1037,AM1037,AN1037)=3,AL1037&gt;=AM1037,AM1037&gt;=0,AN1037=30),AL1037-AM1037,"")</f>
        <v>4</v>
      </c>
      <c r="L1037" s="29" t="n">
        <f>IF(ISNUMBER(BI1037),BI1037/90,"")</f>
        <v>0.10095620784612454</v>
      </c>
      <c r="M1037" s="28" t="n">
        <v>11</v>
      </c>
      <c r="N1037" s="28" t="n">
        <v>0</v>
      </c>
      <c r="O1037" s="28" t="n">
        <v>0</v>
      </c>
      <c r="P1037" s="30" t="n">
        <f>IF(AND(ISNUMBER(L1037),L1037&gt;0,COUNT(M1037:O1037)=3,MIN(M1037:O1037)&gt;=0),SUM(M1037:O1037)/L1037,"")</f>
        <v>108.9581337758445</v>
      </c>
      <c r="Q1037" s="16" t="str">
        <v>沿用原计划SKU店铺</v>
      </c>
      <c r="R1037" s="16" t="str">
        <v>已匹配</v>
      </c>
      <c r="S1037" s="16" t="str">
        <v>在售</v>
      </c>
      <c r="T1037" s="16" t="str">
        <v>B07</v>
      </c>
      <c r="U1037" s="16" t="str">
        <v>黑色镜面PU</v>
      </c>
      <c r="V1037" s="16" t="n">
        <v>9.5</v>
      </c>
      <c r="W1037" s="8" t="str">
        <v>2026-10-11 至 2026-10-17</v>
      </c>
      <c r="X1037" s="8" t="str">
        <v>2026-10-11、2026-10-12、2026-10-13、2026-10-14、2026-10-15、2026-10-16、2026-10-17</v>
      </c>
      <c r="Y1037" s="8" t="str">
        <v>无</v>
      </c>
      <c r="Z1037" s="8" t="n">
        <v>0</v>
      </c>
      <c r="AA1037" s="8" t="n">
        <v>0</v>
      </c>
      <c r="AB1037" s="8" t="n">
        <v>7</v>
      </c>
      <c r="AC1037" s="8" t="str">
        <v>2026-10-02 至 2026-10-17</v>
      </c>
      <c r="AD1037" s="8" t="str">
        <v>2026-10-02、2026-10-03、2026-10-04、2026-10-05、2026-10-08、2026-10-09、2026-10-10、2026-10-11、2026-10-12、2026-10-13、2026-10-14、2026-10-15、2026-10-16、2026-10-17</v>
      </c>
      <c r="AE1037" s="8" t="str">
        <v>2026-10-06 大促；2026-10-07 大促</v>
      </c>
      <c r="AF1037" s="8" t="n">
        <v>6</v>
      </c>
      <c r="AG1037" s="8" t="n">
        <v>3</v>
      </c>
      <c r="AH1037" s="8" t="n">
        <v>14</v>
      </c>
      <c r="AI1037" s="8" t="str">
        <v>2026-09-16 至 2026-10-17</v>
      </c>
      <c r="AJ10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7" s="8" t="str">
        <v>2026-10-06 大促；2026-10-07 大促</v>
      </c>
      <c r="AL1037" s="8" t="n">
        <v>7</v>
      </c>
      <c r="AM1037" s="8" t="n">
        <v>3</v>
      </c>
      <c r="AN1037" s="8" t="n">
        <v>30</v>
      </c>
      <c r="AO1037" s="8" t="str">
        <v>B07 / 黑色天鹅绒 / 13306</v>
      </c>
      <c r="AP1037" s="11" t="n">
        <v>0.7307750238224848</v>
      </c>
      <c r="AQ1037" s="11" t="n">
        <v>0.7307750238224848</v>
      </c>
      <c r="AR1037" s="11" t="n">
        <v>0.7449809054134506</v>
      </c>
      <c r="AS1037" s="11" t="n">
        <f>IF(AND(COUNT(I1037:K1037,AP1037:AR1037)=6,MIN(AP1037:AR1037)&gt;0),I1037/7/AP1037*0.5+J1037/14/AQ1037*0.3+K1037/30/AR1037*0.2,"")</f>
        <v>0.12376432833539495</v>
      </c>
      <c r="AT1037" s="8" t="n">
        <v>8</v>
      </c>
      <c r="AU1037" s="8" t="n">
        <v>3</v>
      </c>
      <c r="AV1037" s="8" t="n">
        <v>88</v>
      </c>
      <c r="AW1037" s="11" t="n">
        <f>IF(AND(COUNT(AT1037:AV1037)=3,AT1037&gt;=AU1037,AU1037&gt;=0,AV1037&gt;0),(AT1037-AU1037)/AV1037,"")</f>
        <v>0.056818181818181816</v>
      </c>
      <c r="AX1037" s="8" t="n">
        <v>12</v>
      </c>
      <c r="AY1037" s="8" t="n">
        <v>3</v>
      </c>
      <c r="AZ1037" s="8" t="n">
        <v>178</v>
      </c>
      <c r="BA1037" s="11" t="n">
        <f>IF(AND(COUNT(AX1037:AZ1037)=3,AX1037&gt;=AY1037,AY1037&gt;=0,AZ1037&gt;0),(AX1037-AY1037)/AZ1037,"")</f>
        <v>0.05056179775280899</v>
      </c>
      <c r="BB1037" s="8" t="n">
        <f>IF(COUNT(AS1037,AW1037,BA1037)=3,1,0)</f>
        <v>1</v>
      </c>
      <c r="BC1037" s="11" t="n">
        <f>IF(SUMIF($AO$11:$AO$1309,AO1037,$BB$11:$BB$1309)=COUNTIF($AO$11:$AO$1309,AO1037),SUMIF($AO$11:$AO$1309,AO1037,$AS$11:$AS$1309),"")</f>
        <v>11.92937132043239</v>
      </c>
      <c r="BD1037" s="11" t="n">
        <f>IF(SUMIF($AO$11:$AO$1309,AO1037,$BB$11:$BB$1309)=COUNTIF($AO$11:$AO$1309,AO1037),SUMIF($AO$11:$AO$1309,AO1037,$AW$11:$AW$1309),"")</f>
        <v>5.794919786096258</v>
      </c>
      <c r="BE1037" s="11" t="n">
        <f>IF(SUMIF($AO$11:$AO$1309,AO1037,$BB$11:$BB$1309)=COUNTIF($AO$11:$AO$1309,AO1037),SUMIF($AO$11:$AO$1309,AO1037,$BA$11:$BA$1309),"")</f>
        <v>5.3098234349919755</v>
      </c>
      <c r="BF1037" s="12" t="n">
        <f>IF(COUNT(BD1037:BE1037)&lt;&gt;2,"",IF(AND(BD1037&gt;0,BE1037&gt;0),0.7*AW1037/BD1037+0.3*BA1037/BE1037,IF(BD1037&gt;0,AW1037/BD1037,IF(BE1037&gt;0,BA1037/BE1037,IF(AND(ISNUMBER(BH1037),BH1037=0),0,"")))))</f>
        <v>0.009720072129286272</v>
      </c>
      <c r="BG1037" s="11" t="n">
        <f>IF(AND(COUNT(BN1037:BU1037)=8,MIN(BN1037:BU1037)&gt;=0),SUMPRODUCT(BN1037:BQ1037,BR1037:BU1037),"")</f>
        <v>78.35892944347341</v>
      </c>
      <c r="BH1037" s="11" t="n">
        <f>IF(COUNT(BC1037,BG1037)=2,BC1037*BG1037,"")</f>
        <v>934.7727656027569</v>
      </c>
      <c r="BI1037" s="11" t="n">
        <f>IF(ISNUMBER(CI1037),CI1037,"")</f>
        <v>9.086058706151208</v>
      </c>
      <c r="BJ1037" s="8" t="str">
        <v>低销提醒依据不完整</v>
      </c>
      <c r="BK1037" s="8" t="str">
        <v>90天：2026-07-20 至 2026-10-17；180天：2026-04-21 至 2026-10-17</v>
      </c>
      <c r="BL1037" s="8" t="str">
        <v>90天：2026-10-06、2026-10-07；180天：2026-10-06、2026-10-07</v>
      </c>
      <c r="BM1037" s="8" t="str">
        <v>2026-10：12天 × 0.7307750238224848；2026-11：30天 × 0.9523018155490097；2026-12：31天 × 0.5958545198749097；2027-01：17天 × 1.3264167397065354</v>
      </c>
      <c r="BN1037" s="11" t="n">
        <v>0.7307750238224848</v>
      </c>
      <c r="BO1037" s="11" t="n">
        <v>0.9523018155490097</v>
      </c>
      <c r="BP1037" s="11" t="n">
        <v>0.5958545198749097</v>
      </c>
      <c r="BQ1037" s="11" t="n">
        <v>1.3264167397065354</v>
      </c>
      <c r="BR1037" s="8" t="n">
        <v>12</v>
      </c>
      <c r="BS1037" s="8" t="n">
        <v>30</v>
      </c>
      <c r="BT1037" s="8" t="n">
        <v>31</v>
      </c>
      <c r="BU1037" s="8" t="n">
        <v>17</v>
      </c>
      <c r="BV1037" s="11" t="n">
        <f>IF(COUNT(BC1037,BF1037)=2,BC1037*BF1037,"")</f>
        <v>0.11595434969164185</v>
      </c>
      <c r="BW1037" s="11" t="n">
        <f>IF(ISNUMBER(BN1037),BN1037,"")</f>
        <v>0.7307750238224848</v>
      </c>
      <c r="BX1037" s="14" t="n">
        <f>IF(ISNUMBER(BR1037),BR1037,"")</f>
        <v>12</v>
      </c>
      <c r="BY1037" s="13" t="n">
        <f>IF(AND(COUNT(BV1037,BW1037,BX1037)=3,MIN(BV1037,BW1037,BX1037)&gt;=0),BV1037*BW1037*BX1037,"")</f>
        <v>1.0168385118987637</v>
      </c>
      <c r="BZ1037" s="11" t="n">
        <f>IF(ISNUMBER(BO1037),BO1037,"")</f>
        <v>0.9523018155490097</v>
      </c>
      <c r="CA1037" s="14" t="n">
        <f>IF(ISNUMBER(BS1037),BS1037,"")</f>
        <v>30</v>
      </c>
      <c r="CB1037" s="13" t="n">
        <f>IF(AND(COUNT(BV1037,BZ1037,CA1037)=3,MIN(BV1037,BZ1037,CA1037)&gt;=0),BV1037*BZ1037*CA1037,"")</f>
        <v>3.312706131964659</v>
      </c>
      <c r="CC1037" s="11" t="n">
        <f>IF(ISNUMBER(BP1037),BP1037,"")</f>
        <v>0.5958545198749097</v>
      </c>
      <c r="CD1037" s="14" t="n">
        <f>IF(ISNUMBER(BT1037),BT1037,"")</f>
        <v>31</v>
      </c>
      <c r="CE1037" s="13" t="n">
        <f>IF(AND(COUNT(BV1037,CC1037,CD1037)=3,MIN(BV1037,CC1037,CD1037)&gt;=0),BV1037*CC1037*CD1037,"")</f>
        <v>2.14184962425054</v>
      </c>
      <c r="CF1037" s="11" t="n">
        <f>IF(ISNUMBER(BQ1037),BQ1037,"")</f>
        <v>1.3264167397065354</v>
      </c>
      <c r="CG1037" s="14" t="n">
        <f>IF(ISNUMBER(BU1037),BU1037,"")</f>
        <v>17</v>
      </c>
      <c r="CH1037" s="13" t="n">
        <f>IF(AND(COUNT(BV1037,CF1037,CG1037)=3,MIN(BV1037,CF1037,CG1037)&gt;=0),BV1037*CF1037*CG1037,"")</f>
        <v>2.6146644380372446</v>
      </c>
      <c r="CI1037" s="13" t="n">
        <f>IF(COUNT(BY1037,CB1037,CE1037,CH1037)=4,SUM(BY1037,CB1037,CE1037,CH1037),"")</f>
        <v>9.086058706151208</v>
      </c>
    </row>
    <row r="1038" ht="72" customHeight="1">
      <c r="A1038" s="16" t="str">
        <v>B07-BKP-37-New</v>
      </c>
      <c r="B1038" s="16" t="str">
        <v>4店-彬郁-US</v>
      </c>
      <c r="C1038" s="16" t="str">
        <v>艾年</v>
      </c>
      <c r="D1038" s="26" t="n">
        <f>IF(NOT(ISNUMBER(E1038)),"",IF(OR(E1038&lt;=0,L1038=0),0,IF(OR(NOT(ISNUMBER(F1038)),F1038&lt;0),"",MIN(E1038,INT(F1038)))))</f>
        <v>0</v>
      </c>
      <c r="E1038" s="27" t="n">
        <f>IF(OR(NOT(ISNUMBER(L1038)),COUNT(M1038:O1038)&lt;&gt;3,MIN(M1038:O1038)&lt;0),"",ROUNDUP(ROUND(BI1038-SUM(M1038:O1038),10),0))</f>
        <v>-40</v>
      </c>
      <c r="F1038" s="28" t="n">
        <v>17</v>
      </c>
      <c r="G1038" s="28" t="n">
        <f>IF(AND(ISNUMBER(D1038),ISNUMBER(E1038)),IF(OR(E1038&lt;=0,L1038=0),0,E1038-D1038),"")</f>
        <v>0</v>
      </c>
      <c r="H1038" s="16" t="str">
        <f>IF(NOT(ISNUMBER(E1038)),"销量或海外库存待补",IF(OR(E1038&lt;=0,L1038=0),IF(L1038=0,"零日销，本批不发","本批无需补货"),IF(NOT(ISNUMBER(D1038)),"国内库存待补",IF(D1038=0,"国内无可用库存",IF(G1038&gt;0,"先发国内现货","按建议量发货")))))</f>
        <v>本批无需补货</v>
      </c>
      <c r="I1038" s="28" t="n">
        <f>IF(AND(COUNT(Z1038,AA1038,AB1038)=3,Z1038&gt;=AA1038,AA1038&gt;=0,AB1038=7),Z1038-AA1038,"")</f>
        <v>2</v>
      </c>
      <c r="J1038" s="28" t="n">
        <f>IF(AND(COUNT(AF1038,AG1038,AH1038)=3,AF1038&gt;=AG1038,AG1038&gt;=0,AH1038=14),AF1038-AG1038,"")</f>
        <v>6</v>
      </c>
      <c r="K1038" s="28" t="n">
        <f>IF(AND(COUNT(AL1038,AM1038,AN1038)=3,AL1038&gt;=AM1038,AM1038&gt;=0,AN1038=30),AL1038-AM1038,"")</f>
        <v>7</v>
      </c>
      <c r="L1038" s="29" t="n">
        <f>IF(ISNUMBER(BI1038),BI1038/90,"")</f>
        <v>0.2016696986226611</v>
      </c>
      <c r="M1038" s="28" t="n">
        <v>40</v>
      </c>
      <c r="N1038" s="28" t="n">
        <v>18</v>
      </c>
      <c r="O1038" s="28" t="n">
        <v>0</v>
      </c>
      <c r="P1038" s="30" t="n">
        <f>IF(AND(ISNUMBER(L1038),L1038&gt;0,COUNT(M1038:O1038)=3,MIN(M1038:O1038)&gt;=0),SUM(M1038:O1038)/L1038,"")</f>
        <v>287.598981880378</v>
      </c>
      <c r="Q1038" s="16" t="str">
        <v>沿用原计划SKU店铺</v>
      </c>
      <c r="R1038" s="16" t="str">
        <v>已匹配</v>
      </c>
      <c r="S1038" s="16" t="str">
        <v>在售</v>
      </c>
      <c r="T1038" s="16" t="str">
        <v>B07</v>
      </c>
      <c r="U1038" s="16" t="str">
        <v>黑色PU</v>
      </c>
      <c r="V1038" s="16" t="n">
        <v>6</v>
      </c>
      <c r="W1038" s="8" t="str">
        <v>2026-10-11 至 2026-10-17</v>
      </c>
      <c r="X1038" s="8" t="str">
        <v>2026-10-11、2026-10-12、2026-10-13、2026-10-14、2026-10-15、2026-10-16、2026-10-17</v>
      </c>
      <c r="Y1038" s="8" t="str">
        <v>无</v>
      </c>
      <c r="Z1038" s="8" t="n">
        <v>2</v>
      </c>
      <c r="AA1038" s="8" t="n">
        <v>0</v>
      </c>
      <c r="AB1038" s="8" t="n">
        <v>7</v>
      </c>
      <c r="AC1038" s="8" t="str">
        <v>2026-10-02 至 2026-10-17</v>
      </c>
      <c r="AD1038" s="8" t="str">
        <v>2026-10-02、2026-10-03、2026-10-04、2026-10-05、2026-10-08、2026-10-09、2026-10-10、2026-10-11、2026-10-12、2026-10-13、2026-10-14、2026-10-15、2026-10-16、2026-10-17</v>
      </c>
      <c r="AE1038" s="8" t="str">
        <v>2026-10-06 大促；2026-10-07 大促</v>
      </c>
      <c r="AF1038" s="8" t="n">
        <v>6</v>
      </c>
      <c r="AG1038" s="8" t="n">
        <v>0</v>
      </c>
      <c r="AH1038" s="8" t="n">
        <v>14</v>
      </c>
      <c r="AI1038" s="8" t="str">
        <v>2026-09-16 至 2026-10-17</v>
      </c>
      <c r="AJ10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8" s="8" t="str">
        <v>2026-10-06 大促；2026-10-07 大促</v>
      </c>
      <c r="AL1038" s="8" t="n">
        <v>7</v>
      </c>
      <c r="AM1038" s="8" t="n">
        <v>0</v>
      </c>
      <c r="AN1038" s="8" t="n">
        <v>30</v>
      </c>
      <c r="AO1038" s="8" t="str">
        <v>B07 / 黑色PU / 13306</v>
      </c>
      <c r="AP1038" s="11" t="n">
        <v>0.7307750238224848</v>
      </c>
      <c r="AQ1038" s="11" t="n">
        <v>0.7307750238224848</v>
      </c>
      <c r="AR1038" s="11" t="n">
        <v>0.7449809054134506</v>
      </c>
      <c r="AS1038" s="11" t="n">
        <f>IF(AND(COUNT(I1038:K1038,AP1038:AR1038)=6,MIN(AP1038:AR1038)&gt;0),I1038/7/AP1038*0.5+J1038/14/AQ1038*0.3+K1038/30/AR1038*0.2,"")</f>
        <v>0.4340670535615501</v>
      </c>
      <c r="AT1038" s="8" t="n">
        <v>11</v>
      </c>
      <c r="AU1038" s="8" t="n">
        <v>0</v>
      </c>
      <c r="AV1038" s="8" t="n">
        <v>88</v>
      </c>
      <c r="AW1038" s="11" t="n">
        <f>IF(AND(COUNT(AT1038:AV1038)=3,AT1038&gt;=AU1038,AU1038&gt;=0,AV1038&gt;0),(AT1038-AU1038)/AV1038,"")</f>
        <v>0.125</v>
      </c>
      <c r="AX1038" s="8" t="n">
        <v>11</v>
      </c>
      <c r="AY1038" s="8" t="n">
        <v>0</v>
      </c>
      <c r="AZ1038" s="8" t="n">
        <v>178</v>
      </c>
      <c r="BA1038" s="11" t="n">
        <f>IF(AND(COUNT(AX1038:AZ1038)=3,AX1038&gt;=AY1038,AY1038&gt;=0,AZ1038&gt;0),(AX1038-AY1038)/AZ1038,"")</f>
        <v>0.06179775280898876</v>
      </c>
      <c r="BB1038" s="8" t="n">
        <f>IF(COUNT(AS1038,AW1038,BA1038)=3,1,0)</f>
        <v>1</v>
      </c>
      <c r="BC1038" s="11" t="n">
        <f>IF(SUMIF($AO$11:$AO$1309,AO1038,$BB$11:$BB$1309)=COUNTIF($AO$11:$AO$1309,AO1038),SUMIF($AO$11:$AO$1309,AO1038,$AS$11:$AS$1309),"")</f>
        <v>1.9452610587450656</v>
      </c>
      <c r="BD1038" s="11" t="n">
        <f>IF(SUMIF($AO$11:$AO$1309,AO1038,$BB$11:$BB$1309)=COUNTIF($AO$11:$AO$1309,AO1038),SUMIF($AO$11:$AO$1309,AO1038,$AW$11:$AW$1309),"")</f>
        <v>0.8570855614973261</v>
      </c>
      <c r="BE1038" s="11" t="n">
        <f>IF(SUMIF($AO$11:$AO$1309,AO1038,$BB$11:$BB$1309)=COUNTIF($AO$11:$AO$1309,AO1038),SUMIF($AO$11:$AO$1309,AO1038,$BA$11:$BA$1309),"")</f>
        <v>1.091589085072231</v>
      </c>
      <c r="BF1038" s="12" t="n">
        <f>IF(COUNT(BD1038:BE1038)&lt;&gt;2,"",IF(AND(BD1038&gt;0,BE1038&gt;0),0.7*AW1038/BD1038+0.3*BA1038/BE1038,IF(BD1038&gt;0,AW1038/BD1038,IF(BE1038&gt;0,BA1038/BE1038,IF(AND(ISNUMBER(BH1038),BH1038=0),0,"")))))</f>
        <v>0.11907395308917686</v>
      </c>
      <c r="BG1038" s="11" t="n">
        <f>IF(AND(COUNT(BN1038:BU1038)=8,MIN(BN1038:BU1038)&gt;=0),SUMPRODUCT(BN1038:BQ1038,BR1038:BU1038),"")</f>
        <v>78.35892944347341</v>
      </c>
      <c r="BH1038" s="11" t="n">
        <f>IF(COUNT(BC1038,BG1038)=2,BC1038*BG1038,"")</f>
        <v>152.428574051341</v>
      </c>
      <c r="BI1038" s="11" t="n">
        <f>IF(ISNUMBER(CI1038),CI1038,"")</f>
        <v>18.150272876039498</v>
      </c>
      <c r="BJ1038" s="8" t="str">
        <v>低销提醒依据不完整</v>
      </c>
      <c r="BK1038" s="8" t="str">
        <v>90天：2026-07-20 至 2026-10-17；180天：2026-04-21 至 2026-10-17</v>
      </c>
      <c r="BL1038" s="8" t="str">
        <v>90天：2026-10-06、2026-10-07；180天：2026-10-06、2026-10-07</v>
      </c>
      <c r="BM1038" s="8" t="str">
        <v>2026-10：12天 × 0.7307750238224848；2026-11：30天 × 0.9523018155490097；2026-12：31天 × 0.5958545198749097；2027-01：17天 × 1.3264167397065354</v>
      </c>
      <c r="BN1038" s="11" t="n">
        <v>0.7307750238224848</v>
      </c>
      <c r="BO1038" s="11" t="n">
        <v>0.9523018155490097</v>
      </c>
      <c r="BP1038" s="11" t="n">
        <v>0.5958545198749097</v>
      </c>
      <c r="BQ1038" s="11" t="n">
        <v>1.3264167397065354</v>
      </c>
      <c r="BR1038" s="8" t="n">
        <v>12</v>
      </c>
      <c r="BS1038" s="8" t="n">
        <v>30</v>
      </c>
      <c r="BT1038" s="8" t="n">
        <v>31</v>
      </c>
      <c r="BU1038" s="8" t="n">
        <v>17</v>
      </c>
      <c r="BV1038" s="11" t="n">
        <f>IF(COUNT(BC1038,BF1038)=2,BC1038*BF1038,"")</f>
        <v>0.23162992405521246</v>
      </c>
      <c r="BW1038" s="11" t="n">
        <f>IF(ISNUMBER(BN1038),BN1038,"")</f>
        <v>0.7307750238224848</v>
      </c>
      <c r="BX1038" s="14" t="n">
        <f>IF(ISNUMBER(BR1038),BR1038,"")</f>
        <v>12</v>
      </c>
      <c r="BY1038" s="13" t="n">
        <f>IF(AND(COUNT(BV1038,BW1038,BX1038)=3,MIN(BV1038,BW1038,BX1038)&gt;=0),BV1038*BW1038*BX1038,"")</f>
        <v>2.031232359233379</v>
      </c>
      <c r="BZ1038" s="11" t="n">
        <f>IF(ISNUMBER(BO1038),BO1038,"")</f>
        <v>0.9523018155490097</v>
      </c>
      <c r="CA1038" s="14" t="n">
        <f>IF(ISNUMBER(BS1038),BS1038,"")</f>
        <v>30</v>
      </c>
      <c r="CB1038" s="13" t="n">
        <f>IF(AND(COUNT(BV1038,BZ1038,CA1038)=3,MIN(BV1038,BZ1038,CA1038)&gt;=0),BV1038*BZ1038*CA1038,"")</f>
        <v>6.617447916397742</v>
      </c>
      <c r="CC1038" s="11" t="n">
        <f>IF(ISNUMBER(BP1038),BP1038,"")</f>
        <v>0.5958545198749097</v>
      </c>
      <c r="CD1038" s="14" t="n">
        <f>IF(ISNUMBER(BT1038),BT1038,"")</f>
        <v>31</v>
      </c>
      <c r="CE1038" s="13" t="n">
        <f>IF(AND(COUNT(BV1038,CC1038,CD1038)=3,MIN(BV1038,CC1038,CD1038)&gt;=0),BV1038*CC1038*CD1038,"")</f>
        <v>4.278549852783993</v>
      </c>
      <c r="CF1038" s="11" t="n">
        <f>IF(ISNUMBER(BQ1038),BQ1038,"")</f>
        <v>1.3264167397065354</v>
      </c>
      <c r="CG1038" s="14" t="n">
        <f>IF(ISNUMBER(BU1038),BU1038,"")</f>
        <v>17</v>
      </c>
      <c r="CH1038" s="13" t="n">
        <f>IF(AND(COUNT(BV1038,CF1038,CG1038)=3,MIN(BV1038,CF1038,CG1038)&gt;=0),BV1038*CF1038*CG1038,"")</f>
        <v>5.223042747624384</v>
      </c>
      <c r="CI1038" s="13" t="n">
        <f>IF(COUNT(BY1038,CB1038,CE1038,CH1038)=4,SUM(BY1038,CB1038,CE1038,CH1038),"")</f>
        <v>18.150272876039498</v>
      </c>
    </row>
    <row r="1039" ht="72" customHeight="1">
      <c r="A1039" s="16" t="str">
        <v>B07-BKP-37.5</v>
      </c>
      <c r="B1039" s="16" t="str">
        <v>4店-彬郁-US</v>
      </c>
      <c r="C1039" s="16" t="str">
        <v>艾年</v>
      </c>
      <c r="D1039" s="26" t="n">
        <f>IF(NOT(ISNUMBER(E1039)),"",IF(OR(E1039&lt;=0,L1039=0),0,IF(OR(NOT(ISNUMBER(F1039)),F1039&lt;0),"",MIN(E1039,INT(F1039)))))</f>
        <v>0</v>
      </c>
      <c r="E1039" s="27" t="n">
        <f>IF(OR(NOT(ISNUMBER(L1039)),COUNT(M1039:O1039)&lt;&gt;3,MIN(M1039:O1039)&lt;0),"",ROUNDUP(ROUND(BI1039-SUM(M1039:O1039),10),0))</f>
        <v>-38</v>
      </c>
      <c r="F1039" s="28" t="n">
        <v>15</v>
      </c>
      <c r="G1039" s="28" t="n">
        <f>IF(AND(ISNUMBER(D1039),ISNUMBER(E1039)),IF(OR(E1039&lt;=0,L1039=0),0,E1039-D1039),"")</f>
        <v>0</v>
      </c>
      <c r="H1039" s="16" t="str">
        <f>IF(NOT(ISNUMBER(E1039)),"销量或海外库存待补",IF(OR(E1039&lt;=0,L1039=0),IF(L1039=0,"零日销，本批不发","本批无需补货"),IF(NOT(ISNUMBER(D1039)),"国内库存待补",IF(D1039=0,"国内无可用库存",IF(G1039&gt;0,"先发国内现货","按建议量发货")))))</f>
        <v>本批无需补货</v>
      </c>
      <c r="I1039" s="28" t="n">
        <f>IF(AND(COUNT(Z1039,AA1039,AB1039)=3,Z1039&gt;=AA1039,AA1039&gt;=0,AB1039=7),Z1039-AA1039,"")</f>
        <v>2</v>
      </c>
      <c r="J1039" s="28" t="n">
        <f>IF(AND(COUNT(AF1039,AG1039,AH1039)=3,AF1039&gt;=AG1039,AG1039&gt;=0,AH1039=14),AF1039-AG1039,"")</f>
        <v>3</v>
      </c>
      <c r="K1039" s="28" t="n">
        <f>IF(AND(COUNT(AL1039,AM1039,AN1039)=3,AL1039&gt;=AM1039,AM1039&gt;=0,AN1039=30),AL1039-AM1039,"")</f>
        <v>5</v>
      </c>
      <c r="L1039" s="29" t="n">
        <f>IF(ISNUMBER(BI1039),BI1039/90,"")</f>
        <v>0.31422861535328905</v>
      </c>
      <c r="M1039" s="28" t="n">
        <v>66</v>
      </c>
      <c r="N1039" s="28" t="n">
        <v>0</v>
      </c>
      <c r="O1039" s="28" t="n">
        <v>0</v>
      </c>
      <c r="P1039" s="30" t="n">
        <f>IF(AND(ISNUMBER(L1039),L1039&gt;0,COUNT(M1039:O1039)=3,MIN(M1039:O1039)&gt;=0),SUM(M1039:O1039)/L1039,"")</f>
        <v>210.0381594012239</v>
      </c>
      <c r="Q1039" s="16" t="str">
        <v>沿用原计划SKU店铺</v>
      </c>
      <c r="R1039" s="16" t="str">
        <v>已匹配</v>
      </c>
      <c r="S1039" s="16" t="str">
        <v>在售</v>
      </c>
      <c r="T1039" s="16" t="str">
        <v>B07</v>
      </c>
      <c r="U1039" s="16" t="str">
        <v>黑色PU</v>
      </c>
      <c r="V1039" s="16" t="n">
        <v>6.5</v>
      </c>
      <c r="W1039" s="8" t="str">
        <v>2026-10-11 至 2026-10-17</v>
      </c>
      <c r="X1039" s="8" t="str">
        <v>2026-10-11、2026-10-12、2026-10-13、2026-10-14、2026-10-15、2026-10-16、2026-10-17</v>
      </c>
      <c r="Y1039" s="8" t="str">
        <v>无</v>
      </c>
      <c r="Z1039" s="8" t="n">
        <v>2</v>
      </c>
      <c r="AA1039" s="8" t="n">
        <v>0</v>
      </c>
      <c r="AB1039" s="8" t="n">
        <v>7</v>
      </c>
      <c r="AC1039" s="8" t="str">
        <v>2026-10-02 至 2026-10-17</v>
      </c>
      <c r="AD1039" s="8" t="str">
        <v>2026-10-02、2026-10-03、2026-10-04、2026-10-05、2026-10-08、2026-10-09、2026-10-10、2026-10-11、2026-10-12、2026-10-13、2026-10-14、2026-10-15、2026-10-16、2026-10-17</v>
      </c>
      <c r="AE1039" s="8" t="str">
        <v>2026-10-06 大促；2026-10-07 大促</v>
      </c>
      <c r="AF1039" s="8" t="n">
        <v>4</v>
      </c>
      <c r="AG1039" s="8" t="n">
        <v>1</v>
      </c>
      <c r="AH1039" s="8" t="n">
        <v>14</v>
      </c>
      <c r="AI1039" s="8" t="str">
        <v>2026-09-16 至 2026-10-17</v>
      </c>
      <c r="AJ10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39" s="8" t="str">
        <v>2026-10-06 大促；2026-10-07 大促</v>
      </c>
      <c r="AL1039" s="8" t="n">
        <v>6</v>
      </c>
      <c r="AM1039" s="8" t="n">
        <v>1</v>
      </c>
      <c r="AN1039" s="8" t="n">
        <v>30</v>
      </c>
      <c r="AO1039" s="8" t="str">
        <v>B07 / 黑色PU / 13306</v>
      </c>
      <c r="AP1039" s="11" t="n">
        <v>0.7307750238224848</v>
      </c>
      <c r="AQ1039" s="11" t="n">
        <v>0.7307750238224848</v>
      </c>
      <c r="AR1039" s="11" t="n">
        <v>0.7449809054134506</v>
      </c>
      <c r="AS1039" s="11" t="n">
        <f>IF(AND(COUNT(I1039:K1039,AP1039:AR1039)=6,MIN(AP1039:AR1039)&gt;0),I1039/7/AP1039*0.5+J1039/14/AQ1039*0.3+K1039/30/AR1039*0.2,"")</f>
        <v>0.32820027566865084</v>
      </c>
      <c r="AT1039" s="8" t="n">
        <v>16</v>
      </c>
      <c r="AU1039" s="8" t="n">
        <v>1</v>
      </c>
      <c r="AV1039" s="8" t="n">
        <v>88</v>
      </c>
      <c r="AW1039" s="11" t="n">
        <f>IF(AND(COUNT(AT1039:AV1039)=3,AT1039&gt;=AU1039,AU1039&gt;=0,AV1039&gt;0),(AT1039-AU1039)/AV1039,"")</f>
        <v>0.17045454545454544</v>
      </c>
      <c r="AX1039" s="8" t="n">
        <v>31</v>
      </c>
      <c r="AY1039" s="8" t="n">
        <v>1</v>
      </c>
      <c r="AZ1039" s="8" t="n">
        <v>178</v>
      </c>
      <c r="BA1039" s="11" t="n">
        <f>IF(AND(COUNT(AX1039:AZ1039)=3,AX1039&gt;=AY1039,AY1039&gt;=0,AZ1039&gt;0),(AX1039-AY1039)/AZ1039,"")</f>
        <v>0.16853932584269662</v>
      </c>
      <c r="BB1039" s="8" t="n">
        <f>IF(COUNT(AS1039,AW1039,BA1039)=3,1,0)</f>
        <v>1</v>
      </c>
      <c r="BC1039" s="11" t="n">
        <f>IF(SUMIF($AO$11:$AO$1309,AO1039,$BB$11:$BB$1309)=COUNTIF($AO$11:$AO$1309,AO1039),SUMIF($AO$11:$AO$1309,AO1039,$AS$11:$AS$1309),"")</f>
        <v>1.9452610587450656</v>
      </c>
      <c r="BD1039" s="11" t="n">
        <f>IF(SUMIF($AO$11:$AO$1309,AO1039,$BB$11:$BB$1309)=COUNTIF($AO$11:$AO$1309,AO1039),SUMIF($AO$11:$AO$1309,AO1039,$AW$11:$AW$1309),"")</f>
        <v>0.8570855614973261</v>
      </c>
      <c r="BE1039" s="11" t="n">
        <f>IF(SUMIF($AO$11:$AO$1309,AO1039,$BB$11:$BB$1309)=COUNTIF($AO$11:$AO$1309,AO1039),SUMIF($AO$11:$AO$1309,AO1039,$BA$11:$BA$1309),"")</f>
        <v>1.091589085072231</v>
      </c>
      <c r="BF1039" s="12" t="n">
        <f>IF(COUNT(BD1039:BE1039)&lt;&gt;2,"",IF(AND(BD1039&gt;0,BE1039&gt;0),0.7*AW1039/BD1039+0.3*BA1039/BE1039,IF(BD1039&gt;0,AW1039/BD1039,IF(BE1039&gt;0,BA1039/BE1039,IF(AND(ISNUMBER(BH1039),BH1039=0),0,"")))))</f>
        <v>0.18553329359540258</v>
      </c>
      <c r="BG1039" s="11" t="n">
        <f>IF(AND(COUNT(BN1039:BU1039)=8,MIN(BN1039:BU1039)&gt;=0),SUMPRODUCT(BN1039:BQ1039,BR1039:BU1039),"")</f>
        <v>78.35892944347341</v>
      </c>
      <c r="BH1039" s="11" t="n">
        <f>IF(COUNT(BC1039,BG1039)=2,BC1039*BG1039,"")</f>
        <v>152.428574051341</v>
      </c>
      <c r="BI1039" s="11" t="n">
        <f>IF(ISNUMBER(CI1039),CI1039,"")</f>
        <v>28.280575381796012</v>
      </c>
      <c r="BJ1039" s="8" t="str">
        <v>低销提醒依据不完整</v>
      </c>
      <c r="BK1039" s="8" t="str">
        <v>90天：2026-07-20 至 2026-10-17；180天：2026-04-21 至 2026-10-17</v>
      </c>
      <c r="BL1039" s="8" t="str">
        <v>90天：2026-10-06、2026-10-07；180天：2026-10-06、2026-10-07</v>
      </c>
      <c r="BM1039" s="8" t="str">
        <v>2026-10：12天 × 0.7307750238224848；2026-11：30天 × 0.9523018155490097；2026-12：31天 × 0.5958545198749097；2027-01：17天 × 1.3264167397065354</v>
      </c>
      <c r="BN1039" s="11" t="n">
        <v>0.7307750238224848</v>
      </c>
      <c r="BO1039" s="11" t="n">
        <v>0.9523018155490097</v>
      </c>
      <c r="BP1039" s="11" t="n">
        <v>0.5958545198749097</v>
      </c>
      <c r="BQ1039" s="11" t="n">
        <v>1.3264167397065354</v>
      </c>
      <c r="BR1039" s="8" t="n">
        <v>12</v>
      </c>
      <c r="BS1039" s="8" t="n">
        <v>30</v>
      </c>
      <c r="BT1039" s="8" t="n">
        <v>31</v>
      </c>
      <c r="BU1039" s="8" t="n">
        <v>17</v>
      </c>
      <c r="BV1039" s="11" t="n">
        <f>IF(COUNT(BC1039,BF1039)=2,BC1039*BF1039,"")</f>
        <v>0.3609106911318519</v>
      </c>
      <c r="BW1039" s="11" t="n">
        <f>IF(ISNUMBER(BN1039),BN1039,"")</f>
        <v>0.7307750238224848</v>
      </c>
      <c r="BX1039" s="14" t="n">
        <f>IF(ISNUMBER(BR1039),BR1039,"")</f>
        <v>12</v>
      </c>
      <c r="BY1039" s="13" t="n">
        <f>IF(AND(COUNT(BV1039,BW1039,BX1039)=3,MIN(BV1039,BW1039,BX1039)&gt;=0),BV1039*BW1039*BX1039,"")</f>
        <v>3.1649342269160226</v>
      </c>
      <c r="BZ1039" s="11" t="n">
        <f>IF(ISNUMBER(BO1039),BO1039,"")</f>
        <v>0.9523018155490097</v>
      </c>
      <c r="CA1039" s="14" t="n">
        <f>IF(ISNUMBER(BS1039),BS1039,"")</f>
        <v>30</v>
      </c>
      <c r="CB1039" s="13" t="n">
        <f>IF(AND(COUNT(BV1039,BZ1039,CA1039)=3,MIN(BV1039,BZ1039,CA1039)&gt;=0),BV1039*BZ1039*CA1039,"")</f>
        <v>10.310877192477314</v>
      </c>
      <c r="CC1039" s="11" t="n">
        <f>IF(ISNUMBER(BP1039),BP1039,"")</f>
        <v>0.5958545198749097</v>
      </c>
      <c r="CD1039" s="14" t="n">
        <f>IF(ISNUMBER(BT1039),BT1039,"")</f>
        <v>31</v>
      </c>
      <c r="CE1039" s="13" t="n">
        <f>IF(AND(COUNT(BV1039,CC1039,CD1039)=3,MIN(BV1039,CC1039,CD1039)&gt;=0),BV1039*CC1039*CD1039,"")</f>
        <v>6.666558264044835</v>
      </c>
      <c r="CF1039" s="11" t="n">
        <f>IF(ISNUMBER(BQ1039),BQ1039,"")</f>
        <v>1.3264167397065354</v>
      </c>
      <c r="CG1039" s="14" t="n">
        <f>IF(ISNUMBER(BU1039),BU1039,"")</f>
        <v>17</v>
      </c>
      <c r="CH1039" s="13" t="n">
        <f>IF(AND(COUNT(BV1039,CF1039,CG1039)=3,MIN(BV1039,CF1039,CG1039)&gt;=0),BV1039*CF1039*CG1039,"")</f>
        <v>8.138205698357838</v>
      </c>
      <c r="CI1039" s="13" t="n">
        <f>IF(COUNT(BY1039,CB1039,CE1039,CH1039)=4,SUM(BY1039,CB1039,CE1039,CH1039),"")</f>
        <v>28.280575381796012</v>
      </c>
    </row>
    <row r="1040" ht="72" customHeight="1">
      <c r="A1040" s="16" t="str">
        <v>B07-BKP-38-by</v>
      </c>
      <c r="B1040" s="16" t="str">
        <v>4店-彬郁-US</v>
      </c>
      <c r="C1040" s="16" t="str">
        <v>艾年</v>
      </c>
      <c r="D1040" s="26" t="n">
        <f>IF(NOT(ISNUMBER(E1040)),"",IF(OR(E1040&lt;=0,L1040=0),0,IF(OR(NOT(ISNUMBER(F1040)),F1040&lt;0),"",MIN(E1040,INT(F1040)))))</f>
        <v>0</v>
      </c>
      <c r="E1040" s="27" t="n">
        <f>IF(OR(NOT(ISNUMBER(L1040)),COUNT(M1040:O1040)&lt;&gt;3,MIN(M1040:O1040)&lt;0),"",ROUNDUP(ROUND(BI1040-SUM(M1040:O1040),10),0))</f>
        <v>-56</v>
      </c>
      <c r="F1040" s="28"/>
      <c r="G1040" s="28" t="n">
        <f>IF(AND(ISNUMBER(D1040),ISNUMBER(E1040)),IF(OR(E1040&lt;=0,L1040=0),0,E1040-D1040),"")</f>
        <v>0</v>
      </c>
      <c r="H1040" s="16" t="str">
        <f>IF(NOT(ISNUMBER(E1040)),"销量或海外库存待补",IF(OR(E1040&lt;=0,L1040=0),IF(L1040=0,"零日销，本批不发","本批无需补货"),IF(NOT(ISNUMBER(D1040)),"国内库存待补",IF(D1040=0,"国内无可用库存",IF(G1040&gt;0,"先发国内现货","按建议量发货")))))</f>
        <v>本批无需补货</v>
      </c>
      <c r="I1040" s="28" t="n">
        <f>IF(AND(COUNT(Z1040,AA1040,AB1040)=3,Z1040&gt;=AA1040,AA1040&gt;=0,AB1040=7),Z1040-AA1040,"")</f>
        <v>0</v>
      </c>
      <c r="J1040" s="28" t="n">
        <f>IF(AND(COUNT(AF1040,AG1040,AH1040)=3,AF1040&gt;=AG1040,AG1040&gt;=0,AH1040=14),AF1040-AG1040,"")</f>
        <v>0</v>
      </c>
      <c r="K1040" s="28" t="n">
        <f>IF(AND(COUNT(AL1040,AM1040,AN1040)=3,AL1040&gt;=AM1040,AM1040&gt;=0,AN1040=30),AL1040-AM1040,"")</f>
        <v>1</v>
      </c>
      <c r="L1040" s="29" t="n">
        <f>IF(ISNUMBER(BI1040),BI1040/90,"")</f>
        <v>0.06281687184328763</v>
      </c>
      <c r="M1040" s="28" t="n">
        <v>56</v>
      </c>
      <c r="N1040" s="28" t="n">
        <v>5</v>
      </c>
      <c r="O1040" s="28" t="n">
        <v>0</v>
      </c>
      <c r="P1040" s="30" t="n">
        <f>IF(AND(ISNUMBER(L1040),L1040&gt;0,COUNT(M1040:O1040)=3,MIN(M1040:O1040)&gt;=0),SUM(M1040:O1040)/L1040,"")</f>
        <v>971.0766902271054</v>
      </c>
      <c r="Q1040" s="16" t="str">
        <v>沿用原计划SKU店铺</v>
      </c>
      <c r="R1040" s="16" t="str">
        <v>未匹配</v>
      </c>
      <c r="S1040" s="16" t="str">
        <v>在售</v>
      </c>
      <c r="T1040" s="16" t="str">
        <v>B07</v>
      </c>
      <c r="U1040" s="16" t="str">
        <v>黑色PU</v>
      </c>
      <c r="V1040" s="16" t="n">
        <v>7</v>
      </c>
      <c r="W1040" s="8" t="str">
        <v>2026-10-11 至 2026-10-17</v>
      </c>
      <c r="X1040" s="8" t="str">
        <v>2026-10-11、2026-10-12、2026-10-13、2026-10-14、2026-10-15、2026-10-16、2026-10-17</v>
      </c>
      <c r="Y1040" s="8" t="str">
        <v>无</v>
      </c>
      <c r="Z1040" s="8" t="n">
        <v>0</v>
      </c>
      <c r="AA1040" s="8" t="n">
        <v>0</v>
      </c>
      <c r="AB1040" s="8" t="n">
        <v>7</v>
      </c>
      <c r="AC1040" s="8" t="str">
        <v>2026-10-02 至 2026-10-17</v>
      </c>
      <c r="AD1040" s="8" t="str">
        <v>2026-10-02、2026-10-03、2026-10-04、2026-10-05、2026-10-08、2026-10-09、2026-10-10、2026-10-11、2026-10-12、2026-10-13、2026-10-14、2026-10-15、2026-10-16、2026-10-17</v>
      </c>
      <c r="AE1040" s="8" t="str">
        <v>2026-10-06 大促；2026-10-07 大促</v>
      </c>
      <c r="AF1040" s="8" t="n">
        <v>0</v>
      </c>
      <c r="AG1040" s="8" t="n">
        <v>0</v>
      </c>
      <c r="AH1040" s="8" t="n">
        <v>14</v>
      </c>
      <c r="AI1040" s="8" t="str">
        <v>2026-09-16 至 2026-10-17</v>
      </c>
      <c r="AJ10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0" s="8" t="str">
        <v>2026-10-06 大促；2026-10-07 大促</v>
      </c>
      <c r="AL1040" s="8" t="n">
        <v>1</v>
      </c>
      <c r="AM1040" s="8" t="n">
        <v>0</v>
      </c>
      <c r="AN1040" s="8" t="n">
        <v>30</v>
      </c>
      <c r="AO1040" s="8" t="str">
        <v>B07 / 黑色PU / 13306</v>
      </c>
      <c r="AP1040" s="11" t="n">
        <v>0.7307750238224848</v>
      </c>
      <c r="AQ1040" s="11" t="n">
        <v>0.7307750238224848</v>
      </c>
      <c r="AR1040" s="11" t="n">
        <v>0.7449809054134506</v>
      </c>
      <c r="AS1040" s="11" t="n">
        <f>IF(AND(COUNT(I1040:K1040,AP1040:AR1040)=6,MIN(AP1040:AR1040)&gt;0),I1040/7/AP1040*0.5+J1040/14/AQ1040*0.3+K1040/30/AR1040*0.2,"")</f>
        <v>0.008948775221247839</v>
      </c>
      <c r="AT1040" s="8" t="n">
        <v>2</v>
      </c>
      <c r="AU1040" s="8" t="n">
        <v>0</v>
      </c>
      <c r="AV1040" s="8" t="n">
        <v>88</v>
      </c>
      <c r="AW1040" s="11" t="n">
        <f>IF(AND(COUNT(AT1040:AV1040)=3,AT1040&gt;=AU1040,AU1040&gt;=0,AV1040&gt;0),(AT1040-AU1040)/AV1040,"")</f>
        <v>0.022727272727272728</v>
      </c>
      <c r="AX1040" s="8" t="n">
        <v>12</v>
      </c>
      <c r="AY1040" s="8" t="n">
        <v>0</v>
      </c>
      <c r="AZ1040" s="8" t="n">
        <v>178</v>
      </c>
      <c r="BA1040" s="11" t="n">
        <f>IF(AND(COUNT(AX1040:AZ1040)=3,AX1040&gt;=AY1040,AY1040&gt;=0,AZ1040&gt;0),(AX1040-AY1040)/AZ1040,"")</f>
        <v>0.06741573033707865</v>
      </c>
      <c r="BB1040" s="8" t="n">
        <f>IF(COUNT(AS1040,AW1040,BA1040)=3,1,0)</f>
        <v>1</v>
      </c>
      <c r="BC1040" s="11" t="n">
        <f>IF(SUMIF($AO$11:$AO$1309,AO1040,$BB$11:$BB$1309)=COUNTIF($AO$11:$AO$1309,AO1040),SUMIF($AO$11:$AO$1309,AO1040,$AS$11:$AS$1309),"")</f>
        <v>1.9452610587450656</v>
      </c>
      <c r="BD1040" s="11" t="n">
        <f>IF(SUMIF($AO$11:$AO$1309,AO1040,$BB$11:$BB$1309)=COUNTIF($AO$11:$AO$1309,AO1040),SUMIF($AO$11:$AO$1309,AO1040,$AW$11:$AW$1309),"")</f>
        <v>0.8570855614973261</v>
      </c>
      <c r="BE1040" s="11" t="n">
        <f>IF(SUMIF($AO$11:$AO$1309,AO1040,$BB$11:$BB$1309)=COUNTIF($AO$11:$AO$1309,AO1040),SUMIF($AO$11:$AO$1309,AO1040,$BA$11:$BA$1309),"")</f>
        <v>1.091589085072231</v>
      </c>
      <c r="BF1040" s="12" t="n">
        <f>IF(COUNT(BD1040:BE1040)&lt;&gt;2,"",IF(AND(BD1040&gt;0,BE1040&gt;0),0.7*AW1040/BD1040+0.3*BA1040/BE1040,IF(BD1040&gt;0,AW1040/BD1040,IF(BE1040&gt;0,BA1040/BE1040,IF(AND(ISNUMBER(BH1040),BH1040=0),0,"")))))</f>
        <v>0.03708962378662461</v>
      </c>
      <c r="BG1040" s="11" t="n">
        <f>IF(AND(COUNT(BN1040:BU1040)=8,MIN(BN1040:BU1040)&gt;=0),SUMPRODUCT(BN1040:BQ1040,BR1040:BU1040),"")</f>
        <v>78.35892944347341</v>
      </c>
      <c r="BH1040" s="11" t="n">
        <f>IF(COUNT(BC1040,BG1040)=2,BC1040*BG1040,"")</f>
        <v>152.428574051341</v>
      </c>
      <c r="BI1040" s="11" t="n">
        <f>IF(ISNUMBER(CI1040),CI1040,"")</f>
        <v>5.653518465895887</v>
      </c>
      <c r="BJ1040" s="8" t="str">
        <v>低销提醒依据不完整</v>
      </c>
      <c r="BK1040" s="8" t="str">
        <v>90天：2026-07-20 至 2026-10-17；180天：2026-04-21 至 2026-10-17</v>
      </c>
      <c r="BL1040" s="8" t="str">
        <v>90天：2026-10-06、2026-10-07；180天：2026-10-06、2026-10-07</v>
      </c>
      <c r="BM1040" s="8" t="str">
        <v>2026-10：12天 × 0.7307750238224848；2026-11：30天 × 0.9523018155490097；2026-12：31天 × 0.5958545198749097；2027-01：17天 × 1.3264167397065354</v>
      </c>
      <c r="BN1040" s="11" t="n">
        <v>0.7307750238224848</v>
      </c>
      <c r="BO1040" s="11" t="n">
        <v>0.9523018155490097</v>
      </c>
      <c r="BP1040" s="11" t="n">
        <v>0.5958545198749097</v>
      </c>
      <c r="BQ1040" s="11" t="n">
        <v>1.3264167397065354</v>
      </c>
      <c r="BR1040" s="8" t="n">
        <v>12</v>
      </c>
      <c r="BS1040" s="8" t="n">
        <v>30</v>
      </c>
      <c r="BT1040" s="8" t="n">
        <v>31</v>
      </c>
      <c r="BU1040" s="8" t="n">
        <v>17</v>
      </c>
      <c r="BV1040" s="11" t="n">
        <f>IF(COUNT(BC1040,BF1040)=2,BC1040*BF1040,"")</f>
        <v>0.07214900083562556</v>
      </c>
      <c r="BW1040" s="11" t="n">
        <f>IF(ISNUMBER(BN1040),BN1040,"")</f>
        <v>0.7307750238224848</v>
      </c>
      <c r="BX1040" s="14" t="n">
        <f>IF(ISNUMBER(BR1040),BR1040,"")</f>
        <v>12</v>
      </c>
      <c r="BY1040" s="13" t="n">
        <f>IF(AND(COUNT(BV1040,BW1040,BX1040)=3,MIN(BV1040,BW1040,BX1040)&gt;=0),BV1040*BW1040*BX1040,"")</f>
        <v>0.6326962536530729</v>
      </c>
      <c r="BZ1040" s="11" t="n">
        <f>IF(ISNUMBER(BO1040),BO1040,"")</f>
        <v>0.9523018155490097</v>
      </c>
      <c r="CA1040" s="14" t="n">
        <f>IF(ISNUMBER(BS1040),BS1040,"")</f>
        <v>30</v>
      </c>
      <c r="CB1040" s="13" t="n">
        <f>IF(AND(COUNT(BV1040,BZ1040,CA1040)=3,MIN(BV1040,BZ1040,CA1040)&gt;=0),BV1040*BZ1040*CA1040,"")</f>
        <v>2.0612287345743976</v>
      </c>
      <c r="CC1040" s="11" t="n">
        <f>IF(ISNUMBER(BP1040),BP1040,"")</f>
        <v>0.5958545198749097</v>
      </c>
      <c r="CD1040" s="14" t="n">
        <f>IF(ISNUMBER(BT1040),BT1040,"")</f>
        <v>31</v>
      </c>
      <c r="CE1040" s="13" t="n">
        <f>IF(AND(COUNT(BV1040,CC1040,CD1040)=3,MIN(BV1040,CC1040,CD1040)&gt;=0),BV1040*CC1040*CD1040,"")</f>
        <v>1.3326995558233499</v>
      </c>
      <c r="CF1040" s="11" t="n">
        <f>IF(ISNUMBER(BQ1040),BQ1040,"")</f>
        <v>1.3264167397065354</v>
      </c>
      <c r="CG1040" s="14" t="n">
        <f>IF(ISNUMBER(BU1040),BU1040,"")</f>
        <v>17</v>
      </c>
      <c r="CH1040" s="13" t="n">
        <f>IF(AND(COUNT(BV1040,CF1040,CG1040)=3,MIN(BV1040,CF1040,CG1040)&gt;=0),BV1040*CF1040*CG1040,"")</f>
        <v>1.6268939218450673</v>
      </c>
      <c r="CI1040" s="13" t="n">
        <f>IF(COUNT(BY1040,CB1040,CE1040,CH1040)=4,SUM(BY1040,CB1040,CE1040,CH1040),"")</f>
        <v>5.653518465895887</v>
      </c>
    </row>
    <row r="1041" ht="72" customHeight="1">
      <c r="A1041" s="16" t="str">
        <v>B07-BKP-41.5</v>
      </c>
      <c r="B1041" s="16" t="str">
        <v>4店-彬郁-US</v>
      </c>
      <c r="C1041" s="16" t="str">
        <v>艾年</v>
      </c>
      <c r="D1041" s="26" t="n">
        <f>IF(NOT(ISNUMBER(E1041)),"",IF(OR(E1041&lt;=0,L1041=0),0,IF(OR(NOT(ISNUMBER(F1041)),F1041&lt;0),"",MIN(E1041,INT(F1041)))))</f>
        <v>0</v>
      </c>
      <c r="E1041" s="27" t="n">
        <f>IF(OR(NOT(ISNUMBER(L1041)),COUNT(M1041:O1041)&lt;&gt;3,MIN(M1041:O1041)&lt;0),"",ROUNDUP(ROUND(BI1041-SUM(M1041:O1041),10),0))</f>
        <v>-11</v>
      </c>
      <c r="F1041" s="28" t="n">
        <v>0</v>
      </c>
      <c r="G1041" s="28" t="n">
        <f>IF(AND(ISNUMBER(D1041),ISNUMBER(E1041)),IF(OR(E1041&lt;=0,L1041=0),0,E1041-D1041),"")</f>
        <v>0</v>
      </c>
      <c r="H1041" s="16" t="str">
        <f>IF(NOT(ISNUMBER(E1041)),"销量或海外库存待补",IF(OR(E1041&lt;=0,L1041=0),IF(L1041=0,"零日销，本批不发","本批无需补货"),IF(NOT(ISNUMBER(D1041)),"国内库存待补",IF(D1041=0,"国内无可用库存",IF(G1041&gt;0,"先发国内现货","按建议量发货")))))</f>
        <v>本批无需补货</v>
      </c>
      <c r="I1041" s="28" t="n">
        <f>IF(AND(COUNT(Z1041,AA1041,AB1041)=3,Z1041&gt;=AA1041,AA1041&gt;=0,AB1041=7),Z1041-AA1041,"")</f>
        <v>2</v>
      </c>
      <c r="J1041" s="28" t="n">
        <f>IF(AND(COUNT(AF1041,AG1041,AH1041)=3,AF1041&gt;=AG1041,AG1041&gt;=0,AH1041=14),AF1041-AG1041,"")</f>
        <v>2</v>
      </c>
      <c r="K1041" s="28" t="n">
        <f>IF(AND(COUNT(AL1041,AM1041,AN1041)=3,AL1041&gt;=AM1041,AM1041&gt;=0,AN1041=30),AL1041-AM1041,"")</f>
        <v>3</v>
      </c>
      <c r="L1041" s="29" t="n">
        <f>IF(ISNUMBER(BI1041),BI1041/90,"")</f>
        <v>0.09951294100205071</v>
      </c>
      <c r="M1041" s="28" t="n">
        <v>16</v>
      </c>
      <c r="N1041" s="28" t="n">
        <v>0</v>
      </c>
      <c r="O1041" s="28" t="n">
        <v>3</v>
      </c>
      <c r="P1041" s="30" t="n">
        <f>IF(AND(ISNUMBER(L1041),L1041&gt;0,COUNT(M1041:O1041)=3,MIN(M1041:O1041)&gt;=0),SUM(M1041:O1041)/L1041,"")</f>
        <v>190.92994145965858</v>
      </c>
      <c r="Q1041" s="16" t="str">
        <v>沿用原计划SKU店铺</v>
      </c>
      <c r="R1041" s="16" t="str">
        <v>已匹配</v>
      </c>
      <c r="S1041" s="16" t="str">
        <v>在售</v>
      </c>
      <c r="T1041" s="16" t="str">
        <v>B07</v>
      </c>
      <c r="U1041" s="16" t="str">
        <v>黑色PU</v>
      </c>
      <c r="V1041" s="16" t="n">
        <v>10.5</v>
      </c>
      <c r="W1041" s="8" t="str">
        <v>2026-10-11 至 2026-10-17</v>
      </c>
      <c r="X1041" s="8" t="str">
        <v>2026-10-11、2026-10-12、2026-10-13、2026-10-14、2026-10-15、2026-10-16、2026-10-17</v>
      </c>
      <c r="Y1041" s="8" t="str">
        <v>无</v>
      </c>
      <c r="Z1041" s="8" t="n">
        <v>2</v>
      </c>
      <c r="AA1041" s="8" t="n">
        <v>0</v>
      </c>
      <c r="AB1041" s="8" t="n">
        <v>7</v>
      </c>
      <c r="AC1041" s="8" t="str">
        <v>2026-10-02 至 2026-10-17</v>
      </c>
      <c r="AD1041" s="8" t="str">
        <v>2026-10-02、2026-10-03、2026-10-04、2026-10-05、2026-10-08、2026-10-09、2026-10-10、2026-10-11、2026-10-12、2026-10-13、2026-10-14、2026-10-15、2026-10-16、2026-10-17</v>
      </c>
      <c r="AE1041" s="8" t="str">
        <v>2026-10-06 大促；2026-10-07 大促</v>
      </c>
      <c r="AF1041" s="8" t="n">
        <v>2</v>
      </c>
      <c r="AG1041" s="8" t="n">
        <v>0</v>
      </c>
      <c r="AH1041" s="8" t="n">
        <v>14</v>
      </c>
      <c r="AI1041" s="8" t="str">
        <v>2026-09-16 至 2026-10-17</v>
      </c>
      <c r="AJ10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1" s="8" t="str">
        <v>2026-10-06 大促；2026-10-07 大促</v>
      </c>
      <c r="AL1041" s="8" t="n">
        <v>3</v>
      </c>
      <c r="AM1041" s="8" t="n">
        <v>0</v>
      </c>
      <c r="AN1041" s="8" t="n">
        <v>30</v>
      </c>
      <c r="AO1041" s="8" t="str">
        <v>B07 / 黑色PU / 13306</v>
      </c>
      <c r="AP1041" s="11" t="n">
        <v>0.7307750238224848</v>
      </c>
      <c r="AQ1041" s="11" t="n">
        <v>0.7307750238224848</v>
      </c>
      <c r="AR1041" s="11" t="n">
        <v>0.7449809054134506</v>
      </c>
      <c r="AS1041" s="11" t="n">
        <f>IF(AND(COUNT(I1041:K1041,AP1041:AR1041)=6,MIN(AP1041:AR1041)&gt;0),I1041/7/AP1041*0.5+J1041/14/AQ1041*0.3+K1041/30/AR1041*0.2,"")</f>
        <v>0.28097964940935394</v>
      </c>
      <c r="AT1041" s="8" t="n">
        <v>5</v>
      </c>
      <c r="AU1041" s="8" t="n">
        <v>0</v>
      </c>
      <c r="AV1041" s="8" t="n">
        <v>88</v>
      </c>
      <c r="AW1041" s="11" t="n">
        <f>IF(AND(COUNT(AT1041:AV1041)=3,AT1041&gt;=AU1041,AU1041&gt;=0,AV1041&gt;0),(AT1041-AU1041)/AV1041,"")</f>
        <v>0.056818181818181816</v>
      </c>
      <c r="AX1041" s="8" t="n">
        <v>8</v>
      </c>
      <c r="AY1041" s="8" t="n">
        <v>0</v>
      </c>
      <c r="AZ1041" s="8" t="n">
        <v>178</v>
      </c>
      <c r="BA1041" s="11" t="n">
        <f>IF(AND(COUNT(AX1041:AZ1041)=3,AX1041&gt;=AY1041,AY1041&gt;=0,AZ1041&gt;0),(AX1041-AY1041)/AZ1041,"")</f>
        <v>0.0449438202247191</v>
      </c>
      <c r="BB1041" s="8" t="n">
        <f>IF(COUNT(AS1041,AW1041,BA1041)=3,1,0)</f>
        <v>1</v>
      </c>
      <c r="BC1041" s="11" t="n">
        <f>IF(SUMIF($AO$11:$AO$1309,AO1041,$BB$11:$BB$1309)=COUNTIF($AO$11:$AO$1309,AO1041),SUMIF($AO$11:$AO$1309,AO1041,$AS$11:$AS$1309),"")</f>
        <v>1.9452610587450656</v>
      </c>
      <c r="BD1041" s="11" t="n">
        <f>IF(SUMIF($AO$11:$AO$1309,AO1041,$BB$11:$BB$1309)=COUNTIF($AO$11:$AO$1309,AO1041),SUMIF($AO$11:$AO$1309,AO1041,$AW$11:$AW$1309),"")</f>
        <v>0.8570855614973261</v>
      </c>
      <c r="BE1041" s="11" t="n">
        <f>IF(SUMIF($AO$11:$AO$1309,AO1041,$BB$11:$BB$1309)=COUNTIF($AO$11:$AO$1309,AO1041),SUMIF($AO$11:$AO$1309,AO1041,$BA$11:$BA$1309),"")</f>
        <v>1.091589085072231</v>
      </c>
      <c r="BF1041" s="12" t="n">
        <f>IF(COUNT(BD1041:BE1041)&lt;&gt;2,"",IF(AND(BD1041&gt;0,BE1041&gt;0),0.7*AW1041/BD1041+0.3*BA1041/BE1041,IF(BD1041&gt;0,AW1041/BD1041,IF(BE1041&gt;0,BA1041/BE1041,IF(AND(ISNUMBER(BH1041),BH1041=0),0,"")))))</f>
        <v>0.05875646837165813</v>
      </c>
      <c r="BG1041" s="11" t="n">
        <f>IF(AND(COUNT(BN1041:BU1041)=8,MIN(BN1041:BU1041)&gt;=0),SUMPRODUCT(BN1041:BQ1041,BR1041:BU1041),"")</f>
        <v>78.35892944347341</v>
      </c>
      <c r="BH1041" s="11" t="n">
        <f>IF(COUNT(BC1041,BG1041)=2,BC1041*BG1041,"")</f>
        <v>152.428574051341</v>
      </c>
      <c r="BI1041" s="11" t="n">
        <f>IF(ISNUMBER(CI1041),CI1041,"")</f>
        <v>8.956164690184565</v>
      </c>
      <c r="BJ1041" s="8" t="str">
        <v>低销提醒依据不完整</v>
      </c>
      <c r="BK1041" s="8" t="str">
        <v>90天：2026-07-20 至 2026-10-17；180天：2026-04-21 至 2026-10-17</v>
      </c>
      <c r="BL1041" s="8" t="str">
        <v>90天：2026-10-06、2026-10-07；180天：2026-10-06、2026-10-07</v>
      </c>
      <c r="BM1041" s="8" t="str">
        <v>2026-10：12天 × 0.7307750238224848；2026-11：30天 × 0.9523018155490097；2026-12：31天 × 0.5958545198749097；2027-01：17天 × 1.3264167397065354</v>
      </c>
      <c r="BN1041" s="11" t="n">
        <v>0.7307750238224848</v>
      </c>
      <c r="BO1041" s="11" t="n">
        <v>0.9523018155490097</v>
      </c>
      <c r="BP1041" s="11" t="n">
        <v>0.5958545198749097</v>
      </c>
      <c r="BQ1041" s="11" t="n">
        <v>1.3264167397065354</v>
      </c>
      <c r="BR1041" s="8" t="n">
        <v>12</v>
      </c>
      <c r="BS1041" s="8" t="n">
        <v>30</v>
      </c>
      <c r="BT1041" s="8" t="n">
        <v>31</v>
      </c>
      <c r="BU1041" s="8" t="n">
        <v>17</v>
      </c>
      <c r="BV1041" s="11" t="n">
        <f>IF(COUNT(BC1041,BF1041)=2,BC1041*BF1041,"")</f>
        <v>0.11429666987277265</v>
      </c>
      <c r="BW1041" s="11" t="n">
        <f>IF(ISNUMBER(BN1041),BN1041,"")</f>
        <v>0.7307750238224848</v>
      </c>
      <c r="BX1041" s="14" t="n">
        <f>IF(ISNUMBER(BR1041),BR1041,"")</f>
        <v>12</v>
      </c>
      <c r="BY1041" s="13" t="n">
        <f>IF(AND(COUNT(BV1041,BW1041,BX1041)=3,MIN(BV1041,BW1041,BX1041)&gt;=0),BV1041*BW1041*BX1041,"")</f>
        <v>1.0023018197892735</v>
      </c>
      <c r="BZ1041" s="11" t="n">
        <f>IF(ISNUMBER(BO1041),BO1041,"")</f>
        <v>0.9523018155490097</v>
      </c>
      <c r="CA1041" s="14" t="n">
        <f>IF(ISNUMBER(BS1041),BS1041,"")</f>
        <v>30</v>
      </c>
      <c r="CB1041" s="13" t="n">
        <f>IF(AND(COUNT(BV1041,BZ1041,CA1041)=3,MIN(BV1041,BZ1041,CA1041)&gt;=0),BV1041*BZ1041*CA1041,"")</f>
        <v>3.265347786931416</v>
      </c>
      <c r="CC1041" s="11" t="n">
        <f>IF(ISNUMBER(BP1041),BP1041,"")</f>
        <v>0.5958545198749097</v>
      </c>
      <c r="CD1041" s="14" t="n">
        <f>IF(ISNUMBER(BT1041),BT1041,"")</f>
        <v>31</v>
      </c>
      <c r="CE1041" s="13" t="n">
        <f>IF(AND(COUNT(BV1041,CC1041,CD1041)=3,MIN(BV1041,CC1041,CD1041)&gt;=0),BV1041*CC1041*CD1041,"")</f>
        <v>2.111229807860602</v>
      </c>
      <c r="CF1041" s="11" t="n">
        <f>IF(ISNUMBER(BQ1041),BQ1041,"")</f>
        <v>1.3264167397065354</v>
      </c>
      <c r="CG1041" s="14" t="n">
        <f>IF(ISNUMBER(BU1041),BU1041,"")</f>
        <v>17</v>
      </c>
      <c r="CH1041" s="13" t="n">
        <f>IF(AND(COUNT(BV1041,CF1041,CG1041)=3,MIN(BV1041,CF1041,CG1041)&gt;=0),BV1041*CF1041*CG1041,"")</f>
        <v>2.577285275603274</v>
      </c>
      <c r="CI1041" s="13" t="n">
        <f>IF(COUNT(BY1041,CB1041,CE1041,CH1041)=4,SUM(BY1041,CB1041,CE1041,CH1041),"")</f>
        <v>8.956164690184565</v>
      </c>
    </row>
    <row r="1042" ht="72" customHeight="1">
      <c r="A1042" s="16" t="str">
        <v>B07-BKP-42-New</v>
      </c>
      <c r="B1042" s="16" t="str">
        <v>4店-彬郁-US</v>
      </c>
      <c r="C1042" s="16" t="str">
        <v>艾年</v>
      </c>
      <c r="D1042" s="26" t="n">
        <f>IF(NOT(ISNUMBER(E1042)),"",IF(OR(E1042&lt;=0,L1042=0),0,IF(OR(NOT(ISNUMBER(F1042)),F1042&lt;0),"",MIN(E1042,INT(F1042)))))</f>
        <v>0</v>
      </c>
      <c r="E1042" s="27" t="n">
        <f>IF(OR(NOT(ISNUMBER(L1042)),COUNT(M1042:O1042)&lt;&gt;3,MIN(M1042:O1042)&lt;0),"",ROUNDUP(ROUND(BI1042-SUM(M1042:O1042),10),0))</f>
        <v>-4</v>
      </c>
      <c r="F1042" s="28" t="n">
        <v>0</v>
      </c>
      <c r="G1042" s="28" t="n">
        <f>IF(AND(ISNUMBER(D1042),ISNUMBER(E1042)),IF(OR(E1042&lt;=0,L1042=0),0,E1042-D1042),"")</f>
        <v>0</v>
      </c>
      <c r="H1042" s="16" t="str">
        <f>IF(NOT(ISNUMBER(E1042)),"销量或海外库存待补",IF(OR(E1042&lt;=0,L1042=0),IF(L1042=0,"零日销，本批不发","本批无需补货"),IF(NOT(ISNUMBER(D1042)),"国内库存待补",IF(D1042=0,"国内无可用库存",IF(G1042&gt;0,"先发国内现货","按建议量发货")))))</f>
        <v>本批无需补货</v>
      </c>
      <c r="I1042" s="28" t="n">
        <f>IF(AND(COUNT(Z1042,AA1042,AB1042)=3,Z1042&gt;=AA1042,AA1042&gt;=0,AB1042=7),Z1042-AA1042,"")</f>
        <v>0</v>
      </c>
      <c r="J1042" s="28" t="n">
        <f>IF(AND(COUNT(AF1042,AG1042,AH1042)=3,AF1042&gt;=AG1042,AG1042&gt;=0,AH1042=14),AF1042-AG1042,"")</f>
        <v>0</v>
      </c>
      <c r="K1042" s="28" t="n">
        <f>IF(AND(COUNT(AL1042,AM1042,AN1042)=3,AL1042&gt;=AM1042,AM1042&gt;=0,AN1042=30),AL1042-AM1042,"")</f>
        <v>0</v>
      </c>
      <c r="L1042" s="29" t="n">
        <f>IF(ISNUMBER(BI1042),BI1042/90,"")</f>
        <v>0.057586941060908683</v>
      </c>
      <c r="M1042" s="28" t="n">
        <v>9</v>
      </c>
      <c r="N1042" s="28" t="n">
        <v>0</v>
      </c>
      <c r="O1042" s="28" t="n">
        <v>0</v>
      </c>
      <c r="P1042" s="30" t="n">
        <f>IF(AND(ISNUMBER(L1042),L1042&gt;0,COUNT(M1042:O1042)=3,MIN(M1042:O1042)&gt;=0),SUM(M1042:O1042)/L1042,"")</f>
        <v>156.2854326726759</v>
      </c>
      <c r="Q1042" s="16" t="str">
        <v>沿用原计划SKU店铺</v>
      </c>
      <c r="R1042" s="16" t="str">
        <v>已匹配</v>
      </c>
      <c r="S1042" s="16" t="str">
        <v>在售</v>
      </c>
      <c r="T1042" s="16" t="str">
        <v>B07</v>
      </c>
      <c r="U1042" s="16" t="str">
        <v>黑色PU</v>
      </c>
      <c r="V1042" s="16" t="n">
        <v>11</v>
      </c>
      <c r="W1042" s="8" t="str">
        <v>2026-10-11 至 2026-10-17</v>
      </c>
      <c r="X1042" s="8" t="str">
        <v>2026-10-11、2026-10-12、2026-10-13、2026-10-14、2026-10-15、2026-10-16、2026-10-17</v>
      </c>
      <c r="Y1042" s="8" t="str">
        <v>无</v>
      </c>
      <c r="Z1042" s="8" t="n">
        <v>0</v>
      </c>
      <c r="AA1042" s="8" t="n">
        <v>0</v>
      </c>
      <c r="AB1042" s="8" t="n">
        <v>7</v>
      </c>
      <c r="AC1042" s="8" t="str">
        <v>2026-10-02 至 2026-10-17</v>
      </c>
      <c r="AD1042" s="8" t="str">
        <v>2026-10-02、2026-10-03、2026-10-04、2026-10-05、2026-10-08、2026-10-09、2026-10-10、2026-10-11、2026-10-12、2026-10-13、2026-10-14、2026-10-15、2026-10-16、2026-10-17</v>
      </c>
      <c r="AE1042" s="8" t="str">
        <v>2026-10-06 大促；2026-10-07 大促</v>
      </c>
      <c r="AF1042" s="8" t="n">
        <v>0</v>
      </c>
      <c r="AG1042" s="8" t="n">
        <v>0</v>
      </c>
      <c r="AH1042" s="8" t="n">
        <v>14</v>
      </c>
      <c r="AI1042" s="8" t="str">
        <v>2026-09-16 至 2026-10-17</v>
      </c>
      <c r="AJ10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2" s="8" t="str">
        <v>2026-10-06 大促；2026-10-07 大促</v>
      </c>
      <c r="AL1042" s="8" t="n">
        <v>0</v>
      </c>
      <c r="AM1042" s="8" t="n">
        <v>0</v>
      </c>
      <c r="AN1042" s="8" t="n">
        <v>30</v>
      </c>
      <c r="AO1042" s="8" t="str">
        <v>B07 / 黑色PU / 13306</v>
      </c>
      <c r="AP1042" s="11" t="n">
        <v>0.7307750238224848</v>
      </c>
      <c r="AQ1042" s="11" t="n">
        <v>0.7307750238224848</v>
      </c>
      <c r="AR1042" s="11" t="n">
        <v>0.7449809054134506</v>
      </c>
      <c r="AS1042" s="11" t="n">
        <f>IF(AND(COUNT(I1042:K1042,AP1042:AR1042)=6,MIN(AP1042:AR1042)&gt;0),I1042/7/AP1042*0.5+J1042/14/AQ1042*0.3+K1042/30/AR1042*0.2,"")</f>
        <v>0</v>
      </c>
      <c r="AT1042" s="8" t="n">
        <v>2</v>
      </c>
      <c r="AU1042" s="8" t="n">
        <v>0</v>
      </c>
      <c r="AV1042" s="8" t="n">
        <v>88</v>
      </c>
      <c r="AW1042" s="11" t="n">
        <f>IF(AND(COUNT(AT1042:AV1042)=3,AT1042&gt;=AU1042,AU1042&gt;=0,AV1042&gt;0),(AT1042-AU1042)/AV1042,"")</f>
        <v>0.022727272727272728</v>
      </c>
      <c r="AX1042" s="8" t="n">
        <v>10</v>
      </c>
      <c r="AY1042" s="8" t="n">
        <v>0</v>
      </c>
      <c r="AZ1042" s="8" t="n">
        <v>178</v>
      </c>
      <c r="BA1042" s="11" t="n">
        <f>IF(AND(COUNT(AX1042:AZ1042)=3,AX1042&gt;=AY1042,AY1042&gt;=0,AZ1042&gt;0),(AX1042-AY1042)/AZ1042,"")</f>
        <v>0.056179775280898875</v>
      </c>
      <c r="BB1042" s="8" t="n">
        <f>IF(COUNT(AS1042,AW1042,BA1042)=3,1,0)</f>
        <v>1</v>
      </c>
      <c r="BC1042" s="11" t="n">
        <f>IF(SUMIF($AO$11:$AO$1309,AO1042,$BB$11:$BB$1309)=COUNTIF($AO$11:$AO$1309,AO1042),SUMIF($AO$11:$AO$1309,AO1042,$AS$11:$AS$1309),"")</f>
        <v>1.9452610587450656</v>
      </c>
      <c r="BD1042" s="11" t="n">
        <f>IF(SUMIF($AO$11:$AO$1309,AO1042,$BB$11:$BB$1309)=COUNTIF($AO$11:$AO$1309,AO1042),SUMIF($AO$11:$AO$1309,AO1042,$AW$11:$AW$1309),"")</f>
        <v>0.8570855614973261</v>
      </c>
      <c r="BE1042" s="11" t="n">
        <f>IF(SUMIF($AO$11:$AO$1309,AO1042,$BB$11:$BB$1309)=COUNTIF($AO$11:$AO$1309,AO1042),SUMIF($AO$11:$AO$1309,AO1042,$BA$11:$BA$1309),"")</f>
        <v>1.091589085072231</v>
      </c>
      <c r="BF1042" s="12" t="n">
        <f>IF(COUNT(BD1042:BE1042)&lt;&gt;2,"",IF(AND(BD1042&gt;0,BE1042&gt;0),0.7*AW1042/BD1042+0.3*BA1042/BE1042,IF(BD1042&gt;0,AW1042/BD1042,IF(BE1042&gt;0,BA1042/BE1042,IF(AND(ISNUMBER(BH1042),BH1042=0),0,"")))))</f>
        <v>0.03400166095981521</v>
      </c>
      <c r="BG1042" s="11" t="n">
        <f>IF(AND(COUNT(BN1042:BU1042)=8,MIN(BN1042:BU1042)&gt;=0),SUMPRODUCT(BN1042:BQ1042,BR1042:BU1042),"")</f>
        <v>78.35892944347341</v>
      </c>
      <c r="BH1042" s="11" t="n">
        <f>IF(COUNT(BC1042,BG1042)=2,BC1042*BG1042,"")</f>
        <v>152.428574051341</v>
      </c>
      <c r="BI1042" s="11" t="n">
        <f>IF(ISNUMBER(CI1042),CI1042,"")</f>
        <v>5.182824695481782</v>
      </c>
      <c r="BJ1042" s="8" t="str">
        <v>低销提醒依据不完整</v>
      </c>
      <c r="BK1042" s="8" t="str">
        <v>90天：2026-07-20 至 2026-10-17；180天：2026-04-21 至 2026-10-17</v>
      </c>
      <c r="BL1042" s="8" t="str">
        <v>90天：2026-10-06、2026-10-07；180天：2026-10-06、2026-10-07</v>
      </c>
      <c r="BM1042" s="8" t="str">
        <v>2026-10：12天 × 0.7307750238224848；2026-11：30天 × 0.9523018155490097；2026-12：31天 × 0.5958545198749097；2027-01：17天 × 1.3264167397065354</v>
      </c>
      <c r="BN1042" s="11" t="n">
        <v>0.7307750238224848</v>
      </c>
      <c r="BO1042" s="11" t="n">
        <v>0.9523018155490097</v>
      </c>
      <c r="BP1042" s="11" t="n">
        <v>0.5958545198749097</v>
      </c>
      <c r="BQ1042" s="11" t="n">
        <v>1.3264167397065354</v>
      </c>
      <c r="BR1042" s="8" t="n">
        <v>12</v>
      </c>
      <c r="BS1042" s="8" t="n">
        <v>30</v>
      </c>
      <c r="BT1042" s="8" t="n">
        <v>31</v>
      </c>
      <c r="BU1042" s="8" t="n">
        <v>17</v>
      </c>
      <c r="BV1042" s="11" t="n">
        <f>IF(COUNT(BC1042,BF1042)=2,BC1042*BF1042,"")</f>
        <v>0.06614210699778089</v>
      </c>
      <c r="BW1042" s="11" t="n">
        <f>IF(ISNUMBER(BN1042),BN1042,"")</f>
        <v>0.7307750238224848</v>
      </c>
      <c r="BX1042" s="14" t="n">
        <f>IF(ISNUMBER(BR1042),BR1042,"")</f>
        <v>12</v>
      </c>
      <c r="BY1042" s="13" t="n">
        <f>IF(AND(COUNT(BV1042,BW1042,BX1042)=3,MIN(BV1042,BW1042,BX1042)&gt;=0),BV1042*BW1042*BX1042,"")</f>
        <v>0.5800199978036721</v>
      </c>
      <c r="BZ1042" s="11" t="n">
        <f>IF(ISNUMBER(BO1042),BO1042,"")</f>
        <v>0.9523018155490097</v>
      </c>
      <c r="CA1042" s="14" t="n">
        <f>IF(ISNUMBER(BS1042),BS1042,"")</f>
        <v>30</v>
      </c>
      <c r="CB1042" s="13" t="n">
        <f>IF(AND(COUNT(BV1042,BZ1042,CA1042)=3,MIN(BV1042,BZ1042,CA1042)&gt;=0),BV1042*BZ1042*CA1042,"")</f>
        <v>1.8896174573467082</v>
      </c>
      <c r="CC1042" s="11" t="n">
        <f>IF(ISNUMBER(BP1042),BP1042,"")</f>
        <v>0.5958545198749097</v>
      </c>
      <c r="CD1042" s="14" t="n">
        <f>IF(ISNUMBER(BT1042),BT1042,"")</f>
        <v>31</v>
      </c>
      <c r="CE1042" s="13" t="n">
        <f>IF(AND(COUNT(BV1042,CC1042,CD1042)=3,MIN(BV1042,CC1042,CD1042)&gt;=0),BV1042*CC1042*CD1042,"")</f>
        <v>1.2217432756690068</v>
      </c>
      <c r="CF1042" s="11" t="n">
        <f>IF(ISNUMBER(BQ1042),BQ1042,"")</f>
        <v>1.3264167397065354</v>
      </c>
      <c r="CG1042" s="14" t="n">
        <f>IF(ISNUMBER(BU1042),BU1042,"")</f>
        <v>17</v>
      </c>
      <c r="CH1042" s="13" t="n">
        <f>IF(AND(COUNT(BV1042,CF1042,CG1042)=3,MIN(BV1042,CF1042,CG1042)&gt;=0),BV1042*CF1042*CG1042,"")</f>
        <v>1.491443964662395</v>
      </c>
      <c r="CI1042" s="13" t="n">
        <f>IF(COUNT(BY1042,CB1042,CE1042,CH1042)=4,SUM(BY1042,CB1042,CE1042,CH1042),"")</f>
        <v>5.182824695481782</v>
      </c>
    </row>
    <row r="1043" ht="72" customHeight="1">
      <c r="A1043" s="16" t="str">
        <v>B07-CF-37</v>
      </c>
      <c r="B1043" s="16" t="str">
        <v>4店-彬郁-US</v>
      </c>
      <c r="C1043" s="16" t="str">
        <v>艾年</v>
      </c>
      <c r="D1043" s="26" t="n">
        <f>IF(NOT(ISNUMBER(E1043)),"",IF(OR(E1043&lt;=0,L1043=0),0,IF(OR(NOT(ISNUMBER(F1043)),F1043&lt;0),"",MIN(E1043,INT(F1043)))))</f>
        <v>0</v>
      </c>
      <c r="E1043" s="27" t="n">
        <f>IF(OR(NOT(ISNUMBER(L1043)),COUNT(M1043:O1043)&lt;&gt;3,MIN(M1043:O1043)&lt;0),"",ROUNDUP(ROUND(BI1043-SUM(M1043:O1043),10),0))</f>
        <v>-25</v>
      </c>
      <c r="F1043" s="28" t="n">
        <v>6</v>
      </c>
      <c r="G1043" s="28" t="n">
        <f>IF(AND(ISNUMBER(D1043),ISNUMBER(E1043)),IF(OR(E1043&lt;=0,L1043=0),0,E1043-D1043),"")</f>
        <v>0</v>
      </c>
      <c r="H1043" s="16" t="str">
        <f>IF(NOT(ISNUMBER(E1043)),"销量或海外库存待补",IF(OR(E1043&lt;=0,L1043=0),IF(L1043=0,"零日销，本批不发","本批无需补货"),IF(NOT(ISNUMBER(D1043)),"国内库存待补",IF(D1043=0,"国内无可用库存",IF(G1043&gt;0,"先发国内现货","按建议量发货")))))</f>
        <v>本批无需补货</v>
      </c>
      <c r="I1043" s="28" t="n">
        <f>IF(AND(COUNT(Z1043,AA1043,AB1043)=3,Z1043&gt;=AA1043,AA1043&gt;=0,AB1043=7),Z1043-AA1043,"")</f>
        <v>1</v>
      </c>
      <c r="J1043" s="28" t="n">
        <f>IF(AND(COUNT(AF1043,AG1043,AH1043)=3,AF1043&gt;=AG1043,AG1043&gt;=0,AH1043=14),AF1043-AG1043,"")</f>
        <v>3</v>
      </c>
      <c r="K1043" s="28" t="n">
        <f>IF(AND(COUNT(AL1043,AM1043,AN1043)=3,AL1043&gt;=AM1043,AM1043&gt;=0,AN1043=30),AL1043-AM1043,"")</f>
        <v>4</v>
      </c>
      <c r="L1043" s="29" t="n">
        <f>IF(ISNUMBER(BI1043),BI1043/90,"")</f>
        <v>0.045990041733100444</v>
      </c>
      <c r="M1043" s="28" t="n">
        <v>29</v>
      </c>
      <c r="N1043" s="28" t="n">
        <v>0</v>
      </c>
      <c r="O1043" s="28" t="n">
        <v>0</v>
      </c>
      <c r="P1043" s="30" t="n">
        <f>IF(AND(ISNUMBER(L1043),L1043&gt;0,COUNT(M1043:O1043)=3,MIN(M1043:O1043)&gt;=0),SUM(M1043:O1043)/L1043,"")</f>
        <v>630.5712912438566</v>
      </c>
      <c r="Q1043" s="16" t="str">
        <v>沿用原计划SKU店铺</v>
      </c>
      <c r="R1043" s="16" t="str">
        <v>已匹配</v>
      </c>
      <c r="S1043" s="16" t="str">
        <v>在售</v>
      </c>
      <c r="T1043" s="16" t="str">
        <v>B07</v>
      </c>
      <c r="U1043" s="16" t="str">
        <v>咖色PU</v>
      </c>
      <c r="V1043" s="16" t="n">
        <v>6</v>
      </c>
      <c r="W1043" s="8" t="str">
        <v>2026-10-11 至 2026-10-17</v>
      </c>
      <c r="X1043" s="8" t="str">
        <v>2026-10-11、2026-10-12、2026-10-13、2026-10-14、2026-10-15、2026-10-16、2026-10-17</v>
      </c>
      <c r="Y1043" s="8" t="str">
        <v>无</v>
      </c>
      <c r="Z1043" s="8" t="n">
        <v>1</v>
      </c>
      <c r="AA1043" s="8" t="n">
        <v>0</v>
      </c>
      <c r="AB1043" s="8" t="n">
        <v>7</v>
      </c>
      <c r="AC1043" s="8" t="str">
        <v>2026-10-02 至 2026-10-17</v>
      </c>
      <c r="AD1043" s="8" t="str">
        <v>2026-10-02、2026-10-03、2026-10-04、2026-10-05、2026-10-08、2026-10-09、2026-10-10、2026-10-11、2026-10-12、2026-10-13、2026-10-14、2026-10-15、2026-10-16、2026-10-17</v>
      </c>
      <c r="AE1043" s="8" t="str">
        <v>2026-10-06 大促；2026-10-07 大促</v>
      </c>
      <c r="AF1043" s="8" t="n">
        <v>3</v>
      </c>
      <c r="AG1043" s="8" t="n">
        <v>0</v>
      </c>
      <c r="AH1043" s="8" t="n">
        <v>14</v>
      </c>
      <c r="AI1043" s="8" t="str">
        <v>2026-09-16 至 2026-10-17</v>
      </c>
      <c r="AJ10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3" s="8" t="str">
        <v>2026-10-06 大促；2026-10-07 大促</v>
      </c>
      <c r="AL1043" s="8" t="n">
        <v>4</v>
      </c>
      <c r="AM1043" s="8" t="n">
        <v>0</v>
      </c>
      <c r="AN1043" s="8" t="n">
        <v>30</v>
      </c>
      <c r="AO1043" s="8" t="str">
        <v>B07 / 咖色PU / 13306</v>
      </c>
      <c r="AP1043" s="11" t="n">
        <v>0.7307750238224848</v>
      </c>
      <c r="AQ1043" s="11" t="n">
        <v>0.7307750238224848</v>
      </c>
      <c r="AR1043" s="11" t="n">
        <v>0.7449809054134506</v>
      </c>
      <c r="AS1043" s="11" t="n">
        <f>IF(AND(COUNT(I1043:K1043,AP1043:AR1043)=6,MIN(AP1043:AR1043)&gt;0),I1043/7/AP1043*0.5+J1043/14/AQ1043*0.3+K1043/30/AR1043*0.2,"")</f>
        <v>0.22150791439139897</v>
      </c>
      <c r="AT1043" s="8" t="n">
        <v>5</v>
      </c>
      <c r="AU1043" s="8" t="n">
        <v>0</v>
      </c>
      <c r="AV1043" s="8" t="n">
        <v>88</v>
      </c>
      <c r="AW1043" s="11" t="n">
        <f>IF(AND(COUNT(AT1043:AV1043)=3,AT1043&gt;=AU1043,AU1043&gt;=0,AV1043&gt;0),(AT1043-AU1043)/AV1043,"")</f>
        <v>0.056818181818181816</v>
      </c>
      <c r="AX1043" s="8" t="n">
        <v>12</v>
      </c>
      <c r="AY1043" s="8" t="n">
        <v>0</v>
      </c>
      <c r="AZ1043" s="8" t="n">
        <v>178</v>
      </c>
      <c r="BA1043" s="11" t="n">
        <f>IF(AND(COUNT(AX1043:AZ1043)=3,AX1043&gt;=AY1043,AY1043&gt;=0,AZ1043&gt;0),(AX1043-AY1043)/AZ1043,"")</f>
        <v>0.06741573033707865</v>
      </c>
      <c r="BB1043" s="8" t="n">
        <f>IF(COUNT(AS1043,AW1043,BA1043)=3,1,0)</f>
        <v>1</v>
      </c>
      <c r="BC1043" s="11" t="n">
        <f>IF(SUMIF($AO$11:$AO$1309,AO1043,$BB$11:$BB$1309)=COUNTIF($AO$11:$AO$1309,AO1043),SUMIF($AO$11:$AO$1309,AO1043,$AS$11:$AS$1309),"")</f>
        <v>0.6473191341094234</v>
      </c>
      <c r="BD1043" s="11" t="n">
        <f>IF(SUMIF($AO$11:$AO$1309,AO1043,$BB$11:$BB$1309)=COUNTIF($AO$11:$AO$1309,AO1043),SUMIF($AO$11:$AO$1309,AO1043,$AW$11:$AW$1309),"")</f>
        <v>0.7499999999999999</v>
      </c>
      <c r="BE1043" s="11" t="n">
        <f>IF(SUMIF($AO$11:$AO$1309,AO1043,$BB$11:$BB$1309)=COUNTIF($AO$11:$AO$1309,AO1043),SUMIF($AO$11:$AO$1309,AO1043,$BA$11:$BA$1309),"")</f>
        <v>0.7078651685393257</v>
      </c>
      <c r="BF1043" s="12" t="n">
        <f>IF(COUNT(BD1043:BE1043)&lt;&gt;2,"",IF(AND(BD1043&gt;0,BE1043&gt;0),0.7*AW1043/BD1043+0.3*BA1043/BE1043,IF(BD1043&gt;0,AW1043/BD1043,IF(BE1043&gt;0,BA1043/BE1043,IF(AND(ISNUMBER(BH1043),BH1043=0),0,"")))))</f>
        <v>0.08160173160173162</v>
      </c>
      <c r="BG1043" s="11" t="n">
        <f>IF(AND(COUNT(BN1043:BU1043)=8,MIN(BN1043:BU1043)&gt;=0),SUMPRODUCT(BN1043:BQ1043,BR1043:BU1043),"")</f>
        <v>78.35892944347341</v>
      </c>
      <c r="BH1043" s="11" t="n">
        <f>IF(COUNT(BC1043,BG1043)=2,BC1043*BG1043,"")</f>
        <v>50.72323435709062</v>
      </c>
      <c r="BI1043" s="11" t="n">
        <f>IF(ISNUMBER(CI1043),CI1043,"")</f>
        <v>4.13910375597904</v>
      </c>
      <c r="BJ1043" s="8" t="str">
        <v>低销提醒依据不完整</v>
      </c>
      <c r="BK1043" s="8" t="str">
        <v>90天：2026-07-20 至 2026-10-17；180天：2026-04-21 至 2026-10-17</v>
      </c>
      <c r="BL1043" s="8" t="str">
        <v>90天：2026-10-06、2026-10-07；180天：2026-10-06、2026-10-07</v>
      </c>
      <c r="BM1043" s="8" t="str">
        <v>2026-10：12天 × 0.7307750238224848；2026-11：30天 × 0.9523018155490097；2026-12：31天 × 0.5958545198749097；2027-01：17天 × 1.3264167397065354</v>
      </c>
      <c r="BN1043" s="11" t="n">
        <v>0.7307750238224848</v>
      </c>
      <c r="BO1043" s="11" t="n">
        <v>0.9523018155490097</v>
      </c>
      <c r="BP1043" s="11" t="n">
        <v>0.5958545198749097</v>
      </c>
      <c r="BQ1043" s="11" t="n">
        <v>1.3264167397065354</v>
      </c>
      <c r="BR1043" s="8" t="n">
        <v>12</v>
      </c>
      <c r="BS1043" s="8" t="n">
        <v>30</v>
      </c>
      <c r="BT1043" s="8" t="n">
        <v>31</v>
      </c>
      <c r="BU1043" s="8" t="n">
        <v>17</v>
      </c>
      <c r="BV1043" s="11" t="n">
        <f>IF(COUNT(BC1043,BF1043)=2,BC1043*BF1043,"")</f>
        <v>0.052822362242262486</v>
      </c>
      <c r="BW1043" s="11" t="n">
        <f>IF(ISNUMBER(BN1043),BN1043,"")</f>
        <v>0.7307750238224848</v>
      </c>
      <c r="BX1043" s="14" t="n">
        <f>IF(ISNUMBER(BR1043),BR1043,"")</f>
        <v>12</v>
      </c>
      <c r="BY1043" s="13" t="n">
        <f>IF(AND(COUNT(BV1043,BW1043,BX1043)=3,MIN(BV1043,BW1043,BX1043)&gt;=0),BV1043*BW1043*BX1043,"")</f>
        <v>0.46321515631139143</v>
      </c>
      <c r="BZ1043" s="11" t="n">
        <f>IF(ISNUMBER(BO1043),BO1043,"")</f>
        <v>0.9523018155490097</v>
      </c>
      <c r="CA1043" s="14" t="n">
        <f>IF(ISNUMBER(BS1043),BS1043,"")</f>
        <v>30</v>
      </c>
      <c r="CB1043" s="13" t="n">
        <f>IF(AND(COUNT(BV1043,BZ1043,CA1043)=3,MIN(BV1043,BZ1043,CA1043)&gt;=0),BV1043*BZ1043*CA1043,"")</f>
        <v>1.5090849439468208</v>
      </c>
      <c r="CC1043" s="11" t="n">
        <f>IF(ISNUMBER(BP1043),BP1043,"")</f>
        <v>0.5958545198749097</v>
      </c>
      <c r="CD1043" s="14" t="n">
        <f>IF(ISNUMBER(BT1043),BT1043,"")</f>
        <v>31</v>
      </c>
      <c r="CE1043" s="13" t="n">
        <f>IF(AND(COUNT(BV1043,CC1043,CD1043)=3,MIN(BV1043,CC1043,CD1043)&gt;=0),BV1043*CC1043*CD1043,"")</f>
        <v>0.975707742068178</v>
      </c>
      <c r="CF1043" s="11" t="n">
        <f>IF(ISNUMBER(BQ1043),BQ1043,"")</f>
        <v>1.3264167397065354</v>
      </c>
      <c r="CG1043" s="14" t="n">
        <f>IF(ISNUMBER(BU1043),BU1043,"")</f>
        <v>17</v>
      </c>
      <c r="CH1043" s="13" t="n">
        <f>IF(AND(COUNT(BV1043,CF1043,CG1043)=3,MIN(BV1043,CF1043,CG1043)&gt;=0),BV1043*CF1043*CG1043,"")</f>
        <v>1.19109591365265</v>
      </c>
      <c r="CI1043" s="13" t="n">
        <f>IF(COUNT(BY1043,CB1043,CE1043,CH1043)=4,SUM(BY1043,CB1043,CE1043,CH1043),"")</f>
        <v>4.13910375597904</v>
      </c>
    </row>
    <row r="1044" ht="72" customHeight="1">
      <c r="A1044" s="16" t="str">
        <v>B07-CF-38</v>
      </c>
      <c r="B1044" s="16" t="str">
        <v>4店-彬郁-US</v>
      </c>
      <c r="C1044" s="16" t="str">
        <v>艾年</v>
      </c>
      <c r="D1044" s="26" t="n">
        <f>IF(NOT(ISNUMBER(E1044)),"",IF(OR(E1044&lt;=0,L1044=0),0,IF(OR(NOT(ISNUMBER(F1044)),F1044&lt;0),"",MIN(E1044,INT(F1044)))))</f>
        <v>0</v>
      </c>
      <c r="E1044" s="27" t="n">
        <f>IF(OR(NOT(ISNUMBER(L1044)),COUNT(M1044:O1044)&lt;&gt;3,MIN(M1044:O1044)&lt;0),"",ROUNDUP(ROUND(BI1044-SUM(M1044:O1044),10),0))</f>
        <v>-26</v>
      </c>
      <c r="F1044" s="28" t="n">
        <v>51</v>
      </c>
      <c r="G1044" s="28" t="n">
        <f>IF(AND(ISNUMBER(D1044),ISNUMBER(E1044)),IF(OR(E1044&lt;=0,L1044=0),0,E1044-D1044),"")</f>
        <v>0</v>
      </c>
      <c r="H1044" s="16" t="str">
        <f>IF(NOT(ISNUMBER(E1044)),"销量或海外库存待补",IF(OR(E1044&lt;=0,L1044=0),IF(L1044=0,"零日销，本批不发","本批无需补货"),IF(NOT(ISNUMBER(D1044)),"国内库存待补",IF(D1044=0,"国内无可用库存",IF(G1044&gt;0,"先发国内现货","按建议量发货")))))</f>
        <v>本批无需补货</v>
      </c>
      <c r="I1044" s="28" t="n">
        <f>IF(AND(COUNT(Z1044,AA1044,AB1044)=3,Z1044&gt;=AA1044,AA1044&gt;=0,AB1044=7),Z1044-AA1044,"")</f>
        <v>0</v>
      </c>
      <c r="J1044" s="28" t="n">
        <f>IF(AND(COUNT(AF1044,AG1044,AH1044)=3,AF1044&gt;=AG1044,AG1044&gt;=0,AH1044=14),AF1044-AG1044,"")</f>
        <v>0</v>
      </c>
      <c r="K1044" s="28" t="n">
        <f>IF(AND(COUNT(AL1044,AM1044,AN1044)=3,AL1044&gt;=AM1044,AM1044&gt;=0,AN1044=30),AL1044-AM1044,"")</f>
        <v>0</v>
      </c>
      <c r="L1044" s="29" t="n">
        <f>IF(ISNUMBER(BI1044),BI1044/90,"")</f>
        <v>0.04940574775041293</v>
      </c>
      <c r="M1044" s="28" t="n">
        <v>0</v>
      </c>
      <c r="N1044" s="28" t="n">
        <v>0</v>
      </c>
      <c r="O1044" s="28" t="n">
        <v>30</v>
      </c>
      <c r="P1044" s="30" t="n">
        <f>IF(AND(ISNUMBER(L1044),L1044&gt;0,COUNT(M1044:O1044)=3,MIN(M1044:O1044)&gt;=0),SUM(M1044:O1044)/L1044,"")</f>
        <v>607.2167989755658</v>
      </c>
      <c r="Q1044" s="16" t="str">
        <v>沿用原计划SKU店铺</v>
      </c>
      <c r="R1044" s="16" t="str">
        <v>已匹配</v>
      </c>
      <c r="S1044" s="16" t="str">
        <v>在售</v>
      </c>
      <c r="T1044" s="16" t="str">
        <v>B07</v>
      </c>
      <c r="U1044" s="16" t="str">
        <v>咖色PU</v>
      </c>
      <c r="V1044" s="16" t="n">
        <v>7</v>
      </c>
      <c r="W1044" s="8" t="str">
        <v>2026-10-11 至 2026-10-17</v>
      </c>
      <c r="X1044" s="8" t="str">
        <v>2026-10-11、2026-10-12、2026-10-13、2026-10-14、2026-10-15、2026-10-16、2026-10-17</v>
      </c>
      <c r="Y1044" s="8" t="str">
        <v>无</v>
      </c>
      <c r="Z1044" s="8" t="n">
        <v>0</v>
      </c>
      <c r="AA1044" s="8" t="n">
        <v>0</v>
      </c>
      <c r="AB1044" s="8" t="n">
        <v>7</v>
      </c>
      <c r="AC1044" s="8" t="str">
        <v>2026-10-02 至 2026-10-17</v>
      </c>
      <c r="AD1044" s="8" t="str">
        <v>2026-10-02、2026-10-03、2026-10-04、2026-10-05、2026-10-08、2026-10-09、2026-10-10、2026-10-11、2026-10-12、2026-10-13、2026-10-14、2026-10-15、2026-10-16、2026-10-17</v>
      </c>
      <c r="AE1044" s="8" t="str">
        <v>2026-10-06 大促；2026-10-07 大促</v>
      </c>
      <c r="AF1044" s="8" t="n">
        <v>0</v>
      </c>
      <c r="AG1044" s="8" t="n">
        <v>0</v>
      </c>
      <c r="AH1044" s="8" t="n">
        <v>14</v>
      </c>
      <c r="AI1044" s="8" t="str">
        <v>2026-09-16 至 2026-10-17</v>
      </c>
      <c r="AJ10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4" s="8" t="str">
        <v>2026-10-06 大促；2026-10-07 大促</v>
      </c>
      <c r="AL1044" s="8" t="n">
        <v>0</v>
      </c>
      <c r="AM1044" s="8" t="n">
        <v>0</v>
      </c>
      <c r="AN1044" s="8" t="n">
        <v>30</v>
      </c>
      <c r="AO1044" s="8" t="str">
        <v>B07 / 咖色PU / 13306</v>
      </c>
      <c r="AP1044" s="11" t="n">
        <v>0.7307750238224848</v>
      </c>
      <c r="AQ1044" s="11" t="n">
        <v>0.7307750238224848</v>
      </c>
      <c r="AR1044" s="11" t="n">
        <v>0.7449809054134506</v>
      </c>
      <c r="AS1044" s="11" t="n">
        <f>IF(AND(COUNT(I1044:K1044,AP1044:AR1044)=6,MIN(AP1044:AR1044)&gt;0),I1044/7/AP1044*0.5+J1044/14/AQ1044*0.3+K1044/30/AR1044*0.2,"")</f>
        <v>0</v>
      </c>
      <c r="AT1044" s="8" t="n">
        <v>4</v>
      </c>
      <c r="AU1044" s="8" t="n">
        <v>0</v>
      </c>
      <c r="AV1044" s="8" t="n">
        <v>88</v>
      </c>
      <c r="AW1044" s="11" t="n">
        <f>IF(AND(COUNT(AT1044:AV1044)=3,AT1044&gt;=AU1044,AU1044&gt;=0,AV1044&gt;0),(AT1044-AU1044)/AV1044,"")</f>
        <v>0.045454545454545456</v>
      </c>
      <c r="AX1044" s="8" t="n">
        <v>19</v>
      </c>
      <c r="AY1044" s="8" t="n">
        <v>0</v>
      </c>
      <c r="AZ1044" s="8" t="n">
        <v>178</v>
      </c>
      <c r="BA1044" s="11" t="n">
        <f>IF(AND(COUNT(AX1044:AZ1044)=3,AX1044&gt;=AY1044,AY1044&gt;=0,AZ1044&gt;0),(AX1044-AY1044)/AZ1044,"")</f>
        <v>0.10674157303370786</v>
      </c>
      <c r="BB1044" s="8" t="n">
        <f>IF(COUNT(AS1044,AW1044,BA1044)=3,1,0)</f>
        <v>1</v>
      </c>
      <c r="BC1044" s="11" t="n">
        <f>IF(SUMIF($AO$11:$AO$1309,AO1044,$BB$11:$BB$1309)=COUNTIF($AO$11:$AO$1309,AO1044),SUMIF($AO$11:$AO$1309,AO1044,$AS$11:$AS$1309),"")</f>
        <v>0.6473191341094234</v>
      </c>
      <c r="BD1044" s="11" t="n">
        <f>IF(SUMIF($AO$11:$AO$1309,AO1044,$BB$11:$BB$1309)=COUNTIF($AO$11:$AO$1309,AO1044),SUMIF($AO$11:$AO$1309,AO1044,$AW$11:$AW$1309),"")</f>
        <v>0.7499999999999999</v>
      </c>
      <c r="BE1044" s="11" t="n">
        <f>IF(SUMIF($AO$11:$AO$1309,AO1044,$BB$11:$BB$1309)=COUNTIF($AO$11:$AO$1309,AO1044),SUMIF($AO$11:$AO$1309,AO1044,$BA$11:$BA$1309),"")</f>
        <v>0.7078651685393257</v>
      </c>
      <c r="BF1044" s="12" t="n">
        <f>IF(COUNT(BD1044:BE1044)&lt;&gt;2,"",IF(AND(BD1044&gt;0,BE1044&gt;0),0.7*AW1044/BD1044+0.3*BA1044/BE1044,IF(BD1044&gt;0,AW1044/BD1044,IF(BE1044&gt;0,BA1044/BE1044,IF(AND(ISNUMBER(BH1044),BH1044=0),0,"")))))</f>
        <v>0.08766233766233766</v>
      </c>
      <c r="BG1044" s="11" t="n">
        <f>IF(AND(COUNT(BN1044:BU1044)=8,MIN(BN1044:BU1044)&gt;=0),SUMPRODUCT(BN1044:BQ1044,BR1044:BU1044),"")</f>
        <v>78.35892944347341</v>
      </c>
      <c r="BH1044" s="11" t="n">
        <f>IF(COUNT(BC1044,BG1044)=2,BC1044*BG1044,"")</f>
        <v>50.72323435709062</v>
      </c>
      <c r="BI1044" s="11" t="n">
        <f>IF(ISNUMBER(CI1044),CI1044,"")</f>
        <v>4.446517297537164</v>
      </c>
      <c r="BJ1044" s="8" t="str">
        <v>低销提醒依据不完整</v>
      </c>
      <c r="BK1044" s="8" t="str">
        <v>90天：2026-07-20 至 2026-10-17；180天：2026-04-21 至 2026-10-17</v>
      </c>
      <c r="BL1044" s="8" t="str">
        <v>90天：2026-10-06、2026-10-07；180天：2026-10-06、2026-10-07</v>
      </c>
      <c r="BM1044" s="8" t="str">
        <v>2026-10：12天 × 0.7307750238224848；2026-11：30天 × 0.9523018155490097；2026-12：31天 × 0.5958545198749097；2027-01：17天 × 1.3264167397065354</v>
      </c>
      <c r="BN1044" s="11" t="n">
        <v>0.7307750238224848</v>
      </c>
      <c r="BO1044" s="11" t="n">
        <v>0.9523018155490097</v>
      </c>
      <c r="BP1044" s="11" t="n">
        <v>0.5958545198749097</v>
      </c>
      <c r="BQ1044" s="11" t="n">
        <v>1.3264167397065354</v>
      </c>
      <c r="BR1044" s="8" t="n">
        <v>12</v>
      </c>
      <c r="BS1044" s="8" t="n">
        <v>30</v>
      </c>
      <c r="BT1044" s="8" t="n">
        <v>31</v>
      </c>
      <c r="BU1044" s="8" t="n">
        <v>17</v>
      </c>
      <c r="BV1044" s="11" t="n">
        <f>IF(COUNT(BC1044,BF1044)=2,BC1044*BF1044,"")</f>
        <v>0.05674550850959231</v>
      </c>
      <c r="BW1044" s="11" t="n">
        <f>IF(ISNUMBER(BN1044),BN1044,"")</f>
        <v>0.7307750238224848</v>
      </c>
      <c r="BX1044" s="14" t="n">
        <f>IF(ISNUMBER(BR1044),BR1044,"")</f>
        <v>12</v>
      </c>
      <c r="BY1044" s="13" t="n">
        <f>IF(AND(COUNT(BV1044,BW1044,BX1044)=3,MIN(BV1044,BW1044,BX1044)&gt;=0),BV1044*BW1044*BX1044,"")</f>
        <v>0.497618403994996</v>
      </c>
      <c r="BZ1044" s="11" t="n">
        <f>IF(ISNUMBER(BO1044),BO1044,"")</f>
        <v>0.9523018155490097</v>
      </c>
      <c r="CA1044" s="14" t="n">
        <f>IF(ISNUMBER(BS1044),BS1044,"")</f>
        <v>30</v>
      </c>
      <c r="CB1044" s="13" t="n">
        <f>IF(AND(COUNT(BV1044,BZ1044,CA1044)=3,MIN(BV1044,BZ1044,CA1044)&gt;=0),BV1044*BZ1044*CA1044,"")</f>
        <v>1.6211655233380962</v>
      </c>
      <c r="CC1044" s="11" t="n">
        <f>IF(ISNUMBER(BP1044),BP1044,"")</f>
        <v>0.5958545198749097</v>
      </c>
      <c r="CD1044" s="14" t="n">
        <f>IF(ISNUMBER(BT1044),BT1044,"")</f>
        <v>31</v>
      </c>
      <c r="CE1044" s="13" t="n">
        <f>IF(AND(COUNT(BV1044,CC1044,CD1044)=3,MIN(BV1044,CC1044,CD1044)&gt;=0),BV1044*CC1044*CD1044,"")</f>
        <v>1.0481740995692626</v>
      </c>
      <c r="CF1044" s="11" t="n">
        <f>IF(ISNUMBER(BQ1044),BQ1044,"")</f>
        <v>1.3264167397065354</v>
      </c>
      <c r="CG1044" s="14" t="n">
        <f>IF(ISNUMBER(BU1044),BU1044,"")</f>
        <v>17</v>
      </c>
      <c r="CH1044" s="13" t="n">
        <f>IF(AND(COUNT(BV1044,CF1044,CG1044)=3,MIN(BV1044,CF1044,CG1044)&gt;=0),BV1044*CF1044*CG1044,"")</f>
        <v>1.2795592706348093</v>
      </c>
      <c r="CI1044" s="13" t="n">
        <f>IF(COUNT(BY1044,CB1044,CE1044,CH1044)=4,SUM(BY1044,CB1044,CE1044,CH1044),"")</f>
        <v>4.446517297537164</v>
      </c>
    </row>
    <row r="1045" ht="72" customHeight="1">
      <c r="A1045" s="16" t="str">
        <v>B07-CF-39</v>
      </c>
      <c r="B1045" s="16" t="str">
        <v>4店-彬郁-US</v>
      </c>
      <c r="C1045" s="16" t="str">
        <v>艾年</v>
      </c>
      <c r="D1045" s="26" t="n">
        <f>IF(NOT(ISNUMBER(E1045)),"",IF(OR(E1045&lt;=0,L1045=0),0,IF(OR(NOT(ISNUMBER(F1045)),F1045&lt;0),"",MIN(E1045,INT(F1045)))))</f>
        <v>0</v>
      </c>
      <c r="E1045" s="27" t="n">
        <f>IF(OR(NOT(ISNUMBER(L1045)),COUNT(M1045:O1045)&lt;&gt;3,MIN(M1045:O1045)&lt;0),"",ROUNDUP(ROUND(BI1045-SUM(M1045:O1045),10),0))</f>
        <v>-28</v>
      </c>
      <c r="F1045" s="28" t="n">
        <v>29</v>
      </c>
      <c r="G1045" s="28" t="n">
        <f>IF(AND(ISNUMBER(D1045),ISNUMBER(E1045)),IF(OR(E1045&lt;=0,L1045=0),0,E1045-D1045),"")</f>
        <v>0</v>
      </c>
      <c r="H1045" s="16" t="str">
        <f>IF(NOT(ISNUMBER(E1045)),"销量或海外库存待补",IF(OR(E1045&lt;=0,L1045=0),IF(L1045=0,"零日销，本批不发","本批无需补货"),IF(NOT(ISNUMBER(D1045)),"国内库存待补",IF(D1045=0,"国内无可用库存",IF(G1045&gt;0,"先发国内现货","按建议量发货")))))</f>
        <v>本批无需补货</v>
      </c>
      <c r="I1045" s="28" t="n">
        <f>IF(AND(COUNT(Z1045,AA1045,AB1045)=3,Z1045&gt;=AA1045,AA1045&gt;=0,AB1045=7),Z1045-AA1045,"")</f>
        <v>1</v>
      </c>
      <c r="J1045" s="28" t="n">
        <f>IF(AND(COUNT(AF1045,AG1045,AH1045)=3,AF1045&gt;=AG1045,AG1045&gt;=0,AH1045=14),AF1045-AG1045,"")</f>
        <v>1</v>
      </c>
      <c r="K1045" s="28" t="n">
        <f>IF(AND(COUNT(AL1045,AM1045,AN1045)=3,AL1045&gt;=AM1045,AM1045&gt;=0,AN1045=30),AL1045-AM1045,"")</f>
        <v>8</v>
      </c>
      <c r="L1045" s="29" t="n">
        <f>IF(ISNUMBER(BI1045),BI1045/90,"")</f>
        <v>0.16249001482358033</v>
      </c>
      <c r="M1045" s="28" t="n">
        <v>2</v>
      </c>
      <c r="N1045" s="28" t="n">
        <v>0</v>
      </c>
      <c r="O1045" s="28" t="n">
        <v>40</v>
      </c>
      <c r="P1045" s="30" t="n">
        <f>IF(AND(ISNUMBER(L1045),L1045&gt;0,COUNT(M1045:O1045)=3,MIN(M1045:O1045)&gt;=0),SUM(M1045:O1045)/L1045,"")</f>
        <v>258.47742118554487</v>
      </c>
      <c r="Q1045" s="16" t="str">
        <v>沿用原计划SKU店铺</v>
      </c>
      <c r="R1045" s="16" t="str">
        <v>已匹配</v>
      </c>
      <c r="S1045" s="16" t="str">
        <v>在售</v>
      </c>
      <c r="T1045" s="16" t="str">
        <v>B07</v>
      </c>
      <c r="U1045" s="16" t="str">
        <v>咖色PU</v>
      </c>
      <c r="V1045" s="16" t="n">
        <v>8</v>
      </c>
      <c r="W1045" s="8" t="str">
        <v>2026-10-11 至 2026-10-17</v>
      </c>
      <c r="X1045" s="8" t="str">
        <v>2026-10-11、2026-10-12、2026-10-13、2026-10-14、2026-10-15、2026-10-16、2026-10-17</v>
      </c>
      <c r="Y1045" s="8" t="str">
        <v>无</v>
      </c>
      <c r="Z1045" s="8" t="n">
        <v>1</v>
      </c>
      <c r="AA1045" s="8" t="n">
        <v>0</v>
      </c>
      <c r="AB1045" s="8" t="n">
        <v>7</v>
      </c>
      <c r="AC1045" s="8" t="str">
        <v>2026-10-02 至 2026-10-17</v>
      </c>
      <c r="AD1045" s="8" t="str">
        <v>2026-10-02、2026-10-03、2026-10-04、2026-10-05、2026-10-08、2026-10-09、2026-10-10、2026-10-11、2026-10-12、2026-10-13、2026-10-14、2026-10-15、2026-10-16、2026-10-17</v>
      </c>
      <c r="AE1045" s="8" t="str">
        <v>2026-10-06 大促；2026-10-07 大促</v>
      </c>
      <c r="AF1045" s="8" t="n">
        <v>1</v>
      </c>
      <c r="AG1045" s="8" t="n">
        <v>0</v>
      </c>
      <c r="AH1045" s="8" t="n">
        <v>14</v>
      </c>
      <c r="AI1045" s="8" t="str">
        <v>2026-09-16 至 2026-10-17</v>
      </c>
      <c r="AJ10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5" s="8" t="str">
        <v>2026-10-06 大促；2026-10-07 大促</v>
      </c>
      <c r="AL1045" s="8" t="n">
        <v>8</v>
      </c>
      <c r="AM1045" s="8" t="n">
        <v>0</v>
      </c>
      <c r="AN1045" s="8" t="n">
        <v>30</v>
      </c>
      <c r="AO1045" s="8" t="str">
        <v>B07 / 咖色PU / 13306</v>
      </c>
      <c r="AP1045" s="11" t="n">
        <v>0.7307750238224848</v>
      </c>
      <c r="AQ1045" s="11" t="n">
        <v>0.7307750238224848</v>
      </c>
      <c r="AR1045" s="11" t="n">
        <v>0.7449809054134506</v>
      </c>
      <c r="AS1045" s="11" t="n">
        <f>IF(AND(COUNT(I1045:K1045,AP1045:AR1045)=6,MIN(AP1045:AR1045)&gt;0),I1045/7/AP1045*0.5+J1045/14/AQ1045*0.3+K1045/30/AR1045*0.2,"")</f>
        <v>0.19865686364278792</v>
      </c>
      <c r="AT1045" s="8" t="n">
        <v>20</v>
      </c>
      <c r="AU1045" s="8" t="n">
        <v>0</v>
      </c>
      <c r="AV1045" s="8" t="n">
        <v>88</v>
      </c>
      <c r="AW1045" s="11" t="n">
        <f>IF(AND(COUNT(AT1045:AV1045)=3,AT1045&gt;=AU1045,AU1045&gt;=0,AV1045&gt;0),(AT1045-AU1045)/AV1045,"")</f>
        <v>0.22727272727272727</v>
      </c>
      <c r="AX1045" s="8" t="n">
        <v>32</v>
      </c>
      <c r="AY1045" s="8" t="n">
        <v>0</v>
      </c>
      <c r="AZ1045" s="8" t="n">
        <v>178</v>
      </c>
      <c r="BA1045" s="11" t="n">
        <f>IF(AND(COUNT(AX1045:AZ1045)=3,AX1045&gt;=AY1045,AY1045&gt;=0,AZ1045&gt;0),(AX1045-AY1045)/AZ1045,"")</f>
        <v>0.1797752808988764</v>
      </c>
      <c r="BB1045" s="8" t="n">
        <f>IF(COUNT(AS1045,AW1045,BA1045)=3,1,0)</f>
        <v>1</v>
      </c>
      <c r="BC1045" s="11" t="n">
        <f>IF(SUMIF($AO$11:$AO$1309,AO1045,$BB$11:$BB$1309)=COUNTIF($AO$11:$AO$1309,AO1045),SUMIF($AO$11:$AO$1309,AO1045,$AS$11:$AS$1309),"")</f>
        <v>0.6473191341094234</v>
      </c>
      <c r="BD1045" s="11" t="n">
        <f>IF(SUMIF($AO$11:$AO$1309,AO1045,$BB$11:$BB$1309)=COUNTIF($AO$11:$AO$1309,AO1045),SUMIF($AO$11:$AO$1309,AO1045,$AW$11:$AW$1309),"")</f>
        <v>0.7499999999999999</v>
      </c>
      <c r="BE1045" s="11" t="n">
        <f>IF(SUMIF($AO$11:$AO$1309,AO1045,$BB$11:$BB$1309)=COUNTIF($AO$11:$AO$1309,AO1045),SUMIF($AO$11:$AO$1309,AO1045,$BA$11:$BA$1309),"")</f>
        <v>0.7078651685393257</v>
      </c>
      <c r="BF1045" s="12" t="n">
        <f>IF(COUNT(BD1045:BE1045)&lt;&gt;2,"",IF(AND(BD1045&gt;0,BE1045&gt;0),0.7*AW1045/BD1045+0.3*BA1045/BE1045,IF(BD1045&gt;0,AW1045/BD1045,IF(BE1045&gt;0,BA1045/BE1045,IF(AND(ISNUMBER(BH1045),BH1045=0),0,"")))))</f>
        <v>0.28831168831168835</v>
      </c>
      <c r="BG1045" s="11" t="n">
        <f>IF(AND(COUNT(BN1045:BU1045)=8,MIN(BN1045:BU1045)&gt;=0),SUMPRODUCT(BN1045:BQ1045,BR1045:BU1045),"")</f>
        <v>78.35892944347341</v>
      </c>
      <c r="BH1045" s="11" t="n">
        <f>IF(COUNT(BC1045,BG1045)=2,BC1045*BG1045,"")</f>
        <v>50.72323435709062</v>
      </c>
      <c r="BI1045" s="11" t="n">
        <f>IF(ISNUMBER(CI1045),CI1045,"")</f>
        <v>14.62410133412223</v>
      </c>
      <c r="BJ1045" s="8" t="str">
        <v>低销提醒依据不完整</v>
      </c>
      <c r="BK1045" s="8" t="str">
        <v>90天：2026-07-20 至 2026-10-17；180天：2026-04-21 至 2026-10-17</v>
      </c>
      <c r="BL1045" s="8" t="str">
        <v>90天：2026-10-06、2026-10-07；180天：2026-10-06、2026-10-07</v>
      </c>
      <c r="BM1045" s="8" t="str">
        <v>2026-10：12天 × 0.7307750238224848；2026-11：30天 × 0.9523018155490097；2026-12：31天 × 0.5958545198749097；2027-01：17天 × 1.3264167397065354</v>
      </c>
      <c r="BN1045" s="11" t="n">
        <v>0.7307750238224848</v>
      </c>
      <c r="BO1045" s="11" t="n">
        <v>0.9523018155490097</v>
      </c>
      <c r="BP1045" s="11" t="n">
        <v>0.5958545198749097</v>
      </c>
      <c r="BQ1045" s="11" t="n">
        <v>1.3264167397065354</v>
      </c>
      <c r="BR1045" s="8" t="n">
        <v>12</v>
      </c>
      <c r="BS1045" s="8" t="n">
        <v>30</v>
      </c>
      <c r="BT1045" s="8" t="n">
        <v>31</v>
      </c>
      <c r="BU1045" s="8" t="n">
        <v>17</v>
      </c>
      <c r="BV1045" s="11" t="n">
        <f>IF(COUNT(BC1045,BF1045)=2,BC1045*BF1045,"")</f>
        <v>0.18662967243154807</v>
      </c>
      <c r="BW1045" s="11" t="n">
        <f>IF(ISNUMBER(BN1045),BN1045,"")</f>
        <v>0.7307750238224848</v>
      </c>
      <c r="BX1045" s="14" t="n">
        <f>IF(ISNUMBER(BR1045),BR1045,"")</f>
        <v>12</v>
      </c>
      <c r="BY1045" s="13" t="n">
        <f>IF(AND(COUNT(BV1045,BW1045,BX1045)=3,MIN(BV1045,BW1045,BX1045)&gt;=0),BV1045*BW1045*BX1045,"")</f>
        <v>1.6366116398057649</v>
      </c>
      <c r="BZ1045" s="11" t="n">
        <f>IF(ISNUMBER(BO1045),BO1045,"")</f>
        <v>0.9523018155490097</v>
      </c>
      <c r="CA1045" s="14" t="n">
        <f>IF(ISNUMBER(BS1045),BS1045,"")</f>
        <v>30</v>
      </c>
      <c r="CB1045" s="13" t="n">
        <f>IF(AND(COUNT(BV1045,BZ1045,CA1045)=3,MIN(BV1045,BZ1045,CA1045)&gt;=0),BV1045*BZ1045*CA1045,"")</f>
        <v>5.331833276756406</v>
      </c>
      <c r="CC1045" s="11" t="n">
        <f>IF(ISNUMBER(BP1045),BP1045,"")</f>
        <v>0.5958545198749097</v>
      </c>
      <c r="CD1045" s="14" t="n">
        <f>IF(ISNUMBER(BT1045),BT1045,"")</f>
        <v>31</v>
      </c>
      <c r="CE1045" s="13" t="n">
        <f>IF(AND(COUNT(BV1045,CC1045,CD1045)=3,MIN(BV1045,CC1045,CD1045)&gt;=0),BV1045*CC1045*CD1045,"")</f>
        <v>3.447328149694464</v>
      </c>
      <c r="CF1045" s="11" t="n">
        <f>IF(ISNUMBER(BQ1045),BQ1045,"")</f>
        <v>1.3264167397065354</v>
      </c>
      <c r="CG1045" s="14" t="n">
        <f>IF(ISNUMBER(BU1045),BU1045,"")</f>
        <v>17</v>
      </c>
      <c r="CH1045" s="13" t="n">
        <f>IF(AND(COUNT(BV1045,CF1045,CG1045)=3,MIN(BV1045,CF1045,CG1045)&gt;=0),BV1045*CF1045*CG1045,"")</f>
        <v>4.208328267865595</v>
      </c>
      <c r="CI1045" s="13" t="n">
        <f>IF(COUNT(BY1045,CB1045,CE1045,CH1045)=4,SUM(BY1045,CB1045,CE1045,CH1045),"")</f>
        <v>14.62410133412223</v>
      </c>
    </row>
    <row r="1046" ht="72" customHeight="1">
      <c r="A1046" s="16" t="str">
        <v>B07-CF-39.5</v>
      </c>
      <c r="B1046" s="16" t="str">
        <v>4店-彬郁-US</v>
      </c>
      <c r="C1046" s="16" t="str">
        <v>艾年</v>
      </c>
      <c r="D1046" s="26" t="n">
        <f>IF(NOT(ISNUMBER(E1046)),"",IF(OR(E1046&lt;=0,L1046=0),0,IF(OR(NOT(ISNUMBER(F1046)),F1046&lt;0),"",MIN(E1046,INT(F1046)))))</f>
        <v>0</v>
      </c>
      <c r="E1046" s="27" t="n">
        <f>IF(OR(NOT(ISNUMBER(L1046)),COUNT(M1046:O1046)&lt;&gt;3,MIN(M1046:O1046)&lt;0),"",ROUNDUP(ROUND(BI1046-SUM(M1046:O1046),10),0))</f>
        <v>-20</v>
      </c>
      <c r="F1046" s="28" t="n">
        <v>0</v>
      </c>
      <c r="G1046" s="28" t="n">
        <f>IF(AND(ISNUMBER(D1046),ISNUMBER(E1046)),IF(OR(E1046&lt;=0,L1046=0),0,E1046-D1046),"")</f>
        <v>0</v>
      </c>
      <c r="H1046" s="16" t="str">
        <f>IF(NOT(ISNUMBER(E1046)),"销量或海外库存待补",IF(OR(E1046&lt;=0,L1046=0),IF(L1046=0,"零日销，本批不发","本批无需补货"),IF(NOT(ISNUMBER(D1046)),"国内库存待补",IF(D1046=0,"国内无可用库存",IF(G1046&gt;0,"先发国内现货","按建议量发货")))))</f>
        <v>本批无需补货</v>
      </c>
      <c r="I1046" s="28" t="n">
        <f>IF(AND(COUNT(Z1046,AA1046,AB1046)=3,Z1046&gt;=AA1046,AA1046&gt;=0,AB1046=7),Z1046-AA1046,"")</f>
        <v>0</v>
      </c>
      <c r="J1046" s="28" t="n">
        <f>IF(AND(COUNT(AF1046,AG1046,AH1046)=3,AF1046&gt;=AG1046,AG1046&gt;=0,AH1046=14),AF1046-AG1046,"")</f>
        <v>1</v>
      </c>
      <c r="K1046" s="28" t="n">
        <f>IF(AND(COUNT(AL1046,AM1046,AN1046)=3,AL1046&gt;=AM1046,AM1046&gt;=0,AN1046=30),AL1046-AM1046,"")</f>
        <v>1</v>
      </c>
      <c r="L1046" s="29" t="n">
        <f>IF(ISNUMBER(BI1046),BI1046/90,"")</f>
        <v>0.05062564275659597</v>
      </c>
      <c r="M1046" s="28" t="n">
        <v>0</v>
      </c>
      <c r="N1046" s="28" t="n">
        <v>0</v>
      </c>
      <c r="O1046" s="28" t="n">
        <v>24</v>
      </c>
      <c r="P1046" s="30" t="n">
        <f>IF(AND(ISNUMBER(L1046),L1046&gt;0,COUNT(M1046:O1046)=3,MIN(M1046:O1046)&gt;=0),SUM(M1046:O1046)/L1046,"")</f>
        <v>474.06805510381514</v>
      </c>
      <c r="Q1046" s="16" t="str">
        <v>沿用原计划SKU店铺</v>
      </c>
      <c r="R1046" s="16" t="str">
        <v>已匹配</v>
      </c>
      <c r="S1046" s="16" t="str">
        <v>在售</v>
      </c>
      <c r="T1046" s="16" t="str">
        <v>B07</v>
      </c>
      <c r="U1046" s="16" t="str">
        <v>咖色PU</v>
      </c>
      <c r="V1046" s="16" t="n">
        <v>8.5</v>
      </c>
      <c r="W1046" s="8" t="str">
        <v>2026-10-11 至 2026-10-17</v>
      </c>
      <c r="X1046" s="8" t="str">
        <v>2026-10-11、2026-10-12、2026-10-13、2026-10-14、2026-10-15、2026-10-16、2026-10-17</v>
      </c>
      <c r="Y1046" s="8" t="str">
        <v>无</v>
      </c>
      <c r="Z1046" s="8" t="n">
        <v>0</v>
      </c>
      <c r="AA1046" s="8" t="n">
        <v>0</v>
      </c>
      <c r="AB1046" s="8" t="n">
        <v>7</v>
      </c>
      <c r="AC1046" s="8" t="str">
        <v>2026-10-02 至 2026-10-17</v>
      </c>
      <c r="AD1046" s="8" t="str">
        <v>2026-10-02、2026-10-03、2026-10-04、2026-10-05、2026-10-08、2026-10-09、2026-10-10、2026-10-11、2026-10-12、2026-10-13、2026-10-14、2026-10-15、2026-10-16、2026-10-17</v>
      </c>
      <c r="AE1046" s="8" t="str">
        <v>2026-10-06 大促；2026-10-07 大促</v>
      </c>
      <c r="AF1046" s="8" t="n">
        <v>1</v>
      </c>
      <c r="AG1046" s="8" t="n">
        <v>0</v>
      </c>
      <c r="AH1046" s="8" t="n">
        <v>14</v>
      </c>
      <c r="AI1046" s="8" t="str">
        <v>2026-09-16 至 2026-10-17</v>
      </c>
      <c r="AJ10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6" s="8" t="str">
        <v>2026-10-06 大促；2026-10-07 大促</v>
      </c>
      <c r="AL1046" s="8" t="n">
        <v>1</v>
      </c>
      <c r="AM1046" s="8" t="n">
        <v>0</v>
      </c>
      <c r="AN1046" s="8" t="n">
        <v>30</v>
      </c>
      <c r="AO1046" s="8" t="str">
        <v>B07 / 咖色PU / 13306</v>
      </c>
      <c r="AP1046" s="11" t="n">
        <v>0.7307750238224848</v>
      </c>
      <c r="AQ1046" s="11" t="n">
        <v>0.7307750238224848</v>
      </c>
      <c r="AR1046" s="11" t="n">
        <v>0.7449809054134506</v>
      </c>
      <c r="AS1046" s="11" t="n">
        <f>IF(AND(COUNT(I1046:K1046,AP1046:AR1046)=6,MIN(AP1046:AR1046)&gt;0),I1046/7/AP1046*0.5+J1046/14/AQ1046*0.3+K1046/30/AR1046*0.2,"")</f>
        <v>0.038271851038049046</v>
      </c>
      <c r="AT1046" s="8" t="n">
        <v>6</v>
      </c>
      <c r="AU1046" s="8" t="n">
        <v>0</v>
      </c>
      <c r="AV1046" s="8" t="n">
        <v>88</v>
      </c>
      <c r="AW1046" s="11" t="n">
        <f>IF(AND(COUNT(AT1046:AV1046)=3,AT1046&gt;=AU1046,AU1046&gt;=0,AV1046&gt;0),(AT1046-AU1046)/AV1046,"")</f>
        <v>0.06818181818181818</v>
      </c>
      <c r="AX1046" s="8" t="n">
        <v>11</v>
      </c>
      <c r="AY1046" s="8" t="n">
        <v>0</v>
      </c>
      <c r="AZ1046" s="8" t="n">
        <v>178</v>
      </c>
      <c r="BA1046" s="11" t="n">
        <f>IF(AND(COUNT(AX1046:AZ1046)=3,AX1046&gt;=AY1046,AY1046&gt;=0,AZ1046&gt;0),(AX1046-AY1046)/AZ1046,"")</f>
        <v>0.06179775280898876</v>
      </c>
      <c r="BB1046" s="8" t="n">
        <f>IF(COUNT(AS1046,AW1046,BA1046)=3,1,0)</f>
        <v>1</v>
      </c>
      <c r="BC1046" s="11" t="n">
        <f>IF(SUMIF($AO$11:$AO$1309,AO1046,$BB$11:$BB$1309)=COUNTIF($AO$11:$AO$1309,AO1046),SUMIF($AO$11:$AO$1309,AO1046,$AS$11:$AS$1309),"")</f>
        <v>0.6473191341094234</v>
      </c>
      <c r="BD1046" s="11" t="n">
        <f>IF(SUMIF($AO$11:$AO$1309,AO1046,$BB$11:$BB$1309)=COUNTIF($AO$11:$AO$1309,AO1046),SUMIF($AO$11:$AO$1309,AO1046,$AW$11:$AW$1309),"")</f>
        <v>0.7499999999999999</v>
      </c>
      <c r="BE1046" s="11" t="n">
        <f>IF(SUMIF($AO$11:$AO$1309,AO1046,$BB$11:$BB$1309)=COUNTIF($AO$11:$AO$1309,AO1046),SUMIF($AO$11:$AO$1309,AO1046,$BA$11:$BA$1309),"")</f>
        <v>0.7078651685393257</v>
      </c>
      <c r="BF1046" s="12" t="n">
        <f>IF(COUNT(BD1046:BE1046)&lt;&gt;2,"",IF(AND(BD1046&gt;0,BE1046&gt;0),0.7*AW1046/BD1046+0.3*BA1046/BE1046,IF(BD1046&gt;0,AW1046/BD1046,IF(BE1046&gt;0,BA1046/BE1046,IF(AND(ISNUMBER(BH1046),BH1046=0),0,"")))))</f>
        <v>0.08982683982683984</v>
      </c>
      <c r="BG1046" s="11" t="n">
        <f>IF(AND(COUNT(BN1046:BU1046)=8,MIN(BN1046:BU1046)&gt;=0),SUMPRODUCT(BN1046:BQ1046,BR1046:BU1046),"")</f>
        <v>78.35892944347341</v>
      </c>
      <c r="BH1046" s="11" t="n">
        <f>IF(COUNT(BC1046,BG1046)=2,BC1046*BG1046,"")</f>
        <v>50.72323435709062</v>
      </c>
      <c r="BI1046" s="11" t="n">
        <f>IF(ISNUMBER(CI1046),CI1046,"")</f>
        <v>4.556307848093637</v>
      </c>
      <c r="BJ1046" s="8" t="str">
        <v>低销提醒依据不完整</v>
      </c>
      <c r="BK1046" s="8" t="str">
        <v>90天：2026-07-20 至 2026-10-17；180天：2026-04-21 至 2026-10-17</v>
      </c>
      <c r="BL1046" s="8" t="str">
        <v>90天：2026-10-06、2026-10-07；180天：2026-10-06、2026-10-07</v>
      </c>
      <c r="BM1046" s="8" t="str">
        <v>2026-10：12天 × 0.7307750238224848；2026-11：30天 × 0.9523018155490097；2026-12：31天 × 0.5958545198749097；2027-01：17天 × 1.3264167397065354</v>
      </c>
      <c r="BN1046" s="11" t="n">
        <v>0.7307750238224848</v>
      </c>
      <c r="BO1046" s="11" t="n">
        <v>0.9523018155490097</v>
      </c>
      <c r="BP1046" s="11" t="n">
        <v>0.5958545198749097</v>
      </c>
      <c r="BQ1046" s="11" t="n">
        <v>1.3264167397065354</v>
      </c>
      <c r="BR1046" s="8" t="n">
        <v>12</v>
      </c>
      <c r="BS1046" s="8" t="n">
        <v>30</v>
      </c>
      <c r="BT1046" s="8" t="n">
        <v>31</v>
      </c>
      <c r="BU1046" s="8" t="n">
        <v>17</v>
      </c>
      <c r="BV1046" s="11" t="n">
        <f>IF(COUNT(BC1046,BF1046)=2,BC1046*BF1046,"")</f>
        <v>0.058146632176495835</v>
      </c>
      <c r="BW1046" s="11" t="n">
        <f>IF(ISNUMBER(BN1046),BN1046,"")</f>
        <v>0.7307750238224848</v>
      </c>
      <c r="BX1046" s="14" t="n">
        <f>IF(ISNUMBER(BR1046),BR1046,"")</f>
        <v>12</v>
      </c>
      <c r="BY1046" s="13" t="n">
        <f>IF(AND(COUNT(BV1046,BW1046,BX1046)=3,MIN(BV1046,BW1046,BX1046)&gt;=0),BV1046*BW1046*BX1046,"")</f>
        <v>0.5099052781677121</v>
      </c>
      <c r="BZ1046" s="11" t="n">
        <f>IF(ISNUMBER(BO1046),BO1046,"")</f>
        <v>0.9523018155490097</v>
      </c>
      <c r="CA1046" s="14" t="n">
        <f>IF(ISNUMBER(BS1046),BS1046,"")</f>
        <v>30</v>
      </c>
      <c r="CB1046" s="13" t="n">
        <f>IF(AND(COUNT(BV1046,BZ1046,CA1046)=3,MIN(BV1046,BZ1046,CA1046)&gt;=0),BV1046*BZ1046*CA1046,"")</f>
        <v>1.6611943016921236</v>
      </c>
      <c r="CC1046" s="11" t="n">
        <f>IF(ISNUMBER(BP1046),BP1046,"")</f>
        <v>0.5958545198749097</v>
      </c>
      <c r="CD1046" s="14" t="n">
        <f>IF(ISNUMBER(BT1046),BT1046,"")</f>
        <v>31</v>
      </c>
      <c r="CE1046" s="13" t="n">
        <f>IF(AND(COUNT(BV1046,CC1046,CD1046)=3,MIN(BV1046,CC1046,CD1046)&gt;=0),BV1046*CC1046*CD1046,"")</f>
        <v>1.0740549415339358</v>
      </c>
      <c r="CF1046" s="11" t="n">
        <f>IF(ISNUMBER(BQ1046),BQ1046,"")</f>
        <v>1.3264167397065354</v>
      </c>
      <c r="CG1046" s="14" t="n">
        <f>IF(ISNUMBER(BU1046),BU1046,"")</f>
        <v>17</v>
      </c>
      <c r="CH1046" s="13" t="n">
        <f>IF(AND(COUNT(BV1046,CF1046,CG1046)=3,MIN(BV1046,CF1046,CG1046)&gt;=0),BV1046*CF1046*CG1046,"")</f>
        <v>1.3111533266998665</v>
      </c>
      <c r="CI1046" s="13" t="n">
        <f>IF(COUNT(BY1046,CB1046,CE1046,CH1046)=4,SUM(BY1046,CB1046,CE1046,CH1046),"")</f>
        <v>4.556307848093637</v>
      </c>
    </row>
    <row r="1047" ht="72" customHeight="1">
      <c r="A1047" s="16" t="str">
        <v>B07-CF-40</v>
      </c>
      <c r="B1047" s="16" t="str">
        <v>4店-彬郁-US</v>
      </c>
      <c r="C1047" s="16" t="str">
        <v>艾年</v>
      </c>
      <c r="D1047" s="26" t="n">
        <f>IF(NOT(ISNUMBER(E1047)),"",IF(OR(E1047&lt;=0,L1047=0),0,IF(OR(NOT(ISNUMBER(F1047)),F1047&lt;0),"",MIN(E1047,INT(F1047)))))</f>
        <v>0</v>
      </c>
      <c r="E1047" s="27" t="n">
        <f>IF(OR(NOT(ISNUMBER(L1047)),COUNT(M1047:O1047)&lt;&gt;3,MIN(M1047:O1047)&lt;0),"",ROUNDUP(ROUND(BI1047-SUM(M1047:O1047),10),0))</f>
        <v>-25</v>
      </c>
      <c r="F1047" s="28" t="n">
        <v>30</v>
      </c>
      <c r="G1047" s="28" t="n">
        <f>IF(AND(ISNUMBER(D1047),ISNUMBER(E1047)),IF(OR(E1047&lt;=0,L1047=0),0,E1047-D1047),"")</f>
        <v>0</v>
      </c>
      <c r="H1047" s="16" t="str">
        <f>IF(NOT(ISNUMBER(E1047)),"销量或海外库存待补",IF(OR(E1047&lt;=0,L1047=0),IF(L1047=0,"零日销，本批不发","本批无需补货"),IF(NOT(ISNUMBER(D1047)),"国内库存待补",IF(D1047=0,"国内无可用库存",IF(G1047&gt;0,"先发国内现货","按建议量发货")))))</f>
        <v>本批无需补货</v>
      </c>
      <c r="I1047" s="28" t="n">
        <f>IF(AND(COUNT(Z1047,AA1047,AB1047)=3,Z1047&gt;=AA1047,AA1047&gt;=0,AB1047=7),Z1047-AA1047,"")</f>
        <v>0</v>
      </c>
      <c r="J1047" s="28" t="n">
        <f>IF(AND(COUNT(AF1047,AG1047,AH1047)=3,AF1047&gt;=AG1047,AG1047&gt;=0,AH1047=14),AF1047-AG1047,"")</f>
        <v>1</v>
      </c>
      <c r="K1047" s="28" t="n">
        <f>IF(AND(COUNT(AL1047,AM1047,AN1047)=3,AL1047&gt;=AM1047,AM1047&gt;=0,AN1047=30),AL1047-AM1047,"")</f>
        <v>2</v>
      </c>
      <c r="L1047" s="29" t="n">
        <f>IF(ISNUMBER(BI1047),BI1047/90,"")</f>
        <v>0.0692900363511964</v>
      </c>
      <c r="M1047" s="28" t="n">
        <v>1</v>
      </c>
      <c r="N1047" s="28" t="n">
        <v>0</v>
      </c>
      <c r="O1047" s="28" t="n">
        <v>30</v>
      </c>
      <c r="P1047" s="30" t="n">
        <f>IF(AND(ISNUMBER(L1047),L1047&gt;0,COUNT(M1047:O1047)=3,MIN(M1047:O1047)&gt;=0),SUM(M1047:O1047)/L1047,"")</f>
        <v>447.3947717804125</v>
      </c>
      <c r="Q1047" s="16" t="str">
        <v>沿用原计划SKU店铺</v>
      </c>
      <c r="R1047" s="16" t="str">
        <v>已匹配</v>
      </c>
      <c r="S1047" s="16" t="str">
        <v>在售</v>
      </c>
      <c r="T1047" s="16" t="str">
        <v>B07</v>
      </c>
      <c r="U1047" s="16" t="str">
        <v>咖色PU</v>
      </c>
      <c r="V1047" s="16" t="n">
        <v>9</v>
      </c>
      <c r="W1047" s="8" t="str">
        <v>2026-10-11 至 2026-10-17</v>
      </c>
      <c r="X1047" s="8" t="str">
        <v>2026-10-11、2026-10-12、2026-10-13、2026-10-14、2026-10-15、2026-10-16、2026-10-17</v>
      </c>
      <c r="Y1047" s="8" t="str">
        <v>无</v>
      </c>
      <c r="Z1047" s="8" t="n">
        <v>0</v>
      </c>
      <c r="AA1047" s="8" t="n">
        <v>0</v>
      </c>
      <c r="AB1047" s="8" t="n">
        <v>7</v>
      </c>
      <c r="AC1047" s="8" t="str">
        <v>2026-10-02 至 2026-10-17</v>
      </c>
      <c r="AD1047" s="8" t="str">
        <v>2026-10-02、2026-10-03、2026-10-04、2026-10-05、2026-10-08、2026-10-09、2026-10-10、2026-10-11、2026-10-12、2026-10-13、2026-10-14、2026-10-15、2026-10-16、2026-10-17</v>
      </c>
      <c r="AE1047" s="8" t="str">
        <v>2026-10-06 大促；2026-10-07 大促</v>
      </c>
      <c r="AF1047" s="8" t="n">
        <v>1</v>
      </c>
      <c r="AG1047" s="8" t="n">
        <v>0</v>
      </c>
      <c r="AH1047" s="8" t="n">
        <v>14</v>
      </c>
      <c r="AI1047" s="8" t="str">
        <v>2026-09-16 至 2026-10-17</v>
      </c>
      <c r="AJ10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7" s="8" t="str">
        <v>2026-10-06 大促；2026-10-07 大促</v>
      </c>
      <c r="AL1047" s="8" t="n">
        <v>2</v>
      </c>
      <c r="AM1047" s="8" t="n">
        <v>0</v>
      </c>
      <c r="AN1047" s="8" t="n">
        <v>30</v>
      </c>
      <c r="AO1047" s="8" t="str">
        <v>B07 / 咖色PU / 13306</v>
      </c>
      <c r="AP1047" s="11" t="n">
        <v>0.7307750238224848</v>
      </c>
      <c r="AQ1047" s="11" t="n">
        <v>0.7307750238224848</v>
      </c>
      <c r="AR1047" s="11" t="n">
        <v>0.7449809054134506</v>
      </c>
      <c r="AS1047" s="11" t="n">
        <f>IF(AND(COUNT(I1047:K1047,AP1047:AR1047)=6,MIN(AP1047:AR1047)&gt;0),I1047/7/AP1047*0.5+J1047/14/AQ1047*0.3+K1047/30/AR1047*0.2,"")</f>
        <v>0.04722062625929688</v>
      </c>
      <c r="AT1047" s="8" t="n">
        <v>8</v>
      </c>
      <c r="AU1047" s="8" t="n">
        <v>0</v>
      </c>
      <c r="AV1047" s="8" t="n">
        <v>88</v>
      </c>
      <c r="AW1047" s="11" t="n">
        <f>IF(AND(COUNT(AT1047:AV1047)=3,AT1047&gt;=AU1047,AU1047&gt;=0,AV1047&gt;0),(AT1047-AU1047)/AV1047,"")</f>
        <v>0.09090909090909091</v>
      </c>
      <c r="AX1047" s="8" t="n">
        <v>16</v>
      </c>
      <c r="AY1047" s="8" t="n">
        <v>0</v>
      </c>
      <c r="AZ1047" s="8" t="n">
        <v>178</v>
      </c>
      <c r="BA1047" s="11" t="n">
        <f>IF(AND(COUNT(AX1047:AZ1047)=3,AX1047&gt;=AY1047,AY1047&gt;=0,AZ1047&gt;0),(AX1047-AY1047)/AZ1047,"")</f>
        <v>0.0898876404494382</v>
      </c>
      <c r="BB1047" s="8" t="n">
        <f>IF(COUNT(AS1047,AW1047,BA1047)=3,1,0)</f>
        <v>1</v>
      </c>
      <c r="BC1047" s="11" t="n">
        <f>IF(SUMIF($AO$11:$AO$1309,AO1047,$BB$11:$BB$1309)=COUNTIF($AO$11:$AO$1309,AO1047),SUMIF($AO$11:$AO$1309,AO1047,$AS$11:$AS$1309),"")</f>
        <v>0.6473191341094234</v>
      </c>
      <c r="BD1047" s="11" t="n">
        <f>IF(SUMIF($AO$11:$AO$1309,AO1047,$BB$11:$BB$1309)=COUNTIF($AO$11:$AO$1309,AO1047),SUMIF($AO$11:$AO$1309,AO1047,$AW$11:$AW$1309),"")</f>
        <v>0.7499999999999999</v>
      </c>
      <c r="BE1047" s="11" t="n">
        <f>IF(SUMIF($AO$11:$AO$1309,AO1047,$BB$11:$BB$1309)=COUNTIF($AO$11:$AO$1309,AO1047),SUMIF($AO$11:$AO$1309,AO1047,$BA$11:$BA$1309),"")</f>
        <v>0.7078651685393257</v>
      </c>
      <c r="BF1047" s="12" t="n">
        <f>IF(COUNT(BD1047:BE1047)&lt;&gt;2,"",IF(AND(BD1047&gt;0,BE1047&gt;0),0.7*AW1047/BD1047+0.3*BA1047/BE1047,IF(BD1047&gt;0,AW1047/BD1047,IF(BE1047&gt;0,BA1047/BE1047,IF(AND(ISNUMBER(BH1047),BH1047=0),0,"")))))</f>
        <v>0.12294372294372295</v>
      </c>
      <c r="BG1047" s="11" t="n">
        <f>IF(AND(COUNT(BN1047:BU1047)=8,MIN(BN1047:BU1047)&gt;=0),SUMPRODUCT(BN1047:BQ1047,BR1047:BU1047),"")</f>
        <v>78.35892944347341</v>
      </c>
      <c r="BH1047" s="11" t="n">
        <f>IF(COUNT(BC1047,BG1047)=2,BC1047*BG1047,"")</f>
        <v>50.72323435709062</v>
      </c>
      <c r="BI1047" s="11" t="n">
        <f>IF(ISNUMBER(CI1047),CI1047,"")</f>
        <v>6.236103271607677</v>
      </c>
      <c r="BJ1047" s="8" t="str">
        <v>低销提醒依据不完整</v>
      </c>
      <c r="BK1047" s="8" t="str">
        <v>90天：2026-07-20 至 2026-10-17；180天：2026-04-21 至 2026-10-17</v>
      </c>
      <c r="BL1047" s="8" t="str">
        <v>90天：2026-10-06、2026-10-07；180天：2026-10-06、2026-10-07</v>
      </c>
      <c r="BM1047" s="8" t="str">
        <v>2026-10：12天 × 0.7307750238224848；2026-11：30天 × 0.9523018155490097；2026-12：31天 × 0.5958545198749097；2027-01：17天 × 1.3264167397065354</v>
      </c>
      <c r="BN1047" s="11" t="n">
        <v>0.7307750238224848</v>
      </c>
      <c r="BO1047" s="11" t="n">
        <v>0.9523018155490097</v>
      </c>
      <c r="BP1047" s="11" t="n">
        <v>0.5958545198749097</v>
      </c>
      <c r="BQ1047" s="11" t="n">
        <v>1.3264167397065354</v>
      </c>
      <c r="BR1047" s="8" t="n">
        <v>12</v>
      </c>
      <c r="BS1047" s="8" t="n">
        <v>30</v>
      </c>
      <c r="BT1047" s="8" t="n">
        <v>31</v>
      </c>
      <c r="BU1047" s="8" t="n">
        <v>17</v>
      </c>
      <c r="BV1047" s="11" t="n">
        <f>IF(COUNT(BC1047,BF1047)=2,BC1047*BF1047,"")</f>
        <v>0.07958382428011959</v>
      </c>
      <c r="BW1047" s="11" t="n">
        <f>IF(ISNUMBER(BN1047),BN1047,"")</f>
        <v>0.7307750238224848</v>
      </c>
      <c r="BX1047" s="14" t="n">
        <f>IF(ISNUMBER(BR1047),BR1047,"")</f>
        <v>12</v>
      </c>
      <c r="BY1047" s="13" t="n">
        <f>IF(AND(COUNT(BV1047,BW1047,BX1047)=3,MIN(BV1047,BW1047,BX1047)&gt;=0),BV1047*BW1047*BX1047,"")</f>
        <v>0.6978944530102661</v>
      </c>
      <c r="BZ1047" s="11" t="n">
        <f>IF(ISNUMBER(BO1047),BO1047,"")</f>
        <v>0.9523018155490097</v>
      </c>
      <c r="CA1047" s="14" t="n">
        <f>IF(ISNUMBER(BS1047),BS1047,"")</f>
        <v>30</v>
      </c>
      <c r="CB1047" s="13" t="n">
        <f>IF(AND(COUNT(BV1047,BZ1047,CA1047)=3,MIN(BV1047,BZ1047,CA1047)&gt;=0),BV1047*BZ1047*CA1047,"")</f>
        <v>2.2736346105087373</v>
      </c>
      <c r="CC1047" s="11" t="n">
        <f>IF(ISNUMBER(BP1047),BP1047,"")</f>
        <v>0.5958545198749097</v>
      </c>
      <c r="CD1047" s="14" t="n">
        <f>IF(ISNUMBER(BT1047),BT1047,"")</f>
        <v>31</v>
      </c>
      <c r="CE1047" s="13" t="n">
        <f>IF(AND(COUNT(BV1047,CC1047,CD1047)=3,MIN(BV1047,CC1047,CD1047)&gt;=0),BV1047*CC1047*CD1047,"")</f>
        <v>1.4700318235934349</v>
      </c>
      <c r="CF1047" s="11" t="n">
        <f>IF(ISNUMBER(BQ1047),BQ1047,"")</f>
        <v>1.3264167397065354</v>
      </c>
      <c r="CG1047" s="14" t="n">
        <f>IF(ISNUMBER(BU1047),BU1047,"")</f>
        <v>17</v>
      </c>
      <c r="CH1047" s="13" t="n">
        <f>IF(AND(COUNT(BV1047,CF1047,CG1047)=3,MIN(BV1047,CF1047,CG1047)&gt;=0),BV1047*CF1047*CG1047,"")</f>
        <v>1.7945423844952386</v>
      </c>
      <c r="CI1047" s="13" t="n">
        <f>IF(COUNT(BY1047,CB1047,CE1047,CH1047)=4,SUM(BY1047,CB1047,CE1047,CH1047),"")</f>
        <v>6.236103271607677</v>
      </c>
    </row>
    <row r="1048" ht="72" customHeight="1">
      <c r="A1048" s="16" t="str">
        <v>B07-CF-40.5</v>
      </c>
      <c r="B1048" s="16" t="str">
        <v>4店-彬郁-US</v>
      </c>
      <c r="C1048" s="16" t="str">
        <v>艾年</v>
      </c>
      <c r="D1048" s="26" t="n">
        <f>IF(NOT(ISNUMBER(E1048)),"",IF(OR(E1048&lt;=0,L1048=0),0,IF(OR(NOT(ISNUMBER(F1048)),F1048&lt;0),"",MIN(E1048,INT(F1048)))))</f>
        <v>0</v>
      </c>
      <c r="E1048" s="27" t="n">
        <f>IF(OR(NOT(ISNUMBER(L1048)),COUNT(M1048:O1048)&lt;&gt;3,MIN(M1048:O1048)&lt;0),"",ROUNDUP(ROUND(BI1048-SUM(M1048:O1048),10),0))</f>
        <v>-14</v>
      </c>
      <c r="F1048" s="28" t="n">
        <v>0</v>
      </c>
      <c r="G1048" s="28" t="n">
        <f>IF(AND(ISNUMBER(D1048),ISNUMBER(E1048)),IF(OR(E1048&lt;=0,L1048=0),0,E1048-D1048),"")</f>
        <v>0</v>
      </c>
      <c r="H1048" s="16" t="str">
        <f>IF(NOT(ISNUMBER(E1048)),"销量或海外库存待补",IF(OR(E1048&lt;=0,L1048=0),IF(L1048=0,"零日销，本批不发","本批无需补货"),IF(NOT(ISNUMBER(D1048)),"国内库存待补",IF(D1048=0,"国内无可用库存",IF(G1048&gt;0,"先发国内现货","按建议量发货")))))</f>
        <v>本批无需补货</v>
      </c>
      <c r="I1048" s="28" t="n">
        <f>IF(AND(COUNT(Z1048,AA1048,AB1048)=3,Z1048&gt;=AA1048,AA1048&gt;=0,AB1048=7),Z1048-AA1048,"")</f>
        <v>0</v>
      </c>
      <c r="J1048" s="28" t="n">
        <f>IF(AND(COUNT(AF1048,AG1048,AH1048)=3,AF1048&gt;=AG1048,AG1048&gt;=0,AH1048=14),AF1048-AG1048,"")</f>
        <v>1</v>
      </c>
      <c r="K1048" s="28" t="n">
        <f>IF(AND(COUNT(AL1048,AM1048,AN1048)=3,AL1048&gt;=AM1048,AM1048&gt;=0,AN1048=30),AL1048-AM1048,"")</f>
        <v>4</v>
      </c>
      <c r="L1048" s="29" t="n">
        <f>IF(ISNUMBER(BI1048),BI1048/90,"")</f>
        <v>0.07258375286789062</v>
      </c>
      <c r="M1048" s="28" t="n">
        <v>17</v>
      </c>
      <c r="N1048" s="28" t="n">
        <v>3</v>
      </c>
      <c r="O1048" s="28" t="n">
        <v>0</v>
      </c>
      <c r="P1048" s="30" t="n">
        <f>IF(AND(ISNUMBER(L1048),L1048&gt;0,COUNT(M1048:O1048)=3,MIN(M1048:O1048)&gt;=0),SUM(M1048:O1048)/L1048,"")</f>
        <v>275.5437575183239</v>
      </c>
      <c r="Q1048" s="16" t="str">
        <v>沿用原计划SKU店铺</v>
      </c>
      <c r="R1048" s="16" t="str">
        <v>已匹配</v>
      </c>
      <c r="S1048" s="16" t="str">
        <v>在售</v>
      </c>
      <c r="T1048" s="16" t="str">
        <v>B07</v>
      </c>
      <c r="U1048" s="16" t="str">
        <v>咖色PU</v>
      </c>
      <c r="V1048" s="16" t="n">
        <v>9.5</v>
      </c>
      <c r="W1048" s="8" t="str">
        <v>2026-10-11 至 2026-10-17</v>
      </c>
      <c r="X1048" s="8" t="str">
        <v>2026-10-11、2026-10-12、2026-10-13、2026-10-14、2026-10-15、2026-10-16、2026-10-17</v>
      </c>
      <c r="Y1048" s="8" t="str">
        <v>无</v>
      </c>
      <c r="Z1048" s="8" t="n">
        <v>0</v>
      </c>
      <c r="AA1048" s="8" t="n">
        <v>0</v>
      </c>
      <c r="AB1048" s="8" t="n">
        <v>7</v>
      </c>
      <c r="AC1048" s="8" t="str">
        <v>2026-10-02 至 2026-10-17</v>
      </c>
      <c r="AD1048" s="8" t="str">
        <v>2026-10-02、2026-10-03、2026-10-04、2026-10-05、2026-10-08、2026-10-09、2026-10-10、2026-10-11、2026-10-12、2026-10-13、2026-10-14、2026-10-15、2026-10-16、2026-10-17</v>
      </c>
      <c r="AE1048" s="8" t="str">
        <v>2026-10-06 大促；2026-10-07 大促</v>
      </c>
      <c r="AF1048" s="8" t="n">
        <v>1</v>
      </c>
      <c r="AG1048" s="8" t="n">
        <v>0</v>
      </c>
      <c r="AH1048" s="8" t="n">
        <v>14</v>
      </c>
      <c r="AI1048" s="8" t="str">
        <v>2026-09-16 至 2026-10-17</v>
      </c>
      <c r="AJ10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8" s="8" t="str">
        <v>2026-10-06 大促；2026-10-07 大促</v>
      </c>
      <c r="AL1048" s="8" t="n">
        <v>4</v>
      </c>
      <c r="AM1048" s="8" t="n">
        <v>0</v>
      </c>
      <c r="AN1048" s="8" t="n">
        <v>30</v>
      </c>
      <c r="AO1048" s="8" t="str">
        <v>B07 / 咖色PU / 13306</v>
      </c>
      <c r="AP1048" s="11" t="n">
        <v>0.7307750238224848</v>
      </c>
      <c r="AQ1048" s="11" t="n">
        <v>0.7307750238224848</v>
      </c>
      <c r="AR1048" s="11" t="n">
        <v>0.7449809054134506</v>
      </c>
      <c r="AS1048" s="11" t="n">
        <f>IF(AND(COUNT(I1048:K1048,AP1048:AR1048)=6,MIN(AP1048:AR1048)&gt;0),I1048/7/AP1048*0.5+J1048/14/AQ1048*0.3+K1048/30/AR1048*0.2,"")</f>
        <v>0.06511817670179255</v>
      </c>
      <c r="AT1048" s="8" t="n">
        <v>9</v>
      </c>
      <c r="AU1048" s="8" t="n">
        <v>0</v>
      </c>
      <c r="AV1048" s="8" t="n">
        <v>88</v>
      </c>
      <c r="AW1048" s="11" t="n">
        <f>IF(AND(COUNT(AT1048:AV1048)=3,AT1048&gt;=AU1048,AU1048&gt;=0,AV1048&gt;0),(AT1048-AU1048)/AV1048,"")</f>
        <v>0.10227272727272728</v>
      </c>
      <c r="AX1048" s="8" t="n">
        <v>14</v>
      </c>
      <c r="AY1048" s="8" t="n">
        <v>0</v>
      </c>
      <c r="AZ1048" s="8" t="n">
        <v>178</v>
      </c>
      <c r="BA1048" s="11" t="n">
        <f>IF(AND(COUNT(AX1048:AZ1048)=3,AX1048&gt;=AY1048,AY1048&gt;=0,AZ1048&gt;0),(AX1048-AY1048)/AZ1048,"")</f>
        <v>0.07865168539325842</v>
      </c>
      <c r="BB1048" s="8" t="n">
        <f>IF(COUNT(AS1048,AW1048,BA1048)=3,1,0)</f>
        <v>1</v>
      </c>
      <c r="BC1048" s="11" t="n">
        <f>IF(SUMIF($AO$11:$AO$1309,AO1048,$BB$11:$BB$1309)=COUNTIF($AO$11:$AO$1309,AO1048),SUMIF($AO$11:$AO$1309,AO1048,$AS$11:$AS$1309),"")</f>
        <v>0.6473191341094234</v>
      </c>
      <c r="BD1048" s="11" t="n">
        <f>IF(SUMIF($AO$11:$AO$1309,AO1048,$BB$11:$BB$1309)=COUNTIF($AO$11:$AO$1309,AO1048),SUMIF($AO$11:$AO$1309,AO1048,$AW$11:$AW$1309),"")</f>
        <v>0.7499999999999999</v>
      </c>
      <c r="BE1048" s="11" t="n">
        <f>IF(SUMIF($AO$11:$AO$1309,AO1048,$BB$11:$BB$1309)=COUNTIF($AO$11:$AO$1309,AO1048),SUMIF($AO$11:$AO$1309,AO1048,$BA$11:$BA$1309),"")</f>
        <v>0.7078651685393257</v>
      </c>
      <c r="BF1048" s="12" t="n">
        <f>IF(COUNT(BD1048:BE1048)&lt;&gt;2,"",IF(AND(BD1048&gt;0,BE1048&gt;0),0.7*AW1048/BD1048+0.3*BA1048/BE1048,IF(BD1048&gt;0,AW1048/BD1048,IF(BE1048&gt;0,BA1048/BE1048,IF(AND(ISNUMBER(BH1048),BH1048=0),0,"")))))</f>
        <v>0.1287878787878788</v>
      </c>
      <c r="BG1048" s="11" t="n">
        <f>IF(AND(COUNT(BN1048:BU1048)=8,MIN(BN1048:BU1048)&gt;=0),SUMPRODUCT(BN1048:BQ1048,BR1048:BU1048),"")</f>
        <v>78.35892944347341</v>
      </c>
      <c r="BH1048" s="11" t="n">
        <f>IF(COUNT(BC1048,BG1048)=2,BC1048*BG1048,"")</f>
        <v>50.72323435709062</v>
      </c>
      <c r="BI1048" s="11" t="n">
        <f>IF(ISNUMBER(CI1048),CI1048,"")</f>
        <v>6.532537758110156</v>
      </c>
      <c r="BJ1048" s="8" t="str">
        <v>低销提醒依据不完整</v>
      </c>
      <c r="BK1048" s="8" t="str">
        <v>90天：2026-07-20 至 2026-10-17；180天：2026-04-21 至 2026-10-17</v>
      </c>
      <c r="BL1048" s="8" t="str">
        <v>90天：2026-10-06、2026-10-07；180天：2026-10-06、2026-10-07</v>
      </c>
      <c r="BM1048" s="8" t="str">
        <v>2026-10：12天 × 0.7307750238224848；2026-11：30天 × 0.9523018155490097；2026-12：31天 × 0.5958545198749097；2027-01：17天 × 1.3264167397065354</v>
      </c>
      <c r="BN1048" s="11" t="n">
        <v>0.7307750238224848</v>
      </c>
      <c r="BO1048" s="11" t="n">
        <v>0.9523018155490097</v>
      </c>
      <c r="BP1048" s="11" t="n">
        <v>0.5958545198749097</v>
      </c>
      <c r="BQ1048" s="11" t="n">
        <v>1.3264167397065354</v>
      </c>
      <c r="BR1048" s="8" t="n">
        <v>12</v>
      </c>
      <c r="BS1048" s="8" t="n">
        <v>30</v>
      </c>
      <c r="BT1048" s="8" t="n">
        <v>31</v>
      </c>
      <c r="BU1048" s="8" t="n">
        <v>17</v>
      </c>
      <c r="BV1048" s="11" t="n">
        <f>IF(COUNT(BC1048,BF1048)=2,BC1048*BF1048,"")</f>
        <v>0.08336685818075909</v>
      </c>
      <c r="BW1048" s="11" t="n">
        <f>IF(ISNUMBER(BN1048),BN1048,"")</f>
        <v>0.7307750238224848</v>
      </c>
      <c r="BX1048" s="14" t="n">
        <f>IF(ISNUMBER(BR1048),BR1048,"")</f>
        <v>12</v>
      </c>
      <c r="BY1048" s="13" t="n">
        <f>IF(AND(COUNT(BV1048,BW1048,BX1048)=3,MIN(BV1048,BW1048,BX1048)&gt;=0),BV1048*BW1048*BX1048,"")</f>
        <v>0.7310690132765992</v>
      </c>
      <c r="BZ1048" s="11" t="n">
        <f>IF(ISNUMBER(BO1048),BO1048,"")</f>
        <v>0.9523018155490097</v>
      </c>
      <c r="CA1048" s="14" t="n">
        <f>IF(ISNUMBER(BS1048),BS1048,"")</f>
        <v>30</v>
      </c>
      <c r="CB1048" s="13" t="n">
        <f>IF(AND(COUNT(BV1048,BZ1048,CA1048)=3,MIN(BV1048,BZ1048,CA1048)&gt;=0),BV1048*BZ1048*CA1048,"")</f>
        <v>2.381712312064611</v>
      </c>
      <c r="CC1048" s="11" t="n">
        <f>IF(ISNUMBER(BP1048),BP1048,"")</f>
        <v>0.5958545198749097</v>
      </c>
      <c r="CD1048" s="14" t="n">
        <f>IF(ISNUMBER(BT1048),BT1048,"")</f>
        <v>31</v>
      </c>
      <c r="CE1048" s="13" t="n">
        <f>IF(AND(COUNT(BV1048,CC1048,CD1048)=3,MIN(BV1048,CC1048,CD1048)&gt;=0),BV1048*CC1048*CD1048,"")</f>
        <v>1.5399100968980528</v>
      </c>
      <c r="CF1048" s="11" t="n">
        <f>IF(ISNUMBER(BQ1048),BQ1048,"")</f>
        <v>1.3264167397065354</v>
      </c>
      <c r="CG1048" s="14" t="n">
        <f>IF(ISNUMBER(BU1048),BU1048,"")</f>
        <v>17</v>
      </c>
      <c r="CH1048" s="13" t="n">
        <f>IF(AND(COUNT(BV1048,CF1048,CG1048)=3,MIN(BV1048,CF1048,CG1048)&gt;=0),BV1048*CF1048*CG1048,"")</f>
        <v>1.879846335870893</v>
      </c>
      <c r="CI1048" s="13" t="n">
        <f>IF(COUNT(BY1048,CB1048,CE1048,CH1048)=4,SUM(BY1048,CB1048,CE1048,CH1048),"")</f>
        <v>6.532537758110156</v>
      </c>
    </row>
    <row r="1049" ht="72" customHeight="1">
      <c r="A1049" s="16" t="str">
        <v>B07-CF-41</v>
      </c>
      <c r="B1049" s="16" t="str">
        <v>4店-彬郁-US</v>
      </c>
      <c r="C1049" s="16" t="str">
        <v>艾年</v>
      </c>
      <c r="D1049" s="26" t="n">
        <f>IF(NOT(ISNUMBER(E1049)),"",IF(OR(E1049&lt;=0,L1049=0),0,IF(OR(NOT(ISNUMBER(F1049)),F1049&lt;0),"",MIN(E1049,INT(F1049)))))</f>
        <v>0</v>
      </c>
      <c r="E1049" s="27" t="n">
        <f>IF(OR(NOT(ISNUMBER(L1049)),COUNT(M1049:O1049)&lt;&gt;3,MIN(M1049:O1049)&lt;0),"",ROUNDUP(ROUND(BI1049-SUM(M1049:O1049),10),0))</f>
        <v>-9</v>
      </c>
      <c r="F1049" s="28" t="n">
        <v>0</v>
      </c>
      <c r="G1049" s="28" t="n">
        <f>IF(AND(ISNUMBER(D1049),ISNUMBER(E1049)),IF(OR(E1049&lt;=0,L1049=0),0,E1049-D1049),"")</f>
        <v>0</v>
      </c>
      <c r="H1049" s="16" t="str">
        <f>IF(NOT(ISNUMBER(E1049)),"销量或海外库存待补",IF(OR(E1049&lt;=0,L1049=0),IF(L1049=0,"零日销，本批不发","本批无需补货"),IF(NOT(ISNUMBER(D1049)),"国内库存待补",IF(D1049=0,"国内无可用库存",IF(G1049&gt;0,"先发国内现货","按建议量发货")))))</f>
        <v>本批无需补货</v>
      </c>
      <c r="I1049" s="28" t="n">
        <f>IF(AND(COUNT(Z1049,AA1049,AB1049)=3,Z1049&gt;=AA1049,AA1049&gt;=0,AB1049=7),Z1049-AA1049,"")</f>
        <v>0</v>
      </c>
      <c r="J1049" s="28" t="n">
        <f>IF(AND(COUNT(AF1049,AG1049,AH1049)=3,AF1049&gt;=AG1049,AG1049&gt;=0,AH1049=14),AF1049-AG1049,"")</f>
        <v>0</v>
      </c>
      <c r="K1049" s="28" t="n">
        <f>IF(AND(COUNT(AL1049,AM1049,AN1049)=3,AL1049&gt;=AM1049,AM1049&gt;=0,AN1049=30),AL1049-AM1049,"")</f>
        <v>0</v>
      </c>
      <c r="L1049" s="29" t="n">
        <f>IF(ISNUMBER(BI1049),BI1049/90,"")</f>
        <v>0.020006278101401785</v>
      </c>
      <c r="M1049" s="28" t="n">
        <v>2</v>
      </c>
      <c r="N1049" s="28" t="n">
        <v>0</v>
      </c>
      <c r="O1049" s="28" t="n">
        <v>8</v>
      </c>
      <c r="P1049" s="30" t="n">
        <f>IF(AND(ISNUMBER(L1049),L1049&gt;0,COUNT(M1049:O1049)=3,MIN(M1049:O1049)&gt;=0),SUM(M1049:O1049)/L1049,"")</f>
        <v>499.8430967176912</v>
      </c>
      <c r="Q1049" s="16" t="str">
        <v>沿用原计划SKU店铺</v>
      </c>
      <c r="R1049" s="16" t="str">
        <v>已匹配</v>
      </c>
      <c r="S1049" s="16" t="str">
        <v>在售</v>
      </c>
      <c r="T1049" s="16" t="str">
        <v>B07</v>
      </c>
      <c r="U1049" s="16" t="str">
        <v>咖色PU</v>
      </c>
      <c r="V1049" s="16" t="n">
        <v>10</v>
      </c>
      <c r="W1049" s="8" t="str">
        <v>2026-10-11 至 2026-10-17</v>
      </c>
      <c r="X1049" s="8" t="str">
        <v>2026-10-11、2026-10-12、2026-10-13、2026-10-14、2026-10-15、2026-10-16、2026-10-17</v>
      </c>
      <c r="Y1049" s="8" t="str">
        <v>无</v>
      </c>
      <c r="Z1049" s="8" t="n">
        <v>0</v>
      </c>
      <c r="AA1049" s="8" t="n">
        <v>0</v>
      </c>
      <c r="AB1049" s="8" t="n">
        <v>7</v>
      </c>
      <c r="AC1049" s="8" t="str">
        <v>2026-10-02 至 2026-10-17</v>
      </c>
      <c r="AD1049" s="8" t="str">
        <v>2026-10-02、2026-10-03、2026-10-04、2026-10-05、2026-10-08、2026-10-09、2026-10-10、2026-10-11、2026-10-12、2026-10-13、2026-10-14、2026-10-15、2026-10-16、2026-10-17</v>
      </c>
      <c r="AE1049" s="8" t="str">
        <v>2026-10-06 大促；2026-10-07 大促</v>
      </c>
      <c r="AF1049" s="8" t="n">
        <v>1</v>
      </c>
      <c r="AG1049" s="8" t="n">
        <v>1</v>
      </c>
      <c r="AH1049" s="8" t="n">
        <v>14</v>
      </c>
      <c r="AI1049" s="8" t="str">
        <v>2026-09-16 至 2026-10-17</v>
      </c>
      <c r="AJ10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49" s="8" t="str">
        <v>2026-10-06 大促；2026-10-07 大促</v>
      </c>
      <c r="AL1049" s="8" t="n">
        <v>1</v>
      </c>
      <c r="AM1049" s="8" t="n">
        <v>1</v>
      </c>
      <c r="AN1049" s="8" t="n">
        <v>30</v>
      </c>
      <c r="AO1049" s="8" t="str">
        <v>B07 / 咖色PU / 13306</v>
      </c>
      <c r="AP1049" s="11" t="n">
        <v>0.7307750238224848</v>
      </c>
      <c r="AQ1049" s="11" t="n">
        <v>0.7307750238224848</v>
      </c>
      <c r="AR1049" s="11" t="n">
        <v>0.7449809054134506</v>
      </c>
      <c r="AS1049" s="11" t="n">
        <f>IF(AND(COUNT(I1049:K1049,AP1049:AR1049)=6,MIN(AP1049:AR1049)&gt;0),I1049/7/AP1049*0.5+J1049/14/AQ1049*0.3+K1049/30/AR1049*0.2,"")</f>
        <v>0</v>
      </c>
      <c r="AT1049" s="8" t="n">
        <v>3</v>
      </c>
      <c r="AU1049" s="8" t="n">
        <v>1</v>
      </c>
      <c r="AV1049" s="8" t="n">
        <v>88</v>
      </c>
      <c r="AW1049" s="11" t="n">
        <f>IF(AND(COUNT(AT1049:AV1049)=3,AT1049&gt;=AU1049,AU1049&gt;=0,AV1049&gt;0),(AT1049-AU1049)/AV1049,"")</f>
        <v>0.022727272727272728</v>
      </c>
      <c r="AX1049" s="8" t="n">
        <v>7</v>
      </c>
      <c r="AY1049" s="8" t="n">
        <v>1</v>
      </c>
      <c r="AZ1049" s="8" t="n">
        <v>178</v>
      </c>
      <c r="BA1049" s="11" t="n">
        <f>IF(AND(COUNT(AX1049:AZ1049)=3,AX1049&gt;=AY1049,AY1049&gt;=0,AZ1049&gt;0),(AX1049-AY1049)/AZ1049,"")</f>
        <v>0.033707865168539325</v>
      </c>
      <c r="BB1049" s="8" t="n">
        <f>IF(COUNT(AS1049,AW1049,BA1049)=3,1,0)</f>
        <v>1</v>
      </c>
      <c r="BC1049" s="11" t="n">
        <f>IF(SUMIF($AO$11:$AO$1309,AO1049,$BB$11:$BB$1309)=COUNTIF($AO$11:$AO$1309,AO1049),SUMIF($AO$11:$AO$1309,AO1049,$AS$11:$AS$1309),"")</f>
        <v>0.6473191341094234</v>
      </c>
      <c r="BD1049" s="11" t="n">
        <f>IF(SUMIF($AO$11:$AO$1309,AO1049,$BB$11:$BB$1309)=COUNTIF($AO$11:$AO$1309,AO1049),SUMIF($AO$11:$AO$1309,AO1049,$AW$11:$AW$1309),"")</f>
        <v>0.7499999999999999</v>
      </c>
      <c r="BE1049" s="11" t="n">
        <f>IF(SUMIF($AO$11:$AO$1309,AO1049,$BB$11:$BB$1309)=COUNTIF($AO$11:$AO$1309,AO1049),SUMIF($AO$11:$AO$1309,AO1049,$BA$11:$BA$1309),"")</f>
        <v>0.7078651685393257</v>
      </c>
      <c r="BF1049" s="12" t="n">
        <f>IF(COUNT(BD1049:BE1049)&lt;&gt;2,"",IF(AND(BD1049&gt;0,BE1049&gt;0),0.7*AW1049/BD1049+0.3*BA1049/BE1049,IF(BD1049&gt;0,AW1049/BD1049,IF(BE1049&gt;0,BA1049/BE1049,IF(AND(ISNUMBER(BH1049),BH1049=0),0,"")))))</f>
        <v>0.0354978354978355</v>
      </c>
      <c r="BG1049" s="11" t="n">
        <f>IF(AND(COUNT(BN1049:BU1049)=8,MIN(BN1049:BU1049)&gt;=0),SUMPRODUCT(BN1049:BQ1049,BR1049:BU1049),"")</f>
        <v>78.35892944347341</v>
      </c>
      <c r="BH1049" s="11" t="n">
        <f>IF(COUNT(BC1049,BG1049)=2,BC1049*BG1049,"")</f>
        <v>50.72323435709062</v>
      </c>
      <c r="BI1049" s="11" t="n">
        <f>IF(ISNUMBER(CI1049),CI1049,"")</f>
        <v>1.8005650291261608</v>
      </c>
      <c r="BJ1049" s="8" t="str">
        <v>低销提醒依据不完整</v>
      </c>
      <c r="BK1049" s="8" t="str">
        <v>90天：2026-07-20 至 2026-10-17；180天：2026-04-21 至 2026-10-17</v>
      </c>
      <c r="BL1049" s="8" t="str">
        <v>90天：2026-10-06、2026-10-07；180天：2026-10-06、2026-10-07</v>
      </c>
      <c r="BM1049" s="8" t="str">
        <v>2026-10：12天 × 0.7307750238224848；2026-11：30天 × 0.9523018155490097；2026-12：31天 × 0.5958545198749097；2027-01：17天 × 1.3264167397065354</v>
      </c>
      <c r="BN1049" s="11" t="n">
        <v>0.7307750238224848</v>
      </c>
      <c r="BO1049" s="11" t="n">
        <v>0.9523018155490097</v>
      </c>
      <c r="BP1049" s="11" t="n">
        <v>0.5958545198749097</v>
      </c>
      <c r="BQ1049" s="11" t="n">
        <v>1.3264167397065354</v>
      </c>
      <c r="BR1049" s="8" t="n">
        <v>12</v>
      </c>
      <c r="BS1049" s="8" t="n">
        <v>30</v>
      </c>
      <c r="BT1049" s="8" t="n">
        <v>31</v>
      </c>
      <c r="BU1049" s="8" t="n">
        <v>17</v>
      </c>
      <c r="BV1049" s="11" t="n">
        <f>IF(COUNT(BC1049,BF1049)=2,BC1049*BF1049,"")</f>
        <v>0.022978428137217632</v>
      </c>
      <c r="BW1049" s="11" t="n">
        <f>IF(ISNUMBER(BN1049),BN1049,"")</f>
        <v>0.7307750238224848</v>
      </c>
      <c r="BX1049" s="14" t="n">
        <f>IF(ISNUMBER(BR1049),BR1049,"")</f>
        <v>12</v>
      </c>
      <c r="BY1049" s="13" t="n">
        <f>IF(AND(COUNT(BV1049,BW1049,BX1049)=3,MIN(BV1049,BW1049,BX1049)&gt;=0),BV1049*BW1049*BX1049,"")</f>
        <v>0.20150473643254163</v>
      </c>
      <c r="BZ1049" s="11" t="n">
        <f>IF(ISNUMBER(BO1049),BO1049,"")</f>
        <v>0.9523018155490097</v>
      </c>
      <c r="CA1049" s="14" t="n">
        <f>IF(ISNUMBER(BS1049),BS1049,"")</f>
        <v>30</v>
      </c>
      <c r="CB1049" s="13" t="n">
        <f>IF(AND(COUNT(BV1049,BZ1049,CA1049)=3,MIN(BV1049,BZ1049,CA1049)&gt;=0),BV1049*BZ1049*CA1049,"")</f>
        <v>0.656471965006044</v>
      </c>
      <c r="CC1049" s="11" t="n">
        <f>IF(ISNUMBER(BP1049),BP1049,"")</f>
        <v>0.5958545198749097</v>
      </c>
      <c r="CD1049" s="14" t="n">
        <f>IF(ISNUMBER(BT1049),BT1049,"")</f>
        <v>31</v>
      </c>
      <c r="CE1049" s="13" t="n">
        <f>IF(AND(COUNT(BV1049,CC1049,CD1049)=3,MIN(BV1049,CC1049,CD1049)&gt;=0),BV1049*CC1049*CD1049,"")</f>
        <v>0.42444580822063976</v>
      </c>
      <c r="CF1049" s="11" t="n">
        <f>IF(ISNUMBER(BQ1049),BQ1049,"")</f>
        <v>1.3264167397065354</v>
      </c>
      <c r="CG1049" s="14" t="n">
        <f>IF(ISNUMBER(BU1049),BU1049,"")</f>
        <v>17</v>
      </c>
      <c r="CH1049" s="13" t="n">
        <f>IF(AND(COUNT(BV1049,CF1049,CG1049)=3,MIN(BV1049,CF1049,CG1049)&gt;=0),BV1049*CF1049*CG1049,"")</f>
        <v>0.5181425194669352</v>
      </c>
      <c r="CI1049" s="13" t="n">
        <f>IF(COUNT(BY1049,CB1049,CE1049,CH1049)=4,SUM(BY1049,CB1049,CE1049,CH1049),"")</f>
        <v>1.8005650291261608</v>
      </c>
    </row>
    <row r="1050" ht="72" customHeight="1">
      <c r="A1050" s="16" t="str">
        <v>B07-CF-41.5</v>
      </c>
      <c r="B1050" s="16" t="str">
        <v>4店-彬郁-US</v>
      </c>
      <c r="C1050" s="16" t="str">
        <v>艾年</v>
      </c>
      <c r="D1050" s="26" t="n">
        <f>IF(NOT(ISNUMBER(E1050)),"",IF(OR(E1050&lt;=0,L1050=0),0,IF(OR(NOT(ISNUMBER(F1050)),F1050&lt;0),"",MIN(E1050,INT(F1050)))))</f>
        <v>0</v>
      </c>
      <c r="E1050" s="27" t="n">
        <f>IF(OR(NOT(ISNUMBER(L1050)),COUNT(M1050:O1050)&lt;&gt;3,MIN(M1050:O1050)&lt;0),"",ROUNDUP(ROUND(BI1050-SUM(M1050:O1050),10),0))</f>
        <v>-35</v>
      </c>
      <c r="F1050" s="28" t="n">
        <v>0</v>
      </c>
      <c r="G1050" s="28" t="n">
        <f>IF(AND(ISNUMBER(D1050),ISNUMBER(E1050)),IF(OR(E1050&lt;=0,L1050=0),0,E1050-D1050),"")</f>
        <v>0</v>
      </c>
      <c r="H1050" s="16" t="str">
        <f>IF(NOT(ISNUMBER(E1050)),"销量或海外库存待补",IF(OR(E1050&lt;=0,L1050=0),IF(L1050=0,"零日销，本批不发","本批无需补货"),IF(NOT(ISNUMBER(D1050)),"国内库存待补",IF(D1050=0,"国内无可用库存",IF(G1050&gt;0,"先发国内现货","按建议量发货")))))</f>
        <v>本批无需补货</v>
      </c>
      <c r="I1050" s="28" t="n">
        <f>IF(AND(COUNT(Z1050,AA1050,AB1050)=3,Z1050&gt;=AA1050,AA1050&gt;=0,AB1050=7),Z1050-AA1050,"")</f>
        <v>0</v>
      </c>
      <c r="J1050" s="28" t="n">
        <f>IF(AND(COUNT(AF1050,AG1050,AH1050)=3,AF1050&gt;=AG1050,AG1050&gt;=0,AH1050=14),AF1050-AG1050,"")</f>
        <v>1</v>
      </c>
      <c r="K1050" s="28" t="n">
        <f>IF(AND(COUNT(AL1050,AM1050,AN1050)=3,AL1050&gt;=AM1050,AM1050&gt;=0,AN1050=30),AL1050-AM1050,"")</f>
        <v>1</v>
      </c>
      <c r="L1050" s="29" t="n">
        <f>IF(ISNUMBER(BI1050),BI1050/90,"")</f>
        <v>0.039280619199093744</v>
      </c>
      <c r="M1050" s="28" t="n">
        <v>38</v>
      </c>
      <c r="N1050" s="28" t="n">
        <v>0</v>
      </c>
      <c r="O1050" s="28" t="n">
        <v>0</v>
      </c>
      <c r="P1050" s="30" t="n">
        <f>IF(AND(ISNUMBER(L1050),L1050&gt;0,COUNT(M1050:O1050)=3,MIN(M1050:O1050)&gt;=0),SUM(M1050:O1050)/L1050,"")</f>
        <v>967.3981921567242</v>
      </c>
      <c r="Q1050" s="16" t="str">
        <v>沿用原计划SKU店铺</v>
      </c>
      <c r="R1050" s="16" t="str">
        <v>已匹配</v>
      </c>
      <c r="S1050" s="16" t="str">
        <v>在售</v>
      </c>
      <c r="T1050" s="16" t="str">
        <v>B07</v>
      </c>
      <c r="U1050" s="16" t="str">
        <v>咖色PU</v>
      </c>
      <c r="V1050" s="16" t="n">
        <v>10.5</v>
      </c>
      <c r="W1050" s="8" t="str">
        <v>2026-10-11 至 2026-10-17</v>
      </c>
      <c r="X1050" s="8" t="str">
        <v>2026-10-11、2026-10-12、2026-10-13、2026-10-14、2026-10-15、2026-10-16、2026-10-17</v>
      </c>
      <c r="Y1050" s="8" t="str">
        <v>无</v>
      </c>
      <c r="Z1050" s="8" t="n">
        <v>0</v>
      </c>
      <c r="AA1050" s="8" t="n">
        <v>0</v>
      </c>
      <c r="AB1050" s="8" t="n">
        <v>7</v>
      </c>
      <c r="AC1050" s="8" t="str">
        <v>2026-10-02 至 2026-10-17</v>
      </c>
      <c r="AD1050" s="8" t="str">
        <v>2026-10-02、2026-10-03、2026-10-04、2026-10-05、2026-10-08、2026-10-09、2026-10-10、2026-10-11、2026-10-12、2026-10-13、2026-10-14、2026-10-15、2026-10-16、2026-10-17</v>
      </c>
      <c r="AE1050" s="8" t="str">
        <v>2026-10-06 大促；2026-10-07 大促</v>
      </c>
      <c r="AF1050" s="8" t="n">
        <v>1</v>
      </c>
      <c r="AG1050" s="8" t="n">
        <v>0</v>
      </c>
      <c r="AH1050" s="8" t="n">
        <v>14</v>
      </c>
      <c r="AI1050" s="8" t="str">
        <v>2026-09-16 至 2026-10-17</v>
      </c>
      <c r="AJ10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0" s="8" t="str">
        <v>2026-10-06 大促；2026-10-07 大促</v>
      </c>
      <c r="AL1050" s="8" t="n">
        <v>1</v>
      </c>
      <c r="AM1050" s="8" t="n">
        <v>0</v>
      </c>
      <c r="AN1050" s="8" t="n">
        <v>30</v>
      </c>
      <c r="AO1050" s="8" t="str">
        <v>B07 / 咖色PU / 13306</v>
      </c>
      <c r="AP1050" s="11" t="n">
        <v>0.7307750238224848</v>
      </c>
      <c r="AQ1050" s="11" t="n">
        <v>0.7307750238224848</v>
      </c>
      <c r="AR1050" s="11" t="n">
        <v>0.7449809054134506</v>
      </c>
      <c r="AS1050" s="11" t="n">
        <f>IF(AND(COUNT(I1050:K1050,AP1050:AR1050)=6,MIN(AP1050:AR1050)&gt;0),I1050/7/AP1050*0.5+J1050/14/AQ1050*0.3+K1050/30/AR1050*0.2,"")</f>
        <v>0.038271851038049046</v>
      </c>
      <c r="AT1050" s="8" t="n">
        <v>5</v>
      </c>
      <c r="AU1050" s="8" t="n">
        <v>0</v>
      </c>
      <c r="AV1050" s="8" t="n">
        <v>88</v>
      </c>
      <c r="AW1050" s="11" t="n">
        <f>IF(AND(COUNT(AT1050:AV1050)=3,AT1050&gt;=AU1050,AU1050&gt;=0,AV1050&gt;0),(AT1050-AU1050)/AV1050,"")</f>
        <v>0.056818181818181816</v>
      </c>
      <c r="AX1050" s="8" t="n">
        <v>7</v>
      </c>
      <c r="AY1050" s="8" t="n">
        <v>0</v>
      </c>
      <c r="AZ1050" s="8" t="n">
        <v>178</v>
      </c>
      <c r="BA1050" s="11" t="n">
        <f>IF(AND(COUNT(AX1050:AZ1050)=3,AX1050&gt;=AY1050,AY1050&gt;=0,AZ1050&gt;0),(AX1050-AY1050)/AZ1050,"")</f>
        <v>0.03932584269662921</v>
      </c>
      <c r="BB1050" s="8" t="n">
        <f>IF(COUNT(AS1050,AW1050,BA1050)=3,1,0)</f>
        <v>1</v>
      </c>
      <c r="BC1050" s="11" t="n">
        <f>IF(SUMIF($AO$11:$AO$1309,AO1050,$BB$11:$BB$1309)=COUNTIF($AO$11:$AO$1309,AO1050),SUMIF($AO$11:$AO$1309,AO1050,$AS$11:$AS$1309),"")</f>
        <v>0.6473191341094234</v>
      </c>
      <c r="BD1050" s="11" t="n">
        <f>IF(SUMIF($AO$11:$AO$1309,AO1050,$BB$11:$BB$1309)=COUNTIF($AO$11:$AO$1309,AO1050),SUMIF($AO$11:$AO$1309,AO1050,$AW$11:$AW$1309),"")</f>
        <v>0.7499999999999999</v>
      </c>
      <c r="BE1050" s="11" t="n">
        <f>IF(SUMIF($AO$11:$AO$1309,AO1050,$BB$11:$BB$1309)=COUNTIF($AO$11:$AO$1309,AO1050),SUMIF($AO$11:$AO$1309,AO1050,$BA$11:$BA$1309),"")</f>
        <v>0.7078651685393257</v>
      </c>
      <c r="BF1050" s="12" t="n">
        <f>IF(COUNT(BD1050:BE1050)&lt;&gt;2,"",IF(AND(BD1050&gt;0,BE1050&gt;0),0.7*AW1050/BD1050+0.3*BA1050/BE1050,IF(BD1050&gt;0,AW1050/BD1050,IF(BE1050&gt;0,BA1050/BE1050,IF(AND(ISNUMBER(BH1050),BH1050=0),0,"")))))</f>
        <v>0.0696969696969697</v>
      </c>
      <c r="BG1050" s="11" t="n">
        <f>IF(AND(COUNT(BN1050:BU1050)=8,MIN(BN1050:BU1050)&gt;=0),SUMPRODUCT(BN1050:BQ1050,BR1050:BU1050),"")</f>
        <v>78.35892944347341</v>
      </c>
      <c r="BH1050" s="11" t="n">
        <f>IF(COUNT(BC1050,BG1050)=2,BC1050*BG1050,"")</f>
        <v>50.72323435709062</v>
      </c>
      <c r="BI1050" s="11" t="n">
        <f>IF(ISNUMBER(CI1050),CI1050,"")</f>
        <v>3.535255727918437</v>
      </c>
      <c r="BJ1050" s="8" t="str">
        <v>低销提醒依据不完整</v>
      </c>
      <c r="BK1050" s="8" t="str">
        <v>90天：2026-07-20 至 2026-10-17；180天：2026-04-21 至 2026-10-17</v>
      </c>
      <c r="BL1050" s="8" t="str">
        <v>90天：2026-10-06、2026-10-07；180天：2026-10-06、2026-10-07</v>
      </c>
      <c r="BM1050" s="8" t="str">
        <v>2026-10：12天 × 0.7307750238224848；2026-11：30天 × 0.9523018155490097；2026-12：31天 × 0.5958545198749097；2027-01：17天 × 1.3264167397065354</v>
      </c>
      <c r="BN1050" s="11" t="n">
        <v>0.7307750238224848</v>
      </c>
      <c r="BO1050" s="11" t="n">
        <v>0.9523018155490097</v>
      </c>
      <c r="BP1050" s="11" t="n">
        <v>0.5958545198749097</v>
      </c>
      <c r="BQ1050" s="11" t="n">
        <v>1.3264167397065354</v>
      </c>
      <c r="BR1050" s="8" t="n">
        <v>12</v>
      </c>
      <c r="BS1050" s="8" t="n">
        <v>30</v>
      </c>
      <c r="BT1050" s="8" t="n">
        <v>31</v>
      </c>
      <c r="BU1050" s="8" t="n">
        <v>17</v>
      </c>
      <c r="BV1050" s="11" t="n">
        <f>IF(COUNT(BC1050,BF1050)=2,BC1050*BF1050,"")</f>
        <v>0.04511618207429315</v>
      </c>
      <c r="BW1050" s="11" t="n">
        <f>IF(ISNUMBER(BN1050),BN1050,"")</f>
        <v>0.7307750238224848</v>
      </c>
      <c r="BX1050" s="14" t="n">
        <f>IF(ISNUMBER(BR1050),BR1050,"")</f>
        <v>12</v>
      </c>
      <c r="BY1050" s="13" t="n">
        <f>IF(AND(COUNT(BV1050,BW1050,BX1050)=3,MIN(BV1050,BW1050,BX1050)&gt;=0),BV1050*BW1050*BX1050,"")</f>
        <v>0.3956373483614537</v>
      </c>
      <c r="BZ1050" s="11" t="n">
        <f>IF(ISNUMBER(BO1050),BO1050,"")</f>
        <v>0.9523018155490097</v>
      </c>
      <c r="CA1050" s="14" t="n">
        <f>IF(ISNUMBER(BS1050),BS1050,"")</f>
        <v>30</v>
      </c>
      <c r="CB1050" s="13" t="n">
        <f>IF(AND(COUNT(BV1050,BZ1050,CA1050)=3,MIN(BV1050,BZ1050,CA1050)&gt;=0),BV1050*BZ1050*CA1050,"")</f>
        <v>1.2889266629996716</v>
      </c>
      <c r="CC1050" s="11" t="n">
        <f>IF(ISNUMBER(BP1050),BP1050,"")</f>
        <v>0.5958545198749097</v>
      </c>
      <c r="CD1050" s="14" t="n">
        <f>IF(ISNUMBER(BT1050),BT1050,"")</f>
        <v>31</v>
      </c>
      <c r="CE1050" s="13" t="n">
        <f>IF(AND(COUNT(BV1050,CC1050,CD1050)=3,MIN(BV1050,CC1050,CD1050)&gt;=0),BV1050*CC1050*CD1050,"")</f>
        <v>0.8333631112624755</v>
      </c>
      <c r="CF1050" s="11" t="n">
        <f>IF(ISNUMBER(BQ1050),BQ1050,"")</f>
        <v>1.3264167397065354</v>
      </c>
      <c r="CG1050" s="14" t="n">
        <f>IF(ISNUMBER(BU1050),BU1050,"")</f>
        <v>17</v>
      </c>
      <c r="CH1050" s="13" t="n">
        <f>IF(AND(COUNT(BV1050,CF1050,CG1050)=3,MIN(BV1050,CF1050,CG1050)&gt;=0),BV1050*CF1050*CG1050,"")</f>
        <v>1.017328605294836</v>
      </c>
      <c r="CI1050" s="13" t="n">
        <f>IF(COUNT(BY1050,CB1050,CE1050,CH1050)=4,SUM(BY1050,CB1050,CE1050,CH1050),"")</f>
        <v>3.535255727918437</v>
      </c>
    </row>
    <row r="1051" ht="72" customHeight="1">
      <c r="A1051" s="16" t="str">
        <v>B07-CF-42</v>
      </c>
      <c r="B1051" s="16" t="str">
        <v>4店-彬郁-US</v>
      </c>
      <c r="C1051" s="16" t="str">
        <v>艾年</v>
      </c>
      <c r="D1051" s="26" t="n">
        <f>IF(NOT(ISNUMBER(E1051)),"",IF(OR(E1051&lt;=0,L1051=0),0,IF(OR(NOT(ISNUMBER(F1051)),F1051&lt;0),"",MIN(E1051,INT(F1051)))))</f>
        <v>0</v>
      </c>
      <c r="E1051" s="27" t="n">
        <f>IF(OR(NOT(ISNUMBER(L1051)),COUNT(M1051:O1051)&lt;&gt;3,MIN(M1051:O1051)&lt;0),"",ROUNDUP(ROUND(BI1051-SUM(M1051:O1051),10),0))</f>
        <v>-1</v>
      </c>
      <c r="F1051" s="28" t="n">
        <v>20</v>
      </c>
      <c r="G1051" s="28" t="n">
        <f>IF(AND(ISNUMBER(D1051),ISNUMBER(E1051)),IF(OR(E1051&lt;=0,L1051=0),0,E1051-D1051),"")</f>
        <v>0</v>
      </c>
      <c r="H1051" s="16" t="str">
        <f>IF(NOT(ISNUMBER(E1051)),"销量或海外库存待补",IF(OR(E1051&lt;=0,L1051=0),IF(L1051=0,"零日销，本批不发","本批无需补货"),IF(NOT(ISNUMBER(D1051)),"国内库存待补",IF(D1051=0,"国内无可用库存",IF(G1051&gt;0,"先发国内现货","按建议量发货")))))</f>
        <v>本批无需补货</v>
      </c>
      <c r="I1051" s="28" t="n">
        <f>IF(AND(COUNT(Z1051,AA1051,AB1051)=3,Z1051&gt;=AA1051,AA1051&gt;=0,AB1051=7),Z1051-AA1051,"")</f>
        <v>0</v>
      </c>
      <c r="J1051" s="28" t="n">
        <f>IF(AND(COUNT(AF1051,AG1051,AH1051)=3,AF1051&gt;=AG1051,AG1051&gt;=0,AH1051=14),AF1051-AG1051,"")</f>
        <v>0</v>
      </c>
      <c r="K1051" s="28" t="n">
        <f>IF(AND(COUNT(AL1051,AM1051,AN1051)=3,AL1051&gt;=AM1051,AM1051&gt;=0,AN1051=30),AL1051-AM1051,"")</f>
        <v>0</v>
      </c>
      <c r="L1051" s="29" t="n">
        <f>IF(ISNUMBER(BI1051),BI1051/90,"")</f>
        <v>0.02464187912489732</v>
      </c>
      <c r="M1051" s="28" t="n">
        <v>3</v>
      </c>
      <c r="N1051" s="28" t="n">
        <v>0</v>
      </c>
      <c r="O1051" s="28" t="n">
        <v>0</v>
      </c>
      <c r="P1051" s="30" t="n">
        <f>IF(AND(ISNUMBER(L1051),L1051&gt;0,COUNT(M1051:O1051)=3,MIN(M1051:O1051)&gt;=0),SUM(M1051:O1051)/L1051,"")</f>
        <v>121.7439621708436</v>
      </c>
      <c r="Q1051" s="16" t="str">
        <v>沿用原计划SKU店铺</v>
      </c>
      <c r="R1051" s="16" t="str">
        <v>已匹配</v>
      </c>
      <c r="S1051" s="16" t="str">
        <v>在售</v>
      </c>
      <c r="T1051" s="16" t="str">
        <v>B07</v>
      </c>
      <c r="U1051" s="16" t="str">
        <v>咖色PU</v>
      </c>
      <c r="V1051" s="16" t="n">
        <v>11</v>
      </c>
      <c r="W1051" s="8" t="str">
        <v>2026-10-11 至 2026-10-17</v>
      </c>
      <c r="X1051" s="8" t="str">
        <v>2026-10-11、2026-10-12、2026-10-13、2026-10-14、2026-10-15、2026-10-16、2026-10-17</v>
      </c>
      <c r="Y1051" s="8" t="str">
        <v>无</v>
      </c>
      <c r="Z1051" s="8" t="n">
        <v>0</v>
      </c>
      <c r="AA1051" s="8" t="n">
        <v>0</v>
      </c>
      <c r="AB1051" s="8" t="n">
        <v>7</v>
      </c>
      <c r="AC1051" s="8" t="str">
        <v>2026-10-02 至 2026-10-17</v>
      </c>
      <c r="AD1051" s="8" t="str">
        <v>2026-10-02、2026-10-03、2026-10-04、2026-10-05、2026-10-08、2026-10-09、2026-10-10、2026-10-11、2026-10-12、2026-10-13、2026-10-14、2026-10-15、2026-10-16、2026-10-17</v>
      </c>
      <c r="AE1051" s="8" t="str">
        <v>2026-10-06 大促；2026-10-07 大促</v>
      </c>
      <c r="AF1051" s="8" t="n">
        <v>1</v>
      </c>
      <c r="AG1051" s="8" t="n">
        <v>1</v>
      </c>
      <c r="AH1051" s="8" t="n">
        <v>14</v>
      </c>
      <c r="AI1051" s="8" t="str">
        <v>2026-09-16 至 2026-10-17</v>
      </c>
      <c r="AJ10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1" s="8" t="str">
        <v>2026-10-06 大促；2026-10-07 大促</v>
      </c>
      <c r="AL1051" s="8" t="n">
        <v>1</v>
      </c>
      <c r="AM1051" s="8" t="n">
        <v>1</v>
      </c>
      <c r="AN1051" s="8" t="n">
        <v>30</v>
      </c>
      <c r="AO1051" s="8" t="str">
        <v>B07 / 咖色PU / 13306</v>
      </c>
      <c r="AP1051" s="11" t="n">
        <v>0.7307750238224848</v>
      </c>
      <c r="AQ1051" s="11" t="n">
        <v>0.7307750238224848</v>
      </c>
      <c r="AR1051" s="11" t="n">
        <v>0.7449809054134506</v>
      </c>
      <c r="AS1051" s="11" t="n">
        <f>IF(AND(COUNT(I1051:K1051,AP1051:AR1051)=6,MIN(AP1051:AR1051)&gt;0),I1051/7/AP1051*0.5+J1051/14/AQ1051*0.3+K1051/30/AR1051*0.2,"")</f>
        <v>0</v>
      </c>
      <c r="AT1051" s="8" t="n">
        <v>4</v>
      </c>
      <c r="AU1051" s="8" t="n">
        <v>1</v>
      </c>
      <c r="AV1051" s="8" t="n">
        <v>88</v>
      </c>
      <c r="AW1051" s="11" t="n">
        <f>IF(AND(COUNT(AT1051:AV1051)=3,AT1051&gt;=AU1051,AU1051&gt;=0,AV1051&gt;0),(AT1051-AU1051)/AV1051,"")</f>
        <v>0.03409090909090909</v>
      </c>
      <c r="AX1051" s="8" t="n">
        <v>6</v>
      </c>
      <c r="AY1051" s="8" t="n">
        <v>1</v>
      </c>
      <c r="AZ1051" s="8" t="n">
        <v>178</v>
      </c>
      <c r="BA1051" s="11" t="n">
        <f>IF(AND(COUNT(AX1051:AZ1051)=3,AX1051&gt;=AY1051,AY1051&gt;=0,AZ1051&gt;0),(AX1051-AY1051)/AZ1051,"")</f>
        <v>0.028089887640449437</v>
      </c>
      <c r="BB1051" s="8" t="n">
        <f>IF(COUNT(AS1051,AW1051,BA1051)=3,1,0)</f>
        <v>1</v>
      </c>
      <c r="BC1051" s="11" t="n">
        <f>IF(SUMIF($AO$11:$AO$1309,AO1051,$BB$11:$BB$1309)=COUNTIF($AO$11:$AO$1309,AO1051),SUMIF($AO$11:$AO$1309,AO1051,$AS$11:$AS$1309),"")</f>
        <v>0.6473191341094234</v>
      </c>
      <c r="BD1051" s="11" t="n">
        <f>IF(SUMIF($AO$11:$AO$1309,AO1051,$BB$11:$BB$1309)=COUNTIF($AO$11:$AO$1309,AO1051),SUMIF($AO$11:$AO$1309,AO1051,$AW$11:$AW$1309),"")</f>
        <v>0.7499999999999999</v>
      </c>
      <c r="BE1051" s="11" t="n">
        <f>IF(SUMIF($AO$11:$AO$1309,AO1051,$BB$11:$BB$1309)=COUNTIF($AO$11:$AO$1309,AO1051),SUMIF($AO$11:$AO$1309,AO1051,$BA$11:$BA$1309),"")</f>
        <v>0.7078651685393257</v>
      </c>
      <c r="BF1051" s="12" t="n">
        <f>IF(COUNT(BD1051:BE1051)&lt;&gt;2,"",IF(AND(BD1051&gt;0,BE1051&gt;0),0.7*AW1051/BD1051+0.3*BA1051/BE1051,IF(BD1051&gt;0,AW1051/BD1051,IF(BE1051&gt;0,BA1051/BE1051,IF(AND(ISNUMBER(BH1051),BH1051=0),0,"")))))</f>
        <v>0.04372294372294373</v>
      </c>
      <c r="BG1051" s="11" t="n">
        <f>IF(AND(COUNT(BN1051:BU1051)=8,MIN(BN1051:BU1051)&gt;=0),SUMPRODUCT(BN1051:BQ1051,BR1051:BU1051),"")</f>
        <v>78.35892944347341</v>
      </c>
      <c r="BH1051" s="11" t="n">
        <f>IF(COUNT(BC1051,BG1051)=2,BC1051*BG1051,"")</f>
        <v>50.72323435709062</v>
      </c>
      <c r="BI1051" s="11" t="n">
        <f>IF(ISNUMBER(CI1051),CI1051,"")</f>
        <v>2.217769121240759</v>
      </c>
      <c r="BJ1051" s="8" t="str">
        <v>低销提醒依据不完整</v>
      </c>
      <c r="BK1051" s="8" t="str">
        <v>90天：2026-07-20 至 2026-10-17；180天：2026-04-21 至 2026-10-17</v>
      </c>
      <c r="BL1051" s="8" t="str">
        <v>90天：2026-10-06、2026-10-07；180天：2026-10-06、2026-10-07</v>
      </c>
      <c r="BM1051" s="8" t="str">
        <v>2026-10：12天 × 0.7307750238224848；2026-11：30天 × 0.9523018155490097；2026-12：31天 × 0.5958545198749097；2027-01：17天 × 1.3264167397065354</v>
      </c>
      <c r="BN1051" s="11" t="n">
        <v>0.7307750238224848</v>
      </c>
      <c r="BO1051" s="11" t="n">
        <v>0.9523018155490097</v>
      </c>
      <c r="BP1051" s="11" t="n">
        <v>0.5958545198749097</v>
      </c>
      <c r="BQ1051" s="11" t="n">
        <v>1.3264167397065354</v>
      </c>
      <c r="BR1051" s="8" t="n">
        <v>12</v>
      </c>
      <c r="BS1051" s="8" t="n">
        <v>30</v>
      </c>
      <c r="BT1051" s="8" t="n">
        <v>31</v>
      </c>
      <c r="BU1051" s="8" t="n">
        <v>17</v>
      </c>
      <c r="BV1051" s="11" t="n">
        <f>IF(COUNT(BC1051,BF1051)=2,BC1051*BF1051,"")</f>
        <v>0.02830269807145099</v>
      </c>
      <c r="BW1051" s="11" t="n">
        <f>IF(ISNUMBER(BN1051),BN1051,"")</f>
        <v>0.7307750238224848</v>
      </c>
      <c r="BX1051" s="14" t="n">
        <f>IF(ISNUMBER(BR1051),BR1051,"")</f>
        <v>12</v>
      </c>
      <c r="BY1051" s="13" t="n">
        <f>IF(AND(COUNT(BV1051,BW1051,BX1051)=3,MIN(BV1051,BW1051,BX1051)&gt;=0),BV1051*BW1051*BX1051,"")</f>
        <v>0.24819485828886229</v>
      </c>
      <c r="BZ1051" s="11" t="n">
        <f>IF(ISNUMBER(BO1051),BO1051,"")</f>
        <v>0.9523018155490097</v>
      </c>
      <c r="CA1051" s="14" t="n">
        <f>IF(ISNUMBER(BS1051),BS1051,"")</f>
        <v>30</v>
      </c>
      <c r="CB1051" s="13" t="n">
        <f>IF(AND(COUNT(BV1051,BZ1051,CA1051)=3,MIN(BV1051,BZ1051,CA1051)&gt;=0),BV1051*BZ1051*CA1051,"")</f>
        <v>0.808581322751347</v>
      </c>
      <c r="CC1051" s="11" t="n">
        <f>IF(ISNUMBER(BP1051),BP1051,"")</f>
        <v>0.5958545198749097</v>
      </c>
      <c r="CD1051" s="14" t="n">
        <f>IF(ISNUMBER(BT1051),BT1051,"")</f>
        <v>31</v>
      </c>
      <c r="CE1051" s="13" t="n">
        <f>IF(AND(COUNT(BV1051,CC1051,CD1051)=3,MIN(BV1051,CC1051,CD1051)&gt;=0),BV1051*CC1051*CD1051,"")</f>
        <v>0.5227930076863978</v>
      </c>
      <c r="CF1051" s="11" t="n">
        <f>IF(ISNUMBER(BQ1051),BQ1051,"")</f>
        <v>1.3264167397065354</v>
      </c>
      <c r="CG1051" s="14" t="n">
        <f>IF(ISNUMBER(BU1051),BU1051,"")</f>
        <v>17</v>
      </c>
      <c r="CH1051" s="13" t="n">
        <f>IF(AND(COUNT(BV1051,CF1051,CG1051)=3,MIN(BV1051,CF1051,CG1051)&gt;=0),BV1051*CF1051*CG1051,"")</f>
        <v>0.638199932514152</v>
      </c>
      <c r="CI1051" s="13" t="n">
        <f>IF(COUNT(BY1051,CB1051,CE1051,CH1051)=4,SUM(BY1051,CB1051,CE1051,CH1051),"")</f>
        <v>2.217769121240759</v>
      </c>
    </row>
    <row r="1052" ht="72" customHeight="1">
      <c r="A1052" s="16" t="str">
        <v>B07-GY-37-by</v>
      </c>
      <c r="B1052" s="16" t="str">
        <v>4店-彬郁-US</v>
      </c>
      <c r="C1052" s="16" t="str">
        <v>艾年</v>
      </c>
      <c r="D1052" s="26" t="n">
        <f>IF(NOT(ISNUMBER(E1052)),"",IF(OR(E1052&lt;=0,L1052=0),0,IF(OR(NOT(ISNUMBER(F1052)),F1052&lt;0),"",MIN(E1052,INT(F1052)))))</f>
        <v>0</v>
      </c>
      <c r="E1052" s="27" t="n">
        <f>IF(OR(NOT(ISNUMBER(L1052)),COUNT(M1052:O1052)&lt;&gt;3,MIN(M1052:O1052)&lt;0),"",ROUNDUP(ROUND(BI1052-SUM(M1052:O1052),10),0))</f>
        <v>-2</v>
      </c>
      <c r="F1052" s="28" t="n">
        <v>0</v>
      </c>
      <c r="G1052" s="28" t="n">
        <f>IF(AND(ISNUMBER(D1052),ISNUMBER(E1052)),IF(OR(E1052&lt;=0,L1052=0),0,E1052-D1052),"")</f>
        <v>0</v>
      </c>
      <c r="H1052" s="16" t="str">
        <f>IF(NOT(ISNUMBER(E1052)),"销量或海外库存待补",IF(OR(E1052&lt;=0,L1052=0),IF(L1052=0,"零日销，本批不发","本批无需补货"),IF(NOT(ISNUMBER(D1052)),"国内库存待补",IF(D1052=0,"国内无可用库存",IF(G1052&gt;0,"先发国内现货","按建议量发货")))))</f>
        <v>本批无需补货</v>
      </c>
      <c r="I1052" s="28" t="n">
        <f>IF(AND(COUNT(Z1052,AA1052,AB1052)=3,Z1052&gt;=AA1052,AA1052&gt;=0,AB1052=7),Z1052-AA1052,"")</f>
        <v>1</v>
      </c>
      <c r="J1052" s="28" t="n">
        <f>IF(AND(COUNT(AF1052,AG1052,AH1052)=3,AF1052&gt;=AG1052,AG1052&gt;=0,AH1052=14),AF1052-AG1052,"")</f>
        <v>1</v>
      </c>
      <c r="K1052" s="28" t="n">
        <f>IF(AND(COUNT(AL1052,AM1052,AN1052)=3,AL1052&gt;=AM1052,AM1052&gt;=0,AN1052=30),AL1052-AM1052,"")</f>
        <v>1</v>
      </c>
      <c r="L1052" s="29" t="n">
        <f>IF(ISNUMBER(BI1052),BI1052/90,"")</f>
        <v>0.05250408547447309</v>
      </c>
      <c r="M1052" s="28" t="n">
        <v>0</v>
      </c>
      <c r="N1052" s="28" t="n">
        <v>0</v>
      </c>
      <c r="O1052" s="28" t="n">
        <v>6</v>
      </c>
      <c r="P1052" s="30" t="n">
        <f>IF(AND(ISNUMBER(L1052),L1052&gt;0,COUNT(M1052:O1052)=3,MIN(M1052:O1052)&gt;=0),SUM(M1052:O1052)/L1052,"")</f>
        <v>114.27682142787029</v>
      </c>
      <c r="Q1052" s="16" t="str">
        <v>沿用原计划SKU店铺</v>
      </c>
      <c r="R1052" s="16" t="str">
        <v>已匹配</v>
      </c>
      <c r="S1052" s="16" t="str">
        <v>在售</v>
      </c>
      <c r="T1052" s="16" t="str">
        <v>B07</v>
      </c>
      <c r="U1052" s="16" t="str">
        <v>灰色羊京绒</v>
      </c>
      <c r="V1052" s="16" t="n">
        <v>6</v>
      </c>
      <c r="W1052" s="8" t="str">
        <v>2026-10-11 至 2026-10-17</v>
      </c>
      <c r="X1052" s="8" t="str">
        <v>2026-10-11、2026-10-12、2026-10-13、2026-10-14、2026-10-15、2026-10-16、2026-10-17</v>
      </c>
      <c r="Y1052" s="8" t="str">
        <v>无</v>
      </c>
      <c r="Z1052" s="8" t="n">
        <v>1</v>
      </c>
      <c r="AA1052" s="8" t="n">
        <v>0</v>
      </c>
      <c r="AB1052" s="8" t="n">
        <v>7</v>
      </c>
      <c r="AC1052" s="8" t="str">
        <v>2026-10-02 至 2026-10-17</v>
      </c>
      <c r="AD1052" s="8" t="str">
        <v>2026-10-02、2026-10-03、2026-10-04、2026-10-05、2026-10-08、2026-10-09、2026-10-10、2026-10-11、2026-10-12、2026-10-13、2026-10-14、2026-10-15、2026-10-16、2026-10-17</v>
      </c>
      <c r="AE1052" s="8" t="str">
        <v>2026-10-06 大促；2026-10-07 大促</v>
      </c>
      <c r="AF1052" s="8" t="n">
        <v>1</v>
      </c>
      <c r="AG1052" s="8" t="n">
        <v>0</v>
      </c>
      <c r="AH1052" s="8" t="n">
        <v>14</v>
      </c>
      <c r="AI1052" s="8" t="str">
        <v>2026-09-16 至 2026-10-17</v>
      </c>
      <c r="AJ10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2" s="8" t="str">
        <v>2026-10-06 大促；2026-10-07 大促</v>
      </c>
      <c r="AL1052" s="8" t="n">
        <v>1</v>
      </c>
      <c r="AM1052" s="8" t="n">
        <v>0</v>
      </c>
      <c r="AN1052" s="8" t="n">
        <v>30</v>
      </c>
      <c r="AO1052" s="8" t="str">
        <v>B07 / 灰色羊京绒 / 13306</v>
      </c>
      <c r="AP1052" s="11" t="n">
        <v>0.7307750238224848</v>
      </c>
      <c r="AQ1052" s="11" t="n">
        <v>0.7307750238224848</v>
      </c>
      <c r="AR1052" s="11" t="n">
        <v>0.7449809054134506</v>
      </c>
      <c r="AS1052" s="11" t="n">
        <f>IF(AND(COUNT(I1052:K1052,AP1052:AR1052)=6,MIN(AP1052:AR1052)&gt;0),I1052/7/AP1052*0.5+J1052/14/AQ1052*0.3+K1052/30/AR1052*0.2,"")</f>
        <v>0.13601543709405306</v>
      </c>
      <c r="AT1052" s="8" t="n">
        <v>1</v>
      </c>
      <c r="AU1052" s="8" t="n">
        <v>0</v>
      </c>
      <c r="AV1052" s="8" t="n">
        <v>88</v>
      </c>
      <c r="AW1052" s="11" t="n">
        <f>IF(AND(COUNT(AT1052:AV1052)=3,AT1052&gt;=AU1052,AU1052&gt;=0,AV1052&gt;0),(AT1052-AU1052)/AV1052,"")</f>
        <v>0.011363636363636364</v>
      </c>
      <c r="AX1052" s="8" t="n">
        <v>1</v>
      </c>
      <c r="AY1052" s="8" t="n">
        <v>0</v>
      </c>
      <c r="AZ1052" s="8" t="n">
        <v>178</v>
      </c>
      <c r="BA1052" s="11" t="n">
        <f>IF(AND(COUNT(AX1052:AZ1052)=3,AX1052&gt;=AY1052,AY1052&gt;=0,AZ1052&gt;0),(AX1052-AY1052)/AZ1052,"")</f>
        <v>0.0056179775280898875</v>
      </c>
      <c r="BB1052" s="8" t="n">
        <f>IF(COUNT(AS1052,AW1052,BA1052)=3,1,0)</f>
        <v>1</v>
      </c>
      <c r="BC1052" s="11" t="n">
        <f>IF(SUMIF($AO$11:$AO$1309,AO1052,$BB$11:$BB$1309)=COUNTIF($AO$11:$AO$1309,AO1052),SUMIF($AO$11:$AO$1309,AO1052,$AS$11:$AS$1309),"")</f>
        <v>0.13601543709405306</v>
      </c>
      <c r="BD1052" s="11" t="n">
        <f>IF(SUMIF($AO$11:$AO$1309,AO1052,$BB$11:$BB$1309)=COUNTIF($AO$11:$AO$1309,AO1052),SUMIF($AO$11:$AO$1309,AO1052,$AW$11:$AW$1309),"")</f>
        <v>0.023128342245989305</v>
      </c>
      <c r="BE1052" s="11" t="n">
        <f>IF(SUMIF($AO$11:$AO$1309,AO1052,$BB$11:$BB$1309)=COUNTIF($AO$11:$AO$1309,AO1052),SUMIF($AO$11:$AO$1309,AO1052,$BA$11:$BA$1309),"")</f>
        <v>0.01695024077046549</v>
      </c>
      <c r="BF1052" s="12" t="n">
        <f>IF(COUNT(BD1052:BE1052)&lt;&gt;2,"",IF(AND(BD1052&gt;0,BE1052&gt;0),0.7*AW1052/BD1052+0.3*BA1052/BE1052,IF(BD1052&gt;0,AW1052/BD1052,IF(BE1052&gt;0,BA1052/BE1052,IF(AND(ISNUMBER(BH1052),BH1052=0),0,"")))))</f>
        <v>0.44336245401996843</v>
      </c>
      <c r="BG1052" s="11" t="n">
        <f>IF(AND(COUNT(BN1052:BU1052)=8,MIN(BN1052:BU1052)&gt;=0),SUMPRODUCT(BN1052:BQ1052,BR1052:BU1052),"")</f>
        <v>78.35892944347341</v>
      </c>
      <c r="BH1052" s="11" t="n">
        <f>IF(COUNT(BC1052,BG1052)=2,BC1052*BG1052,"")</f>
        <v>10.6580240384761</v>
      </c>
      <c r="BI1052" s="11" t="n">
        <f>IF(ISNUMBER(CI1052),CI1052,"")</f>
        <v>4.725367692702578</v>
      </c>
      <c r="BJ1052" s="8" t="str"/>
      <c r="BK1052" s="8" t="str">
        <v>90天：2026-07-20 至 2026-10-17；180天：2026-04-21 至 2026-10-17</v>
      </c>
      <c r="BL1052" s="8" t="str">
        <v>90天：2026-10-06、2026-10-07；180天：2026-10-06、2026-10-07</v>
      </c>
      <c r="BM1052" s="8" t="str">
        <v>2026-10：12天 × 0.7307750238224848；2026-11：30天 × 0.9523018155490097；2026-12：31天 × 0.5958545198749097；2027-01：17天 × 1.3264167397065354</v>
      </c>
      <c r="BN1052" s="11" t="n">
        <v>0.7307750238224848</v>
      </c>
      <c r="BO1052" s="11" t="n">
        <v>0.9523018155490097</v>
      </c>
      <c r="BP1052" s="11" t="n">
        <v>0.5958545198749097</v>
      </c>
      <c r="BQ1052" s="11" t="n">
        <v>1.3264167397065354</v>
      </c>
      <c r="BR1052" s="8" t="n">
        <v>12</v>
      </c>
      <c r="BS1052" s="8" t="n">
        <v>30</v>
      </c>
      <c r="BT1052" s="8" t="n">
        <v>31</v>
      </c>
      <c r="BU1052" s="8" t="n">
        <v>17</v>
      </c>
      <c r="BV1052" s="11" t="n">
        <f>IF(COUNT(BC1052,BF1052)=2,BC1052*BF1052,"")</f>
        <v>0.06030413797461801</v>
      </c>
      <c r="BW1052" s="11" t="n">
        <f>IF(ISNUMBER(BN1052),BN1052,"")</f>
        <v>0.7307750238224848</v>
      </c>
      <c r="BX1052" s="14" t="n">
        <f>IF(ISNUMBER(BR1052),BR1052,"")</f>
        <v>12</v>
      </c>
      <c r="BY1052" s="13" t="n">
        <f>IF(AND(COUNT(BV1052,BW1052,BX1052)=3,MIN(BV1052,BW1052,BX1052)&gt;=0),BV1052*BW1052*BX1052,"")</f>
        <v>0.5288250943799506</v>
      </c>
      <c r="BZ1052" s="11" t="n">
        <f>IF(ISNUMBER(BO1052),BO1052,"")</f>
        <v>0.9523018155490097</v>
      </c>
      <c r="CA1052" s="14" t="n">
        <f>IF(ISNUMBER(BS1052),BS1052,"")</f>
        <v>30</v>
      </c>
      <c r="CB1052" s="13" t="n">
        <f>IF(AND(COUNT(BV1052,BZ1052,CA1052)=3,MIN(BV1052,BZ1052,CA1052)&gt;=0),BV1052*BZ1052*CA1052,"")</f>
        <v>1.7228322023504015</v>
      </c>
      <c r="CC1052" s="11" t="n">
        <f>IF(ISNUMBER(BP1052),BP1052,"")</f>
        <v>0.5958545198749097</v>
      </c>
      <c r="CD1052" s="14" t="n">
        <f>IF(ISNUMBER(BT1052),BT1052,"")</f>
        <v>31</v>
      </c>
      <c r="CE1052" s="13" t="n">
        <f>IF(AND(COUNT(BV1052,CC1052,CD1052)=3,MIN(BV1052,CC1052,CD1052)&gt;=0),BV1052*CC1052*CD1052,"")</f>
        <v>1.1139072885594261</v>
      </c>
      <c r="CF1052" s="11" t="n">
        <f>IF(ISNUMBER(BQ1052),BQ1052,"")</f>
        <v>1.3264167397065354</v>
      </c>
      <c r="CG1052" s="14" t="n">
        <f>IF(ISNUMBER(BU1052),BU1052,"")</f>
        <v>17</v>
      </c>
      <c r="CH1052" s="13" t="n">
        <f>IF(AND(COUNT(BV1052,CF1052,CG1052)=3,MIN(BV1052,CF1052,CG1052)&gt;=0),BV1052*CF1052*CG1052,"")</f>
        <v>1.3598031074128003</v>
      </c>
      <c r="CI1052" s="13" t="n">
        <f>IF(COUNT(BY1052,CB1052,CE1052,CH1052)=4,SUM(BY1052,CB1052,CE1052,CH1052),"")</f>
        <v>4.725367692702578</v>
      </c>
    </row>
    <row r="1053" ht="72" customHeight="1">
      <c r="A1053" s="16" t="str">
        <v>B07-GY-38.5</v>
      </c>
      <c r="B1053" s="16" t="str">
        <v>4店-彬郁-US</v>
      </c>
      <c r="C1053" s="16" t="str">
        <v>艾年</v>
      </c>
      <c r="D1053" s="26" t="n">
        <f>IF(NOT(ISNUMBER(E1053)),"",IF(OR(E1053&lt;=0,L1053=0),0,IF(OR(NOT(ISNUMBER(F1053)),F1053&lt;0),"",MIN(E1053,INT(F1053)))))</f>
        <v>0</v>
      </c>
      <c r="E1053" s="27" t="n">
        <f>IF(OR(NOT(ISNUMBER(L1053)),COUNT(M1053:O1053)&lt;&gt;3,MIN(M1053:O1053)&lt;0),"",ROUNDUP(ROUND(BI1053-SUM(M1053:O1053),10),0))</f>
        <v>-12</v>
      </c>
      <c r="F1053" s="28" t="n">
        <v>0</v>
      </c>
      <c r="G1053" s="28" t="n">
        <f>IF(AND(ISNUMBER(D1053),ISNUMBER(E1053)),IF(OR(E1053&lt;=0,L1053=0),0,E1053-D1053),"")</f>
        <v>0</v>
      </c>
      <c r="H1053" s="16" t="str">
        <f>IF(NOT(ISNUMBER(E1053)),"销量或海外库存待补",IF(OR(E1053&lt;=0,L1053=0),IF(L1053=0,"零日销，本批不发","本批无需补货"),IF(NOT(ISNUMBER(D1053)),"国内库存待补",IF(D1053=0,"国内无可用库存",IF(G1053&gt;0,"先发国内现货","按建议量发货")))))</f>
        <v>零日销，本批不发</v>
      </c>
      <c r="I1053" s="28" t="n">
        <f>IF(AND(COUNT(Z1053,AA1053,AB1053)=3,Z1053&gt;=AA1053,AA1053&gt;=0,AB1053=7),Z1053-AA1053,"")</f>
        <v>0</v>
      </c>
      <c r="J1053" s="28" t="n">
        <f>IF(AND(COUNT(AF1053,AG1053,AH1053)=3,AF1053&gt;=AG1053,AG1053&gt;=0,AH1053=14),AF1053-AG1053,"")</f>
        <v>0</v>
      </c>
      <c r="K1053" s="28" t="n">
        <f>IF(AND(COUNT(AL1053,AM1053,AN1053)=3,AL1053&gt;=AM1053,AM1053&gt;=0,AN1053=30),AL1053-AM1053,"")</f>
        <v>0</v>
      </c>
      <c r="L1053" s="29" t="n">
        <f>IF(ISNUMBER(BI1053),BI1053/90,"")</f>
        <v>0</v>
      </c>
      <c r="M1053" s="28" t="n">
        <v>0</v>
      </c>
      <c r="N1053" s="28" t="n">
        <v>0</v>
      </c>
      <c r="O1053" s="28" t="n">
        <v>12</v>
      </c>
      <c r="P1053" s="30" t="str">
        <f>IF(AND(ISNUMBER(L1053),L1053&gt;0,COUNT(M1053:O1053)=3,MIN(M1053:O1053)&gt;=0),SUM(M1053:O1053)/L1053,"")</f>
      </c>
      <c r="Q1053" s="16" t="str">
        <v>沿用原计划SKU店铺</v>
      </c>
      <c r="R1053" s="16" t="str">
        <v>已匹配</v>
      </c>
      <c r="S1053" s="16" t="str">
        <v>在售</v>
      </c>
      <c r="T1053" s="16" t="str">
        <v>B07</v>
      </c>
      <c r="U1053" s="16" t="str">
        <v>灰色羊京绒</v>
      </c>
      <c r="V1053" s="16" t="n">
        <v>7.5</v>
      </c>
      <c r="W1053" s="8" t="str">
        <v>2026-10-11 至 2026-10-17</v>
      </c>
      <c r="X1053" s="8" t="str">
        <v>2026-10-11、2026-10-12、2026-10-13、2026-10-14、2026-10-15、2026-10-16、2026-10-17</v>
      </c>
      <c r="Y1053" s="8" t="str">
        <v>无</v>
      </c>
      <c r="Z1053" s="8" t="n">
        <v>0</v>
      </c>
      <c r="AA1053" s="8" t="n">
        <v>0</v>
      </c>
      <c r="AB1053" s="8" t="n">
        <v>7</v>
      </c>
      <c r="AC1053" s="8" t="str">
        <v>2026-10-02 至 2026-10-17</v>
      </c>
      <c r="AD1053" s="8" t="str">
        <v>2026-10-02、2026-10-03、2026-10-04、2026-10-05、2026-10-08、2026-10-09、2026-10-10、2026-10-11、2026-10-12、2026-10-13、2026-10-14、2026-10-15、2026-10-16、2026-10-17</v>
      </c>
      <c r="AE1053" s="8" t="str">
        <v>2026-10-06 大促；2026-10-07 大促</v>
      </c>
      <c r="AF1053" s="8" t="n">
        <v>0</v>
      </c>
      <c r="AG1053" s="8" t="n">
        <v>0</v>
      </c>
      <c r="AH1053" s="8" t="n">
        <v>14</v>
      </c>
      <c r="AI1053" s="8" t="str">
        <v>2026-09-16 至 2026-10-17</v>
      </c>
      <c r="AJ10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3" s="8" t="str">
        <v>2026-10-06 大促；2026-10-07 大促</v>
      </c>
      <c r="AL1053" s="8" t="n">
        <v>0</v>
      </c>
      <c r="AM1053" s="8" t="n">
        <v>0</v>
      </c>
      <c r="AN1053" s="8" t="n">
        <v>30</v>
      </c>
      <c r="AO1053" s="8" t="str">
        <v>B07 / 灰色羊京绒 / 13306</v>
      </c>
      <c r="AP1053" s="11" t="n">
        <v>0.7307750238224848</v>
      </c>
      <c r="AQ1053" s="11" t="n">
        <v>0.7307750238224848</v>
      </c>
      <c r="AR1053" s="11" t="n">
        <v>0.7449809054134506</v>
      </c>
      <c r="AS1053" s="11" t="n">
        <f>IF(AND(COUNT(I1053:K1053,AP1053:AR1053)=6,MIN(AP1053:AR1053)&gt;0),I1053/7/AP1053*0.5+J1053/14/AQ1053*0.3+K1053/30/AR1053*0.2,"")</f>
        <v>0</v>
      </c>
      <c r="AT1053" s="8" t="n">
        <v>0</v>
      </c>
      <c r="AU1053" s="8" t="n">
        <v>0</v>
      </c>
      <c r="AV1053" s="8" t="n">
        <v>88</v>
      </c>
      <c r="AW1053" s="11" t="n">
        <f>IF(AND(COUNT(AT1053:AV1053)=3,AT1053&gt;=AU1053,AU1053&gt;=0,AV1053&gt;0),(AT1053-AU1053)/AV1053,"")</f>
        <v>0</v>
      </c>
      <c r="AX1053" s="8" t="n">
        <v>0</v>
      </c>
      <c r="AY1053" s="8" t="n">
        <v>0</v>
      </c>
      <c r="AZ1053" s="8" t="n">
        <v>178</v>
      </c>
      <c r="BA1053" s="11" t="n">
        <f>IF(AND(COUNT(AX1053:AZ1053)=3,AX1053&gt;=AY1053,AY1053&gt;=0,AZ1053&gt;0),(AX1053-AY1053)/AZ1053,"")</f>
        <v>0</v>
      </c>
      <c r="BB1053" s="8" t="n">
        <f>IF(COUNT(AS1053,AW1053,BA1053)=3,1,0)</f>
        <v>1</v>
      </c>
      <c r="BC1053" s="11" t="n">
        <f>IF(SUMIF($AO$11:$AO$1309,AO1053,$BB$11:$BB$1309)=COUNTIF($AO$11:$AO$1309,AO1053),SUMIF($AO$11:$AO$1309,AO1053,$AS$11:$AS$1309),"")</f>
        <v>0.13601543709405306</v>
      </c>
      <c r="BD1053" s="11" t="n">
        <f>IF(SUMIF($AO$11:$AO$1309,AO1053,$BB$11:$BB$1309)=COUNTIF($AO$11:$AO$1309,AO1053),SUMIF($AO$11:$AO$1309,AO1053,$AW$11:$AW$1309),"")</f>
        <v>0.023128342245989305</v>
      </c>
      <c r="BE1053" s="11" t="n">
        <f>IF(SUMIF($AO$11:$AO$1309,AO1053,$BB$11:$BB$1309)=COUNTIF($AO$11:$AO$1309,AO1053),SUMIF($AO$11:$AO$1309,AO1053,$BA$11:$BA$1309),"")</f>
        <v>0.01695024077046549</v>
      </c>
      <c r="BF1053" s="12" t="n">
        <f>IF(COUNT(BD1053:BE1053)&lt;&gt;2,"",IF(AND(BD1053&gt;0,BE1053&gt;0),0.7*AW1053/BD1053+0.3*BA1053/BE1053,IF(BD1053&gt;0,AW1053/BD1053,IF(BE1053&gt;0,BA1053/BE1053,IF(AND(ISNUMBER(BH1053),BH1053=0),0,"")))))</f>
        <v>0</v>
      </c>
      <c r="BG1053" s="11" t="n">
        <f>IF(AND(COUNT(BN1053:BU1053)=8,MIN(BN1053:BU1053)&gt;=0),SUMPRODUCT(BN1053:BQ1053,BR1053:BU1053),"")</f>
        <v>78.35892944347341</v>
      </c>
      <c r="BH1053" s="11" t="n">
        <f>IF(COUNT(BC1053,BG1053)=2,BC1053*BG1053,"")</f>
        <v>10.6580240384761</v>
      </c>
      <c r="BI1053" s="11" t="n">
        <f>IF(ISNUMBER(CI1053),CI1053,"")</f>
        <v>0</v>
      </c>
      <c r="BJ1053" s="8" t="str"/>
      <c r="BK1053" s="8" t="str">
        <v>90天：2026-07-20 至 2026-10-17；180天：2026-04-21 至 2026-10-17</v>
      </c>
      <c r="BL1053" s="8" t="str">
        <v>90天：2026-10-06、2026-10-07；180天：2026-10-06、2026-10-07</v>
      </c>
      <c r="BM1053" s="8" t="str">
        <v>2026-10：12天 × 0.7307750238224848；2026-11：30天 × 0.9523018155490097；2026-12：31天 × 0.5958545198749097；2027-01：17天 × 1.3264167397065354</v>
      </c>
      <c r="BN1053" s="11" t="n">
        <v>0.7307750238224848</v>
      </c>
      <c r="BO1053" s="11" t="n">
        <v>0.9523018155490097</v>
      </c>
      <c r="BP1053" s="11" t="n">
        <v>0.5958545198749097</v>
      </c>
      <c r="BQ1053" s="11" t="n">
        <v>1.3264167397065354</v>
      </c>
      <c r="BR1053" s="8" t="n">
        <v>12</v>
      </c>
      <c r="BS1053" s="8" t="n">
        <v>30</v>
      </c>
      <c r="BT1053" s="8" t="n">
        <v>31</v>
      </c>
      <c r="BU1053" s="8" t="n">
        <v>17</v>
      </c>
      <c r="BV1053" s="11" t="n">
        <f>IF(COUNT(BC1053,BF1053)=2,BC1053*BF1053,"")</f>
        <v>0</v>
      </c>
      <c r="BW1053" s="11" t="n">
        <f>IF(ISNUMBER(BN1053),BN1053,"")</f>
        <v>0.7307750238224848</v>
      </c>
      <c r="BX1053" s="14" t="n">
        <f>IF(ISNUMBER(BR1053),BR1053,"")</f>
        <v>12</v>
      </c>
      <c r="BY1053" s="13" t="n">
        <f>IF(AND(COUNT(BV1053,BW1053,BX1053)=3,MIN(BV1053,BW1053,BX1053)&gt;=0),BV1053*BW1053*BX1053,"")</f>
        <v>0</v>
      </c>
      <c r="BZ1053" s="11" t="n">
        <f>IF(ISNUMBER(BO1053),BO1053,"")</f>
        <v>0.9523018155490097</v>
      </c>
      <c r="CA1053" s="14" t="n">
        <f>IF(ISNUMBER(BS1053),BS1053,"")</f>
        <v>30</v>
      </c>
      <c r="CB1053" s="13" t="n">
        <f>IF(AND(COUNT(BV1053,BZ1053,CA1053)=3,MIN(BV1053,BZ1053,CA1053)&gt;=0),BV1053*BZ1053*CA1053,"")</f>
        <v>0</v>
      </c>
      <c r="CC1053" s="11" t="n">
        <f>IF(ISNUMBER(BP1053),BP1053,"")</f>
        <v>0.5958545198749097</v>
      </c>
      <c r="CD1053" s="14" t="n">
        <f>IF(ISNUMBER(BT1053),BT1053,"")</f>
        <v>31</v>
      </c>
      <c r="CE1053" s="13" t="n">
        <f>IF(AND(COUNT(BV1053,CC1053,CD1053)=3,MIN(BV1053,CC1053,CD1053)&gt;=0),BV1053*CC1053*CD1053,"")</f>
        <v>0</v>
      </c>
      <c r="CF1053" s="11" t="n">
        <f>IF(ISNUMBER(BQ1053),BQ1053,"")</f>
        <v>1.3264167397065354</v>
      </c>
      <c r="CG1053" s="14" t="n">
        <f>IF(ISNUMBER(BU1053),BU1053,"")</f>
        <v>17</v>
      </c>
      <c r="CH1053" s="13" t="n">
        <f>IF(AND(COUNT(BV1053,CF1053,CG1053)=3,MIN(BV1053,CF1053,CG1053)&gt;=0),BV1053*CF1053*CG1053,"")</f>
        <v>0</v>
      </c>
      <c r="CI1053" s="13" t="n">
        <f>IF(COUNT(BY1053,CB1053,CE1053,CH1053)=4,SUM(BY1053,CB1053,CE1053,CH1053),"")</f>
        <v>0</v>
      </c>
    </row>
    <row r="1054" ht="72" customHeight="1">
      <c r="A1054" s="16" t="str">
        <v>B07-GY-39.5</v>
      </c>
      <c r="B1054" s="16" t="str">
        <v>4店-彬郁-US</v>
      </c>
      <c r="C1054" s="16" t="str">
        <v>艾年</v>
      </c>
      <c r="D1054" s="26" t="n">
        <f>IF(NOT(ISNUMBER(E1054)),"",IF(OR(E1054&lt;=0,L1054=0),0,IF(OR(NOT(ISNUMBER(F1054)),F1054&lt;0),"",MIN(E1054,INT(F1054)))))</f>
        <v>0</v>
      </c>
      <c r="E1054" s="27" t="n">
        <f>IF(OR(NOT(ISNUMBER(L1054)),COUNT(M1054:O1054)&lt;&gt;3,MIN(M1054:O1054)&lt;0),"",ROUNDUP(ROUND(BI1054-SUM(M1054:O1054),10),0))</f>
        <v>-7</v>
      </c>
      <c r="F1054" s="28" t="n">
        <v>0</v>
      </c>
      <c r="G1054" s="28" t="n">
        <f>IF(AND(ISNUMBER(D1054),ISNUMBER(E1054)),IF(OR(E1054&lt;=0,L1054=0),0,E1054-D1054),"")</f>
        <v>0</v>
      </c>
      <c r="H1054" s="16" t="str">
        <f>IF(NOT(ISNUMBER(E1054)),"销量或海外库存待补",IF(OR(E1054&lt;=0,L1054=0),IF(L1054=0,"零日销，本批不发","本批无需补货"),IF(NOT(ISNUMBER(D1054)),"国内库存待补",IF(D1054=0,"国内无可用库存",IF(G1054&gt;0,"先发国内现货","按建议量发货")))))</f>
        <v>本批无需补货</v>
      </c>
      <c r="I1054" s="28" t="n">
        <f>IF(AND(COUNT(Z1054,AA1054,AB1054)=3,Z1054&gt;=AA1054,AA1054&gt;=0,AB1054=7),Z1054-AA1054,"")</f>
        <v>0</v>
      </c>
      <c r="J1054" s="28" t="n">
        <f>IF(AND(COUNT(AF1054,AG1054,AH1054)=3,AF1054&gt;=AG1054,AG1054&gt;=0,AH1054=14),AF1054-AG1054,"")</f>
        <v>0</v>
      </c>
      <c r="K1054" s="28" t="n">
        <f>IF(AND(COUNT(AL1054,AM1054,AN1054)=3,AL1054&gt;=AM1054,AM1054&gt;=0,AN1054=30),AL1054-AM1054,"")</f>
        <v>0</v>
      </c>
      <c r="L1054" s="29" t="n">
        <f>IF(ISNUMBER(BI1054),BI1054/90,"")</f>
        <v>0.0117749634263467</v>
      </c>
      <c r="M1054" s="28" t="n">
        <v>0</v>
      </c>
      <c r="N1054" s="28" t="n">
        <v>0</v>
      </c>
      <c r="O1054" s="28" t="n">
        <v>8</v>
      </c>
      <c r="P1054" s="30" t="n">
        <f>IF(AND(ISNUMBER(L1054),L1054&gt;0,COUNT(M1054:O1054)=3,MIN(M1054:O1054)&gt;=0),SUM(M1054:O1054)/L1054,"")</f>
        <v>679.4076304389915</v>
      </c>
      <c r="Q1054" s="16" t="str">
        <v>沿用原计划SKU店铺</v>
      </c>
      <c r="R1054" s="16" t="str">
        <v>已匹配</v>
      </c>
      <c r="S1054" s="16" t="str">
        <v>在售</v>
      </c>
      <c r="T1054" s="16" t="str">
        <v>B07</v>
      </c>
      <c r="U1054" s="16" t="str">
        <v>灰色羊京绒</v>
      </c>
      <c r="V1054" s="16" t="n">
        <v>8.5</v>
      </c>
      <c r="W1054" s="8" t="str">
        <v>2026-10-11 至 2026-10-17</v>
      </c>
      <c r="X1054" s="8" t="str">
        <v>2026-10-11、2026-10-12、2026-10-13、2026-10-14、2026-10-15、2026-10-16、2026-10-17</v>
      </c>
      <c r="Y1054" s="8" t="str">
        <v>无</v>
      </c>
      <c r="Z1054" s="8" t="n">
        <v>0</v>
      </c>
      <c r="AA1054" s="8" t="n">
        <v>0</v>
      </c>
      <c r="AB1054" s="8" t="n">
        <v>7</v>
      </c>
      <c r="AC1054" s="8" t="str">
        <v>2026-10-02 至 2026-10-17</v>
      </c>
      <c r="AD1054" s="8" t="str">
        <v>2026-10-02、2026-10-03、2026-10-04、2026-10-05、2026-10-08、2026-10-09、2026-10-10、2026-10-11、2026-10-12、2026-10-13、2026-10-14、2026-10-15、2026-10-16、2026-10-17</v>
      </c>
      <c r="AE1054" s="8" t="str">
        <v>2026-10-06 大促；2026-10-07 大促</v>
      </c>
      <c r="AF1054" s="8" t="n">
        <v>0</v>
      </c>
      <c r="AG1054" s="8" t="n">
        <v>0</v>
      </c>
      <c r="AH1054" s="8" t="n">
        <v>14</v>
      </c>
      <c r="AI1054" s="8" t="str">
        <v>2026-09-16 至 2026-10-17</v>
      </c>
      <c r="AJ10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4" s="8" t="str">
        <v>2026-10-06 大促；2026-10-07 大促</v>
      </c>
      <c r="AL1054" s="8" t="n">
        <v>0</v>
      </c>
      <c r="AM1054" s="8" t="n">
        <v>0</v>
      </c>
      <c r="AN1054" s="8" t="n">
        <v>30</v>
      </c>
      <c r="AO1054" s="8" t="str">
        <v>B07 / 灰色羊京绒 / 13306</v>
      </c>
      <c r="AP1054" s="11" t="n">
        <v>0.7307750238224848</v>
      </c>
      <c r="AQ1054" s="11" t="n">
        <v>0.7307750238224848</v>
      </c>
      <c r="AR1054" s="11" t="n">
        <v>0.7449809054134506</v>
      </c>
      <c r="AS1054" s="11" t="n">
        <f>IF(AND(COUNT(I1054:K1054,AP1054:AR1054)=6,MIN(AP1054:AR1054)&gt;0),I1054/7/AP1054*0.5+J1054/14/AQ1054*0.3+K1054/30/AR1054*0.2,"")</f>
        <v>0</v>
      </c>
      <c r="AT1054" s="8" t="n">
        <v>0</v>
      </c>
      <c r="AU1054" s="8" t="n">
        <v>0</v>
      </c>
      <c r="AV1054" s="8" t="n">
        <v>88</v>
      </c>
      <c r="AW1054" s="11" t="n">
        <f>IF(AND(COUNT(AT1054:AV1054)=3,AT1054&gt;=AU1054,AU1054&gt;=0,AV1054&gt;0),(AT1054-AU1054)/AV1054,"")</f>
        <v>0</v>
      </c>
      <c r="AX1054" s="8" t="n">
        <v>1</v>
      </c>
      <c r="AY1054" s="8" t="n">
        <v>0</v>
      </c>
      <c r="AZ1054" s="8" t="n">
        <v>178</v>
      </c>
      <c r="BA1054" s="11" t="n">
        <f>IF(AND(COUNT(AX1054:AZ1054)=3,AX1054&gt;=AY1054,AY1054&gt;=0,AZ1054&gt;0),(AX1054-AY1054)/AZ1054,"")</f>
        <v>0.0056179775280898875</v>
      </c>
      <c r="BB1054" s="8" t="n">
        <f>IF(COUNT(AS1054,AW1054,BA1054)=3,1,0)</f>
        <v>1</v>
      </c>
      <c r="BC1054" s="11" t="n">
        <f>IF(SUMIF($AO$11:$AO$1309,AO1054,$BB$11:$BB$1309)=COUNTIF($AO$11:$AO$1309,AO1054),SUMIF($AO$11:$AO$1309,AO1054,$AS$11:$AS$1309),"")</f>
        <v>0.13601543709405306</v>
      </c>
      <c r="BD1054" s="11" t="n">
        <f>IF(SUMIF($AO$11:$AO$1309,AO1054,$BB$11:$BB$1309)=COUNTIF($AO$11:$AO$1309,AO1054),SUMIF($AO$11:$AO$1309,AO1054,$AW$11:$AW$1309),"")</f>
        <v>0.023128342245989305</v>
      </c>
      <c r="BE1054" s="11" t="n">
        <f>IF(SUMIF($AO$11:$AO$1309,AO1054,$BB$11:$BB$1309)=COUNTIF($AO$11:$AO$1309,AO1054),SUMIF($AO$11:$AO$1309,AO1054,$BA$11:$BA$1309),"")</f>
        <v>0.01695024077046549</v>
      </c>
      <c r="BF1054" s="12" t="n">
        <f>IF(COUNT(BD1054:BE1054)&lt;&gt;2,"",IF(AND(BD1054&gt;0,BE1054&gt;0),0.7*AW1054/BD1054+0.3*BA1054/BE1054,IF(BD1054&gt;0,AW1054/BD1054,IF(BE1054&gt;0,BA1054/BE1054,IF(AND(ISNUMBER(BH1054),BH1054=0),0,"")))))</f>
        <v>0.09943181818181818</v>
      </c>
      <c r="BG1054" s="11" t="n">
        <f>IF(AND(COUNT(BN1054:BU1054)=8,MIN(BN1054:BU1054)&gt;=0),SUMPRODUCT(BN1054:BQ1054,BR1054:BU1054),"")</f>
        <v>78.35892944347341</v>
      </c>
      <c r="BH1054" s="11" t="n">
        <f>IF(COUNT(BC1054,BG1054)=2,BC1054*BG1054,"")</f>
        <v>10.6580240384761</v>
      </c>
      <c r="BI1054" s="11" t="n">
        <f>IF(ISNUMBER(CI1054),CI1054,"")</f>
        <v>1.059746708371203</v>
      </c>
      <c r="BJ1054" s="8" t="str"/>
      <c r="BK1054" s="8" t="str">
        <v>90天：2026-07-20 至 2026-10-17；180天：2026-04-21 至 2026-10-17</v>
      </c>
      <c r="BL1054" s="8" t="str">
        <v>90天：2026-10-06、2026-10-07；180天：2026-10-06、2026-10-07</v>
      </c>
      <c r="BM1054" s="8" t="str">
        <v>2026-10：12天 × 0.7307750238224848；2026-11：30天 × 0.9523018155490097；2026-12：31天 × 0.5958545198749097；2027-01：17天 × 1.3264167397065354</v>
      </c>
      <c r="BN1054" s="11" t="n">
        <v>0.7307750238224848</v>
      </c>
      <c r="BO1054" s="11" t="n">
        <v>0.9523018155490097</v>
      </c>
      <c r="BP1054" s="11" t="n">
        <v>0.5958545198749097</v>
      </c>
      <c r="BQ1054" s="11" t="n">
        <v>1.3264167397065354</v>
      </c>
      <c r="BR1054" s="8" t="n">
        <v>12</v>
      </c>
      <c r="BS1054" s="8" t="n">
        <v>30</v>
      </c>
      <c r="BT1054" s="8" t="n">
        <v>31</v>
      </c>
      <c r="BU1054" s="8" t="n">
        <v>17</v>
      </c>
      <c r="BV1054" s="11" t="n">
        <f>IF(COUNT(BC1054,BF1054)=2,BC1054*BF1054,"")</f>
        <v>0.013524262211056412</v>
      </c>
      <c r="BW1054" s="11" t="n">
        <f>IF(ISNUMBER(BN1054),BN1054,"")</f>
        <v>0.7307750238224848</v>
      </c>
      <c r="BX1054" s="14" t="n">
        <f>IF(ISNUMBER(BR1054),BR1054,"")</f>
        <v>12</v>
      </c>
      <c r="BY1054" s="13" t="n">
        <f>IF(AND(COUNT(BV1054,BW1054,BX1054)=3,MIN(BV1054,BW1054,BX1054)&gt;=0),BV1054*BW1054*BX1054,"")</f>
        <v>0.11859831647359537</v>
      </c>
      <c r="BZ1054" s="11" t="n">
        <f>IF(ISNUMBER(BO1054),BO1054,"")</f>
        <v>0.9523018155490097</v>
      </c>
      <c r="CA1054" s="14" t="n">
        <f>IF(ISNUMBER(BS1054),BS1054,"")</f>
        <v>30</v>
      </c>
      <c r="CB1054" s="13" t="n">
        <f>IF(AND(COUNT(BV1054,BZ1054,CA1054)=3,MIN(BV1054,BZ1054,CA1054)&gt;=0),BV1054*BZ1054*CA1054,"")</f>
        <v>0.3863753837264966</v>
      </c>
      <c r="CC1054" s="11" t="n">
        <f>IF(ISNUMBER(BP1054),BP1054,"")</f>
        <v>0.5958545198749097</v>
      </c>
      <c r="CD1054" s="14" t="n">
        <f>IF(ISNUMBER(BT1054),BT1054,"")</f>
        <v>31</v>
      </c>
      <c r="CE1054" s="13" t="n">
        <f>IF(AND(COUNT(BV1054,CC1054,CD1054)=3,MIN(BV1054,CC1054,CD1054)&gt;=0),BV1054*CC1054*CD1054,"")</f>
        <v>0.2498132757593735</v>
      </c>
      <c r="CF1054" s="11" t="n">
        <f>IF(ISNUMBER(BQ1054),BQ1054,"")</f>
        <v>1.3264167397065354</v>
      </c>
      <c r="CG1054" s="14" t="n">
        <f>IF(ISNUMBER(BU1054),BU1054,"")</f>
        <v>17</v>
      </c>
      <c r="CH1054" s="13" t="n">
        <f>IF(AND(COUNT(BV1054,CF1054,CG1054)=3,MIN(BV1054,CF1054,CG1054)&gt;=0),BV1054*CF1054*CG1054,"")</f>
        <v>0.3049597324117377</v>
      </c>
      <c r="CI1054" s="13" t="n">
        <f>IF(COUNT(BY1054,CB1054,CE1054,CH1054)=4,SUM(BY1054,CB1054,CE1054,CH1054),"")</f>
        <v>1.059746708371203</v>
      </c>
    </row>
    <row r="1055" ht="72" customHeight="1">
      <c r="A1055" s="16" t="str">
        <v>B07-GY-40.5</v>
      </c>
      <c r="B1055" s="16" t="str">
        <v>4店-彬郁-US</v>
      </c>
      <c r="C1055" s="16" t="str">
        <v>艾年</v>
      </c>
      <c r="D1055" s="26" t="n">
        <f>IF(NOT(ISNUMBER(E1055)),"",IF(OR(E1055&lt;=0,L1055=0),0,IF(OR(NOT(ISNUMBER(F1055)),F1055&lt;0),"",MIN(E1055,INT(F1055)))))</f>
        <v>0</v>
      </c>
      <c r="E1055" s="27" t="n">
        <f>IF(OR(NOT(ISNUMBER(L1055)),COUNT(M1055:O1055)&lt;&gt;3,MIN(M1055:O1055)&lt;0),"",ROUNDUP(ROUND(BI1055-SUM(M1055:O1055),10),0))</f>
        <v>-8</v>
      </c>
      <c r="F1055" s="28" t="n">
        <v>0</v>
      </c>
      <c r="G1055" s="28" t="n">
        <f>IF(AND(ISNUMBER(D1055),ISNUMBER(E1055)),IF(OR(E1055&lt;=0,L1055=0),0,E1055-D1055),"")</f>
        <v>0</v>
      </c>
      <c r="H1055" s="16" t="str">
        <f>IF(NOT(ISNUMBER(E1055)),"销量或海外库存待补",IF(OR(E1055&lt;=0,L1055=0),IF(L1055=0,"零日销，本批不发","本批无需补货"),IF(NOT(ISNUMBER(D1055)),"国内库存待补",IF(D1055=0,"国内无可用库存",IF(G1055&gt;0,"先发国内现货","按建议量发货")))))</f>
        <v>零日销，本批不发</v>
      </c>
      <c r="I1055" s="28" t="n">
        <f>IF(AND(COUNT(Z1055,AA1055,AB1055)=3,Z1055&gt;=AA1055,AA1055&gt;=0,AB1055=7),Z1055-AA1055,"")</f>
        <v>0</v>
      </c>
      <c r="J1055" s="28" t="n">
        <f>IF(AND(COUNT(AF1055,AG1055,AH1055)=3,AF1055&gt;=AG1055,AG1055&gt;=0,AH1055=14),AF1055-AG1055,"")</f>
        <v>0</v>
      </c>
      <c r="K1055" s="28" t="n">
        <f>IF(AND(COUNT(AL1055,AM1055,AN1055)=3,AL1055&gt;=AM1055,AM1055&gt;=0,AN1055=30),AL1055-AM1055,"")</f>
        <v>0</v>
      </c>
      <c r="L1055" s="29" t="n">
        <f>IF(ISNUMBER(BI1055),BI1055/90,"")</f>
        <v>0</v>
      </c>
      <c r="M1055" s="28" t="n">
        <v>0</v>
      </c>
      <c r="N1055" s="28" t="n">
        <v>0</v>
      </c>
      <c r="O1055" s="28" t="n">
        <v>8</v>
      </c>
      <c r="P1055" s="30" t="str">
        <f>IF(AND(ISNUMBER(L1055),L1055&gt;0,COUNT(M1055:O1055)=3,MIN(M1055:O1055)&gt;=0),SUM(M1055:O1055)/L1055,"")</f>
      </c>
      <c r="Q1055" s="16" t="str">
        <v>沿用原计划SKU店铺</v>
      </c>
      <c r="R1055" s="16" t="str">
        <v>已匹配</v>
      </c>
      <c r="S1055" s="16" t="str">
        <v>在售</v>
      </c>
      <c r="T1055" s="16" t="str">
        <v>B07</v>
      </c>
      <c r="U1055" s="16" t="str">
        <v>灰色羊京绒</v>
      </c>
      <c r="V1055" s="16" t="n">
        <v>9.5</v>
      </c>
      <c r="W1055" s="8" t="str">
        <v>2026-10-11 至 2026-10-17</v>
      </c>
      <c r="X1055" s="8" t="str">
        <v>2026-10-11、2026-10-12、2026-10-13、2026-10-14、2026-10-15、2026-10-16、2026-10-17</v>
      </c>
      <c r="Y1055" s="8" t="str">
        <v>无</v>
      </c>
      <c r="Z1055" s="8" t="n">
        <v>0</v>
      </c>
      <c r="AA1055" s="8" t="n">
        <v>0</v>
      </c>
      <c r="AB1055" s="8" t="n">
        <v>7</v>
      </c>
      <c r="AC1055" s="8" t="str">
        <v>2026-10-02 至 2026-10-17</v>
      </c>
      <c r="AD1055" s="8" t="str">
        <v>2026-10-02、2026-10-03、2026-10-04、2026-10-05、2026-10-08、2026-10-09、2026-10-10、2026-10-11、2026-10-12、2026-10-13、2026-10-14、2026-10-15、2026-10-16、2026-10-17</v>
      </c>
      <c r="AE1055" s="8" t="str">
        <v>2026-10-06 大促；2026-10-07 大促</v>
      </c>
      <c r="AF1055" s="8" t="n">
        <v>0</v>
      </c>
      <c r="AG1055" s="8" t="n">
        <v>0</v>
      </c>
      <c r="AH1055" s="8" t="n">
        <v>14</v>
      </c>
      <c r="AI1055" s="8" t="str">
        <v>2026-09-16 至 2026-10-17</v>
      </c>
      <c r="AJ105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5" s="8" t="str">
        <v>2026-10-06 大促；2026-10-07 大促</v>
      </c>
      <c r="AL1055" s="8" t="n">
        <v>0</v>
      </c>
      <c r="AM1055" s="8" t="n">
        <v>0</v>
      </c>
      <c r="AN1055" s="8" t="n">
        <v>30</v>
      </c>
      <c r="AO1055" s="8" t="str">
        <v>B07 / 灰色羊京绒 / 13306</v>
      </c>
      <c r="AP1055" s="11" t="n">
        <v>0.7307750238224848</v>
      </c>
      <c r="AQ1055" s="11" t="n">
        <v>0.7307750238224848</v>
      </c>
      <c r="AR1055" s="11" t="n">
        <v>0.7449809054134506</v>
      </c>
      <c r="AS1055" s="11" t="n">
        <f>IF(AND(COUNT(I1055:K1055,AP1055:AR1055)=6,MIN(AP1055:AR1055)&gt;0),I1055/7/AP1055*0.5+J1055/14/AQ1055*0.3+K1055/30/AR1055*0.2,"")</f>
        <v>0</v>
      </c>
      <c r="AT1055" s="8" t="n">
        <v>0</v>
      </c>
      <c r="AU1055" s="8" t="n">
        <v>0</v>
      </c>
      <c r="AV1055" s="8" t="n">
        <v>88</v>
      </c>
      <c r="AW1055" s="11" t="n">
        <f>IF(AND(COUNT(AT1055:AV1055)=3,AT1055&gt;=AU1055,AU1055&gt;=0,AV1055&gt;0),(AT1055-AU1055)/AV1055,"")</f>
        <v>0</v>
      </c>
      <c r="AX1055" s="8" t="n">
        <v>0</v>
      </c>
      <c r="AY1055" s="8" t="n">
        <v>0</v>
      </c>
      <c r="AZ1055" s="8" t="n">
        <v>178</v>
      </c>
      <c r="BA1055" s="11" t="n">
        <f>IF(AND(COUNT(AX1055:AZ1055)=3,AX1055&gt;=AY1055,AY1055&gt;=0,AZ1055&gt;0),(AX1055-AY1055)/AZ1055,"")</f>
        <v>0</v>
      </c>
      <c r="BB1055" s="8" t="n">
        <f>IF(COUNT(AS1055,AW1055,BA1055)=3,1,0)</f>
        <v>1</v>
      </c>
      <c r="BC1055" s="11" t="n">
        <f>IF(SUMIF($AO$11:$AO$1309,AO1055,$BB$11:$BB$1309)=COUNTIF($AO$11:$AO$1309,AO1055),SUMIF($AO$11:$AO$1309,AO1055,$AS$11:$AS$1309),"")</f>
        <v>0.13601543709405306</v>
      </c>
      <c r="BD1055" s="11" t="n">
        <f>IF(SUMIF($AO$11:$AO$1309,AO1055,$BB$11:$BB$1309)=COUNTIF($AO$11:$AO$1309,AO1055),SUMIF($AO$11:$AO$1309,AO1055,$AW$11:$AW$1309),"")</f>
        <v>0.023128342245989305</v>
      </c>
      <c r="BE1055" s="11" t="n">
        <f>IF(SUMIF($AO$11:$AO$1309,AO1055,$BB$11:$BB$1309)=COUNTIF($AO$11:$AO$1309,AO1055),SUMIF($AO$11:$AO$1309,AO1055,$BA$11:$BA$1309),"")</f>
        <v>0.01695024077046549</v>
      </c>
      <c r="BF1055" s="12" t="n">
        <f>IF(COUNT(BD1055:BE1055)&lt;&gt;2,"",IF(AND(BD1055&gt;0,BE1055&gt;0),0.7*AW1055/BD1055+0.3*BA1055/BE1055,IF(BD1055&gt;0,AW1055/BD1055,IF(BE1055&gt;0,BA1055/BE1055,IF(AND(ISNUMBER(BH1055),BH1055=0),0,"")))))</f>
        <v>0</v>
      </c>
      <c r="BG1055" s="11" t="n">
        <f>IF(AND(COUNT(BN1055:BU1055)=8,MIN(BN1055:BU1055)&gt;=0),SUMPRODUCT(BN1055:BQ1055,BR1055:BU1055),"")</f>
        <v>78.35892944347341</v>
      </c>
      <c r="BH1055" s="11" t="n">
        <f>IF(COUNT(BC1055,BG1055)=2,BC1055*BG1055,"")</f>
        <v>10.6580240384761</v>
      </c>
      <c r="BI1055" s="11" t="n">
        <f>IF(ISNUMBER(CI1055),CI1055,"")</f>
        <v>0</v>
      </c>
      <c r="BJ1055" s="8" t="str"/>
      <c r="BK1055" s="8" t="str">
        <v>90天：2026-07-20 至 2026-10-17；180天：2026-04-21 至 2026-10-17</v>
      </c>
      <c r="BL1055" s="8" t="str">
        <v>90天：2026-10-06、2026-10-07；180天：2026-10-06、2026-10-07</v>
      </c>
      <c r="BM1055" s="8" t="str">
        <v>2026-10：12天 × 0.7307750238224848；2026-11：30天 × 0.9523018155490097；2026-12：31天 × 0.5958545198749097；2027-01：17天 × 1.3264167397065354</v>
      </c>
      <c r="BN1055" s="11" t="n">
        <v>0.7307750238224848</v>
      </c>
      <c r="BO1055" s="11" t="n">
        <v>0.9523018155490097</v>
      </c>
      <c r="BP1055" s="11" t="n">
        <v>0.5958545198749097</v>
      </c>
      <c r="BQ1055" s="11" t="n">
        <v>1.3264167397065354</v>
      </c>
      <c r="BR1055" s="8" t="n">
        <v>12</v>
      </c>
      <c r="BS1055" s="8" t="n">
        <v>30</v>
      </c>
      <c r="BT1055" s="8" t="n">
        <v>31</v>
      </c>
      <c r="BU1055" s="8" t="n">
        <v>17</v>
      </c>
      <c r="BV1055" s="11" t="n">
        <f>IF(COUNT(BC1055,BF1055)=2,BC1055*BF1055,"")</f>
        <v>0</v>
      </c>
      <c r="BW1055" s="11" t="n">
        <f>IF(ISNUMBER(BN1055),BN1055,"")</f>
        <v>0.7307750238224848</v>
      </c>
      <c r="BX1055" s="14" t="n">
        <f>IF(ISNUMBER(BR1055),BR1055,"")</f>
        <v>12</v>
      </c>
      <c r="BY1055" s="13" t="n">
        <f>IF(AND(COUNT(BV1055,BW1055,BX1055)=3,MIN(BV1055,BW1055,BX1055)&gt;=0),BV1055*BW1055*BX1055,"")</f>
        <v>0</v>
      </c>
      <c r="BZ1055" s="11" t="n">
        <f>IF(ISNUMBER(BO1055),BO1055,"")</f>
        <v>0.9523018155490097</v>
      </c>
      <c r="CA1055" s="14" t="n">
        <f>IF(ISNUMBER(BS1055),BS1055,"")</f>
        <v>30</v>
      </c>
      <c r="CB1055" s="13" t="n">
        <f>IF(AND(COUNT(BV1055,BZ1055,CA1055)=3,MIN(BV1055,BZ1055,CA1055)&gt;=0),BV1055*BZ1055*CA1055,"")</f>
        <v>0</v>
      </c>
      <c r="CC1055" s="11" t="n">
        <f>IF(ISNUMBER(BP1055),BP1055,"")</f>
        <v>0.5958545198749097</v>
      </c>
      <c r="CD1055" s="14" t="n">
        <f>IF(ISNUMBER(BT1055),BT1055,"")</f>
        <v>31</v>
      </c>
      <c r="CE1055" s="13" t="n">
        <f>IF(AND(COUNT(BV1055,CC1055,CD1055)=3,MIN(BV1055,CC1055,CD1055)&gt;=0),BV1055*CC1055*CD1055,"")</f>
        <v>0</v>
      </c>
      <c r="CF1055" s="11" t="n">
        <f>IF(ISNUMBER(BQ1055),BQ1055,"")</f>
        <v>1.3264167397065354</v>
      </c>
      <c r="CG1055" s="14" t="n">
        <f>IF(ISNUMBER(BU1055),BU1055,"")</f>
        <v>17</v>
      </c>
      <c r="CH1055" s="13" t="n">
        <f>IF(AND(COUNT(BV1055,CF1055,CG1055)=3,MIN(BV1055,CF1055,CG1055)&gt;=0),BV1055*CF1055*CG1055,"")</f>
        <v>0</v>
      </c>
      <c r="CI1055" s="13" t="n">
        <f>IF(COUNT(BY1055,CB1055,CE1055,CH1055)=4,SUM(BY1055,CB1055,CE1055,CH1055),"")</f>
        <v>0</v>
      </c>
    </row>
    <row r="1056" ht="72" customHeight="1">
      <c r="A1056" s="16" t="str">
        <v>B07-GY-41.5</v>
      </c>
      <c r="B1056" s="16" t="str">
        <v>4店-彬郁-US</v>
      </c>
      <c r="C1056" s="16" t="str">
        <v>艾年</v>
      </c>
      <c r="D1056" s="26" t="n">
        <f>IF(NOT(ISNUMBER(E1056)),"",IF(OR(E1056&lt;=0,L1056=0),0,IF(OR(NOT(ISNUMBER(F1056)),F1056&lt;0),"",MIN(E1056,INT(F1056)))))</f>
        <v>0</v>
      </c>
      <c r="E1056" s="27" t="n">
        <f>IF(OR(NOT(ISNUMBER(L1056)),COUNT(M1056:O1056)&lt;&gt;3,MIN(M1056:O1056)&lt;0),"",ROUNDUP(ROUND(BI1056-SUM(M1056:O1056),10),0))</f>
        <v>-7</v>
      </c>
      <c r="F1056" s="28" t="n">
        <v>0</v>
      </c>
      <c r="G1056" s="28" t="n">
        <f>IF(AND(ISNUMBER(D1056),ISNUMBER(E1056)),IF(OR(E1056&lt;=0,L1056=0),0,E1056-D1056),"")</f>
        <v>0</v>
      </c>
      <c r="H1056" s="16" t="str">
        <f>IF(NOT(ISNUMBER(E1056)),"销量或海外库存待补",IF(OR(E1056&lt;=0,L1056=0),IF(L1056=0,"零日销，本批不发","本批无需补货"),IF(NOT(ISNUMBER(D1056)),"国内库存待补",IF(D1056=0,"国内无可用库存",IF(G1056&gt;0,"先发国内现货","按建议量发货")))))</f>
        <v>零日销，本批不发</v>
      </c>
      <c r="I1056" s="28" t="n">
        <f>IF(AND(COUNT(Z1056,AA1056,AB1056)=3,Z1056&gt;=AA1056,AA1056&gt;=0,AB1056=7),Z1056-AA1056,"")</f>
        <v>0</v>
      </c>
      <c r="J1056" s="28" t="n">
        <f>IF(AND(COUNT(AF1056,AG1056,AH1056)=3,AF1056&gt;=AG1056,AG1056&gt;=0,AH1056=14),AF1056-AG1056,"")</f>
        <v>0</v>
      </c>
      <c r="K1056" s="28" t="n">
        <f>IF(AND(COUNT(AL1056,AM1056,AN1056)=3,AL1056&gt;=AM1056,AM1056&gt;=0,AN1056=30),AL1056-AM1056,"")</f>
        <v>0</v>
      </c>
      <c r="L1056" s="29" t="n">
        <f>IF(ISNUMBER(BI1056),BI1056/90,"")</f>
        <v>0</v>
      </c>
      <c r="M1056" s="28" t="n">
        <v>0</v>
      </c>
      <c r="N1056" s="28" t="n">
        <v>0</v>
      </c>
      <c r="O1056" s="28" t="n">
        <v>7</v>
      </c>
      <c r="P1056" s="30" t="str">
        <f>IF(AND(ISNUMBER(L1056),L1056&gt;0,COUNT(M1056:O1056)=3,MIN(M1056:O1056)&gt;=0),SUM(M1056:O1056)/L1056,"")</f>
      </c>
      <c r="Q1056" s="16" t="str">
        <v>沿用原计划SKU店铺</v>
      </c>
      <c r="R1056" s="16" t="str">
        <v>已匹配</v>
      </c>
      <c r="S1056" s="16" t="str">
        <v>在售</v>
      </c>
      <c r="T1056" s="16" t="str">
        <v>B07</v>
      </c>
      <c r="U1056" s="16" t="str">
        <v>灰色羊京绒</v>
      </c>
      <c r="V1056" s="16" t="n">
        <v>10.5</v>
      </c>
      <c r="W1056" s="8" t="str">
        <v>2026-10-11 至 2026-10-17</v>
      </c>
      <c r="X1056" s="8" t="str">
        <v>2026-10-11、2026-10-12、2026-10-13、2026-10-14、2026-10-15、2026-10-16、2026-10-17</v>
      </c>
      <c r="Y1056" s="8" t="str">
        <v>无</v>
      </c>
      <c r="Z1056" s="8" t="n">
        <v>0</v>
      </c>
      <c r="AA1056" s="8" t="n">
        <v>0</v>
      </c>
      <c r="AB1056" s="8" t="n">
        <v>7</v>
      </c>
      <c r="AC1056" s="8" t="str">
        <v>2026-10-02 至 2026-10-17</v>
      </c>
      <c r="AD1056" s="8" t="str">
        <v>2026-10-02、2026-10-03、2026-10-04、2026-10-05、2026-10-08、2026-10-09、2026-10-10、2026-10-11、2026-10-12、2026-10-13、2026-10-14、2026-10-15、2026-10-16、2026-10-17</v>
      </c>
      <c r="AE1056" s="8" t="str">
        <v>2026-10-06 大促；2026-10-07 大促</v>
      </c>
      <c r="AF1056" s="8" t="n">
        <v>0</v>
      </c>
      <c r="AG1056" s="8" t="n">
        <v>0</v>
      </c>
      <c r="AH1056" s="8" t="n">
        <v>14</v>
      </c>
      <c r="AI1056" s="8" t="str">
        <v>2026-09-16 至 2026-10-17</v>
      </c>
      <c r="AJ10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6" s="8" t="str">
        <v>2026-10-06 大促；2026-10-07 大促</v>
      </c>
      <c r="AL1056" s="8" t="n">
        <v>0</v>
      </c>
      <c r="AM1056" s="8" t="n">
        <v>0</v>
      </c>
      <c r="AN1056" s="8" t="n">
        <v>30</v>
      </c>
      <c r="AO1056" s="8" t="str">
        <v>B07 / 灰色羊京绒 / 13306</v>
      </c>
      <c r="AP1056" s="11" t="n">
        <v>0.7307750238224848</v>
      </c>
      <c r="AQ1056" s="11" t="n">
        <v>0.7307750238224848</v>
      </c>
      <c r="AR1056" s="11" t="n">
        <v>0.7449809054134506</v>
      </c>
      <c r="AS1056" s="11" t="n">
        <f>IF(AND(COUNT(I1056:K1056,AP1056:AR1056)=6,MIN(AP1056:AR1056)&gt;0),I1056/7/AP1056*0.5+J1056/14/AQ1056*0.3+K1056/30/AR1056*0.2,"")</f>
        <v>0</v>
      </c>
      <c r="AT1056" s="8" t="n">
        <v>0</v>
      </c>
      <c r="AU1056" s="8" t="n">
        <v>0</v>
      </c>
      <c r="AV1056" s="8" t="n">
        <v>88</v>
      </c>
      <c r="AW1056" s="11" t="n">
        <f>IF(AND(COUNT(AT1056:AV1056)=3,AT1056&gt;=AU1056,AU1056&gt;=0,AV1056&gt;0),(AT1056-AU1056)/AV1056,"")</f>
        <v>0</v>
      </c>
      <c r="AX1056" s="8" t="n">
        <v>0</v>
      </c>
      <c r="AY1056" s="8" t="n">
        <v>0</v>
      </c>
      <c r="AZ1056" s="8" t="n">
        <v>178</v>
      </c>
      <c r="BA1056" s="11" t="n">
        <f>IF(AND(COUNT(AX1056:AZ1056)=3,AX1056&gt;=AY1056,AY1056&gt;=0,AZ1056&gt;0),(AX1056-AY1056)/AZ1056,"")</f>
        <v>0</v>
      </c>
      <c r="BB1056" s="8" t="n">
        <f>IF(COUNT(AS1056,AW1056,BA1056)=3,1,0)</f>
        <v>1</v>
      </c>
      <c r="BC1056" s="11" t="n">
        <f>IF(SUMIF($AO$11:$AO$1309,AO1056,$BB$11:$BB$1309)=COUNTIF($AO$11:$AO$1309,AO1056),SUMIF($AO$11:$AO$1309,AO1056,$AS$11:$AS$1309),"")</f>
        <v>0.13601543709405306</v>
      </c>
      <c r="BD1056" s="11" t="n">
        <f>IF(SUMIF($AO$11:$AO$1309,AO1056,$BB$11:$BB$1309)=COUNTIF($AO$11:$AO$1309,AO1056),SUMIF($AO$11:$AO$1309,AO1056,$AW$11:$AW$1309),"")</f>
        <v>0.023128342245989305</v>
      </c>
      <c r="BE1056" s="11" t="n">
        <f>IF(SUMIF($AO$11:$AO$1309,AO1056,$BB$11:$BB$1309)=COUNTIF($AO$11:$AO$1309,AO1056),SUMIF($AO$11:$AO$1309,AO1056,$BA$11:$BA$1309),"")</f>
        <v>0.01695024077046549</v>
      </c>
      <c r="BF1056" s="12" t="n">
        <f>IF(COUNT(BD1056:BE1056)&lt;&gt;2,"",IF(AND(BD1056&gt;0,BE1056&gt;0),0.7*AW1056/BD1056+0.3*BA1056/BE1056,IF(BD1056&gt;0,AW1056/BD1056,IF(BE1056&gt;0,BA1056/BE1056,IF(AND(ISNUMBER(BH1056),BH1056=0),0,"")))))</f>
        <v>0</v>
      </c>
      <c r="BG1056" s="11" t="n">
        <f>IF(AND(COUNT(BN1056:BU1056)=8,MIN(BN1056:BU1056)&gt;=0),SUMPRODUCT(BN1056:BQ1056,BR1056:BU1056),"")</f>
        <v>78.35892944347341</v>
      </c>
      <c r="BH1056" s="11" t="n">
        <f>IF(COUNT(BC1056,BG1056)=2,BC1056*BG1056,"")</f>
        <v>10.6580240384761</v>
      </c>
      <c r="BI1056" s="11" t="n">
        <f>IF(ISNUMBER(CI1056),CI1056,"")</f>
        <v>0</v>
      </c>
      <c r="BJ1056" s="8" t="str"/>
      <c r="BK1056" s="8" t="str">
        <v>90天：2026-07-20 至 2026-10-17；180天：2026-04-21 至 2026-10-17</v>
      </c>
      <c r="BL1056" s="8" t="str">
        <v>90天：2026-10-06、2026-10-07；180天：2026-10-06、2026-10-07</v>
      </c>
      <c r="BM1056" s="8" t="str">
        <v>2026-10：12天 × 0.7307750238224848；2026-11：30天 × 0.9523018155490097；2026-12：31天 × 0.5958545198749097；2027-01：17天 × 1.3264167397065354</v>
      </c>
      <c r="BN1056" s="11" t="n">
        <v>0.7307750238224848</v>
      </c>
      <c r="BO1056" s="11" t="n">
        <v>0.9523018155490097</v>
      </c>
      <c r="BP1056" s="11" t="n">
        <v>0.5958545198749097</v>
      </c>
      <c r="BQ1056" s="11" t="n">
        <v>1.3264167397065354</v>
      </c>
      <c r="BR1056" s="8" t="n">
        <v>12</v>
      </c>
      <c r="BS1056" s="8" t="n">
        <v>30</v>
      </c>
      <c r="BT1056" s="8" t="n">
        <v>31</v>
      </c>
      <c r="BU1056" s="8" t="n">
        <v>17</v>
      </c>
      <c r="BV1056" s="11" t="n">
        <f>IF(COUNT(BC1056,BF1056)=2,BC1056*BF1056,"")</f>
        <v>0</v>
      </c>
      <c r="BW1056" s="11" t="n">
        <f>IF(ISNUMBER(BN1056),BN1056,"")</f>
        <v>0.7307750238224848</v>
      </c>
      <c r="BX1056" s="14" t="n">
        <f>IF(ISNUMBER(BR1056),BR1056,"")</f>
        <v>12</v>
      </c>
      <c r="BY1056" s="13" t="n">
        <f>IF(AND(COUNT(BV1056,BW1056,BX1056)=3,MIN(BV1056,BW1056,BX1056)&gt;=0),BV1056*BW1056*BX1056,"")</f>
        <v>0</v>
      </c>
      <c r="BZ1056" s="11" t="n">
        <f>IF(ISNUMBER(BO1056),BO1056,"")</f>
        <v>0.9523018155490097</v>
      </c>
      <c r="CA1056" s="14" t="n">
        <f>IF(ISNUMBER(BS1056),BS1056,"")</f>
        <v>30</v>
      </c>
      <c r="CB1056" s="13" t="n">
        <f>IF(AND(COUNT(BV1056,BZ1056,CA1056)=3,MIN(BV1056,BZ1056,CA1056)&gt;=0),BV1056*BZ1056*CA1056,"")</f>
        <v>0</v>
      </c>
      <c r="CC1056" s="11" t="n">
        <f>IF(ISNUMBER(BP1056),BP1056,"")</f>
        <v>0.5958545198749097</v>
      </c>
      <c r="CD1056" s="14" t="n">
        <f>IF(ISNUMBER(BT1056),BT1056,"")</f>
        <v>31</v>
      </c>
      <c r="CE1056" s="13" t="n">
        <f>IF(AND(COUNT(BV1056,CC1056,CD1056)=3,MIN(BV1056,CC1056,CD1056)&gt;=0),BV1056*CC1056*CD1056,"")</f>
        <v>0</v>
      </c>
      <c r="CF1056" s="11" t="n">
        <f>IF(ISNUMBER(BQ1056),BQ1056,"")</f>
        <v>1.3264167397065354</v>
      </c>
      <c r="CG1056" s="14" t="n">
        <f>IF(ISNUMBER(BU1056),BU1056,"")</f>
        <v>17</v>
      </c>
      <c r="CH1056" s="13" t="n">
        <f>IF(AND(COUNT(BV1056,CF1056,CG1056)=3,MIN(BV1056,CF1056,CG1056)&gt;=0),BV1056*CF1056*CG1056,"")</f>
        <v>0</v>
      </c>
      <c r="CI1056" s="13" t="n">
        <f>IF(COUNT(BY1056,CB1056,CE1056,CH1056)=4,SUM(BY1056,CB1056,CE1056,CH1056),"")</f>
        <v>0</v>
      </c>
    </row>
    <row r="1057" ht="72" customHeight="1">
      <c r="A1057" s="16" t="str">
        <v>B07-IV-P-37</v>
      </c>
      <c r="B1057" s="16" t="str">
        <v>4店-彬郁-US</v>
      </c>
      <c r="C1057" s="16" t="str">
        <v>艾年</v>
      </c>
      <c r="D1057" s="26" t="n">
        <f>IF(NOT(ISNUMBER(E1057)),"",IF(OR(E1057&lt;=0,L1057=0),0,IF(OR(NOT(ISNUMBER(F1057)),F1057&lt;0),"",MIN(E1057,INT(F1057)))))</f>
        <v>0</v>
      </c>
      <c r="E1057" s="27" t="n">
        <f>IF(OR(NOT(ISNUMBER(L1057)),COUNT(M1057:O1057)&lt;&gt;3,MIN(M1057:O1057)&lt;0),"",ROUNDUP(ROUND(BI1057-SUM(M1057:O1057),10),0))</f>
        <v>-13</v>
      </c>
      <c r="F1057" s="28" t="n">
        <v>0</v>
      </c>
      <c r="G1057" s="28" t="n">
        <f>IF(AND(ISNUMBER(D1057),ISNUMBER(E1057)),IF(OR(E1057&lt;=0,L1057=0),0,E1057-D1057),"")</f>
        <v>0</v>
      </c>
      <c r="H1057" s="16" t="str">
        <f>IF(NOT(ISNUMBER(E1057)),"销量或海外库存待补",IF(OR(E1057&lt;=0,L1057=0),IF(L1057=0,"零日销，本批不发","本批无需补货"),IF(NOT(ISNUMBER(D1057)),"国内库存待补",IF(D1057=0,"国内无可用库存",IF(G1057&gt;0,"先发国内现货","按建议量发货")))))</f>
        <v>本批无需补货</v>
      </c>
      <c r="I1057" s="28" t="n">
        <f>IF(AND(COUNT(Z1057,AA1057,AB1057)=3,Z1057&gt;=AA1057,AA1057&gt;=0,AB1057=7),Z1057-AA1057,"")</f>
        <v>0</v>
      </c>
      <c r="J1057" s="28" t="n">
        <f>IF(AND(COUNT(AF1057,AG1057,AH1057)=3,AF1057&gt;=AG1057,AG1057&gt;=0,AH1057=14),AF1057-AG1057,"")</f>
        <v>0</v>
      </c>
      <c r="K1057" s="28" t="n">
        <f>IF(AND(COUNT(AL1057,AM1057,AN1057)=3,AL1057&gt;=AM1057,AM1057&gt;=0,AN1057=30),AL1057-AM1057,"")</f>
        <v>0</v>
      </c>
      <c r="L1057" s="29" t="n">
        <f>IF(ISNUMBER(BI1057),BI1057/90,"")</f>
        <v>0.03382038568997796</v>
      </c>
      <c r="M1057" s="28" t="n">
        <v>16</v>
      </c>
      <c r="N1057" s="28" t="n">
        <v>0</v>
      </c>
      <c r="O1057" s="28" t="n">
        <v>0</v>
      </c>
      <c r="P1057" s="30" t="n">
        <f>IF(AND(ISNUMBER(L1057),L1057&gt;0,COUNT(M1057:O1057)=3,MIN(M1057:O1057)&gt;=0),SUM(M1057:O1057)/L1057,"")</f>
        <v>473.087449287762</v>
      </c>
      <c r="Q1057" s="16" t="str">
        <v>沿用原计划SKU店铺</v>
      </c>
      <c r="R1057" s="16" t="str">
        <v>已匹配</v>
      </c>
      <c r="S1057" s="16" t="str">
        <v>在售</v>
      </c>
      <c r="T1057" s="16" t="str">
        <v>B07</v>
      </c>
      <c r="U1057" s="16" t="str">
        <v>米白色PU</v>
      </c>
      <c r="V1057" s="16" t="n">
        <v>6</v>
      </c>
      <c r="W1057" s="8" t="str">
        <v>2026-10-11 至 2026-10-17</v>
      </c>
      <c r="X1057" s="8" t="str">
        <v>2026-10-11、2026-10-12、2026-10-13、2026-10-14、2026-10-15、2026-10-16、2026-10-17</v>
      </c>
      <c r="Y1057" s="8" t="str">
        <v>无</v>
      </c>
      <c r="Z1057" s="8" t="n">
        <v>0</v>
      </c>
      <c r="AA1057" s="8" t="n">
        <v>0</v>
      </c>
      <c r="AB1057" s="8" t="n">
        <v>7</v>
      </c>
      <c r="AC1057" s="8" t="str">
        <v>2026-10-02 至 2026-10-17</v>
      </c>
      <c r="AD1057" s="8" t="str">
        <v>2026-10-02、2026-10-03、2026-10-04、2026-10-05、2026-10-08、2026-10-09、2026-10-10、2026-10-11、2026-10-12、2026-10-13、2026-10-14、2026-10-15、2026-10-16、2026-10-17</v>
      </c>
      <c r="AE1057" s="8" t="str">
        <v>2026-10-06 大促；2026-10-07 大促</v>
      </c>
      <c r="AF1057" s="8" t="n">
        <v>0</v>
      </c>
      <c r="AG1057" s="8" t="n">
        <v>0</v>
      </c>
      <c r="AH1057" s="8" t="n">
        <v>14</v>
      </c>
      <c r="AI1057" s="8" t="str">
        <v>2026-09-16 至 2026-10-17</v>
      </c>
      <c r="AJ10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7" s="8" t="str">
        <v>2026-10-06 大促；2026-10-07 大促</v>
      </c>
      <c r="AL1057" s="8" t="n">
        <v>0</v>
      </c>
      <c r="AM1057" s="8" t="n">
        <v>0</v>
      </c>
      <c r="AN1057" s="8" t="n">
        <v>30</v>
      </c>
      <c r="AO1057" s="8" t="str">
        <v>B07 / 米白色PU / 13306</v>
      </c>
      <c r="AP1057" s="11" t="n">
        <v>0.7307750238224848</v>
      </c>
      <c r="AQ1057" s="11" t="n">
        <v>0.7307750238224848</v>
      </c>
      <c r="AR1057" s="11" t="n">
        <v>0.7449809054134506</v>
      </c>
      <c r="AS1057" s="11" t="n">
        <f>IF(AND(COUNT(I1057:K1057,AP1057:AR1057)=6,MIN(AP1057:AR1057)&gt;0),I1057/7/AP1057*0.5+J1057/14/AQ1057*0.3+K1057/30/AR1057*0.2,"")</f>
        <v>0</v>
      </c>
      <c r="AT1057" s="8" t="n">
        <v>6</v>
      </c>
      <c r="AU1057" s="8" t="n">
        <v>0</v>
      </c>
      <c r="AV1057" s="8" t="n">
        <v>88</v>
      </c>
      <c r="AW1057" s="11" t="n">
        <f>IF(AND(COUNT(AT1057:AV1057)=3,AT1057&gt;=AU1057,AU1057&gt;=0,AV1057&gt;0),(AT1057-AU1057)/AV1057,"")</f>
        <v>0.06818181818181818</v>
      </c>
      <c r="AX1057" s="8" t="n">
        <v>12</v>
      </c>
      <c r="AY1057" s="8" t="n">
        <v>0</v>
      </c>
      <c r="AZ1057" s="8" t="n">
        <v>178</v>
      </c>
      <c r="BA1057" s="11" t="n">
        <f>IF(AND(COUNT(AX1057:AZ1057)=3,AX1057&gt;=AY1057,AY1057&gt;=0,AZ1057&gt;0),(AX1057-AY1057)/AZ1057,"")</f>
        <v>0.06741573033707865</v>
      </c>
      <c r="BB1057" s="8" t="n">
        <f>IF(COUNT(AS1057,AW1057,BA1057)=3,1,0)</f>
        <v>1</v>
      </c>
      <c r="BC1057" s="11" t="n">
        <f>IF(SUMIF($AO$11:$AO$1309,AO1057,$BB$11:$BB$1309)=COUNTIF($AO$11:$AO$1309,AO1057),SUMIF($AO$11:$AO$1309,AO1057,$AS$11:$AS$1309),"")</f>
        <v>0.313323126299849</v>
      </c>
      <c r="BD1057" s="11" t="n">
        <f>IF(SUMIF($AO$11:$AO$1309,AO1057,$BB$11:$BB$1309)=COUNTIF($AO$11:$AO$1309,AO1057),SUMIF($AO$11:$AO$1309,AO1057,$AW$11:$AW$1309),"")</f>
        <v>0.5132135306553911</v>
      </c>
      <c r="BE1057" s="11" t="n">
        <f>IF(SUMIF($AO$11:$AO$1309,AO1057,$BB$11:$BB$1309)=COUNTIF($AO$11:$AO$1309,AO1057),SUMIF($AO$11:$AO$1309,AO1057,$BA$11:$BA$1309),"")</f>
        <v>0.6528356194367431</v>
      </c>
      <c r="BF1057" s="12" t="n">
        <f>IF(COUNT(BD1057:BE1057)&lt;&gt;2,"",IF(AND(BD1057&gt;0,BE1057&gt;0),0.7*AW1057/BD1057+0.3*BA1057/BE1057,IF(BD1057&gt;0,AW1057/BD1057,IF(BE1057&gt;0,BA1057/BE1057,IF(AND(ISNUMBER(BH1057),BH1057=0),0,"")))))</f>
        <v>0.12397671373801165</v>
      </c>
      <c r="BG1057" s="11" t="n">
        <f>IF(AND(COUNT(BN1057:BU1057)=8,MIN(BN1057:BU1057)&gt;=0),SUMPRODUCT(BN1057:BQ1057,BR1057:BU1057),"")</f>
        <v>78.35892944347341</v>
      </c>
      <c r="BH1057" s="11" t="n">
        <f>IF(COUNT(BC1057,BG1057)=2,BC1057*BG1057,"")</f>
        <v>24.551664746738375</v>
      </c>
      <c r="BI1057" s="11" t="n">
        <f>IF(ISNUMBER(CI1057),CI1057,"")</f>
        <v>3.043834712098016</v>
      </c>
      <c r="BJ1057" s="8" t="str"/>
      <c r="BK1057" s="8" t="str">
        <v>90天：2026-07-20 至 2026-10-17；180天：2026-04-21 至 2026-10-17</v>
      </c>
      <c r="BL1057" s="8" t="str">
        <v>90天：2026-10-06、2026-10-07；180天：2026-10-06、2026-10-07</v>
      </c>
      <c r="BM1057" s="8" t="str">
        <v>2026-10：12天 × 0.7307750238224848；2026-11：30天 × 0.9523018155490097；2026-12：31天 × 0.5958545198749097；2027-01：17天 × 1.3264167397065354</v>
      </c>
      <c r="BN1057" s="11" t="n">
        <v>0.7307750238224848</v>
      </c>
      <c r="BO1057" s="11" t="n">
        <v>0.9523018155490097</v>
      </c>
      <c r="BP1057" s="11" t="n">
        <v>0.5958545198749097</v>
      </c>
      <c r="BQ1057" s="11" t="n">
        <v>1.3264167397065354</v>
      </c>
      <c r="BR1057" s="8" t="n">
        <v>12</v>
      </c>
      <c r="BS1057" s="8" t="n">
        <v>30</v>
      </c>
      <c r="BT1057" s="8" t="n">
        <v>31</v>
      </c>
      <c r="BU1057" s="8" t="n">
        <v>17</v>
      </c>
      <c r="BV1057" s="11" t="n">
        <f>IF(COUNT(BC1057,BF1057)=2,BC1057*BF1057,"")</f>
        <v>0.03884477153677525</v>
      </c>
      <c r="BW1057" s="11" t="n">
        <f>IF(ISNUMBER(BN1057),BN1057,"")</f>
        <v>0.7307750238224848</v>
      </c>
      <c r="BX1057" s="14" t="n">
        <f>IF(ISNUMBER(BR1057),BR1057,"")</f>
        <v>12</v>
      </c>
      <c r="BY1057" s="13" t="n">
        <f>IF(AND(COUNT(BV1057,BW1057,BX1057)=3,MIN(BV1057,BW1057,BX1057)&gt;=0),BV1057*BW1057*BX1057,"")</f>
        <v>0.340641466141991</v>
      </c>
      <c r="BZ1057" s="11" t="n">
        <f>IF(ISNUMBER(BO1057),BO1057,"")</f>
        <v>0.9523018155490097</v>
      </c>
      <c r="CA1057" s="14" t="n">
        <f>IF(ISNUMBER(BS1057),BS1057,"")</f>
        <v>30</v>
      </c>
      <c r="CB1057" s="13" t="n">
        <f>IF(AND(COUNT(BV1057,BZ1057,CA1057)=3,MIN(BV1057,BZ1057,CA1057)&gt;=0),BV1057*BZ1057*CA1057,"")</f>
        <v>1.109758393771727</v>
      </c>
      <c r="CC1057" s="11" t="n">
        <f>IF(ISNUMBER(BP1057),BP1057,"")</f>
        <v>0.5958545198749097</v>
      </c>
      <c r="CD1057" s="14" t="n">
        <f>IF(ISNUMBER(BT1057),BT1057,"")</f>
        <v>31</v>
      </c>
      <c r="CE1057" s="13" t="n">
        <f>IF(AND(COUNT(BV1057,CC1057,CD1057)=3,MIN(BV1057,CC1057,CD1057)&gt;=0),BV1057*CC1057*CD1057,"")</f>
        <v>0.717520813504569</v>
      </c>
      <c r="CF1057" s="11" t="n">
        <f>IF(ISNUMBER(BQ1057),BQ1057,"")</f>
        <v>1.3264167397065354</v>
      </c>
      <c r="CG1057" s="14" t="n">
        <f>IF(ISNUMBER(BU1057),BU1057,"")</f>
        <v>17</v>
      </c>
      <c r="CH1057" s="13" t="n">
        <f>IF(AND(COUNT(BV1057,CF1057,CG1057)=3,MIN(BV1057,CF1057,CG1057)&gt;=0),BV1057*CF1057*CG1057,"")</f>
        <v>0.8759140386797291</v>
      </c>
      <c r="CI1057" s="13" t="n">
        <f>IF(COUNT(BY1057,CB1057,CE1057,CH1057)=4,SUM(BY1057,CB1057,CE1057,CH1057),"")</f>
        <v>3.043834712098016</v>
      </c>
    </row>
    <row r="1058" ht="72" customHeight="1">
      <c r="A1058" s="16" t="str">
        <v>B07-IV-P-37.5</v>
      </c>
      <c r="B1058" s="16" t="str">
        <v>4店-彬郁-US</v>
      </c>
      <c r="C1058" s="16" t="str">
        <v>艾年</v>
      </c>
      <c r="D1058" s="26" t="n">
        <f>IF(NOT(ISNUMBER(E1058)),"",IF(OR(E1058&lt;=0,L1058=0),0,IF(OR(NOT(ISNUMBER(F1058)),F1058&lt;0),"",MIN(E1058,INT(F1058)))))</f>
        <v>0</v>
      </c>
      <c r="E1058" s="27" t="n">
        <f>IF(OR(NOT(ISNUMBER(L1058)),COUNT(M1058:O1058)&lt;&gt;3,MIN(M1058:O1058)&lt;0),"",ROUNDUP(ROUND(BI1058-SUM(M1058:O1058),10),0))</f>
        <v>-3</v>
      </c>
      <c r="F1058" s="28" t="n">
        <v>0</v>
      </c>
      <c r="G1058" s="28" t="n">
        <f>IF(AND(ISNUMBER(D1058),ISNUMBER(E1058)),IF(OR(E1058&lt;=0,L1058=0),0,E1058-D1058),"")</f>
        <v>0</v>
      </c>
      <c r="H1058" s="16" t="str">
        <f>IF(NOT(ISNUMBER(E1058)),"销量或海外库存待补",IF(OR(E1058&lt;=0,L1058=0),IF(L1058=0,"零日销，本批不发","本批无需补货"),IF(NOT(ISNUMBER(D1058)),"国内库存待补",IF(D1058=0,"国内无可用库存",IF(G1058&gt;0,"先发国内现货","按建议量发货")))))</f>
        <v>本批无需补货</v>
      </c>
      <c r="I1058" s="28" t="n">
        <f>IF(AND(COUNT(Z1058,AA1058,AB1058)=3,Z1058&gt;=AA1058,AA1058&gt;=0,AB1058=7),Z1058-AA1058,"")</f>
        <v>0</v>
      </c>
      <c r="J1058" s="28" t="n">
        <f>IF(AND(COUNT(AF1058,AG1058,AH1058)=3,AF1058&gt;=AG1058,AG1058&gt;=0,AH1058=14),AF1058-AG1058,"")</f>
        <v>0</v>
      </c>
      <c r="K1058" s="28" t="n">
        <f>IF(AND(COUNT(AL1058,AM1058,AN1058)=3,AL1058&gt;=AM1058,AM1058&gt;=0,AN1058=30),AL1058-AM1058,"")</f>
        <v>0</v>
      </c>
      <c r="L1058" s="29" t="n">
        <f>IF(ISNUMBER(BI1058),BI1058/90,"")</f>
        <v>0.01268199105487097</v>
      </c>
      <c r="M1058" s="28" t="n">
        <v>4</v>
      </c>
      <c r="N1058" s="28" t="n">
        <v>0</v>
      </c>
      <c r="O1058" s="28" t="n">
        <v>0</v>
      </c>
      <c r="P1058" s="30" t="n">
        <f>IF(AND(ISNUMBER(L1058),L1058&gt;0,COUNT(M1058:O1058)=3,MIN(M1058:O1058)&gt;=0),SUM(M1058:O1058)/L1058,"")</f>
        <v>315.4078868762218</v>
      </c>
      <c r="Q1058" s="16" t="str">
        <v>沿用原计划SKU店铺</v>
      </c>
      <c r="R1058" s="16" t="str">
        <v>已匹配</v>
      </c>
      <c r="S1058" s="16" t="str">
        <v>在售</v>
      </c>
      <c r="T1058" s="16" t="str">
        <v>B07</v>
      </c>
      <c r="U1058" s="16" t="str">
        <v>米白色PU</v>
      </c>
      <c r="V1058" s="16" t="n">
        <v>6.5</v>
      </c>
      <c r="W1058" s="8" t="str">
        <v>2026-10-11 至 2026-10-17</v>
      </c>
      <c r="X1058" s="8" t="str">
        <v>2026-10-11、2026-10-12、2026-10-13、2026-10-14、2026-10-15、2026-10-16、2026-10-17</v>
      </c>
      <c r="Y1058" s="8" t="str">
        <v>无</v>
      </c>
      <c r="Z1058" s="8" t="n">
        <v>0</v>
      </c>
      <c r="AA1058" s="8" t="n">
        <v>0</v>
      </c>
      <c r="AB1058" s="8" t="n">
        <v>7</v>
      </c>
      <c r="AC1058" s="8" t="str">
        <v>2026-10-02 至 2026-10-17</v>
      </c>
      <c r="AD1058" s="8" t="str">
        <v>2026-10-02、2026-10-03、2026-10-04、2026-10-05、2026-10-08、2026-10-09、2026-10-10、2026-10-11、2026-10-12、2026-10-13、2026-10-14、2026-10-15、2026-10-16、2026-10-17</v>
      </c>
      <c r="AE1058" s="8" t="str">
        <v>2026-10-06 大促；2026-10-07 大促</v>
      </c>
      <c r="AF1058" s="8" t="n">
        <v>1</v>
      </c>
      <c r="AG1058" s="8" t="n">
        <v>1</v>
      </c>
      <c r="AH1058" s="8" t="n">
        <v>14</v>
      </c>
      <c r="AI1058" s="8" t="str">
        <v>2026-09-16 至 2026-10-17</v>
      </c>
      <c r="AJ10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8" s="8" t="str">
        <v>2026-10-06 大促；2026-10-07 大促</v>
      </c>
      <c r="AL1058" s="8" t="n">
        <v>1</v>
      </c>
      <c r="AM1058" s="8" t="n">
        <v>1</v>
      </c>
      <c r="AN1058" s="8" t="n">
        <v>30</v>
      </c>
      <c r="AO1058" s="8" t="str">
        <v>B07 / 米白色PU / 13306</v>
      </c>
      <c r="AP1058" s="11" t="n">
        <v>0.7307750238224848</v>
      </c>
      <c r="AQ1058" s="11" t="n">
        <v>0.7307750238224848</v>
      </c>
      <c r="AR1058" s="11" t="n">
        <v>0.7449809054134506</v>
      </c>
      <c r="AS1058" s="11" t="n">
        <f>IF(AND(COUNT(I1058:K1058,AP1058:AR1058)=6,MIN(AP1058:AR1058)&gt;0),I1058/7/AP1058*0.5+J1058/14/AQ1058*0.3+K1058/30/AR1058*0.2,"")</f>
        <v>0</v>
      </c>
      <c r="AT1058" s="8" t="n">
        <v>3</v>
      </c>
      <c r="AU1058" s="8" t="n">
        <v>1</v>
      </c>
      <c r="AV1058" s="8" t="n">
        <v>88</v>
      </c>
      <c r="AW1058" s="11" t="n">
        <f>IF(AND(COUNT(AT1058:AV1058)=3,AT1058&gt;=AU1058,AU1058&gt;=0,AV1058&gt;0),(AT1058-AU1058)/AV1058,"")</f>
        <v>0.022727272727272728</v>
      </c>
      <c r="AX1058" s="8" t="n">
        <v>7</v>
      </c>
      <c r="AY1058" s="8" t="n">
        <v>1</v>
      </c>
      <c r="AZ1058" s="8" t="n">
        <v>178</v>
      </c>
      <c r="BA1058" s="11" t="n">
        <f>IF(AND(COUNT(AX1058:AZ1058)=3,AX1058&gt;=AY1058,AY1058&gt;=0,AZ1058&gt;0),(AX1058-AY1058)/AZ1058,"")</f>
        <v>0.033707865168539325</v>
      </c>
      <c r="BB1058" s="8" t="n">
        <f>IF(COUNT(AS1058,AW1058,BA1058)=3,1,0)</f>
        <v>1</v>
      </c>
      <c r="BC1058" s="11" t="n">
        <f>IF(SUMIF($AO$11:$AO$1309,AO1058,$BB$11:$BB$1309)=COUNTIF($AO$11:$AO$1309,AO1058),SUMIF($AO$11:$AO$1309,AO1058,$AS$11:$AS$1309),"")</f>
        <v>0.313323126299849</v>
      </c>
      <c r="BD1058" s="11" t="n">
        <f>IF(SUMIF($AO$11:$AO$1309,AO1058,$BB$11:$BB$1309)=COUNTIF($AO$11:$AO$1309,AO1058),SUMIF($AO$11:$AO$1309,AO1058,$AW$11:$AW$1309),"")</f>
        <v>0.5132135306553911</v>
      </c>
      <c r="BE1058" s="11" t="n">
        <f>IF(SUMIF($AO$11:$AO$1309,AO1058,$BB$11:$BB$1309)=COUNTIF($AO$11:$AO$1309,AO1058),SUMIF($AO$11:$AO$1309,AO1058,$BA$11:$BA$1309),"")</f>
        <v>0.6528356194367431</v>
      </c>
      <c r="BF1058" s="12" t="n">
        <f>IF(COUNT(BD1058:BE1058)&lt;&gt;2,"",IF(AND(BD1058&gt;0,BE1058&gt;0),0.7*AW1058/BD1058+0.3*BA1058/BE1058,IF(BD1058&gt;0,AW1058/BD1058,IF(BE1058&gt;0,BA1058/BE1058,IF(AND(ISNUMBER(BH1058),BH1058=0),0,"")))))</f>
        <v>0.046488871802064534</v>
      </c>
      <c r="BG1058" s="11" t="n">
        <f>IF(AND(COUNT(BN1058:BU1058)=8,MIN(BN1058:BU1058)&gt;=0),SUMPRODUCT(BN1058:BQ1058,BR1058:BU1058),"")</f>
        <v>78.35892944347341</v>
      </c>
      <c r="BH1058" s="11" t="n">
        <f>IF(COUNT(BC1058,BG1058)=2,BC1058*BG1058,"")</f>
        <v>24.551664746738375</v>
      </c>
      <c r="BI1058" s="11" t="n">
        <f>IF(ISNUMBER(CI1058),CI1058,"")</f>
        <v>1.1413791949383874</v>
      </c>
      <c r="BJ1058" s="8" t="str"/>
      <c r="BK1058" s="8" t="str">
        <v>90天：2026-07-20 至 2026-10-17；180天：2026-04-21 至 2026-10-17</v>
      </c>
      <c r="BL1058" s="8" t="str">
        <v>90天：2026-10-06、2026-10-07；180天：2026-10-06、2026-10-07</v>
      </c>
      <c r="BM1058" s="8" t="str">
        <v>2026-10：12天 × 0.7307750238224848；2026-11：30天 × 0.9523018155490097；2026-12：31天 × 0.5958545198749097；2027-01：17天 × 1.3264167397065354</v>
      </c>
      <c r="BN1058" s="11" t="n">
        <v>0.7307750238224848</v>
      </c>
      <c r="BO1058" s="11" t="n">
        <v>0.9523018155490097</v>
      </c>
      <c r="BP1058" s="11" t="n">
        <v>0.5958545198749097</v>
      </c>
      <c r="BQ1058" s="11" t="n">
        <v>1.3264167397065354</v>
      </c>
      <c r="BR1058" s="8" t="n">
        <v>12</v>
      </c>
      <c r="BS1058" s="8" t="n">
        <v>30</v>
      </c>
      <c r="BT1058" s="8" t="n">
        <v>31</v>
      </c>
      <c r="BU1058" s="8" t="n">
        <v>17</v>
      </c>
      <c r="BV1058" s="11" t="n">
        <f>IF(COUNT(BC1058,BF1058)=2,BC1058*BF1058,"")</f>
        <v>0.014566038651175754</v>
      </c>
      <c r="BW1058" s="11" t="n">
        <f>IF(ISNUMBER(BN1058),BN1058,"")</f>
        <v>0.7307750238224848</v>
      </c>
      <c r="BX1058" s="14" t="n">
        <f>IF(ISNUMBER(BR1058),BR1058,"")</f>
        <v>12</v>
      </c>
      <c r="BY1058" s="13" t="n">
        <f>IF(AND(COUNT(BV1058,BW1058,BX1058)=3,MIN(BV1058,BW1058,BX1058)&gt;=0),BV1058*BW1058*BX1058,"")</f>
        <v>0.12773396690774635</v>
      </c>
      <c r="BZ1058" s="11" t="n">
        <f>IF(ISNUMBER(BO1058),BO1058,"")</f>
        <v>0.9523018155490097</v>
      </c>
      <c r="CA1058" s="14" t="n">
        <f>IF(ISNUMBER(BS1058),BS1058,"")</f>
        <v>30</v>
      </c>
      <c r="CB1058" s="13" t="n">
        <f>IF(AND(COUNT(BV1058,BZ1058,CA1058)=3,MIN(BV1058,BZ1058,CA1058)&gt;=0),BV1058*BZ1058*CA1058,"")</f>
        <v>0.4161379515861516</v>
      </c>
      <c r="CC1058" s="11" t="n">
        <f>IF(ISNUMBER(BP1058),BP1058,"")</f>
        <v>0.5958545198749097</v>
      </c>
      <c r="CD1058" s="14" t="n">
        <f>IF(ISNUMBER(BT1058),BT1058,"")</f>
        <v>31</v>
      </c>
      <c r="CE1058" s="13" t="n">
        <f>IF(AND(COUNT(BV1058,CC1058,CD1058)=3,MIN(BV1058,CC1058,CD1058)&gt;=0),BV1058*CC1058*CD1058,"")</f>
        <v>0.26905643897624687</v>
      </c>
      <c r="CF1058" s="11" t="n">
        <f>IF(ISNUMBER(BQ1058),BQ1058,"")</f>
        <v>1.3264167397065354</v>
      </c>
      <c r="CG1058" s="14" t="n">
        <f>IF(ISNUMBER(BU1058),BU1058,"")</f>
        <v>17</v>
      </c>
      <c r="CH1058" s="13" t="n">
        <f>IF(AND(COUNT(BV1058,CF1058,CG1058)=3,MIN(BV1058,CF1058,CG1058)&gt;=0),BV1058*CF1058*CG1058,"")</f>
        <v>0.32845083746824266</v>
      </c>
      <c r="CI1058" s="13" t="n">
        <f>IF(COUNT(BY1058,CB1058,CE1058,CH1058)=4,SUM(BY1058,CB1058,CE1058,CH1058),"")</f>
        <v>1.1413791949383874</v>
      </c>
    </row>
    <row r="1059" ht="72" customHeight="1">
      <c r="A1059" s="16" t="str">
        <v>B07-IV-P-38</v>
      </c>
      <c r="B1059" s="16" t="str">
        <v>4店-彬郁-US</v>
      </c>
      <c r="C1059" s="16" t="str">
        <v>艾年</v>
      </c>
      <c r="D1059" s="26" t="n">
        <f>IF(NOT(ISNUMBER(E1059)),"",IF(OR(E1059&lt;=0,L1059=0),0,IF(OR(NOT(ISNUMBER(F1059)),F1059&lt;0),"",MIN(E1059,INT(F1059)))))</f>
        <v>0</v>
      </c>
      <c r="E1059" s="27" t="n">
        <f>IF(OR(NOT(ISNUMBER(L1059)),COUNT(M1059:O1059)&lt;&gt;3,MIN(M1059:O1059)&lt;0),"",ROUNDUP(ROUND(BI1059-SUM(M1059:O1059),10),0))</f>
        <v>-15</v>
      </c>
      <c r="F1059" s="28" t="n">
        <v>0</v>
      </c>
      <c r="G1059" s="28" t="n">
        <f>IF(AND(ISNUMBER(D1059),ISNUMBER(E1059)),IF(OR(E1059&lt;=0,L1059=0),0,E1059-D1059),"")</f>
        <v>0</v>
      </c>
      <c r="H1059" s="16" t="str">
        <f>IF(NOT(ISNUMBER(E1059)),"销量或海外库存待补",IF(OR(E1059&lt;=0,L1059=0),IF(L1059=0,"零日销，本批不发","本批无需补货"),IF(NOT(ISNUMBER(D1059)),"国内库存待补",IF(D1059=0,"国内无可用库存",IF(G1059&gt;0,"先发国内现货","按建议量发货")))))</f>
        <v>本批无需补货</v>
      </c>
      <c r="I1059" s="28" t="n">
        <f>IF(AND(COUNT(Z1059,AA1059,AB1059)=3,Z1059&gt;=AA1059,AA1059&gt;=0,AB1059=7),Z1059-AA1059,"")</f>
        <v>0</v>
      </c>
      <c r="J1059" s="28" t="n">
        <f>IF(AND(COUNT(AF1059,AG1059,AH1059)=3,AF1059&gt;=AG1059,AG1059&gt;=0,AH1059=14),AF1059-AG1059,"")</f>
        <v>0</v>
      </c>
      <c r="K1059" s="28" t="n">
        <f>IF(AND(COUNT(AL1059,AM1059,AN1059)=3,AL1059&gt;=AM1059,AM1059&gt;=0,AN1059=30),AL1059-AM1059,"")</f>
        <v>1</v>
      </c>
      <c r="L1059" s="29" t="n">
        <f>IF(ISNUMBER(BI1059),BI1059/90,"")</f>
        <v>0.00986231842296462</v>
      </c>
      <c r="M1059" s="28" t="n">
        <v>1</v>
      </c>
      <c r="N1059" s="28" t="n">
        <v>0</v>
      </c>
      <c r="O1059" s="28" t="n">
        <v>14</v>
      </c>
      <c r="P1059" s="30" t="n">
        <f>IF(AND(ISNUMBER(L1059),L1059&gt;0,COUNT(M1059:O1059)=3,MIN(M1059:O1059)&gt;=0),SUM(M1059:O1059)/L1059,"")</f>
        <v>1520.9405493410331</v>
      </c>
      <c r="Q1059" s="16" t="str">
        <v>沿用原计划SKU店铺</v>
      </c>
      <c r="R1059" s="16" t="str">
        <v>已匹配</v>
      </c>
      <c r="S1059" s="16" t="str">
        <v>在售</v>
      </c>
      <c r="T1059" s="16" t="str">
        <v>B07</v>
      </c>
      <c r="U1059" s="16" t="str">
        <v>米白色PU</v>
      </c>
      <c r="V1059" s="16" t="n">
        <v>7</v>
      </c>
      <c r="W1059" s="8" t="str">
        <v>2026-10-11 至 2026-10-17</v>
      </c>
      <c r="X1059" s="8" t="str">
        <v>2026-10-11、2026-10-12、2026-10-13、2026-10-14、2026-10-15、2026-10-16、2026-10-17</v>
      </c>
      <c r="Y1059" s="8" t="str">
        <v>无</v>
      </c>
      <c r="Z1059" s="8" t="n">
        <v>0</v>
      </c>
      <c r="AA1059" s="8" t="n">
        <v>0</v>
      </c>
      <c r="AB1059" s="8" t="n">
        <v>7</v>
      </c>
      <c r="AC1059" s="8" t="str">
        <v>2026-10-02 至 2026-10-17</v>
      </c>
      <c r="AD1059" s="8" t="str">
        <v>2026-10-02、2026-10-03、2026-10-04、2026-10-05、2026-10-08、2026-10-09、2026-10-10、2026-10-11、2026-10-12、2026-10-13、2026-10-14、2026-10-15、2026-10-16、2026-10-17</v>
      </c>
      <c r="AE1059" s="8" t="str">
        <v>2026-10-06 大促；2026-10-07 大促</v>
      </c>
      <c r="AF1059" s="8" t="n">
        <v>0</v>
      </c>
      <c r="AG1059" s="8" t="n">
        <v>0</v>
      </c>
      <c r="AH1059" s="8" t="n">
        <v>14</v>
      </c>
      <c r="AI1059" s="8" t="str">
        <v>2026-09-16 至 2026-10-17</v>
      </c>
      <c r="AJ10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59" s="8" t="str">
        <v>2026-10-06 大促；2026-10-07 大促</v>
      </c>
      <c r="AL1059" s="8" t="n">
        <v>1</v>
      </c>
      <c r="AM1059" s="8" t="n">
        <v>0</v>
      </c>
      <c r="AN1059" s="8" t="n">
        <v>30</v>
      </c>
      <c r="AO1059" s="8" t="str">
        <v>B07 / 米白色PU / 13306</v>
      </c>
      <c r="AP1059" s="11" t="n">
        <v>0.7307750238224848</v>
      </c>
      <c r="AQ1059" s="11" t="n">
        <v>0.7307750238224848</v>
      </c>
      <c r="AR1059" s="11" t="n">
        <v>0.7449809054134506</v>
      </c>
      <c r="AS1059" s="11" t="n">
        <f>IF(AND(COUNT(I1059:K1059,AP1059:AR1059)=6,MIN(AP1059:AR1059)&gt;0),I1059/7/AP1059*0.5+J1059/14/AQ1059*0.3+K1059/30/AR1059*0.2,"")</f>
        <v>0.008948775221247839</v>
      </c>
      <c r="AT1059" s="8" t="n">
        <v>1</v>
      </c>
      <c r="AU1059" s="8" t="n">
        <v>0</v>
      </c>
      <c r="AV1059" s="8" t="n">
        <v>88</v>
      </c>
      <c r="AW1059" s="11" t="n">
        <f>IF(AND(COUNT(AT1059:AV1059)=3,AT1059&gt;=AU1059,AU1059&gt;=0,AV1059&gt;0),(AT1059-AU1059)/AV1059,"")</f>
        <v>0.011363636363636364</v>
      </c>
      <c r="AX1059" s="8" t="n">
        <v>8</v>
      </c>
      <c r="AY1059" s="8" t="n">
        <v>0</v>
      </c>
      <c r="AZ1059" s="8" t="n">
        <v>178</v>
      </c>
      <c r="BA1059" s="11" t="n">
        <f>IF(AND(COUNT(AX1059:AZ1059)=3,AX1059&gt;=AY1059,AY1059&gt;=0,AZ1059&gt;0),(AX1059-AY1059)/AZ1059,"")</f>
        <v>0.0449438202247191</v>
      </c>
      <c r="BB1059" s="8" t="n">
        <f>IF(COUNT(AS1059,AW1059,BA1059)=3,1,0)</f>
        <v>1</v>
      </c>
      <c r="BC1059" s="11" t="n">
        <f>IF(SUMIF($AO$11:$AO$1309,AO1059,$BB$11:$BB$1309)=COUNTIF($AO$11:$AO$1309,AO1059),SUMIF($AO$11:$AO$1309,AO1059,$AS$11:$AS$1309),"")</f>
        <v>0.313323126299849</v>
      </c>
      <c r="BD1059" s="11" t="n">
        <f>IF(SUMIF($AO$11:$AO$1309,AO1059,$BB$11:$BB$1309)=COUNTIF($AO$11:$AO$1309,AO1059),SUMIF($AO$11:$AO$1309,AO1059,$AW$11:$AW$1309),"")</f>
        <v>0.5132135306553911</v>
      </c>
      <c r="BE1059" s="11" t="n">
        <f>IF(SUMIF($AO$11:$AO$1309,AO1059,$BB$11:$BB$1309)=COUNTIF($AO$11:$AO$1309,AO1059),SUMIF($AO$11:$AO$1309,AO1059,$BA$11:$BA$1309),"")</f>
        <v>0.6528356194367431</v>
      </c>
      <c r="BF1059" s="12" t="n">
        <f>IF(COUNT(BD1059:BE1059)&lt;&gt;2,"",IF(AND(BD1059&gt;0,BE1059&gt;0),0.7*AW1059/BD1059+0.3*BA1059/BE1059,IF(BD1059&gt;0,AW1059/BD1059,IF(BE1059&gt;0,BA1059/BE1059,IF(AND(ISNUMBER(BH1059),BH1059=0),0,"")))))</f>
        <v>0.036152687291183885</v>
      </c>
      <c r="BG1059" s="11" t="n">
        <f>IF(AND(COUNT(BN1059:BU1059)=8,MIN(BN1059:BU1059)&gt;=0),SUMPRODUCT(BN1059:BQ1059,BR1059:BU1059),"")</f>
        <v>78.35892944347341</v>
      </c>
      <c r="BH1059" s="11" t="n">
        <f>IF(COUNT(BC1059,BG1059)=2,BC1059*BG1059,"")</f>
        <v>24.551664746738375</v>
      </c>
      <c r="BI1059" s="11" t="n">
        <f>IF(ISNUMBER(CI1059),CI1059,"")</f>
        <v>0.8876086580668159</v>
      </c>
      <c r="BJ1059" s="8" t="str"/>
      <c r="BK1059" s="8" t="str">
        <v>90天：2026-07-20 至 2026-10-17；180天：2026-04-21 至 2026-10-17</v>
      </c>
      <c r="BL1059" s="8" t="str">
        <v>90天：2026-10-06、2026-10-07；180天：2026-10-06、2026-10-07</v>
      </c>
      <c r="BM1059" s="8" t="str">
        <v>2026-10：12天 × 0.7307750238224848；2026-11：30天 × 0.9523018155490097；2026-12：31天 × 0.5958545198749097；2027-01：17天 × 1.3264167397065354</v>
      </c>
      <c r="BN1059" s="11" t="n">
        <v>0.7307750238224848</v>
      </c>
      <c r="BO1059" s="11" t="n">
        <v>0.9523018155490097</v>
      </c>
      <c r="BP1059" s="11" t="n">
        <v>0.5958545198749097</v>
      </c>
      <c r="BQ1059" s="11" t="n">
        <v>1.3264167397065354</v>
      </c>
      <c r="BR1059" s="8" t="n">
        <v>12</v>
      </c>
      <c r="BS1059" s="8" t="n">
        <v>30</v>
      </c>
      <c r="BT1059" s="8" t="n">
        <v>31</v>
      </c>
      <c r="BU1059" s="8" t="n">
        <v>17</v>
      </c>
      <c r="BV1059" s="11" t="n">
        <f>IF(COUNT(BC1059,BF1059)=2,BC1059*BF1059,"")</f>
        <v>0.011327473006214554</v>
      </c>
      <c r="BW1059" s="11" t="n">
        <f>IF(ISNUMBER(BN1059),BN1059,"")</f>
        <v>0.7307750238224848</v>
      </c>
      <c r="BX1059" s="14" t="n">
        <f>IF(ISNUMBER(BR1059),BR1059,"")</f>
        <v>12</v>
      </c>
      <c r="BY1059" s="13" t="n">
        <f>IF(AND(COUNT(BV1059,BW1059,BX1059)=3,MIN(BV1059,BW1059,BX1059)&gt;=0),BV1059*BW1059*BX1059,"")</f>
        <v>0.09933401227157994</v>
      </c>
      <c r="BZ1059" s="11" t="n">
        <f>IF(ISNUMBER(BO1059),BO1059,"")</f>
        <v>0.9523018155490097</v>
      </c>
      <c r="CA1059" s="14" t="n">
        <f>IF(ISNUMBER(BS1059),BS1059,"")</f>
        <v>30</v>
      </c>
      <c r="CB1059" s="13" t="n">
        <f>IF(AND(COUNT(BV1059,BZ1059,CA1059)=3,MIN(BV1059,BZ1059,CA1059)&gt;=0),BV1059*BZ1059*CA1059,"")</f>
        <v>0.32361519328201555</v>
      </c>
      <c r="CC1059" s="11" t="n">
        <f>IF(ISNUMBER(BP1059),BP1059,"")</f>
        <v>0.5958545198749097</v>
      </c>
      <c r="CD1059" s="14" t="n">
        <f>IF(ISNUMBER(BT1059),BT1059,"")</f>
        <v>31</v>
      </c>
      <c r="CE1059" s="13" t="n">
        <f>IF(AND(COUNT(BV1059,CC1059,CD1059)=3,MIN(BV1059,CC1059,CD1059)&gt;=0),BV1059*CC1059*CD1059,"")</f>
        <v>0.20923530567493315</v>
      </c>
      <c r="CF1059" s="11" t="n">
        <f>IF(ISNUMBER(BQ1059),BQ1059,"")</f>
        <v>1.3264167397065354</v>
      </c>
      <c r="CG1059" s="14" t="n">
        <f>IF(ISNUMBER(BU1059),BU1059,"")</f>
        <v>17</v>
      </c>
      <c r="CH1059" s="13" t="n">
        <f>IF(AND(COUNT(BV1059,CF1059,CG1059)=3,MIN(BV1059,CF1059,CG1059)&gt;=0),BV1059*CF1059*CG1059,"")</f>
        <v>0.25542414683828724</v>
      </c>
      <c r="CI1059" s="13" t="n">
        <f>IF(COUNT(BY1059,CB1059,CE1059,CH1059)=4,SUM(BY1059,CB1059,CE1059,CH1059),"")</f>
        <v>0.8876086580668159</v>
      </c>
    </row>
    <row r="1060" ht="72" customHeight="1">
      <c r="A1060" s="16" t="str">
        <v>B07-IV-P-39</v>
      </c>
      <c r="B1060" s="16" t="str">
        <v>4店-彬郁-US</v>
      </c>
      <c r="C1060" s="16" t="str">
        <v>艾年</v>
      </c>
      <c r="D1060" s="26" t="n">
        <f>IF(NOT(ISNUMBER(E1060)),"",IF(OR(E1060&lt;=0,L1060=0),0,IF(OR(NOT(ISNUMBER(F1060)),F1060&lt;0),"",MIN(E1060,INT(F1060)))))</f>
        <v>0</v>
      </c>
      <c r="E1060" s="27" t="n">
        <f>IF(OR(NOT(ISNUMBER(L1060)),COUNT(M1060:O1060)&lt;&gt;3,MIN(M1060:O1060)&lt;0),"",ROUNDUP(ROUND(BI1060-SUM(M1060:O1060),10),0))</f>
        <v>-12</v>
      </c>
      <c r="F1060" s="28" t="n">
        <v>11</v>
      </c>
      <c r="G1060" s="28" t="n">
        <f>IF(AND(ISNUMBER(D1060),ISNUMBER(E1060)),IF(OR(E1060&lt;=0,L1060=0),0,E1060-D1060),"")</f>
        <v>0</v>
      </c>
      <c r="H1060" s="16" t="str">
        <f>IF(NOT(ISNUMBER(E1060)),"销量或海外库存待补",IF(OR(E1060&lt;=0,L1060=0),IF(L1060=0,"零日销，本批不发","本批无需补货"),IF(NOT(ISNUMBER(D1060)),"国内库存待补",IF(D1060=0,"国内无可用库存",IF(G1060&gt;0,"先发国内现货","按建议量发货")))))</f>
        <v>本批无需补货</v>
      </c>
      <c r="I1060" s="28" t="n">
        <f>IF(AND(COUNT(Z1060,AA1060,AB1060)=3,Z1060&gt;=AA1060,AA1060&gt;=0,AB1060=7),Z1060-AA1060,"")</f>
        <v>0</v>
      </c>
      <c r="J1060" s="28" t="n">
        <f>IF(AND(COUNT(AF1060,AG1060,AH1060)=3,AF1060&gt;=AG1060,AG1060&gt;=0,AH1060=14),AF1060-AG1060,"")</f>
        <v>0</v>
      </c>
      <c r="K1060" s="28" t="n">
        <f>IF(AND(COUNT(AL1060,AM1060,AN1060)=3,AL1060&gt;=AM1060,AM1060&gt;=0,AN1060=30),AL1060-AM1060,"")</f>
        <v>2</v>
      </c>
      <c r="L1060" s="29" t="n">
        <f>IF(ISNUMBER(BI1060),BI1060/90,"")</f>
        <v>0.04649976242936589</v>
      </c>
      <c r="M1060" s="28" t="n">
        <v>16</v>
      </c>
      <c r="N1060" s="28" t="n">
        <v>0</v>
      </c>
      <c r="O1060" s="28" t="n">
        <v>0</v>
      </c>
      <c r="P1060" s="30" t="n">
        <f>IF(AND(ISNUMBER(L1060),L1060&gt;0,COUNT(M1060:O1060)=3,MIN(M1060:O1060)&gt;=0),SUM(M1060:O1060)/L1060,"")</f>
        <v>344.0877794656335</v>
      </c>
      <c r="Q1060" s="16" t="str">
        <v>沿用原计划SKU店铺</v>
      </c>
      <c r="R1060" s="16" t="str">
        <v>已匹配</v>
      </c>
      <c r="S1060" s="16" t="str">
        <v>在售</v>
      </c>
      <c r="T1060" s="16" t="str">
        <v>B07</v>
      </c>
      <c r="U1060" s="16" t="str">
        <v>米白色PU</v>
      </c>
      <c r="V1060" s="16" t="n">
        <v>8</v>
      </c>
      <c r="W1060" s="8" t="str">
        <v>2026-10-11 至 2026-10-17</v>
      </c>
      <c r="X1060" s="8" t="str">
        <v>2026-10-11、2026-10-12、2026-10-13、2026-10-14、2026-10-15、2026-10-16、2026-10-17</v>
      </c>
      <c r="Y1060" s="8" t="str">
        <v>无</v>
      </c>
      <c r="Z1060" s="8" t="n">
        <v>0</v>
      </c>
      <c r="AA1060" s="8" t="n">
        <v>0</v>
      </c>
      <c r="AB1060" s="8" t="n">
        <v>7</v>
      </c>
      <c r="AC1060" s="8" t="str">
        <v>2026-10-02 至 2026-10-17</v>
      </c>
      <c r="AD1060" s="8" t="str">
        <v>2026-10-02、2026-10-03、2026-10-04、2026-10-05、2026-10-08、2026-10-09、2026-10-10、2026-10-11、2026-10-12、2026-10-13、2026-10-14、2026-10-15、2026-10-16、2026-10-17</v>
      </c>
      <c r="AE1060" s="8" t="str">
        <v>2026-10-06 大促；2026-10-07 大促</v>
      </c>
      <c r="AF1060" s="8" t="n">
        <v>2</v>
      </c>
      <c r="AG1060" s="8" t="n">
        <v>2</v>
      </c>
      <c r="AH1060" s="8" t="n">
        <v>14</v>
      </c>
      <c r="AI1060" s="8" t="str">
        <v>2026-09-16 至 2026-10-17</v>
      </c>
      <c r="AJ10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0" s="8" t="str">
        <v>2026-10-06 大促；2026-10-07 大促</v>
      </c>
      <c r="AL1060" s="8" t="n">
        <v>4</v>
      </c>
      <c r="AM1060" s="8" t="n">
        <v>2</v>
      </c>
      <c r="AN1060" s="8" t="n">
        <v>30</v>
      </c>
      <c r="AO1060" s="8" t="str">
        <v>B07 / 米白色PU / 13306</v>
      </c>
      <c r="AP1060" s="11" t="n">
        <v>0.7307750238224848</v>
      </c>
      <c r="AQ1060" s="11" t="n">
        <v>0.7307750238224848</v>
      </c>
      <c r="AR1060" s="11" t="n">
        <v>0.7449809054134506</v>
      </c>
      <c r="AS1060" s="11" t="n">
        <f>IF(AND(COUNT(I1060:K1060,AP1060:AR1060)=6,MIN(AP1060:AR1060)&gt;0),I1060/7/AP1060*0.5+J1060/14/AQ1060*0.3+K1060/30/AR1060*0.2,"")</f>
        <v>0.017897550442495677</v>
      </c>
      <c r="AT1060" s="8" t="n">
        <v>9</v>
      </c>
      <c r="AU1060" s="8" t="n">
        <v>2</v>
      </c>
      <c r="AV1060" s="8" t="n">
        <v>88</v>
      </c>
      <c r="AW1060" s="11" t="n">
        <f>IF(AND(COUNT(AT1060:AV1060)=3,AT1060&gt;=AU1060,AU1060&gt;=0,AV1060&gt;0),(AT1060-AU1060)/AV1060,"")</f>
        <v>0.07954545454545454</v>
      </c>
      <c r="AX1060" s="8" t="n">
        <v>26</v>
      </c>
      <c r="AY1060" s="8" t="n">
        <v>2</v>
      </c>
      <c r="AZ1060" s="8" t="n">
        <v>178</v>
      </c>
      <c r="BA1060" s="11" t="n">
        <f>IF(AND(COUNT(AX1060:AZ1060)=3,AX1060&gt;=AY1060,AY1060&gt;=0,AZ1060&gt;0),(AX1060-AY1060)/AZ1060,"")</f>
        <v>0.1348314606741573</v>
      </c>
      <c r="BB1060" s="8" t="n">
        <f>IF(COUNT(AS1060,AW1060,BA1060)=3,1,0)</f>
        <v>1</v>
      </c>
      <c r="BC1060" s="11" t="n">
        <f>IF(SUMIF($AO$11:$AO$1309,AO1060,$BB$11:$BB$1309)=COUNTIF($AO$11:$AO$1309,AO1060),SUMIF($AO$11:$AO$1309,AO1060,$AS$11:$AS$1309),"")</f>
        <v>0.313323126299849</v>
      </c>
      <c r="BD1060" s="11" t="n">
        <f>IF(SUMIF($AO$11:$AO$1309,AO1060,$BB$11:$BB$1309)=COUNTIF($AO$11:$AO$1309,AO1060),SUMIF($AO$11:$AO$1309,AO1060,$AW$11:$AW$1309),"")</f>
        <v>0.5132135306553911</v>
      </c>
      <c r="BE1060" s="11" t="n">
        <f>IF(SUMIF($AO$11:$AO$1309,AO1060,$BB$11:$BB$1309)=COUNTIF($AO$11:$AO$1309,AO1060),SUMIF($AO$11:$AO$1309,AO1060,$BA$11:$BA$1309),"")</f>
        <v>0.6528356194367431</v>
      </c>
      <c r="BF1060" s="12" t="n">
        <f>IF(COUNT(BD1060:BE1060)&lt;&gt;2,"",IF(AND(BD1060&gt;0,BE1060&gt;0),0.7*AW1060/BD1060+0.3*BA1060/BE1060,IF(BD1060&gt;0,AW1060/BD1060,IF(BE1060&gt;0,BA1060/BE1060,IF(AND(ISNUMBER(BH1060),BH1060=0),0,"")))))</f>
        <v>0.17045600214131684</v>
      </c>
      <c r="BG1060" s="11" t="n">
        <f>IF(AND(COUNT(BN1060:BU1060)=8,MIN(BN1060:BU1060)&gt;=0),SUMPRODUCT(BN1060:BQ1060,BR1060:BU1060),"")</f>
        <v>78.35892944347341</v>
      </c>
      <c r="BH1060" s="11" t="n">
        <f>IF(COUNT(BC1060,BG1060)=2,BC1060*BG1060,"")</f>
        <v>24.551664746738375</v>
      </c>
      <c r="BI1060" s="11" t="n">
        <f>IF(ISNUMBER(CI1060),CI1060,"")</f>
        <v>4.18497861864293</v>
      </c>
      <c r="BJ1060" s="8" t="str"/>
      <c r="BK1060" s="8" t="str">
        <v>90天：2026-07-20 至 2026-10-17；180天：2026-04-21 至 2026-10-17</v>
      </c>
      <c r="BL1060" s="8" t="str">
        <v>90天：2026-10-06、2026-10-07；180天：2026-10-06、2026-10-07</v>
      </c>
      <c r="BM1060" s="8" t="str">
        <v>2026-10：12天 × 0.7307750238224848；2026-11：30天 × 0.9523018155490097；2026-12：31天 × 0.5958545198749097；2027-01：17天 × 1.3264167397065354</v>
      </c>
      <c r="BN1060" s="11" t="n">
        <v>0.7307750238224848</v>
      </c>
      <c r="BO1060" s="11" t="n">
        <v>0.9523018155490097</v>
      </c>
      <c r="BP1060" s="11" t="n">
        <v>0.5958545198749097</v>
      </c>
      <c r="BQ1060" s="11" t="n">
        <v>1.3264167397065354</v>
      </c>
      <c r="BR1060" s="8" t="n">
        <v>12</v>
      </c>
      <c r="BS1060" s="8" t="n">
        <v>30</v>
      </c>
      <c r="BT1060" s="8" t="n">
        <v>31</v>
      </c>
      <c r="BU1060" s="8" t="n">
        <v>17</v>
      </c>
      <c r="BV1060" s="11" t="n">
        <f>IF(COUNT(BC1060,BF1060)=2,BC1060*BF1060,"")</f>
        <v>0.053407807487491146</v>
      </c>
      <c r="BW1060" s="11" t="n">
        <f>IF(ISNUMBER(BN1060),BN1060,"")</f>
        <v>0.7307750238224848</v>
      </c>
      <c r="BX1060" s="14" t="n">
        <f>IF(ISNUMBER(BR1060),BR1060,"")</f>
        <v>12</v>
      </c>
      <c r="BY1060" s="13" t="n">
        <f>IF(AND(COUNT(BV1060,BW1060,BX1060)=3,MIN(BV1060,BW1060,BX1060)&gt;=0),BV1060*BW1060*BX1060,"")</f>
        <v>0.4683491014677363</v>
      </c>
      <c r="BZ1060" s="11" t="n">
        <f>IF(ISNUMBER(BO1060),BO1060,"")</f>
        <v>0.9523018155490097</v>
      </c>
      <c r="CA1060" s="14" t="n">
        <f>IF(ISNUMBER(BS1060),BS1060,"")</f>
        <v>30</v>
      </c>
      <c r="CB1060" s="13" t="n">
        <f>IF(AND(COUNT(BV1060,BZ1060,CA1060)=3,MIN(BV1060,BZ1060,CA1060)&gt;=0),BV1060*BZ1060*CA1060,"")</f>
        <v>1.5258105610448944</v>
      </c>
      <c r="CC1060" s="11" t="n">
        <f>IF(ISNUMBER(BP1060),BP1060,"")</f>
        <v>0.5958545198749097</v>
      </c>
      <c r="CD1060" s="14" t="n">
        <f>IF(ISNUMBER(BT1060),BT1060,"")</f>
        <v>31</v>
      </c>
      <c r="CE1060" s="13" t="n">
        <f>IF(AND(COUNT(BV1060,CC1060,CD1060)=3,MIN(BV1060,CC1060,CD1060)&gt;=0),BV1060*CC1060*CD1060,"")</f>
        <v>0.98652178812895</v>
      </c>
      <c r="CF1060" s="11" t="n">
        <f>IF(ISNUMBER(BQ1060),BQ1060,"")</f>
        <v>1.3264167397065354</v>
      </c>
      <c r="CG1060" s="14" t="n">
        <f>IF(ISNUMBER(BU1060),BU1060,"")</f>
        <v>17</v>
      </c>
      <c r="CH1060" s="13" t="n">
        <f>IF(AND(COUNT(BV1060,CF1060,CG1060)=3,MIN(BV1060,CF1060,CG1060)&gt;=0),BV1060*CF1060*CG1060,"")</f>
        <v>1.204297168001349</v>
      </c>
      <c r="CI1060" s="13" t="n">
        <f>IF(COUNT(BY1060,CB1060,CE1060,CH1060)=4,SUM(BY1060,CB1060,CE1060,CH1060),"")</f>
        <v>4.18497861864293</v>
      </c>
    </row>
    <row r="1061" ht="72" customHeight="1">
      <c r="A1061" s="16" t="str">
        <v>B07-IV-P-39.5</v>
      </c>
      <c r="B1061" s="16" t="str">
        <v>4店-彬郁-US</v>
      </c>
      <c r="C1061" s="16" t="str">
        <v>艾年</v>
      </c>
      <c r="D1061" s="26" t="n">
        <f>IF(NOT(ISNUMBER(E1061)),"",IF(OR(E1061&lt;=0,L1061=0),0,IF(OR(NOT(ISNUMBER(F1061)),F1061&lt;0),"",MIN(E1061,INT(F1061)))))</f>
        <v>0</v>
      </c>
      <c r="E1061" s="27" t="n">
        <f>IF(OR(NOT(ISNUMBER(L1061)),COUNT(M1061:O1061)&lt;&gt;3,MIN(M1061:O1061)&lt;0),"",ROUNDUP(ROUND(BI1061-SUM(M1061:O1061),10),0))</f>
        <v>-18</v>
      </c>
      <c r="F1061" s="28" t="n">
        <v>0</v>
      </c>
      <c r="G1061" s="28" t="n">
        <f>IF(AND(ISNUMBER(D1061),ISNUMBER(E1061)),IF(OR(E1061&lt;=0,L1061=0),0,E1061-D1061),"")</f>
        <v>0</v>
      </c>
      <c r="H1061" s="16" t="str">
        <f>IF(NOT(ISNUMBER(E1061)),"销量或海外库存待补",IF(OR(E1061&lt;=0,L1061=0),IF(L1061=0,"零日销，本批不发","本批无需补货"),IF(NOT(ISNUMBER(D1061)),"国内库存待补",IF(D1061=0,"国内无可用库存",IF(G1061&gt;0,"先发国内现货","按建议量发货")))))</f>
        <v>本批无需补货</v>
      </c>
      <c r="I1061" s="28" t="n">
        <f>IF(AND(COUNT(Z1061,AA1061,AB1061)=3,Z1061&gt;=AA1061,AA1061&gt;=0,AB1061=7),Z1061-AA1061,"")</f>
        <v>0</v>
      </c>
      <c r="J1061" s="28" t="n">
        <f>IF(AND(COUNT(AF1061,AG1061,AH1061)=3,AF1061&gt;=AG1061,AG1061&gt;=0,AH1061=14),AF1061-AG1061,"")</f>
        <v>1</v>
      </c>
      <c r="K1061" s="28" t="n">
        <f>IF(AND(COUNT(AL1061,AM1061,AN1061)=3,AL1061&gt;=AM1061,AM1061&gt;=0,AN1061=30),AL1061-AM1061,"")</f>
        <v>2</v>
      </c>
      <c r="L1061" s="29" t="n">
        <f>IF(ISNUMBER(BI1061),BI1061/90,"")</f>
        <v>0.05566043058870773</v>
      </c>
      <c r="M1061" s="28" t="n">
        <v>23</v>
      </c>
      <c r="N1061" s="28" t="n">
        <v>0</v>
      </c>
      <c r="O1061" s="28" t="n">
        <v>0</v>
      </c>
      <c r="P1061" s="30" t="n">
        <f>IF(AND(ISNUMBER(L1061),L1061&gt;0,COUNT(M1061:O1061)=3,MIN(M1061:O1061)&gt;=0),SUM(M1061:O1061)/L1061,"")</f>
        <v>413.21994380449854</v>
      </c>
      <c r="Q1061" s="16" t="str">
        <v>沿用原计划SKU店铺</v>
      </c>
      <c r="R1061" s="16" t="str">
        <v>已匹配</v>
      </c>
      <c r="S1061" s="16" t="str">
        <v>在售</v>
      </c>
      <c r="T1061" s="16" t="str">
        <v>B07</v>
      </c>
      <c r="U1061" s="16" t="str">
        <v>米白色PU</v>
      </c>
      <c r="V1061" s="16" t="n">
        <v>8.5</v>
      </c>
      <c r="W1061" s="8" t="str">
        <v>2026-10-11 至 2026-10-17</v>
      </c>
      <c r="X1061" s="8" t="str">
        <v>2026-10-11、2026-10-12、2026-10-13、2026-10-14、2026-10-15、2026-10-16、2026-10-17</v>
      </c>
      <c r="Y1061" s="8" t="str">
        <v>无</v>
      </c>
      <c r="Z1061" s="8" t="n">
        <v>0</v>
      </c>
      <c r="AA1061" s="8" t="n">
        <v>0</v>
      </c>
      <c r="AB1061" s="8" t="n">
        <v>7</v>
      </c>
      <c r="AC1061" s="8" t="str">
        <v>2026-10-02 至 2026-10-17</v>
      </c>
      <c r="AD1061" s="8" t="str">
        <v>2026-10-02、2026-10-03、2026-10-04、2026-10-05、2026-10-08、2026-10-09、2026-10-10、2026-10-11、2026-10-12、2026-10-13、2026-10-14、2026-10-15、2026-10-16、2026-10-17</v>
      </c>
      <c r="AE1061" s="8" t="str">
        <v>2026-10-06 大促；2026-10-07 大促</v>
      </c>
      <c r="AF1061" s="8" t="n">
        <v>1</v>
      </c>
      <c r="AG1061" s="8" t="n">
        <v>0</v>
      </c>
      <c r="AH1061" s="8" t="n">
        <v>14</v>
      </c>
      <c r="AI1061" s="8" t="str">
        <v>2026-09-16 至 2026-10-17</v>
      </c>
      <c r="AJ10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1" s="8" t="str">
        <v>2026-10-06 大促；2026-10-07 大促</v>
      </c>
      <c r="AL1061" s="8" t="n">
        <v>2</v>
      </c>
      <c r="AM1061" s="8" t="n">
        <v>0</v>
      </c>
      <c r="AN1061" s="8" t="n">
        <v>30</v>
      </c>
      <c r="AO1061" s="8" t="str">
        <v>B07 / 米白色PU / 13306</v>
      </c>
      <c r="AP1061" s="11" t="n">
        <v>0.7307750238224848</v>
      </c>
      <c r="AQ1061" s="11" t="n">
        <v>0.7307750238224848</v>
      </c>
      <c r="AR1061" s="11" t="n">
        <v>0.7449809054134506</v>
      </c>
      <c r="AS1061" s="11" t="n">
        <f>IF(AND(COUNT(I1061:K1061,AP1061:AR1061)=6,MIN(AP1061:AR1061)&gt;0),I1061/7/AP1061*0.5+J1061/14/AQ1061*0.3+K1061/30/AR1061*0.2,"")</f>
        <v>0.04722062625929688</v>
      </c>
      <c r="AT1061" s="8" t="n">
        <v>9</v>
      </c>
      <c r="AU1061" s="8" t="n">
        <v>0</v>
      </c>
      <c r="AV1061" s="8" t="n">
        <v>88</v>
      </c>
      <c r="AW1061" s="11" t="n">
        <f>IF(AND(COUNT(AT1061:AV1061)=3,AT1061&gt;=AU1061,AU1061&gt;=0,AV1061&gt;0),(AT1061-AU1061)/AV1061,"")</f>
        <v>0.10227272727272728</v>
      </c>
      <c r="AX1061" s="8" t="n">
        <v>25</v>
      </c>
      <c r="AY1061" s="8" t="n">
        <v>0</v>
      </c>
      <c r="AZ1061" s="8" t="n">
        <v>178</v>
      </c>
      <c r="BA1061" s="11" t="n">
        <f>IF(AND(COUNT(AX1061:AZ1061)=3,AX1061&gt;=AY1061,AY1061&gt;=0,AZ1061&gt;0),(AX1061-AY1061)/AZ1061,"")</f>
        <v>0.1404494382022472</v>
      </c>
      <c r="BB1061" s="8" t="n">
        <f>IF(COUNT(AS1061,AW1061,BA1061)=3,1,0)</f>
        <v>1</v>
      </c>
      <c r="BC1061" s="11" t="n">
        <f>IF(SUMIF($AO$11:$AO$1309,AO1061,$BB$11:$BB$1309)=COUNTIF($AO$11:$AO$1309,AO1061),SUMIF($AO$11:$AO$1309,AO1061,$AS$11:$AS$1309),"")</f>
        <v>0.313323126299849</v>
      </c>
      <c r="BD1061" s="11" t="n">
        <f>IF(SUMIF($AO$11:$AO$1309,AO1061,$BB$11:$BB$1309)=COUNTIF($AO$11:$AO$1309,AO1061),SUMIF($AO$11:$AO$1309,AO1061,$AW$11:$AW$1309),"")</f>
        <v>0.5132135306553911</v>
      </c>
      <c r="BE1061" s="11" t="n">
        <f>IF(SUMIF($AO$11:$AO$1309,AO1061,$BB$11:$BB$1309)=COUNTIF($AO$11:$AO$1309,AO1061),SUMIF($AO$11:$AO$1309,AO1061,$BA$11:$BA$1309),"")</f>
        <v>0.6528356194367431</v>
      </c>
      <c r="BF1061" s="12" t="n">
        <f>IF(COUNT(BD1061:BE1061)&lt;&gt;2,"",IF(AND(BD1061&gt;0,BE1061&gt;0),0.7*AW1061/BD1061+0.3*BA1061/BE1061,IF(BD1061&gt;0,AW1061/BD1061,IF(BE1061&gt;0,BA1061/BE1061,IF(AND(ISNUMBER(BH1061),BH1061=0),0,"")))))</f>
        <v>0.2040366225532298</v>
      </c>
      <c r="BG1061" s="11" t="n">
        <f>IF(AND(COUNT(BN1061:BU1061)=8,MIN(BN1061:BU1061)&gt;=0),SUMPRODUCT(BN1061:BQ1061,BR1061:BU1061),"")</f>
        <v>78.35892944347341</v>
      </c>
      <c r="BH1061" s="11" t="n">
        <f>IF(COUNT(BC1061,BG1061)=2,BC1061*BG1061,"")</f>
        <v>24.551664746738375</v>
      </c>
      <c r="BI1061" s="11" t="n">
        <f>IF(ISNUMBER(CI1061),CI1061,"")</f>
        <v>5.009438752983696</v>
      </c>
      <c r="BJ1061" s="8" t="str"/>
      <c r="BK1061" s="8" t="str">
        <v>90天：2026-07-20 至 2026-10-17；180天：2026-04-21 至 2026-10-17</v>
      </c>
      <c r="BL1061" s="8" t="str">
        <v>90天：2026-10-06、2026-10-07；180天：2026-10-06、2026-10-07</v>
      </c>
      <c r="BM1061" s="8" t="str">
        <v>2026-10：12天 × 0.7307750238224848；2026-11：30天 × 0.9523018155490097；2026-12：31天 × 0.5958545198749097；2027-01：17天 × 1.3264167397065354</v>
      </c>
      <c r="BN1061" s="11" t="n">
        <v>0.7307750238224848</v>
      </c>
      <c r="BO1061" s="11" t="n">
        <v>0.9523018155490097</v>
      </c>
      <c r="BP1061" s="11" t="n">
        <v>0.5958545198749097</v>
      </c>
      <c r="BQ1061" s="11" t="n">
        <v>1.3264167397065354</v>
      </c>
      <c r="BR1061" s="8" t="n">
        <v>12</v>
      </c>
      <c r="BS1061" s="8" t="n">
        <v>30</v>
      </c>
      <c r="BT1061" s="8" t="n">
        <v>31</v>
      </c>
      <c r="BU1061" s="8" t="n">
        <v>17</v>
      </c>
      <c r="BV1061" s="11" t="n">
        <f>IF(COUNT(BC1061,BF1061)=2,BC1061*BF1061,"")</f>
        <v>0.06392939245804023</v>
      </c>
      <c r="BW1061" s="11" t="n">
        <f>IF(ISNUMBER(BN1061),BN1061,"")</f>
        <v>0.7307750238224848</v>
      </c>
      <c r="BX1061" s="14" t="n">
        <f>IF(ISNUMBER(BR1061),BR1061,"")</f>
        <v>12</v>
      </c>
      <c r="BY1061" s="13" t="n">
        <f>IF(AND(COUNT(BV1061,BW1061,BX1061)=3,MIN(BV1061,BW1061,BX1061)&gt;=0),BV1061*BW1061*BX1061,"")</f>
        <v>0.560616039557776</v>
      </c>
      <c r="BZ1061" s="11" t="n">
        <f>IF(ISNUMBER(BO1061),BO1061,"")</f>
        <v>0.9523018155490097</v>
      </c>
      <c r="CA1061" s="14" t="n">
        <f>IF(ISNUMBER(BS1061),BS1061,"")</f>
        <v>30</v>
      </c>
      <c r="CB1061" s="13" t="n">
        <f>IF(AND(COUNT(BV1061,BZ1061,CA1061)=3,MIN(BV1061,BZ1061,CA1061)&gt;=0),BV1061*BZ1061*CA1061,"")</f>
        <v>1.8264022951421064</v>
      </c>
      <c r="CC1061" s="11" t="n">
        <f>IF(ISNUMBER(BP1061),BP1061,"")</f>
        <v>0.5958545198749097</v>
      </c>
      <c r="CD1061" s="14" t="n">
        <f>IF(ISNUMBER(BT1061),BT1061,"")</f>
        <v>31</v>
      </c>
      <c r="CE1061" s="13" t="n">
        <f>IF(AND(COUNT(BV1061,CC1061,CD1061)=3,MIN(BV1061,CC1061,CD1061)&gt;=0),BV1061*CC1061*CD1061,"")</f>
        <v>1.1808711409183874</v>
      </c>
      <c r="CF1061" s="11" t="n">
        <f>IF(ISNUMBER(BQ1061),BQ1061,"")</f>
        <v>1.3264167397065354</v>
      </c>
      <c r="CG1061" s="14" t="n">
        <f>IF(ISNUMBER(BU1061),BU1061,"")</f>
        <v>17</v>
      </c>
      <c r="CH1061" s="13" t="n">
        <f>IF(AND(COUNT(BV1061,CF1061,CG1061)=3,MIN(BV1061,CF1061,CG1061)&gt;=0),BV1061*CF1061*CG1061,"")</f>
        <v>1.4415492773654262</v>
      </c>
      <c r="CI1061" s="13" t="n">
        <f>IF(COUNT(BY1061,CB1061,CE1061,CH1061)=4,SUM(BY1061,CB1061,CE1061,CH1061),"")</f>
        <v>5.009438752983696</v>
      </c>
    </row>
    <row r="1062" ht="72" customHeight="1">
      <c r="A1062" s="16" t="str">
        <v>B07-IV-P-40.5</v>
      </c>
      <c r="B1062" s="16" t="str">
        <v>4店-彬郁-US</v>
      </c>
      <c r="C1062" s="16" t="str">
        <v>艾年</v>
      </c>
      <c r="D1062" s="26" t="n">
        <f>IF(NOT(ISNUMBER(E1062)),"",IF(OR(E1062&lt;=0,L1062=0),0,IF(OR(NOT(ISNUMBER(F1062)),F1062&lt;0),"",MIN(E1062,INT(F1062)))))</f>
        <v>0</v>
      </c>
      <c r="E1062" s="27" t="n">
        <f>IF(OR(NOT(ISNUMBER(L1062)),COUNT(M1062:O1062)&lt;&gt;3,MIN(M1062:O1062)&lt;0),"",ROUNDUP(ROUND(BI1062-SUM(M1062:O1062),10),0))</f>
        <v>-34</v>
      </c>
      <c r="F1062" s="28" t="n">
        <v>0</v>
      </c>
      <c r="G1062" s="28" t="n">
        <f>IF(AND(ISNUMBER(D1062),ISNUMBER(E1062)),IF(OR(E1062&lt;=0,L1062=0),0,E1062-D1062),"")</f>
        <v>0</v>
      </c>
      <c r="H1062" s="16" t="str">
        <f>IF(NOT(ISNUMBER(E1062)),"销量或海外库存待补",IF(OR(E1062&lt;=0,L1062=0),IF(L1062=0,"零日销，本批不发","本批无需补货"),IF(NOT(ISNUMBER(D1062)),"国内库存待补",IF(D1062=0,"国内无可用库存",IF(G1062&gt;0,"先发国内现货","按建议量发货")))))</f>
        <v>本批无需补货</v>
      </c>
      <c r="I1062" s="28" t="n">
        <f>IF(AND(COUNT(Z1062,AA1062,AB1062)=3,Z1062&gt;=AA1062,AA1062&gt;=0,AB1062=7),Z1062-AA1062,"")</f>
        <v>1</v>
      </c>
      <c r="J1062" s="28" t="n">
        <f>IF(AND(COUNT(AF1062,AG1062,AH1062)=3,AF1062&gt;=AG1062,AG1062&gt;=0,AH1062=14),AF1062-AG1062,"")</f>
        <v>1</v>
      </c>
      <c r="K1062" s="28" t="n">
        <f>IF(AND(COUNT(AL1062,AM1062,AN1062)=3,AL1062&gt;=AM1062,AM1062&gt;=0,AN1062=30),AL1062-AM1062,"")</f>
        <v>2</v>
      </c>
      <c r="L1062" s="29" t="n">
        <f>IF(ISNUMBER(BI1062),BI1062/90,"")</f>
        <v>0.03593579374277848</v>
      </c>
      <c r="M1062" s="28" t="n">
        <v>37</v>
      </c>
      <c r="N1062" s="28" t="n">
        <v>0</v>
      </c>
      <c r="O1062" s="28" t="n">
        <v>0</v>
      </c>
      <c r="P1062" s="30" t="n">
        <f>IF(AND(ISNUMBER(L1062),L1062&gt;0,COUNT(M1062:O1062)=3,MIN(M1062:O1062)&gt;=0),SUM(M1062:O1062)/L1062,"")</f>
        <v>1029.6141018851263</v>
      </c>
      <c r="Q1062" s="16" t="str">
        <v>沿用原计划SKU店铺</v>
      </c>
      <c r="R1062" s="16" t="str">
        <v>已匹配</v>
      </c>
      <c r="S1062" s="16" t="str">
        <v>在售</v>
      </c>
      <c r="T1062" s="16" t="str">
        <v>B07</v>
      </c>
      <c r="U1062" s="16" t="str">
        <v>米白色PU</v>
      </c>
      <c r="V1062" s="16" t="n">
        <v>9.5</v>
      </c>
      <c r="W1062" s="8" t="str">
        <v>2026-10-11 至 2026-10-17</v>
      </c>
      <c r="X1062" s="8" t="str">
        <v>2026-10-11、2026-10-12、2026-10-13、2026-10-14、2026-10-15、2026-10-16、2026-10-17</v>
      </c>
      <c r="Y1062" s="8" t="str">
        <v>无</v>
      </c>
      <c r="Z1062" s="8" t="n">
        <v>1</v>
      </c>
      <c r="AA1062" s="8" t="n">
        <v>0</v>
      </c>
      <c r="AB1062" s="8" t="n">
        <v>7</v>
      </c>
      <c r="AC1062" s="8" t="str">
        <v>2026-10-02 至 2026-10-17</v>
      </c>
      <c r="AD1062" s="8" t="str">
        <v>2026-10-02、2026-10-03、2026-10-04、2026-10-05、2026-10-08、2026-10-09、2026-10-10、2026-10-11、2026-10-12、2026-10-13、2026-10-14、2026-10-15、2026-10-16、2026-10-17</v>
      </c>
      <c r="AE1062" s="8" t="str">
        <v>2026-10-06 大促；2026-10-07 大促</v>
      </c>
      <c r="AF1062" s="8" t="n">
        <v>1</v>
      </c>
      <c r="AG1062" s="8" t="n">
        <v>0</v>
      </c>
      <c r="AH1062" s="8" t="n">
        <v>14</v>
      </c>
      <c r="AI1062" s="8" t="str">
        <v>2026-09-16 至 2026-10-17</v>
      </c>
      <c r="AJ10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2" s="8" t="str">
        <v>2026-10-06 大促；2026-10-07 大促</v>
      </c>
      <c r="AL1062" s="8" t="n">
        <v>2</v>
      </c>
      <c r="AM1062" s="8" t="n">
        <v>0</v>
      </c>
      <c r="AN1062" s="8" t="n">
        <v>30</v>
      </c>
      <c r="AO1062" s="8" t="str">
        <v>B07 / 米白色PU / 13306</v>
      </c>
      <c r="AP1062" s="11" t="n">
        <v>0.7307750238224848</v>
      </c>
      <c r="AQ1062" s="11" t="n">
        <v>0.7307750238224848</v>
      </c>
      <c r="AR1062" s="11" t="n">
        <v>0.7449809054134506</v>
      </c>
      <c r="AS1062" s="11" t="n">
        <f>IF(AND(COUNT(I1062:K1062,AP1062:AR1062)=6,MIN(AP1062:AR1062)&gt;0),I1062/7/AP1062*0.5+J1062/14/AQ1062*0.3+K1062/30/AR1062*0.2,"")</f>
        <v>0.14496421231530088</v>
      </c>
      <c r="AT1062" s="8" t="n">
        <v>7</v>
      </c>
      <c r="AU1062" s="8" t="n">
        <v>0</v>
      </c>
      <c r="AV1062" s="8" t="n">
        <v>88</v>
      </c>
      <c r="AW1062" s="11" t="n">
        <f>IF(AND(COUNT(AT1062:AV1062)=3,AT1062&gt;=AU1062,AU1062&gt;=0,AV1062&gt;0),(AT1062-AU1062)/AV1062,"")</f>
        <v>0.07954545454545454</v>
      </c>
      <c r="AX1062" s="8" t="n">
        <v>9</v>
      </c>
      <c r="AY1062" s="8" t="n">
        <v>0</v>
      </c>
      <c r="AZ1062" s="8" t="n">
        <v>178</v>
      </c>
      <c r="BA1062" s="11" t="n">
        <f>IF(AND(COUNT(AX1062:AZ1062)=3,AX1062&gt;=AY1062,AY1062&gt;=0,AZ1062&gt;0),(AX1062-AY1062)/AZ1062,"")</f>
        <v>0.05056179775280899</v>
      </c>
      <c r="BB1062" s="8" t="n">
        <f>IF(COUNT(AS1062,AW1062,BA1062)=3,1,0)</f>
        <v>1</v>
      </c>
      <c r="BC1062" s="11" t="n">
        <f>IF(SUMIF($AO$11:$AO$1309,AO1062,$BB$11:$BB$1309)=COUNTIF($AO$11:$AO$1309,AO1062),SUMIF($AO$11:$AO$1309,AO1062,$AS$11:$AS$1309),"")</f>
        <v>0.313323126299849</v>
      </c>
      <c r="BD1062" s="11" t="n">
        <f>IF(SUMIF($AO$11:$AO$1309,AO1062,$BB$11:$BB$1309)=COUNTIF($AO$11:$AO$1309,AO1062),SUMIF($AO$11:$AO$1309,AO1062,$AW$11:$AW$1309),"")</f>
        <v>0.5132135306553911</v>
      </c>
      <c r="BE1062" s="11" t="n">
        <f>IF(SUMIF($AO$11:$AO$1309,AO1062,$BB$11:$BB$1309)=COUNTIF($AO$11:$AO$1309,AO1062),SUMIF($AO$11:$AO$1309,AO1062,$BA$11:$BA$1309),"")</f>
        <v>0.6528356194367431</v>
      </c>
      <c r="BF1062" s="12" t="n">
        <f>IF(COUNT(BD1062:BE1062)&lt;&gt;2,"",IF(AND(BD1062&gt;0,BE1062&gt;0),0.7*AW1062/BD1062+0.3*BA1062/BE1062,IF(BD1062&gt;0,AW1062/BD1062,IF(BE1062&gt;0,BA1062/BE1062,IF(AND(ISNUMBER(BH1062),BH1062=0),0,"")))))</f>
        <v>0.131731247970862</v>
      </c>
      <c r="BG1062" s="11" t="n">
        <f>IF(AND(COUNT(BN1062:BU1062)=8,MIN(BN1062:BU1062)&gt;=0),SUMPRODUCT(BN1062:BQ1062,BR1062:BU1062),"")</f>
        <v>78.35892944347341</v>
      </c>
      <c r="BH1062" s="11" t="n">
        <f>IF(COUNT(BC1062,BG1062)=2,BC1062*BG1062,"")</f>
        <v>24.551664746738375</v>
      </c>
      <c r="BI1062" s="11" t="n">
        <f>IF(ISNUMBER(CI1062),CI1062,"")</f>
        <v>3.234221436850063</v>
      </c>
      <c r="BJ1062" s="8" t="str"/>
      <c r="BK1062" s="8" t="str">
        <v>90天：2026-07-20 至 2026-10-17；180天：2026-04-21 至 2026-10-17</v>
      </c>
      <c r="BL1062" s="8" t="str">
        <v>90天：2026-10-06、2026-10-07；180天：2026-10-06、2026-10-07</v>
      </c>
      <c r="BM1062" s="8" t="str">
        <v>2026-10：12天 × 0.7307750238224848；2026-11：30天 × 0.9523018155490097；2026-12：31天 × 0.5958545198749097；2027-01：17天 × 1.3264167397065354</v>
      </c>
      <c r="BN1062" s="11" t="n">
        <v>0.7307750238224848</v>
      </c>
      <c r="BO1062" s="11" t="n">
        <v>0.9523018155490097</v>
      </c>
      <c r="BP1062" s="11" t="n">
        <v>0.5958545198749097</v>
      </c>
      <c r="BQ1062" s="11" t="n">
        <v>1.3264167397065354</v>
      </c>
      <c r="BR1062" s="8" t="n">
        <v>12</v>
      </c>
      <c r="BS1062" s="8" t="n">
        <v>30</v>
      </c>
      <c r="BT1062" s="8" t="n">
        <v>31</v>
      </c>
      <c r="BU1062" s="8" t="n">
        <v>17</v>
      </c>
      <c r="BV1062" s="11" t="n">
        <f>IF(COUNT(BC1062,BF1062)=2,BC1062*BF1062,"")</f>
        <v>0.04127444644561112</v>
      </c>
      <c r="BW1062" s="11" t="n">
        <f>IF(ISNUMBER(BN1062),BN1062,"")</f>
        <v>0.7307750238224848</v>
      </c>
      <c r="BX1062" s="14" t="n">
        <f>IF(ISNUMBER(BR1062),BR1062,"")</f>
        <v>12</v>
      </c>
      <c r="BY1062" s="13" t="n">
        <f>IF(AND(COUNT(BV1062,BW1062,BX1062)=3,MIN(BV1062,BW1062,BX1062)&gt;=0),BV1062*BW1062*BX1062,"")</f>
        <v>0.36194801501461604</v>
      </c>
      <c r="BZ1062" s="11" t="n">
        <f>IF(ISNUMBER(BO1062),BO1062,"")</f>
        <v>0.9523018155490097</v>
      </c>
      <c r="CA1062" s="14" t="n">
        <f>IF(ISNUMBER(BS1062),BS1062,"")</f>
        <v>30</v>
      </c>
      <c r="CB1062" s="13" t="n">
        <f>IF(AND(COUNT(BV1062,BZ1062,CA1062)=3,MIN(BV1062,BZ1062,CA1062)&gt;=0),BV1062*BZ1062*CA1062,"")</f>
        <v>1.179171908578075</v>
      </c>
      <c r="CC1062" s="11" t="n">
        <f>IF(ISNUMBER(BP1062),BP1062,"")</f>
        <v>0.5958545198749097</v>
      </c>
      <c r="CD1062" s="14" t="n">
        <f>IF(ISNUMBER(BT1062),BT1062,"")</f>
        <v>31</v>
      </c>
      <c r="CE1062" s="13" t="n">
        <f>IF(AND(COUNT(BV1062,CC1062,CD1062)=3,MIN(BV1062,CC1062,CD1062)&gt;=0),BV1062*CC1062*CD1062,"")</f>
        <v>0.7624005295685208</v>
      </c>
      <c r="CF1062" s="11" t="n">
        <f>IF(ISNUMBER(BQ1062),BQ1062,"")</f>
        <v>1.3264167397065354</v>
      </c>
      <c r="CG1062" s="14" t="n">
        <f>IF(ISNUMBER(BU1062),BU1062,"")</f>
        <v>17</v>
      </c>
      <c r="CH1062" s="13" t="n">
        <f>IF(AND(COUNT(BV1062,CF1062,CG1062)=3,MIN(BV1062,CF1062,CG1062)&gt;=0),BV1062*CF1062*CG1062,"")</f>
        <v>0.9307009836888515</v>
      </c>
      <c r="CI1062" s="13" t="n">
        <f>IF(COUNT(BY1062,CB1062,CE1062,CH1062)=4,SUM(BY1062,CB1062,CE1062,CH1062),"")</f>
        <v>3.234221436850063</v>
      </c>
    </row>
    <row r="1063" ht="72" customHeight="1">
      <c r="A1063" s="16" t="str">
        <v>B07-IV-P-41.5</v>
      </c>
      <c r="B1063" s="16" t="str">
        <v>4店-彬郁-US</v>
      </c>
      <c r="C1063" s="16" t="str">
        <v>艾年</v>
      </c>
      <c r="D1063" s="26" t="n">
        <f>IF(NOT(ISNUMBER(E1063)),"",IF(OR(E1063&lt;=0,L1063=0),0,IF(OR(NOT(ISNUMBER(F1063)),F1063&lt;0),"",MIN(E1063,INT(F1063)))))</f>
        <v>0</v>
      </c>
      <c r="E1063" s="27" t="n">
        <f>IF(OR(NOT(ISNUMBER(L1063)),COUNT(M1063:O1063)&lt;&gt;3,MIN(M1063:O1063)&lt;0),"",ROUNDUP(ROUND(BI1063-SUM(M1063:O1063),10),0))</f>
        <v>-31</v>
      </c>
      <c r="F1063" s="28" t="n">
        <v>0</v>
      </c>
      <c r="G1063" s="28" t="n">
        <f>IF(AND(ISNUMBER(D1063),ISNUMBER(E1063)),IF(OR(E1063&lt;=0,L1063=0),0,E1063-D1063),"")</f>
        <v>0</v>
      </c>
      <c r="H1063" s="16" t="str">
        <f>IF(NOT(ISNUMBER(E1063)),"销量或海外库存待补",IF(OR(E1063&lt;=0,L1063=0),IF(L1063=0,"零日销，本批不发","本批无需补货"),IF(NOT(ISNUMBER(D1063)),"国内库存待补",IF(D1063=0,"国内无可用库存",IF(G1063&gt;0,"先发国内现货","按建议量发货")))))</f>
        <v>本批无需补货</v>
      </c>
      <c r="I1063" s="28" t="n">
        <f>IF(AND(COUNT(Z1063,AA1063,AB1063)=3,Z1063&gt;=AA1063,AA1063&gt;=0,AB1063=7),Z1063-AA1063,"")</f>
        <v>0</v>
      </c>
      <c r="J1063" s="28" t="n">
        <f>IF(AND(COUNT(AF1063,AG1063,AH1063)=3,AF1063&gt;=AG1063,AG1063&gt;=0,AH1063=14),AF1063-AG1063,"")</f>
        <v>0</v>
      </c>
      <c r="K1063" s="28" t="n">
        <f>IF(AND(COUNT(AL1063,AM1063,AN1063)=3,AL1063&gt;=AM1063,AM1063&gt;=0,AN1063=30),AL1063-AM1063,"")</f>
        <v>0</v>
      </c>
      <c r="L1063" s="29" t="n">
        <f>IF(ISNUMBER(BI1063),BI1063/90,"")</f>
        <v>0.016205928265883154</v>
      </c>
      <c r="M1063" s="28" t="n">
        <v>22</v>
      </c>
      <c r="N1063" s="28" t="n">
        <v>10</v>
      </c>
      <c r="O1063" s="28" t="n">
        <v>0</v>
      </c>
      <c r="P1063" s="30" t="n">
        <f>IF(AND(ISNUMBER(L1063),L1063&gt;0,COUNT(M1063:O1063)=3,MIN(M1063:O1063)&gt;=0),SUM(M1063:O1063)/L1063,"")</f>
        <v>1974.5860573359842</v>
      </c>
      <c r="Q1063" s="16" t="str">
        <v>沿用原计划SKU店铺</v>
      </c>
      <c r="R1063" s="16" t="str">
        <v>已匹配</v>
      </c>
      <c r="S1063" s="16" t="str">
        <v>在售</v>
      </c>
      <c r="T1063" s="16" t="str">
        <v>B07</v>
      </c>
      <c r="U1063" s="16" t="str">
        <v>米白色PU</v>
      </c>
      <c r="V1063" s="16" t="n">
        <v>10.5</v>
      </c>
      <c r="W1063" s="8" t="str">
        <v>2026-10-11 至 2026-10-17</v>
      </c>
      <c r="X1063" s="8" t="str">
        <v>2026-10-11、2026-10-12、2026-10-13、2026-10-14、2026-10-15、2026-10-16、2026-10-17</v>
      </c>
      <c r="Y1063" s="8" t="str">
        <v>无</v>
      </c>
      <c r="Z1063" s="8" t="n">
        <v>0</v>
      </c>
      <c r="AA1063" s="8" t="n">
        <v>0</v>
      </c>
      <c r="AB1063" s="8" t="n">
        <v>7</v>
      </c>
      <c r="AC1063" s="8" t="str">
        <v>2026-10-02 至 2026-10-17</v>
      </c>
      <c r="AD1063" s="8" t="str">
        <v>2026-10-02、2026-10-03、2026-10-04、2026-10-05、2026-10-08、2026-10-09、2026-10-10、2026-10-11、2026-10-12、2026-10-13、2026-10-14、2026-10-15、2026-10-16、2026-10-17</v>
      </c>
      <c r="AE1063" s="8" t="str">
        <v>2026-10-06 大促；2026-10-07 大促</v>
      </c>
      <c r="AF1063" s="8" t="n">
        <v>0</v>
      </c>
      <c r="AG1063" s="8" t="n">
        <v>0</v>
      </c>
      <c r="AH1063" s="8" t="n">
        <v>14</v>
      </c>
      <c r="AI1063" s="8" t="str">
        <v>2026-09-16 至 2026-10-17</v>
      </c>
      <c r="AJ10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3" s="8" t="str">
        <v>2026-10-06 大促；2026-10-07 大促</v>
      </c>
      <c r="AL1063" s="8" t="n">
        <v>0</v>
      </c>
      <c r="AM1063" s="8" t="n">
        <v>0</v>
      </c>
      <c r="AN1063" s="8" t="n">
        <v>30</v>
      </c>
      <c r="AO1063" s="8" t="str">
        <v>B07 / 米白色PU / 13306</v>
      </c>
      <c r="AP1063" s="11" t="n">
        <v>0.7307750238224848</v>
      </c>
      <c r="AQ1063" s="11" t="n">
        <v>0.7307750238224848</v>
      </c>
      <c r="AR1063" s="11" t="n">
        <v>0.7449809054134506</v>
      </c>
      <c r="AS1063" s="11" t="n">
        <f>IF(AND(COUNT(I1063:K1063,AP1063:AR1063)=6,MIN(AP1063:AR1063)&gt;0),I1063/7/AP1063*0.5+J1063/14/AQ1063*0.3+K1063/30/AR1063*0.2,"")</f>
        <v>0</v>
      </c>
      <c r="AT1063" s="8" t="n">
        <v>3</v>
      </c>
      <c r="AU1063" s="8" t="n">
        <v>0</v>
      </c>
      <c r="AV1063" s="8" t="n">
        <v>88</v>
      </c>
      <c r="AW1063" s="11" t="n">
        <f>IF(AND(COUNT(AT1063:AV1063)=3,AT1063&gt;=AU1063,AU1063&gt;=0,AV1063&gt;0),(AT1063-AU1063)/AV1063,"")</f>
        <v>0.03409090909090909</v>
      </c>
      <c r="AX1063" s="8" t="n">
        <v>5</v>
      </c>
      <c r="AY1063" s="8" t="n">
        <v>0</v>
      </c>
      <c r="AZ1063" s="8" t="n">
        <v>178</v>
      </c>
      <c r="BA1063" s="11" t="n">
        <f>IF(AND(COUNT(AX1063:AZ1063)=3,AX1063&gt;=AY1063,AY1063&gt;=0,AZ1063&gt;0),(AX1063-AY1063)/AZ1063,"")</f>
        <v>0.028089887640449437</v>
      </c>
      <c r="BB1063" s="8" t="n">
        <f>IF(COUNT(AS1063,AW1063,BA1063)=3,1,0)</f>
        <v>1</v>
      </c>
      <c r="BC1063" s="11" t="n">
        <f>IF(SUMIF($AO$11:$AO$1309,AO1063,$BB$11:$BB$1309)=COUNTIF($AO$11:$AO$1309,AO1063),SUMIF($AO$11:$AO$1309,AO1063,$AS$11:$AS$1309),"")</f>
        <v>0.313323126299849</v>
      </c>
      <c r="BD1063" s="11" t="n">
        <f>IF(SUMIF($AO$11:$AO$1309,AO1063,$BB$11:$BB$1309)=COUNTIF($AO$11:$AO$1309,AO1063),SUMIF($AO$11:$AO$1309,AO1063,$AW$11:$AW$1309),"")</f>
        <v>0.5132135306553911</v>
      </c>
      <c r="BE1063" s="11" t="n">
        <f>IF(SUMIF($AO$11:$AO$1309,AO1063,$BB$11:$BB$1309)=COUNTIF($AO$11:$AO$1309,AO1063),SUMIF($AO$11:$AO$1309,AO1063,$BA$11:$BA$1309),"")</f>
        <v>0.6528356194367431</v>
      </c>
      <c r="BF1063" s="12" t="n">
        <f>IF(COUNT(BD1063:BE1063)&lt;&gt;2,"",IF(AND(BD1063&gt;0,BE1063&gt;0),0.7*AW1063/BD1063+0.3*BA1063/BE1063,IF(BD1063&gt;0,AW1063/BD1063,IF(BE1063&gt;0,BA1063/BE1063,IF(AND(ISNUMBER(BH1063),BH1063=0),0,"")))))</f>
        <v>0.05940670659097551</v>
      </c>
      <c r="BG1063" s="11" t="n">
        <f>IF(AND(COUNT(BN1063:BU1063)=8,MIN(BN1063:BU1063)&gt;=0),SUMPRODUCT(BN1063:BQ1063,BR1063:BU1063),"")</f>
        <v>78.35892944347341</v>
      </c>
      <c r="BH1063" s="11" t="n">
        <f>IF(COUNT(BC1063,BG1063)=2,BC1063*BG1063,"")</f>
        <v>24.551664746738375</v>
      </c>
      <c r="BI1063" s="11" t="n">
        <f>IF(ISNUMBER(CI1063),CI1063,"")</f>
        <v>1.4585335439294838</v>
      </c>
      <c r="BJ1063" s="8" t="str"/>
      <c r="BK1063" s="8" t="str">
        <v>90天：2026-07-20 至 2026-10-17；180天：2026-04-21 至 2026-10-17</v>
      </c>
      <c r="BL1063" s="8" t="str">
        <v>90天：2026-10-06、2026-10-07；180天：2026-10-06、2026-10-07</v>
      </c>
      <c r="BM1063" s="8" t="str">
        <v>2026-10：12天 × 0.7307750238224848；2026-11：30天 × 0.9523018155490097；2026-12：31天 × 0.5958545198749097；2027-01：17天 × 1.3264167397065354</v>
      </c>
      <c r="BN1063" s="11" t="n">
        <v>0.7307750238224848</v>
      </c>
      <c r="BO1063" s="11" t="n">
        <v>0.9523018155490097</v>
      </c>
      <c r="BP1063" s="11" t="n">
        <v>0.5958545198749097</v>
      </c>
      <c r="BQ1063" s="11" t="n">
        <v>1.3264167397065354</v>
      </c>
      <c r="BR1063" s="8" t="n">
        <v>12</v>
      </c>
      <c r="BS1063" s="8" t="n">
        <v>30</v>
      </c>
      <c r="BT1063" s="8" t="n">
        <v>31</v>
      </c>
      <c r="BU1063" s="8" t="n">
        <v>17</v>
      </c>
      <c r="BV1063" s="11" t="n">
        <f>IF(COUNT(BC1063,BF1063)=2,BC1063*BF1063,"")</f>
        <v>0.01861349503226229</v>
      </c>
      <c r="BW1063" s="11" t="n">
        <f>IF(ISNUMBER(BN1063),BN1063,"")</f>
        <v>0.7307750238224848</v>
      </c>
      <c r="BX1063" s="14" t="n">
        <f>IF(ISNUMBER(BR1063),BR1063,"")</f>
        <v>12</v>
      </c>
      <c r="BY1063" s="13" t="n">
        <f>IF(AND(COUNT(BV1063,BW1063,BX1063)=3,MIN(BV1063,BW1063,BX1063)&gt;=0),BV1063*BW1063*BX1063,"")</f>
        <v>0.16322732730745415</v>
      </c>
      <c r="BZ1063" s="11" t="n">
        <f>IF(ISNUMBER(BO1063),BO1063,"")</f>
        <v>0.9523018155490097</v>
      </c>
      <c r="CA1063" s="14" t="n">
        <f>IF(ISNUMBER(BS1063),BS1063,"")</f>
        <v>30</v>
      </c>
      <c r="CB1063" s="13" t="n">
        <f>IF(AND(COUNT(BV1063,BZ1063,CA1063)=3,MIN(BV1063,BZ1063,CA1063)&gt;=0),BV1063*BZ1063*CA1063,"")</f>
        <v>0.5317699533880756</v>
      </c>
      <c r="CC1063" s="11" t="n">
        <f>IF(ISNUMBER(BP1063),BP1063,"")</f>
        <v>0.5958545198749097</v>
      </c>
      <c r="CD1063" s="14" t="n">
        <f>IF(ISNUMBER(BT1063),BT1063,"")</f>
        <v>31</v>
      </c>
      <c r="CE1063" s="13" t="n">
        <f>IF(AND(COUNT(BV1063,CC1063,CD1063)=3,MIN(BV1063,CC1063,CD1063)&gt;=0),BV1063*CC1063*CD1063,"")</f>
        <v>0.34381898951492257</v>
      </c>
      <c r="CF1063" s="11" t="n">
        <f>IF(ISNUMBER(BQ1063),BQ1063,"")</f>
        <v>1.3264167397065354</v>
      </c>
      <c r="CG1063" s="14" t="n">
        <f>IF(ISNUMBER(BU1063),BU1063,"")</f>
        <v>17</v>
      </c>
      <c r="CH1063" s="13" t="n">
        <f>IF(AND(COUNT(BV1063,CF1063,CG1063)=3,MIN(BV1063,CF1063,CG1063)&gt;=0),BV1063*CF1063*CG1063,"")</f>
        <v>0.4197172737190314</v>
      </c>
      <c r="CI1063" s="13" t="n">
        <f>IF(COUNT(BY1063,CB1063,CE1063,CH1063)=4,SUM(BY1063,CB1063,CE1063,CH1063),"")</f>
        <v>1.4585335439294838</v>
      </c>
    </row>
    <row r="1064" ht="72" customHeight="1">
      <c r="A1064" s="16" t="str">
        <v>B07-LP-42-by</v>
      </c>
      <c r="B1064" s="16" t="str">
        <v>4店-彬郁-US</v>
      </c>
      <c r="C1064" s="16" t="str">
        <v>艾年</v>
      </c>
      <c r="D1064" s="26" t="n">
        <f>IF(NOT(ISNUMBER(E1064)),"",IF(OR(E1064&lt;=0,L1064=0),0,IF(OR(NOT(ISNUMBER(F1064)),F1064&lt;0),"",MIN(E1064,INT(F1064)))))</f>
        <v>0</v>
      </c>
      <c r="E1064" s="27" t="n">
        <f>IF(OR(NOT(ISNUMBER(L1064)),COUNT(M1064:O1064)&lt;&gt;3,MIN(M1064:O1064)&lt;0),"",ROUNDUP(ROUND(BI1064-SUM(M1064:O1064),10),0))</f>
        <v>-26</v>
      </c>
      <c r="F1064" s="28" t="n">
        <v>0</v>
      </c>
      <c r="G1064" s="28" t="n">
        <f>IF(AND(ISNUMBER(D1064),ISNUMBER(E1064)),IF(OR(E1064&lt;=0,L1064=0),0,E1064-D1064),"")</f>
        <v>0</v>
      </c>
      <c r="H1064" s="16" t="str">
        <f>IF(NOT(ISNUMBER(E1064)),"销量或海外库存待补",IF(OR(E1064&lt;=0,L1064=0),IF(L1064=0,"零日销，本批不发","本批无需补货"),IF(NOT(ISNUMBER(D1064)),"国内库存待补",IF(D1064=0,"国内无可用库存",IF(G1064&gt;0,"先发国内现货","按建议量发货")))))</f>
        <v>本批无需补货</v>
      </c>
      <c r="I1064" s="28" t="n">
        <f>IF(AND(COUNT(Z1064,AA1064,AB1064)=3,Z1064&gt;=AA1064,AA1064&gt;=0,AB1064=7),Z1064-AA1064,"")</f>
        <v>0</v>
      </c>
      <c r="J1064" s="28" t="n">
        <f>IF(AND(COUNT(AF1064,AG1064,AH1064)=3,AF1064&gt;=AG1064,AG1064&gt;=0,AH1064=14),AF1064-AG1064,"")</f>
        <v>2</v>
      </c>
      <c r="K1064" s="28" t="n">
        <f>IF(AND(COUNT(AL1064,AM1064,AN1064)=3,AL1064&gt;=AM1064,AM1064&gt;=0,AN1064=30),AL1064-AM1064,"")</f>
        <v>6</v>
      </c>
      <c r="L1064" s="29" t="n">
        <f>IF(ISNUMBER(BI1064),BI1064/90,"")</f>
        <v>0.3757621738687155</v>
      </c>
      <c r="M1064" s="28" t="n">
        <v>2</v>
      </c>
      <c r="N1064" s="28" t="n">
        <v>0</v>
      </c>
      <c r="O1064" s="28" t="n">
        <v>57</v>
      </c>
      <c r="P1064" s="30" t="n">
        <f>IF(AND(ISNUMBER(L1064),L1064&gt;0,COUNT(M1064:O1064)=3,MIN(M1064:O1064)&gt;=0),SUM(M1064:O1064)/L1064,"")</f>
        <v>157.01420766373766</v>
      </c>
      <c r="Q1064" s="16" t="str">
        <v>沿用原计划SKU店铺</v>
      </c>
      <c r="R1064" s="16" t="str">
        <v>已匹配</v>
      </c>
      <c r="S1064" s="16" t="str">
        <v>在售</v>
      </c>
      <c r="T1064" s="16" t="str">
        <v>B07</v>
      </c>
      <c r="U1064" s="16" t="str">
        <v>豹纹羊京绒</v>
      </c>
      <c r="V1064" s="16" t="n">
        <v>11</v>
      </c>
      <c r="W1064" s="8" t="str">
        <v>2026-10-11 至 2026-10-17</v>
      </c>
      <c r="X1064" s="8" t="str">
        <v>2026-10-11、2026-10-12、2026-10-13、2026-10-14、2026-10-15、2026-10-16、2026-10-17</v>
      </c>
      <c r="Y1064" s="8" t="str">
        <v>无</v>
      </c>
      <c r="Z1064" s="8" t="n">
        <v>0</v>
      </c>
      <c r="AA1064" s="8" t="n">
        <v>0</v>
      </c>
      <c r="AB1064" s="8" t="n">
        <v>7</v>
      </c>
      <c r="AC1064" s="8" t="str">
        <v>2026-10-02 至 2026-10-17</v>
      </c>
      <c r="AD1064" s="8" t="str">
        <v>2026-10-02、2026-10-03、2026-10-04、2026-10-05、2026-10-08、2026-10-09、2026-10-10、2026-10-11、2026-10-12、2026-10-13、2026-10-14、2026-10-15、2026-10-16、2026-10-17</v>
      </c>
      <c r="AE1064" s="8" t="str">
        <v>2026-10-06 大促；2026-10-07 大促</v>
      </c>
      <c r="AF1064" s="8" t="n">
        <v>4</v>
      </c>
      <c r="AG1064" s="8" t="n">
        <v>2</v>
      </c>
      <c r="AH1064" s="8" t="n">
        <v>14</v>
      </c>
      <c r="AI1064" s="8" t="str">
        <v>2026-09-16 至 2026-10-17</v>
      </c>
      <c r="AJ10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4" s="8" t="str">
        <v>2026-10-06 大促；2026-10-07 大促</v>
      </c>
      <c r="AL1064" s="8" t="n">
        <v>8</v>
      </c>
      <c r="AM1064" s="8" t="n">
        <v>2</v>
      </c>
      <c r="AN1064" s="8" t="n">
        <v>30</v>
      </c>
      <c r="AO1064" s="8" t="str">
        <v>B07 / 豹纹羊京绒 / 13306</v>
      </c>
      <c r="AP1064" s="11" t="n">
        <v>0.7307750238224848</v>
      </c>
      <c r="AQ1064" s="11" t="n">
        <v>0.7307750238224848</v>
      </c>
      <c r="AR1064" s="11" t="n">
        <v>0.7449809054134506</v>
      </c>
      <c r="AS1064" s="11" t="n">
        <f>IF(AND(COUNT(I1064:K1064,AP1064:AR1064)=6,MIN(AP1064:AR1064)&gt;0),I1064/7/AP1064*0.5+J1064/14/AQ1064*0.3+K1064/30/AR1064*0.2,"")</f>
        <v>0.11233880296108945</v>
      </c>
      <c r="AT1064" s="8" t="n">
        <v>25</v>
      </c>
      <c r="AU1064" s="8" t="n">
        <v>2</v>
      </c>
      <c r="AV1064" s="8" t="n">
        <v>88</v>
      </c>
      <c r="AW1064" s="11" t="n">
        <f>IF(AND(COUNT(AT1064:AV1064)=3,AT1064&gt;=AU1064,AU1064&gt;=0,AV1064&gt;0),(AT1064-AU1064)/AV1064,"")</f>
        <v>0.26136363636363635</v>
      </c>
      <c r="AX1064" s="8" t="n">
        <v>51</v>
      </c>
      <c r="AY1064" s="8" t="n">
        <v>2</v>
      </c>
      <c r="AZ1064" s="8" t="n">
        <v>178</v>
      </c>
      <c r="BA1064" s="11" t="n">
        <f>IF(AND(COUNT(AX1064:AZ1064)=3,AX1064&gt;=AY1064,AY1064&gt;=0,AZ1064&gt;0),(AX1064-AY1064)/AZ1064,"")</f>
        <v>0.2752808988764045</v>
      </c>
      <c r="BB1064" s="8" t="n">
        <f>IF(COUNT(AS1064,AW1064,BA1064)=3,1,0)</f>
        <v>1</v>
      </c>
      <c r="BC1064" s="11" t="n">
        <f>IF(SUMIF($AO$11:$AO$1309,AO1064,$BB$11:$BB$1309)=COUNTIF($AO$11:$AO$1309,AO1064),SUMIF($AO$11:$AO$1309,AO1064,$AS$11:$AS$1309),"")</f>
        <v>6.767888169262786</v>
      </c>
      <c r="BD1064" s="11" t="n">
        <f>IF(SUMIF($AO$11:$AO$1309,AO1064,$BB$11:$BB$1309)=COUNTIF($AO$11:$AO$1309,AO1064),SUMIF($AO$11:$AO$1309,AO1064,$AW$11:$AW$1309),"")</f>
        <v>4.467607105538139</v>
      </c>
      <c r="BE1064" s="11" t="n">
        <f>IF(SUMIF($AO$11:$AO$1309,AO1064,$BB$11:$BB$1309)=COUNTIF($AO$11:$AO$1309,AO1064),SUMIF($AO$11:$AO$1309,AO1064,$BA$11:$BA$1309),"")</f>
        <v>3.6192153875452298</v>
      </c>
      <c r="BF1064" s="12" t="n">
        <f>IF(COUNT(BD1064:BE1064)&lt;&gt;2,"",IF(AND(BD1064&gt;0,BE1064&gt;0),0.7*AW1064/BD1064+0.3*BA1064/BE1064,IF(BD1064&gt;0,AW1064/BD1064,IF(BE1064&gt;0,BA1064/BE1064,IF(AND(ISNUMBER(BH1064),BH1064=0),0,"")))))</f>
        <v>0.06376963060029492</v>
      </c>
      <c r="BG1064" s="11" t="n">
        <f>IF(AND(COUNT(BN1064:BU1064)=8,MIN(BN1064:BU1064)&gt;=0),SUMPRODUCT(BN1064:BQ1064,BR1064:BU1064),"")</f>
        <v>78.35892944347341</v>
      </c>
      <c r="BH1064" s="11" t="n">
        <f>IF(COUNT(BC1064,BG1064)=2,BC1064*BG1064,"")</f>
        <v>530.3244715365811</v>
      </c>
      <c r="BI1064" s="11" t="n">
        <f>IF(ISNUMBER(CI1064),CI1064,"")</f>
        <v>33.8185956481844</v>
      </c>
      <c r="BJ1064" s="8" t="str"/>
      <c r="BK1064" s="8" t="str">
        <v>90天：2026-07-20 至 2026-10-17；180天：2026-04-21 至 2026-10-17</v>
      </c>
      <c r="BL1064" s="8" t="str">
        <v>90天：2026-10-06、2026-10-07；180天：2026-10-06、2026-10-07</v>
      </c>
      <c r="BM1064" s="8" t="str">
        <v>2026-10：12天 × 0.7307750238224848；2026-11：30天 × 0.9523018155490097；2026-12：31天 × 0.5958545198749097；2027-01：17天 × 1.3264167397065354</v>
      </c>
      <c r="BN1064" s="11" t="n">
        <v>0.7307750238224848</v>
      </c>
      <c r="BO1064" s="11" t="n">
        <v>0.9523018155490097</v>
      </c>
      <c r="BP1064" s="11" t="n">
        <v>0.5958545198749097</v>
      </c>
      <c r="BQ1064" s="11" t="n">
        <v>1.3264167397065354</v>
      </c>
      <c r="BR1064" s="8" t="n">
        <v>12</v>
      </c>
      <c r="BS1064" s="8" t="n">
        <v>30</v>
      </c>
      <c r="BT1064" s="8" t="n">
        <v>31</v>
      </c>
      <c r="BU1064" s="8" t="n">
        <v>17</v>
      </c>
      <c r="BV1064" s="11" t="n">
        <f>IF(COUNT(BC1064,BF1064)=2,BC1064*BF1064,"")</f>
        <v>0.43158572849799415</v>
      </c>
      <c r="BW1064" s="11" t="n">
        <f>IF(ISNUMBER(BN1064),BN1064,"")</f>
        <v>0.7307750238224848</v>
      </c>
      <c r="BX1064" s="14" t="n">
        <f>IF(ISNUMBER(BR1064),BR1064,"")</f>
        <v>12</v>
      </c>
      <c r="BY1064" s="13" t="n">
        <f>IF(AND(COUNT(BV1064,BW1064,BX1064)=3,MIN(BV1064,BW1064,BX1064)&gt;=0),BV1064*BW1064*BX1064,"")</f>
        <v>3.7847048522947935</v>
      </c>
      <c r="BZ1064" s="11" t="n">
        <f>IF(ISNUMBER(BO1064),BO1064,"")</f>
        <v>0.9523018155490097</v>
      </c>
      <c r="CA1064" s="14" t="n">
        <f>IF(ISNUMBER(BS1064),BS1064,"")</f>
        <v>30</v>
      </c>
      <c r="CB1064" s="13" t="n">
        <f>IF(AND(COUNT(BV1064,BZ1064,CA1064)=3,MIN(BV1064,BZ1064,CA1064)&gt;=0),BV1064*BZ1064*CA1064,"")</f>
        <v>12.329996184410454</v>
      </c>
      <c r="CC1064" s="11" t="n">
        <f>IF(ISNUMBER(BP1064),BP1064,"")</f>
        <v>0.5958545198749097</v>
      </c>
      <c r="CD1064" s="14" t="n">
        <f>IF(ISNUMBER(BT1064),BT1064,"")</f>
        <v>31</v>
      </c>
      <c r="CE1064" s="13" t="n">
        <f>IF(AND(COUNT(BV1064,CC1064,CD1064)=3,MIN(BV1064,CC1064,CD1064)&gt;=0),BV1064*CC1064*CD1064,"")</f>
        <v>7.972031518210098</v>
      </c>
      <c r="CF1064" s="11" t="n">
        <f>IF(ISNUMBER(BQ1064),BQ1064,"")</f>
        <v>1.3264167397065354</v>
      </c>
      <c r="CG1064" s="14" t="n">
        <f>IF(ISNUMBER(BU1064),BU1064,"")</f>
        <v>17</v>
      </c>
      <c r="CH1064" s="13" t="n">
        <f>IF(AND(COUNT(BV1064,CF1064,CG1064)=3,MIN(BV1064,CF1064,CG1064)&gt;=0),BV1064*CF1064*CG1064,"")</f>
        <v>9.731863093269048</v>
      </c>
      <c r="CI1064" s="13" t="n">
        <f>IF(COUNT(BY1064,CB1064,CE1064,CH1064)=4,SUM(BY1064,CB1064,CE1064,CH1064),"")</f>
        <v>33.8185956481844</v>
      </c>
    </row>
    <row r="1065" ht="72" customHeight="1">
      <c r="A1065" s="16" t="str">
        <v>B07-MT-37-by</v>
      </c>
      <c r="B1065" s="16" t="str">
        <v>4店-彬郁-US</v>
      </c>
      <c r="C1065" s="16" t="str">
        <v>艾年</v>
      </c>
      <c r="D1065" s="26" t="n">
        <f>IF(NOT(ISNUMBER(E1065)),"",IF(OR(E1065&lt;=0,L1065=0),0,IF(OR(NOT(ISNUMBER(F1065)),F1065&lt;0),"",MIN(E1065,INT(F1065)))))</f>
        <v>0</v>
      </c>
      <c r="E1065" s="27" t="n">
        <f>IF(OR(NOT(ISNUMBER(L1065)),COUNT(M1065:O1065)&lt;&gt;3,MIN(M1065:O1065)&lt;0),"",ROUNDUP(ROUND(BI1065-SUM(M1065:O1065),10),0))</f>
        <v>-94</v>
      </c>
      <c r="F1065" s="28" t="n">
        <v>0</v>
      </c>
      <c r="G1065" s="28" t="n">
        <f>IF(AND(ISNUMBER(D1065),ISNUMBER(E1065)),IF(OR(E1065&lt;=0,L1065=0),0,E1065-D1065),"")</f>
        <v>0</v>
      </c>
      <c r="H1065" s="16" t="str">
        <f>IF(NOT(ISNUMBER(E1065)),"销量或海外库存待补",IF(OR(E1065&lt;=0,L1065=0),IF(L1065=0,"零日销，本批不发","本批无需补货"),IF(NOT(ISNUMBER(D1065)),"国内库存待补",IF(D1065=0,"国内无可用库存",IF(G1065&gt;0,"先发国内现货","按建议量发货")))))</f>
        <v>本批无需补货</v>
      </c>
      <c r="I1065" s="28" t="n">
        <f>IF(AND(COUNT(Z1065,AA1065,AB1065)=3,Z1065&gt;=AA1065,AA1065&gt;=0,AB1065=7),Z1065-AA1065,"")</f>
        <v>0</v>
      </c>
      <c r="J1065" s="28" t="n">
        <f>IF(AND(COUNT(AF1065,AG1065,AH1065)=3,AF1065&gt;=AG1065,AG1065&gt;=0,AH1065=14),AF1065-AG1065,"")</f>
        <v>0</v>
      </c>
      <c r="K1065" s="28" t="n">
        <f>IF(AND(COUNT(AL1065,AM1065,AN1065)=3,AL1065&gt;=AM1065,AM1065&gt;=0,AN1065=30),AL1065-AM1065,"")</f>
        <v>2</v>
      </c>
      <c r="L1065" s="29" t="n">
        <f>IF(ISNUMBER(BI1065),BI1065/90,"")</f>
        <v>0.031701039768592176</v>
      </c>
      <c r="M1065" s="28" t="n">
        <v>51</v>
      </c>
      <c r="N1065" s="28" t="n">
        <v>45</v>
      </c>
      <c r="O1065" s="28" t="n">
        <v>0</v>
      </c>
      <c r="P1065" s="30" t="n">
        <f>IF(AND(ISNUMBER(L1065),L1065&gt;0,COUNT(M1065:O1065)=3,MIN(M1065:O1065)&gt;=0),SUM(M1065:O1065)/L1065,"")</f>
        <v>3028.2918383993215</v>
      </c>
      <c r="Q1065" s="16" t="str">
        <v>沿用原计划SKU店铺</v>
      </c>
      <c r="R1065" s="16" t="str">
        <v>已匹配</v>
      </c>
      <c r="S1065" s="16" t="str">
        <v>在售</v>
      </c>
      <c r="T1065" s="16" t="str">
        <v>B07</v>
      </c>
      <c r="U1065" s="16" t="str">
        <v>黄色羊京绒</v>
      </c>
      <c r="V1065" s="16" t="n">
        <v>6</v>
      </c>
      <c r="W1065" s="8" t="str">
        <v>2026-10-11 至 2026-10-17</v>
      </c>
      <c r="X1065" s="8" t="str">
        <v>2026-10-11、2026-10-12、2026-10-13、2026-10-14、2026-10-15、2026-10-16、2026-10-17</v>
      </c>
      <c r="Y1065" s="8" t="str">
        <v>无</v>
      </c>
      <c r="Z1065" s="8" t="n">
        <v>0</v>
      </c>
      <c r="AA1065" s="8" t="n">
        <v>0</v>
      </c>
      <c r="AB1065" s="8" t="n">
        <v>7</v>
      </c>
      <c r="AC1065" s="8" t="str">
        <v>2026-10-02 至 2026-10-17</v>
      </c>
      <c r="AD1065" s="8" t="str">
        <v>2026-10-02、2026-10-03、2026-10-04、2026-10-05、2026-10-08、2026-10-09、2026-10-10、2026-10-11、2026-10-12、2026-10-13、2026-10-14、2026-10-15、2026-10-16、2026-10-17</v>
      </c>
      <c r="AE1065" s="8" t="str">
        <v>2026-10-06 大促；2026-10-07 大促</v>
      </c>
      <c r="AF1065" s="8" t="n">
        <v>0</v>
      </c>
      <c r="AG1065" s="8" t="n">
        <v>0</v>
      </c>
      <c r="AH1065" s="8" t="n">
        <v>14</v>
      </c>
      <c r="AI1065" s="8" t="str">
        <v>2026-09-16 至 2026-10-17</v>
      </c>
      <c r="AJ10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5" s="8" t="str">
        <v>2026-10-06 大促；2026-10-07 大促</v>
      </c>
      <c r="AL1065" s="8" t="n">
        <v>2</v>
      </c>
      <c r="AM1065" s="8" t="n">
        <v>0</v>
      </c>
      <c r="AN1065" s="8" t="n">
        <v>30</v>
      </c>
      <c r="AO1065" s="8" t="str">
        <v>B07 / 黄色羊京绒 / 13306</v>
      </c>
      <c r="AP1065" s="11" t="n">
        <v>0.7307750238224848</v>
      </c>
      <c r="AQ1065" s="11" t="n">
        <v>0.7307750238224848</v>
      </c>
      <c r="AR1065" s="11" t="n">
        <v>0.7449809054134506</v>
      </c>
      <c r="AS1065" s="11" t="n">
        <f>IF(AND(COUNT(I1065:K1065,AP1065:AR1065)=6,MIN(AP1065:AR1065)&gt;0),I1065/7/AP1065*0.5+J1065/14/AQ1065*0.3+K1065/30/AR1065*0.2,"")</f>
        <v>0.017897550442495677</v>
      </c>
      <c r="AT1065" s="8" t="n">
        <v>2</v>
      </c>
      <c r="AU1065" s="8" t="n">
        <v>0</v>
      </c>
      <c r="AV1065" s="8" t="n">
        <v>88</v>
      </c>
      <c r="AW1065" s="11" t="n">
        <f>IF(AND(COUNT(AT1065:AV1065)=3,AT1065&gt;=AU1065,AU1065&gt;=0,AV1065&gt;0),(AT1065-AU1065)/AV1065,"")</f>
        <v>0.022727272727272728</v>
      </c>
      <c r="AX1065" s="8" t="n">
        <v>5</v>
      </c>
      <c r="AY1065" s="8" t="n">
        <v>0</v>
      </c>
      <c r="AZ1065" s="8" t="n">
        <v>178</v>
      </c>
      <c r="BA1065" s="11" t="n">
        <f>IF(AND(COUNT(AX1065:AZ1065)=3,AX1065&gt;=AY1065,AY1065&gt;=0,AZ1065&gt;0),(AX1065-AY1065)/AZ1065,"")</f>
        <v>0.028089887640449437</v>
      </c>
      <c r="BB1065" s="8" t="n">
        <f>IF(COUNT(AS1065,AW1065,BA1065)=3,1,0)</f>
        <v>1</v>
      </c>
      <c r="BC1065" s="11" t="n">
        <f>IF(SUMIF($AO$11:$AO$1309,AO1065,$BB$11:$BB$1309)=COUNTIF($AO$11:$AO$1309,AO1065),SUMIF($AO$11:$AO$1309,AO1065,$AS$11:$AS$1309),"")</f>
        <v>0.2573030152763903</v>
      </c>
      <c r="BD1065" s="11" t="n">
        <f>IF(SUMIF($AO$11:$AO$1309,AO1065,$BB$11:$BB$1309)=COUNTIF($AO$11:$AO$1309,AO1065),SUMIF($AO$11:$AO$1309,AO1065,$AW$11:$AW$1309),"")</f>
        <v>0.15909090909090912</v>
      </c>
      <c r="BE1065" s="11" t="n">
        <f>IF(SUMIF($AO$11:$AO$1309,AO1065,$BB$11:$BB$1309)=COUNTIF($AO$11:$AO$1309,AO1065),SUMIF($AO$11:$AO$1309,AO1065,$BA$11:$BA$1309),"")</f>
        <v>0.20301765650080256</v>
      </c>
      <c r="BF1065" s="12" t="n">
        <f>IF(COUNT(BD1065:BE1065)&lt;&gt;2,"",IF(AND(BD1065&gt;0,BE1065&gt;0),0.7*AW1065/BD1065+0.3*BA1065/BE1065,IF(BD1065&gt;0,AW1065/BD1065,IF(BE1065&gt;0,BA1065/BE1065,IF(AND(ISNUMBER(BH1065),BH1065=0),0,"")))))</f>
        <v>0.1415085388994307</v>
      </c>
      <c r="BG1065" s="11" t="n">
        <f>IF(AND(COUNT(BN1065:BU1065)=8,MIN(BN1065:BU1065)&gt;=0),SUMPRODUCT(BN1065:BQ1065,BR1065:BU1065),"")</f>
        <v>78.35892944347341</v>
      </c>
      <c r="BH1065" s="11" t="n">
        <f>IF(COUNT(BC1065,BG1065)=2,BC1065*BG1065,"")</f>
        <v>20.16198881963563</v>
      </c>
      <c r="BI1065" s="11" t="n">
        <f>IF(ISNUMBER(CI1065),CI1065,"")</f>
        <v>2.853093579173296</v>
      </c>
      <c r="BJ1065" s="8" t="str">
        <v>近180天本色销量50双（＜90），无有效新采购，请运营判断</v>
      </c>
      <c r="BK1065" s="8" t="str">
        <v>90天：2026-07-20 至 2026-10-17；180天：2026-04-21 至 2026-10-17</v>
      </c>
      <c r="BL1065" s="8" t="str">
        <v>90天：2026-10-06、2026-10-07；180天：2026-10-06、2026-10-07</v>
      </c>
      <c r="BM1065" s="8" t="str">
        <v>2026-10：12天 × 0.7307750238224848；2026-11：30天 × 0.9523018155490097；2026-12：31天 × 0.5958545198749097；2027-01：17天 × 1.3264167397065354</v>
      </c>
      <c r="BN1065" s="11" t="n">
        <v>0.7307750238224848</v>
      </c>
      <c r="BO1065" s="11" t="n">
        <v>0.9523018155490097</v>
      </c>
      <c r="BP1065" s="11" t="n">
        <v>0.5958545198749097</v>
      </c>
      <c r="BQ1065" s="11" t="n">
        <v>1.3264167397065354</v>
      </c>
      <c r="BR1065" s="8" t="n">
        <v>12</v>
      </c>
      <c r="BS1065" s="8" t="n">
        <v>30</v>
      </c>
      <c r="BT1065" s="8" t="n">
        <v>31</v>
      </c>
      <c r="BU1065" s="8" t="n">
        <v>17</v>
      </c>
      <c r="BV1065" s="11" t="n">
        <f>IF(COUNT(BC1065,BF1065)=2,BC1065*BF1065,"")</f>
        <v>0.0364105737461799</v>
      </c>
      <c r="BW1065" s="11" t="n">
        <f>IF(ISNUMBER(BN1065),BN1065,"")</f>
        <v>0.7307750238224848</v>
      </c>
      <c r="BX1065" s="14" t="n">
        <f>IF(ISNUMBER(BR1065),BR1065,"")</f>
        <v>12</v>
      </c>
      <c r="BY1065" s="13" t="n">
        <f>IF(AND(COUNT(BV1065,BW1065,BX1065)=3,MIN(BV1065,BW1065,BX1065)&gt;=0),BV1065*BW1065*BX1065,"")</f>
        <v>0.31929525476105947</v>
      </c>
      <c r="BZ1065" s="11" t="n">
        <f>IF(ISNUMBER(BO1065),BO1065,"")</f>
        <v>0.9523018155490097</v>
      </c>
      <c r="CA1065" s="14" t="n">
        <f>IF(ISNUMBER(BS1065),BS1065,"")</f>
        <v>30</v>
      </c>
      <c r="CB1065" s="13" t="n">
        <f>IF(AND(COUNT(BV1065,BZ1065,CA1065)=3,MIN(BV1065,BZ1065,CA1065)&gt;=0),BV1065*BZ1065*CA1065,"")</f>
        <v>1.0402156645100469</v>
      </c>
      <c r="CC1065" s="11" t="n">
        <f>IF(ISNUMBER(BP1065),BP1065,"")</f>
        <v>0.5958545198749097</v>
      </c>
      <c r="CD1065" s="14" t="n">
        <f>IF(ISNUMBER(BT1065),BT1065,"")</f>
        <v>31</v>
      </c>
      <c r="CE1065" s="13" t="n">
        <f>IF(AND(COUNT(BV1065,CC1065,CD1065)=3,MIN(BV1065,CC1065,CD1065)&gt;=0),BV1065*CC1065*CD1065,"")</f>
        <v>0.6725575530749004</v>
      </c>
      <c r="CF1065" s="11" t="n">
        <f>IF(ISNUMBER(BQ1065),BQ1065,"")</f>
        <v>1.3264167397065354</v>
      </c>
      <c r="CG1065" s="14" t="n">
        <f>IF(ISNUMBER(BU1065),BU1065,"")</f>
        <v>17</v>
      </c>
      <c r="CH1065" s="13" t="n">
        <f>IF(AND(COUNT(BV1065,CF1065,CG1065)=3,MIN(BV1065,CF1065,CG1065)&gt;=0),BV1065*CF1065*CG1065,"")</f>
        <v>0.8210251068272894</v>
      </c>
      <c r="CI1065" s="13" t="n">
        <f>IF(COUNT(BY1065,CB1065,CE1065,CH1065)=4,SUM(BY1065,CB1065,CE1065,CH1065),"")</f>
        <v>2.853093579173296</v>
      </c>
    </row>
    <row r="1066" ht="72" customHeight="1">
      <c r="A1066" s="16" t="str">
        <v>B07-MT-37.5</v>
      </c>
      <c r="B1066" s="16" t="str">
        <v>4店-彬郁-US</v>
      </c>
      <c r="C1066" s="16" t="str">
        <v>艾年</v>
      </c>
      <c r="D1066" s="26" t="n">
        <f>IF(NOT(ISNUMBER(E1066)),"",IF(OR(E1066&lt;=0,L1066=0),0,IF(OR(NOT(ISNUMBER(F1066)),F1066&lt;0),"",MIN(E1066,INT(F1066)))))</f>
        <v>0</v>
      </c>
      <c r="E1066" s="27" t="n">
        <f>IF(OR(NOT(ISNUMBER(L1066)),COUNT(M1066:O1066)&lt;&gt;3,MIN(M1066:O1066)&lt;0),"",ROUNDUP(ROUND(BI1066-SUM(M1066:O1066),10),0))</f>
        <v>-6</v>
      </c>
      <c r="F1066" s="28" t="n">
        <v>0</v>
      </c>
      <c r="G1066" s="28" t="n">
        <f>IF(AND(ISNUMBER(D1066),ISNUMBER(E1066)),IF(OR(E1066&lt;=0,L1066=0),0,E1066-D1066),"")</f>
        <v>0</v>
      </c>
      <c r="H1066" s="16" t="str">
        <f>IF(NOT(ISNUMBER(E1066)),"销量或海外库存待补",IF(OR(E1066&lt;=0,L1066=0),IF(L1066=0,"零日销，本批不发","本批无需补货"),IF(NOT(ISNUMBER(D1066)),"国内库存待补",IF(D1066=0,"国内无可用库存",IF(G1066&gt;0,"先发国内现货","按建议量发货")))))</f>
        <v>本批无需补货</v>
      </c>
      <c r="I1066" s="28" t="n">
        <f>IF(AND(COUNT(Z1066,AA1066,AB1066)=3,Z1066&gt;=AA1066,AA1066&gt;=0,AB1066=7),Z1066-AA1066,"")</f>
        <v>0</v>
      </c>
      <c r="J1066" s="28" t="n">
        <f>IF(AND(COUNT(AF1066,AG1066,AH1066)=3,AF1066&gt;=AG1066,AG1066&gt;=0,AH1066=14),AF1066-AG1066,"")</f>
        <v>1</v>
      </c>
      <c r="K1066" s="28" t="n">
        <f>IF(AND(COUNT(AL1066,AM1066,AN1066)=3,AL1066&gt;=AM1066,AM1066&gt;=0,AN1066=30),AL1066-AM1066,"")</f>
        <v>2</v>
      </c>
      <c r="L1066" s="29" t="n">
        <f>IF(ISNUMBER(BI1066),BI1066/90,"")</f>
        <v>0.031701039768592176</v>
      </c>
      <c r="M1066" s="28" t="n">
        <v>8</v>
      </c>
      <c r="N1066" s="28" t="n">
        <v>0</v>
      </c>
      <c r="O1066" s="28" t="n">
        <v>0</v>
      </c>
      <c r="P1066" s="30" t="n">
        <f>IF(AND(ISNUMBER(L1066),L1066&gt;0,COUNT(M1066:O1066)=3,MIN(M1066:O1066)&gt;=0),SUM(M1066:O1066)/L1066,"")</f>
        <v>252.35765319994346</v>
      </c>
      <c r="Q1066" s="16" t="str">
        <v>沿用原计划SKU店铺</v>
      </c>
      <c r="R1066" s="16" t="str">
        <v>已匹配</v>
      </c>
      <c r="S1066" s="16" t="str">
        <v>在售</v>
      </c>
      <c r="T1066" s="16" t="str">
        <v>B07</v>
      </c>
      <c r="U1066" s="16" t="str">
        <v>黄色羊京绒</v>
      </c>
      <c r="V1066" s="16" t="n">
        <v>6.5</v>
      </c>
      <c r="W1066" s="8" t="str">
        <v>2026-10-11 至 2026-10-17</v>
      </c>
      <c r="X1066" s="8" t="str">
        <v>2026-10-11、2026-10-12、2026-10-13、2026-10-14、2026-10-15、2026-10-16、2026-10-17</v>
      </c>
      <c r="Y1066" s="8" t="str">
        <v>无</v>
      </c>
      <c r="Z1066" s="8" t="n">
        <v>0</v>
      </c>
      <c r="AA1066" s="8" t="n">
        <v>0</v>
      </c>
      <c r="AB1066" s="8" t="n">
        <v>7</v>
      </c>
      <c r="AC1066" s="8" t="str">
        <v>2026-10-02 至 2026-10-17</v>
      </c>
      <c r="AD1066" s="8" t="str">
        <v>2026-10-02、2026-10-03、2026-10-04、2026-10-05、2026-10-08、2026-10-09、2026-10-10、2026-10-11、2026-10-12、2026-10-13、2026-10-14、2026-10-15、2026-10-16、2026-10-17</v>
      </c>
      <c r="AE1066" s="8" t="str">
        <v>2026-10-06 大促；2026-10-07 大促</v>
      </c>
      <c r="AF1066" s="8" t="n">
        <v>2</v>
      </c>
      <c r="AG1066" s="8" t="n">
        <v>1</v>
      </c>
      <c r="AH1066" s="8" t="n">
        <v>14</v>
      </c>
      <c r="AI1066" s="8" t="str">
        <v>2026-09-16 至 2026-10-17</v>
      </c>
      <c r="AJ10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6" s="8" t="str">
        <v>2026-10-06 大促；2026-10-07 大促</v>
      </c>
      <c r="AL1066" s="8" t="n">
        <v>3</v>
      </c>
      <c r="AM1066" s="8" t="n">
        <v>1</v>
      </c>
      <c r="AN1066" s="8" t="n">
        <v>30</v>
      </c>
      <c r="AO1066" s="8" t="str">
        <v>B07 / 黄色羊京绒 / 13306</v>
      </c>
      <c r="AP1066" s="11" t="n">
        <v>0.7307750238224848</v>
      </c>
      <c r="AQ1066" s="11" t="n">
        <v>0.7307750238224848</v>
      </c>
      <c r="AR1066" s="11" t="n">
        <v>0.7449809054134506</v>
      </c>
      <c r="AS1066" s="11" t="n">
        <f>IF(AND(COUNT(I1066:K1066,AP1066:AR1066)=6,MIN(AP1066:AR1066)&gt;0),I1066/7/AP1066*0.5+J1066/14/AQ1066*0.3+K1066/30/AR1066*0.2,"")</f>
        <v>0.04722062625929688</v>
      </c>
      <c r="AT1066" s="8" t="n">
        <v>3</v>
      </c>
      <c r="AU1066" s="8" t="n">
        <v>1</v>
      </c>
      <c r="AV1066" s="8" t="n">
        <v>88</v>
      </c>
      <c r="AW1066" s="11" t="n">
        <f>IF(AND(COUNT(AT1066:AV1066)=3,AT1066&gt;=AU1066,AU1066&gt;=0,AV1066&gt;0),(AT1066-AU1066)/AV1066,"")</f>
        <v>0.022727272727272728</v>
      </c>
      <c r="AX1066" s="8" t="n">
        <v>6</v>
      </c>
      <c r="AY1066" s="8" t="n">
        <v>1</v>
      </c>
      <c r="AZ1066" s="8" t="n">
        <v>178</v>
      </c>
      <c r="BA1066" s="11" t="n">
        <f>IF(AND(COUNT(AX1066:AZ1066)=3,AX1066&gt;=AY1066,AY1066&gt;=0,AZ1066&gt;0),(AX1066-AY1066)/AZ1066,"")</f>
        <v>0.028089887640449437</v>
      </c>
      <c r="BB1066" s="8" t="n">
        <f>IF(COUNT(AS1066,AW1066,BA1066)=3,1,0)</f>
        <v>1</v>
      </c>
      <c r="BC1066" s="11" t="n">
        <f>IF(SUMIF($AO$11:$AO$1309,AO1066,$BB$11:$BB$1309)=COUNTIF($AO$11:$AO$1309,AO1066),SUMIF($AO$11:$AO$1309,AO1066,$AS$11:$AS$1309),"")</f>
        <v>0.2573030152763903</v>
      </c>
      <c r="BD1066" s="11" t="n">
        <f>IF(SUMIF($AO$11:$AO$1309,AO1066,$BB$11:$BB$1309)=COUNTIF($AO$11:$AO$1309,AO1066),SUMIF($AO$11:$AO$1309,AO1066,$AW$11:$AW$1309),"")</f>
        <v>0.15909090909090912</v>
      </c>
      <c r="BE1066" s="11" t="n">
        <f>IF(SUMIF($AO$11:$AO$1309,AO1066,$BB$11:$BB$1309)=COUNTIF($AO$11:$AO$1309,AO1066),SUMIF($AO$11:$AO$1309,AO1066,$BA$11:$BA$1309),"")</f>
        <v>0.20301765650080256</v>
      </c>
      <c r="BF1066" s="12" t="n">
        <f>IF(COUNT(BD1066:BE1066)&lt;&gt;2,"",IF(AND(BD1066&gt;0,BE1066&gt;0),0.7*AW1066/BD1066+0.3*BA1066/BE1066,IF(BD1066&gt;0,AW1066/BD1066,IF(BE1066&gt;0,BA1066/BE1066,IF(AND(ISNUMBER(BH1066),BH1066=0),0,"")))))</f>
        <v>0.1415085388994307</v>
      </c>
      <c r="BG1066" s="11" t="n">
        <f>IF(AND(COUNT(BN1066:BU1066)=8,MIN(BN1066:BU1066)&gt;=0),SUMPRODUCT(BN1066:BQ1066,BR1066:BU1066),"")</f>
        <v>78.35892944347341</v>
      </c>
      <c r="BH1066" s="11" t="n">
        <f>IF(COUNT(BC1066,BG1066)=2,BC1066*BG1066,"")</f>
        <v>20.16198881963563</v>
      </c>
      <c r="BI1066" s="11" t="n">
        <f>IF(ISNUMBER(CI1066),CI1066,"")</f>
        <v>2.853093579173296</v>
      </c>
      <c r="BJ1066" s="8" t="str">
        <v>近180天本色销量50双（＜90），无有效新采购，请运营判断</v>
      </c>
      <c r="BK1066" s="8" t="str">
        <v>90天：2026-07-20 至 2026-10-17；180天：2026-04-21 至 2026-10-17</v>
      </c>
      <c r="BL1066" s="8" t="str">
        <v>90天：2026-10-06、2026-10-07；180天：2026-10-06、2026-10-07</v>
      </c>
      <c r="BM1066" s="8" t="str">
        <v>2026-10：12天 × 0.7307750238224848；2026-11：30天 × 0.9523018155490097；2026-12：31天 × 0.5958545198749097；2027-01：17天 × 1.3264167397065354</v>
      </c>
      <c r="BN1066" s="11" t="n">
        <v>0.7307750238224848</v>
      </c>
      <c r="BO1066" s="11" t="n">
        <v>0.9523018155490097</v>
      </c>
      <c r="BP1066" s="11" t="n">
        <v>0.5958545198749097</v>
      </c>
      <c r="BQ1066" s="11" t="n">
        <v>1.3264167397065354</v>
      </c>
      <c r="BR1066" s="8" t="n">
        <v>12</v>
      </c>
      <c r="BS1066" s="8" t="n">
        <v>30</v>
      </c>
      <c r="BT1066" s="8" t="n">
        <v>31</v>
      </c>
      <c r="BU1066" s="8" t="n">
        <v>17</v>
      </c>
      <c r="BV1066" s="11" t="n">
        <f>IF(COUNT(BC1066,BF1066)=2,BC1066*BF1066,"")</f>
        <v>0.0364105737461799</v>
      </c>
      <c r="BW1066" s="11" t="n">
        <f>IF(ISNUMBER(BN1066),BN1066,"")</f>
        <v>0.7307750238224848</v>
      </c>
      <c r="BX1066" s="14" t="n">
        <f>IF(ISNUMBER(BR1066),BR1066,"")</f>
        <v>12</v>
      </c>
      <c r="BY1066" s="13" t="n">
        <f>IF(AND(COUNT(BV1066,BW1066,BX1066)=3,MIN(BV1066,BW1066,BX1066)&gt;=0),BV1066*BW1066*BX1066,"")</f>
        <v>0.31929525476105947</v>
      </c>
      <c r="BZ1066" s="11" t="n">
        <f>IF(ISNUMBER(BO1066),BO1066,"")</f>
        <v>0.9523018155490097</v>
      </c>
      <c r="CA1066" s="14" t="n">
        <f>IF(ISNUMBER(BS1066),BS1066,"")</f>
        <v>30</v>
      </c>
      <c r="CB1066" s="13" t="n">
        <f>IF(AND(COUNT(BV1066,BZ1066,CA1066)=3,MIN(BV1066,BZ1066,CA1066)&gt;=0),BV1066*BZ1066*CA1066,"")</f>
        <v>1.0402156645100469</v>
      </c>
      <c r="CC1066" s="11" t="n">
        <f>IF(ISNUMBER(BP1066),BP1066,"")</f>
        <v>0.5958545198749097</v>
      </c>
      <c r="CD1066" s="14" t="n">
        <f>IF(ISNUMBER(BT1066),BT1066,"")</f>
        <v>31</v>
      </c>
      <c r="CE1066" s="13" t="n">
        <f>IF(AND(COUNT(BV1066,CC1066,CD1066)=3,MIN(BV1066,CC1066,CD1066)&gt;=0),BV1066*CC1066*CD1066,"")</f>
        <v>0.6725575530749004</v>
      </c>
      <c r="CF1066" s="11" t="n">
        <f>IF(ISNUMBER(BQ1066),BQ1066,"")</f>
        <v>1.3264167397065354</v>
      </c>
      <c r="CG1066" s="14" t="n">
        <f>IF(ISNUMBER(BU1066),BU1066,"")</f>
        <v>17</v>
      </c>
      <c r="CH1066" s="13" t="n">
        <f>IF(AND(COUNT(BV1066,CF1066,CG1066)=3,MIN(BV1066,CF1066,CG1066)&gt;=0),BV1066*CF1066*CG1066,"")</f>
        <v>0.8210251068272894</v>
      </c>
      <c r="CI1066" s="13" t="n">
        <f>IF(COUNT(BY1066,CB1066,CE1066,CH1066)=4,SUM(BY1066,CB1066,CE1066,CH1066),"")</f>
        <v>2.853093579173296</v>
      </c>
    </row>
    <row r="1067" ht="72" customHeight="1">
      <c r="A1067" s="16" t="str">
        <v>B07-MT-38-New</v>
      </c>
      <c r="B1067" s="16" t="str">
        <v>4店-彬郁-US</v>
      </c>
      <c r="C1067" s="16" t="str">
        <v>艾年</v>
      </c>
      <c r="D1067" s="26" t="n">
        <f>IF(NOT(ISNUMBER(E1067)),"",IF(OR(E1067&lt;=0,L1067=0),0,IF(OR(NOT(ISNUMBER(F1067)),F1067&lt;0),"",MIN(E1067,INT(F1067)))))</f>
        <v>0</v>
      </c>
      <c r="E1067" s="27" t="n">
        <f>IF(OR(NOT(ISNUMBER(L1067)),COUNT(M1067:O1067)&lt;&gt;3,MIN(M1067:O1067)&lt;0),"",ROUNDUP(ROUND(BI1067-SUM(M1067:O1067),10),0))</f>
        <v>-101</v>
      </c>
      <c r="F1067" s="28" t="n">
        <v>0</v>
      </c>
      <c r="G1067" s="28" t="n">
        <f>IF(AND(ISNUMBER(D1067),ISNUMBER(E1067)),IF(OR(E1067&lt;=0,L1067=0),0,E1067-D1067),"")</f>
        <v>0</v>
      </c>
      <c r="H1067" s="16" t="str">
        <f>IF(NOT(ISNUMBER(E1067)),"销量或海外库存待补",IF(OR(E1067&lt;=0,L1067=0),IF(L1067=0,"零日销，本批不发","本批无需补货"),IF(NOT(ISNUMBER(D1067)),"国内库存待补",IF(D1067=0,"国内无可用库存",IF(G1067&gt;0,"先发国内现货","按建议量发货")))))</f>
        <v>本批无需补货</v>
      </c>
      <c r="I1067" s="28" t="n">
        <f>IF(AND(COUNT(Z1067,AA1067,AB1067)=3,Z1067&gt;=AA1067,AA1067&gt;=0,AB1067=7),Z1067-AA1067,"")</f>
        <v>1</v>
      </c>
      <c r="J1067" s="28" t="n">
        <f>IF(AND(COUNT(AF1067,AG1067,AH1067)=3,AF1067&gt;=AG1067,AG1067&gt;=0,AH1067=14),AF1067-AG1067,"")</f>
        <v>2</v>
      </c>
      <c r="K1067" s="28" t="n">
        <f>IF(AND(COUNT(AL1067,AM1067,AN1067)=3,AL1067&gt;=AM1067,AM1067&gt;=0,AN1067=30),AL1067-AM1067,"")</f>
        <v>3</v>
      </c>
      <c r="L1067" s="29" t="n">
        <f>IF(ISNUMBER(BI1067),BI1067/90,"")</f>
        <v>0.05782278155578613</v>
      </c>
      <c r="M1067" s="28" t="n">
        <v>106</v>
      </c>
      <c r="N1067" s="28" t="n">
        <v>0</v>
      </c>
      <c r="O1067" s="28" t="n">
        <v>0</v>
      </c>
      <c r="P1067" s="30" t="n">
        <f>IF(AND(ISNUMBER(L1067),L1067&gt;0,COUNT(M1067:O1067)=3,MIN(M1067:O1067)&gt;=0),SUM(M1067:O1067)/L1067,"")</f>
        <v>1833.1874937170494</v>
      </c>
      <c r="Q1067" s="16" t="str">
        <v>沿用原计划SKU店铺</v>
      </c>
      <c r="R1067" s="16" t="str">
        <v>已匹配</v>
      </c>
      <c r="S1067" s="16" t="str">
        <v>在售</v>
      </c>
      <c r="T1067" s="16" t="str">
        <v>B07</v>
      </c>
      <c r="U1067" s="16" t="str">
        <v>黄色羊京绒</v>
      </c>
      <c r="V1067" s="16" t="n">
        <v>7</v>
      </c>
      <c r="W1067" s="8" t="str">
        <v>2026-10-11 至 2026-10-17</v>
      </c>
      <c r="X1067" s="8" t="str">
        <v>2026-10-11、2026-10-12、2026-10-13、2026-10-14、2026-10-15、2026-10-16、2026-10-17</v>
      </c>
      <c r="Y1067" s="8" t="str">
        <v>无</v>
      </c>
      <c r="Z1067" s="8" t="n">
        <v>1</v>
      </c>
      <c r="AA1067" s="8" t="n">
        <v>0</v>
      </c>
      <c r="AB1067" s="8" t="n">
        <v>7</v>
      </c>
      <c r="AC1067" s="8" t="str">
        <v>2026-10-02 至 2026-10-17</v>
      </c>
      <c r="AD1067" s="8" t="str">
        <v>2026-10-02、2026-10-03、2026-10-04、2026-10-05、2026-10-08、2026-10-09、2026-10-10、2026-10-11、2026-10-12、2026-10-13、2026-10-14、2026-10-15、2026-10-16、2026-10-17</v>
      </c>
      <c r="AE1067" s="8" t="str">
        <v>2026-10-06 大促；2026-10-07 大促</v>
      </c>
      <c r="AF1067" s="8" t="n">
        <v>3</v>
      </c>
      <c r="AG1067" s="8" t="n">
        <v>1</v>
      </c>
      <c r="AH1067" s="8" t="n">
        <v>14</v>
      </c>
      <c r="AI1067" s="8" t="str">
        <v>2026-09-16 至 2026-10-17</v>
      </c>
      <c r="AJ10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7" s="8" t="str">
        <v>2026-10-06 大促；2026-10-07 大促</v>
      </c>
      <c r="AL1067" s="8" t="n">
        <v>4</v>
      </c>
      <c r="AM1067" s="8" t="n">
        <v>1</v>
      </c>
      <c r="AN1067" s="8" t="n">
        <v>30</v>
      </c>
      <c r="AO1067" s="8" t="str">
        <v>B07 / 黄色羊京绒 / 13306</v>
      </c>
      <c r="AP1067" s="11" t="n">
        <v>0.7307750238224848</v>
      </c>
      <c r="AQ1067" s="11" t="n">
        <v>0.7307750238224848</v>
      </c>
      <c r="AR1067" s="11" t="n">
        <v>0.7449809054134506</v>
      </c>
      <c r="AS1067" s="11" t="n">
        <f>IF(AND(COUNT(I1067:K1067,AP1067:AR1067)=6,MIN(AP1067:AR1067)&gt;0),I1067/7/AP1067*0.5+J1067/14/AQ1067*0.3+K1067/30/AR1067*0.2,"")</f>
        <v>0.18323606335334994</v>
      </c>
      <c r="AT1067" s="8" t="n">
        <v>5</v>
      </c>
      <c r="AU1067" s="8" t="n">
        <v>1</v>
      </c>
      <c r="AV1067" s="8" t="n">
        <v>88</v>
      </c>
      <c r="AW1067" s="11" t="n">
        <f>IF(AND(COUNT(AT1067:AV1067)=3,AT1067&gt;=AU1067,AU1067&gt;=0,AV1067&gt;0),(AT1067-AU1067)/AV1067,"")</f>
        <v>0.045454545454545456</v>
      </c>
      <c r="AX1067" s="8" t="n">
        <v>8</v>
      </c>
      <c r="AY1067" s="8" t="n">
        <v>1</v>
      </c>
      <c r="AZ1067" s="8" t="n">
        <v>178</v>
      </c>
      <c r="BA1067" s="11" t="n">
        <f>IF(AND(COUNT(AX1067:AZ1067)=3,AX1067&gt;=AY1067,AY1067&gt;=0,AZ1067&gt;0),(AX1067-AY1067)/AZ1067,"")</f>
        <v>0.03932584269662921</v>
      </c>
      <c r="BB1067" s="8" t="n">
        <f>IF(COUNT(AS1067,AW1067,BA1067)=3,1,0)</f>
        <v>1</v>
      </c>
      <c r="BC1067" s="11" t="n">
        <f>IF(SUMIF($AO$11:$AO$1309,AO1067,$BB$11:$BB$1309)=COUNTIF($AO$11:$AO$1309,AO1067),SUMIF($AO$11:$AO$1309,AO1067,$AS$11:$AS$1309),"")</f>
        <v>0.2573030152763903</v>
      </c>
      <c r="BD1067" s="11" t="n">
        <f>IF(SUMIF($AO$11:$AO$1309,AO1067,$BB$11:$BB$1309)=COUNTIF($AO$11:$AO$1309,AO1067),SUMIF($AO$11:$AO$1309,AO1067,$AW$11:$AW$1309),"")</f>
        <v>0.15909090909090912</v>
      </c>
      <c r="BE1067" s="11" t="n">
        <f>IF(SUMIF($AO$11:$AO$1309,AO1067,$BB$11:$BB$1309)=COUNTIF($AO$11:$AO$1309,AO1067),SUMIF($AO$11:$AO$1309,AO1067,$BA$11:$BA$1309),"")</f>
        <v>0.20301765650080256</v>
      </c>
      <c r="BF1067" s="12" t="n">
        <f>IF(COUNT(BD1067:BE1067)&lt;&gt;2,"",IF(AND(BD1067&gt;0,BE1067&gt;0),0.7*AW1067/BD1067+0.3*BA1067/BE1067,IF(BD1067&gt;0,AW1067/BD1067,IF(BE1067&gt;0,BA1067/BE1067,IF(AND(ISNUMBER(BH1067),BH1067=0),0,"")))))</f>
        <v>0.258111954459203</v>
      </c>
      <c r="BG1067" s="11" t="n">
        <f>IF(AND(COUNT(BN1067:BU1067)=8,MIN(BN1067:BU1067)&gt;=0),SUMPRODUCT(BN1067:BQ1067,BR1067:BU1067),"")</f>
        <v>78.35892944347341</v>
      </c>
      <c r="BH1067" s="11" t="n">
        <f>IF(COUNT(BC1067,BG1067)=2,BC1067*BG1067,"")</f>
        <v>20.16198881963563</v>
      </c>
      <c r="BI1067" s="11" t="n">
        <f>IF(ISNUMBER(CI1067),CI1067,"")</f>
        <v>5.204050340020752</v>
      </c>
      <c r="BJ1067" s="8" t="str">
        <v>近180天本色销量50双（＜90），无有效新采购，请运营判断</v>
      </c>
      <c r="BK1067" s="8" t="str">
        <v>90天：2026-07-20 至 2026-10-17；180天：2026-04-21 至 2026-10-17</v>
      </c>
      <c r="BL1067" s="8" t="str">
        <v>90天：2026-10-06、2026-10-07；180天：2026-10-06、2026-10-07</v>
      </c>
      <c r="BM1067" s="8" t="str">
        <v>2026-10：12天 × 0.7307750238224848；2026-11：30天 × 0.9523018155490097；2026-12：31天 × 0.5958545198749097；2027-01：17天 × 1.3264167397065354</v>
      </c>
      <c r="BN1067" s="11" t="n">
        <v>0.7307750238224848</v>
      </c>
      <c r="BO1067" s="11" t="n">
        <v>0.9523018155490097</v>
      </c>
      <c r="BP1067" s="11" t="n">
        <v>0.5958545198749097</v>
      </c>
      <c r="BQ1067" s="11" t="n">
        <v>1.3264167397065354</v>
      </c>
      <c r="BR1067" s="8" t="n">
        <v>12</v>
      </c>
      <c r="BS1067" s="8" t="n">
        <v>30</v>
      </c>
      <c r="BT1067" s="8" t="n">
        <v>31</v>
      </c>
      <c r="BU1067" s="8" t="n">
        <v>17</v>
      </c>
      <c r="BV1067" s="11" t="n">
        <f>IF(COUNT(BC1067,BF1067)=2,BC1067*BF1067,"")</f>
        <v>0.06641298416123527</v>
      </c>
      <c r="BW1067" s="11" t="n">
        <f>IF(ISNUMBER(BN1067),BN1067,"")</f>
        <v>0.7307750238224848</v>
      </c>
      <c r="BX1067" s="14" t="n">
        <f>IF(ISNUMBER(BR1067),BR1067,"")</f>
        <v>12</v>
      </c>
      <c r="BY1067" s="13" t="n">
        <f>IF(AND(COUNT(BV1067,BW1067,BX1067)=3,MIN(BV1067,BW1067,BX1067)&gt;=0),BV1067*BW1067*BX1067,"")</f>
        <v>0.5823954009905882</v>
      </c>
      <c r="BZ1067" s="11" t="n">
        <f>IF(ISNUMBER(BO1067),BO1067,"")</f>
        <v>0.9523018155490097</v>
      </c>
      <c r="CA1067" s="14" t="n">
        <f>IF(ISNUMBER(BS1067),BS1067,"")</f>
        <v>30</v>
      </c>
      <c r="CB1067" s="13" t="n">
        <f>IF(AND(COUNT(BV1067,BZ1067,CA1067)=3,MIN(BV1067,BZ1067,CA1067)&gt;=0),BV1067*BZ1067*CA1067,"")</f>
        <v>1.8973561617831594</v>
      </c>
      <c r="CC1067" s="11" t="n">
        <f>IF(ISNUMBER(BP1067),BP1067,"")</f>
        <v>0.5958545198749097</v>
      </c>
      <c r="CD1067" s="14" t="n">
        <f>IF(ISNUMBER(BT1067),BT1067,"")</f>
        <v>31</v>
      </c>
      <c r="CE1067" s="13" t="n">
        <f>IF(AND(COUNT(BV1067,CC1067,CD1067)=3,MIN(BV1067,CC1067,CD1067)&gt;=0),BV1067*CC1067*CD1067,"")</f>
        <v>1.2267467805164376</v>
      </c>
      <c r="CF1067" s="11" t="n">
        <f>IF(ISNUMBER(BQ1067),BQ1067,"")</f>
        <v>1.3264167397065354</v>
      </c>
      <c r="CG1067" s="14" t="n">
        <f>IF(ISNUMBER(BU1067),BU1067,"")</f>
        <v>17</v>
      </c>
      <c r="CH1067" s="13" t="n">
        <f>IF(AND(COUNT(BV1067,CF1067,CG1067)=3,MIN(BV1067,CF1067,CG1067)&gt;=0),BV1067*CF1067*CG1067,"")</f>
        <v>1.4975519967305668</v>
      </c>
      <c r="CI1067" s="13" t="n">
        <f>IF(COUNT(BY1067,CB1067,CE1067,CH1067)=4,SUM(BY1067,CB1067,CE1067,CH1067),"")</f>
        <v>5.204050340020752</v>
      </c>
    </row>
    <row r="1068" ht="72" customHeight="1">
      <c r="A1068" s="16" t="str">
        <v>B07-ND-I-0-37</v>
      </c>
      <c r="B1068" s="16" t="str">
        <v>4店-彬郁-US</v>
      </c>
      <c r="C1068" s="16" t="str">
        <v>艾年</v>
      </c>
      <c r="D1068" s="26" t="n">
        <f>IF(NOT(ISNUMBER(E1068)),"",IF(OR(E1068&lt;=0,L1068=0),0,IF(OR(NOT(ISNUMBER(F1068)),F1068&lt;0),"",MIN(E1068,INT(F1068)))))</f>
        <v>0</v>
      </c>
      <c r="E1068" s="27" t="n">
        <f>IF(OR(NOT(ISNUMBER(L1068)),COUNT(M1068:O1068)&lt;&gt;3,MIN(M1068:O1068)&lt;0),"",ROUNDUP(ROUND(BI1068-SUM(M1068:O1068),10),0))</f>
        <v>-18</v>
      </c>
      <c r="F1068" s="28" t="n">
        <v>0</v>
      </c>
      <c r="G1068" s="28" t="n">
        <f>IF(AND(ISNUMBER(D1068),ISNUMBER(E1068)),IF(OR(E1068&lt;=0,L1068=0),0,E1068-D1068),"")</f>
        <v>0</v>
      </c>
      <c r="H1068" s="16" t="str">
        <f>IF(NOT(ISNUMBER(E1068)),"销量或海外库存待补",IF(OR(E1068&lt;=0,L1068=0),IF(L1068=0,"零日销，本批不发","本批无需补货"),IF(NOT(ISNUMBER(D1068)),"国内库存待补",IF(D1068=0,"国内无可用库存",IF(G1068&gt;0,"先发国内现货","按建议量发货")))))</f>
        <v>本批无需补货</v>
      </c>
      <c r="I1068" s="28" t="n">
        <f>IF(AND(COUNT(Z1068,AA1068,AB1068)=3,Z1068&gt;=AA1068,AA1068&gt;=0,AB1068=7),Z1068-AA1068,"")</f>
        <v>0</v>
      </c>
      <c r="J1068" s="28" t="n">
        <f>IF(AND(COUNT(AF1068,AG1068,AH1068)=3,AF1068&gt;=AG1068,AG1068&gt;=0,AH1068=14),AF1068-AG1068,"")</f>
        <v>0</v>
      </c>
      <c r="K1068" s="28" t="n">
        <f>IF(AND(COUNT(AL1068,AM1068,AN1068)=3,AL1068&gt;=AM1068,AM1068&gt;=0,AN1068=30),AL1068-AM1068,"")</f>
        <v>0</v>
      </c>
      <c r="L1068" s="29" t="n">
        <f>IF(ISNUMBER(BI1068),BI1068/90,"")</f>
        <v>0.017347587733887972</v>
      </c>
      <c r="M1068" s="28" t="n">
        <v>19</v>
      </c>
      <c r="N1068" s="28" t="n">
        <v>0</v>
      </c>
      <c r="O1068" s="28" t="n">
        <v>0</v>
      </c>
      <c r="P1068" s="30" t="n">
        <f>IF(AND(ISNUMBER(L1068),L1068&gt;0,COUNT(M1068:O1068)=3,MIN(M1068:O1068)&gt;=0),SUM(M1068:O1068)/L1068,"")</f>
        <v>1095.2531436335723</v>
      </c>
      <c r="Q1068" s="16" t="str">
        <v>沿用原计划SKU店铺</v>
      </c>
      <c r="R1068" s="16" t="str">
        <v>已匹配</v>
      </c>
      <c r="S1068" s="16" t="str">
        <v>在售</v>
      </c>
      <c r="T1068" s="16" t="str">
        <v>B07</v>
      </c>
      <c r="U1068" s="16" t="str">
        <v>裸色色织提花</v>
      </c>
      <c r="V1068" s="16" t="n">
        <v>6</v>
      </c>
      <c r="W1068" s="8" t="str">
        <v>2026-10-11 至 2026-10-17</v>
      </c>
      <c r="X1068" s="8" t="str">
        <v>2026-10-11、2026-10-12、2026-10-13、2026-10-14、2026-10-15、2026-10-16、2026-10-17</v>
      </c>
      <c r="Y1068" s="8" t="str">
        <v>无</v>
      </c>
      <c r="Z1068" s="8" t="n">
        <v>0</v>
      </c>
      <c r="AA1068" s="8" t="n">
        <v>0</v>
      </c>
      <c r="AB1068" s="8" t="n">
        <v>7</v>
      </c>
      <c r="AC1068" s="8" t="str">
        <v>2026-10-02 至 2026-10-17</v>
      </c>
      <c r="AD1068" s="8" t="str">
        <v>2026-10-02、2026-10-03、2026-10-04、2026-10-05、2026-10-08、2026-10-09、2026-10-10、2026-10-11、2026-10-12、2026-10-13、2026-10-14、2026-10-15、2026-10-16、2026-10-17</v>
      </c>
      <c r="AE1068" s="8" t="str">
        <v>2026-10-06 大促；2026-10-07 大促</v>
      </c>
      <c r="AF1068" s="8" t="n">
        <v>0</v>
      </c>
      <c r="AG1068" s="8" t="n">
        <v>0</v>
      </c>
      <c r="AH1068" s="8" t="n">
        <v>14</v>
      </c>
      <c r="AI1068" s="8" t="str">
        <v>2026-09-16 至 2026-10-17</v>
      </c>
      <c r="AJ10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8" s="8" t="str">
        <v>2026-10-06 大促；2026-10-07 大促</v>
      </c>
      <c r="AL1068" s="8" t="n">
        <v>0</v>
      </c>
      <c r="AM1068" s="8" t="n">
        <v>0</v>
      </c>
      <c r="AN1068" s="8" t="n">
        <v>30</v>
      </c>
      <c r="AO1068" s="8" t="str">
        <v>B07 / 裸色镜面PU / 13306</v>
      </c>
      <c r="AP1068" s="11" t="n">
        <v>0.7307750238224848</v>
      </c>
      <c r="AQ1068" s="11" t="n">
        <v>0.7307750238224848</v>
      </c>
      <c r="AR1068" s="11" t="n">
        <v>0.7449809054134506</v>
      </c>
      <c r="AS1068" s="11" t="n">
        <f>IF(AND(COUNT(I1068:K1068,AP1068:AR1068)=6,MIN(AP1068:AR1068)&gt;0),I1068/7/AP1068*0.5+J1068/14/AQ1068*0.3+K1068/30/AR1068*0.2,"")</f>
        <v>0</v>
      </c>
      <c r="AT1068" s="8" t="n">
        <v>1</v>
      </c>
      <c r="AU1068" s="8" t="n">
        <v>0</v>
      </c>
      <c r="AV1068" s="8" t="n">
        <v>88</v>
      </c>
      <c r="AW1068" s="11" t="n">
        <f>IF(AND(COUNT(AT1068:AV1068)=3,AT1068&gt;=AU1068,AU1068&gt;=0,AV1068&gt;0),(AT1068-AU1068)/AV1068,"")</f>
        <v>0.011363636363636364</v>
      </c>
      <c r="AX1068" s="8" t="n">
        <v>2</v>
      </c>
      <c r="AY1068" s="8" t="n">
        <v>0</v>
      </c>
      <c r="AZ1068" s="8" t="n">
        <v>178</v>
      </c>
      <c r="BA1068" s="11" t="n">
        <f>IF(AND(COUNT(AX1068:AZ1068)=3,AX1068&gt;=AY1068,AY1068&gt;=0,AZ1068&gt;0),(AX1068-AY1068)/AZ1068,"")</f>
        <v>0.011235955056179775</v>
      </c>
      <c r="BB1068" s="8" t="n">
        <f>IF(COUNT(AS1068,AW1068,BA1068)=3,1,0)</f>
        <v>1</v>
      </c>
      <c r="BC1068" s="11" t="n">
        <f>IF(SUMIF($AO$11:$AO$1309,AO1068,$BB$11:$BB$1309)=COUNTIF($AO$11:$AO$1309,AO1068),SUMIF($AO$11:$AO$1309,AO1068,$AS$11:$AS$1309),"")</f>
        <v>0.683212878207941</v>
      </c>
      <c r="BD1068" s="11" t="n">
        <f>IF(SUMIF($AO$11:$AO$1309,AO1068,$BB$11:$BB$1309)=COUNTIF($AO$11:$AO$1309,AO1068),SUMIF($AO$11:$AO$1309,AO1068,$AW$11:$AW$1309),"")</f>
        <v>0.3772696182066906</v>
      </c>
      <c r="BE1068" s="11" t="n">
        <f>IF(SUMIF($AO$11:$AO$1309,AO1068,$BB$11:$BB$1309)=COUNTIF($AO$11:$AO$1309,AO1068),SUMIF($AO$11:$AO$1309,AO1068,$BA$11:$BA$1309),"")</f>
        <v>0.41723770611411054</v>
      </c>
      <c r="BF1068" s="12" t="n">
        <f>IF(COUNT(BD1068:BE1068)&lt;&gt;2,"",IF(AND(BD1068&gt;0,BE1068&gt;0),0.7*AW1068/BD1068+0.3*BA1068/BE1068,IF(BD1068&gt;0,AW1068/BD1068,IF(BE1068&gt;0,BA1068/BE1068,IF(AND(ISNUMBER(BH1068),BH1068=0),0,"")))))</f>
        <v>0.02916332677130869</v>
      </c>
      <c r="BG1068" s="11" t="n">
        <f>IF(AND(COUNT(BN1068:BU1068)=8,MIN(BN1068:BU1068)&gt;=0),SUMPRODUCT(BN1068:BQ1068,BR1068:BU1068),"")</f>
        <v>78.35892944347341</v>
      </c>
      <c r="BH1068" s="11" t="n">
        <f>IF(COUNT(BC1068,BG1068)=2,BC1068*BG1068,"")</f>
        <v>53.53582971836844</v>
      </c>
      <c r="BI1068" s="11" t="n">
        <f>IF(ISNUMBER(CI1068),CI1068,"")</f>
        <v>1.5612828960499177</v>
      </c>
      <c r="BJ1068" s="8" t="str"/>
      <c r="BK1068" s="8" t="str">
        <v>90天：2026-07-20 至 2026-10-17；180天：2026-04-21 至 2026-10-17</v>
      </c>
      <c r="BL1068" s="8" t="str">
        <v>90天：2026-10-06、2026-10-07；180天：2026-10-06、2026-10-07</v>
      </c>
      <c r="BM1068" s="8" t="str">
        <v>2026-10：12天 × 0.7307750238224848；2026-11：30天 × 0.9523018155490097；2026-12：31天 × 0.5958545198749097；2027-01：17天 × 1.3264167397065354</v>
      </c>
      <c r="BN1068" s="11" t="n">
        <v>0.7307750238224848</v>
      </c>
      <c r="BO1068" s="11" t="n">
        <v>0.9523018155490097</v>
      </c>
      <c r="BP1068" s="11" t="n">
        <v>0.5958545198749097</v>
      </c>
      <c r="BQ1068" s="11" t="n">
        <v>1.3264167397065354</v>
      </c>
      <c r="BR1068" s="8" t="n">
        <v>12</v>
      </c>
      <c r="BS1068" s="8" t="n">
        <v>30</v>
      </c>
      <c r="BT1068" s="8" t="n">
        <v>31</v>
      </c>
      <c r="BU1068" s="8" t="n">
        <v>17</v>
      </c>
      <c r="BV1068" s="11" t="n">
        <f>IF(COUNT(BC1068,BF1068)=2,BC1068*BF1068,"")</f>
        <v>0.019924760421544507</v>
      </c>
      <c r="BW1068" s="11" t="n">
        <f>IF(ISNUMBER(BN1068),BN1068,"")</f>
        <v>0.7307750238224848</v>
      </c>
      <c r="BX1068" s="14" t="n">
        <f>IF(ISNUMBER(BR1068),BR1068,"")</f>
        <v>12</v>
      </c>
      <c r="BY1068" s="13" t="n">
        <f>IF(AND(COUNT(BV1068,BW1068,BX1068)=3,MIN(BV1068,BW1068,BX1068)&gt;=0),BV1068*BW1068*BX1068,"")</f>
        <v>0.1747262072605379</v>
      </c>
      <c r="BZ1068" s="11" t="n">
        <f>IF(ISNUMBER(BO1068),BO1068,"")</f>
        <v>0.9523018155490097</v>
      </c>
      <c r="CA1068" s="14" t="n">
        <f>IF(ISNUMBER(BS1068),BS1068,"")</f>
        <v>30</v>
      </c>
      <c r="CB1068" s="13" t="n">
        <f>IF(AND(COUNT(BV1068,BZ1068,CA1068)=3,MIN(BV1068,BZ1068,CA1068)&gt;=0),BV1068*BZ1068*CA1068,"")</f>
        <v>0.5692315657144766</v>
      </c>
      <c r="CC1068" s="11" t="n">
        <f>IF(ISNUMBER(BP1068),BP1068,"")</f>
        <v>0.5958545198749097</v>
      </c>
      <c r="CD1068" s="14" t="n">
        <f>IF(ISNUMBER(BT1068),BT1068,"")</f>
        <v>31</v>
      </c>
      <c r="CE1068" s="13" t="n">
        <f>IF(AND(COUNT(BV1068,CC1068,CD1068)=3,MIN(BV1068,CC1068,CD1068)&gt;=0),BV1068*CC1068*CD1068,"")</f>
        <v>0.36804001519266216</v>
      </c>
      <c r="CF1068" s="11" t="n">
        <f>IF(ISNUMBER(BQ1068),BQ1068,"")</f>
        <v>1.3264167397065354</v>
      </c>
      <c r="CG1068" s="14" t="n">
        <f>IF(ISNUMBER(BU1068),BU1068,"")</f>
        <v>17</v>
      </c>
      <c r="CH1068" s="13" t="n">
        <f>IF(AND(COUNT(BV1068,CF1068,CG1068)=3,MIN(BV1068,CF1068,CG1068)&gt;=0),BV1068*CF1068*CG1068,"")</f>
        <v>0.44928510788224096</v>
      </c>
      <c r="CI1068" s="13" t="n">
        <f>IF(COUNT(BY1068,CB1068,CE1068,CH1068)=4,SUM(BY1068,CB1068,CE1068,CH1068),"")</f>
        <v>1.5612828960499177</v>
      </c>
    </row>
    <row r="1069" ht="72" customHeight="1">
      <c r="A1069" s="16" t="str">
        <v>B07-ND-I-0-38</v>
      </c>
      <c r="B1069" s="16" t="str">
        <v>4店-彬郁-US</v>
      </c>
      <c r="C1069" s="16" t="str">
        <v>艾年</v>
      </c>
      <c r="D1069" s="26" t="n">
        <f>IF(NOT(ISNUMBER(E1069)),"",IF(OR(E1069&lt;=0,L1069=0),0,IF(OR(NOT(ISNUMBER(F1069)),F1069&lt;0),"",MIN(E1069,INT(F1069)))))</f>
        <v>0</v>
      </c>
      <c r="E1069" s="27" t="n">
        <f>IF(OR(NOT(ISNUMBER(L1069)),COUNT(M1069:O1069)&lt;&gt;3,MIN(M1069:O1069)&lt;0),"",ROUNDUP(ROUND(BI1069-SUM(M1069:O1069),10),0))</f>
        <v>-12</v>
      </c>
      <c r="F1069" s="28" t="n">
        <v>20</v>
      </c>
      <c r="G1069" s="28" t="n">
        <f>IF(AND(ISNUMBER(D1069),ISNUMBER(E1069)),IF(OR(E1069&lt;=0,L1069=0),0,E1069-D1069),"")</f>
        <v>0</v>
      </c>
      <c r="H1069" s="16" t="str">
        <f>IF(NOT(ISNUMBER(E1069)),"销量或海外库存待补",IF(OR(E1069&lt;=0,L1069=0),IF(L1069=0,"零日销，本批不发","本批无需补货"),IF(NOT(ISNUMBER(D1069)),"国内库存待补",IF(D1069=0,"国内无可用库存",IF(G1069&gt;0,"先发国内现货","按建议量发货")))))</f>
        <v>本批无需补货</v>
      </c>
      <c r="I1069" s="28" t="n">
        <f>IF(AND(COUNT(Z1069,AA1069,AB1069)=3,Z1069&gt;=AA1069,AA1069&gt;=0,AB1069=7),Z1069-AA1069,"")</f>
        <v>0</v>
      </c>
      <c r="J1069" s="28" t="n">
        <f>IF(AND(COUNT(AF1069,AG1069,AH1069)=3,AF1069&gt;=AG1069,AG1069&gt;=0,AH1069=14),AF1069-AG1069,"")</f>
        <v>0</v>
      </c>
      <c r="K1069" s="28" t="n">
        <f>IF(AND(COUNT(AL1069,AM1069,AN1069)=3,AL1069&gt;=AM1069,AM1069&gt;=0,AN1069=30),AL1069-AM1069,"")</f>
        <v>1</v>
      </c>
      <c r="L1069" s="29" t="n">
        <f>IF(ISNUMBER(BI1069),BI1069/90,"")</f>
        <v>0.04430642213118864</v>
      </c>
      <c r="M1069" s="28" t="n">
        <v>15</v>
      </c>
      <c r="N1069" s="28" t="n">
        <v>0</v>
      </c>
      <c r="O1069" s="28" t="n">
        <v>0</v>
      </c>
      <c r="P1069" s="30" t="n">
        <f>IF(AND(ISNUMBER(L1069),L1069&gt;0,COUNT(M1069:O1069)=3,MIN(M1069:O1069)&gt;=0),SUM(M1069:O1069)/L1069,"")</f>
        <v>338.5513719791209</v>
      </c>
      <c r="Q1069" s="16" t="str">
        <v>沿用原计划SKU店铺</v>
      </c>
      <c r="R1069" s="16" t="str">
        <v>已匹配</v>
      </c>
      <c r="S1069" s="16" t="str">
        <v>在售</v>
      </c>
      <c r="T1069" s="16" t="str">
        <v>B07</v>
      </c>
      <c r="U1069" s="16" t="str">
        <v>裸色色织提花</v>
      </c>
      <c r="V1069" s="16" t="n">
        <v>7</v>
      </c>
      <c r="W1069" s="8" t="str">
        <v>2026-10-11 至 2026-10-17</v>
      </c>
      <c r="X1069" s="8" t="str">
        <v>2026-10-11、2026-10-12、2026-10-13、2026-10-14、2026-10-15、2026-10-16、2026-10-17</v>
      </c>
      <c r="Y1069" s="8" t="str">
        <v>无</v>
      </c>
      <c r="Z1069" s="8" t="n">
        <v>0</v>
      </c>
      <c r="AA1069" s="8" t="n">
        <v>0</v>
      </c>
      <c r="AB1069" s="8" t="n">
        <v>7</v>
      </c>
      <c r="AC1069" s="8" t="str">
        <v>2026-10-02 至 2026-10-17</v>
      </c>
      <c r="AD1069" s="8" t="str">
        <v>2026-10-02、2026-10-03、2026-10-04、2026-10-05、2026-10-08、2026-10-09、2026-10-10、2026-10-11、2026-10-12、2026-10-13、2026-10-14、2026-10-15、2026-10-16、2026-10-17</v>
      </c>
      <c r="AE1069" s="8" t="str">
        <v>2026-10-06 大促；2026-10-07 大促</v>
      </c>
      <c r="AF1069" s="8" t="n">
        <v>0</v>
      </c>
      <c r="AG1069" s="8" t="n">
        <v>0</v>
      </c>
      <c r="AH1069" s="8" t="n">
        <v>14</v>
      </c>
      <c r="AI1069" s="8" t="str">
        <v>2026-09-16 至 2026-10-17</v>
      </c>
      <c r="AJ10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69" s="8" t="str">
        <v>2026-10-06 大促；2026-10-07 大促</v>
      </c>
      <c r="AL1069" s="8" t="n">
        <v>1</v>
      </c>
      <c r="AM1069" s="8" t="n">
        <v>0</v>
      </c>
      <c r="AN1069" s="8" t="n">
        <v>30</v>
      </c>
      <c r="AO1069" s="8" t="str">
        <v>B07 / 裸色镜面PU / 13306</v>
      </c>
      <c r="AP1069" s="11" t="n">
        <v>0.7307750238224848</v>
      </c>
      <c r="AQ1069" s="11" t="n">
        <v>0.7307750238224848</v>
      </c>
      <c r="AR1069" s="11" t="n">
        <v>0.7449809054134506</v>
      </c>
      <c r="AS1069" s="11" t="n">
        <f>IF(AND(COUNT(I1069:K1069,AP1069:AR1069)=6,MIN(AP1069:AR1069)&gt;0),I1069/7/AP1069*0.5+J1069/14/AQ1069*0.3+K1069/30/AR1069*0.2,"")</f>
        <v>0.008948775221247839</v>
      </c>
      <c r="AT1069" s="8" t="n">
        <v>2</v>
      </c>
      <c r="AU1069" s="8" t="n">
        <v>0</v>
      </c>
      <c r="AV1069" s="8" t="n">
        <v>88</v>
      </c>
      <c r="AW1069" s="11" t="n">
        <f>IF(AND(COUNT(AT1069:AV1069)=3,AT1069&gt;=AU1069,AU1069&gt;=0,AV1069&gt;0),(AT1069-AU1069)/AV1069,"")</f>
        <v>0.022727272727272728</v>
      </c>
      <c r="AX1069" s="8" t="n">
        <v>8</v>
      </c>
      <c r="AY1069" s="8" t="n">
        <v>0</v>
      </c>
      <c r="AZ1069" s="8" t="n">
        <v>178</v>
      </c>
      <c r="BA1069" s="11" t="n">
        <f>IF(AND(COUNT(AX1069:AZ1069)=3,AX1069&gt;=AY1069,AY1069&gt;=0,AZ1069&gt;0),(AX1069-AY1069)/AZ1069,"")</f>
        <v>0.0449438202247191</v>
      </c>
      <c r="BB1069" s="8" t="n">
        <f>IF(COUNT(AS1069,AW1069,BA1069)=3,1,0)</f>
        <v>1</v>
      </c>
      <c r="BC1069" s="11" t="n">
        <f>IF(SUMIF($AO$11:$AO$1309,AO1069,$BB$11:$BB$1309)=COUNTIF($AO$11:$AO$1309,AO1069),SUMIF($AO$11:$AO$1309,AO1069,$AS$11:$AS$1309),"")</f>
        <v>0.683212878207941</v>
      </c>
      <c r="BD1069" s="11" t="n">
        <f>IF(SUMIF($AO$11:$AO$1309,AO1069,$BB$11:$BB$1309)=COUNTIF($AO$11:$AO$1309,AO1069),SUMIF($AO$11:$AO$1309,AO1069,$AW$11:$AW$1309),"")</f>
        <v>0.3772696182066906</v>
      </c>
      <c r="BE1069" s="11" t="n">
        <f>IF(SUMIF($AO$11:$AO$1309,AO1069,$BB$11:$BB$1309)=COUNTIF($AO$11:$AO$1309,AO1069),SUMIF($AO$11:$AO$1309,AO1069,$BA$11:$BA$1309),"")</f>
        <v>0.41723770611411054</v>
      </c>
      <c r="BF1069" s="12" t="n">
        <f>IF(COUNT(BD1069:BE1069)&lt;&gt;2,"",IF(AND(BD1069&gt;0,BE1069&gt;0),0.7*AW1069/BD1069+0.3*BA1069/BE1069,IF(BD1069&gt;0,AW1069/BD1069,IF(BE1069&gt;0,BA1069/BE1069,IF(AND(ISNUMBER(BH1069),BH1069=0),0,"")))))</f>
        <v>0.07448428487583181</v>
      </c>
      <c r="BG1069" s="11" t="n">
        <f>IF(AND(COUNT(BN1069:BU1069)=8,MIN(BN1069:BU1069)&gt;=0),SUMPRODUCT(BN1069:BQ1069,BR1069:BU1069),"")</f>
        <v>78.35892944347341</v>
      </c>
      <c r="BH1069" s="11" t="n">
        <f>IF(COUNT(BC1069,BG1069)=2,BC1069*BG1069,"")</f>
        <v>53.53582971836844</v>
      </c>
      <c r="BI1069" s="11" t="n">
        <f>IF(ISNUMBER(CI1069),CI1069,"")</f>
        <v>3.987577991806978</v>
      </c>
      <c r="BJ1069" s="8" t="str"/>
      <c r="BK1069" s="8" t="str">
        <v>90天：2026-07-20 至 2026-10-17；180天：2026-04-21 至 2026-10-17</v>
      </c>
      <c r="BL1069" s="8" t="str">
        <v>90天：2026-10-06、2026-10-07；180天：2026-10-06、2026-10-07</v>
      </c>
      <c r="BM1069" s="8" t="str">
        <v>2026-10：12天 × 0.7307750238224848；2026-11：30天 × 0.9523018155490097；2026-12：31天 × 0.5958545198749097；2027-01：17天 × 1.3264167397065354</v>
      </c>
      <c r="BN1069" s="11" t="n">
        <v>0.7307750238224848</v>
      </c>
      <c r="BO1069" s="11" t="n">
        <v>0.9523018155490097</v>
      </c>
      <c r="BP1069" s="11" t="n">
        <v>0.5958545198749097</v>
      </c>
      <c r="BQ1069" s="11" t="n">
        <v>1.3264167397065354</v>
      </c>
      <c r="BR1069" s="8" t="n">
        <v>12</v>
      </c>
      <c r="BS1069" s="8" t="n">
        <v>30</v>
      </c>
      <c r="BT1069" s="8" t="n">
        <v>31</v>
      </c>
      <c r="BU1069" s="8" t="n">
        <v>17</v>
      </c>
      <c r="BV1069" s="11" t="n">
        <f>IF(COUNT(BC1069,BF1069)=2,BC1069*BF1069,"")</f>
        <v>0.050888622651277256</v>
      </c>
      <c r="BW1069" s="11" t="n">
        <f>IF(ISNUMBER(BN1069),BN1069,"")</f>
        <v>0.7307750238224848</v>
      </c>
      <c r="BX1069" s="14" t="n">
        <f>IF(ISNUMBER(BR1069),BR1069,"")</f>
        <v>12</v>
      </c>
      <c r="BY1069" s="13" t="n">
        <f>IF(AND(COUNT(BV1069,BW1069,BX1069)=3,MIN(BV1069,BW1069,BX1069)&gt;=0),BV1069*BW1069*BX1069,"")</f>
        <v>0.446257613163367</v>
      </c>
      <c r="BZ1069" s="11" t="n">
        <f>IF(ISNUMBER(BO1069),BO1069,"")</f>
        <v>0.9523018155490097</v>
      </c>
      <c r="CA1069" s="14" t="n">
        <f>IF(ISNUMBER(BS1069),BS1069,"")</f>
        <v>30</v>
      </c>
      <c r="CB1069" s="13" t="n">
        <f>IF(AND(COUNT(BV1069,BZ1069,CA1069)=3,MIN(BV1069,BZ1069,CA1069)&gt;=0),BV1069*BZ1069*CA1069,"")</f>
        <v>1.4538398322479937</v>
      </c>
      <c r="CC1069" s="11" t="n">
        <f>IF(ISNUMBER(BP1069),BP1069,"")</f>
        <v>0.5958545198749097</v>
      </c>
      <c r="CD1069" s="14" t="n">
        <f>IF(ISNUMBER(BT1069),BT1069,"")</f>
        <v>31</v>
      </c>
      <c r="CE1069" s="13" t="n">
        <f>IF(AND(COUNT(BV1069,CC1069,CD1069)=3,MIN(BV1069,CC1069,CD1069)&gt;=0),BV1069*CC1069*CD1069,"")</f>
        <v>0.9399886903261402</v>
      </c>
      <c r="CF1069" s="11" t="n">
        <f>IF(ISNUMBER(BQ1069),BQ1069,"")</f>
        <v>1.3264167397065354</v>
      </c>
      <c r="CG1069" s="14" t="n">
        <f>IF(ISNUMBER(BU1069),BU1069,"")</f>
        <v>17</v>
      </c>
      <c r="CH1069" s="13" t="n">
        <f>IF(AND(COUNT(BV1069,CF1069,CG1069)=3,MIN(BV1069,CF1069,CG1069)&gt;=0),BV1069*CF1069*CG1069,"")</f>
        <v>1.1474918560694765</v>
      </c>
      <c r="CI1069" s="13" t="n">
        <f>IF(COUNT(BY1069,CB1069,CE1069,CH1069)=4,SUM(BY1069,CB1069,CE1069,CH1069),"")</f>
        <v>3.987577991806978</v>
      </c>
    </row>
    <row r="1070" ht="72" customHeight="1">
      <c r="A1070" s="16" t="str">
        <v>B07-ND-I-0-41</v>
      </c>
      <c r="B1070" s="16" t="str">
        <v>4店-彬郁-US</v>
      </c>
      <c r="C1070" s="16" t="str">
        <v>艾年</v>
      </c>
      <c r="D1070" s="26" t="n">
        <f>IF(NOT(ISNUMBER(E1070)),"",IF(OR(E1070&lt;=0,L1070=0),0,IF(OR(NOT(ISNUMBER(F1070)),F1070&lt;0),"",MIN(E1070,INT(F1070)))))</f>
        <v>0</v>
      </c>
      <c r="E1070" s="27" t="n">
        <f>IF(OR(NOT(ISNUMBER(L1070)),COUNT(M1070:O1070)&lt;&gt;3,MIN(M1070:O1070)&lt;0),"",ROUNDUP(ROUND(BI1070-SUM(M1070:O1070),10),0))</f>
        <v>-16</v>
      </c>
      <c r="F1070" s="28" t="n">
        <v>0</v>
      </c>
      <c r="G1070" s="28" t="n">
        <f>IF(AND(ISNUMBER(D1070),ISNUMBER(E1070)),IF(OR(E1070&lt;=0,L1070=0),0,E1070-D1070),"")</f>
        <v>0</v>
      </c>
      <c r="H1070" s="16" t="str">
        <f>IF(NOT(ISNUMBER(E1070)),"销量或海外库存待补",IF(OR(E1070&lt;=0,L1070=0),IF(L1070=0,"零日销，本批不发","本批无需补货"),IF(NOT(ISNUMBER(D1070)),"国内库存待补",IF(D1070=0,"国内无可用库存",IF(G1070&gt;0,"先发国内现货","按建议量发货")))))</f>
        <v>本批无需补货</v>
      </c>
      <c r="I1070" s="28" t="n">
        <f>IF(AND(COUNT(Z1070,AA1070,AB1070)=3,Z1070&gt;=AA1070,AA1070&gt;=0,AB1070=7),Z1070-AA1070,"")</f>
        <v>1</v>
      </c>
      <c r="J1070" s="28" t="n">
        <f>IF(AND(COUNT(AF1070,AG1070,AH1070)=3,AF1070&gt;=AG1070,AG1070&gt;=0,AH1070=14),AF1070-AG1070,"")</f>
        <v>1</v>
      </c>
      <c r="K1070" s="28" t="n">
        <f>IF(AND(COUNT(AL1070,AM1070,AN1070)=3,AL1070&gt;=AM1070,AM1070&gt;=0,AN1070=30),AL1070-AM1070,"")</f>
        <v>2</v>
      </c>
      <c r="L1070" s="29" t="n">
        <f>IF(ISNUMBER(BI1070),BI1070/90,"")</f>
        <v>0.10168271473747466</v>
      </c>
      <c r="M1070" s="28" t="n">
        <v>22</v>
      </c>
      <c r="N1070" s="28" t="n">
        <v>0</v>
      </c>
      <c r="O1070" s="28" t="n">
        <v>3</v>
      </c>
      <c r="P1070" s="30" t="n">
        <f>IF(AND(ISNUMBER(L1070),L1070&gt;0,COUNT(M1070:O1070)=3,MIN(M1070:O1070)&gt;=0),SUM(M1070:O1070)/L1070,"")</f>
        <v>245.86282992684866</v>
      </c>
      <c r="Q1070" s="16" t="str">
        <v>沿用原计划SKU店铺</v>
      </c>
      <c r="R1070" s="16" t="str">
        <v>已匹配</v>
      </c>
      <c r="S1070" s="16" t="str">
        <v>在售</v>
      </c>
      <c r="T1070" s="16" t="str">
        <v>B07</v>
      </c>
      <c r="U1070" s="16" t="str">
        <v>裸色色织提花</v>
      </c>
      <c r="V1070" s="16" t="n">
        <v>10</v>
      </c>
      <c r="W1070" s="8" t="str">
        <v>2026-10-11 至 2026-10-17</v>
      </c>
      <c r="X1070" s="8" t="str">
        <v>2026-10-11、2026-10-12、2026-10-13、2026-10-14、2026-10-15、2026-10-16、2026-10-17</v>
      </c>
      <c r="Y1070" s="8" t="str">
        <v>无</v>
      </c>
      <c r="Z1070" s="8" t="n">
        <v>1</v>
      </c>
      <c r="AA1070" s="8" t="n">
        <v>0</v>
      </c>
      <c r="AB1070" s="8" t="n">
        <v>7</v>
      </c>
      <c r="AC1070" s="8" t="str">
        <v>2026-10-02 至 2026-10-17</v>
      </c>
      <c r="AD1070" s="8" t="str">
        <v>2026-10-02、2026-10-03、2026-10-04、2026-10-05、2026-10-08、2026-10-09、2026-10-10、2026-10-11、2026-10-12、2026-10-13、2026-10-14、2026-10-15、2026-10-16、2026-10-17</v>
      </c>
      <c r="AE1070" s="8" t="str">
        <v>2026-10-06 大促；2026-10-07 大促</v>
      </c>
      <c r="AF1070" s="8" t="n">
        <v>1</v>
      </c>
      <c r="AG1070" s="8" t="n">
        <v>0</v>
      </c>
      <c r="AH1070" s="8" t="n">
        <v>14</v>
      </c>
      <c r="AI1070" s="8" t="str">
        <v>2026-09-16 至 2026-10-17</v>
      </c>
      <c r="AJ10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0" s="8" t="str">
        <v>2026-10-06 大促；2026-10-07 大促</v>
      </c>
      <c r="AL1070" s="8" t="n">
        <v>2</v>
      </c>
      <c r="AM1070" s="8" t="n">
        <v>0</v>
      </c>
      <c r="AN1070" s="8" t="n">
        <v>30</v>
      </c>
      <c r="AO1070" s="8" t="str">
        <v>B07 / 裸色镜面PU / 13306</v>
      </c>
      <c r="AP1070" s="11" t="n">
        <v>0.7307750238224848</v>
      </c>
      <c r="AQ1070" s="11" t="n">
        <v>0.7307750238224848</v>
      </c>
      <c r="AR1070" s="11" t="n">
        <v>0.7449809054134506</v>
      </c>
      <c r="AS1070" s="11" t="n">
        <f>IF(AND(COUNT(I1070:K1070,AP1070:AR1070)=6,MIN(AP1070:AR1070)&gt;0),I1070/7/AP1070*0.5+J1070/14/AQ1070*0.3+K1070/30/AR1070*0.2,"")</f>
        <v>0.14496421231530088</v>
      </c>
      <c r="AT1070" s="8" t="n">
        <v>6</v>
      </c>
      <c r="AU1070" s="8" t="n">
        <v>0</v>
      </c>
      <c r="AV1070" s="8" t="n">
        <v>88</v>
      </c>
      <c r="AW1070" s="11" t="n">
        <f>IF(AND(COUNT(AT1070:AV1070)=3,AT1070&gt;=AU1070,AU1070&gt;=0,AV1070&gt;0),(AT1070-AU1070)/AV1070,"")</f>
        <v>0.06818181818181818</v>
      </c>
      <c r="AX1070" s="8" t="n">
        <v>11</v>
      </c>
      <c r="AY1070" s="8" t="n">
        <v>0</v>
      </c>
      <c r="AZ1070" s="8" t="n">
        <v>178</v>
      </c>
      <c r="BA1070" s="11" t="n">
        <f>IF(AND(COUNT(AX1070:AZ1070)=3,AX1070&gt;=AY1070,AY1070&gt;=0,AZ1070&gt;0),(AX1070-AY1070)/AZ1070,"")</f>
        <v>0.06179775280898876</v>
      </c>
      <c r="BB1070" s="8" t="n">
        <f>IF(COUNT(AS1070,AW1070,BA1070)=3,1,0)</f>
        <v>1</v>
      </c>
      <c r="BC1070" s="11" t="n">
        <f>IF(SUMIF($AO$11:$AO$1309,AO1070,$BB$11:$BB$1309)=COUNTIF($AO$11:$AO$1309,AO1070),SUMIF($AO$11:$AO$1309,AO1070,$AS$11:$AS$1309),"")</f>
        <v>0.683212878207941</v>
      </c>
      <c r="BD1070" s="11" t="n">
        <f>IF(SUMIF($AO$11:$AO$1309,AO1070,$BB$11:$BB$1309)=COUNTIF($AO$11:$AO$1309,AO1070),SUMIF($AO$11:$AO$1309,AO1070,$AW$11:$AW$1309),"")</f>
        <v>0.3772696182066906</v>
      </c>
      <c r="BE1070" s="11" t="n">
        <f>IF(SUMIF($AO$11:$AO$1309,AO1070,$BB$11:$BB$1309)=COUNTIF($AO$11:$AO$1309,AO1070),SUMIF($AO$11:$AO$1309,AO1070,$BA$11:$BA$1309),"")</f>
        <v>0.41723770611411054</v>
      </c>
      <c r="BF1070" s="12" t="n">
        <f>IF(COUNT(BD1070:BE1070)&lt;&gt;2,"",IF(AND(BD1070&gt;0,BE1070&gt;0),0.7*AW1070/BD1070+0.3*BA1070/BE1070,IF(BD1070&gt;0,AW1070/BD1070,IF(BE1070&gt;0,BA1070/BE1070,IF(AND(ISNUMBER(BH1070),BH1070=0),0,"")))))</f>
        <v>0.1709405527945485</v>
      </c>
      <c r="BG1070" s="11" t="n">
        <f>IF(AND(COUNT(BN1070:BU1070)=8,MIN(BN1070:BU1070)&gt;=0),SUMPRODUCT(BN1070:BQ1070,BR1070:BU1070),"")</f>
        <v>78.35892944347341</v>
      </c>
      <c r="BH1070" s="11" t="n">
        <f>IF(COUNT(BC1070,BG1070)=2,BC1070*BG1070,"")</f>
        <v>53.53582971836844</v>
      </c>
      <c r="BI1070" s="11" t="n">
        <f>IF(ISNUMBER(CI1070),CI1070,"")</f>
        <v>9.151444326372719</v>
      </c>
      <c r="BJ1070" s="8" t="str"/>
      <c r="BK1070" s="8" t="str">
        <v>90天：2026-07-20 至 2026-10-17；180天：2026-04-21 至 2026-10-17</v>
      </c>
      <c r="BL1070" s="8" t="str">
        <v>90天：2026-10-06、2026-10-07；180天：2026-10-06、2026-10-07</v>
      </c>
      <c r="BM1070" s="8" t="str">
        <v>2026-10：12天 × 0.7307750238224848；2026-11：30天 × 0.9523018155490097；2026-12：31天 × 0.5958545198749097；2027-01：17天 × 1.3264167397065354</v>
      </c>
      <c r="BN1070" s="11" t="n">
        <v>0.7307750238224848</v>
      </c>
      <c r="BO1070" s="11" t="n">
        <v>0.9523018155490097</v>
      </c>
      <c r="BP1070" s="11" t="n">
        <v>0.5958545198749097</v>
      </c>
      <c r="BQ1070" s="11" t="n">
        <v>1.3264167397065354</v>
      </c>
      <c r="BR1070" s="8" t="n">
        <v>12</v>
      </c>
      <c r="BS1070" s="8" t="n">
        <v>30</v>
      </c>
      <c r="BT1070" s="8" t="n">
        <v>31</v>
      </c>
      <c r="BU1070" s="8" t="n">
        <v>17</v>
      </c>
      <c r="BV1070" s="11" t="n">
        <f>IF(COUNT(BC1070,BF1070)=2,BC1070*BF1070,"")</f>
        <v>0.11678878707721997</v>
      </c>
      <c r="BW1070" s="11" t="n">
        <f>IF(ISNUMBER(BN1070),BN1070,"")</f>
        <v>0.7307750238224848</v>
      </c>
      <c r="BX1070" s="14" t="n">
        <f>IF(ISNUMBER(BR1070),BR1070,"")</f>
        <v>12</v>
      </c>
      <c r="BY1070" s="13" t="n">
        <f>IF(AND(COUNT(BV1070,BW1070,BX1070)=3,MIN(BV1070,BW1070,BX1070)&gt;=0),BV1070*BW1070*BX1070,"")</f>
        <v>1.0241559439026544</v>
      </c>
      <c r="BZ1070" s="11" t="n">
        <f>IF(ISNUMBER(BO1070),BO1070,"")</f>
        <v>0.9523018155490097</v>
      </c>
      <c r="CA1070" s="14" t="n">
        <f>IF(ISNUMBER(BS1070),BS1070,"")</f>
        <v>30</v>
      </c>
      <c r="CB1070" s="13" t="n">
        <f>IF(AND(COUNT(BV1070,BZ1070,CA1070)=3,MIN(BV1070,BZ1070,CA1070)&gt;=0),BV1070*BZ1070*CA1070,"")</f>
        <v>3.336545219082099</v>
      </c>
      <c r="CC1070" s="11" t="n">
        <f>IF(ISNUMBER(BP1070),BP1070,"")</f>
        <v>0.5958545198749097</v>
      </c>
      <c r="CD1070" s="14" t="n">
        <f>IF(ISNUMBER(BT1070),BT1070,"")</f>
        <v>31</v>
      </c>
      <c r="CE1070" s="13" t="n">
        <f>IF(AND(COUNT(BV1070,CC1070,CD1070)=3,MIN(BV1070,CC1070,CD1070)&gt;=0),BV1070*CC1070*CD1070,"")</f>
        <v>2.1572629261707688</v>
      </c>
      <c r="CF1070" s="11" t="n">
        <f>IF(ISNUMBER(BQ1070),BQ1070,"")</f>
        <v>1.3264167397065354</v>
      </c>
      <c r="CG1070" s="14" t="n">
        <f>IF(ISNUMBER(BU1070),BU1070,"")</f>
        <v>17</v>
      </c>
      <c r="CH1070" s="13" t="n">
        <f>IF(AND(COUNT(BV1070,CF1070,CG1070)=3,MIN(BV1070,CF1070,CG1070)&gt;=0),BV1070*CF1070*CG1070,"")</f>
        <v>2.633480237217197</v>
      </c>
      <c r="CI1070" s="13" t="n">
        <f>IF(COUNT(BY1070,CB1070,CE1070,CH1070)=4,SUM(BY1070,CB1070,CE1070,CH1070),"")</f>
        <v>9.151444326372719</v>
      </c>
    </row>
    <row r="1071" ht="72" customHeight="1">
      <c r="A1071" s="16" t="str">
        <v>B07-ND-Z-0-38</v>
      </c>
      <c r="B1071" s="16" t="str">
        <v>4店-彬郁-US</v>
      </c>
      <c r="C1071" s="16" t="str">
        <v>艾年</v>
      </c>
      <c r="D1071" s="26" t="n">
        <f>IF(NOT(ISNUMBER(E1071)),"",IF(OR(E1071&lt;=0,L1071=0),0,IF(OR(NOT(ISNUMBER(F1071)),F1071&lt;0),"",MIN(E1071,INT(F1071)))))</f>
        <v>0</v>
      </c>
      <c r="E1071" s="27" t="n">
        <f>IF(OR(NOT(ISNUMBER(L1071)),COUNT(M1071:O1071)&lt;&gt;3,MIN(M1071:O1071)&lt;0),"",ROUNDUP(ROUND(BI1071-SUM(M1071:O1071),10),0))</f>
        <v>-6</v>
      </c>
      <c r="F1071" s="28" t="n">
        <v>0</v>
      </c>
      <c r="G1071" s="28" t="n">
        <f>IF(AND(ISNUMBER(D1071),ISNUMBER(E1071)),IF(OR(E1071&lt;=0,L1071=0),0,E1071-D1071),"")</f>
        <v>0</v>
      </c>
      <c r="H1071" s="16" t="str">
        <f>IF(NOT(ISNUMBER(E1071)),"销量或海外库存待补",IF(OR(E1071&lt;=0,L1071=0),IF(L1071=0,"零日销，本批不发","本批无需补货"),IF(NOT(ISNUMBER(D1071)),"国内库存待补",IF(D1071=0,"国内无可用库存",IF(G1071&gt;0,"先发国内现货","按建议量发货")))))</f>
        <v>本批无需补货</v>
      </c>
      <c r="I1071" s="28" t="n">
        <f>IF(AND(COUNT(Z1071,AA1071,AB1071)=3,Z1071&gt;=AA1071,AA1071&gt;=0,AB1071=7),Z1071-AA1071,"")</f>
        <v>0</v>
      </c>
      <c r="J1071" s="28" t="n">
        <f>IF(AND(COUNT(AF1071,AG1071,AH1071)=3,AF1071&gt;=AG1071,AG1071&gt;=0,AH1071=14),AF1071-AG1071,"")</f>
        <v>1</v>
      </c>
      <c r="K1071" s="28" t="n">
        <f>IF(AND(COUNT(AL1071,AM1071,AN1071)=3,AL1071&gt;=AM1071,AM1071&gt;=0,AN1071=30),AL1071-AM1071,"")</f>
        <v>1</v>
      </c>
      <c r="L1071" s="29" t="n">
        <f>IF(ISNUMBER(BI1071),BI1071/90,"")</f>
        <v>0.017347587733887972</v>
      </c>
      <c r="M1071" s="28" t="n">
        <v>7</v>
      </c>
      <c r="N1071" s="28" t="n">
        <v>0</v>
      </c>
      <c r="O1071" s="28" t="n">
        <v>0</v>
      </c>
      <c r="P1071" s="30" t="n">
        <f>IF(AND(ISNUMBER(L1071),L1071&gt;0,COUNT(M1071:O1071)=3,MIN(M1071:O1071)&gt;=0),SUM(M1071:O1071)/L1071,"")</f>
        <v>403.5143160755266</v>
      </c>
      <c r="Q1071" s="16" t="str">
        <v>沿用原计划SKU店铺</v>
      </c>
      <c r="R1071" s="16" t="str">
        <v>已匹配</v>
      </c>
      <c r="S1071" s="16" t="str">
        <v>在售</v>
      </c>
      <c r="T1071" s="16" t="str">
        <v>B07</v>
      </c>
      <c r="U1071" s="16" t="str">
        <v>裸色镜面PU</v>
      </c>
      <c r="V1071" s="16" t="n">
        <v>7</v>
      </c>
      <c r="W1071" s="8" t="str">
        <v>2026-10-11 至 2026-10-17</v>
      </c>
      <c r="X1071" s="8" t="str">
        <v>2026-10-11、2026-10-12、2026-10-13、2026-10-14、2026-10-15、2026-10-16、2026-10-17</v>
      </c>
      <c r="Y1071" s="8" t="str">
        <v>无</v>
      </c>
      <c r="Z1071" s="8" t="n">
        <v>0</v>
      </c>
      <c r="AA1071" s="8" t="n">
        <v>0</v>
      </c>
      <c r="AB1071" s="8" t="n">
        <v>7</v>
      </c>
      <c r="AC1071" s="8" t="str">
        <v>2026-10-02 至 2026-10-17</v>
      </c>
      <c r="AD1071" s="8" t="str">
        <v>2026-10-02、2026-10-03、2026-10-04、2026-10-05、2026-10-08、2026-10-09、2026-10-10、2026-10-11、2026-10-12、2026-10-13、2026-10-14、2026-10-15、2026-10-16、2026-10-17</v>
      </c>
      <c r="AE1071" s="8" t="str">
        <v>2026-10-06 大促；2026-10-07 大促</v>
      </c>
      <c r="AF1071" s="8" t="n">
        <v>1</v>
      </c>
      <c r="AG1071" s="8" t="n">
        <v>0</v>
      </c>
      <c r="AH1071" s="8" t="n">
        <v>14</v>
      </c>
      <c r="AI1071" s="8" t="str">
        <v>2026-09-16 至 2026-10-17</v>
      </c>
      <c r="AJ10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1" s="8" t="str">
        <v>2026-10-06 大促；2026-10-07 大促</v>
      </c>
      <c r="AL1071" s="8" t="n">
        <v>1</v>
      </c>
      <c r="AM1071" s="8" t="n">
        <v>0</v>
      </c>
      <c r="AN1071" s="8" t="n">
        <v>30</v>
      </c>
      <c r="AO1071" s="8" t="str">
        <v>B07 / 裸色镜面PU / 13306</v>
      </c>
      <c r="AP1071" s="11" t="n">
        <v>0.7307750238224848</v>
      </c>
      <c r="AQ1071" s="11" t="n">
        <v>0.7307750238224848</v>
      </c>
      <c r="AR1071" s="11" t="n">
        <v>0.7449809054134506</v>
      </c>
      <c r="AS1071" s="11" t="n">
        <f>IF(AND(COUNT(I1071:K1071,AP1071:AR1071)=6,MIN(AP1071:AR1071)&gt;0),I1071/7/AP1071*0.5+J1071/14/AQ1071*0.3+K1071/30/AR1071*0.2,"")</f>
        <v>0.038271851038049046</v>
      </c>
      <c r="AT1071" s="8" t="n">
        <v>1</v>
      </c>
      <c r="AU1071" s="8" t="n">
        <v>0</v>
      </c>
      <c r="AV1071" s="8" t="n">
        <v>88</v>
      </c>
      <c r="AW1071" s="11" t="n">
        <f>IF(AND(COUNT(AT1071:AV1071)=3,AT1071&gt;=AU1071,AU1071&gt;=0,AV1071&gt;0),(AT1071-AU1071)/AV1071,"")</f>
        <v>0.011363636363636364</v>
      </c>
      <c r="AX1071" s="8" t="n">
        <v>2</v>
      </c>
      <c r="AY1071" s="8" t="n">
        <v>0</v>
      </c>
      <c r="AZ1071" s="8" t="n">
        <v>178</v>
      </c>
      <c r="BA1071" s="11" t="n">
        <f>IF(AND(COUNT(AX1071:AZ1071)=3,AX1071&gt;=AY1071,AY1071&gt;=0,AZ1071&gt;0),(AX1071-AY1071)/AZ1071,"")</f>
        <v>0.011235955056179775</v>
      </c>
      <c r="BB1071" s="8" t="n">
        <f>IF(COUNT(AS1071,AW1071,BA1071)=3,1,0)</f>
        <v>1</v>
      </c>
      <c r="BC1071" s="11" t="n">
        <f>IF(SUMIF($AO$11:$AO$1309,AO1071,$BB$11:$BB$1309)=COUNTIF($AO$11:$AO$1309,AO1071),SUMIF($AO$11:$AO$1309,AO1071,$AS$11:$AS$1309),"")</f>
        <v>0.683212878207941</v>
      </c>
      <c r="BD1071" s="11" t="n">
        <f>IF(SUMIF($AO$11:$AO$1309,AO1071,$BB$11:$BB$1309)=COUNTIF($AO$11:$AO$1309,AO1071),SUMIF($AO$11:$AO$1309,AO1071,$AW$11:$AW$1309),"")</f>
        <v>0.3772696182066906</v>
      </c>
      <c r="BE1071" s="11" t="n">
        <f>IF(SUMIF($AO$11:$AO$1309,AO1071,$BB$11:$BB$1309)=COUNTIF($AO$11:$AO$1309,AO1071),SUMIF($AO$11:$AO$1309,AO1071,$BA$11:$BA$1309),"")</f>
        <v>0.41723770611411054</v>
      </c>
      <c r="BF1071" s="12" t="n">
        <f>IF(COUNT(BD1071:BE1071)&lt;&gt;2,"",IF(AND(BD1071&gt;0,BE1071&gt;0),0.7*AW1071/BD1071+0.3*BA1071/BE1071,IF(BD1071&gt;0,AW1071/BD1071,IF(BE1071&gt;0,BA1071/BE1071,IF(AND(ISNUMBER(BH1071),BH1071=0),0,"")))))</f>
        <v>0.02916332677130869</v>
      </c>
      <c r="BG1071" s="11" t="n">
        <f>IF(AND(COUNT(BN1071:BU1071)=8,MIN(BN1071:BU1071)&gt;=0),SUMPRODUCT(BN1071:BQ1071,BR1071:BU1071),"")</f>
        <v>78.35892944347341</v>
      </c>
      <c r="BH1071" s="11" t="n">
        <f>IF(COUNT(BC1071,BG1071)=2,BC1071*BG1071,"")</f>
        <v>53.53582971836844</v>
      </c>
      <c r="BI1071" s="11" t="n">
        <f>IF(ISNUMBER(CI1071),CI1071,"")</f>
        <v>1.5612828960499177</v>
      </c>
      <c r="BJ1071" s="8" t="str"/>
      <c r="BK1071" s="8" t="str">
        <v>90天：2026-07-20 至 2026-10-17；180天：2026-04-21 至 2026-10-17</v>
      </c>
      <c r="BL1071" s="8" t="str">
        <v>90天：2026-10-06、2026-10-07；180天：2026-10-06、2026-10-07</v>
      </c>
      <c r="BM1071" s="8" t="str">
        <v>2026-10：12天 × 0.7307750238224848；2026-11：30天 × 0.9523018155490097；2026-12：31天 × 0.5958545198749097；2027-01：17天 × 1.3264167397065354</v>
      </c>
      <c r="BN1071" s="11" t="n">
        <v>0.7307750238224848</v>
      </c>
      <c r="BO1071" s="11" t="n">
        <v>0.9523018155490097</v>
      </c>
      <c r="BP1071" s="11" t="n">
        <v>0.5958545198749097</v>
      </c>
      <c r="BQ1071" s="11" t="n">
        <v>1.3264167397065354</v>
      </c>
      <c r="BR1071" s="8" t="n">
        <v>12</v>
      </c>
      <c r="BS1071" s="8" t="n">
        <v>30</v>
      </c>
      <c r="BT1071" s="8" t="n">
        <v>31</v>
      </c>
      <c r="BU1071" s="8" t="n">
        <v>17</v>
      </c>
      <c r="BV1071" s="11" t="n">
        <f>IF(COUNT(BC1071,BF1071)=2,BC1071*BF1071,"")</f>
        <v>0.019924760421544507</v>
      </c>
      <c r="BW1071" s="11" t="n">
        <f>IF(ISNUMBER(BN1071),BN1071,"")</f>
        <v>0.7307750238224848</v>
      </c>
      <c r="BX1071" s="14" t="n">
        <f>IF(ISNUMBER(BR1071),BR1071,"")</f>
        <v>12</v>
      </c>
      <c r="BY1071" s="13" t="n">
        <f>IF(AND(COUNT(BV1071,BW1071,BX1071)=3,MIN(BV1071,BW1071,BX1071)&gt;=0),BV1071*BW1071*BX1071,"")</f>
        <v>0.1747262072605379</v>
      </c>
      <c r="BZ1071" s="11" t="n">
        <f>IF(ISNUMBER(BO1071),BO1071,"")</f>
        <v>0.9523018155490097</v>
      </c>
      <c r="CA1071" s="14" t="n">
        <f>IF(ISNUMBER(BS1071),BS1071,"")</f>
        <v>30</v>
      </c>
      <c r="CB1071" s="13" t="n">
        <f>IF(AND(COUNT(BV1071,BZ1071,CA1071)=3,MIN(BV1071,BZ1071,CA1071)&gt;=0),BV1071*BZ1071*CA1071,"")</f>
        <v>0.5692315657144766</v>
      </c>
      <c r="CC1071" s="11" t="n">
        <f>IF(ISNUMBER(BP1071),BP1071,"")</f>
        <v>0.5958545198749097</v>
      </c>
      <c r="CD1071" s="14" t="n">
        <f>IF(ISNUMBER(BT1071),BT1071,"")</f>
        <v>31</v>
      </c>
      <c r="CE1071" s="13" t="n">
        <f>IF(AND(COUNT(BV1071,CC1071,CD1071)=3,MIN(BV1071,CC1071,CD1071)&gt;=0),BV1071*CC1071*CD1071,"")</f>
        <v>0.36804001519266216</v>
      </c>
      <c r="CF1071" s="11" t="n">
        <f>IF(ISNUMBER(BQ1071),BQ1071,"")</f>
        <v>1.3264167397065354</v>
      </c>
      <c r="CG1071" s="14" t="n">
        <f>IF(ISNUMBER(BU1071),BU1071,"")</f>
        <v>17</v>
      </c>
      <c r="CH1071" s="13" t="n">
        <f>IF(AND(COUNT(BV1071,CF1071,CG1071)=3,MIN(BV1071,CF1071,CG1071)&gt;=0),BV1071*CF1071*CG1071,"")</f>
        <v>0.44928510788224096</v>
      </c>
      <c r="CI1071" s="13" t="n">
        <f>IF(COUNT(BY1071,CB1071,CE1071,CH1071)=4,SUM(BY1071,CB1071,CE1071,CH1071),"")</f>
        <v>1.5612828960499177</v>
      </c>
    </row>
    <row r="1072" ht="72" customHeight="1">
      <c r="A1072" s="16" t="str">
        <v>B07-ND-Z-0-38.5</v>
      </c>
      <c r="B1072" s="16" t="str">
        <v>4店-彬郁-US</v>
      </c>
      <c r="C1072" s="16" t="str">
        <v>艾年</v>
      </c>
      <c r="D1072" s="26" t="n">
        <f>IF(NOT(ISNUMBER(E1072)),"",IF(OR(E1072&lt;=0,L1072=0),0,IF(OR(NOT(ISNUMBER(F1072)),F1072&lt;0),"",MIN(E1072,INT(F1072)))))</f>
        <v>0</v>
      </c>
      <c r="E1072" s="27" t="n">
        <f>IF(OR(NOT(ISNUMBER(L1072)),COUNT(M1072:O1072)&lt;&gt;3,MIN(M1072:O1072)&lt;0),"",ROUNDUP(ROUND(BI1072-SUM(M1072:O1072),10),0))</f>
        <v>-2</v>
      </c>
      <c r="F1072" s="28" t="n">
        <v>0</v>
      </c>
      <c r="G1072" s="28" t="n">
        <f>IF(AND(ISNUMBER(D1072),ISNUMBER(E1072)),IF(OR(E1072&lt;=0,L1072=0),0,E1072-D1072),"")</f>
        <v>0</v>
      </c>
      <c r="H1072" s="16" t="str">
        <f>IF(NOT(ISNUMBER(E1072)),"销量或海外库存待补",IF(OR(E1072&lt;=0,L1072=0),IF(L1072=0,"零日销，本批不发","本批无需补货"),IF(NOT(ISNUMBER(D1072)),"国内库存待补",IF(D1072=0,"国内无可用库存",IF(G1072&gt;0,"先发国内现货","按建议量发货")))))</f>
        <v>本批无需补货</v>
      </c>
      <c r="I1072" s="28" t="n">
        <f>IF(AND(COUNT(Z1072,AA1072,AB1072)=3,Z1072&gt;=AA1072,AA1072&gt;=0,AB1072=7),Z1072-AA1072,"")</f>
        <v>0</v>
      </c>
      <c r="J1072" s="28" t="n">
        <f>IF(AND(COUNT(AF1072,AG1072,AH1072)=3,AF1072&gt;=AG1072,AG1072&gt;=0,AH1072=14),AF1072-AG1072,"")</f>
        <v>1</v>
      </c>
      <c r="K1072" s="28" t="n">
        <f>IF(AND(COUNT(AL1072,AM1072,AN1072)=3,AL1072&gt;=AM1072,AM1072&gt;=0,AN1072=30),AL1072-AM1072,"")</f>
        <v>2</v>
      </c>
      <c r="L1072" s="29" t="n">
        <f>IF(ISNUMBER(BI1072),BI1072/90,"")</f>
        <v>0.06458472760384555</v>
      </c>
      <c r="M1072" s="28" t="n">
        <v>7</v>
      </c>
      <c r="N1072" s="28" t="n">
        <v>0</v>
      </c>
      <c r="O1072" s="28" t="n">
        <v>0</v>
      </c>
      <c r="P1072" s="30" t="n">
        <f>IF(AND(ISNUMBER(L1072),L1072&gt;0,COUNT(M1072:O1072)=3,MIN(M1072:O1072)&gt;=0),SUM(M1072:O1072)/L1072,"")</f>
        <v>108.38475688768254</v>
      </c>
      <c r="Q1072" s="16" t="str">
        <v>沿用原计划SKU店铺</v>
      </c>
      <c r="R1072" s="16" t="str">
        <v>已匹配</v>
      </c>
      <c r="S1072" s="16" t="str">
        <v>在售</v>
      </c>
      <c r="T1072" s="16" t="str">
        <v>B07</v>
      </c>
      <c r="U1072" s="16" t="str">
        <v>裸色镜面PU</v>
      </c>
      <c r="V1072" s="16" t="n">
        <v>7.5</v>
      </c>
      <c r="W1072" s="8" t="str">
        <v>2026-10-11 至 2026-10-17</v>
      </c>
      <c r="X1072" s="8" t="str">
        <v>2026-10-11、2026-10-12、2026-10-13、2026-10-14、2026-10-15、2026-10-16、2026-10-17</v>
      </c>
      <c r="Y1072" s="8" t="str">
        <v>无</v>
      </c>
      <c r="Z1072" s="8" t="n">
        <v>0</v>
      </c>
      <c r="AA1072" s="8" t="n">
        <v>0</v>
      </c>
      <c r="AB1072" s="8" t="n">
        <v>7</v>
      </c>
      <c r="AC1072" s="8" t="str">
        <v>2026-10-02 至 2026-10-17</v>
      </c>
      <c r="AD1072" s="8" t="str">
        <v>2026-10-02、2026-10-03、2026-10-04、2026-10-05、2026-10-08、2026-10-09、2026-10-10、2026-10-11、2026-10-12、2026-10-13、2026-10-14、2026-10-15、2026-10-16、2026-10-17</v>
      </c>
      <c r="AE1072" s="8" t="str">
        <v>2026-10-06 大促；2026-10-07 大促</v>
      </c>
      <c r="AF1072" s="8" t="n">
        <v>1</v>
      </c>
      <c r="AG1072" s="8" t="n">
        <v>0</v>
      </c>
      <c r="AH1072" s="8" t="n">
        <v>14</v>
      </c>
      <c r="AI1072" s="8" t="str">
        <v>2026-09-16 至 2026-10-17</v>
      </c>
      <c r="AJ10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2" s="8" t="str">
        <v>2026-10-06 大促；2026-10-07 大促</v>
      </c>
      <c r="AL1072" s="8" t="n">
        <v>2</v>
      </c>
      <c r="AM1072" s="8" t="n">
        <v>0</v>
      </c>
      <c r="AN1072" s="8" t="n">
        <v>30</v>
      </c>
      <c r="AO1072" s="8" t="str">
        <v>B07 / 裸色镜面PU / 13306</v>
      </c>
      <c r="AP1072" s="11" t="n">
        <v>0.7307750238224848</v>
      </c>
      <c r="AQ1072" s="11" t="n">
        <v>0.7307750238224848</v>
      </c>
      <c r="AR1072" s="11" t="n">
        <v>0.7449809054134506</v>
      </c>
      <c r="AS1072" s="11" t="n">
        <f>IF(AND(COUNT(I1072:K1072,AP1072:AR1072)=6,MIN(AP1072:AR1072)&gt;0),I1072/7/AP1072*0.5+J1072/14/AQ1072*0.3+K1072/30/AR1072*0.2,"")</f>
        <v>0.04722062625929688</v>
      </c>
      <c r="AT1072" s="8" t="n">
        <v>4</v>
      </c>
      <c r="AU1072" s="8" t="n">
        <v>0</v>
      </c>
      <c r="AV1072" s="8" t="n">
        <v>88</v>
      </c>
      <c r="AW1072" s="11" t="n">
        <f>IF(AND(COUNT(AT1072:AV1072)=3,AT1072&gt;=AU1072,AU1072&gt;=0,AV1072&gt;0),(AT1072-AU1072)/AV1072,"")</f>
        <v>0.045454545454545456</v>
      </c>
      <c r="AX1072" s="8" t="n">
        <v>6</v>
      </c>
      <c r="AY1072" s="8" t="n">
        <v>0</v>
      </c>
      <c r="AZ1072" s="8" t="n">
        <v>178</v>
      </c>
      <c r="BA1072" s="11" t="n">
        <f>IF(AND(COUNT(AX1072:AZ1072)=3,AX1072&gt;=AY1072,AY1072&gt;=0,AZ1072&gt;0),(AX1072-AY1072)/AZ1072,"")</f>
        <v>0.033707865168539325</v>
      </c>
      <c r="BB1072" s="8" t="n">
        <f>IF(COUNT(AS1072,AW1072,BA1072)=3,1,0)</f>
        <v>1</v>
      </c>
      <c r="BC1072" s="11" t="n">
        <f>IF(SUMIF($AO$11:$AO$1309,AO1072,$BB$11:$BB$1309)=COUNTIF($AO$11:$AO$1309,AO1072),SUMIF($AO$11:$AO$1309,AO1072,$AS$11:$AS$1309),"")</f>
        <v>0.683212878207941</v>
      </c>
      <c r="BD1072" s="11" t="n">
        <f>IF(SUMIF($AO$11:$AO$1309,AO1072,$BB$11:$BB$1309)=COUNTIF($AO$11:$AO$1309,AO1072),SUMIF($AO$11:$AO$1309,AO1072,$AW$11:$AW$1309),"")</f>
        <v>0.3772696182066906</v>
      </c>
      <c r="BE1072" s="11" t="n">
        <f>IF(SUMIF($AO$11:$AO$1309,AO1072,$BB$11:$BB$1309)=COUNTIF($AO$11:$AO$1309,AO1072),SUMIF($AO$11:$AO$1309,AO1072,$BA$11:$BA$1309),"")</f>
        <v>0.41723770611411054</v>
      </c>
      <c r="BF1072" s="12" t="n">
        <f>IF(COUNT(BD1072:BE1072)&lt;&gt;2,"",IF(AND(BD1072&gt;0,BE1072&gt;0),0.7*AW1072/BD1072+0.3*BA1072/BE1072,IF(BD1072&gt;0,AW1072/BD1072,IF(BE1072&gt;0,BA1072/BE1072,IF(AND(ISNUMBER(BH1072),BH1072=0),0,"")))))</f>
        <v>0.10857449141862754</v>
      </c>
      <c r="BG1072" s="11" t="n">
        <f>IF(AND(COUNT(BN1072:BU1072)=8,MIN(BN1072:BU1072)&gt;=0),SUMPRODUCT(BN1072:BQ1072,BR1072:BU1072),"")</f>
        <v>78.35892944347341</v>
      </c>
      <c r="BH1072" s="11" t="n">
        <f>IF(COUNT(BC1072,BG1072)=2,BC1072*BG1072,"")</f>
        <v>53.53582971836844</v>
      </c>
      <c r="BI1072" s="11" t="n">
        <f>IF(ISNUMBER(CI1072),CI1072,"")</f>
        <v>5.8126254843461</v>
      </c>
      <c r="BJ1072" s="8" t="str"/>
      <c r="BK1072" s="8" t="str">
        <v>90天：2026-07-20 至 2026-10-17；180天：2026-04-21 至 2026-10-17</v>
      </c>
      <c r="BL1072" s="8" t="str">
        <v>90天：2026-10-06、2026-10-07；180天：2026-10-06、2026-10-07</v>
      </c>
      <c r="BM1072" s="8" t="str">
        <v>2026-10：12天 × 0.7307750238224848；2026-11：30天 × 0.9523018155490097；2026-12：31天 × 0.5958545198749097；2027-01：17天 × 1.3264167397065354</v>
      </c>
      <c r="BN1072" s="11" t="n">
        <v>0.7307750238224848</v>
      </c>
      <c r="BO1072" s="11" t="n">
        <v>0.9523018155490097</v>
      </c>
      <c r="BP1072" s="11" t="n">
        <v>0.5958545198749097</v>
      </c>
      <c r="BQ1072" s="11" t="n">
        <v>1.3264167397065354</v>
      </c>
      <c r="BR1072" s="8" t="n">
        <v>12</v>
      </c>
      <c r="BS1072" s="8" t="n">
        <v>30</v>
      </c>
      <c r="BT1072" s="8" t="n">
        <v>31</v>
      </c>
      <c r="BU1072" s="8" t="n">
        <v>17</v>
      </c>
      <c r="BV1072" s="11" t="n">
        <f>IF(COUNT(BC1072,BF1072)=2,BC1072*BF1072,"")</f>
        <v>0.07417949078208391</v>
      </c>
      <c r="BW1072" s="11" t="n">
        <f>IF(ISNUMBER(BN1072),BN1072,"")</f>
        <v>0.7307750238224848</v>
      </c>
      <c r="BX1072" s="14" t="n">
        <f>IF(ISNUMBER(BR1072),BR1072,"")</f>
        <v>12</v>
      </c>
      <c r="BY1072" s="13" t="n">
        <f>IF(AND(COUNT(BV1072,BW1072,BX1072)=3,MIN(BV1072,BW1072,BX1072)&gt;=0),BV1072*BW1072*BX1072,"")</f>
        <v>0.6505022297210059</v>
      </c>
      <c r="BZ1072" s="11" t="n">
        <f>IF(ISNUMBER(BO1072),BO1072,"")</f>
        <v>0.9523018155490097</v>
      </c>
      <c r="CA1072" s="14" t="n">
        <f>IF(ISNUMBER(BS1072),BS1072,"")</f>
        <v>30</v>
      </c>
      <c r="CB1072" s="13" t="n">
        <f>IF(AND(COUNT(BV1072,BZ1072,CA1072)=3,MIN(BV1072,BZ1072,CA1072)&gt;=0),BV1072*BZ1072*CA1072,"")</f>
        <v>2.119237912448386</v>
      </c>
      <c r="CC1072" s="11" t="n">
        <f>IF(ISNUMBER(BP1072),BP1072,"")</f>
        <v>0.5958545198749097</v>
      </c>
      <c r="CD1072" s="14" t="n">
        <f>IF(ISNUMBER(BT1072),BT1072,"")</f>
        <v>31</v>
      </c>
      <c r="CE1072" s="13" t="n">
        <f>IF(AND(COUNT(BV1072,CC1072,CD1072)=3,MIN(BV1072,CC1072,CD1072)&gt;=0),BV1072*CC1072*CD1072,"")</f>
        <v>1.3702057308002409</v>
      </c>
      <c r="CF1072" s="11" t="n">
        <f>IF(ISNUMBER(BQ1072),BQ1072,"")</f>
        <v>1.3264167397065354</v>
      </c>
      <c r="CG1072" s="14" t="n">
        <f>IF(ISNUMBER(BU1072),BU1072,"")</f>
        <v>17</v>
      </c>
      <c r="CH1072" s="13" t="n">
        <f>IF(AND(COUNT(BV1072,CF1072,CG1072)=3,MIN(BV1072,CF1072,CG1072)&gt;=0),BV1072*CF1072*CG1072,"")</f>
        <v>1.6726796113764664</v>
      </c>
      <c r="CI1072" s="13" t="n">
        <f>IF(COUNT(BY1072,CB1072,CE1072,CH1072)=4,SUM(BY1072,CB1072,CE1072,CH1072),"")</f>
        <v>5.8126254843461</v>
      </c>
    </row>
    <row r="1073" ht="72" customHeight="1">
      <c r="A1073" s="16" t="str">
        <v>B07-ND-Z-0-40.5</v>
      </c>
      <c r="B1073" s="16" t="str">
        <v>4店-彬郁-US</v>
      </c>
      <c r="C1073" s="16" t="str">
        <v>艾年</v>
      </c>
      <c r="D1073" s="26" t="n">
        <f>IF(NOT(ISNUMBER(E1073)),"",IF(OR(E1073&lt;=0,L1073=0),0,IF(OR(NOT(ISNUMBER(F1073)),F1073&lt;0),"",MIN(E1073,INT(F1073)))))</f>
        <v>0</v>
      </c>
      <c r="E1073" s="27" t="n">
        <f>IF(OR(NOT(ISNUMBER(L1073)),COUNT(M1073:O1073)&lt;&gt;3,MIN(M1073:O1073)&lt;0),"",ROUNDUP(ROUND(BI1073-SUM(M1073:O1073),10),0))</f>
        <v>-9</v>
      </c>
      <c r="F1073" s="28" t="n">
        <v>0</v>
      </c>
      <c r="G1073" s="28" t="n">
        <f>IF(AND(ISNUMBER(D1073),ISNUMBER(E1073)),IF(OR(E1073&lt;=0,L1073=0),0,E1073-D1073),"")</f>
        <v>0</v>
      </c>
      <c r="H1073" s="16" t="str">
        <f>IF(NOT(ISNUMBER(E1073)),"销量或海外库存待补",IF(OR(E1073&lt;=0,L1073=0),IF(L1073=0,"零日销，本批不发","本批无需补货"),IF(NOT(ISNUMBER(D1073)),"国内库存待补",IF(D1073=0,"国内无可用库存",IF(G1073&gt;0,"先发国内现货","按建议量发货")))))</f>
        <v>本批无需补货</v>
      </c>
      <c r="I1073" s="28" t="n">
        <f>IF(AND(COUNT(Z1073,AA1073,AB1073)=3,Z1073&gt;=AA1073,AA1073&gt;=0,AB1073=7),Z1073-AA1073,"")</f>
        <v>1</v>
      </c>
      <c r="J1073" s="28" t="n">
        <f>IF(AND(COUNT(AF1073,AG1073,AH1073)=3,AF1073&gt;=AG1073,AG1073&gt;=0,AH1073=14),AF1073-AG1073,"")</f>
        <v>1</v>
      </c>
      <c r="K1073" s="28" t="n">
        <f>IF(AND(COUNT(AL1073,AM1073,AN1073)=3,AL1073&gt;=AM1073,AM1073&gt;=0,AN1073=30),AL1073-AM1073,"")</f>
        <v>2</v>
      </c>
      <c r="L1073" s="29" t="n">
        <f>IF(ISNUMBER(BI1073),BI1073/90,"")</f>
        <v>0.03950079879948229</v>
      </c>
      <c r="M1073" s="28" t="n">
        <v>12</v>
      </c>
      <c r="N1073" s="28" t="n">
        <v>0</v>
      </c>
      <c r="O1073" s="28" t="n">
        <v>0</v>
      </c>
      <c r="P1073" s="30" t="n">
        <f>IF(AND(ISNUMBER(L1073),L1073&gt;0,COUNT(M1073:O1073)=3,MIN(M1073:O1073)&gt;=0),SUM(M1073:O1073)/L1073,"")</f>
        <v>303.79132485182237</v>
      </c>
      <c r="Q1073" s="16" t="str">
        <v>沿用原计划SKU店铺</v>
      </c>
      <c r="R1073" s="16" t="str">
        <v>已匹配</v>
      </c>
      <c r="S1073" s="16" t="str">
        <v>在售</v>
      </c>
      <c r="T1073" s="16" t="str">
        <v>B07</v>
      </c>
      <c r="U1073" s="16" t="str">
        <v>裸色镜面PU</v>
      </c>
      <c r="V1073" s="16" t="n">
        <v>9.5</v>
      </c>
      <c r="W1073" s="8" t="str">
        <v>2026-10-11 至 2026-10-17</v>
      </c>
      <c r="X1073" s="8" t="str">
        <v>2026-10-11、2026-10-12、2026-10-13、2026-10-14、2026-10-15、2026-10-16、2026-10-17</v>
      </c>
      <c r="Y1073" s="8" t="str">
        <v>无</v>
      </c>
      <c r="Z1073" s="8" t="n">
        <v>1</v>
      </c>
      <c r="AA1073" s="8" t="n">
        <v>0</v>
      </c>
      <c r="AB1073" s="8" t="n">
        <v>7</v>
      </c>
      <c r="AC1073" s="8" t="str">
        <v>2026-10-02 至 2026-10-17</v>
      </c>
      <c r="AD1073" s="8" t="str">
        <v>2026-10-02、2026-10-03、2026-10-04、2026-10-05、2026-10-08、2026-10-09、2026-10-10、2026-10-11、2026-10-12、2026-10-13、2026-10-14、2026-10-15、2026-10-16、2026-10-17</v>
      </c>
      <c r="AE1073" s="8" t="str">
        <v>2026-10-06 大促；2026-10-07 大促</v>
      </c>
      <c r="AF1073" s="8" t="n">
        <v>1</v>
      </c>
      <c r="AG1073" s="8" t="n">
        <v>0</v>
      </c>
      <c r="AH1073" s="8" t="n">
        <v>14</v>
      </c>
      <c r="AI1073" s="8" t="str">
        <v>2026-09-16 至 2026-10-17</v>
      </c>
      <c r="AJ10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3" s="8" t="str">
        <v>2026-10-06 大促；2026-10-07 大促</v>
      </c>
      <c r="AL1073" s="8" t="n">
        <v>2</v>
      </c>
      <c r="AM1073" s="8" t="n">
        <v>0</v>
      </c>
      <c r="AN1073" s="8" t="n">
        <v>30</v>
      </c>
      <c r="AO1073" s="8" t="str">
        <v>B07 / 裸色镜面PU / 13306</v>
      </c>
      <c r="AP1073" s="11" t="n">
        <v>0.7307750238224848</v>
      </c>
      <c r="AQ1073" s="11" t="n">
        <v>0.7307750238224848</v>
      </c>
      <c r="AR1073" s="11" t="n">
        <v>0.7449809054134506</v>
      </c>
      <c r="AS1073" s="11" t="n">
        <f>IF(AND(COUNT(I1073:K1073,AP1073:AR1073)=6,MIN(AP1073:AR1073)&gt;0),I1073/7/AP1073*0.5+J1073/14/AQ1073*0.3+K1073/30/AR1073*0.2,"")</f>
        <v>0.14496421231530088</v>
      </c>
      <c r="AT1073" s="8" t="n">
        <v>2</v>
      </c>
      <c r="AU1073" s="8" t="n">
        <v>0</v>
      </c>
      <c r="AV1073" s="8" t="n">
        <v>88</v>
      </c>
      <c r="AW1073" s="11" t="n">
        <f>IF(AND(COUNT(AT1073:AV1073)=3,AT1073&gt;=AU1073,AU1073&gt;=0,AV1073&gt;0),(AT1073-AU1073)/AV1073,"")</f>
        <v>0.022727272727272728</v>
      </c>
      <c r="AX1073" s="8" t="n">
        <v>6</v>
      </c>
      <c r="AY1073" s="8" t="n">
        <v>0</v>
      </c>
      <c r="AZ1073" s="8" t="n">
        <v>178</v>
      </c>
      <c r="BA1073" s="11" t="n">
        <f>IF(AND(COUNT(AX1073:AZ1073)=3,AX1073&gt;=AY1073,AY1073&gt;=0,AZ1073&gt;0),(AX1073-AY1073)/AZ1073,"")</f>
        <v>0.033707865168539325</v>
      </c>
      <c r="BB1073" s="8" t="n">
        <f>IF(COUNT(AS1073,AW1073,BA1073)=3,1,0)</f>
        <v>1</v>
      </c>
      <c r="BC1073" s="11" t="n">
        <f>IF(SUMIF($AO$11:$AO$1309,AO1073,$BB$11:$BB$1309)=COUNTIF($AO$11:$AO$1309,AO1073),SUMIF($AO$11:$AO$1309,AO1073,$AS$11:$AS$1309),"")</f>
        <v>0.683212878207941</v>
      </c>
      <c r="BD1073" s="11" t="n">
        <f>IF(SUMIF($AO$11:$AO$1309,AO1073,$BB$11:$BB$1309)=COUNTIF($AO$11:$AO$1309,AO1073),SUMIF($AO$11:$AO$1309,AO1073,$AW$11:$AW$1309),"")</f>
        <v>0.3772696182066906</v>
      </c>
      <c r="BE1073" s="11" t="n">
        <f>IF(SUMIF($AO$11:$AO$1309,AO1073,$BB$11:$BB$1309)=COUNTIF($AO$11:$AO$1309,AO1073),SUMIF($AO$11:$AO$1309,AO1073,$BA$11:$BA$1309),"")</f>
        <v>0.41723770611411054</v>
      </c>
      <c r="BF1073" s="12" t="n">
        <f>IF(COUNT(BD1073:BE1073)&lt;&gt;2,"",IF(AND(BD1073&gt;0,BE1073&gt;0),0.7*AW1073/BD1073+0.3*BA1073/BE1073,IF(BD1073&gt;0,AW1073/BD1073,IF(BE1073&gt;0,BA1073/BE1073,IF(AND(ISNUMBER(BH1073),BH1073=0),0,"")))))</f>
        <v>0.06640546920922459</v>
      </c>
      <c r="BG1073" s="11" t="n">
        <f>IF(AND(COUNT(BN1073:BU1073)=8,MIN(BN1073:BU1073)&gt;=0),SUMPRODUCT(BN1073:BQ1073,BR1073:BU1073),"")</f>
        <v>78.35892944347341</v>
      </c>
      <c r="BH1073" s="11" t="n">
        <f>IF(COUNT(BC1073,BG1073)=2,BC1073*BG1073,"")</f>
        <v>53.53582971836844</v>
      </c>
      <c r="BI1073" s="11" t="n">
        <f>IF(ISNUMBER(CI1073),CI1073,"")</f>
        <v>3.555071891953406</v>
      </c>
      <c r="BJ1073" s="8" t="str"/>
      <c r="BK1073" s="8" t="str">
        <v>90天：2026-07-20 至 2026-10-17；180天：2026-04-21 至 2026-10-17</v>
      </c>
      <c r="BL1073" s="8" t="str">
        <v>90天：2026-10-06、2026-10-07；180天：2026-10-06、2026-10-07</v>
      </c>
      <c r="BM1073" s="8" t="str">
        <v>2026-10：12天 × 0.7307750238224848；2026-11：30天 × 0.9523018155490097；2026-12：31天 × 0.5958545198749097；2027-01：17天 × 1.3264167397065354</v>
      </c>
      <c r="BN1073" s="11" t="n">
        <v>0.7307750238224848</v>
      </c>
      <c r="BO1073" s="11" t="n">
        <v>0.9523018155490097</v>
      </c>
      <c r="BP1073" s="11" t="n">
        <v>0.5958545198749097</v>
      </c>
      <c r="BQ1073" s="11" t="n">
        <v>1.3264167397065354</v>
      </c>
      <c r="BR1073" s="8" t="n">
        <v>12</v>
      </c>
      <c r="BS1073" s="8" t="n">
        <v>30</v>
      </c>
      <c r="BT1073" s="8" t="n">
        <v>31</v>
      </c>
      <c r="BU1073" s="8" t="n">
        <v>17</v>
      </c>
      <c r="BV1073" s="11" t="n">
        <f>IF(COUNT(BC1073,BF1073)=2,BC1073*BF1073,"")</f>
        <v>0.04536907174718313</v>
      </c>
      <c r="BW1073" s="11" t="n">
        <f>IF(ISNUMBER(BN1073),BN1073,"")</f>
        <v>0.7307750238224848</v>
      </c>
      <c r="BX1073" s="14" t="n">
        <f>IF(ISNUMBER(BR1073),BR1073,"")</f>
        <v>12</v>
      </c>
      <c r="BY1073" s="13" t="n">
        <f>IF(AND(COUNT(BV1073,BW1073,BX1073)=3,MIN(BV1073,BW1073,BX1073)&gt;=0),BV1073*BW1073*BX1073,"")</f>
        <v>0.39785501384222133</v>
      </c>
      <c r="BZ1073" s="11" t="n">
        <f>IF(ISNUMBER(BO1073),BO1073,"")</f>
        <v>0.9523018155490097</v>
      </c>
      <c r="CA1073" s="14" t="n">
        <f>IF(ISNUMBER(BS1073),BS1073,"")</f>
        <v>30</v>
      </c>
      <c r="CB1073" s="13" t="n">
        <f>IF(AND(COUNT(BV1073,BZ1073,CA1073)=3,MIN(BV1073,BZ1073,CA1073)&gt;=0),BV1073*BZ1073*CA1073,"")</f>
        <v>1.2961514818384734</v>
      </c>
      <c r="CC1073" s="11" t="n">
        <f>IF(ISNUMBER(BP1073),BP1073,"")</f>
        <v>0.5958545198749097</v>
      </c>
      <c r="CD1073" s="14" t="n">
        <f>IF(ISNUMBER(BT1073),BT1073,"")</f>
        <v>31</v>
      </c>
      <c r="CE1073" s="13" t="n">
        <f>IF(AND(COUNT(BV1073,CC1073,CD1073)=3,MIN(BV1073,CC1073,CD1073)&gt;=0),BV1073*CC1073*CD1073,"")</f>
        <v>0.8380343603557321</v>
      </c>
      <c r="CF1073" s="11" t="n">
        <f>IF(ISNUMBER(BQ1073),BQ1073,"")</f>
        <v>1.3264167397065354</v>
      </c>
      <c r="CG1073" s="14" t="n">
        <f>IF(ISNUMBER(BU1073),BU1073,"")</f>
        <v>17</v>
      </c>
      <c r="CH1073" s="13" t="n">
        <f>IF(AND(COUNT(BV1073,CF1073,CG1073)=3,MIN(BV1073,CF1073,CG1073)&gt;=0),BV1073*CF1073*CG1073,"")</f>
        <v>1.0230310359169792</v>
      </c>
      <c r="CI1073" s="13" t="n">
        <f>IF(COUNT(BY1073,CB1073,CE1073,CH1073)=4,SUM(BY1073,CB1073,CE1073,CH1073),"")</f>
        <v>3.555071891953406</v>
      </c>
    </row>
    <row r="1074" ht="72" customHeight="1">
      <c r="A1074" s="16" t="str">
        <v>B07-ND-Z-0-41</v>
      </c>
      <c r="B1074" s="16" t="str">
        <v>4店-彬郁-US</v>
      </c>
      <c r="C1074" s="16" t="str">
        <v>艾年</v>
      </c>
      <c r="D1074" s="26" t="n">
        <f>IF(NOT(ISNUMBER(E1074)),"",IF(OR(E1074&lt;=0,L1074=0),0,IF(OR(NOT(ISNUMBER(F1074)),F1074&lt;0),"",MIN(E1074,INT(F1074)))))</f>
        <v>0</v>
      </c>
      <c r="E1074" s="27" t="n">
        <f>IF(OR(NOT(ISNUMBER(L1074)),COUNT(M1074:O1074)&lt;&gt;3,MIN(M1074:O1074)&lt;0),"",ROUNDUP(ROUND(BI1074-SUM(M1074:O1074),10),0))</f>
        <v>-22</v>
      </c>
      <c r="F1074" s="28" t="n">
        <v>0</v>
      </c>
      <c r="G1074" s="28" t="n">
        <f>IF(AND(ISNUMBER(D1074),ISNUMBER(E1074)),IF(OR(E1074&lt;=0,L1074=0),0,E1074-D1074),"")</f>
        <v>0</v>
      </c>
      <c r="H1074" s="16" t="str">
        <f>IF(NOT(ISNUMBER(E1074)),"销量或海外库存待补",IF(OR(E1074&lt;=0,L1074=0),IF(L1074=0,"零日销，本批不发","本批无需补货"),IF(NOT(ISNUMBER(D1074)),"国内库存待补",IF(D1074=0,"国内无可用库存",IF(G1074&gt;0,"先发国内现货","按建议量发货")))))</f>
        <v>本批无需补货</v>
      </c>
      <c r="I1074" s="28" t="n">
        <f>IF(AND(COUNT(Z1074,AA1074,AB1074)=3,Z1074&gt;=AA1074,AA1074&gt;=0,AB1074=7),Z1074-AA1074,"")</f>
        <v>0</v>
      </c>
      <c r="J1074" s="28" t="n">
        <f>IF(AND(COUNT(AF1074,AG1074,AH1074)=3,AF1074&gt;=AG1074,AG1074&gt;=0,AH1074=14),AF1074-AG1074,"")</f>
        <v>0</v>
      </c>
      <c r="K1074" s="28" t="n">
        <f>IF(AND(COUNT(AL1074,AM1074,AN1074)=3,AL1074&gt;=AM1074,AM1074&gt;=0,AN1074=30),AL1074-AM1074,"")</f>
        <v>1</v>
      </c>
      <c r="L1074" s="29" t="n">
        <f>IF(ISNUMBER(BI1074),BI1074/90,"")</f>
        <v>0.034695175467775945</v>
      </c>
      <c r="M1074" s="28" t="n">
        <v>25</v>
      </c>
      <c r="N1074" s="28" t="n">
        <v>0</v>
      </c>
      <c r="O1074" s="28" t="n">
        <v>0</v>
      </c>
      <c r="P1074" s="30" t="n">
        <f>IF(AND(ISNUMBER(L1074),L1074&gt;0,COUNT(M1074:O1074)=3,MIN(M1074:O1074)&gt;=0),SUM(M1074:O1074)/L1074,"")</f>
        <v>720.5612787062976</v>
      </c>
      <c r="Q1074" s="16" t="str">
        <v>沿用原计划SKU店铺</v>
      </c>
      <c r="R1074" s="16" t="str">
        <v>已匹配</v>
      </c>
      <c r="S1074" s="16" t="str">
        <v>在售</v>
      </c>
      <c r="T1074" s="16" t="str">
        <v>B07</v>
      </c>
      <c r="U1074" s="16" t="str">
        <v>裸色镜面PU</v>
      </c>
      <c r="V1074" s="16" t="n">
        <v>10</v>
      </c>
      <c r="W1074" s="8" t="str">
        <v>2026-10-11 至 2026-10-17</v>
      </c>
      <c r="X1074" s="8" t="str">
        <v>2026-10-11、2026-10-12、2026-10-13、2026-10-14、2026-10-15、2026-10-16、2026-10-17</v>
      </c>
      <c r="Y1074" s="8" t="str">
        <v>无</v>
      </c>
      <c r="Z1074" s="8" t="n">
        <v>0</v>
      </c>
      <c r="AA1074" s="8" t="n">
        <v>0</v>
      </c>
      <c r="AB1074" s="8" t="n">
        <v>7</v>
      </c>
      <c r="AC1074" s="8" t="str">
        <v>2026-10-02 至 2026-10-17</v>
      </c>
      <c r="AD1074" s="8" t="str">
        <v>2026-10-02、2026-10-03、2026-10-04、2026-10-05、2026-10-08、2026-10-09、2026-10-10、2026-10-11、2026-10-12、2026-10-13、2026-10-14、2026-10-15、2026-10-16、2026-10-17</v>
      </c>
      <c r="AE1074" s="8" t="str">
        <v>2026-10-06 大促；2026-10-07 大促</v>
      </c>
      <c r="AF1074" s="8" t="n">
        <v>0</v>
      </c>
      <c r="AG1074" s="8" t="n">
        <v>0</v>
      </c>
      <c r="AH1074" s="8" t="n">
        <v>14</v>
      </c>
      <c r="AI1074" s="8" t="str">
        <v>2026-09-16 至 2026-10-17</v>
      </c>
      <c r="AJ10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4" s="8" t="str">
        <v>2026-10-06 大促；2026-10-07 大促</v>
      </c>
      <c r="AL1074" s="8" t="n">
        <v>1</v>
      </c>
      <c r="AM1074" s="8" t="n">
        <v>0</v>
      </c>
      <c r="AN1074" s="8" t="n">
        <v>30</v>
      </c>
      <c r="AO1074" s="8" t="str">
        <v>B07 / 裸色镜面PU / 13306</v>
      </c>
      <c r="AP1074" s="11" t="n">
        <v>0.7307750238224848</v>
      </c>
      <c r="AQ1074" s="11" t="n">
        <v>0.7307750238224848</v>
      </c>
      <c r="AR1074" s="11" t="n">
        <v>0.7449809054134506</v>
      </c>
      <c r="AS1074" s="11" t="n">
        <f>IF(AND(COUNT(I1074:K1074,AP1074:AR1074)=6,MIN(AP1074:AR1074)&gt;0),I1074/7/AP1074*0.5+J1074/14/AQ1074*0.3+K1074/30/AR1074*0.2,"")</f>
        <v>0.008948775221247839</v>
      </c>
      <c r="AT1074" s="8" t="n">
        <v>2</v>
      </c>
      <c r="AU1074" s="8" t="n">
        <v>0</v>
      </c>
      <c r="AV1074" s="8" t="n">
        <v>88</v>
      </c>
      <c r="AW1074" s="11" t="n">
        <f>IF(AND(COUNT(AT1074:AV1074)=3,AT1074&gt;=AU1074,AU1074&gt;=0,AV1074&gt;0),(AT1074-AU1074)/AV1074,"")</f>
        <v>0.022727272727272728</v>
      </c>
      <c r="AX1074" s="8" t="n">
        <v>4</v>
      </c>
      <c r="AY1074" s="8" t="n">
        <v>0</v>
      </c>
      <c r="AZ1074" s="8" t="n">
        <v>178</v>
      </c>
      <c r="BA1074" s="11" t="n">
        <f>IF(AND(COUNT(AX1074:AZ1074)=3,AX1074&gt;=AY1074,AY1074&gt;=0,AZ1074&gt;0),(AX1074-AY1074)/AZ1074,"")</f>
        <v>0.02247191011235955</v>
      </c>
      <c r="BB1074" s="8" t="n">
        <f>IF(COUNT(AS1074,AW1074,BA1074)=3,1,0)</f>
        <v>1</v>
      </c>
      <c r="BC1074" s="11" t="n">
        <f>IF(SUMIF($AO$11:$AO$1309,AO1074,$BB$11:$BB$1309)=COUNTIF($AO$11:$AO$1309,AO1074),SUMIF($AO$11:$AO$1309,AO1074,$AS$11:$AS$1309),"")</f>
        <v>0.683212878207941</v>
      </c>
      <c r="BD1074" s="11" t="n">
        <f>IF(SUMIF($AO$11:$AO$1309,AO1074,$BB$11:$BB$1309)=COUNTIF($AO$11:$AO$1309,AO1074),SUMIF($AO$11:$AO$1309,AO1074,$AW$11:$AW$1309),"")</f>
        <v>0.3772696182066906</v>
      </c>
      <c r="BE1074" s="11" t="n">
        <f>IF(SUMIF($AO$11:$AO$1309,AO1074,$BB$11:$BB$1309)=COUNTIF($AO$11:$AO$1309,AO1074),SUMIF($AO$11:$AO$1309,AO1074,$BA$11:$BA$1309),"")</f>
        <v>0.41723770611411054</v>
      </c>
      <c r="BF1074" s="12" t="n">
        <f>IF(COUNT(BD1074:BE1074)&lt;&gt;2,"",IF(AND(BD1074&gt;0,BE1074&gt;0),0.7*AW1074/BD1074+0.3*BA1074/BE1074,IF(BD1074&gt;0,AW1074/BD1074,IF(BE1074&gt;0,BA1074/BE1074,IF(AND(ISNUMBER(BH1074),BH1074=0),0,"")))))</f>
        <v>0.05832665354261738</v>
      </c>
      <c r="BG1074" s="11" t="n">
        <f>IF(AND(COUNT(BN1074:BU1074)=8,MIN(BN1074:BU1074)&gt;=0),SUMPRODUCT(BN1074:BQ1074,BR1074:BU1074),"")</f>
        <v>78.35892944347341</v>
      </c>
      <c r="BH1074" s="11" t="n">
        <f>IF(COUNT(BC1074,BG1074)=2,BC1074*BG1074,"")</f>
        <v>53.53582971836844</v>
      </c>
      <c r="BI1074" s="11" t="n">
        <f>IF(ISNUMBER(CI1074),CI1074,"")</f>
        <v>3.1225657920998353</v>
      </c>
      <c r="BJ1074" s="8" t="str"/>
      <c r="BK1074" s="8" t="str">
        <v>90天：2026-07-20 至 2026-10-17；180天：2026-04-21 至 2026-10-17</v>
      </c>
      <c r="BL1074" s="8" t="str">
        <v>90天：2026-10-06、2026-10-07；180天：2026-10-06、2026-10-07</v>
      </c>
      <c r="BM1074" s="8" t="str">
        <v>2026-10：12天 × 0.7307750238224848；2026-11：30天 × 0.9523018155490097；2026-12：31天 × 0.5958545198749097；2027-01：17天 × 1.3264167397065354</v>
      </c>
      <c r="BN1074" s="11" t="n">
        <v>0.7307750238224848</v>
      </c>
      <c r="BO1074" s="11" t="n">
        <v>0.9523018155490097</v>
      </c>
      <c r="BP1074" s="11" t="n">
        <v>0.5958545198749097</v>
      </c>
      <c r="BQ1074" s="11" t="n">
        <v>1.3264167397065354</v>
      </c>
      <c r="BR1074" s="8" t="n">
        <v>12</v>
      </c>
      <c r="BS1074" s="8" t="n">
        <v>30</v>
      </c>
      <c r="BT1074" s="8" t="n">
        <v>31</v>
      </c>
      <c r="BU1074" s="8" t="n">
        <v>17</v>
      </c>
      <c r="BV1074" s="11" t="n">
        <f>IF(COUNT(BC1074,BF1074)=2,BC1074*BF1074,"")</f>
        <v>0.039849520843089015</v>
      </c>
      <c r="BW1074" s="11" t="n">
        <f>IF(ISNUMBER(BN1074),BN1074,"")</f>
        <v>0.7307750238224848</v>
      </c>
      <c r="BX1074" s="14" t="n">
        <f>IF(ISNUMBER(BR1074),BR1074,"")</f>
        <v>12</v>
      </c>
      <c r="BY1074" s="13" t="n">
        <f>IF(AND(COUNT(BV1074,BW1074,BX1074)=3,MIN(BV1074,BW1074,BX1074)&gt;=0),BV1074*BW1074*BX1074,"")</f>
        <v>0.3494524145210758</v>
      </c>
      <c r="BZ1074" s="11" t="n">
        <f>IF(ISNUMBER(BO1074),BO1074,"")</f>
        <v>0.9523018155490097</v>
      </c>
      <c r="CA1074" s="14" t="n">
        <f>IF(ISNUMBER(BS1074),BS1074,"")</f>
        <v>30</v>
      </c>
      <c r="CB1074" s="13" t="n">
        <f>IF(AND(COUNT(BV1074,BZ1074,CA1074)=3,MIN(BV1074,BZ1074,CA1074)&gt;=0),BV1074*BZ1074*CA1074,"")</f>
        <v>1.1384631314289533</v>
      </c>
      <c r="CC1074" s="11" t="n">
        <f>IF(ISNUMBER(BP1074),BP1074,"")</f>
        <v>0.5958545198749097</v>
      </c>
      <c r="CD1074" s="14" t="n">
        <f>IF(ISNUMBER(BT1074),BT1074,"")</f>
        <v>31</v>
      </c>
      <c r="CE1074" s="13" t="n">
        <f>IF(AND(COUNT(BV1074,CC1074,CD1074)=3,MIN(BV1074,CC1074,CD1074)&gt;=0),BV1074*CC1074*CD1074,"")</f>
        <v>0.7360800303853243</v>
      </c>
      <c r="CF1074" s="11" t="n">
        <f>IF(ISNUMBER(BQ1074),BQ1074,"")</f>
        <v>1.3264167397065354</v>
      </c>
      <c r="CG1074" s="14" t="n">
        <f>IF(ISNUMBER(BU1074),BU1074,"")</f>
        <v>17</v>
      </c>
      <c r="CH1074" s="13" t="n">
        <f>IF(AND(COUNT(BV1074,CF1074,CG1074)=3,MIN(BV1074,CF1074,CG1074)&gt;=0),BV1074*CF1074*CG1074,"")</f>
        <v>0.8985702157644819</v>
      </c>
      <c r="CI1074" s="13" t="n">
        <f>IF(COUNT(BY1074,CB1074,CE1074,CH1074)=4,SUM(BY1074,CB1074,CE1074,CH1074),"")</f>
        <v>3.1225657920998353</v>
      </c>
    </row>
    <row r="1075" ht="72" customHeight="1">
      <c r="A1075" s="16" t="str">
        <v>B07-ND-Z-0-41.5</v>
      </c>
      <c r="B1075" s="16" t="str">
        <v>4店-彬郁-US</v>
      </c>
      <c r="C1075" s="16" t="str">
        <v>艾年</v>
      </c>
      <c r="D1075" s="26" t="n">
        <f>IF(NOT(ISNUMBER(E1075)),"",IF(OR(E1075&lt;=0,L1075=0),0,IF(OR(NOT(ISNUMBER(F1075)),F1075&lt;0),"",MIN(E1075,INT(F1075)))))</f>
        <v>0</v>
      </c>
      <c r="E1075" s="27" t="n">
        <f>IF(OR(NOT(ISNUMBER(L1075)),COUNT(M1075:O1075)&lt;&gt;3,MIN(M1075:O1075)&lt;0),"",ROUNDUP(ROUND(BI1075-SUM(M1075:O1075),10),0))</f>
        <v>-5</v>
      </c>
      <c r="F1075" s="28" t="n">
        <v>0</v>
      </c>
      <c r="G1075" s="28" t="n">
        <f>IF(AND(ISNUMBER(D1075),ISNUMBER(E1075)),IF(OR(E1075&lt;=0,L1075=0),0,E1075-D1075),"")</f>
        <v>0</v>
      </c>
      <c r="H1075" s="16" t="str">
        <f>IF(NOT(ISNUMBER(E1075)),"销量或海外库存待补",IF(OR(E1075&lt;=0,L1075=0),IF(L1075=0,"零日销，本批不发","本批无需补货"),IF(NOT(ISNUMBER(D1075)),"国内库存待补",IF(D1075=0,"国内无可用库存",IF(G1075&gt;0,"先发国内现货","按建议量发货")))))</f>
        <v>本批无需补货</v>
      </c>
      <c r="I1075" s="28" t="n">
        <f>IF(AND(COUNT(Z1075,AA1075,AB1075)=3,Z1075&gt;=AA1075,AA1075&gt;=0,AB1075=7),Z1075-AA1075,"")</f>
        <v>0</v>
      </c>
      <c r="J1075" s="28" t="n">
        <f>IF(AND(COUNT(AF1075,AG1075,AH1075)=3,AF1075&gt;=AG1075,AG1075&gt;=0,AH1075=14),AF1075-AG1075,"")</f>
        <v>0</v>
      </c>
      <c r="K1075" s="28" t="n">
        <f>IF(AND(COUNT(AL1075,AM1075,AN1075)=3,AL1075&gt;=AM1075,AM1075&gt;=0,AN1075=30),AL1075-AM1075,"")</f>
        <v>1</v>
      </c>
      <c r="L1075" s="29" t="n">
        <f>IF(ISNUMBER(BI1075),BI1075/90,"")</f>
        <v>0.017347587733887972</v>
      </c>
      <c r="M1075" s="28" t="n">
        <v>6</v>
      </c>
      <c r="N1075" s="28" t="n">
        <v>0</v>
      </c>
      <c r="O1075" s="28" t="n">
        <v>0</v>
      </c>
      <c r="P1075" s="30" t="n">
        <f>IF(AND(ISNUMBER(L1075),L1075&gt;0,COUNT(M1075:O1075)=3,MIN(M1075:O1075)&gt;=0),SUM(M1075:O1075)/L1075,"")</f>
        <v>345.8694137790228</v>
      </c>
      <c r="Q1075" s="16" t="str">
        <v>沿用原计划SKU店铺</v>
      </c>
      <c r="R1075" s="16" t="str">
        <v>已匹配</v>
      </c>
      <c r="S1075" s="16" t="str">
        <v>在售</v>
      </c>
      <c r="T1075" s="16" t="str">
        <v>B07</v>
      </c>
      <c r="U1075" s="16" t="str">
        <v>裸色镜面PU</v>
      </c>
      <c r="V1075" s="16" t="n">
        <v>10.5</v>
      </c>
      <c r="W1075" s="8" t="str">
        <v>2026-10-11 至 2026-10-17</v>
      </c>
      <c r="X1075" s="8" t="str">
        <v>2026-10-11、2026-10-12、2026-10-13、2026-10-14、2026-10-15、2026-10-16、2026-10-17</v>
      </c>
      <c r="Y1075" s="8" t="str">
        <v>无</v>
      </c>
      <c r="Z1075" s="8" t="n">
        <v>0</v>
      </c>
      <c r="AA1075" s="8" t="n">
        <v>0</v>
      </c>
      <c r="AB1075" s="8" t="n">
        <v>7</v>
      </c>
      <c r="AC1075" s="8" t="str">
        <v>2026-10-02 至 2026-10-17</v>
      </c>
      <c r="AD1075" s="8" t="str">
        <v>2026-10-02、2026-10-03、2026-10-04、2026-10-05、2026-10-08、2026-10-09、2026-10-10、2026-10-11、2026-10-12、2026-10-13、2026-10-14、2026-10-15、2026-10-16、2026-10-17</v>
      </c>
      <c r="AE1075" s="8" t="str">
        <v>2026-10-06 大促；2026-10-07 大促</v>
      </c>
      <c r="AF1075" s="8" t="n">
        <v>0</v>
      </c>
      <c r="AG1075" s="8" t="n">
        <v>0</v>
      </c>
      <c r="AH1075" s="8" t="n">
        <v>14</v>
      </c>
      <c r="AI1075" s="8" t="str">
        <v>2026-09-16 至 2026-10-17</v>
      </c>
      <c r="AJ10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5" s="8" t="str">
        <v>2026-10-06 大促；2026-10-07 大促</v>
      </c>
      <c r="AL1075" s="8" t="n">
        <v>1</v>
      </c>
      <c r="AM1075" s="8" t="n">
        <v>0</v>
      </c>
      <c r="AN1075" s="8" t="n">
        <v>30</v>
      </c>
      <c r="AO1075" s="8" t="str">
        <v>B07 / 裸色镜面PU / 13306</v>
      </c>
      <c r="AP1075" s="11" t="n">
        <v>0.7307750238224848</v>
      </c>
      <c r="AQ1075" s="11" t="n">
        <v>0.7307750238224848</v>
      </c>
      <c r="AR1075" s="11" t="n">
        <v>0.7449809054134506</v>
      </c>
      <c r="AS1075" s="11" t="n">
        <f>IF(AND(COUNT(I1075:K1075,AP1075:AR1075)=6,MIN(AP1075:AR1075)&gt;0),I1075/7/AP1075*0.5+J1075/14/AQ1075*0.3+K1075/30/AR1075*0.2,"")</f>
        <v>0.008948775221247839</v>
      </c>
      <c r="AT1075" s="8" t="n">
        <v>1</v>
      </c>
      <c r="AU1075" s="8" t="n">
        <v>0</v>
      </c>
      <c r="AV1075" s="8" t="n">
        <v>88</v>
      </c>
      <c r="AW1075" s="11" t="n">
        <f>IF(AND(COUNT(AT1075:AV1075)=3,AT1075&gt;=AU1075,AU1075&gt;=0,AV1075&gt;0),(AT1075-AU1075)/AV1075,"")</f>
        <v>0.011363636363636364</v>
      </c>
      <c r="AX1075" s="8" t="n">
        <v>2</v>
      </c>
      <c r="AY1075" s="8" t="n">
        <v>0</v>
      </c>
      <c r="AZ1075" s="8" t="n">
        <v>178</v>
      </c>
      <c r="BA1075" s="11" t="n">
        <f>IF(AND(COUNT(AX1075:AZ1075)=3,AX1075&gt;=AY1075,AY1075&gt;=0,AZ1075&gt;0),(AX1075-AY1075)/AZ1075,"")</f>
        <v>0.011235955056179775</v>
      </c>
      <c r="BB1075" s="8" t="n">
        <f>IF(COUNT(AS1075,AW1075,BA1075)=3,1,0)</f>
        <v>1</v>
      </c>
      <c r="BC1075" s="11" t="n">
        <f>IF(SUMIF($AO$11:$AO$1309,AO1075,$BB$11:$BB$1309)=COUNTIF($AO$11:$AO$1309,AO1075),SUMIF($AO$11:$AO$1309,AO1075,$AS$11:$AS$1309),"")</f>
        <v>0.683212878207941</v>
      </c>
      <c r="BD1075" s="11" t="n">
        <f>IF(SUMIF($AO$11:$AO$1309,AO1075,$BB$11:$BB$1309)=COUNTIF($AO$11:$AO$1309,AO1075),SUMIF($AO$11:$AO$1309,AO1075,$AW$11:$AW$1309),"")</f>
        <v>0.3772696182066906</v>
      </c>
      <c r="BE1075" s="11" t="n">
        <f>IF(SUMIF($AO$11:$AO$1309,AO1075,$BB$11:$BB$1309)=COUNTIF($AO$11:$AO$1309,AO1075),SUMIF($AO$11:$AO$1309,AO1075,$BA$11:$BA$1309),"")</f>
        <v>0.41723770611411054</v>
      </c>
      <c r="BF1075" s="12" t="n">
        <f>IF(COUNT(BD1075:BE1075)&lt;&gt;2,"",IF(AND(BD1075&gt;0,BE1075&gt;0),0.7*AW1075/BD1075+0.3*BA1075/BE1075,IF(BD1075&gt;0,AW1075/BD1075,IF(BE1075&gt;0,BA1075/BE1075,IF(AND(ISNUMBER(BH1075),BH1075=0),0,"")))))</f>
        <v>0.02916332677130869</v>
      </c>
      <c r="BG1075" s="11" t="n">
        <f>IF(AND(COUNT(BN1075:BU1075)=8,MIN(BN1075:BU1075)&gt;=0),SUMPRODUCT(BN1075:BQ1075,BR1075:BU1075),"")</f>
        <v>78.35892944347341</v>
      </c>
      <c r="BH1075" s="11" t="n">
        <f>IF(COUNT(BC1075,BG1075)=2,BC1075*BG1075,"")</f>
        <v>53.53582971836844</v>
      </c>
      <c r="BI1075" s="11" t="n">
        <f>IF(ISNUMBER(CI1075),CI1075,"")</f>
        <v>1.5612828960499177</v>
      </c>
      <c r="BJ1075" s="8" t="str"/>
      <c r="BK1075" s="8" t="str">
        <v>90天：2026-07-20 至 2026-10-17；180天：2026-04-21 至 2026-10-17</v>
      </c>
      <c r="BL1075" s="8" t="str">
        <v>90天：2026-10-06、2026-10-07；180天：2026-10-06、2026-10-07</v>
      </c>
      <c r="BM1075" s="8" t="str">
        <v>2026-10：12天 × 0.7307750238224848；2026-11：30天 × 0.9523018155490097；2026-12：31天 × 0.5958545198749097；2027-01：17天 × 1.3264167397065354</v>
      </c>
      <c r="BN1075" s="11" t="n">
        <v>0.7307750238224848</v>
      </c>
      <c r="BO1075" s="11" t="n">
        <v>0.9523018155490097</v>
      </c>
      <c r="BP1075" s="11" t="n">
        <v>0.5958545198749097</v>
      </c>
      <c r="BQ1075" s="11" t="n">
        <v>1.3264167397065354</v>
      </c>
      <c r="BR1075" s="8" t="n">
        <v>12</v>
      </c>
      <c r="BS1075" s="8" t="n">
        <v>30</v>
      </c>
      <c r="BT1075" s="8" t="n">
        <v>31</v>
      </c>
      <c r="BU1075" s="8" t="n">
        <v>17</v>
      </c>
      <c r="BV1075" s="11" t="n">
        <f>IF(COUNT(BC1075,BF1075)=2,BC1075*BF1075,"")</f>
        <v>0.019924760421544507</v>
      </c>
      <c r="BW1075" s="11" t="n">
        <f>IF(ISNUMBER(BN1075),BN1075,"")</f>
        <v>0.7307750238224848</v>
      </c>
      <c r="BX1075" s="14" t="n">
        <f>IF(ISNUMBER(BR1075),BR1075,"")</f>
        <v>12</v>
      </c>
      <c r="BY1075" s="13" t="n">
        <f>IF(AND(COUNT(BV1075,BW1075,BX1075)=3,MIN(BV1075,BW1075,BX1075)&gt;=0),BV1075*BW1075*BX1075,"")</f>
        <v>0.1747262072605379</v>
      </c>
      <c r="BZ1075" s="11" t="n">
        <f>IF(ISNUMBER(BO1075),BO1075,"")</f>
        <v>0.9523018155490097</v>
      </c>
      <c r="CA1075" s="14" t="n">
        <f>IF(ISNUMBER(BS1075),BS1075,"")</f>
        <v>30</v>
      </c>
      <c r="CB1075" s="13" t="n">
        <f>IF(AND(COUNT(BV1075,BZ1075,CA1075)=3,MIN(BV1075,BZ1075,CA1075)&gt;=0),BV1075*BZ1075*CA1075,"")</f>
        <v>0.5692315657144766</v>
      </c>
      <c r="CC1075" s="11" t="n">
        <f>IF(ISNUMBER(BP1075),BP1075,"")</f>
        <v>0.5958545198749097</v>
      </c>
      <c r="CD1075" s="14" t="n">
        <f>IF(ISNUMBER(BT1075),BT1075,"")</f>
        <v>31</v>
      </c>
      <c r="CE1075" s="13" t="n">
        <f>IF(AND(COUNT(BV1075,CC1075,CD1075)=3,MIN(BV1075,CC1075,CD1075)&gt;=0),BV1075*CC1075*CD1075,"")</f>
        <v>0.36804001519266216</v>
      </c>
      <c r="CF1075" s="11" t="n">
        <f>IF(ISNUMBER(BQ1075),BQ1075,"")</f>
        <v>1.3264167397065354</v>
      </c>
      <c r="CG1075" s="14" t="n">
        <f>IF(ISNUMBER(BU1075),BU1075,"")</f>
        <v>17</v>
      </c>
      <c r="CH1075" s="13" t="n">
        <f>IF(AND(COUNT(BV1075,CF1075,CG1075)=3,MIN(BV1075,CF1075,CG1075)&gt;=0),BV1075*CF1075*CG1075,"")</f>
        <v>0.44928510788224096</v>
      </c>
      <c r="CI1075" s="13" t="n">
        <f>IF(COUNT(BY1075,CB1075,CE1075,CH1075)=4,SUM(BY1075,CB1075,CE1075,CH1075),"")</f>
        <v>1.5612828960499177</v>
      </c>
    </row>
    <row r="1076" ht="72" customHeight="1">
      <c r="A1076" s="16" t="str">
        <v>B07-ND-Z-0-42</v>
      </c>
      <c r="B1076" s="16" t="str">
        <v>4店-彬郁-US</v>
      </c>
      <c r="C1076" s="16" t="str">
        <v>艾年</v>
      </c>
      <c r="D1076" s="26" t="n">
        <f>IF(NOT(ISNUMBER(E1076)),"",IF(OR(E1076&lt;=0,L1076=0),0,IF(OR(NOT(ISNUMBER(F1076)),F1076&lt;0),"",MIN(E1076,INT(F1076)))))</f>
        <v>0</v>
      </c>
      <c r="E1076" s="27" t="n">
        <f>IF(OR(NOT(ISNUMBER(L1076)),COUNT(M1076:O1076)&lt;&gt;3,MIN(M1076:O1076)&lt;0),"",ROUNDUP(ROUND(BI1076-SUM(M1076:O1076),10),0))</f>
        <v>-27</v>
      </c>
      <c r="F1076" s="28" t="n">
        <v>10</v>
      </c>
      <c r="G1076" s="28" t="n">
        <f>IF(AND(ISNUMBER(D1076),ISNUMBER(E1076)),IF(OR(E1076&lt;=0,L1076=0),0,E1076-D1076),"")</f>
        <v>0</v>
      </c>
      <c r="H1076" s="16" t="str">
        <f>IF(NOT(ISNUMBER(E1076)),"销量或海外库存待补",IF(OR(E1076&lt;=0,L1076=0),IF(L1076=0,"零日销，本批不发","本批无需补货"),IF(NOT(ISNUMBER(D1076)),"国内库存待补",IF(D1076=0,"国内无可用库存",IF(G1076&gt;0,"先发国内现货","按建议量发货")))))</f>
        <v>本批无需补货</v>
      </c>
      <c r="I1076" s="28" t="n">
        <f>IF(AND(COUNT(Z1076,AA1076,AB1076)=3,Z1076&gt;=AA1076,AA1076&gt;=0,AB1076=7),Z1076-AA1076,"")</f>
        <v>1</v>
      </c>
      <c r="J1076" s="28" t="n">
        <f>IF(AND(COUNT(AF1076,AG1076,AH1076)=3,AF1076&gt;=AG1076,AG1076&gt;=0,AH1076=14),AF1076-AG1076,"")</f>
        <v>1</v>
      </c>
      <c r="K1076" s="28" t="n">
        <f>IF(AND(COUNT(AL1076,AM1076,AN1076)=3,AL1076&gt;=AM1076,AM1076&gt;=0,AN1076=30),AL1076-AM1076,"")</f>
        <v>1</v>
      </c>
      <c r="L1076" s="29" t="n">
        <f>IF(ISNUMBER(BI1076),BI1076/90,"")</f>
        <v>0.0298895521360696</v>
      </c>
      <c r="M1076" s="28" t="n">
        <v>29</v>
      </c>
      <c r="N1076" s="28" t="n">
        <v>0</v>
      </c>
      <c r="O1076" s="28" t="n">
        <v>0</v>
      </c>
      <c r="P1076" s="30" t="n">
        <f>IF(AND(ISNUMBER(L1076),L1076&gt;0,COUNT(M1076:O1076)=3,MIN(M1076:O1076)&gt;=0),SUM(M1076:O1076)/L1076,"")</f>
        <v>970.2386930382901</v>
      </c>
      <c r="Q1076" s="16" t="str">
        <v>沿用原计划SKU店铺</v>
      </c>
      <c r="R1076" s="16" t="str">
        <v>已匹配</v>
      </c>
      <c r="S1076" s="16" t="str">
        <v>在售</v>
      </c>
      <c r="T1076" s="16" t="str">
        <v>B07</v>
      </c>
      <c r="U1076" s="16" t="str">
        <v>裸色镜面PU</v>
      </c>
      <c r="V1076" s="16" t="n">
        <v>11</v>
      </c>
      <c r="W1076" s="8" t="str">
        <v>2026-10-11 至 2026-10-17</v>
      </c>
      <c r="X1076" s="8" t="str">
        <v>2026-10-11、2026-10-12、2026-10-13、2026-10-14、2026-10-15、2026-10-16、2026-10-17</v>
      </c>
      <c r="Y1076" s="8" t="str">
        <v>无</v>
      </c>
      <c r="Z1076" s="8" t="n">
        <v>1</v>
      </c>
      <c r="AA1076" s="8" t="n">
        <v>0</v>
      </c>
      <c r="AB1076" s="8" t="n">
        <v>7</v>
      </c>
      <c r="AC1076" s="8" t="str">
        <v>2026-10-02 至 2026-10-17</v>
      </c>
      <c r="AD1076" s="8" t="str">
        <v>2026-10-02、2026-10-03、2026-10-04、2026-10-05、2026-10-08、2026-10-09、2026-10-10、2026-10-11、2026-10-12、2026-10-13、2026-10-14、2026-10-15、2026-10-16、2026-10-17</v>
      </c>
      <c r="AE1076" s="8" t="str">
        <v>2026-10-06 大促；2026-10-07 大促</v>
      </c>
      <c r="AF1076" s="8" t="n">
        <v>1</v>
      </c>
      <c r="AG1076" s="8" t="n">
        <v>0</v>
      </c>
      <c r="AH1076" s="8" t="n">
        <v>14</v>
      </c>
      <c r="AI1076" s="8" t="str">
        <v>2026-09-16 至 2026-10-17</v>
      </c>
      <c r="AJ107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6" s="8" t="str">
        <v>2026-10-06 大促；2026-10-07 大促</v>
      </c>
      <c r="AL1076" s="8" t="n">
        <v>1</v>
      </c>
      <c r="AM1076" s="8" t="n">
        <v>0</v>
      </c>
      <c r="AN1076" s="8" t="n">
        <v>30</v>
      </c>
      <c r="AO1076" s="8" t="str">
        <v>B07 / 裸色镜面PU / 13306</v>
      </c>
      <c r="AP1076" s="11" t="n">
        <v>0.7307750238224848</v>
      </c>
      <c r="AQ1076" s="11" t="n">
        <v>0.7307750238224848</v>
      </c>
      <c r="AR1076" s="11" t="n">
        <v>0.7449809054134506</v>
      </c>
      <c r="AS1076" s="11" t="n">
        <f>IF(AND(COUNT(I1076:K1076,AP1076:AR1076)=6,MIN(AP1076:AR1076)&gt;0),I1076/7/AP1076*0.5+J1076/14/AQ1076*0.3+K1076/30/AR1076*0.2,"")</f>
        <v>0.13601543709405306</v>
      </c>
      <c r="AT1076" s="8" t="n">
        <v>2</v>
      </c>
      <c r="AU1076" s="8" t="n">
        <v>0</v>
      </c>
      <c r="AV1076" s="8" t="n">
        <v>88</v>
      </c>
      <c r="AW1076" s="11" t="n">
        <f>IF(AND(COUNT(AT1076:AV1076)=3,AT1076&gt;=AU1076,AU1076&gt;=0,AV1076&gt;0),(AT1076-AU1076)/AV1076,"")</f>
        <v>0.022727272727272728</v>
      </c>
      <c r="AX1076" s="8" t="n">
        <v>2</v>
      </c>
      <c r="AY1076" s="8" t="n">
        <v>0</v>
      </c>
      <c r="AZ1076" s="8" t="n">
        <v>178</v>
      </c>
      <c r="BA1076" s="11" t="n">
        <f>IF(AND(COUNT(AX1076:AZ1076)=3,AX1076&gt;=AY1076,AY1076&gt;=0,AZ1076&gt;0),(AX1076-AY1076)/AZ1076,"")</f>
        <v>0.011235955056179775</v>
      </c>
      <c r="BB1076" s="8" t="n">
        <f>IF(COUNT(AS1076,AW1076,BA1076)=3,1,0)</f>
        <v>1</v>
      </c>
      <c r="BC1076" s="11" t="n">
        <f>IF(SUMIF($AO$11:$AO$1309,AO1076,$BB$11:$BB$1309)=COUNTIF($AO$11:$AO$1309,AO1076),SUMIF($AO$11:$AO$1309,AO1076,$AS$11:$AS$1309),"")</f>
        <v>0.683212878207941</v>
      </c>
      <c r="BD1076" s="11" t="n">
        <f>IF(SUMIF($AO$11:$AO$1309,AO1076,$BB$11:$BB$1309)=COUNTIF($AO$11:$AO$1309,AO1076),SUMIF($AO$11:$AO$1309,AO1076,$AW$11:$AW$1309),"")</f>
        <v>0.3772696182066906</v>
      </c>
      <c r="BE1076" s="11" t="n">
        <f>IF(SUMIF($AO$11:$AO$1309,AO1076,$BB$11:$BB$1309)=COUNTIF($AO$11:$AO$1309,AO1076),SUMIF($AO$11:$AO$1309,AO1076,$BA$11:$BA$1309),"")</f>
        <v>0.41723770611411054</v>
      </c>
      <c r="BF1076" s="12" t="n">
        <f>IF(COUNT(BD1076:BE1076)&lt;&gt;2,"",IF(AND(BD1076&gt;0,BE1076&gt;0),0.7*AW1076/BD1076+0.3*BA1076/BE1076,IF(BD1076&gt;0,AW1076/BD1076,IF(BE1076&gt;0,BA1076/BE1076,IF(AND(ISNUMBER(BH1076),BH1076=0),0,"")))))</f>
        <v>0.05024783787601017</v>
      </c>
      <c r="BG1076" s="11" t="n">
        <f>IF(AND(COUNT(BN1076:BU1076)=8,MIN(BN1076:BU1076)&gt;=0),SUMPRODUCT(BN1076:BQ1076,BR1076:BU1076),"")</f>
        <v>78.35892944347341</v>
      </c>
      <c r="BH1076" s="11" t="n">
        <f>IF(COUNT(BC1076,BG1076)=2,BC1076*BG1076,"")</f>
        <v>53.53582971836844</v>
      </c>
      <c r="BI1076" s="11" t="n">
        <f>IF(ISNUMBER(CI1076),CI1076,"")</f>
        <v>2.690059692246264</v>
      </c>
      <c r="BJ1076" s="8" t="str"/>
      <c r="BK1076" s="8" t="str">
        <v>90天：2026-07-20 至 2026-10-17；180天：2026-04-21 至 2026-10-17</v>
      </c>
      <c r="BL1076" s="8" t="str">
        <v>90天：2026-10-06、2026-10-07；180天：2026-10-06、2026-10-07</v>
      </c>
      <c r="BM1076" s="8" t="str">
        <v>2026-10：12天 × 0.7307750238224848；2026-11：30天 × 0.9523018155490097；2026-12：31天 × 0.5958545198749097；2027-01：17天 × 1.3264167397065354</v>
      </c>
      <c r="BN1076" s="11" t="n">
        <v>0.7307750238224848</v>
      </c>
      <c r="BO1076" s="11" t="n">
        <v>0.9523018155490097</v>
      </c>
      <c r="BP1076" s="11" t="n">
        <v>0.5958545198749097</v>
      </c>
      <c r="BQ1076" s="11" t="n">
        <v>1.3264167397065354</v>
      </c>
      <c r="BR1076" s="8" t="n">
        <v>12</v>
      </c>
      <c r="BS1076" s="8" t="n">
        <v>30</v>
      </c>
      <c r="BT1076" s="8" t="n">
        <v>31</v>
      </c>
      <c r="BU1076" s="8" t="n">
        <v>17</v>
      </c>
      <c r="BV1076" s="11" t="n">
        <f>IF(COUNT(BC1076,BF1076)=2,BC1076*BF1076,"")</f>
        <v>0.0343299699389949</v>
      </c>
      <c r="BW1076" s="11" t="n">
        <f>IF(ISNUMBER(BN1076),BN1076,"")</f>
        <v>0.7307750238224848</v>
      </c>
      <c r="BX1076" s="14" t="n">
        <f>IF(ISNUMBER(BR1076),BR1076,"")</f>
        <v>12</v>
      </c>
      <c r="BY1076" s="13" t="n">
        <f>IF(AND(COUNT(BV1076,BW1076,BX1076)=3,MIN(BV1076,BW1076,BX1076)&gt;=0),BV1076*BW1076*BX1076,"")</f>
        <v>0.3010498151999302</v>
      </c>
      <c r="BZ1076" s="11" t="n">
        <f>IF(ISNUMBER(BO1076),BO1076,"")</f>
        <v>0.9523018155490097</v>
      </c>
      <c r="CA1076" s="14" t="n">
        <f>IF(ISNUMBER(BS1076),BS1076,"")</f>
        <v>30</v>
      </c>
      <c r="CB1076" s="13" t="n">
        <f>IF(AND(COUNT(BV1076,BZ1076,CA1076)=3,MIN(BV1076,BZ1076,CA1076)&gt;=0),BV1076*BZ1076*CA1076,"")</f>
        <v>0.9807747810194329</v>
      </c>
      <c r="CC1076" s="11" t="n">
        <f>IF(ISNUMBER(BP1076),BP1076,"")</f>
        <v>0.5958545198749097</v>
      </c>
      <c r="CD1076" s="14" t="n">
        <f>IF(ISNUMBER(BT1076),BT1076,"")</f>
        <v>31</v>
      </c>
      <c r="CE1076" s="13" t="n">
        <f>IF(AND(COUNT(BV1076,CC1076,CD1076)=3,MIN(BV1076,CC1076,CD1076)&gt;=0),BV1076*CC1076*CD1076,"")</f>
        <v>0.6341257004149164</v>
      </c>
      <c r="CF1076" s="11" t="n">
        <f>IF(ISNUMBER(BQ1076),BQ1076,"")</f>
        <v>1.3264167397065354</v>
      </c>
      <c r="CG1076" s="14" t="n">
        <f>IF(ISNUMBER(BU1076),BU1076,"")</f>
        <v>17</v>
      </c>
      <c r="CH1076" s="13" t="n">
        <f>IF(AND(COUNT(BV1076,CF1076,CG1076)=3,MIN(BV1076,CF1076,CG1076)&gt;=0),BV1076*CF1076*CG1076,"")</f>
        <v>0.7741093956119847</v>
      </c>
      <c r="CI1076" s="13" t="n">
        <f>IF(COUNT(BY1076,CB1076,CE1076,CH1076)=4,SUM(BY1076,CB1076,CE1076,CH1076),"")</f>
        <v>2.690059692246264</v>
      </c>
    </row>
    <row r="1077" ht="72" customHeight="1">
      <c r="A1077" s="16" t="str">
        <v>B07-NY-37-by</v>
      </c>
      <c r="B1077" s="16" t="str">
        <v>4店-彬郁-US</v>
      </c>
      <c r="C1077" s="16" t="str">
        <v>艾年</v>
      </c>
      <c r="D1077" s="26" t="n">
        <f>IF(NOT(ISNUMBER(E1077)),"",IF(OR(E1077&lt;=0,L1077=0),0,IF(OR(NOT(ISNUMBER(F1077)),F1077&lt;0),"",MIN(E1077,INT(F1077)))))</f>
        <v>0</v>
      </c>
      <c r="E1077" s="27" t="n">
        <f>IF(OR(NOT(ISNUMBER(L1077)),COUNT(M1077:O1077)&lt;&gt;3,MIN(M1077:O1077)&lt;0),"",ROUNDUP(ROUND(BI1077-SUM(M1077:O1077),10),0))</f>
        <v>-28</v>
      </c>
      <c r="F1077" s="28" t="n">
        <v>0</v>
      </c>
      <c r="G1077" s="28" t="n">
        <f>IF(AND(ISNUMBER(D1077),ISNUMBER(E1077)),IF(OR(E1077&lt;=0,L1077=0),0,E1077-D1077),"")</f>
        <v>0</v>
      </c>
      <c r="H1077" s="16" t="str">
        <f>IF(NOT(ISNUMBER(E1077)),"销量或海外库存待补",IF(OR(E1077&lt;=0,L1077=0),IF(L1077=0,"零日销，本批不发","本批无需补货"),IF(NOT(ISNUMBER(D1077)),"国内库存待补",IF(D1077=0,"国内无可用库存",IF(G1077&gt;0,"先发国内现货","按建议量发货")))))</f>
        <v>本批无需补货</v>
      </c>
      <c r="I1077" s="28" t="n">
        <f>IF(AND(COUNT(Z1077,AA1077,AB1077)=3,Z1077&gt;=AA1077,AA1077&gt;=0,AB1077=7),Z1077-AA1077,"")</f>
        <v>0</v>
      </c>
      <c r="J1077" s="28" t="n">
        <f>IF(AND(COUNT(AF1077,AG1077,AH1077)=3,AF1077&gt;=AG1077,AG1077&gt;=0,AH1077=14),AF1077-AG1077,"")</f>
        <v>0</v>
      </c>
      <c r="K1077" s="28" t="n">
        <f>IF(AND(COUNT(AL1077,AM1077,AN1077)=3,AL1077&gt;=AM1077,AM1077&gt;=0,AN1077=30),AL1077-AM1077,"")</f>
        <v>0</v>
      </c>
      <c r="L1077" s="29" t="n">
        <f>IF(ISNUMBER(BI1077),BI1077/90,"")</f>
        <v>0.02989214979134058</v>
      </c>
      <c r="M1077" s="28" t="n">
        <v>30</v>
      </c>
      <c r="N1077" s="28" t="n">
        <v>0</v>
      </c>
      <c r="O1077" s="28" t="n">
        <v>0</v>
      </c>
      <c r="P1077" s="30" t="n">
        <f>IF(AND(ISNUMBER(L1077),L1077&gt;0,COUNT(M1077:O1077)=3,MIN(M1077:O1077)&gt;=0),SUM(M1077:O1077)/L1077,"")</f>
        <v>1003.6079776600967</v>
      </c>
      <c r="Q1077" s="16" t="str">
        <v>沿用原计划SKU店铺</v>
      </c>
      <c r="R1077" s="16" t="str">
        <v>已匹配</v>
      </c>
      <c r="S1077" s="16" t="str">
        <v>在售</v>
      </c>
      <c r="T1077" s="16" t="str">
        <v>B07</v>
      </c>
      <c r="U1077" s="16" t="str">
        <v>藏青色羊京绒</v>
      </c>
      <c r="V1077" s="16" t="n">
        <v>6</v>
      </c>
      <c r="W1077" s="8" t="str">
        <v>2026-10-11 至 2026-10-17</v>
      </c>
      <c r="X1077" s="8" t="str">
        <v>2026-10-11、2026-10-12、2026-10-13、2026-10-14、2026-10-15、2026-10-16、2026-10-17</v>
      </c>
      <c r="Y1077" s="8" t="str">
        <v>无</v>
      </c>
      <c r="Z1077" s="8" t="n">
        <v>0</v>
      </c>
      <c r="AA1077" s="8" t="n">
        <v>0</v>
      </c>
      <c r="AB1077" s="8" t="n">
        <v>7</v>
      </c>
      <c r="AC1077" s="8" t="str">
        <v>2026-10-02 至 2026-10-17</v>
      </c>
      <c r="AD1077" s="8" t="str">
        <v>2026-10-02、2026-10-03、2026-10-04、2026-10-05、2026-10-08、2026-10-09、2026-10-10、2026-10-11、2026-10-12、2026-10-13、2026-10-14、2026-10-15、2026-10-16、2026-10-17</v>
      </c>
      <c r="AE1077" s="8" t="str">
        <v>2026-10-06 大促；2026-10-07 大促</v>
      </c>
      <c r="AF1077" s="8" t="n">
        <v>0</v>
      </c>
      <c r="AG1077" s="8" t="n">
        <v>0</v>
      </c>
      <c r="AH1077" s="8" t="n">
        <v>14</v>
      </c>
      <c r="AI1077" s="8" t="str">
        <v>2026-09-16 至 2026-10-17</v>
      </c>
      <c r="AJ10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7" s="8" t="str">
        <v>2026-10-06 大促；2026-10-07 大促</v>
      </c>
      <c r="AL1077" s="8" t="n">
        <v>0</v>
      </c>
      <c r="AM1077" s="8" t="n">
        <v>0</v>
      </c>
      <c r="AN1077" s="8" t="n">
        <v>30</v>
      </c>
      <c r="AO1077" s="8" t="str">
        <v>B07 / 藏青色羊京绒 / 13306</v>
      </c>
      <c r="AP1077" s="11" t="n">
        <v>0.7307750238224848</v>
      </c>
      <c r="AQ1077" s="11" t="n">
        <v>0.7307750238224848</v>
      </c>
      <c r="AR1077" s="11" t="n">
        <v>0.7449809054134506</v>
      </c>
      <c r="AS1077" s="11" t="n">
        <f>IF(AND(COUNT(I1077:K1077,AP1077:AR1077)=6,MIN(AP1077:AR1077)&gt;0),I1077/7/AP1077*0.5+J1077/14/AQ1077*0.3+K1077/30/AR1077*0.2,"")</f>
        <v>0</v>
      </c>
      <c r="AT1077" s="8" t="n">
        <v>2</v>
      </c>
      <c r="AU1077" s="8" t="n">
        <v>0</v>
      </c>
      <c r="AV1077" s="8" t="n">
        <v>88</v>
      </c>
      <c r="AW1077" s="11" t="n">
        <f>IF(AND(COUNT(AT1077:AV1077)=3,AT1077&gt;=AU1077,AU1077&gt;=0,AV1077&gt;0),(AT1077-AU1077)/AV1077,"")</f>
        <v>0.022727272727272728</v>
      </c>
      <c r="AX1077" s="8" t="n">
        <v>3</v>
      </c>
      <c r="AY1077" s="8" t="n">
        <v>0</v>
      </c>
      <c r="AZ1077" s="8" t="n">
        <v>178</v>
      </c>
      <c r="BA1077" s="11" t="n">
        <f>IF(AND(COUNT(AX1077:AZ1077)=3,AX1077&gt;=AY1077,AY1077&gt;=0,AZ1077&gt;0),(AX1077-AY1077)/AZ1077,"")</f>
        <v>0.016853932584269662</v>
      </c>
      <c r="BB1077" s="8" t="n">
        <f>IF(COUNT(AS1077,AW1077,BA1077)=3,1,0)</f>
        <v>1</v>
      </c>
      <c r="BC1077" s="11" t="n">
        <f>IF(SUMIF($AO$11:$AO$1309,AO1077,$BB$11:$BB$1309)=COUNTIF($AO$11:$AO$1309,AO1077),SUMIF($AO$11:$AO$1309,AO1077,$AS$11:$AS$1309),"")</f>
        <v>0.6888933186848828</v>
      </c>
      <c r="BD1077" s="11" t="n">
        <f>IF(SUMIF($AO$11:$AO$1309,AO1077,$BB$11:$BB$1309)=COUNTIF($AO$11:$AO$1309,AO1077),SUMIF($AO$11:$AO$1309,AO1077,$AW$11:$AW$1309),"")</f>
        <v>0.42045454545454547</v>
      </c>
      <c r="BE1077" s="11" t="n">
        <f>IF(SUMIF($AO$11:$AO$1309,AO1077,$BB$11:$BB$1309)=COUNTIF($AO$11:$AO$1309,AO1077),SUMIF($AO$11:$AO$1309,AO1077,$BA$11:$BA$1309),"")</f>
        <v>0.4213483146067416</v>
      </c>
      <c r="BF1077" s="12" t="n">
        <f>IF(COUNT(BD1077:BE1077)&lt;&gt;2,"",IF(AND(BD1077&gt;0,BE1077&gt;0),0.7*AW1077/BD1077+0.3*BA1077/BE1077,IF(BD1077&gt;0,AW1077/BD1077,IF(BE1077&gt;0,BA1077/BE1077,IF(AND(ISNUMBER(BH1077),BH1077=0),0,"")))))</f>
        <v>0.04983783783783783</v>
      </c>
      <c r="BG1077" s="11" t="n">
        <f>IF(AND(COUNT(BN1077:BU1077)=8,MIN(BN1077:BU1077)&gt;=0),SUMPRODUCT(BN1077:BQ1077,BR1077:BU1077),"")</f>
        <v>78.35892944347341</v>
      </c>
      <c r="BH1077" s="11" t="n">
        <f>IF(COUNT(BC1077,BG1077)=2,BC1077*BG1077,"")</f>
        <v>53.980942952908975</v>
      </c>
      <c r="BI1077" s="11" t="n">
        <f>IF(ISNUMBER(CI1077),CI1077,"")</f>
        <v>2.6902934812206523</v>
      </c>
      <c r="BJ1077" s="8" t="str"/>
      <c r="BK1077" s="8" t="str">
        <v>90天：2026-07-20 至 2026-10-17；180天：2026-04-21 至 2026-10-17</v>
      </c>
      <c r="BL1077" s="8" t="str">
        <v>90天：2026-10-06、2026-10-07；180天：2026-10-06、2026-10-07</v>
      </c>
      <c r="BM1077" s="8" t="str">
        <v>2026-10：12天 × 0.7307750238224848；2026-11：30天 × 0.9523018155490097；2026-12：31天 × 0.5958545198749097；2027-01：17天 × 1.3264167397065354</v>
      </c>
      <c r="BN1077" s="11" t="n">
        <v>0.7307750238224848</v>
      </c>
      <c r="BO1077" s="11" t="n">
        <v>0.9523018155490097</v>
      </c>
      <c r="BP1077" s="11" t="n">
        <v>0.5958545198749097</v>
      </c>
      <c r="BQ1077" s="11" t="n">
        <v>1.3264167397065354</v>
      </c>
      <c r="BR1077" s="8" t="n">
        <v>12</v>
      </c>
      <c r="BS1077" s="8" t="n">
        <v>30</v>
      </c>
      <c r="BT1077" s="8" t="n">
        <v>31</v>
      </c>
      <c r="BU1077" s="8" t="n">
        <v>17</v>
      </c>
      <c r="BV1077" s="11" t="n">
        <f>IF(COUNT(BC1077,BF1077)=2,BC1077*BF1077,"")</f>
        <v>0.03433295350418713</v>
      </c>
      <c r="BW1077" s="11" t="n">
        <f>IF(ISNUMBER(BN1077),BN1077,"")</f>
        <v>0.7307750238224848</v>
      </c>
      <c r="BX1077" s="14" t="n">
        <f>IF(ISNUMBER(BR1077),BR1077,"")</f>
        <v>12</v>
      </c>
      <c r="BY1077" s="13" t="n">
        <f>IF(AND(COUNT(BV1077,BW1077,BX1077)=3,MIN(BV1077,BW1077,BX1077)&gt;=0),BV1077*BW1077*BX1077,"")</f>
        <v>0.3010759789790234</v>
      </c>
      <c r="BZ1077" s="11" t="n">
        <f>IF(ISNUMBER(BO1077),BO1077,"")</f>
        <v>0.9523018155490097</v>
      </c>
      <c r="CA1077" s="14" t="n">
        <f>IF(ISNUMBER(BS1077),BS1077,"")</f>
        <v>30</v>
      </c>
      <c r="CB1077" s="13" t="n">
        <f>IF(AND(COUNT(BV1077,BZ1077,CA1077)=3,MIN(BV1077,BZ1077,CA1077)&gt;=0),BV1077*BZ1077*CA1077,"")</f>
        <v>0.9808600186559141</v>
      </c>
      <c r="CC1077" s="11" t="n">
        <f>IF(ISNUMBER(BP1077),BP1077,"")</f>
        <v>0.5958545198749097</v>
      </c>
      <c r="CD1077" s="14" t="n">
        <f>IF(ISNUMBER(BT1077),BT1077,"")</f>
        <v>31</v>
      </c>
      <c r="CE1077" s="13" t="n">
        <f>IF(AND(COUNT(BV1077,CC1077,CD1077)=3,MIN(BV1077,CC1077,CD1077)&gt;=0),BV1077*CC1077*CD1077,"")</f>
        <v>0.6341808113098756</v>
      </c>
      <c r="CF1077" s="11" t="n">
        <f>IF(ISNUMBER(BQ1077),BQ1077,"")</f>
        <v>1.3264167397065354</v>
      </c>
      <c r="CG1077" s="14" t="n">
        <f>IF(ISNUMBER(BU1077),BU1077,"")</f>
        <v>17</v>
      </c>
      <c r="CH1077" s="13" t="n">
        <f>IF(AND(COUNT(BV1077,CF1077,CG1077)=3,MIN(BV1077,CF1077,CG1077)&gt;=0),BV1077*CF1077*CG1077,"")</f>
        <v>0.7741766722758393</v>
      </c>
      <c r="CI1077" s="13" t="n">
        <f>IF(COUNT(BY1077,CB1077,CE1077,CH1077)=4,SUM(BY1077,CB1077,CE1077,CH1077),"")</f>
        <v>2.6902934812206523</v>
      </c>
    </row>
    <row r="1078" ht="72" customHeight="1">
      <c r="A1078" s="16" t="str">
        <v>B07-NY-37.5-by</v>
      </c>
      <c r="B1078" s="16" t="str">
        <v>4店-彬郁-US</v>
      </c>
      <c r="C1078" s="16" t="str">
        <v>艾年</v>
      </c>
      <c r="D1078" s="26" t="n">
        <f>IF(NOT(ISNUMBER(E1078)),"",IF(OR(E1078&lt;=0,L1078=0),0,IF(OR(NOT(ISNUMBER(F1078)),F1078&lt;0),"",MIN(E1078,INT(F1078)))))</f>
        <v>0</v>
      </c>
      <c r="E1078" s="27" t="n">
        <f>IF(OR(NOT(ISNUMBER(L1078)),COUNT(M1078:O1078)&lt;&gt;3,MIN(M1078:O1078)&lt;0),"",ROUNDUP(ROUND(BI1078-SUM(M1078:O1078),10),0))</f>
        <v>-17</v>
      </c>
      <c r="F1078" s="28" t="n">
        <v>0</v>
      </c>
      <c r="G1078" s="28" t="n">
        <f>IF(AND(ISNUMBER(D1078),ISNUMBER(E1078)),IF(OR(E1078&lt;=0,L1078=0),0,E1078-D1078),"")</f>
        <v>0</v>
      </c>
      <c r="H1078" s="16" t="str">
        <f>IF(NOT(ISNUMBER(E1078)),"销量或海外库存待补",IF(OR(E1078&lt;=0,L1078=0),IF(L1078=0,"零日销，本批不发","本批无需补货"),IF(NOT(ISNUMBER(D1078)),"国内库存待补",IF(D1078=0,"国内无可用库存",IF(G1078&gt;0,"先发国内现货","按建议量发货")))))</f>
        <v>本批无需补货</v>
      </c>
      <c r="I1078" s="28" t="n">
        <f>IF(AND(COUNT(Z1078,AA1078,AB1078)=3,Z1078&gt;=AA1078,AA1078&gt;=0,AB1078=7),Z1078-AA1078,"")</f>
        <v>0</v>
      </c>
      <c r="J1078" s="28" t="n">
        <f>IF(AND(COUNT(AF1078,AG1078,AH1078)=3,AF1078&gt;=AG1078,AG1078&gt;=0,AH1078=14),AF1078-AG1078,"")</f>
        <v>0</v>
      </c>
      <c r="K1078" s="28" t="n">
        <f>IF(AND(COUNT(AL1078,AM1078,AN1078)=3,AL1078&gt;=AM1078,AM1078&gt;=0,AN1078=30),AL1078-AM1078,"")</f>
        <v>1</v>
      </c>
      <c r="L1078" s="29" t="n">
        <f>IF(ISNUMBER(BI1078),BI1078/90,"")</f>
        <v>0.02094395744599351</v>
      </c>
      <c r="M1078" s="28" t="n">
        <v>18</v>
      </c>
      <c r="N1078" s="28" t="n">
        <v>0</v>
      </c>
      <c r="O1078" s="28" t="n">
        <v>0</v>
      </c>
      <c r="P1078" s="30" t="n">
        <f>IF(AND(ISNUMBER(L1078),L1078&gt;0,COUNT(M1078:O1078)=3,MIN(M1078:O1078)&gt;=0),SUM(M1078:O1078)/L1078,"")</f>
        <v>859.43642916651</v>
      </c>
      <c r="Q1078" s="16" t="str">
        <v>沿用原计划SKU店铺</v>
      </c>
      <c r="R1078" s="16" t="str">
        <v>已匹配</v>
      </c>
      <c r="S1078" s="16" t="str">
        <v>在售</v>
      </c>
      <c r="T1078" s="16" t="str">
        <v>B07</v>
      </c>
      <c r="U1078" s="16" t="str">
        <v>藏青色羊京绒</v>
      </c>
      <c r="V1078" s="16" t="n">
        <v>6.5</v>
      </c>
      <c r="W1078" s="8" t="str">
        <v>2026-10-11 至 2026-10-17</v>
      </c>
      <c r="X1078" s="8" t="str">
        <v>2026-10-11、2026-10-12、2026-10-13、2026-10-14、2026-10-15、2026-10-16、2026-10-17</v>
      </c>
      <c r="Y1078" s="8" t="str">
        <v>无</v>
      </c>
      <c r="Z1078" s="8" t="n">
        <v>0</v>
      </c>
      <c r="AA1078" s="8" t="n">
        <v>0</v>
      </c>
      <c r="AB1078" s="8" t="n">
        <v>7</v>
      </c>
      <c r="AC1078" s="8" t="str">
        <v>2026-10-02 至 2026-10-17</v>
      </c>
      <c r="AD1078" s="8" t="str">
        <v>2026-10-02、2026-10-03、2026-10-04、2026-10-05、2026-10-08、2026-10-09、2026-10-10、2026-10-11、2026-10-12、2026-10-13、2026-10-14、2026-10-15、2026-10-16、2026-10-17</v>
      </c>
      <c r="AE1078" s="8" t="str">
        <v>2026-10-06 大促；2026-10-07 大促</v>
      </c>
      <c r="AF1078" s="8" t="n">
        <v>0</v>
      </c>
      <c r="AG1078" s="8" t="n">
        <v>0</v>
      </c>
      <c r="AH1078" s="8" t="n">
        <v>14</v>
      </c>
      <c r="AI1078" s="8" t="str">
        <v>2026-09-16 至 2026-10-17</v>
      </c>
      <c r="AJ10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8" s="8" t="str">
        <v>2026-10-06 大促；2026-10-07 大促</v>
      </c>
      <c r="AL1078" s="8" t="n">
        <v>1</v>
      </c>
      <c r="AM1078" s="8" t="n">
        <v>0</v>
      </c>
      <c r="AN1078" s="8" t="n">
        <v>30</v>
      </c>
      <c r="AO1078" s="8" t="str">
        <v>B07 / 藏青色羊京绒 / 13306</v>
      </c>
      <c r="AP1078" s="11" t="n">
        <v>0.7307750238224848</v>
      </c>
      <c r="AQ1078" s="11" t="n">
        <v>0.7307750238224848</v>
      </c>
      <c r="AR1078" s="11" t="n">
        <v>0.7449809054134506</v>
      </c>
      <c r="AS1078" s="11" t="n">
        <f>IF(AND(COUNT(I1078:K1078,AP1078:AR1078)=6,MIN(AP1078:AR1078)&gt;0),I1078/7/AP1078*0.5+J1078/14/AQ1078*0.3+K1078/30/AR1078*0.2,"")</f>
        <v>0.008948775221247839</v>
      </c>
      <c r="AT1078" s="8" t="n">
        <v>1</v>
      </c>
      <c r="AU1078" s="8" t="n">
        <v>0</v>
      </c>
      <c r="AV1078" s="8" t="n">
        <v>88</v>
      </c>
      <c r="AW1078" s="11" t="n">
        <f>IF(AND(COUNT(AT1078:AV1078)=3,AT1078&gt;=AU1078,AU1078&gt;=0,AV1078&gt;0),(AT1078-AU1078)/AV1078,"")</f>
        <v>0.011363636363636364</v>
      </c>
      <c r="AX1078" s="8" t="n">
        <v>4</v>
      </c>
      <c r="AY1078" s="8" t="n">
        <v>0</v>
      </c>
      <c r="AZ1078" s="8" t="n">
        <v>178</v>
      </c>
      <c r="BA1078" s="11" t="n">
        <f>IF(AND(COUNT(AX1078:AZ1078)=3,AX1078&gt;=AY1078,AY1078&gt;=0,AZ1078&gt;0),(AX1078-AY1078)/AZ1078,"")</f>
        <v>0.02247191011235955</v>
      </c>
      <c r="BB1078" s="8" t="n">
        <f>IF(COUNT(AS1078,AW1078,BA1078)=3,1,0)</f>
        <v>1</v>
      </c>
      <c r="BC1078" s="11" t="n">
        <f>IF(SUMIF($AO$11:$AO$1309,AO1078,$BB$11:$BB$1309)=COUNTIF($AO$11:$AO$1309,AO1078),SUMIF($AO$11:$AO$1309,AO1078,$AS$11:$AS$1309),"")</f>
        <v>0.6888933186848828</v>
      </c>
      <c r="BD1078" s="11" t="n">
        <f>IF(SUMIF($AO$11:$AO$1309,AO1078,$BB$11:$BB$1309)=COUNTIF($AO$11:$AO$1309,AO1078),SUMIF($AO$11:$AO$1309,AO1078,$AW$11:$AW$1309),"")</f>
        <v>0.42045454545454547</v>
      </c>
      <c r="BE1078" s="11" t="n">
        <f>IF(SUMIF($AO$11:$AO$1309,AO1078,$BB$11:$BB$1309)=COUNTIF($AO$11:$AO$1309,AO1078),SUMIF($AO$11:$AO$1309,AO1078,$BA$11:$BA$1309),"")</f>
        <v>0.4213483146067416</v>
      </c>
      <c r="BF1078" s="12" t="n">
        <f>IF(COUNT(BD1078:BE1078)&lt;&gt;2,"",IF(AND(BD1078&gt;0,BE1078&gt;0),0.7*AW1078/BD1078+0.3*BA1078/BE1078,IF(BD1078&gt;0,AW1078/BD1078,IF(BE1078&gt;0,BA1078/BE1078,IF(AND(ISNUMBER(BH1078),BH1078=0),0,"")))))</f>
        <v>0.03491891891891891</v>
      </c>
      <c r="BG1078" s="11" t="n">
        <f>IF(AND(COUNT(BN1078:BU1078)=8,MIN(BN1078:BU1078)&gt;=0),SUMPRODUCT(BN1078:BQ1078,BR1078:BU1078),"")</f>
        <v>78.35892944347341</v>
      </c>
      <c r="BH1078" s="11" t="n">
        <f>IF(COUNT(BC1078,BG1078)=2,BC1078*BG1078,"")</f>
        <v>53.980942952908975</v>
      </c>
      <c r="BI1078" s="11" t="n">
        <f>IF(ISNUMBER(CI1078),CI1078,"")</f>
        <v>1.8849561701394157</v>
      </c>
      <c r="BJ1078" s="8" t="str"/>
      <c r="BK1078" s="8" t="str">
        <v>90天：2026-07-20 至 2026-10-17；180天：2026-04-21 至 2026-10-17</v>
      </c>
      <c r="BL1078" s="8" t="str">
        <v>90天：2026-10-06、2026-10-07；180天：2026-10-06、2026-10-07</v>
      </c>
      <c r="BM1078" s="8" t="str">
        <v>2026-10：12天 × 0.7307750238224848；2026-11：30天 × 0.9523018155490097；2026-12：31天 × 0.5958545198749097；2027-01：17天 × 1.3264167397065354</v>
      </c>
      <c r="BN1078" s="11" t="n">
        <v>0.7307750238224848</v>
      </c>
      <c r="BO1078" s="11" t="n">
        <v>0.9523018155490097</v>
      </c>
      <c r="BP1078" s="11" t="n">
        <v>0.5958545198749097</v>
      </c>
      <c r="BQ1078" s="11" t="n">
        <v>1.3264167397065354</v>
      </c>
      <c r="BR1078" s="8" t="n">
        <v>12</v>
      </c>
      <c r="BS1078" s="8" t="n">
        <v>30</v>
      </c>
      <c r="BT1078" s="8" t="n">
        <v>31</v>
      </c>
      <c r="BU1078" s="8" t="n">
        <v>17</v>
      </c>
      <c r="BV1078" s="11" t="n">
        <f>IF(COUNT(BC1078,BF1078)=2,BC1078*BF1078,"")</f>
        <v>0.02405540993894239</v>
      </c>
      <c r="BW1078" s="11" t="n">
        <f>IF(ISNUMBER(BN1078),BN1078,"")</f>
        <v>0.7307750238224848</v>
      </c>
      <c r="BX1078" s="14" t="n">
        <f>IF(ISNUMBER(BR1078),BR1078,"")</f>
        <v>12</v>
      </c>
      <c r="BY1078" s="13" t="n">
        <f>IF(AND(COUNT(BV1078,BW1078,BX1078)=3,MIN(BV1078,BW1078,BX1078)&gt;=0),BV1078*BW1078*BX1078,"")</f>
        <v>0.21094911325428314</v>
      </c>
      <c r="BZ1078" s="11" t="n">
        <f>IF(ISNUMBER(BO1078),BO1078,"")</f>
        <v>0.9523018155490097</v>
      </c>
      <c r="CA1078" s="14" t="n">
        <f>IF(ISNUMBER(BS1078),BS1078,"")</f>
        <v>30</v>
      </c>
      <c r="CB1078" s="13" t="n">
        <f>IF(AND(COUNT(BV1078,BZ1078,CA1078)=3,MIN(BV1078,BZ1078,CA1078)&gt;=0),BV1078*BZ1078*CA1078,"")</f>
        <v>0.687240316758916</v>
      </c>
      <c r="CC1078" s="11" t="n">
        <f>IF(ISNUMBER(BP1078),BP1078,"")</f>
        <v>0.5958545198749097</v>
      </c>
      <c r="CD1078" s="14" t="n">
        <f>IF(ISNUMBER(BT1078),BT1078,"")</f>
        <v>31</v>
      </c>
      <c r="CE1078" s="13" t="n">
        <f>IF(AND(COUNT(BV1078,CC1078,CD1078)=3,MIN(BV1078,CC1078,CD1078)&gt;=0),BV1078*CC1078*CD1078,"")</f>
        <v>0.4443392669264421</v>
      </c>
      <c r="CF1078" s="11" t="n">
        <f>IF(ISNUMBER(BQ1078),BQ1078,"")</f>
        <v>1.3264167397065354</v>
      </c>
      <c r="CG1078" s="14" t="n">
        <f>IF(ISNUMBER(BU1078),BU1078,"")</f>
        <v>17</v>
      </c>
      <c r="CH1078" s="13" t="n">
        <f>IF(AND(COUNT(BV1078,CF1078,CG1078)=3,MIN(BV1078,CF1078,CG1078)&gt;=0),BV1078*CF1078*CG1078,"")</f>
        <v>0.5424274731997746</v>
      </c>
      <c r="CI1078" s="13" t="n">
        <f>IF(COUNT(BY1078,CB1078,CE1078,CH1078)=4,SUM(BY1078,CB1078,CE1078,CH1078),"")</f>
        <v>1.8849561701394157</v>
      </c>
    </row>
    <row r="1079" ht="72" customHeight="1">
      <c r="A1079" s="16" t="str">
        <v>B07-NY-38.5-by</v>
      </c>
      <c r="B1079" s="16" t="str">
        <v>4店-彬郁-US</v>
      </c>
      <c r="C1079" s="16" t="str">
        <v>艾年</v>
      </c>
      <c r="D1079" s="26" t="n">
        <f>IF(NOT(ISNUMBER(E1079)),"",IF(OR(E1079&lt;=0,L1079=0),0,IF(OR(NOT(ISNUMBER(F1079)),F1079&lt;0),"",MIN(E1079,INT(F1079)))))</f>
        <v>0</v>
      </c>
      <c r="E1079" s="27" t="n">
        <f>IF(OR(NOT(ISNUMBER(L1079)),COUNT(M1079:O1079)&lt;&gt;3,MIN(M1079:O1079)&lt;0),"",ROUNDUP(ROUND(BI1079-SUM(M1079:O1079),10),0))</f>
        <v>-20</v>
      </c>
      <c r="F1079" s="28" t="n">
        <v>0</v>
      </c>
      <c r="G1079" s="28" t="n">
        <f>IF(AND(ISNUMBER(D1079),ISNUMBER(E1079)),IF(OR(E1079&lt;=0,L1079=0),0,E1079-D1079),"")</f>
        <v>0</v>
      </c>
      <c r="H1079" s="16" t="str">
        <f>IF(NOT(ISNUMBER(E1079)),"销量或海外库存待补",IF(OR(E1079&lt;=0,L1079=0),IF(L1079=0,"零日销，本批不发","本批无需补货"),IF(NOT(ISNUMBER(D1079)),"国内库存待补",IF(D1079=0,"国内无可用库存",IF(G1079&gt;0,"先发国内现货","按建议量发货")))))</f>
        <v>本批无需补货</v>
      </c>
      <c r="I1079" s="28" t="n">
        <f>IF(AND(COUNT(Z1079,AA1079,AB1079)=3,Z1079&gt;=AA1079,AA1079&gt;=0,AB1079=7),Z1079-AA1079,"")</f>
        <v>0</v>
      </c>
      <c r="J1079" s="28" t="n">
        <f>IF(AND(COUNT(AF1079,AG1079,AH1079)=3,AF1079&gt;=AG1079,AG1079&gt;=0,AH1079=14),AF1079-AG1079,"")</f>
        <v>1</v>
      </c>
      <c r="K1079" s="28" t="n">
        <f>IF(AND(COUNT(AL1079,AM1079,AN1079)=3,AL1079&gt;=AM1079,AM1079&gt;=0,AN1079=30),AL1079-AM1079,"")</f>
        <v>3</v>
      </c>
      <c r="L1079" s="29" t="n">
        <f>IF(ISNUMBER(BI1079),BI1079/90,"")</f>
        <v>0.08552656306893325</v>
      </c>
      <c r="M1079" s="28" t="n">
        <v>12</v>
      </c>
      <c r="N1079" s="28" t="n">
        <v>0</v>
      </c>
      <c r="O1079" s="28" t="n">
        <v>15</v>
      </c>
      <c r="P1079" s="30" t="n">
        <f>IF(AND(ISNUMBER(L1079),L1079&gt;0,COUNT(M1079:O1079)=3,MIN(M1079:O1079)&gt;=0),SUM(M1079:O1079)/L1079,"")</f>
        <v>315.6913949440289</v>
      </c>
      <c r="Q1079" s="16" t="str">
        <v>沿用原计划SKU店铺</v>
      </c>
      <c r="R1079" s="16" t="str">
        <v>已匹配</v>
      </c>
      <c r="S1079" s="16" t="str">
        <v>在售</v>
      </c>
      <c r="T1079" s="16" t="str">
        <v>B07</v>
      </c>
      <c r="U1079" s="16" t="str">
        <v>藏青色羊京绒</v>
      </c>
      <c r="V1079" s="16" t="n">
        <v>7.5</v>
      </c>
      <c r="W1079" s="8" t="str">
        <v>2026-10-11 至 2026-10-17</v>
      </c>
      <c r="X1079" s="8" t="str">
        <v>2026-10-11、2026-10-12、2026-10-13、2026-10-14、2026-10-15、2026-10-16、2026-10-17</v>
      </c>
      <c r="Y1079" s="8" t="str">
        <v>无</v>
      </c>
      <c r="Z1079" s="8" t="n">
        <v>0</v>
      </c>
      <c r="AA1079" s="8" t="n">
        <v>0</v>
      </c>
      <c r="AB1079" s="8" t="n">
        <v>7</v>
      </c>
      <c r="AC1079" s="8" t="str">
        <v>2026-10-02 至 2026-10-17</v>
      </c>
      <c r="AD1079" s="8" t="str">
        <v>2026-10-02、2026-10-03、2026-10-04、2026-10-05、2026-10-08、2026-10-09、2026-10-10、2026-10-11、2026-10-12、2026-10-13、2026-10-14、2026-10-15、2026-10-16、2026-10-17</v>
      </c>
      <c r="AE1079" s="8" t="str">
        <v>2026-10-06 大促；2026-10-07 大促</v>
      </c>
      <c r="AF1079" s="8" t="n">
        <v>1</v>
      </c>
      <c r="AG1079" s="8" t="n">
        <v>0</v>
      </c>
      <c r="AH1079" s="8" t="n">
        <v>14</v>
      </c>
      <c r="AI1079" s="8" t="str">
        <v>2026-09-16 至 2026-10-17</v>
      </c>
      <c r="AJ10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79" s="8" t="str">
        <v>2026-10-06 大促；2026-10-07 大促</v>
      </c>
      <c r="AL1079" s="8" t="n">
        <v>3</v>
      </c>
      <c r="AM1079" s="8" t="n">
        <v>0</v>
      </c>
      <c r="AN1079" s="8" t="n">
        <v>30</v>
      </c>
      <c r="AO1079" s="8" t="str">
        <v>B07 / 藏青色羊京绒 / 13306</v>
      </c>
      <c r="AP1079" s="11" t="n">
        <v>0.7307750238224848</v>
      </c>
      <c r="AQ1079" s="11" t="n">
        <v>0.7307750238224848</v>
      </c>
      <c r="AR1079" s="11" t="n">
        <v>0.7449809054134506</v>
      </c>
      <c r="AS1079" s="11" t="n">
        <f>IF(AND(COUNT(I1079:K1079,AP1079:AR1079)=6,MIN(AP1079:AR1079)&gt;0),I1079/7/AP1079*0.5+J1079/14/AQ1079*0.3+K1079/30/AR1079*0.2,"")</f>
        <v>0.05616940148054472</v>
      </c>
      <c r="AT1079" s="8" t="n">
        <v>5</v>
      </c>
      <c r="AU1079" s="8" t="n">
        <v>0</v>
      </c>
      <c r="AV1079" s="8" t="n">
        <v>88</v>
      </c>
      <c r="AW1079" s="11" t="n">
        <f>IF(AND(COUNT(AT1079:AV1079)=3,AT1079&gt;=AU1079,AU1079&gt;=0,AV1079&gt;0),(AT1079-AU1079)/AV1079,"")</f>
        <v>0.056818181818181816</v>
      </c>
      <c r="AX1079" s="8" t="n">
        <v>12</v>
      </c>
      <c r="AY1079" s="8" t="n">
        <v>0</v>
      </c>
      <c r="AZ1079" s="8" t="n">
        <v>178</v>
      </c>
      <c r="BA1079" s="11" t="n">
        <f>IF(AND(COUNT(AX1079:AZ1079)=3,AX1079&gt;=AY1079,AY1079&gt;=0,AZ1079&gt;0),(AX1079-AY1079)/AZ1079,"")</f>
        <v>0.06741573033707865</v>
      </c>
      <c r="BB1079" s="8" t="n">
        <f>IF(COUNT(AS1079,AW1079,BA1079)=3,1,0)</f>
        <v>1</v>
      </c>
      <c r="BC1079" s="11" t="n">
        <f>IF(SUMIF($AO$11:$AO$1309,AO1079,$BB$11:$BB$1309)=COUNTIF($AO$11:$AO$1309,AO1079),SUMIF($AO$11:$AO$1309,AO1079,$AS$11:$AS$1309),"")</f>
        <v>0.6888933186848828</v>
      </c>
      <c r="BD1079" s="11" t="n">
        <f>IF(SUMIF($AO$11:$AO$1309,AO1079,$BB$11:$BB$1309)=COUNTIF($AO$11:$AO$1309,AO1079),SUMIF($AO$11:$AO$1309,AO1079,$AW$11:$AW$1309),"")</f>
        <v>0.42045454545454547</v>
      </c>
      <c r="BE1079" s="11" t="n">
        <f>IF(SUMIF($AO$11:$AO$1309,AO1079,$BB$11:$BB$1309)=COUNTIF($AO$11:$AO$1309,AO1079),SUMIF($AO$11:$AO$1309,AO1079,$BA$11:$BA$1309),"")</f>
        <v>0.4213483146067416</v>
      </c>
      <c r="BF1079" s="12" t="n">
        <f>IF(COUNT(BD1079:BE1079)&lt;&gt;2,"",IF(AND(BD1079&gt;0,BE1079&gt;0),0.7*AW1079/BD1079+0.3*BA1079/BE1079,IF(BD1079&gt;0,AW1079/BD1079,IF(BE1079&gt;0,BA1079/BE1079,IF(AND(ISNUMBER(BH1079),BH1079=0),0,"")))))</f>
        <v>0.1425945945945946</v>
      </c>
      <c r="BG1079" s="11" t="n">
        <f>IF(AND(COUNT(BN1079:BU1079)=8,MIN(BN1079:BU1079)&gt;=0),SUMPRODUCT(BN1079:BQ1079,BR1079:BU1079),"")</f>
        <v>78.35892944347341</v>
      </c>
      <c r="BH1079" s="11" t="n">
        <f>IF(COUNT(BC1079,BG1079)=2,BC1079*BG1079,"")</f>
        <v>53.980942952908975</v>
      </c>
      <c r="BI1079" s="11" t="n">
        <f>IF(ISNUMBER(CI1079),CI1079,"")</f>
        <v>7.697390676203992</v>
      </c>
      <c r="BJ1079" s="8" t="str"/>
      <c r="BK1079" s="8" t="str">
        <v>90天：2026-07-20 至 2026-10-17；180天：2026-04-21 至 2026-10-17</v>
      </c>
      <c r="BL1079" s="8" t="str">
        <v>90天：2026-10-06、2026-10-07；180天：2026-10-06、2026-10-07</v>
      </c>
      <c r="BM1079" s="8" t="str">
        <v>2026-10：12天 × 0.7307750238224848；2026-11：30天 × 0.9523018155490097；2026-12：31天 × 0.5958545198749097；2027-01：17天 × 1.3264167397065354</v>
      </c>
      <c r="BN1079" s="11" t="n">
        <v>0.7307750238224848</v>
      </c>
      <c r="BO1079" s="11" t="n">
        <v>0.9523018155490097</v>
      </c>
      <c r="BP1079" s="11" t="n">
        <v>0.5958545198749097</v>
      </c>
      <c r="BQ1079" s="11" t="n">
        <v>1.3264167397065354</v>
      </c>
      <c r="BR1079" s="8" t="n">
        <v>12</v>
      </c>
      <c r="BS1079" s="8" t="n">
        <v>30</v>
      </c>
      <c r="BT1079" s="8" t="n">
        <v>31</v>
      </c>
      <c r="BU1079" s="8" t="n">
        <v>17</v>
      </c>
      <c r="BV1079" s="11" t="n">
        <f>IF(COUNT(BC1079,BF1079)=2,BC1079*BF1079,"")</f>
        <v>0.09823246349679571</v>
      </c>
      <c r="BW1079" s="11" t="n">
        <f>IF(ISNUMBER(BN1079),BN1079,"")</f>
        <v>0.7307750238224848</v>
      </c>
      <c r="BX1079" s="14" t="n">
        <f>IF(ISNUMBER(BR1079),BR1079,"")</f>
        <v>12</v>
      </c>
      <c r="BY1079" s="13" t="n">
        <f>IF(AND(COUNT(BV1079,BW1079,BX1079)=3,MIN(BV1079,BW1079,BX1079)&gt;=0),BV1079*BW1079*BX1079,"")</f>
        <v>0.8614299702241471</v>
      </c>
      <c r="BZ1079" s="11" t="n">
        <f>IF(ISNUMBER(BO1079),BO1079,"")</f>
        <v>0.9523018155490097</v>
      </c>
      <c r="CA1079" s="14" t="n">
        <f>IF(ISNUMBER(BS1079),BS1079,"")</f>
        <v>30</v>
      </c>
      <c r="CB1079" s="13" t="n">
        <f>IF(AND(COUNT(BV1079,BZ1079,CA1079)=3,MIN(BV1079,BZ1079,CA1079)&gt;=0),BV1079*BZ1079*CA1079,"")</f>
        <v>2.8064086000155113</v>
      </c>
      <c r="CC1079" s="11" t="n">
        <f>IF(ISNUMBER(BP1079),BP1079,"")</f>
        <v>0.5958545198749097</v>
      </c>
      <c r="CD1079" s="14" t="n">
        <f>IF(ISNUMBER(BT1079),BT1079,"")</f>
        <v>31</v>
      </c>
      <c r="CE1079" s="13" t="n">
        <f>IF(AND(COUNT(BV1079,CC1079,CD1079)=3,MIN(BV1079,CC1079,CD1079)&gt;=0),BV1079*CC1079*CD1079,"")</f>
        <v>1.8144999785633968</v>
      </c>
      <c r="CF1079" s="11" t="n">
        <f>IF(ISNUMBER(BQ1079),BQ1079,"")</f>
        <v>1.3264167397065354</v>
      </c>
      <c r="CG1079" s="14" t="n">
        <f>IF(ISNUMBER(BU1079),BU1079,"")</f>
        <v>17</v>
      </c>
      <c r="CH1079" s="13" t="n">
        <f>IF(AND(COUNT(BV1079,CF1079,CG1079)=3,MIN(BV1079,CF1079,CG1079)&gt;=0),BV1079*CF1079*CG1079,"")</f>
        <v>2.215052127400937</v>
      </c>
      <c r="CI1079" s="13" t="n">
        <f>IF(COUNT(BY1079,CB1079,CE1079,CH1079)=4,SUM(BY1079,CB1079,CE1079,CH1079),"")</f>
        <v>7.697390676203992</v>
      </c>
    </row>
    <row r="1080" ht="72" customHeight="1">
      <c r="A1080" s="16" t="str">
        <v>B07-NY-39.5-by</v>
      </c>
      <c r="B1080" s="16" t="str">
        <v>4店-彬郁-US</v>
      </c>
      <c r="C1080" s="16" t="str">
        <v>艾年</v>
      </c>
      <c r="D1080" s="26" t="n">
        <f>IF(NOT(ISNUMBER(E1080)),"",IF(OR(E1080&lt;=0,L1080=0),0,IF(OR(NOT(ISNUMBER(F1080)),F1080&lt;0),"",MIN(E1080,INT(F1080)))))</f>
        <v>0</v>
      </c>
      <c r="E1080" s="27" t="n">
        <f>IF(OR(NOT(ISNUMBER(L1080)),COUNT(M1080:O1080)&lt;&gt;3,MIN(M1080:O1080)&lt;0),"",ROUNDUP(ROUND(BI1080-SUM(M1080:O1080),10),0))</f>
        <v>-6</v>
      </c>
      <c r="F1080" s="28" t="n">
        <v>0</v>
      </c>
      <c r="G1080" s="28" t="n">
        <f>IF(AND(ISNUMBER(D1080),ISNUMBER(E1080)),IF(OR(E1080&lt;=0,L1080=0),0,E1080-D1080),"")</f>
        <v>0</v>
      </c>
      <c r="H1080" s="16" t="str">
        <f>IF(NOT(ISNUMBER(E1080)),"销量或海外库存待补",IF(OR(E1080&lt;=0,L1080=0),IF(L1080=0,"零日销，本批不发","本批无需补货"),IF(NOT(ISNUMBER(D1080)),"国内库存待补",IF(D1080=0,"国内无可用库存",IF(G1080&gt;0,"先发国内现货","按建议量发货")))))</f>
        <v>本批无需补货</v>
      </c>
      <c r="I1080" s="28" t="n">
        <f>IF(AND(COUNT(Z1080,AA1080,AB1080)=3,Z1080&gt;=AA1080,AA1080&gt;=0,AB1080=7),Z1080-AA1080,"")</f>
        <v>2</v>
      </c>
      <c r="J1080" s="28" t="n">
        <f>IF(AND(COUNT(AF1080,AG1080,AH1080)=3,AF1080&gt;=AG1080,AG1080&gt;=0,AH1080=14),AF1080-AG1080,"")</f>
        <v>3</v>
      </c>
      <c r="K1080" s="28" t="n">
        <f>IF(AND(COUNT(AL1080,AM1080,AN1080)=3,AL1080&gt;=AM1080,AM1080&gt;=0,AN1080=30),AL1080-AM1080,"")</f>
        <v>7</v>
      </c>
      <c r="L1080" s="29" t="n">
        <f>IF(ISNUMBER(BI1080),BI1080/90,"")</f>
        <v>0.18415120478830208</v>
      </c>
      <c r="M1080" s="28" t="n">
        <v>16</v>
      </c>
      <c r="N1080" s="28" t="n">
        <v>3</v>
      </c>
      <c r="O1080" s="28" t="n">
        <v>3</v>
      </c>
      <c r="P1080" s="30" t="n">
        <f>IF(AND(ISNUMBER(L1080),L1080&gt;0,COUNT(M1080:O1080)=3,MIN(M1080:O1080)&gt;=0),SUM(M1080:O1080)/L1080,"")</f>
        <v>119.46704353789553</v>
      </c>
      <c r="Q1080" s="16" t="str">
        <v>沿用原计划SKU店铺</v>
      </c>
      <c r="R1080" s="16" t="str">
        <v>已匹配</v>
      </c>
      <c r="S1080" s="16" t="str">
        <v>在售</v>
      </c>
      <c r="T1080" s="16" t="str">
        <v>B07</v>
      </c>
      <c r="U1080" s="16" t="str">
        <v>藏青色羊京绒</v>
      </c>
      <c r="V1080" s="16" t="n">
        <v>8.5</v>
      </c>
      <c r="W1080" s="8" t="str">
        <v>2026-10-11 至 2026-10-17</v>
      </c>
      <c r="X1080" s="8" t="str">
        <v>2026-10-11、2026-10-12、2026-10-13、2026-10-14、2026-10-15、2026-10-16、2026-10-17</v>
      </c>
      <c r="Y1080" s="8" t="str">
        <v>无</v>
      </c>
      <c r="Z1080" s="8" t="n">
        <v>2</v>
      </c>
      <c r="AA1080" s="8" t="n">
        <v>0</v>
      </c>
      <c r="AB1080" s="8" t="n">
        <v>7</v>
      </c>
      <c r="AC1080" s="8" t="str">
        <v>2026-10-02 至 2026-10-17</v>
      </c>
      <c r="AD1080" s="8" t="str">
        <v>2026-10-02、2026-10-03、2026-10-04、2026-10-05、2026-10-08、2026-10-09、2026-10-10、2026-10-11、2026-10-12、2026-10-13、2026-10-14、2026-10-15、2026-10-16、2026-10-17</v>
      </c>
      <c r="AE1080" s="8" t="str">
        <v>2026-10-06 大促；2026-10-07 大促</v>
      </c>
      <c r="AF1080" s="8" t="n">
        <v>3</v>
      </c>
      <c r="AG1080" s="8" t="n">
        <v>0</v>
      </c>
      <c r="AH1080" s="8" t="n">
        <v>14</v>
      </c>
      <c r="AI1080" s="8" t="str">
        <v>2026-09-16 至 2026-10-17</v>
      </c>
      <c r="AJ10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0" s="8" t="str">
        <v>2026-10-06 大促；2026-10-07 大促</v>
      </c>
      <c r="AL1080" s="8" t="n">
        <v>7</v>
      </c>
      <c r="AM1080" s="8" t="n">
        <v>0</v>
      </c>
      <c r="AN1080" s="8" t="n">
        <v>30</v>
      </c>
      <c r="AO1080" s="8" t="str">
        <v>B07 / 藏青色羊京绒 / 13306</v>
      </c>
      <c r="AP1080" s="11" t="n">
        <v>0.7307750238224848</v>
      </c>
      <c r="AQ1080" s="11" t="n">
        <v>0.7307750238224848</v>
      </c>
      <c r="AR1080" s="11" t="n">
        <v>0.7449809054134506</v>
      </c>
      <c r="AS1080" s="11" t="n">
        <f>IF(AND(COUNT(I1080:K1080,AP1080:AR1080)=6,MIN(AP1080:AR1080)&gt;0),I1080/7/AP1080*0.5+J1080/14/AQ1080*0.3+K1080/30/AR1080*0.2,"")</f>
        <v>0.34609782611114653</v>
      </c>
      <c r="AT1080" s="8" t="n">
        <v>12</v>
      </c>
      <c r="AU1080" s="8" t="n">
        <v>0</v>
      </c>
      <c r="AV1080" s="8" t="n">
        <v>88</v>
      </c>
      <c r="AW1080" s="11" t="n">
        <f>IF(AND(COUNT(AT1080:AV1080)=3,AT1080&gt;=AU1080,AU1080&gt;=0,AV1080&gt;0),(AT1080-AU1080)/AV1080,"")</f>
        <v>0.13636363636363635</v>
      </c>
      <c r="AX1080" s="8" t="n">
        <v>20</v>
      </c>
      <c r="AY1080" s="8" t="n">
        <v>0</v>
      </c>
      <c r="AZ1080" s="8" t="n">
        <v>178</v>
      </c>
      <c r="BA1080" s="11" t="n">
        <f>IF(AND(COUNT(AX1080:AZ1080)=3,AX1080&gt;=AY1080,AY1080&gt;=0,AZ1080&gt;0),(AX1080-AY1080)/AZ1080,"")</f>
        <v>0.11235955056179775</v>
      </c>
      <c r="BB1080" s="8" t="n">
        <f>IF(COUNT(AS1080,AW1080,BA1080)=3,1,0)</f>
        <v>1</v>
      </c>
      <c r="BC1080" s="11" t="n">
        <f>IF(SUMIF($AO$11:$AO$1309,AO1080,$BB$11:$BB$1309)=COUNTIF($AO$11:$AO$1309,AO1080),SUMIF($AO$11:$AO$1309,AO1080,$AS$11:$AS$1309),"")</f>
        <v>0.6888933186848828</v>
      </c>
      <c r="BD1080" s="11" t="n">
        <f>IF(SUMIF($AO$11:$AO$1309,AO1080,$BB$11:$BB$1309)=COUNTIF($AO$11:$AO$1309,AO1080),SUMIF($AO$11:$AO$1309,AO1080,$AW$11:$AW$1309),"")</f>
        <v>0.42045454545454547</v>
      </c>
      <c r="BE1080" s="11" t="n">
        <f>IF(SUMIF($AO$11:$AO$1309,AO1080,$BB$11:$BB$1309)=COUNTIF($AO$11:$AO$1309,AO1080),SUMIF($AO$11:$AO$1309,AO1080,$BA$11:$BA$1309),"")</f>
        <v>0.4213483146067416</v>
      </c>
      <c r="BF1080" s="12" t="n">
        <f>IF(COUNT(BD1080:BE1080)&lt;&gt;2,"",IF(AND(BD1080&gt;0,BE1080&gt;0),0.7*AW1080/BD1080+0.3*BA1080/BE1080,IF(BD1080&gt;0,AW1080/BD1080,IF(BE1080&gt;0,BA1080/BE1080,IF(AND(ISNUMBER(BH1080),BH1080=0),0,"")))))</f>
        <v>0.307027027027027</v>
      </c>
      <c r="BG1080" s="11" t="n">
        <f>IF(AND(COUNT(BN1080:BU1080)=8,MIN(BN1080:BU1080)&gt;=0),SUMPRODUCT(BN1080:BQ1080,BR1080:BU1080),"")</f>
        <v>78.35892944347341</v>
      </c>
      <c r="BH1080" s="11" t="n">
        <f>IF(COUNT(BC1080,BG1080)=2,BC1080*BG1080,"")</f>
        <v>53.980942952908975</v>
      </c>
      <c r="BI1080" s="11" t="n">
        <f>IF(ISNUMBER(CI1080),CI1080,"")</f>
        <v>16.573608430947186</v>
      </c>
      <c r="BJ1080" s="8" t="str"/>
      <c r="BK1080" s="8" t="str">
        <v>90天：2026-07-20 至 2026-10-17；180天：2026-04-21 至 2026-10-17</v>
      </c>
      <c r="BL1080" s="8" t="str">
        <v>90天：2026-10-06、2026-10-07；180天：2026-10-06、2026-10-07</v>
      </c>
      <c r="BM1080" s="8" t="str">
        <v>2026-10：12天 × 0.7307750238224848；2026-11：30天 × 0.9523018155490097；2026-12：31天 × 0.5958545198749097；2027-01：17天 × 1.3264167397065354</v>
      </c>
      <c r="BN1080" s="11" t="n">
        <v>0.7307750238224848</v>
      </c>
      <c r="BO1080" s="11" t="n">
        <v>0.9523018155490097</v>
      </c>
      <c r="BP1080" s="11" t="n">
        <v>0.5958545198749097</v>
      </c>
      <c r="BQ1080" s="11" t="n">
        <v>1.3264167397065354</v>
      </c>
      <c r="BR1080" s="8" t="n">
        <v>12</v>
      </c>
      <c r="BS1080" s="8" t="n">
        <v>30</v>
      </c>
      <c r="BT1080" s="8" t="n">
        <v>31</v>
      </c>
      <c r="BU1080" s="8" t="n">
        <v>17</v>
      </c>
      <c r="BV1080" s="11" t="n">
        <f>IF(COUNT(BC1080,BF1080)=2,BC1080*BF1080,"")</f>
        <v>0.21150886757460183</v>
      </c>
      <c r="BW1080" s="11" t="n">
        <f>IF(ISNUMBER(BN1080),BN1080,"")</f>
        <v>0.7307750238224848</v>
      </c>
      <c r="BX1080" s="14" t="n">
        <f>IF(ISNUMBER(BR1080),BR1080,"")</f>
        <v>12</v>
      </c>
      <c r="BY1080" s="13" t="n">
        <f>IF(AND(COUNT(BV1080,BW1080,BX1080)=3,MIN(BV1080,BW1080,BX1080)&gt;=0),BV1080*BW1080*BX1080,"")</f>
        <v>1.8547847728859572</v>
      </c>
      <c r="BZ1080" s="11" t="n">
        <f>IF(ISNUMBER(BO1080),BO1080,"")</f>
        <v>0.9523018155490097</v>
      </c>
      <c r="CA1080" s="14" t="n">
        <f>IF(ISNUMBER(BS1080),BS1080,"")</f>
        <v>30</v>
      </c>
      <c r="CB1080" s="13" t="n">
        <f>IF(AND(COUNT(BV1080,BZ1080,CA1080)=3,MIN(BV1080,BZ1080,CA1080)&gt;=0),BV1080*BZ1080*CA1080,"")</f>
        <v>6.042608357880252</v>
      </c>
      <c r="CC1080" s="11" t="n">
        <f>IF(ISNUMBER(BP1080),BP1080,"")</f>
        <v>0.5958545198749097</v>
      </c>
      <c r="CD1080" s="14" t="n">
        <f>IF(ISNUMBER(BT1080),BT1080,"")</f>
        <v>31</v>
      </c>
      <c r="CE1080" s="13" t="n">
        <f>IF(AND(COUNT(BV1080,CC1080,CD1080)=3,MIN(BV1080,CC1080,CD1080)&gt;=0),BV1080*CC1080*CD1080,"")</f>
        <v>3.9068839568764564</v>
      </c>
      <c r="CF1080" s="11" t="n">
        <f>IF(ISNUMBER(BQ1080),BQ1080,"")</f>
        <v>1.3264167397065354</v>
      </c>
      <c r="CG1080" s="14" t="n">
        <f>IF(ISNUMBER(BU1080),BU1080,"")</f>
        <v>17</v>
      </c>
      <c r="CH1080" s="13" t="n">
        <f>IF(AND(COUNT(BV1080,CF1080,CG1080)=3,MIN(BV1080,CF1080,CG1080)&gt;=0),BV1080*CF1080*CG1080,"")</f>
        <v>4.769331343304519</v>
      </c>
      <c r="CI1080" s="13" t="n">
        <f>IF(COUNT(BY1080,CB1080,CE1080,CH1080)=4,SUM(BY1080,CB1080,CE1080,CH1080),"")</f>
        <v>16.573608430947186</v>
      </c>
    </row>
    <row r="1081" ht="72" customHeight="1">
      <c r="A1081" s="16" t="str">
        <v>B07-NY-40.5-by</v>
      </c>
      <c r="B1081" s="16" t="str">
        <v>4店-彬郁-US</v>
      </c>
      <c r="C1081" s="16" t="str">
        <v>艾年</v>
      </c>
      <c r="D1081" s="26" t="n">
        <f>IF(NOT(ISNUMBER(E1081)),"",IF(OR(E1081&lt;=0,L1081=0),0,IF(OR(NOT(ISNUMBER(F1081)),F1081&lt;0),"",MIN(E1081,INT(F1081)))))</f>
        <v>0</v>
      </c>
      <c r="E1081" s="27" t="n">
        <f>IF(OR(NOT(ISNUMBER(L1081)),COUNT(M1081:O1081)&lt;&gt;3,MIN(M1081:O1081)&lt;0),"",ROUNDUP(ROUND(BI1081-SUM(M1081:O1081),10),0))</f>
        <v>-30</v>
      </c>
      <c r="F1081" s="28" t="n">
        <v>0</v>
      </c>
      <c r="G1081" s="28" t="n">
        <f>IF(AND(ISNUMBER(D1081),ISNUMBER(E1081)),IF(OR(E1081&lt;=0,L1081=0),0,E1081-D1081),"")</f>
        <v>0</v>
      </c>
      <c r="H1081" s="16" t="str">
        <f>IF(NOT(ISNUMBER(E1081)),"销量或海外库存待补",IF(OR(E1081&lt;=0,L1081=0),IF(L1081=0,"零日销，本批不发","本批无需补货"),IF(NOT(ISNUMBER(D1081)),"国内库存待补",IF(D1081=0,"国内无可用库存",IF(G1081&gt;0,"先发国内现货","按建议量发货")))))</f>
        <v>本批无需补货</v>
      </c>
      <c r="I1081" s="28" t="n">
        <f>IF(AND(COUNT(Z1081,AA1081,AB1081)=3,Z1081&gt;=AA1081,AA1081&gt;=0,AB1081=7),Z1081-AA1081,"")</f>
        <v>1</v>
      </c>
      <c r="J1081" s="28" t="n">
        <f>IF(AND(COUNT(AF1081,AG1081,AH1081)=3,AF1081&gt;=AG1081,AG1081&gt;=0,AH1081=14),AF1081-AG1081,"")</f>
        <v>2</v>
      </c>
      <c r="K1081" s="28" t="n">
        <f>IF(AND(COUNT(AL1081,AM1081,AN1081)=3,AL1081&gt;=AM1081,AM1081&gt;=0,AN1081=30),AL1081-AM1081,"")</f>
        <v>4</v>
      </c>
      <c r="L1081" s="29" t="n">
        <f>IF(ISNUMBER(BI1081),BI1081/90,"")</f>
        <v>0.1243669052056209</v>
      </c>
      <c r="M1081" s="28" t="n">
        <v>41</v>
      </c>
      <c r="N1081" s="28" t="n">
        <v>0</v>
      </c>
      <c r="O1081" s="28" t="n">
        <v>0</v>
      </c>
      <c r="P1081" s="30" t="n">
        <f>IF(AND(ISNUMBER(L1081),L1081&gt;0,COUNT(M1081:O1081)=3,MIN(M1081:O1081)&gt;=0),SUM(M1081:O1081)/L1081,"")</f>
        <v>329.6696973540752</v>
      </c>
      <c r="Q1081" s="16" t="str">
        <v>沿用原计划SKU店铺</v>
      </c>
      <c r="R1081" s="16" t="str">
        <v>已匹配</v>
      </c>
      <c r="S1081" s="16" t="str">
        <v>在售</v>
      </c>
      <c r="T1081" s="16" t="str">
        <v>B07</v>
      </c>
      <c r="U1081" s="16" t="str">
        <v>藏青色羊京绒</v>
      </c>
      <c r="V1081" s="16" t="n">
        <v>9.5</v>
      </c>
      <c r="W1081" s="8" t="str">
        <v>2026-10-11 至 2026-10-17</v>
      </c>
      <c r="X1081" s="8" t="str">
        <v>2026-10-11、2026-10-12、2026-10-13、2026-10-14、2026-10-15、2026-10-16、2026-10-17</v>
      </c>
      <c r="Y1081" s="8" t="str">
        <v>无</v>
      </c>
      <c r="Z1081" s="8" t="n">
        <v>1</v>
      </c>
      <c r="AA1081" s="8" t="n">
        <v>0</v>
      </c>
      <c r="AB1081" s="8" t="n">
        <v>7</v>
      </c>
      <c r="AC1081" s="8" t="str">
        <v>2026-10-02 至 2026-10-17</v>
      </c>
      <c r="AD1081" s="8" t="str">
        <v>2026-10-02、2026-10-03、2026-10-04、2026-10-05、2026-10-08、2026-10-09、2026-10-10、2026-10-11、2026-10-12、2026-10-13、2026-10-14、2026-10-15、2026-10-16、2026-10-17</v>
      </c>
      <c r="AE1081" s="8" t="str">
        <v>2026-10-06 大促；2026-10-07 大促</v>
      </c>
      <c r="AF1081" s="8" t="n">
        <v>2</v>
      </c>
      <c r="AG1081" s="8" t="n">
        <v>0</v>
      </c>
      <c r="AH1081" s="8" t="n">
        <v>14</v>
      </c>
      <c r="AI1081" s="8" t="str">
        <v>2026-09-16 至 2026-10-17</v>
      </c>
      <c r="AJ10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1" s="8" t="str">
        <v>2026-10-06 大促；2026-10-07 大促</v>
      </c>
      <c r="AL1081" s="8" t="n">
        <v>4</v>
      </c>
      <c r="AM1081" s="8" t="n">
        <v>0</v>
      </c>
      <c r="AN1081" s="8" t="n">
        <v>30</v>
      </c>
      <c r="AO1081" s="8" t="str">
        <v>B07 / 藏青色羊京绒 / 13306</v>
      </c>
      <c r="AP1081" s="11" t="n">
        <v>0.7307750238224848</v>
      </c>
      <c r="AQ1081" s="11" t="n">
        <v>0.7307750238224848</v>
      </c>
      <c r="AR1081" s="11" t="n">
        <v>0.7449809054134506</v>
      </c>
      <c r="AS1081" s="11" t="n">
        <f>IF(AND(COUNT(I1081:K1081,AP1081:AR1081)=6,MIN(AP1081:AR1081)&gt;0),I1081/7/AP1081*0.5+J1081/14/AQ1081*0.3+K1081/30/AR1081*0.2,"")</f>
        <v>0.19218483857459778</v>
      </c>
      <c r="AT1081" s="8" t="n">
        <v>8</v>
      </c>
      <c r="AU1081" s="8" t="n">
        <v>0</v>
      </c>
      <c r="AV1081" s="8" t="n">
        <v>88</v>
      </c>
      <c r="AW1081" s="11" t="n">
        <f>IF(AND(COUNT(AT1081:AV1081)=3,AT1081&gt;=AU1081,AU1081&gt;=0,AV1081&gt;0),(AT1081-AU1081)/AV1081,"")</f>
        <v>0.09090909090909091</v>
      </c>
      <c r="AX1081" s="8" t="n">
        <v>14</v>
      </c>
      <c r="AY1081" s="8" t="n">
        <v>0</v>
      </c>
      <c r="AZ1081" s="8" t="n">
        <v>178</v>
      </c>
      <c r="BA1081" s="11" t="n">
        <f>IF(AND(COUNT(AX1081:AZ1081)=3,AX1081&gt;=AY1081,AY1081&gt;=0,AZ1081&gt;0),(AX1081-AY1081)/AZ1081,"")</f>
        <v>0.07865168539325842</v>
      </c>
      <c r="BB1081" s="8" t="n">
        <f>IF(COUNT(AS1081,AW1081,BA1081)=3,1,0)</f>
        <v>1</v>
      </c>
      <c r="BC1081" s="11" t="n">
        <f>IF(SUMIF($AO$11:$AO$1309,AO1081,$BB$11:$BB$1309)=COUNTIF($AO$11:$AO$1309,AO1081),SUMIF($AO$11:$AO$1309,AO1081,$AS$11:$AS$1309),"")</f>
        <v>0.6888933186848828</v>
      </c>
      <c r="BD1081" s="11" t="n">
        <f>IF(SUMIF($AO$11:$AO$1309,AO1081,$BB$11:$BB$1309)=COUNTIF($AO$11:$AO$1309,AO1081),SUMIF($AO$11:$AO$1309,AO1081,$AW$11:$AW$1309),"")</f>
        <v>0.42045454545454547</v>
      </c>
      <c r="BE1081" s="11" t="n">
        <f>IF(SUMIF($AO$11:$AO$1309,AO1081,$BB$11:$BB$1309)=COUNTIF($AO$11:$AO$1309,AO1081),SUMIF($AO$11:$AO$1309,AO1081,$BA$11:$BA$1309),"")</f>
        <v>0.4213483146067416</v>
      </c>
      <c r="BF1081" s="12" t="n">
        <f>IF(COUNT(BD1081:BE1081)&lt;&gt;2,"",IF(AND(BD1081&gt;0,BE1081&gt;0),0.7*AW1081/BD1081+0.3*BA1081/BE1081,IF(BD1081&gt;0,AW1081/BD1081,IF(BE1081&gt;0,BA1081/BE1081,IF(AND(ISNUMBER(BH1081),BH1081=0),0,"")))))</f>
        <v>0.20735135135135133</v>
      </c>
      <c r="BG1081" s="11" t="n">
        <f>IF(AND(COUNT(BN1081:BU1081)=8,MIN(BN1081:BU1081)&gt;=0),SUMPRODUCT(BN1081:BQ1081,BR1081:BU1081),"")</f>
        <v>78.35892944347341</v>
      </c>
      <c r="BH1081" s="11" t="n">
        <f>IF(COUNT(BC1081,BG1081)=2,BC1081*BG1081,"")</f>
        <v>53.980942952908975</v>
      </c>
      <c r="BI1081" s="11" t="n">
        <f>IF(ISNUMBER(CI1081),CI1081,"")</f>
        <v>11.193021468505881</v>
      </c>
      <c r="BJ1081" s="8" t="str"/>
      <c r="BK1081" s="8" t="str">
        <v>90天：2026-07-20 至 2026-10-17；180天：2026-04-21 至 2026-10-17</v>
      </c>
      <c r="BL1081" s="8" t="str">
        <v>90天：2026-10-06、2026-10-07；180天：2026-10-06、2026-10-07</v>
      </c>
      <c r="BM1081" s="8" t="str">
        <v>2026-10：12天 × 0.7307750238224848；2026-11：30天 × 0.9523018155490097；2026-12：31天 × 0.5958545198749097；2027-01：17天 × 1.3264167397065354</v>
      </c>
      <c r="BN1081" s="11" t="n">
        <v>0.7307750238224848</v>
      </c>
      <c r="BO1081" s="11" t="n">
        <v>0.9523018155490097</v>
      </c>
      <c r="BP1081" s="11" t="n">
        <v>0.5958545198749097</v>
      </c>
      <c r="BQ1081" s="11" t="n">
        <v>1.3264167397065354</v>
      </c>
      <c r="BR1081" s="8" t="n">
        <v>12</v>
      </c>
      <c r="BS1081" s="8" t="n">
        <v>30</v>
      </c>
      <c r="BT1081" s="8" t="n">
        <v>31</v>
      </c>
      <c r="BU1081" s="8" t="n">
        <v>17</v>
      </c>
      <c r="BV1081" s="11" t="n">
        <f>IF(COUNT(BC1081,BF1081)=2,BC1081*BF1081,"")</f>
        <v>0.14284296056622758</v>
      </c>
      <c r="BW1081" s="11" t="n">
        <f>IF(ISNUMBER(BN1081),BN1081,"")</f>
        <v>0.7307750238224848</v>
      </c>
      <c r="BX1081" s="14" t="n">
        <f>IF(ISNUMBER(BR1081),BR1081,"")</f>
        <v>12</v>
      </c>
      <c r="BY1081" s="13" t="n">
        <f>IF(AND(COUNT(BV1081,BW1081,BX1081)=3,MIN(BV1081,BW1081,BX1081)&gt;=0),BV1081*BW1081*BX1081,"")</f>
        <v>1.2526328149279107</v>
      </c>
      <c r="BZ1081" s="11" t="n">
        <f>IF(ISNUMBER(BO1081),BO1081,"")</f>
        <v>0.9523018155490097</v>
      </c>
      <c r="CA1081" s="14" t="n">
        <f>IF(ISNUMBER(BS1081),BS1081,"")</f>
        <v>30</v>
      </c>
      <c r="CB1081" s="13" t="n">
        <f>IF(AND(COUNT(BV1081,BZ1081,CA1081)=3,MIN(BV1081,BZ1081,CA1081)&gt;=0),BV1081*BZ1081*CA1081,"")</f>
        <v>4.080888320568423</v>
      </c>
      <c r="CC1081" s="11" t="n">
        <f>IF(ISNUMBER(BP1081),BP1081,"")</f>
        <v>0.5958545198749097</v>
      </c>
      <c r="CD1081" s="14" t="n">
        <f>IF(ISNUMBER(BT1081),BT1081,"")</f>
        <v>31</v>
      </c>
      <c r="CE1081" s="13" t="n">
        <f>IF(AND(COUNT(BV1081,CC1081,CD1081)=3,MIN(BV1081,CC1081,CD1081)&gt;=0),BV1081*CC1081*CD1081,"")</f>
        <v>2.638522334256706</v>
      </c>
      <c r="CF1081" s="11" t="n">
        <f>IF(ISNUMBER(BQ1081),BQ1081,"")</f>
        <v>1.3264167397065354</v>
      </c>
      <c r="CG1081" s="14" t="n">
        <f>IF(ISNUMBER(BU1081),BU1081,"")</f>
        <v>17</v>
      </c>
      <c r="CH1081" s="13" t="n">
        <f>IF(AND(COUNT(BV1081,CF1081,CG1081)=3,MIN(BV1081,CF1081,CG1081)&gt;=0),BV1081*CF1081*CG1081,"")</f>
        <v>3.2209779987528413</v>
      </c>
      <c r="CI1081" s="13" t="n">
        <f>IF(COUNT(BY1081,CB1081,CE1081,CH1081)=4,SUM(BY1081,CB1081,CE1081,CH1081),"")</f>
        <v>11.193021468505881</v>
      </c>
    </row>
    <row r="1082" ht="72" customHeight="1">
      <c r="A1082" s="16" t="str">
        <v>B07-NY-41-by</v>
      </c>
      <c r="B1082" s="16" t="str">
        <v>4店-彬郁-US</v>
      </c>
      <c r="C1082" s="16" t="str">
        <v>艾年</v>
      </c>
      <c r="D1082" s="26" t="n">
        <f>IF(NOT(ISNUMBER(E1082)),"",IF(OR(E1082&lt;=0,L1082=0),0,IF(OR(NOT(ISNUMBER(F1082)),F1082&lt;0),"",MIN(E1082,INT(F1082)))))</f>
        <v>0</v>
      </c>
      <c r="E1082" s="27" t="n">
        <f>IF(OR(NOT(ISNUMBER(L1082)),COUNT(M1082:O1082)&lt;&gt;3,MIN(M1082:O1082)&lt;0),"",ROUNDUP(ROUND(BI1082-SUM(M1082:O1082),10),0))</f>
        <v>-14</v>
      </c>
      <c r="F1082" s="28" t="n">
        <v>0</v>
      </c>
      <c r="G1082" s="28" t="n">
        <f>IF(AND(ISNUMBER(D1082),ISNUMBER(E1082)),IF(OR(E1082&lt;=0,L1082=0),0,E1082-D1082),"")</f>
        <v>0</v>
      </c>
      <c r="H1082" s="16" t="str">
        <f>IF(NOT(ISNUMBER(E1082)),"销量或海外库存待补",IF(OR(E1082&lt;=0,L1082=0),IF(L1082=0,"零日销，本批不发","本批无需补货"),IF(NOT(ISNUMBER(D1082)),"国内库存待补",IF(D1082=0,"国内无可用库存",IF(G1082&gt;0,"先发国内现货","按建议量发货")))))</f>
        <v>本批无需补货</v>
      </c>
      <c r="I1082" s="28" t="n">
        <f>IF(AND(COUNT(Z1082,AA1082,AB1082)=3,Z1082&gt;=AA1082,AA1082&gt;=0,AB1082=7),Z1082-AA1082,"")</f>
        <v>0</v>
      </c>
      <c r="J1082" s="28" t="n">
        <f>IF(AND(COUNT(AF1082,AG1082,AH1082)=3,AF1082&gt;=AG1082,AG1082&gt;=0,AH1082=14),AF1082-AG1082,"")</f>
        <v>1</v>
      </c>
      <c r="K1082" s="28" t="n">
        <f>IF(AND(COUNT(AL1082,AM1082,AN1082)=3,AL1082&gt;=AM1082,AM1082&gt;=0,AN1082=30),AL1082-AM1082,"")</f>
        <v>1</v>
      </c>
      <c r="L1082" s="29" t="n">
        <f>IF(ISNUMBER(BI1082),BI1082/90,"")</f>
        <v>0.06283187233798052</v>
      </c>
      <c r="M1082" s="28" t="n">
        <v>19</v>
      </c>
      <c r="N1082" s="28" t="n">
        <v>0</v>
      </c>
      <c r="O1082" s="28" t="n">
        <v>0</v>
      </c>
      <c r="P1082" s="30" t="n">
        <f>IF(AND(ISNUMBER(L1082),L1082&gt;0,COUNT(M1082:O1082)=3,MIN(M1082:O1082)&gt;=0),SUM(M1082:O1082)/L1082,"")</f>
        <v>302.3942991511795</v>
      </c>
      <c r="Q1082" s="16" t="str">
        <v>沿用原计划SKU店铺</v>
      </c>
      <c r="R1082" s="16" t="str">
        <v>已匹配</v>
      </c>
      <c r="S1082" s="16" t="str">
        <v>在售</v>
      </c>
      <c r="T1082" s="16" t="str">
        <v>B07</v>
      </c>
      <c r="U1082" s="16" t="str">
        <v>藏青色羊京绒</v>
      </c>
      <c r="V1082" s="16" t="n">
        <v>10</v>
      </c>
      <c r="W1082" s="8" t="str">
        <v>2026-10-11 至 2026-10-17</v>
      </c>
      <c r="X1082" s="8" t="str">
        <v>2026-10-11、2026-10-12、2026-10-13、2026-10-14、2026-10-15、2026-10-16、2026-10-17</v>
      </c>
      <c r="Y1082" s="8" t="str">
        <v>无</v>
      </c>
      <c r="Z1082" s="8" t="n">
        <v>0</v>
      </c>
      <c r="AA1082" s="8" t="n">
        <v>0</v>
      </c>
      <c r="AB1082" s="8" t="n">
        <v>7</v>
      </c>
      <c r="AC1082" s="8" t="str">
        <v>2026-10-02 至 2026-10-17</v>
      </c>
      <c r="AD1082" s="8" t="str">
        <v>2026-10-02、2026-10-03、2026-10-04、2026-10-05、2026-10-08、2026-10-09、2026-10-10、2026-10-11、2026-10-12、2026-10-13、2026-10-14、2026-10-15、2026-10-16、2026-10-17</v>
      </c>
      <c r="AE1082" s="8" t="str">
        <v>2026-10-06 大促；2026-10-07 大促</v>
      </c>
      <c r="AF1082" s="8" t="n">
        <v>1</v>
      </c>
      <c r="AG1082" s="8" t="n">
        <v>0</v>
      </c>
      <c r="AH1082" s="8" t="n">
        <v>14</v>
      </c>
      <c r="AI1082" s="8" t="str">
        <v>2026-09-16 至 2026-10-17</v>
      </c>
      <c r="AJ10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2" s="8" t="str">
        <v>2026-10-06 大促；2026-10-07 大促</v>
      </c>
      <c r="AL1082" s="8" t="n">
        <v>1</v>
      </c>
      <c r="AM1082" s="8" t="n">
        <v>0</v>
      </c>
      <c r="AN1082" s="8" t="n">
        <v>30</v>
      </c>
      <c r="AO1082" s="8" t="str">
        <v>B07 / 藏青色羊京绒 / 13306</v>
      </c>
      <c r="AP1082" s="11" t="n">
        <v>0.7307750238224848</v>
      </c>
      <c r="AQ1082" s="11" t="n">
        <v>0.7307750238224848</v>
      </c>
      <c r="AR1082" s="11" t="n">
        <v>0.7449809054134506</v>
      </c>
      <c r="AS1082" s="11" t="n">
        <f>IF(AND(COUNT(I1082:K1082,AP1082:AR1082)=6,MIN(AP1082:AR1082)&gt;0),I1082/7/AP1082*0.5+J1082/14/AQ1082*0.3+K1082/30/AR1082*0.2,"")</f>
        <v>0.038271851038049046</v>
      </c>
      <c r="AT1082" s="8" t="n">
        <v>3</v>
      </c>
      <c r="AU1082" s="8" t="n">
        <v>0</v>
      </c>
      <c r="AV1082" s="8" t="n">
        <v>88</v>
      </c>
      <c r="AW1082" s="11" t="n">
        <f>IF(AND(COUNT(AT1082:AV1082)=3,AT1082&gt;=AU1082,AU1082&gt;=0,AV1082&gt;0),(AT1082-AU1082)/AV1082,"")</f>
        <v>0.03409090909090909</v>
      </c>
      <c r="AX1082" s="8" t="n">
        <v>12</v>
      </c>
      <c r="AY1082" s="8" t="n">
        <v>0</v>
      </c>
      <c r="AZ1082" s="8" t="n">
        <v>178</v>
      </c>
      <c r="BA1082" s="11" t="n">
        <f>IF(AND(COUNT(AX1082:AZ1082)=3,AX1082&gt;=AY1082,AY1082&gt;=0,AZ1082&gt;0),(AX1082-AY1082)/AZ1082,"")</f>
        <v>0.06741573033707865</v>
      </c>
      <c r="BB1082" s="8" t="n">
        <f>IF(COUNT(AS1082,AW1082,BA1082)=3,1,0)</f>
        <v>1</v>
      </c>
      <c r="BC1082" s="11" t="n">
        <f>IF(SUMIF($AO$11:$AO$1309,AO1082,$BB$11:$BB$1309)=COUNTIF($AO$11:$AO$1309,AO1082),SUMIF($AO$11:$AO$1309,AO1082,$AS$11:$AS$1309),"")</f>
        <v>0.6888933186848828</v>
      </c>
      <c r="BD1082" s="11" t="n">
        <f>IF(SUMIF($AO$11:$AO$1309,AO1082,$BB$11:$BB$1309)=COUNTIF($AO$11:$AO$1309,AO1082),SUMIF($AO$11:$AO$1309,AO1082,$AW$11:$AW$1309),"")</f>
        <v>0.42045454545454547</v>
      </c>
      <c r="BE1082" s="11" t="n">
        <f>IF(SUMIF($AO$11:$AO$1309,AO1082,$BB$11:$BB$1309)=COUNTIF($AO$11:$AO$1309,AO1082),SUMIF($AO$11:$AO$1309,AO1082,$BA$11:$BA$1309),"")</f>
        <v>0.4213483146067416</v>
      </c>
      <c r="BF1082" s="12" t="n">
        <f>IF(COUNT(BD1082:BE1082)&lt;&gt;2,"",IF(AND(BD1082&gt;0,BE1082&gt;0),0.7*AW1082/BD1082+0.3*BA1082/BE1082,IF(BD1082&gt;0,AW1082/BD1082,IF(BE1082&gt;0,BA1082/BE1082,IF(AND(ISNUMBER(BH1082),BH1082=0),0,"")))))</f>
        <v>0.10475675675675675</v>
      </c>
      <c r="BG1082" s="11" t="n">
        <f>IF(AND(COUNT(BN1082:BU1082)=8,MIN(BN1082:BU1082)&gt;=0),SUMPRODUCT(BN1082:BQ1082,BR1082:BU1082),"")</f>
        <v>78.35892944347341</v>
      </c>
      <c r="BH1082" s="11" t="n">
        <f>IF(COUNT(BC1082,BG1082)=2,BC1082*BG1082,"")</f>
        <v>53.980942952908975</v>
      </c>
      <c r="BI1082" s="11" t="n">
        <f>IF(ISNUMBER(CI1082),CI1082,"")</f>
        <v>5.654868510418247</v>
      </c>
      <c r="BJ1082" s="8" t="str"/>
      <c r="BK1082" s="8" t="str">
        <v>90天：2026-07-20 至 2026-10-17；180天：2026-04-21 至 2026-10-17</v>
      </c>
      <c r="BL1082" s="8" t="str">
        <v>90天：2026-10-06、2026-10-07；180天：2026-10-06、2026-10-07</v>
      </c>
      <c r="BM1082" s="8" t="str">
        <v>2026-10：12天 × 0.7307750238224848；2026-11：30天 × 0.9523018155490097；2026-12：31天 × 0.5958545198749097；2027-01：17天 × 1.3264167397065354</v>
      </c>
      <c r="BN1082" s="11" t="n">
        <v>0.7307750238224848</v>
      </c>
      <c r="BO1082" s="11" t="n">
        <v>0.9523018155490097</v>
      </c>
      <c r="BP1082" s="11" t="n">
        <v>0.5958545198749097</v>
      </c>
      <c r="BQ1082" s="11" t="n">
        <v>1.3264167397065354</v>
      </c>
      <c r="BR1082" s="8" t="n">
        <v>12</v>
      </c>
      <c r="BS1082" s="8" t="n">
        <v>30</v>
      </c>
      <c r="BT1082" s="8" t="n">
        <v>31</v>
      </c>
      <c r="BU1082" s="8" t="n">
        <v>17</v>
      </c>
      <c r="BV1082" s="11" t="n">
        <f>IF(COUNT(BC1082,BF1082)=2,BC1082*BF1082,"")</f>
        <v>0.07216622981682717</v>
      </c>
      <c r="BW1082" s="11" t="n">
        <f>IF(ISNUMBER(BN1082),BN1082,"")</f>
        <v>0.7307750238224848</v>
      </c>
      <c r="BX1082" s="14" t="n">
        <f>IF(ISNUMBER(BR1082),BR1082,"")</f>
        <v>12</v>
      </c>
      <c r="BY1082" s="13" t="n">
        <f>IF(AND(COUNT(BV1082,BW1082,BX1082)=3,MIN(BV1082,BW1082,BX1082)&gt;=0),BV1082*BW1082*BX1082,"")</f>
        <v>0.6328473397628496</v>
      </c>
      <c r="BZ1082" s="11" t="n">
        <f>IF(ISNUMBER(BO1082),BO1082,"")</f>
        <v>0.9523018155490097</v>
      </c>
      <c r="CA1082" s="14" t="n">
        <f>IF(ISNUMBER(BS1082),BS1082,"")</f>
        <v>30</v>
      </c>
      <c r="CB1082" s="13" t="n">
        <f>IF(AND(COUNT(BV1082,BZ1082,CA1082)=3,MIN(BV1082,BZ1082,CA1082)&gt;=0),BV1082*BZ1082*CA1082,"")</f>
        <v>2.0617209502767477</v>
      </c>
      <c r="CC1082" s="11" t="n">
        <f>IF(ISNUMBER(BP1082),BP1082,"")</f>
        <v>0.5958545198749097</v>
      </c>
      <c r="CD1082" s="14" t="n">
        <f>IF(ISNUMBER(BT1082),BT1082,"")</f>
        <v>31</v>
      </c>
      <c r="CE1082" s="13" t="n">
        <f>IF(AND(COUNT(BV1082,CC1082,CD1082)=3,MIN(BV1082,CC1082,CD1082)&gt;=0),BV1082*CC1082*CD1082,"")</f>
        <v>1.3330178007793265</v>
      </c>
      <c r="CF1082" s="11" t="n">
        <f>IF(ISNUMBER(BQ1082),BQ1082,"")</f>
        <v>1.3264167397065354</v>
      </c>
      <c r="CG1082" s="14" t="n">
        <f>IF(ISNUMBER(BU1082),BU1082,"")</f>
        <v>17</v>
      </c>
      <c r="CH1082" s="13" t="n">
        <f>IF(AND(COUNT(BV1082,CF1082,CG1082)=3,MIN(BV1082,CF1082,CG1082)&gt;=0),BV1082*CF1082*CG1082,"")</f>
        <v>1.6272824195993238</v>
      </c>
      <c r="CI1082" s="13" t="n">
        <f>IF(COUNT(BY1082,CB1082,CE1082,CH1082)=4,SUM(BY1082,CB1082,CE1082,CH1082),"")</f>
        <v>5.654868510418247</v>
      </c>
    </row>
    <row r="1083" ht="72" customHeight="1">
      <c r="A1083" s="16" t="str">
        <v>B07-NY-42-by</v>
      </c>
      <c r="B1083" s="16" t="str">
        <v>4店-彬郁-US</v>
      </c>
      <c r="C1083" s="16" t="str">
        <v>艾年</v>
      </c>
      <c r="D1083" s="26" t="n">
        <f>IF(NOT(ISNUMBER(E1083)),"",IF(OR(E1083&lt;=0,L1083=0),0,IF(OR(NOT(ISNUMBER(F1083)),F1083&lt;0),"",MIN(E1083,INT(F1083)))))</f>
        <v>0</v>
      </c>
      <c r="E1083" s="27" t="n">
        <f>IF(OR(NOT(ISNUMBER(L1083)),COUNT(M1083:O1083)&lt;&gt;3,MIN(M1083:O1083)&lt;0),"",ROUNDUP(ROUND(BI1083-SUM(M1083:O1083),10),0))</f>
        <v>-7</v>
      </c>
      <c r="F1083" s="28" t="n">
        <v>0</v>
      </c>
      <c r="G1083" s="28" t="n">
        <f>IF(AND(ISNUMBER(D1083),ISNUMBER(E1083)),IF(OR(E1083&lt;=0,L1083=0),0,E1083-D1083),"")</f>
        <v>0</v>
      </c>
      <c r="H1083" s="16" t="str">
        <f>IF(NOT(ISNUMBER(E1083)),"销量或海外库存待补",IF(OR(E1083&lt;=0,L1083=0),IF(L1083=0,"零日销，本批不发","本批无需补货"),IF(NOT(ISNUMBER(D1083)),"国内库存待补",IF(D1083=0,"国内无可用库存",IF(G1083&gt;0,"先发国内现货","按建议量发货")))))</f>
        <v>本批无需补货</v>
      </c>
      <c r="I1083" s="28" t="n">
        <f>IF(AND(COUNT(Z1083,AA1083,AB1083)=3,Z1083&gt;=AA1083,AA1083&gt;=0,AB1083=7),Z1083-AA1083,"")</f>
        <v>0</v>
      </c>
      <c r="J1083" s="28" t="n">
        <f>IF(AND(COUNT(AF1083,AG1083,AH1083)=3,AF1083&gt;=AG1083,AG1083&gt;=0,AH1083=14),AF1083-AG1083,"")</f>
        <v>0</v>
      </c>
      <c r="K1083" s="28" t="n">
        <f>IF(AND(COUNT(AL1083,AM1083,AN1083)=3,AL1083&gt;=AM1083,AM1083&gt;=0,AN1083=30),AL1083-AM1083,"")</f>
        <v>1</v>
      </c>
      <c r="L1083" s="29" t="n">
        <f>IF(ISNUMBER(BI1083),BI1083/90,"")</f>
        <v>0.057385146562551885</v>
      </c>
      <c r="M1083" s="28" t="n">
        <v>12</v>
      </c>
      <c r="N1083" s="28" t="n">
        <v>0</v>
      </c>
      <c r="O1083" s="28" t="n">
        <v>0</v>
      </c>
      <c r="P1083" s="30" t="n">
        <f>IF(AND(ISNUMBER(L1083),L1083&gt;0,COUNT(M1083:O1083)=3,MIN(M1083:O1083)&gt;=0),SUM(M1083:O1083)/L1083,"")</f>
        <v>209.11334585369693</v>
      </c>
      <c r="Q1083" s="16" t="str">
        <v>沿用原计划SKU店铺</v>
      </c>
      <c r="R1083" s="16" t="str">
        <v>已匹配</v>
      </c>
      <c r="S1083" s="16" t="str">
        <v>在售</v>
      </c>
      <c r="T1083" s="16" t="str">
        <v>B07</v>
      </c>
      <c r="U1083" s="16" t="str">
        <v>藏青色羊京绒</v>
      </c>
      <c r="V1083" s="16" t="n">
        <v>11</v>
      </c>
      <c r="W1083" s="8" t="str">
        <v>2026-10-11 至 2026-10-17</v>
      </c>
      <c r="X1083" s="8" t="str">
        <v>2026-10-11、2026-10-12、2026-10-13、2026-10-14、2026-10-15、2026-10-16、2026-10-17</v>
      </c>
      <c r="Y1083" s="8" t="str">
        <v>无</v>
      </c>
      <c r="Z1083" s="8" t="n">
        <v>0</v>
      </c>
      <c r="AA1083" s="8" t="n">
        <v>0</v>
      </c>
      <c r="AB1083" s="8" t="n">
        <v>7</v>
      </c>
      <c r="AC1083" s="8" t="str">
        <v>2026-10-02 至 2026-10-17</v>
      </c>
      <c r="AD1083" s="8" t="str">
        <v>2026-10-02、2026-10-03、2026-10-04、2026-10-05、2026-10-08、2026-10-09、2026-10-10、2026-10-11、2026-10-12、2026-10-13、2026-10-14、2026-10-15、2026-10-16、2026-10-17</v>
      </c>
      <c r="AE1083" s="8" t="str">
        <v>2026-10-06 大促；2026-10-07 大促</v>
      </c>
      <c r="AF1083" s="8" t="n">
        <v>0</v>
      </c>
      <c r="AG1083" s="8" t="n">
        <v>0</v>
      </c>
      <c r="AH1083" s="8" t="n">
        <v>14</v>
      </c>
      <c r="AI1083" s="8" t="str">
        <v>2026-09-16 至 2026-10-17</v>
      </c>
      <c r="AJ10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3" s="8" t="str">
        <v>2026-10-06 大促；2026-10-07 大促</v>
      </c>
      <c r="AL1083" s="8" t="n">
        <v>1</v>
      </c>
      <c r="AM1083" s="8" t="n">
        <v>0</v>
      </c>
      <c r="AN1083" s="8" t="n">
        <v>30</v>
      </c>
      <c r="AO1083" s="8" t="str">
        <v>B07 / 藏青色羊京绒 / 13306</v>
      </c>
      <c r="AP1083" s="11" t="n">
        <v>0.7307750238224848</v>
      </c>
      <c r="AQ1083" s="11" t="n">
        <v>0.7307750238224848</v>
      </c>
      <c r="AR1083" s="11" t="n">
        <v>0.7449809054134506</v>
      </c>
      <c r="AS1083" s="11" t="n">
        <f>IF(AND(COUNT(I1083:K1083,AP1083:AR1083)=6,MIN(AP1083:AR1083)&gt;0),I1083/7/AP1083*0.5+J1083/14/AQ1083*0.3+K1083/30/AR1083*0.2,"")</f>
        <v>0.008948775221247839</v>
      </c>
      <c r="AT1083" s="8" t="n">
        <v>4</v>
      </c>
      <c r="AU1083" s="8" t="n">
        <v>0</v>
      </c>
      <c r="AV1083" s="8" t="n">
        <v>88</v>
      </c>
      <c r="AW1083" s="11" t="n">
        <f>IF(AND(COUNT(AT1083:AV1083)=3,AT1083&gt;=AU1083,AU1083&gt;=0,AV1083&gt;0),(AT1083-AU1083)/AV1083,"")</f>
        <v>0.045454545454545456</v>
      </c>
      <c r="AX1083" s="8" t="n">
        <v>5</v>
      </c>
      <c r="AY1083" s="8" t="n">
        <v>0</v>
      </c>
      <c r="AZ1083" s="8" t="n">
        <v>178</v>
      </c>
      <c r="BA1083" s="11" t="n">
        <f>IF(AND(COUNT(AX1083:AZ1083)=3,AX1083&gt;=AY1083,AY1083&gt;=0,AZ1083&gt;0),(AX1083-AY1083)/AZ1083,"")</f>
        <v>0.028089887640449437</v>
      </c>
      <c r="BB1083" s="8" t="n">
        <f>IF(COUNT(AS1083,AW1083,BA1083)=3,1,0)</f>
        <v>1</v>
      </c>
      <c r="BC1083" s="11" t="n">
        <f>IF(SUMIF($AO$11:$AO$1309,AO1083,$BB$11:$BB$1309)=COUNTIF($AO$11:$AO$1309,AO1083),SUMIF($AO$11:$AO$1309,AO1083,$AS$11:$AS$1309),"")</f>
        <v>0.6888933186848828</v>
      </c>
      <c r="BD1083" s="11" t="n">
        <f>IF(SUMIF($AO$11:$AO$1309,AO1083,$BB$11:$BB$1309)=COUNTIF($AO$11:$AO$1309,AO1083),SUMIF($AO$11:$AO$1309,AO1083,$AW$11:$AW$1309),"")</f>
        <v>0.42045454545454547</v>
      </c>
      <c r="BE1083" s="11" t="n">
        <f>IF(SUMIF($AO$11:$AO$1309,AO1083,$BB$11:$BB$1309)=COUNTIF($AO$11:$AO$1309,AO1083),SUMIF($AO$11:$AO$1309,AO1083,$BA$11:$BA$1309),"")</f>
        <v>0.4213483146067416</v>
      </c>
      <c r="BF1083" s="12" t="n">
        <f>IF(COUNT(BD1083:BE1083)&lt;&gt;2,"",IF(AND(BD1083&gt;0,BE1083&gt;0),0.7*AW1083/BD1083+0.3*BA1083/BE1083,IF(BD1083&gt;0,AW1083/BD1083,IF(BE1083&gt;0,BA1083/BE1083,IF(AND(ISNUMBER(BH1083),BH1083=0),0,"")))))</f>
        <v>0.09567567567567567</v>
      </c>
      <c r="BG1083" s="11" t="n">
        <f>IF(AND(COUNT(BN1083:BU1083)=8,MIN(BN1083:BU1083)&gt;=0),SUMPRODUCT(BN1083:BQ1083,BR1083:BU1083),"")</f>
        <v>78.35892944347341</v>
      </c>
      <c r="BH1083" s="11" t="n">
        <f>IF(COUNT(BC1083,BG1083)=2,BC1083*BG1083,"")</f>
        <v>53.980942952908975</v>
      </c>
      <c r="BI1083" s="11" t="n">
        <f>IF(ISNUMBER(CI1083),CI1083,"")</f>
        <v>5.164663190629669</v>
      </c>
      <c r="BJ1083" s="8" t="str"/>
      <c r="BK1083" s="8" t="str">
        <v>90天：2026-07-20 至 2026-10-17；180天：2026-04-21 至 2026-10-17</v>
      </c>
      <c r="BL1083" s="8" t="str">
        <v>90天：2026-10-06、2026-10-07；180天：2026-10-06、2026-10-07</v>
      </c>
      <c r="BM1083" s="8" t="str">
        <v>2026-10：12天 × 0.7307750238224848；2026-11：30天 × 0.9523018155490097；2026-12：31天 × 0.5958545198749097；2027-01：17天 × 1.3264167397065354</v>
      </c>
      <c r="BN1083" s="11" t="n">
        <v>0.7307750238224848</v>
      </c>
      <c r="BO1083" s="11" t="n">
        <v>0.9523018155490097</v>
      </c>
      <c r="BP1083" s="11" t="n">
        <v>0.5958545198749097</v>
      </c>
      <c r="BQ1083" s="11" t="n">
        <v>1.3264167397065354</v>
      </c>
      <c r="BR1083" s="8" t="n">
        <v>12</v>
      </c>
      <c r="BS1083" s="8" t="n">
        <v>30</v>
      </c>
      <c r="BT1083" s="8" t="n">
        <v>31</v>
      </c>
      <c r="BU1083" s="8" t="n">
        <v>17</v>
      </c>
      <c r="BV1083" s="11" t="n">
        <f>IF(COUNT(BC1083,BF1083)=2,BC1083*BF1083,"")</f>
        <v>0.06591033373363472</v>
      </c>
      <c r="BW1083" s="11" t="n">
        <f>IF(ISNUMBER(BN1083),BN1083,"")</f>
        <v>0.7307750238224848</v>
      </c>
      <c r="BX1083" s="14" t="n">
        <f>IF(ISNUMBER(BR1083),BR1083,"")</f>
        <v>12</v>
      </c>
      <c r="BY1083" s="13" t="n">
        <f>IF(AND(COUNT(BV1083,BW1083,BX1083)=3,MIN(BV1083,BW1083,BX1083)&gt;=0),BV1083*BW1083*BX1083,"")</f>
        <v>0.5779875084521381</v>
      </c>
      <c r="BZ1083" s="11" t="n">
        <f>IF(ISNUMBER(BO1083),BO1083,"")</f>
        <v>0.9523018155490097</v>
      </c>
      <c r="CA1083" s="14" t="n">
        <f>IF(ISNUMBER(BS1083),BS1083,"")</f>
        <v>30</v>
      </c>
      <c r="CB1083" s="13" t="n">
        <f>IF(AND(COUNT(BV1083,BZ1083,CA1083)=3,MIN(BV1083,BZ1083,CA1083)&gt;=0),BV1083*BZ1083*CA1083,"")</f>
        <v>1.8829959143394446</v>
      </c>
      <c r="CC1083" s="11" t="n">
        <f>IF(ISNUMBER(BP1083),BP1083,"")</f>
        <v>0.5958545198749097</v>
      </c>
      <c r="CD1083" s="14" t="n">
        <f>IF(ISNUMBER(BT1083),BT1083,"")</f>
        <v>31</v>
      </c>
      <c r="CE1083" s="13" t="n">
        <f>IF(AND(COUNT(BV1083,CC1083,CD1083)=3,MIN(BV1083,CC1083,CD1083)&gt;=0),BV1083*CC1083*CD1083,"")</f>
        <v>1.2174620781111496</v>
      </c>
      <c r="CF1083" s="11" t="n">
        <f>IF(ISNUMBER(BQ1083),BQ1083,"")</f>
        <v>1.3264167397065354</v>
      </c>
      <c r="CG1083" s="14" t="n">
        <f>IF(ISNUMBER(BU1083),BU1083,"")</f>
        <v>17</v>
      </c>
      <c r="CH1083" s="13" t="n">
        <f>IF(AND(COUNT(BV1083,CF1083,CG1083)=3,MIN(BV1083,CF1083,CG1083)&gt;=0),BV1083*CF1083*CG1083,"")</f>
        <v>1.4862176897269368</v>
      </c>
      <c r="CI1083" s="13" t="n">
        <f>IF(COUNT(BY1083,CB1083,CE1083,CH1083)=4,SUM(BY1083,CB1083,CE1083,CH1083),"")</f>
        <v>5.164663190629669</v>
      </c>
    </row>
    <row r="1084" ht="72" customHeight="1">
      <c r="A1084" s="16" t="str">
        <v>B07-PK-38-by</v>
      </c>
      <c r="B1084" s="16" t="str">
        <v>4店-彬郁-US</v>
      </c>
      <c r="C1084" s="16" t="str">
        <v>艾年</v>
      </c>
      <c r="D1084" s="26" t="n">
        <f>IF(NOT(ISNUMBER(E1084)),"",IF(OR(E1084&lt;=0,L1084=0),0,IF(OR(NOT(ISNUMBER(F1084)),F1084&lt;0),"",MIN(E1084,INT(F1084)))))</f>
        <v>0</v>
      </c>
      <c r="E1084" s="27" t="n">
        <f>IF(OR(NOT(ISNUMBER(L1084)),COUNT(M1084:O1084)&lt;&gt;3,MIN(M1084:O1084)&lt;0),"",ROUNDUP(ROUND(BI1084-SUM(M1084:O1084),10),0))</f>
        <v>-10</v>
      </c>
      <c r="F1084" s="28" t="n">
        <v>0</v>
      </c>
      <c r="G1084" s="28" t="n">
        <f>IF(AND(ISNUMBER(D1084),ISNUMBER(E1084)),IF(OR(E1084&lt;=0,L1084=0),0,E1084-D1084),"")</f>
        <v>0</v>
      </c>
      <c r="H1084" s="16" t="str">
        <f>IF(NOT(ISNUMBER(E1084)),"销量或海外库存待补",IF(OR(E1084&lt;=0,L1084=0),IF(L1084=0,"零日销，本批不发","本批无需补货"),IF(NOT(ISNUMBER(D1084)),"国内库存待补",IF(D1084=0,"国内无可用库存",IF(G1084&gt;0,"先发国内现货","按建议量发货")))))</f>
        <v>零日销，本批不发</v>
      </c>
      <c r="I1084" s="28" t="n">
        <f>IF(AND(COUNT(Z1084,AA1084,AB1084)=3,Z1084&gt;=AA1084,AA1084&gt;=0,AB1084=7),Z1084-AA1084,"")</f>
        <v>0</v>
      </c>
      <c r="J1084" s="28" t="n">
        <f>IF(AND(COUNT(AF1084,AG1084,AH1084)=3,AF1084&gt;=AG1084,AG1084&gt;=0,AH1084=14),AF1084-AG1084,"")</f>
        <v>0</v>
      </c>
      <c r="K1084" s="28" t="n">
        <f>IF(AND(COUNT(AL1084,AM1084,AN1084)=3,AL1084&gt;=AM1084,AM1084&gt;=0,AN1084=30),AL1084-AM1084,"")</f>
        <v>0</v>
      </c>
      <c r="L1084" s="29" t="n">
        <f>IF(ISNUMBER(BI1084),BI1084/90,"")</f>
        <v>0</v>
      </c>
      <c r="M1084" s="28" t="n">
        <v>0</v>
      </c>
      <c r="N1084" s="28" t="n">
        <v>0</v>
      </c>
      <c r="O1084" s="28" t="n">
        <v>10</v>
      </c>
      <c r="P1084" s="30" t="str">
        <f>IF(AND(ISNUMBER(L1084),L1084&gt;0,COUNT(M1084:O1084)=3,MIN(M1084:O1084)&gt;=0),SUM(M1084:O1084)/L1084,"")</f>
      </c>
      <c r="Q1084" s="16" t="str">
        <v>沿用原计划SKU店铺</v>
      </c>
      <c r="R1084" s="16" t="str">
        <v>已匹配</v>
      </c>
      <c r="S1084" s="16" t="str">
        <v>在售</v>
      </c>
      <c r="T1084" s="16" t="str">
        <v>B07</v>
      </c>
      <c r="U1084" s="16" t="str">
        <v>粉色羊京绒</v>
      </c>
      <c r="V1084" s="16" t="n">
        <v>7</v>
      </c>
      <c r="W1084" s="8" t="str">
        <v>2026-10-11 至 2026-10-17</v>
      </c>
      <c r="X1084" s="8" t="str">
        <v>2026-10-11、2026-10-12、2026-10-13、2026-10-14、2026-10-15、2026-10-16、2026-10-17</v>
      </c>
      <c r="Y1084" s="8" t="str">
        <v>无</v>
      </c>
      <c r="Z1084" s="8" t="n">
        <v>0</v>
      </c>
      <c r="AA1084" s="8" t="n">
        <v>0</v>
      </c>
      <c r="AB1084" s="8" t="n">
        <v>7</v>
      </c>
      <c r="AC1084" s="8" t="str">
        <v>2026-10-02 至 2026-10-17</v>
      </c>
      <c r="AD1084" s="8" t="str">
        <v>2026-10-02、2026-10-03、2026-10-04、2026-10-05、2026-10-08、2026-10-09、2026-10-10、2026-10-11、2026-10-12、2026-10-13、2026-10-14、2026-10-15、2026-10-16、2026-10-17</v>
      </c>
      <c r="AE1084" s="8" t="str">
        <v>2026-10-06 大促；2026-10-07 大促</v>
      </c>
      <c r="AF1084" s="8" t="n">
        <v>0</v>
      </c>
      <c r="AG1084" s="8" t="n">
        <v>0</v>
      </c>
      <c r="AH1084" s="8" t="n">
        <v>14</v>
      </c>
      <c r="AI1084" s="8" t="str">
        <v>2026-09-16 至 2026-10-17</v>
      </c>
      <c r="AJ10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4" s="8" t="str">
        <v>2026-10-06 大促；2026-10-07 大促</v>
      </c>
      <c r="AL1084" s="8" t="n">
        <v>0</v>
      </c>
      <c r="AM1084" s="8" t="n">
        <v>0</v>
      </c>
      <c r="AN1084" s="8" t="n">
        <v>30</v>
      </c>
      <c r="AO1084" s="8" t="str">
        <v>B07 / 粉色羊京绒 / 13306</v>
      </c>
      <c r="AP1084" s="11" t="n">
        <v>0.7307750238224848</v>
      </c>
      <c r="AQ1084" s="11" t="n">
        <v>0.7307750238224848</v>
      </c>
      <c r="AR1084" s="11" t="n">
        <v>0.7449809054134506</v>
      </c>
      <c r="AS1084" s="11" t="n">
        <f>IF(AND(COUNT(I1084:K1084,AP1084:AR1084)=6,MIN(AP1084:AR1084)&gt;0),I1084/7/AP1084*0.5+J1084/14/AQ1084*0.3+K1084/30/AR1084*0.2,"")</f>
        <v>0</v>
      </c>
      <c r="AT1084" s="8" t="n">
        <v>0</v>
      </c>
      <c r="AU1084" s="8" t="n">
        <v>0</v>
      </c>
      <c r="AV1084" s="8" t="n">
        <v>88</v>
      </c>
      <c r="AW1084" s="11" t="n">
        <f>IF(AND(COUNT(AT1084:AV1084)=3,AT1084&gt;=AU1084,AU1084&gt;=0,AV1084&gt;0),(AT1084-AU1084)/AV1084,"")</f>
        <v>0</v>
      </c>
      <c r="AX1084" s="8" t="n">
        <v>0</v>
      </c>
      <c r="AY1084" s="8" t="n">
        <v>0</v>
      </c>
      <c r="AZ1084" s="8" t="n">
        <v>178</v>
      </c>
      <c r="BA1084" s="11" t="n">
        <f>IF(AND(COUNT(AX1084:AZ1084)=3,AX1084&gt;=AY1084,AY1084&gt;=0,AZ1084&gt;0),(AX1084-AY1084)/AZ1084,"")</f>
        <v>0</v>
      </c>
      <c r="BB1084" s="8" t="n">
        <f>IF(COUNT(AS1084,AW1084,BA1084)=3,1,0)</f>
        <v>1</v>
      </c>
      <c r="BC1084" s="11" t="n">
        <f>IF(SUMIF($AO$11:$AO$1309,AO1084,$BB$11:$BB$1309)=COUNTIF($AO$11:$AO$1309,AO1084),SUMIF($AO$11:$AO$1309,AO1084,$AS$11:$AS$1309),"")</f>
        <v>0.4047439777447489</v>
      </c>
      <c r="BD1084" s="11" t="n">
        <f>IF(SUMIF($AO$11:$AO$1309,AO1084,$BB$11:$BB$1309)=COUNTIF($AO$11:$AO$1309,AO1084),SUMIF($AO$11:$AO$1309,AO1084,$AW$11:$AW$1309),"")</f>
        <v>0.22727272727272724</v>
      </c>
      <c r="BE1084" s="11" t="n">
        <f>IF(SUMIF($AO$11:$AO$1309,AO1084,$BB$11:$BB$1309)=COUNTIF($AO$11:$AO$1309,AO1084),SUMIF($AO$11:$AO$1309,AO1084,$BA$11:$BA$1309),"")</f>
        <v>0.19662921348314605</v>
      </c>
      <c r="BF1084" s="12" t="n">
        <f>IF(COUNT(BD1084:BE1084)&lt;&gt;2,"",IF(AND(BD1084&gt;0,BE1084&gt;0),0.7*AW1084/BD1084+0.3*BA1084/BE1084,IF(BD1084&gt;0,AW1084/BD1084,IF(BE1084&gt;0,BA1084/BE1084,IF(AND(ISNUMBER(BH1084),BH1084=0),0,"")))))</f>
        <v>0</v>
      </c>
      <c r="BG1084" s="11" t="n">
        <f>IF(AND(COUNT(BN1084:BU1084)=8,MIN(BN1084:BU1084)&gt;=0),SUMPRODUCT(BN1084:BQ1084,BR1084:BU1084),"")</f>
        <v>78.35892944347341</v>
      </c>
      <c r="BH1084" s="11" t="n">
        <f>IF(COUNT(BC1084,BG1084)=2,BC1084*BG1084,"")</f>
        <v>31.715304794771555</v>
      </c>
      <c r="BI1084" s="11" t="n">
        <f>IF(ISNUMBER(CI1084),CI1084,"")</f>
        <v>0</v>
      </c>
      <c r="BJ1084" s="8" t="str">
        <v>近180天本色销量36双（＜90），无有效新采购，请运营判断</v>
      </c>
      <c r="BK1084" s="8" t="str">
        <v>90天：2026-07-20 至 2026-10-17；180天：2026-04-21 至 2026-10-17</v>
      </c>
      <c r="BL1084" s="8" t="str">
        <v>90天：2026-10-06、2026-10-07；180天：2026-10-06、2026-10-07</v>
      </c>
      <c r="BM1084" s="8" t="str">
        <v>2026-10：12天 × 0.7307750238224848；2026-11：30天 × 0.9523018155490097；2026-12：31天 × 0.5958545198749097；2027-01：17天 × 1.3264167397065354</v>
      </c>
      <c r="BN1084" s="11" t="n">
        <v>0.7307750238224848</v>
      </c>
      <c r="BO1084" s="11" t="n">
        <v>0.9523018155490097</v>
      </c>
      <c r="BP1084" s="11" t="n">
        <v>0.5958545198749097</v>
      </c>
      <c r="BQ1084" s="11" t="n">
        <v>1.3264167397065354</v>
      </c>
      <c r="BR1084" s="8" t="n">
        <v>12</v>
      </c>
      <c r="BS1084" s="8" t="n">
        <v>30</v>
      </c>
      <c r="BT1084" s="8" t="n">
        <v>31</v>
      </c>
      <c r="BU1084" s="8" t="n">
        <v>17</v>
      </c>
      <c r="BV1084" s="11" t="n">
        <f>IF(COUNT(BC1084,BF1084)=2,BC1084*BF1084,"")</f>
        <v>0</v>
      </c>
      <c r="BW1084" s="11" t="n">
        <f>IF(ISNUMBER(BN1084),BN1084,"")</f>
        <v>0.7307750238224848</v>
      </c>
      <c r="BX1084" s="14" t="n">
        <f>IF(ISNUMBER(BR1084),BR1084,"")</f>
        <v>12</v>
      </c>
      <c r="BY1084" s="13" t="n">
        <f>IF(AND(COUNT(BV1084,BW1084,BX1084)=3,MIN(BV1084,BW1084,BX1084)&gt;=0),BV1084*BW1084*BX1084,"")</f>
        <v>0</v>
      </c>
      <c r="BZ1084" s="11" t="n">
        <f>IF(ISNUMBER(BO1084),BO1084,"")</f>
        <v>0.9523018155490097</v>
      </c>
      <c r="CA1084" s="14" t="n">
        <f>IF(ISNUMBER(BS1084),BS1084,"")</f>
        <v>30</v>
      </c>
      <c r="CB1084" s="13" t="n">
        <f>IF(AND(COUNT(BV1084,BZ1084,CA1084)=3,MIN(BV1084,BZ1084,CA1084)&gt;=0),BV1084*BZ1084*CA1084,"")</f>
        <v>0</v>
      </c>
      <c r="CC1084" s="11" t="n">
        <f>IF(ISNUMBER(BP1084),BP1084,"")</f>
        <v>0.5958545198749097</v>
      </c>
      <c r="CD1084" s="14" t="n">
        <f>IF(ISNUMBER(BT1084),BT1084,"")</f>
        <v>31</v>
      </c>
      <c r="CE1084" s="13" t="n">
        <f>IF(AND(COUNT(BV1084,CC1084,CD1084)=3,MIN(BV1084,CC1084,CD1084)&gt;=0),BV1084*CC1084*CD1084,"")</f>
        <v>0</v>
      </c>
      <c r="CF1084" s="11" t="n">
        <f>IF(ISNUMBER(BQ1084),BQ1084,"")</f>
        <v>1.3264167397065354</v>
      </c>
      <c r="CG1084" s="14" t="n">
        <f>IF(ISNUMBER(BU1084),BU1084,"")</f>
        <v>17</v>
      </c>
      <c r="CH1084" s="13" t="n">
        <f>IF(AND(COUNT(BV1084,CF1084,CG1084)=3,MIN(BV1084,CF1084,CG1084)&gt;=0),BV1084*CF1084*CG1084,"")</f>
        <v>0</v>
      </c>
      <c r="CI1084" s="13" t="n">
        <f>IF(COUNT(BY1084,CB1084,CE1084,CH1084)=4,SUM(BY1084,CB1084,CE1084,CH1084),"")</f>
        <v>0</v>
      </c>
    </row>
    <row r="1085" ht="72" customHeight="1">
      <c r="A1085" s="16" t="str">
        <v>B07-PK-38.5</v>
      </c>
      <c r="B1085" s="16" t="str">
        <v>4店-彬郁-US</v>
      </c>
      <c r="C1085" s="16" t="str">
        <v>艾年</v>
      </c>
      <c r="D1085" s="26" t="n">
        <f>IF(NOT(ISNUMBER(E1085)),"",IF(OR(E1085&lt;=0,L1085=0),0,IF(OR(NOT(ISNUMBER(F1085)),F1085&lt;0),"",MIN(E1085,INT(F1085)))))</f>
        <v>0</v>
      </c>
      <c r="E1085" s="27" t="n">
        <f>IF(OR(NOT(ISNUMBER(L1085)),COUNT(M1085:O1085)&lt;&gt;3,MIN(M1085:O1085)&lt;0),"",ROUNDUP(ROUND(BI1085-SUM(M1085:O1085),10),0))</f>
        <v>-10</v>
      </c>
      <c r="F1085" s="28" t="n">
        <v>0</v>
      </c>
      <c r="G1085" s="28" t="n">
        <f>IF(AND(ISNUMBER(D1085),ISNUMBER(E1085)),IF(OR(E1085&lt;=0,L1085=0),0,E1085-D1085),"")</f>
        <v>0</v>
      </c>
      <c r="H1085" s="16" t="str">
        <f>IF(NOT(ISNUMBER(E1085)),"销量或海外库存待补",IF(OR(E1085&lt;=0,L1085=0),IF(L1085=0,"零日销，本批不发","本批无需补货"),IF(NOT(ISNUMBER(D1085)),"国内库存待补",IF(D1085=0,"国内无可用库存",IF(G1085&gt;0,"先发国内现货","按建议量发货")))))</f>
        <v>本批无需补货</v>
      </c>
      <c r="I1085" s="28" t="n">
        <f>IF(AND(COUNT(Z1085,AA1085,AB1085)=3,Z1085&gt;=AA1085,AA1085&gt;=0,AB1085=7),Z1085-AA1085,"")</f>
        <v>0</v>
      </c>
      <c r="J1085" s="28" t="n">
        <f>IF(AND(COUNT(AF1085,AG1085,AH1085)=3,AF1085&gt;=AG1085,AG1085&gt;=0,AH1085=14),AF1085-AG1085,"")</f>
        <v>0</v>
      </c>
      <c r="K1085" s="28" t="n">
        <f>IF(AND(COUNT(AL1085,AM1085,AN1085)=3,AL1085&gt;=AM1085,AM1085&gt;=0,AN1085=30),AL1085-AM1085,"")</f>
        <v>0</v>
      </c>
      <c r="L1085" s="29" t="n">
        <f>IF(ISNUMBER(BI1085),BI1085/90,"")</f>
        <v>0.018374740079510503</v>
      </c>
      <c r="M1085" s="28" t="n">
        <v>11</v>
      </c>
      <c r="N1085" s="28" t="n">
        <v>0</v>
      </c>
      <c r="O1085" s="28" t="n">
        <v>0</v>
      </c>
      <c r="P1085" s="30" t="n">
        <f>IF(AND(ISNUMBER(L1085),L1085&gt;0,COUNT(M1085:O1085)=3,MIN(M1085:O1085)&gt;=0),SUM(M1085:O1085)/L1085,"")</f>
        <v>598.647923856403</v>
      </c>
      <c r="Q1085" s="16" t="str">
        <v>沿用原计划SKU店铺</v>
      </c>
      <c r="R1085" s="16" t="str">
        <v>已匹配</v>
      </c>
      <c r="S1085" s="16" t="str">
        <v>在售</v>
      </c>
      <c r="T1085" s="16" t="str">
        <v>B07</v>
      </c>
      <c r="U1085" s="16" t="str">
        <v>粉色羊京绒</v>
      </c>
      <c r="V1085" s="16" t="n">
        <v>7.5</v>
      </c>
      <c r="W1085" s="8" t="str">
        <v>2026-10-11 至 2026-10-17</v>
      </c>
      <c r="X1085" s="8" t="str">
        <v>2026-10-11、2026-10-12、2026-10-13、2026-10-14、2026-10-15、2026-10-16、2026-10-17</v>
      </c>
      <c r="Y1085" s="8" t="str">
        <v>无</v>
      </c>
      <c r="Z1085" s="8" t="n">
        <v>0</v>
      </c>
      <c r="AA1085" s="8" t="n">
        <v>0</v>
      </c>
      <c r="AB1085" s="8" t="n">
        <v>7</v>
      </c>
      <c r="AC1085" s="8" t="str">
        <v>2026-10-02 至 2026-10-17</v>
      </c>
      <c r="AD1085" s="8" t="str">
        <v>2026-10-02、2026-10-03、2026-10-04、2026-10-05、2026-10-08、2026-10-09、2026-10-10、2026-10-11、2026-10-12、2026-10-13、2026-10-14、2026-10-15、2026-10-16、2026-10-17</v>
      </c>
      <c r="AE1085" s="8" t="str">
        <v>2026-10-06 大促；2026-10-07 大促</v>
      </c>
      <c r="AF1085" s="8" t="n">
        <v>0</v>
      </c>
      <c r="AG1085" s="8" t="n">
        <v>0</v>
      </c>
      <c r="AH1085" s="8" t="n">
        <v>14</v>
      </c>
      <c r="AI1085" s="8" t="str">
        <v>2026-09-16 至 2026-10-17</v>
      </c>
      <c r="AJ10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5" s="8" t="str">
        <v>2026-10-06 大促；2026-10-07 大促</v>
      </c>
      <c r="AL1085" s="8" t="n">
        <v>0</v>
      </c>
      <c r="AM1085" s="8" t="n">
        <v>0</v>
      </c>
      <c r="AN1085" s="8" t="n">
        <v>30</v>
      </c>
      <c r="AO1085" s="8" t="str">
        <v>B07 / 粉色羊京绒 / 13306</v>
      </c>
      <c r="AP1085" s="11" t="n">
        <v>0.7307750238224848</v>
      </c>
      <c r="AQ1085" s="11" t="n">
        <v>0.7307750238224848</v>
      </c>
      <c r="AR1085" s="11" t="n">
        <v>0.7449809054134506</v>
      </c>
      <c r="AS1085" s="11" t="n">
        <f>IF(AND(COUNT(I1085:K1085,AP1085:AR1085)=6,MIN(AP1085:AR1085)&gt;0),I1085/7/AP1085*0.5+J1085/14/AQ1085*0.3+K1085/30/AR1085*0.2,"")</f>
        <v>0</v>
      </c>
      <c r="AT1085" s="8" t="n">
        <v>1</v>
      </c>
      <c r="AU1085" s="8" t="n">
        <v>0</v>
      </c>
      <c r="AV1085" s="8" t="n">
        <v>88</v>
      </c>
      <c r="AW1085" s="11" t="n">
        <f>IF(AND(COUNT(AT1085:AV1085)=3,AT1085&gt;=AU1085,AU1085&gt;=0,AV1085&gt;0),(AT1085-AU1085)/AV1085,"")</f>
        <v>0.011363636363636364</v>
      </c>
      <c r="AX1085" s="8" t="n">
        <v>2</v>
      </c>
      <c r="AY1085" s="8" t="n">
        <v>0</v>
      </c>
      <c r="AZ1085" s="8" t="n">
        <v>178</v>
      </c>
      <c r="BA1085" s="11" t="n">
        <f>IF(AND(COUNT(AX1085:AZ1085)=3,AX1085&gt;=AY1085,AY1085&gt;=0,AZ1085&gt;0),(AX1085-AY1085)/AZ1085,"")</f>
        <v>0.011235955056179775</v>
      </c>
      <c r="BB1085" s="8" t="n">
        <f>IF(COUNT(AS1085,AW1085,BA1085)=3,1,0)</f>
        <v>1</v>
      </c>
      <c r="BC1085" s="11" t="n">
        <f>IF(SUMIF($AO$11:$AO$1309,AO1085,$BB$11:$BB$1309)=COUNTIF($AO$11:$AO$1309,AO1085),SUMIF($AO$11:$AO$1309,AO1085,$AS$11:$AS$1309),"")</f>
        <v>0.4047439777447489</v>
      </c>
      <c r="BD1085" s="11" t="n">
        <f>IF(SUMIF($AO$11:$AO$1309,AO1085,$BB$11:$BB$1309)=COUNTIF($AO$11:$AO$1309,AO1085),SUMIF($AO$11:$AO$1309,AO1085,$AW$11:$AW$1309),"")</f>
        <v>0.22727272727272724</v>
      </c>
      <c r="BE1085" s="11" t="n">
        <f>IF(SUMIF($AO$11:$AO$1309,AO1085,$BB$11:$BB$1309)=COUNTIF($AO$11:$AO$1309,AO1085),SUMIF($AO$11:$AO$1309,AO1085,$BA$11:$BA$1309),"")</f>
        <v>0.19662921348314605</v>
      </c>
      <c r="BF1085" s="12" t="n">
        <f>IF(COUNT(BD1085:BE1085)&lt;&gt;2,"",IF(AND(BD1085&gt;0,BE1085&gt;0),0.7*AW1085/BD1085+0.3*BA1085/BE1085,IF(BD1085&gt;0,AW1085/BD1085,IF(BE1085&gt;0,BA1085/BE1085,IF(AND(ISNUMBER(BH1085),BH1085=0),0,"")))))</f>
        <v>0.052142857142857144</v>
      </c>
      <c r="BG1085" s="11" t="n">
        <f>IF(AND(COUNT(BN1085:BU1085)=8,MIN(BN1085:BU1085)&gt;=0),SUMPRODUCT(BN1085:BQ1085,BR1085:BU1085),"")</f>
        <v>78.35892944347341</v>
      </c>
      <c r="BH1085" s="11" t="n">
        <f>IF(COUNT(BC1085,BG1085)=2,BC1085*BG1085,"")</f>
        <v>31.715304794771555</v>
      </c>
      <c r="BI1085" s="11" t="n">
        <f>IF(ISNUMBER(CI1085),CI1085,"")</f>
        <v>1.653726607155945</v>
      </c>
      <c r="BJ1085" s="8" t="str">
        <v>近180天本色销量36双（＜90），无有效新采购，请运营判断</v>
      </c>
      <c r="BK1085" s="8" t="str">
        <v>90天：2026-07-20 至 2026-10-17；180天：2026-04-21 至 2026-10-17</v>
      </c>
      <c r="BL1085" s="8" t="str">
        <v>90天：2026-10-06、2026-10-07；180天：2026-10-06、2026-10-07</v>
      </c>
      <c r="BM1085" s="8" t="str">
        <v>2026-10：12天 × 0.7307750238224848；2026-11：30天 × 0.9523018155490097；2026-12：31天 × 0.5958545198749097；2027-01：17天 × 1.3264167397065354</v>
      </c>
      <c r="BN1085" s="11" t="n">
        <v>0.7307750238224848</v>
      </c>
      <c r="BO1085" s="11" t="n">
        <v>0.9523018155490097</v>
      </c>
      <c r="BP1085" s="11" t="n">
        <v>0.5958545198749097</v>
      </c>
      <c r="BQ1085" s="11" t="n">
        <v>1.3264167397065354</v>
      </c>
      <c r="BR1085" s="8" t="n">
        <v>12</v>
      </c>
      <c r="BS1085" s="8" t="n">
        <v>30</v>
      </c>
      <c r="BT1085" s="8" t="n">
        <v>31</v>
      </c>
      <c r="BU1085" s="8" t="n">
        <v>17</v>
      </c>
      <c r="BV1085" s="11" t="n">
        <f>IF(COUNT(BC1085,BF1085)=2,BC1085*BF1085,"")</f>
        <v>0.021104507410976192</v>
      </c>
      <c r="BW1085" s="11" t="n">
        <f>IF(ISNUMBER(BN1085),BN1085,"")</f>
        <v>0.7307750238224848</v>
      </c>
      <c r="BX1085" s="14" t="n">
        <f>IF(ISNUMBER(BR1085),BR1085,"")</f>
        <v>12</v>
      </c>
      <c r="BY1085" s="13" t="n">
        <f>IF(AND(COUNT(BV1085,BW1085,BX1085)=3,MIN(BV1085,BW1085,BX1085)&gt;=0),BV1085*BW1085*BX1085,"")</f>
        <v>0.18507176287221522</v>
      </c>
      <c r="BZ1085" s="11" t="n">
        <f>IF(ISNUMBER(BO1085),BO1085,"")</f>
        <v>0.9523018155490097</v>
      </c>
      <c r="CA1085" s="14" t="n">
        <f>IF(ISNUMBER(BS1085),BS1085,"")</f>
        <v>30</v>
      </c>
      <c r="CB1085" s="13" t="n">
        <f>IF(AND(COUNT(BV1085,BZ1085,CA1085)=3,MIN(BV1085,BZ1085,CA1085)&gt;=0),BV1085*BZ1085*CA1085,"")</f>
        <v>0.6029358217122047</v>
      </c>
      <c r="CC1085" s="11" t="n">
        <f>IF(ISNUMBER(BP1085),BP1085,"")</f>
        <v>0.5958545198749097</v>
      </c>
      <c r="CD1085" s="14" t="n">
        <f>IF(ISNUMBER(BT1085),BT1085,"")</f>
        <v>31</v>
      </c>
      <c r="CE1085" s="13" t="n">
        <f>IF(AND(COUNT(BV1085,CC1085,CD1085)=3,MIN(BV1085,CC1085,CD1085)&gt;=0),BV1085*CC1085*CD1085,"")</f>
        <v>0.38983170004747447</v>
      </c>
      <c r="CF1085" s="11" t="n">
        <f>IF(ISNUMBER(BQ1085),BQ1085,"")</f>
        <v>1.3264167397065354</v>
      </c>
      <c r="CG1085" s="14" t="n">
        <f>IF(ISNUMBER(BU1085),BU1085,"")</f>
        <v>17</v>
      </c>
      <c r="CH1085" s="13" t="n">
        <f>IF(AND(COUNT(BV1085,CF1085,CG1085)=3,MIN(BV1085,CF1085,CG1085)&gt;=0),BV1085*CF1085*CG1085,"")</f>
        <v>0.47588732252405075</v>
      </c>
      <c r="CI1085" s="13" t="n">
        <f>IF(COUNT(BY1085,CB1085,CE1085,CH1085)=4,SUM(BY1085,CB1085,CE1085,CH1085),"")</f>
        <v>1.653726607155945</v>
      </c>
    </row>
    <row r="1086" ht="72" customHeight="1">
      <c r="A1086" s="16" t="str">
        <v>B07-PK-39-by</v>
      </c>
      <c r="B1086" s="16" t="str">
        <v>4店-彬郁-US</v>
      </c>
      <c r="C1086" s="16" t="str">
        <v>艾年</v>
      </c>
      <c r="D1086" s="26" t="n">
        <f>IF(NOT(ISNUMBER(E1086)),"",IF(OR(E1086&lt;=0,L1086=0),0,IF(OR(NOT(ISNUMBER(F1086)),F1086&lt;0),"",MIN(E1086,INT(F1086)))))</f>
        <v>0</v>
      </c>
      <c r="E1086" s="27" t="n">
        <f>IF(OR(NOT(ISNUMBER(L1086)),COUNT(M1086:O1086)&lt;&gt;3,MIN(M1086:O1086)&lt;0),"",ROUNDUP(ROUND(BI1086-SUM(M1086:O1086),10),0))</f>
        <v>-10</v>
      </c>
      <c r="F1086" s="28" t="n">
        <v>0</v>
      </c>
      <c r="G1086" s="28" t="n">
        <f>IF(AND(ISNUMBER(D1086),ISNUMBER(E1086)),IF(OR(E1086&lt;=0,L1086=0),0,E1086-D1086),"")</f>
        <v>0</v>
      </c>
      <c r="H1086" s="16" t="str">
        <f>IF(NOT(ISNUMBER(E1086)),"销量或海外库存待补",IF(OR(E1086&lt;=0,L1086=0),IF(L1086=0,"零日销，本批不发","本批无需补货"),IF(NOT(ISNUMBER(D1086)),"国内库存待补",IF(D1086=0,"国内无可用库存",IF(G1086&gt;0,"先发国内现货","按建议量发货")))))</f>
        <v>零日销，本批不发</v>
      </c>
      <c r="I1086" s="28" t="n">
        <f>IF(AND(COUNT(Z1086,AA1086,AB1086)=3,Z1086&gt;=AA1086,AA1086&gt;=0,AB1086=7),Z1086-AA1086,"")</f>
        <v>0</v>
      </c>
      <c r="J1086" s="28" t="n">
        <f>IF(AND(COUNT(AF1086,AG1086,AH1086)=3,AF1086&gt;=AG1086,AG1086&gt;=0,AH1086=14),AF1086-AG1086,"")</f>
        <v>0</v>
      </c>
      <c r="K1086" s="28" t="n">
        <f>IF(AND(COUNT(AL1086,AM1086,AN1086)=3,AL1086&gt;=AM1086,AM1086&gt;=0,AN1086=30),AL1086-AM1086,"")</f>
        <v>0</v>
      </c>
      <c r="L1086" s="29" t="n">
        <f>IF(ISNUMBER(BI1086),BI1086/90,"")</f>
        <v>0</v>
      </c>
      <c r="M1086" s="28" t="n">
        <v>0</v>
      </c>
      <c r="N1086" s="28" t="n">
        <v>0</v>
      </c>
      <c r="O1086" s="28" t="n">
        <v>10</v>
      </c>
      <c r="P1086" s="30" t="str">
        <f>IF(AND(ISNUMBER(L1086),L1086&gt;0,COUNT(M1086:O1086)=3,MIN(M1086:O1086)&gt;=0),SUM(M1086:O1086)/L1086,"")</f>
      </c>
      <c r="Q1086" s="16" t="str">
        <v>沿用原计划SKU店铺</v>
      </c>
      <c r="R1086" s="16" t="str">
        <v>已匹配</v>
      </c>
      <c r="S1086" s="16" t="str">
        <v>在售</v>
      </c>
      <c r="T1086" s="16" t="str">
        <v>B07</v>
      </c>
      <c r="U1086" s="16" t="str">
        <v>粉色羊京绒</v>
      </c>
      <c r="V1086" s="16" t="n">
        <v>8</v>
      </c>
      <c r="W1086" s="8" t="str">
        <v>2026-10-11 至 2026-10-17</v>
      </c>
      <c r="X1086" s="8" t="str">
        <v>2026-10-11、2026-10-12、2026-10-13、2026-10-14、2026-10-15、2026-10-16、2026-10-17</v>
      </c>
      <c r="Y1086" s="8" t="str">
        <v>无</v>
      </c>
      <c r="Z1086" s="8" t="n">
        <v>0</v>
      </c>
      <c r="AA1086" s="8" t="n">
        <v>0</v>
      </c>
      <c r="AB1086" s="8" t="n">
        <v>7</v>
      </c>
      <c r="AC1086" s="8" t="str">
        <v>2026-10-02 至 2026-10-17</v>
      </c>
      <c r="AD1086" s="8" t="str">
        <v>2026-10-02、2026-10-03、2026-10-04、2026-10-05、2026-10-08、2026-10-09、2026-10-10、2026-10-11、2026-10-12、2026-10-13、2026-10-14、2026-10-15、2026-10-16、2026-10-17</v>
      </c>
      <c r="AE1086" s="8" t="str">
        <v>2026-10-06 大促；2026-10-07 大促</v>
      </c>
      <c r="AF1086" s="8" t="n">
        <v>0</v>
      </c>
      <c r="AG1086" s="8" t="n">
        <v>0</v>
      </c>
      <c r="AH1086" s="8" t="n">
        <v>14</v>
      </c>
      <c r="AI1086" s="8" t="str">
        <v>2026-09-16 至 2026-10-17</v>
      </c>
      <c r="AJ10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6" s="8" t="str">
        <v>2026-10-06 大促；2026-10-07 大促</v>
      </c>
      <c r="AL1086" s="8" t="n">
        <v>0</v>
      </c>
      <c r="AM1086" s="8" t="n">
        <v>0</v>
      </c>
      <c r="AN1086" s="8" t="n">
        <v>30</v>
      </c>
      <c r="AO1086" s="8" t="str">
        <v>B07 / 粉色羊京绒 / 13306</v>
      </c>
      <c r="AP1086" s="11" t="n">
        <v>0.7307750238224848</v>
      </c>
      <c r="AQ1086" s="11" t="n">
        <v>0.7307750238224848</v>
      </c>
      <c r="AR1086" s="11" t="n">
        <v>0.7449809054134506</v>
      </c>
      <c r="AS1086" s="11" t="n">
        <f>IF(AND(COUNT(I1086:K1086,AP1086:AR1086)=6,MIN(AP1086:AR1086)&gt;0),I1086/7/AP1086*0.5+J1086/14/AQ1086*0.3+K1086/30/AR1086*0.2,"")</f>
        <v>0</v>
      </c>
      <c r="AT1086" s="8" t="n">
        <v>0</v>
      </c>
      <c r="AU1086" s="8" t="n">
        <v>0</v>
      </c>
      <c r="AV1086" s="8" t="n">
        <v>88</v>
      </c>
      <c r="AW1086" s="11" t="n">
        <f>IF(AND(COUNT(AT1086:AV1086)=3,AT1086&gt;=AU1086,AU1086&gt;=0,AV1086&gt;0),(AT1086-AU1086)/AV1086,"")</f>
        <v>0</v>
      </c>
      <c r="AX1086" s="8" t="n">
        <v>0</v>
      </c>
      <c r="AY1086" s="8" t="n">
        <v>0</v>
      </c>
      <c r="AZ1086" s="8" t="n">
        <v>178</v>
      </c>
      <c r="BA1086" s="11" t="n">
        <f>IF(AND(COUNT(AX1086:AZ1086)=3,AX1086&gt;=AY1086,AY1086&gt;=0,AZ1086&gt;0),(AX1086-AY1086)/AZ1086,"")</f>
        <v>0</v>
      </c>
      <c r="BB1086" s="8" t="n">
        <f>IF(COUNT(AS1086,AW1086,BA1086)=3,1,0)</f>
        <v>1</v>
      </c>
      <c r="BC1086" s="11" t="n">
        <f>IF(SUMIF($AO$11:$AO$1309,AO1086,$BB$11:$BB$1309)=COUNTIF($AO$11:$AO$1309,AO1086),SUMIF($AO$11:$AO$1309,AO1086,$AS$11:$AS$1309),"")</f>
        <v>0.4047439777447489</v>
      </c>
      <c r="BD1086" s="11" t="n">
        <f>IF(SUMIF($AO$11:$AO$1309,AO1086,$BB$11:$BB$1309)=COUNTIF($AO$11:$AO$1309,AO1086),SUMIF($AO$11:$AO$1309,AO1086,$AW$11:$AW$1309),"")</f>
        <v>0.22727272727272724</v>
      </c>
      <c r="BE1086" s="11" t="n">
        <f>IF(SUMIF($AO$11:$AO$1309,AO1086,$BB$11:$BB$1309)=COUNTIF($AO$11:$AO$1309,AO1086),SUMIF($AO$11:$AO$1309,AO1086,$BA$11:$BA$1309),"")</f>
        <v>0.19662921348314605</v>
      </c>
      <c r="BF1086" s="12" t="n">
        <f>IF(COUNT(BD1086:BE1086)&lt;&gt;2,"",IF(AND(BD1086&gt;0,BE1086&gt;0),0.7*AW1086/BD1086+0.3*BA1086/BE1086,IF(BD1086&gt;0,AW1086/BD1086,IF(BE1086&gt;0,BA1086/BE1086,IF(AND(ISNUMBER(BH1086),BH1086=0),0,"")))))</f>
        <v>0</v>
      </c>
      <c r="BG1086" s="11" t="n">
        <f>IF(AND(COUNT(BN1086:BU1086)=8,MIN(BN1086:BU1086)&gt;=0),SUMPRODUCT(BN1086:BQ1086,BR1086:BU1086),"")</f>
        <v>78.35892944347341</v>
      </c>
      <c r="BH1086" s="11" t="n">
        <f>IF(COUNT(BC1086,BG1086)=2,BC1086*BG1086,"")</f>
        <v>31.715304794771555</v>
      </c>
      <c r="BI1086" s="11" t="n">
        <f>IF(ISNUMBER(CI1086),CI1086,"")</f>
        <v>0</v>
      </c>
      <c r="BJ1086" s="8" t="str">
        <v>近180天本色销量36双（＜90），无有效新采购，请运营判断</v>
      </c>
      <c r="BK1086" s="8" t="str">
        <v>90天：2026-07-20 至 2026-10-17；180天：2026-04-21 至 2026-10-17</v>
      </c>
      <c r="BL1086" s="8" t="str">
        <v>90天：2026-10-06、2026-10-07；180天：2026-10-06、2026-10-07</v>
      </c>
      <c r="BM1086" s="8" t="str">
        <v>2026-10：12天 × 0.7307750238224848；2026-11：30天 × 0.9523018155490097；2026-12：31天 × 0.5958545198749097；2027-01：17天 × 1.3264167397065354</v>
      </c>
      <c r="BN1086" s="11" t="n">
        <v>0.7307750238224848</v>
      </c>
      <c r="BO1086" s="11" t="n">
        <v>0.9523018155490097</v>
      </c>
      <c r="BP1086" s="11" t="n">
        <v>0.5958545198749097</v>
      </c>
      <c r="BQ1086" s="11" t="n">
        <v>1.3264167397065354</v>
      </c>
      <c r="BR1086" s="8" t="n">
        <v>12</v>
      </c>
      <c r="BS1086" s="8" t="n">
        <v>30</v>
      </c>
      <c r="BT1086" s="8" t="n">
        <v>31</v>
      </c>
      <c r="BU1086" s="8" t="n">
        <v>17</v>
      </c>
      <c r="BV1086" s="11" t="n">
        <f>IF(COUNT(BC1086,BF1086)=2,BC1086*BF1086,"")</f>
        <v>0</v>
      </c>
      <c r="BW1086" s="11" t="n">
        <f>IF(ISNUMBER(BN1086),BN1086,"")</f>
        <v>0.7307750238224848</v>
      </c>
      <c r="BX1086" s="14" t="n">
        <f>IF(ISNUMBER(BR1086),BR1086,"")</f>
        <v>12</v>
      </c>
      <c r="BY1086" s="13" t="n">
        <f>IF(AND(COUNT(BV1086,BW1086,BX1086)=3,MIN(BV1086,BW1086,BX1086)&gt;=0),BV1086*BW1086*BX1086,"")</f>
        <v>0</v>
      </c>
      <c r="BZ1086" s="11" t="n">
        <f>IF(ISNUMBER(BO1086),BO1086,"")</f>
        <v>0.9523018155490097</v>
      </c>
      <c r="CA1086" s="14" t="n">
        <f>IF(ISNUMBER(BS1086),BS1086,"")</f>
        <v>30</v>
      </c>
      <c r="CB1086" s="13" t="n">
        <f>IF(AND(COUNT(BV1086,BZ1086,CA1086)=3,MIN(BV1086,BZ1086,CA1086)&gt;=0),BV1086*BZ1086*CA1086,"")</f>
        <v>0</v>
      </c>
      <c r="CC1086" s="11" t="n">
        <f>IF(ISNUMBER(BP1086),BP1086,"")</f>
        <v>0.5958545198749097</v>
      </c>
      <c r="CD1086" s="14" t="n">
        <f>IF(ISNUMBER(BT1086),BT1086,"")</f>
        <v>31</v>
      </c>
      <c r="CE1086" s="13" t="n">
        <f>IF(AND(COUNT(BV1086,CC1086,CD1086)=3,MIN(BV1086,CC1086,CD1086)&gt;=0),BV1086*CC1086*CD1086,"")</f>
        <v>0</v>
      </c>
      <c r="CF1086" s="11" t="n">
        <f>IF(ISNUMBER(BQ1086),BQ1086,"")</f>
        <v>1.3264167397065354</v>
      </c>
      <c r="CG1086" s="14" t="n">
        <f>IF(ISNUMBER(BU1086),BU1086,"")</f>
        <v>17</v>
      </c>
      <c r="CH1086" s="13" t="n">
        <f>IF(AND(COUNT(BV1086,CF1086,CG1086)=3,MIN(BV1086,CF1086,CG1086)&gt;=0),BV1086*CF1086*CG1086,"")</f>
        <v>0</v>
      </c>
      <c r="CI1086" s="13" t="n">
        <f>IF(COUNT(BY1086,CB1086,CE1086,CH1086)=4,SUM(BY1086,CB1086,CE1086,CH1086),"")</f>
        <v>0</v>
      </c>
    </row>
    <row r="1087" ht="72" customHeight="1">
      <c r="A1087" s="16" t="str">
        <v>B07-PK-40.5</v>
      </c>
      <c r="B1087" s="16" t="str">
        <v>4店-彬郁-US</v>
      </c>
      <c r="C1087" s="16" t="str">
        <v>艾年</v>
      </c>
      <c r="D1087" s="26" t="n">
        <f>IF(NOT(ISNUMBER(E1087)),"",IF(OR(E1087&lt;=0,L1087=0),0,IF(OR(NOT(ISNUMBER(F1087)),F1087&lt;0),"",MIN(E1087,INT(F1087)))))</f>
        <v>0</v>
      </c>
      <c r="E1087" s="27" t="n">
        <f>IF(OR(NOT(ISNUMBER(L1087)),COUNT(M1087:O1087)&lt;&gt;3,MIN(M1087:O1087)&lt;0),"",ROUNDUP(ROUND(BI1087-SUM(M1087:O1087),10),0))</f>
        <v>-2</v>
      </c>
      <c r="F1087" s="28" t="n">
        <v>0</v>
      </c>
      <c r="G1087" s="28" t="n">
        <f>IF(AND(ISNUMBER(D1087),ISNUMBER(E1087)),IF(OR(E1087&lt;=0,L1087=0),0,E1087-D1087),"")</f>
        <v>0</v>
      </c>
      <c r="H1087" s="16" t="str">
        <f>IF(NOT(ISNUMBER(E1087)),"销量或海外库存待补",IF(OR(E1087&lt;=0,L1087=0),IF(L1087=0,"零日销，本批不发","本批无需补货"),IF(NOT(ISNUMBER(D1087)),"国内库存待补",IF(D1087=0,"国内无可用库存",IF(G1087&gt;0,"先发国内现货","按建议量发货")))))</f>
        <v>本批无需补货</v>
      </c>
      <c r="I1087" s="28" t="n">
        <f>IF(AND(COUNT(Z1087,AA1087,AB1087)=3,Z1087&gt;=AA1087,AA1087&gt;=0,AB1087=7),Z1087-AA1087,"")</f>
        <v>0</v>
      </c>
      <c r="J1087" s="28" t="n">
        <f>IF(AND(COUNT(AF1087,AG1087,AH1087)=3,AF1087&gt;=AG1087,AG1087&gt;=0,AH1087=14),AF1087-AG1087,"")</f>
        <v>0</v>
      </c>
      <c r="K1087" s="28" t="n">
        <f>IF(AND(COUNT(AL1087,AM1087,AN1087)=3,AL1087&gt;=AM1087,AM1087&gt;=0,AN1087=30),AL1087-AM1087,"")</f>
        <v>0</v>
      </c>
      <c r="L1087" s="29" t="n">
        <f>IF(ISNUMBER(BI1087),BI1087/90,"")</f>
        <v>0.024415750516609845</v>
      </c>
      <c r="M1087" s="28" t="n">
        <v>4</v>
      </c>
      <c r="N1087" s="28" t="n">
        <v>0</v>
      </c>
      <c r="O1087" s="28" t="n">
        <v>0</v>
      </c>
      <c r="P1087" s="30" t="n">
        <f>IF(AND(ISNUMBER(L1087),L1087&gt;0,COUNT(M1087:O1087)=3,MIN(M1087:O1087)&gt;=0),SUM(M1087:O1087)/L1087,"")</f>
        <v>163.828672695473</v>
      </c>
      <c r="Q1087" s="16" t="str">
        <v>沿用原计划SKU店铺</v>
      </c>
      <c r="R1087" s="16" t="str">
        <v>已匹配</v>
      </c>
      <c r="S1087" s="16" t="str">
        <v>在售</v>
      </c>
      <c r="T1087" s="16" t="str">
        <v>B07</v>
      </c>
      <c r="U1087" s="16" t="str">
        <v>粉色羊京绒</v>
      </c>
      <c r="V1087" s="16" t="n">
        <v>9.5</v>
      </c>
      <c r="W1087" s="8" t="str">
        <v>2026-10-11 至 2026-10-17</v>
      </c>
      <c r="X1087" s="8" t="str">
        <v>2026-10-11、2026-10-12、2026-10-13、2026-10-14、2026-10-15、2026-10-16、2026-10-17</v>
      </c>
      <c r="Y1087" s="8" t="str">
        <v>无</v>
      </c>
      <c r="Z1087" s="8" t="n">
        <v>0</v>
      </c>
      <c r="AA1087" s="8" t="n">
        <v>0</v>
      </c>
      <c r="AB1087" s="8" t="n">
        <v>7</v>
      </c>
      <c r="AC1087" s="8" t="str">
        <v>2026-10-02 至 2026-10-17</v>
      </c>
      <c r="AD1087" s="8" t="str">
        <v>2026-10-02、2026-10-03、2026-10-04、2026-10-05、2026-10-08、2026-10-09、2026-10-10、2026-10-11、2026-10-12、2026-10-13、2026-10-14、2026-10-15、2026-10-16、2026-10-17</v>
      </c>
      <c r="AE1087" s="8" t="str">
        <v>2026-10-06 大促；2026-10-07 大促</v>
      </c>
      <c r="AF1087" s="8" t="n">
        <v>0</v>
      </c>
      <c r="AG1087" s="8" t="n">
        <v>0</v>
      </c>
      <c r="AH1087" s="8" t="n">
        <v>14</v>
      </c>
      <c r="AI1087" s="8" t="str">
        <v>2026-09-16 至 2026-10-17</v>
      </c>
      <c r="AJ108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7" s="8" t="str">
        <v>2026-10-06 大促；2026-10-07 大促</v>
      </c>
      <c r="AL1087" s="8" t="n">
        <v>0</v>
      </c>
      <c r="AM1087" s="8" t="n">
        <v>0</v>
      </c>
      <c r="AN1087" s="8" t="n">
        <v>30</v>
      </c>
      <c r="AO1087" s="8" t="str">
        <v>B07 / 粉色羊京绒 / 13306</v>
      </c>
      <c r="AP1087" s="11" t="n">
        <v>0.7307750238224848</v>
      </c>
      <c r="AQ1087" s="11" t="n">
        <v>0.7307750238224848</v>
      </c>
      <c r="AR1087" s="11" t="n">
        <v>0.7449809054134506</v>
      </c>
      <c r="AS1087" s="11" t="n">
        <f>IF(AND(COUNT(I1087:K1087,AP1087:AR1087)=6,MIN(AP1087:AR1087)&gt;0),I1087/7/AP1087*0.5+J1087/14/AQ1087*0.3+K1087/30/AR1087*0.2,"")</f>
        <v>0</v>
      </c>
      <c r="AT1087" s="8" t="n">
        <v>1</v>
      </c>
      <c r="AU1087" s="8" t="n">
        <v>0</v>
      </c>
      <c r="AV1087" s="8" t="n">
        <v>88</v>
      </c>
      <c r="AW1087" s="11" t="n">
        <f>IF(AND(COUNT(AT1087:AV1087)=3,AT1087&gt;=AU1087,AU1087&gt;=0,AV1087&gt;0),(AT1087-AU1087)/AV1087,"")</f>
        <v>0.011363636363636364</v>
      </c>
      <c r="AX1087" s="8" t="n">
        <v>4</v>
      </c>
      <c r="AY1087" s="8" t="n">
        <v>0</v>
      </c>
      <c r="AZ1087" s="8" t="n">
        <v>178</v>
      </c>
      <c r="BA1087" s="11" t="n">
        <f>IF(AND(COUNT(AX1087:AZ1087)=3,AX1087&gt;=AY1087,AY1087&gt;=0,AZ1087&gt;0),(AX1087-AY1087)/AZ1087,"")</f>
        <v>0.02247191011235955</v>
      </c>
      <c r="BB1087" s="8" t="n">
        <f>IF(COUNT(AS1087,AW1087,BA1087)=3,1,0)</f>
        <v>1</v>
      </c>
      <c r="BC1087" s="11" t="n">
        <f>IF(SUMIF($AO$11:$AO$1309,AO1087,$BB$11:$BB$1309)=COUNTIF($AO$11:$AO$1309,AO1087),SUMIF($AO$11:$AO$1309,AO1087,$AS$11:$AS$1309),"")</f>
        <v>0.4047439777447489</v>
      </c>
      <c r="BD1087" s="11" t="n">
        <f>IF(SUMIF($AO$11:$AO$1309,AO1087,$BB$11:$BB$1309)=COUNTIF($AO$11:$AO$1309,AO1087),SUMIF($AO$11:$AO$1309,AO1087,$AW$11:$AW$1309),"")</f>
        <v>0.22727272727272724</v>
      </c>
      <c r="BE1087" s="11" t="n">
        <f>IF(SUMIF($AO$11:$AO$1309,AO1087,$BB$11:$BB$1309)=COUNTIF($AO$11:$AO$1309,AO1087),SUMIF($AO$11:$AO$1309,AO1087,$BA$11:$BA$1309),"")</f>
        <v>0.19662921348314605</v>
      </c>
      <c r="BF1087" s="12" t="n">
        <f>IF(COUNT(BD1087:BE1087)&lt;&gt;2,"",IF(AND(BD1087&gt;0,BE1087&gt;0),0.7*AW1087/BD1087+0.3*BA1087/BE1087,IF(BD1087&gt;0,AW1087/BD1087,IF(BE1087&gt;0,BA1087/BE1087,IF(AND(ISNUMBER(BH1087),BH1087=0),0,"")))))</f>
        <v>0.06928571428571428</v>
      </c>
      <c r="BG1087" s="11" t="n">
        <f>IF(AND(COUNT(BN1087:BU1087)=8,MIN(BN1087:BU1087)&gt;=0),SUMPRODUCT(BN1087:BQ1087,BR1087:BU1087),"")</f>
        <v>78.35892944347341</v>
      </c>
      <c r="BH1087" s="11" t="n">
        <f>IF(COUNT(BC1087,BG1087)=2,BC1087*BG1087,"")</f>
        <v>31.715304794771555</v>
      </c>
      <c r="BI1087" s="11" t="n">
        <f>IF(ISNUMBER(CI1087),CI1087,"")</f>
        <v>2.197417546494886</v>
      </c>
      <c r="BJ1087" s="8" t="str">
        <v>近180天本色销量36双（＜90），无有效新采购，请运营判断</v>
      </c>
      <c r="BK1087" s="8" t="str">
        <v>90天：2026-07-20 至 2026-10-17；180天：2026-04-21 至 2026-10-17</v>
      </c>
      <c r="BL1087" s="8" t="str">
        <v>90天：2026-10-06、2026-10-07；180天：2026-10-06、2026-10-07</v>
      </c>
      <c r="BM1087" s="8" t="str">
        <v>2026-10：12天 × 0.7307750238224848；2026-11：30天 × 0.9523018155490097；2026-12：31天 × 0.5958545198749097；2027-01：17天 × 1.3264167397065354</v>
      </c>
      <c r="BN1087" s="11" t="n">
        <v>0.7307750238224848</v>
      </c>
      <c r="BO1087" s="11" t="n">
        <v>0.9523018155490097</v>
      </c>
      <c r="BP1087" s="11" t="n">
        <v>0.5958545198749097</v>
      </c>
      <c r="BQ1087" s="11" t="n">
        <v>1.3264167397065354</v>
      </c>
      <c r="BR1087" s="8" t="n">
        <v>12</v>
      </c>
      <c r="BS1087" s="8" t="n">
        <v>30</v>
      </c>
      <c r="BT1087" s="8" t="n">
        <v>31</v>
      </c>
      <c r="BU1087" s="8" t="n">
        <v>17</v>
      </c>
      <c r="BV1087" s="11" t="n">
        <f>IF(COUNT(BC1087,BF1087)=2,BC1087*BF1087,"")</f>
        <v>0.028042975600886172</v>
      </c>
      <c r="BW1087" s="11" t="n">
        <f>IF(ISNUMBER(BN1087),BN1087,"")</f>
        <v>0.7307750238224848</v>
      </c>
      <c r="BX1087" s="14" t="n">
        <f>IF(ISNUMBER(BR1087),BR1087,"")</f>
        <v>12</v>
      </c>
      <c r="BY1087" s="13" t="n">
        <f>IF(AND(COUNT(BV1087,BW1087,BX1087)=3,MIN(BV1087,BW1087,BX1087)&gt;=0),BV1087*BW1087*BX1087,"")</f>
        <v>0.24591727395349142</v>
      </c>
      <c r="BZ1087" s="11" t="n">
        <f>IF(ISNUMBER(BO1087),BO1087,"")</f>
        <v>0.9523018155490097</v>
      </c>
      <c r="CA1087" s="14" t="n">
        <f>IF(ISNUMBER(BS1087),BS1087,"")</f>
        <v>30</v>
      </c>
      <c r="CB1087" s="13" t="n">
        <f>IF(AND(COUNT(BV1087,BZ1087,CA1087)=3,MIN(BV1087,BZ1087,CA1087)&gt;=0),BV1087*BZ1087*CA1087,"")</f>
        <v>0.8011612973436145</v>
      </c>
      <c r="CC1087" s="11" t="n">
        <f>IF(ISNUMBER(BP1087),BP1087,"")</f>
        <v>0.5958545198749097</v>
      </c>
      <c r="CD1087" s="14" t="n">
        <f>IF(ISNUMBER(BT1087),BT1087,"")</f>
        <v>31</v>
      </c>
      <c r="CE1087" s="13" t="n">
        <f>IF(AND(COUNT(BV1087,CC1087,CD1087)=3,MIN(BV1087,CC1087,CD1087)&gt;=0),BV1087*CC1087*CD1087,"")</f>
        <v>0.517995546638425</v>
      </c>
      <c r="CF1087" s="11" t="n">
        <f>IF(ISNUMBER(BQ1087),BQ1087,"")</f>
        <v>1.3264167397065354</v>
      </c>
      <c r="CG1087" s="14" t="n">
        <f>IF(ISNUMBER(BU1087),BU1087,"")</f>
        <v>17</v>
      </c>
      <c r="CH1087" s="13" t="n">
        <f>IF(AND(COUNT(BV1087,CF1087,CG1087)=3,MIN(BV1087,CF1087,CG1087)&gt;=0),BV1087*CF1087*CG1087,"")</f>
        <v>0.632343428559355</v>
      </c>
      <c r="CI1087" s="13" t="n">
        <f>IF(COUNT(BY1087,CB1087,CE1087,CH1087)=4,SUM(BY1087,CB1087,CE1087,CH1087),"")</f>
        <v>2.197417546494886</v>
      </c>
    </row>
    <row r="1088" ht="72" customHeight="1">
      <c r="A1088" s="16" t="str">
        <v>B07-PK-41-by</v>
      </c>
      <c r="B1088" s="16" t="str">
        <v>4店-彬郁-US</v>
      </c>
      <c r="C1088" s="16" t="str">
        <v>艾年</v>
      </c>
      <c r="D1088" s="26" t="n">
        <f>IF(NOT(ISNUMBER(E1088)),"",IF(OR(E1088&lt;=0,L1088=0),0,IF(OR(NOT(ISNUMBER(F1088)),F1088&lt;0),"",MIN(E1088,INT(F1088)))))</f>
        <v>0</v>
      </c>
      <c r="E1088" s="27" t="n">
        <f>IF(OR(NOT(ISNUMBER(L1088)),COUNT(M1088:O1088)&lt;&gt;3,MIN(M1088:O1088)&lt;0),"",ROUNDUP(ROUND(BI1088-SUM(M1088:O1088),10),0))</f>
        <v>-22</v>
      </c>
      <c r="F1088" s="28" t="n">
        <v>0</v>
      </c>
      <c r="G1088" s="28" t="n">
        <f>IF(AND(ISNUMBER(D1088),ISNUMBER(E1088)),IF(OR(E1088&lt;=0,L1088=0),0,E1088-D1088),"")</f>
        <v>0</v>
      </c>
      <c r="H1088" s="16" t="str">
        <f>IF(NOT(ISNUMBER(E1088)),"销量或海外库存待补",IF(OR(E1088&lt;=0,L1088=0),IF(L1088=0,"零日销，本批不发","本批无需补货"),IF(NOT(ISNUMBER(D1088)),"国内库存待补",IF(D1088=0,"国内无可用库存",IF(G1088&gt;0,"先发国内现货","按建议量发货")))))</f>
        <v>本批无需补货</v>
      </c>
      <c r="I1088" s="28" t="n">
        <f>IF(AND(COUNT(Z1088,AA1088,AB1088)=3,Z1088&gt;=AA1088,AA1088&gt;=0,AB1088=7),Z1088-AA1088,"")</f>
        <v>0</v>
      </c>
      <c r="J1088" s="28" t="n">
        <f>IF(AND(COUNT(AF1088,AG1088,AH1088)=3,AF1088&gt;=AG1088,AG1088&gt;=0,AH1088=14),AF1088-AG1088,"")</f>
        <v>0</v>
      </c>
      <c r="K1088" s="28" t="n">
        <f>IF(AND(COUNT(AL1088,AM1088,AN1088)=3,AL1088&gt;=AM1088,AM1088&gt;=0,AN1088=30),AL1088-AM1088,"")</f>
        <v>0</v>
      </c>
      <c r="L1088" s="29" t="n">
        <f>IF(ISNUMBER(BI1088),BI1088/90,"")</f>
        <v>0.024415750516609845</v>
      </c>
      <c r="M1088" s="28" t="n">
        <v>24</v>
      </c>
      <c r="N1088" s="28" t="n">
        <v>0</v>
      </c>
      <c r="O1088" s="28" t="n">
        <v>0</v>
      </c>
      <c r="P1088" s="30" t="n">
        <f>IF(AND(ISNUMBER(L1088),L1088&gt;0,COUNT(M1088:O1088)=3,MIN(M1088:O1088)&gt;=0),SUM(M1088:O1088)/L1088,"")</f>
        <v>982.972036172838</v>
      </c>
      <c r="Q1088" s="16" t="str">
        <v>沿用原计划SKU店铺</v>
      </c>
      <c r="R1088" s="16" t="str">
        <v>已匹配</v>
      </c>
      <c r="S1088" s="16" t="str">
        <v>在售</v>
      </c>
      <c r="T1088" s="16" t="str">
        <v>B07</v>
      </c>
      <c r="U1088" s="16" t="str">
        <v>粉色羊京绒</v>
      </c>
      <c r="V1088" s="16" t="n">
        <v>10</v>
      </c>
      <c r="W1088" s="8" t="str">
        <v>2026-10-11 至 2026-10-17</v>
      </c>
      <c r="X1088" s="8" t="str">
        <v>2026-10-11、2026-10-12、2026-10-13、2026-10-14、2026-10-15、2026-10-16、2026-10-17</v>
      </c>
      <c r="Y1088" s="8" t="str">
        <v>无</v>
      </c>
      <c r="Z1088" s="8" t="n">
        <v>0</v>
      </c>
      <c r="AA1088" s="8" t="n">
        <v>0</v>
      </c>
      <c r="AB1088" s="8" t="n">
        <v>7</v>
      </c>
      <c r="AC1088" s="8" t="str">
        <v>2026-10-02 至 2026-10-17</v>
      </c>
      <c r="AD1088" s="8" t="str">
        <v>2026-10-02、2026-10-03、2026-10-04、2026-10-05、2026-10-08、2026-10-09、2026-10-10、2026-10-11、2026-10-12、2026-10-13、2026-10-14、2026-10-15、2026-10-16、2026-10-17</v>
      </c>
      <c r="AE1088" s="8" t="str">
        <v>2026-10-06 大促；2026-10-07 大促</v>
      </c>
      <c r="AF1088" s="8" t="n">
        <v>0</v>
      </c>
      <c r="AG1088" s="8" t="n">
        <v>0</v>
      </c>
      <c r="AH1088" s="8" t="n">
        <v>14</v>
      </c>
      <c r="AI1088" s="8" t="str">
        <v>2026-09-16 至 2026-10-17</v>
      </c>
      <c r="AJ10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8" s="8" t="str">
        <v>2026-10-06 大促；2026-10-07 大促</v>
      </c>
      <c r="AL1088" s="8" t="n">
        <v>0</v>
      </c>
      <c r="AM1088" s="8" t="n">
        <v>0</v>
      </c>
      <c r="AN1088" s="8" t="n">
        <v>30</v>
      </c>
      <c r="AO1088" s="8" t="str">
        <v>B07 / 粉色羊京绒 / 13306</v>
      </c>
      <c r="AP1088" s="11" t="n">
        <v>0.7307750238224848</v>
      </c>
      <c r="AQ1088" s="11" t="n">
        <v>0.7307750238224848</v>
      </c>
      <c r="AR1088" s="11" t="n">
        <v>0.7449809054134506</v>
      </c>
      <c r="AS1088" s="11" t="n">
        <f>IF(AND(COUNT(I1088:K1088,AP1088:AR1088)=6,MIN(AP1088:AR1088)&gt;0),I1088/7/AP1088*0.5+J1088/14/AQ1088*0.3+K1088/30/AR1088*0.2,"")</f>
        <v>0</v>
      </c>
      <c r="AT1088" s="8" t="n">
        <v>1</v>
      </c>
      <c r="AU1088" s="8" t="n">
        <v>0</v>
      </c>
      <c r="AV1088" s="8" t="n">
        <v>88</v>
      </c>
      <c r="AW1088" s="11" t="n">
        <f>IF(AND(COUNT(AT1088:AV1088)=3,AT1088&gt;=AU1088,AU1088&gt;=0,AV1088&gt;0),(AT1088-AU1088)/AV1088,"")</f>
        <v>0.011363636363636364</v>
      </c>
      <c r="AX1088" s="8" t="n">
        <v>4</v>
      </c>
      <c r="AY1088" s="8" t="n">
        <v>0</v>
      </c>
      <c r="AZ1088" s="8" t="n">
        <v>178</v>
      </c>
      <c r="BA1088" s="11" t="n">
        <f>IF(AND(COUNT(AX1088:AZ1088)=3,AX1088&gt;=AY1088,AY1088&gt;=0,AZ1088&gt;0),(AX1088-AY1088)/AZ1088,"")</f>
        <v>0.02247191011235955</v>
      </c>
      <c r="BB1088" s="8" t="n">
        <f>IF(COUNT(AS1088,AW1088,BA1088)=3,1,0)</f>
        <v>1</v>
      </c>
      <c r="BC1088" s="11" t="n">
        <f>IF(SUMIF($AO$11:$AO$1309,AO1088,$BB$11:$BB$1309)=COUNTIF($AO$11:$AO$1309,AO1088),SUMIF($AO$11:$AO$1309,AO1088,$AS$11:$AS$1309),"")</f>
        <v>0.4047439777447489</v>
      </c>
      <c r="BD1088" s="11" t="n">
        <f>IF(SUMIF($AO$11:$AO$1309,AO1088,$BB$11:$BB$1309)=COUNTIF($AO$11:$AO$1309,AO1088),SUMIF($AO$11:$AO$1309,AO1088,$AW$11:$AW$1309),"")</f>
        <v>0.22727272727272724</v>
      </c>
      <c r="BE1088" s="11" t="n">
        <f>IF(SUMIF($AO$11:$AO$1309,AO1088,$BB$11:$BB$1309)=COUNTIF($AO$11:$AO$1309,AO1088),SUMIF($AO$11:$AO$1309,AO1088,$BA$11:$BA$1309),"")</f>
        <v>0.19662921348314605</v>
      </c>
      <c r="BF1088" s="12" t="n">
        <f>IF(COUNT(BD1088:BE1088)&lt;&gt;2,"",IF(AND(BD1088&gt;0,BE1088&gt;0),0.7*AW1088/BD1088+0.3*BA1088/BE1088,IF(BD1088&gt;0,AW1088/BD1088,IF(BE1088&gt;0,BA1088/BE1088,IF(AND(ISNUMBER(BH1088),BH1088=0),0,"")))))</f>
        <v>0.06928571428571428</v>
      </c>
      <c r="BG1088" s="11" t="n">
        <f>IF(AND(COUNT(BN1088:BU1088)=8,MIN(BN1088:BU1088)&gt;=0),SUMPRODUCT(BN1088:BQ1088,BR1088:BU1088),"")</f>
        <v>78.35892944347341</v>
      </c>
      <c r="BH1088" s="11" t="n">
        <f>IF(COUNT(BC1088,BG1088)=2,BC1088*BG1088,"")</f>
        <v>31.715304794771555</v>
      </c>
      <c r="BI1088" s="11" t="n">
        <f>IF(ISNUMBER(CI1088),CI1088,"")</f>
        <v>2.197417546494886</v>
      </c>
      <c r="BJ1088" s="8" t="str">
        <v>近180天本色销量36双（＜90），无有效新采购，请运营判断</v>
      </c>
      <c r="BK1088" s="8" t="str">
        <v>90天：2026-07-20 至 2026-10-17；180天：2026-04-21 至 2026-10-17</v>
      </c>
      <c r="BL1088" s="8" t="str">
        <v>90天：2026-10-06、2026-10-07；180天：2026-10-06、2026-10-07</v>
      </c>
      <c r="BM1088" s="8" t="str">
        <v>2026-10：12天 × 0.7307750238224848；2026-11：30天 × 0.9523018155490097；2026-12：31天 × 0.5958545198749097；2027-01：17天 × 1.3264167397065354</v>
      </c>
      <c r="BN1088" s="11" t="n">
        <v>0.7307750238224848</v>
      </c>
      <c r="BO1088" s="11" t="n">
        <v>0.9523018155490097</v>
      </c>
      <c r="BP1088" s="11" t="n">
        <v>0.5958545198749097</v>
      </c>
      <c r="BQ1088" s="11" t="n">
        <v>1.3264167397065354</v>
      </c>
      <c r="BR1088" s="8" t="n">
        <v>12</v>
      </c>
      <c r="BS1088" s="8" t="n">
        <v>30</v>
      </c>
      <c r="BT1088" s="8" t="n">
        <v>31</v>
      </c>
      <c r="BU1088" s="8" t="n">
        <v>17</v>
      </c>
      <c r="BV1088" s="11" t="n">
        <f>IF(COUNT(BC1088,BF1088)=2,BC1088*BF1088,"")</f>
        <v>0.028042975600886172</v>
      </c>
      <c r="BW1088" s="11" t="n">
        <f>IF(ISNUMBER(BN1088),BN1088,"")</f>
        <v>0.7307750238224848</v>
      </c>
      <c r="BX1088" s="14" t="n">
        <f>IF(ISNUMBER(BR1088),BR1088,"")</f>
        <v>12</v>
      </c>
      <c r="BY1088" s="13" t="n">
        <f>IF(AND(COUNT(BV1088,BW1088,BX1088)=3,MIN(BV1088,BW1088,BX1088)&gt;=0),BV1088*BW1088*BX1088,"")</f>
        <v>0.24591727395349142</v>
      </c>
      <c r="BZ1088" s="11" t="n">
        <f>IF(ISNUMBER(BO1088),BO1088,"")</f>
        <v>0.9523018155490097</v>
      </c>
      <c r="CA1088" s="14" t="n">
        <f>IF(ISNUMBER(BS1088),BS1088,"")</f>
        <v>30</v>
      </c>
      <c r="CB1088" s="13" t="n">
        <f>IF(AND(COUNT(BV1088,BZ1088,CA1088)=3,MIN(BV1088,BZ1088,CA1088)&gt;=0),BV1088*BZ1088*CA1088,"")</f>
        <v>0.8011612973436145</v>
      </c>
      <c r="CC1088" s="11" t="n">
        <f>IF(ISNUMBER(BP1088),BP1088,"")</f>
        <v>0.5958545198749097</v>
      </c>
      <c r="CD1088" s="14" t="n">
        <f>IF(ISNUMBER(BT1088),BT1088,"")</f>
        <v>31</v>
      </c>
      <c r="CE1088" s="13" t="n">
        <f>IF(AND(COUNT(BV1088,CC1088,CD1088)=3,MIN(BV1088,CC1088,CD1088)&gt;=0),BV1088*CC1088*CD1088,"")</f>
        <v>0.517995546638425</v>
      </c>
      <c r="CF1088" s="11" t="n">
        <f>IF(ISNUMBER(BQ1088),BQ1088,"")</f>
        <v>1.3264167397065354</v>
      </c>
      <c r="CG1088" s="14" t="n">
        <f>IF(ISNUMBER(BU1088),BU1088,"")</f>
        <v>17</v>
      </c>
      <c r="CH1088" s="13" t="n">
        <f>IF(AND(COUNT(BV1088,CF1088,CG1088)=3,MIN(BV1088,CF1088,CG1088)&gt;=0),BV1088*CF1088*CG1088,"")</f>
        <v>0.632343428559355</v>
      </c>
      <c r="CI1088" s="13" t="n">
        <f>IF(COUNT(BY1088,CB1088,CE1088,CH1088)=4,SUM(BY1088,CB1088,CE1088,CH1088),"")</f>
        <v>2.197417546494886</v>
      </c>
    </row>
    <row r="1089" ht="72" customHeight="1">
      <c r="A1089" s="16" t="str">
        <v>B07-PK-41.5</v>
      </c>
      <c r="B1089" s="16" t="str">
        <v>4店-彬郁-US</v>
      </c>
      <c r="C1089" s="16" t="str">
        <v>艾年</v>
      </c>
      <c r="D1089" s="26" t="n">
        <f>IF(NOT(ISNUMBER(E1089)),"",IF(OR(E1089&lt;=0,L1089=0),0,IF(OR(NOT(ISNUMBER(F1089)),F1089&lt;0),"",MIN(E1089,INT(F1089)))))</f>
        <v>0</v>
      </c>
      <c r="E1089" s="27" t="n">
        <f>IF(OR(NOT(ISNUMBER(L1089)),COUNT(M1089:O1089)&lt;&gt;3,MIN(M1089:O1089)&lt;0),"",ROUNDUP(ROUND(BI1089-SUM(M1089:O1089),10),0))</f>
        <v>-9</v>
      </c>
      <c r="F1089" s="28" t="n">
        <v>5</v>
      </c>
      <c r="G1089" s="28" t="n">
        <f>IF(AND(ISNUMBER(D1089),ISNUMBER(E1089)),IF(OR(E1089&lt;=0,L1089=0),0,E1089-D1089),"")</f>
        <v>0</v>
      </c>
      <c r="H1089" s="16" t="str">
        <f>IF(NOT(ISNUMBER(E1089)),"销量或海外库存待补",IF(OR(E1089&lt;=0,L1089=0),IF(L1089=0,"零日销，本批不发","本批无需补货"),IF(NOT(ISNUMBER(D1089)),"国内库存待补",IF(D1089=0,"国内无可用库存",IF(G1089&gt;0,"先发国内现货","按建议量发货")))))</f>
        <v>本批无需补货</v>
      </c>
      <c r="I1089" s="28" t="n">
        <f>IF(AND(COUNT(Z1089,AA1089,AB1089)=3,Z1089&gt;=AA1089,AA1089&gt;=0,AB1089=7),Z1089-AA1089,"")</f>
        <v>0</v>
      </c>
      <c r="J1089" s="28" t="n">
        <f>IF(AND(COUNT(AF1089,AG1089,AH1089)=3,AF1089&gt;=AG1089,AG1089&gt;=0,AH1089=14),AF1089-AG1089,"")</f>
        <v>0</v>
      </c>
      <c r="K1089" s="28" t="n">
        <f>IF(AND(COUNT(AL1089,AM1089,AN1089)=3,AL1089&gt;=AM1089,AM1089&gt;=0,AN1089=30),AL1089-AM1089,"")</f>
        <v>1</v>
      </c>
      <c r="L1089" s="29" t="n">
        <f>IF(ISNUMBER(BI1089),BI1089/90,"")</f>
        <v>0.049083209801432166</v>
      </c>
      <c r="M1089" s="28" t="n">
        <v>13</v>
      </c>
      <c r="N1089" s="28" t="n">
        <v>0</v>
      </c>
      <c r="O1089" s="28" t="n">
        <v>0</v>
      </c>
      <c r="P1089" s="30" t="n">
        <f>IF(AND(ISNUMBER(L1089),L1089&gt;0,COUNT(M1089:O1089)=3,MIN(M1089:O1089)&gt;=0),SUM(M1089:O1089)/L1089,"")</f>
        <v>264.85635419101465</v>
      </c>
      <c r="Q1089" s="16" t="str">
        <v>沿用原计划SKU店铺</v>
      </c>
      <c r="R1089" s="16" t="str">
        <v>已匹配</v>
      </c>
      <c r="S1089" s="16" t="str">
        <v>在售</v>
      </c>
      <c r="T1089" s="16" t="str">
        <v>B07</v>
      </c>
      <c r="U1089" s="16" t="str">
        <v>粉色羊京绒</v>
      </c>
      <c r="V1089" s="16" t="n">
        <v>10.5</v>
      </c>
      <c r="W1089" s="8" t="str">
        <v>2026-10-11 至 2026-10-17</v>
      </c>
      <c r="X1089" s="8" t="str">
        <v>2026-10-11、2026-10-12、2026-10-13、2026-10-14、2026-10-15、2026-10-16、2026-10-17</v>
      </c>
      <c r="Y1089" s="8" t="str">
        <v>无</v>
      </c>
      <c r="Z1089" s="8" t="n">
        <v>0</v>
      </c>
      <c r="AA1089" s="8" t="n">
        <v>0</v>
      </c>
      <c r="AB1089" s="8" t="n">
        <v>7</v>
      </c>
      <c r="AC1089" s="8" t="str">
        <v>2026-10-02 至 2026-10-17</v>
      </c>
      <c r="AD1089" s="8" t="str">
        <v>2026-10-02、2026-10-03、2026-10-04、2026-10-05、2026-10-08、2026-10-09、2026-10-10、2026-10-11、2026-10-12、2026-10-13、2026-10-14、2026-10-15、2026-10-16、2026-10-17</v>
      </c>
      <c r="AE1089" s="8" t="str">
        <v>2026-10-06 大促；2026-10-07 大促</v>
      </c>
      <c r="AF1089" s="8" t="n">
        <v>0</v>
      </c>
      <c r="AG1089" s="8" t="n">
        <v>0</v>
      </c>
      <c r="AH1089" s="8" t="n">
        <v>14</v>
      </c>
      <c r="AI1089" s="8" t="str">
        <v>2026-09-16 至 2026-10-17</v>
      </c>
      <c r="AJ10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89" s="8" t="str">
        <v>2026-10-06 大促；2026-10-07 大促</v>
      </c>
      <c r="AL1089" s="8" t="n">
        <v>1</v>
      </c>
      <c r="AM1089" s="8" t="n">
        <v>0</v>
      </c>
      <c r="AN1089" s="8" t="n">
        <v>30</v>
      </c>
      <c r="AO1089" s="8" t="str">
        <v>B07 / 粉色羊京绒 / 13306</v>
      </c>
      <c r="AP1089" s="11" t="n">
        <v>0.7307750238224848</v>
      </c>
      <c r="AQ1089" s="11" t="n">
        <v>0.7307750238224848</v>
      </c>
      <c r="AR1089" s="11" t="n">
        <v>0.7449809054134506</v>
      </c>
      <c r="AS1089" s="11" t="n">
        <f>IF(AND(COUNT(I1089:K1089,AP1089:AR1089)=6,MIN(AP1089:AR1089)&gt;0),I1089/7/AP1089*0.5+J1089/14/AQ1089*0.3+K1089/30/AR1089*0.2,"")</f>
        <v>0.008948775221247839</v>
      </c>
      <c r="AT1089" s="8" t="n">
        <v>3</v>
      </c>
      <c r="AU1089" s="8" t="n">
        <v>0</v>
      </c>
      <c r="AV1089" s="8" t="n">
        <v>88</v>
      </c>
      <c r="AW1089" s="11" t="n">
        <f>IF(AND(COUNT(AT1089:AV1089)=3,AT1089&gt;=AU1089,AU1089&gt;=0,AV1089&gt;0),(AT1089-AU1089)/AV1089,"")</f>
        <v>0.03409090909090909</v>
      </c>
      <c r="AX1089" s="8" t="n">
        <v>4</v>
      </c>
      <c r="AY1089" s="8" t="n">
        <v>0</v>
      </c>
      <c r="AZ1089" s="8" t="n">
        <v>178</v>
      </c>
      <c r="BA1089" s="11" t="n">
        <f>IF(AND(COUNT(AX1089:AZ1089)=3,AX1089&gt;=AY1089,AY1089&gt;=0,AZ1089&gt;0),(AX1089-AY1089)/AZ1089,"")</f>
        <v>0.02247191011235955</v>
      </c>
      <c r="BB1089" s="8" t="n">
        <f>IF(COUNT(AS1089,AW1089,BA1089)=3,1,0)</f>
        <v>1</v>
      </c>
      <c r="BC1089" s="11" t="n">
        <f>IF(SUMIF($AO$11:$AO$1309,AO1089,$BB$11:$BB$1309)=COUNTIF($AO$11:$AO$1309,AO1089),SUMIF($AO$11:$AO$1309,AO1089,$AS$11:$AS$1309),"")</f>
        <v>0.4047439777447489</v>
      </c>
      <c r="BD1089" s="11" t="n">
        <f>IF(SUMIF($AO$11:$AO$1309,AO1089,$BB$11:$BB$1309)=COUNTIF($AO$11:$AO$1309,AO1089),SUMIF($AO$11:$AO$1309,AO1089,$AW$11:$AW$1309),"")</f>
        <v>0.22727272727272724</v>
      </c>
      <c r="BE1089" s="11" t="n">
        <f>IF(SUMIF($AO$11:$AO$1309,AO1089,$BB$11:$BB$1309)=COUNTIF($AO$11:$AO$1309,AO1089),SUMIF($AO$11:$AO$1309,AO1089,$BA$11:$BA$1309),"")</f>
        <v>0.19662921348314605</v>
      </c>
      <c r="BF1089" s="12" t="n">
        <f>IF(COUNT(BD1089:BE1089)&lt;&gt;2,"",IF(AND(BD1089&gt;0,BE1089&gt;0),0.7*AW1089/BD1089+0.3*BA1089/BE1089,IF(BD1089&gt;0,AW1089/BD1089,IF(BE1089&gt;0,BA1089/BE1089,IF(AND(ISNUMBER(BH1089),BH1089=0),0,"")))))</f>
        <v>0.1392857142857143</v>
      </c>
      <c r="BG1089" s="11" t="n">
        <f>IF(AND(COUNT(BN1089:BU1089)=8,MIN(BN1089:BU1089)&gt;=0),SUMPRODUCT(BN1089:BQ1089,BR1089:BU1089),"")</f>
        <v>78.35892944347341</v>
      </c>
      <c r="BH1089" s="11" t="n">
        <f>IF(COUNT(BC1089,BG1089)=2,BC1089*BG1089,"")</f>
        <v>31.715304794771555</v>
      </c>
      <c r="BI1089" s="11" t="n">
        <f>IF(ISNUMBER(CI1089),CI1089,"")</f>
        <v>4.417488882128895</v>
      </c>
      <c r="BJ1089" s="8" t="str">
        <v>近180天本色销量36双（＜90），无有效新采购，请运营判断</v>
      </c>
      <c r="BK1089" s="8" t="str">
        <v>90天：2026-07-20 至 2026-10-17；180天：2026-04-21 至 2026-10-17</v>
      </c>
      <c r="BL1089" s="8" t="str">
        <v>90天：2026-10-06、2026-10-07；180天：2026-10-06、2026-10-07</v>
      </c>
      <c r="BM1089" s="8" t="str">
        <v>2026-10：12天 × 0.7307750238224848；2026-11：30天 × 0.9523018155490097；2026-12：31天 × 0.5958545198749097；2027-01：17天 × 1.3264167397065354</v>
      </c>
      <c r="BN1089" s="11" t="n">
        <v>0.7307750238224848</v>
      </c>
      <c r="BO1089" s="11" t="n">
        <v>0.9523018155490097</v>
      </c>
      <c r="BP1089" s="11" t="n">
        <v>0.5958545198749097</v>
      </c>
      <c r="BQ1089" s="11" t="n">
        <v>1.3264167397065354</v>
      </c>
      <c r="BR1089" s="8" t="n">
        <v>12</v>
      </c>
      <c r="BS1089" s="8" t="n">
        <v>30</v>
      </c>
      <c r="BT1089" s="8" t="n">
        <v>31</v>
      </c>
      <c r="BU1089" s="8" t="n">
        <v>17</v>
      </c>
      <c r="BV1089" s="11" t="n">
        <f>IF(COUNT(BC1089,BF1089)=2,BC1089*BF1089,"")</f>
        <v>0.056375054043018596</v>
      </c>
      <c r="BW1089" s="11" t="n">
        <f>IF(ISNUMBER(BN1089),BN1089,"")</f>
        <v>0.7307750238224848</v>
      </c>
      <c r="BX1089" s="14" t="n">
        <f>IF(ISNUMBER(BR1089),BR1089,"")</f>
        <v>12</v>
      </c>
      <c r="BY1089" s="13" t="n">
        <f>IF(AND(COUNT(BV1089,BW1089,BX1089)=3,MIN(BV1089,BW1089,BX1089)&gt;=0),BV1089*BW1089*BX1089,"")</f>
        <v>0.4943697775353694</v>
      </c>
      <c r="BZ1089" s="11" t="n">
        <f>IF(ISNUMBER(BO1089),BO1089,"")</f>
        <v>0.9523018155490097</v>
      </c>
      <c r="CA1089" s="14" t="n">
        <f>IF(ISNUMBER(BS1089),BS1089,"")</f>
        <v>30</v>
      </c>
      <c r="CB1089" s="13" t="n">
        <f>IF(AND(COUNT(BV1089,BZ1089,CA1089)=3,MIN(BV1089,BZ1089,CA1089)&gt;=0),BV1089*BZ1089*CA1089,"")</f>
        <v>1.6105819895052045</v>
      </c>
      <c r="CC1089" s="11" t="n">
        <f>IF(ISNUMBER(BP1089),BP1089,"")</f>
        <v>0.5958545198749097</v>
      </c>
      <c r="CD1089" s="14" t="n">
        <f>IF(ISNUMBER(BT1089),BT1089,"")</f>
        <v>31</v>
      </c>
      <c r="CE1089" s="13" t="n">
        <f>IF(AND(COUNT(BV1089,CC1089,CD1089)=3,MIN(BV1089,CC1089,CD1089)&gt;=0),BV1089*CC1089*CD1089,"")</f>
        <v>1.041331253551473</v>
      </c>
      <c r="CF1089" s="11" t="n">
        <f>IF(ISNUMBER(BQ1089),BQ1089,"")</f>
        <v>1.3264167397065354</v>
      </c>
      <c r="CG1089" s="14" t="n">
        <f>IF(ISNUMBER(BU1089),BU1089,"")</f>
        <v>17</v>
      </c>
      <c r="CH1089" s="13" t="n">
        <f>IF(AND(COUNT(BV1089,CF1089,CG1089)=3,MIN(BV1089,CF1089,CG1089)&gt;=0),BV1089*CF1089*CG1089,"")</f>
        <v>1.271205861536848</v>
      </c>
      <c r="CI1089" s="13" t="n">
        <f>IF(COUNT(BY1089,CB1089,CE1089,CH1089)=4,SUM(BY1089,CB1089,CE1089,CH1089),"")</f>
        <v>4.417488882128895</v>
      </c>
    </row>
    <row r="1090" ht="72" customHeight="1">
      <c r="A1090" s="16" t="str">
        <v>B07-RD-37-by</v>
      </c>
      <c r="B1090" s="16" t="str">
        <v>4店-彬郁-US</v>
      </c>
      <c r="C1090" s="16" t="str">
        <v>艾年</v>
      </c>
      <c r="D1090" s="26" t="n">
        <f>IF(NOT(ISNUMBER(E1090)),"",IF(OR(E1090&lt;=0,L1090=0),0,IF(OR(NOT(ISNUMBER(F1090)),F1090&lt;0),"",MIN(E1090,INT(F1090)))))</f>
        <v>0</v>
      </c>
      <c r="E1090" s="27" t="n">
        <f>IF(OR(NOT(ISNUMBER(L1090)),COUNT(M1090:O1090)&lt;&gt;3,MIN(M1090:O1090)&lt;0),"",ROUNDUP(ROUND(BI1090-SUM(M1090:O1090),10),0))</f>
        <v>-51</v>
      </c>
      <c r="F1090" s="28" t="n">
        <v>0</v>
      </c>
      <c r="G1090" s="28" t="n">
        <f>IF(AND(ISNUMBER(D1090),ISNUMBER(E1090)),IF(OR(E1090&lt;=0,L1090=0),0,E1090-D1090),"")</f>
        <v>0</v>
      </c>
      <c r="H1090" s="16" t="str">
        <f>IF(NOT(ISNUMBER(E1090)),"销量或海外库存待补",IF(OR(E1090&lt;=0,L1090=0),IF(L1090=0,"零日销，本批不发","本批无需补货"),IF(NOT(ISNUMBER(D1090)),"国内库存待补",IF(D1090=0,"国内无可用库存",IF(G1090&gt;0,"先发国内现货","按建议量发货")))))</f>
        <v>本批无需补货</v>
      </c>
      <c r="I1090" s="28" t="n">
        <f>IF(AND(COUNT(Z1090,AA1090,AB1090)=3,Z1090&gt;=AA1090,AA1090&gt;=0,AB1090=7),Z1090-AA1090,"")</f>
        <v>0</v>
      </c>
      <c r="J1090" s="28" t="n">
        <f>IF(AND(COUNT(AF1090,AG1090,AH1090)=3,AF1090&gt;=AG1090,AG1090&gt;=0,AH1090=14),AF1090-AG1090,"")</f>
        <v>0</v>
      </c>
      <c r="K1090" s="28" t="n">
        <f>IF(AND(COUNT(AL1090,AM1090,AN1090)=3,AL1090&gt;=AM1090,AM1090&gt;=0,AN1090=30),AL1090-AM1090,"")</f>
        <v>1</v>
      </c>
      <c r="L1090" s="29" t="n">
        <f>IF(ISNUMBER(BI1090),BI1090/90,"")</f>
        <v>0.01618665152010037</v>
      </c>
      <c r="M1090" s="28" t="n">
        <v>52</v>
      </c>
      <c r="N1090" s="28" t="n">
        <v>0</v>
      </c>
      <c r="O1090" s="28" t="n">
        <v>0</v>
      </c>
      <c r="P1090" s="30" t="n">
        <f>IF(AND(ISNUMBER(L1090),L1090&gt;0,COUNT(M1090:O1090)=3,MIN(M1090:O1090)&gt;=0),SUM(M1090:O1090)/L1090,"")</f>
        <v>3212.52359917844</v>
      </c>
      <c r="Q1090" s="16" t="str">
        <v>沿用原计划SKU店铺</v>
      </c>
      <c r="R1090" s="16" t="str">
        <v>已匹配</v>
      </c>
      <c r="S1090" s="16" t="str">
        <v>在售</v>
      </c>
      <c r="T1090" s="16" t="str">
        <v>B07</v>
      </c>
      <c r="U1090" s="16" t="str">
        <v>红色羊京绒</v>
      </c>
      <c r="V1090" s="16" t="n">
        <v>6</v>
      </c>
      <c r="W1090" s="8" t="str">
        <v>2026-10-11 至 2026-10-17</v>
      </c>
      <c r="X1090" s="8" t="str">
        <v>2026-10-11、2026-10-12、2026-10-13、2026-10-14、2026-10-15、2026-10-16、2026-10-17</v>
      </c>
      <c r="Y1090" s="8" t="str">
        <v>无</v>
      </c>
      <c r="Z1090" s="8" t="n">
        <v>0</v>
      </c>
      <c r="AA1090" s="8" t="n">
        <v>0</v>
      </c>
      <c r="AB1090" s="8" t="n">
        <v>7</v>
      </c>
      <c r="AC1090" s="8" t="str">
        <v>2026-10-02 至 2026-10-17</v>
      </c>
      <c r="AD1090" s="8" t="str">
        <v>2026-10-02、2026-10-03、2026-10-04、2026-10-05、2026-10-08、2026-10-09、2026-10-10、2026-10-11、2026-10-12、2026-10-13、2026-10-14、2026-10-15、2026-10-16、2026-10-17</v>
      </c>
      <c r="AE1090" s="8" t="str">
        <v>2026-10-06 大促；2026-10-07 大促</v>
      </c>
      <c r="AF1090" s="8" t="n">
        <v>0</v>
      </c>
      <c r="AG1090" s="8" t="n">
        <v>0</v>
      </c>
      <c r="AH1090" s="8" t="n">
        <v>14</v>
      </c>
      <c r="AI1090" s="8" t="str">
        <v>2026-09-16 至 2026-10-17</v>
      </c>
      <c r="AJ10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0" s="8" t="str">
        <v>2026-10-06 大促；2026-10-07 大促</v>
      </c>
      <c r="AL1090" s="8" t="n">
        <v>1</v>
      </c>
      <c r="AM1090" s="8" t="n">
        <v>0</v>
      </c>
      <c r="AN1090" s="8" t="n">
        <v>30</v>
      </c>
      <c r="AO1090" s="8" t="str">
        <v>B07 / 红色羊京绒 / 13306</v>
      </c>
      <c r="AP1090" s="11" t="n">
        <v>0.7307750238224848</v>
      </c>
      <c r="AQ1090" s="11" t="n">
        <v>0.7307750238224848</v>
      </c>
      <c r="AR1090" s="11" t="n">
        <v>0.7449809054134506</v>
      </c>
      <c r="AS1090" s="11" t="n">
        <f>IF(AND(COUNT(I1090:K1090,AP1090:AR1090)=6,MIN(AP1090:AR1090)&gt;0),I1090/7/AP1090*0.5+J1090/14/AQ1090*0.3+K1090/30/AR1090*0.2,"")</f>
        <v>0.008948775221247839</v>
      </c>
      <c r="AT1090" s="8" t="n">
        <v>1</v>
      </c>
      <c r="AU1090" s="8" t="n">
        <v>0</v>
      </c>
      <c r="AV1090" s="8" t="n">
        <v>88</v>
      </c>
      <c r="AW1090" s="11" t="n">
        <f>IF(AND(COUNT(AT1090:AV1090)=3,AT1090&gt;=AU1090,AU1090&gt;=0,AV1090&gt;0),(AT1090-AU1090)/AV1090,"")</f>
        <v>0.011363636363636364</v>
      </c>
      <c r="AX1090" s="8" t="n">
        <v>2</v>
      </c>
      <c r="AY1090" s="8" t="n">
        <v>0</v>
      </c>
      <c r="AZ1090" s="8" t="n">
        <v>178</v>
      </c>
      <c r="BA1090" s="11" t="n">
        <f>IF(AND(COUNT(AX1090:AZ1090)=3,AX1090&gt;=AY1090,AY1090&gt;=0,AZ1090&gt;0),(AX1090-AY1090)/AZ1090,"")</f>
        <v>0.011235955056179775</v>
      </c>
      <c r="BB1090" s="8" t="n">
        <f>IF(COUNT(AS1090,AW1090,BA1090)=3,1,0)</f>
        <v>1</v>
      </c>
      <c r="BC1090" s="11" t="n">
        <f>IF(SUMIF($AO$11:$AO$1309,AO1090,$BB$11:$BB$1309)=COUNTIF($AO$11:$AO$1309,AO1090),SUMIF($AO$11:$AO$1309,AO1090,$AS$11:$AS$1309),"")</f>
        <v>0.5380867011380766</v>
      </c>
      <c r="BD1090" s="11" t="n">
        <f>IF(SUMIF($AO$11:$AO$1309,AO1090,$BB$11:$BB$1309)=COUNTIF($AO$11:$AO$1309,AO1090),SUMIF($AO$11:$AO$1309,AO1090,$AW$11:$AW$1309),"")</f>
        <v>0.35267379679144384</v>
      </c>
      <c r="BE1090" s="11" t="n">
        <f>IF(SUMIF($AO$11:$AO$1309,AO1090,$BB$11:$BB$1309)=COUNTIF($AO$11:$AO$1309,AO1090),SUMIF($AO$11:$AO$1309,AO1090,$BA$11:$BA$1309),"")</f>
        <v>0.28099518459069023</v>
      </c>
      <c r="BF1090" s="12" t="n">
        <f>IF(COUNT(BD1090:BE1090)&lt;&gt;2,"",IF(AND(BD1090&gt;0,BE1090&gt;0),0.7*AW1090/BD1090+0.3*BA1090/BE1090,IF(BD1090&gt;0,AW1090/BD1090,IF(BE1090&gt;0,BA1090/BE1090,IF(AND(ISNUMBER(BH1090),BH1090=0),0,"")))))</f>
        <v>0.034550853007659366</v>
      </c>
      <c r="BG1090" s="11" t="n">
        <f>IF(AND(COUNT(BN1090:BU1090)=8,MIN(BN1090:BU1090)&gt;=0),SUMPRODUCT(BN1090:BQ1090,BR1090:BU1090),"")</f>
        <v>78.35892944347341</v>
      </c>
      <c r="BH1090" s="11" t="n">
        <f>IF(COUNT(BC1090,BG1090)=2,BC1090*BG1090,"")</f>
        <v>42.16389784894991</v>
      </c>
      <c r="BI1090" s="11" t="n">
        <f>IF(ISNUMBER(CI1090),CI1090,"")</f>
        <v>1.456798636809033</v>
      </c>
      <c r="BJ1090" s="8" t="str">
        <v>低销提醒依据不完整</v>
      </c>
      <c r="BK1090" s="8" t="str">
        <v>90天：2026-07-20 至 2026-10-17；180天：2026-04-21 至 2026-10-17</v>
      </c>
      <c r="BL1090" s="8" t="str">
        <v>90天：2026-10-06、2026-10-07；180天：2026-10-06、2026-10-07</v>
      </c>
      <c r="BM1090" s="8" t="str">
        <v>2026-10：12天 × 0.7307750238224848；2026-11：30天 × 0.9523018155490097；2026-12：31天 × 0.5958545198749097；2027-01：17天 × 1.3264167397065354</v>
      </c>
      <c r="BN1090" s="11" t="n">
        <v>0.7307750238224848</v>
      </c>
      <c r="BO1090" s="11" t="n">
        <v>0.9523018155490097</v>
      </c>
      <c r="BP1090" s="11" t="n">
        <v>0.5958545198749097</v>
      </c>
      <c r="BQ1090" s="11" t="n">
        <v>1.3264167397065354</v>
      </c>
      <c r="BR1090" s="8" t="n">
        <v>12</v>
      </c>
      <c r="BS1090" s="8" t="n">
        <v>30</v>
      </c>
      <c r="BT1090" s="8" t="n">
        <v>31</v>
      </c>
      <c r="BU1090" s="8" t="n">
        <v>17</v>
      </c>
      <c r="BV1090" s="11" t="n">
        <f>IF(COUNT(BC1090,BF1090)=2,BC1090*BF1090,"")</f>
        <v>0.01859135451639802</v>
      </c>
      <c r="BW1090" s="11" t="n">
        <f>IF(ISNUMBER(BN1090),BN1090,"")</f>
        <v>0.7307750238224848</v>
      </c>
      <c r="BX1090" s="14" t="n">
        <f>IF(ISNUMBER(BR1090),BR1090,"")</f>
        <v>12</v>
      </c>
      <c r="BY1090" s="13" t="n">
        <f>IF(AND(COUNT(BV1090,BW1090,BX1090)=3,MIN(BV1090,BW1090,BX1090)&gt;=0),BV1090*BW1090*BX1090,"")</f>
        <v>0.16303317047535626</v>
      </c>
      <c r="BZ1090" s="11" t="n">
        <f>IF(ISNUMBER(BO1090),BO1090,"")</f>
        <v>0.9523018155490097</v>
      </c>
      <c r="CA1090" s="14" t="n">
        <f>IF(ISNUMBER(BS1090),BS1090,"")</f>
        <v>30</v>
      </c>
      <c r="CB1090" s="13" t="n">
        <f>IF(AND(COUNT(BV1090,BZ1090,CA1090)=3,MIN(BV1090,BZ1090,CA1090)&gt;=0),BV1090*BZ1090*CA1090,"")</f>
        <v>0.5311374197844335</v>
      </c>
      <c r="CC1090" s="11" t="n">
        <f>IF(ISNUMBER(BP1090),BP1090,"")</f>
        <v>0.5958545198749097</v>
      </c>
      <c r="CD1090" s="14" t="n">
        <f>IF(ISNUMBER(BT1090),BT1090,"")</f>
        <v>31</v>
      </c>
      <c r="CE1090" s="13" t="n">
        <f>IF(AND(COUNT(BV1090,CC1090,CD1090)=3,MIN(BV1090,CC1090,CD1090)&gt;=0),BV1090*CC1090*CD1090,"")</f>
        <v>0.34341002119496983</v>
      </c>
      <c r="CF1090" s="11" t="n">
        <f>IF(ISNUMBER(BQ1090),BQ1090,"")</f>
        <v>1.3264167397065354</v>
      </c>
      <c r="CG1090" s="14" t="n">
        <f>IF(ISNUMBER(BU1090),BU1090,"")</f>
        <v>17</v>
      </c>
      <c r="CH1090" s="13" t="n">
        <f>IF(AND(COUNT(BV1090,CF1090,CG1090)=3,MIN(BV1090,CF1090,CG1090)&gt;=0),BV1090*CF1090*CG1090,"")</f>
        <v>0.41921802535427355</v>
      </c>
      <c r="CI1090" s="13" t="n">
        <f>IF(COUNT(BY1090,CB1090,CE1090,CH1090)=4,SUM(BY1090,CB1090,CE1090,CH1090),"")</f>
        <v>1.456798636809033</v>
      </c>
    </row>
    <row r="1091" ht="72" customHeight="1">
      <c r="A1091" s="16" t="str">
        <v>B07-RD-38-by</v>
      </c>
      <c r="B1091" s="16" t="str">
        <v>4店-彬郁-US</v>
      </c>
      <c r="C1091" s="16" t="str">
        <v>艾年</v>
      </c>
      <c r="D1091" s="26" t="n">
        <f>IF(NOT(ISNUMBER(E1091)),"",IF(OR(E1091&lt;=0,L1091=0),0,IF(OR(NOT(ISNUMBER(F1091)),F1091&lt;0),"",MIN(E1091,INT(F1091)))))</f>
        <v>0</v>
      </c>
      <c r="E1091" s="27" t="n">
        <f>IF(OR(NOT(ISNUMBER(L1091)),COUNT(M1091:O1091)&lt;&gt;3,MIN(M1091:O1091)&lt;0),"",ROUNDUP(ROUND(BI1091-SUM(M1091:O1091),10),0))</f>
        <v>-87</v>
      </c>
      <c r="F1091" s="28" t="n">
        <v>18</v>
      </c>
      <c r="G1091" s="28" t="n">
        <f>IF(AND(ISNUMBER(D1091),ISNUMBER(E1091)),IF(OR(E1091&lt;=0,L1091=0),0,E1091-D1091),"")</f>
        <v>0</v>
      </c>
      <c r="H1091" s="16" t="str">
        <f>IF(NOT(ISNUMBER(E1091)),"销量或海外库存待补",IF(OR(E1091&lt;=0,L1091=0),IF(L1091=0,"零日销，本批不发","本批无需补货"),IF(NOT(ISNUMBER(D1091)),"国内库存待补",IF(D1091=0,"国内无可用库存",IF(G1091&gt;0,"先发国内现货","按建议量发货")))))</f>
        <v>本批无需补货</v>
      </c>
      <c r="I1091" s="28" t="n">
        <f>IF(AND(COUNT(Z1091,AA1091,AB1091)=3,Z1091&gt;=AA1091,AA1091&gt;=0,AB1091=7),Z1091-AA1091,"")</f>
        <v>0</v>
      </c>
      <c r="J1091" s="28" t="n">
        <f>IF(AND(COUNT(AF1091,AG1091,AH1091)=3,AF1091&gt;=AG1091,AG1091&gt;=0,AH1091=14),AF1091-AG1091,"")</f>
        <v>1</v>
      </c>
      <c r="K1091" s="28" t="n">
        <f>IF(AND(COUNT(AL1091,AM1091,AN1091)=3,AL1091&gt;=AM1091,AM1091&gt;=0,AN1091=30),AL1091-AM1091,"")</f>
        <v>2</v>
      </c>
      <c r="L1091" s="29" t="n">
        <f>IF(ISNUMBER(BI1091),BI1091/90,"")</f>
        <v>0.056316716758379036</v>
      </c>
      <c r="M1091" s="28" t="n">
        <v>92</v>
      </c>
      <c r="N1091" s="28" t="n">
        <v>0</v>
      </c>
      <c r="O1091" s="28" t="n">
        <v>0</v>
      </c>
      <c r="P1091" s="30" t="n">
        <f>IF(AND(ISNUMBER(L1091),L1091&gt;0,COUNT(M1091:O1091)=3,MIN(M1091:O1091)&gt;=0),SUM(M1091:O1091)/L1091,"")</f>
        <v>1633.617960981574</v>
      </c>
      <c r="Q1091" s="16" t="str">
        <v>沿用原计划SKU店铺</v>
      </c>
      <c r="R1091" s="16" t="str">
        <v>已匹配</v>
      </c>
      <c r="S1091" s="16" t="str">
        <v>在售</v>
      </c>
      <c r="T1091" s="16" t="str">
        <v>B07</v>
      </c>
      <c r="U1091" s="16" t="str">
        <v>红色羊京绒</v>
      </c>
      <c r="V1091" s="16" t="n">
        <v>7</v>
      </c>
      <c r="W1091" s="8" t="str">
        <v>2026-10-11 至 2026-10-17</v>
      </c>
      <c r="X1091" s="8" t="str">
        <v>2026-10-11、2026-10-12、2026-10-13、2026-10-14、2026-10-15、2026-10-16、2026-10-17</v>
      </c>
      <c r="Y1091" s="8" t="str">
        <v>无</v>
      </c>
      <c r="Z1091" s="8" t="n">
        <v>0</v>
      </c>
      <c r="AA1091" s="8" t="n">
        <v>0</v>
      </c>
      <c r="AB1091" s="8" t="n">
        <v>7</v>
      </c>
      <c r="AC1091" s="8" t="str">
        <v>2026-10-02 至 2026-10-17</v>
      </c>
      <c r="AD1091" s="8" t="str">
        <v>2026-10-02、2026-10-03、2026-10-04、2026-10-05、2026-10-08、2026-10-09、2026-10-10、2026-10-11、2026-10-12、2026-10-13、2026-10-14、2026-10-15、2026-10-16、2026-10-17</v>
      </c>
      <c r="AE1091" s="8" t="str">
        <v>2026-10-06 大促；2026-10-07 大促</v>
      </c>
      <c r="AF1091" s="8" t="n">
        <v>1</v>
      </c>
      <c r="AG1091" s="8" t="n">
        <v>0</v>
      </c>
      <c r="AH1091" s="8" t="n">
        <v>14</v>
      </c>
      <c r="AI1091" s="8" t="str">
        <v>2026-09-16 至 2026-10-17</v>
      </c>
      <c r="AJ10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1" s="8" t="str">
        <v>2026-10-06 大促；2026-10-07 大促</v>
      </c>
      <c r="AL1091" s="8" t="n">
        <v>2</v>
      </c>
      <c r="AM1091" s="8" t="n">
        <v>0</v>
      </c>
      <c r="AN1091" s="8" t="n">
        <v>30</v>
      </c>
      <c r="AO1091" s="8" t="str">
        <v>B07 / 红色羊京绒 / 13306</v>
      </c>
      <c r="AP1091" s="11" t="n">
        <v>0.7307750238224848</v>
      </c>
      <c r="AQ1091" s="11" t="n">
        <v>0.7307750238224848</v>
      </c>
      <c r="AR1091" s="11" t="n">
        <v>0.7449809054134506</v>
      </c>
      <c r="AS1091" s="11" t="n">
        <f>IF(AND(COUNT(I1091:K1091,AP1091:AR1091)=6,MIN(AP1091:AR1091)&gt;0),I1091/7/AP1091*0.5+J1091/14/AQ1091*0.3+K1091/30/AR1091*0.2,"")</f>
        <v>0.04722062625929688</v>
      </c>
      <c r="AT1091" s="8" t="n">
        <v>4</v>
      </c>
      <c r="AU1091" s="8" t="n">
        <v>0</v>
      </c>
      <c r="AV1091" s="8" t="n">
        <v>88</v>
      </c>
      <c r="AW1091" s="11" t="n">
        <f>IF(AND(COUNT(AT1091:AV1091)=3,AT1091&gt;=AU1091,AU1091&gt;=0,AV1091&gt;0),(AT1091-AU1091)/AV1091,"")</f>
        <v>0.045454545454545456</v>
      </c>
      <c r="AX1091" s="8" t="n">
        <v>5</v>
      </c>
      <c r="AY1091" s="8" t="n">
        <v>0</v>
      </c>
      <c r="AZ1091" s="8" t="n">
        <v>178</v>
      </c>
      <c r="BA1091" s="11" t="n">
        <f>IF(AND(COUNT(AX1091:AZ1091)=3,AX1091&gt;=AY1091,AY1091&gt;=0,AZ1091&gt;0),(AX1091-AY1091)/AZ1091,"")</f>
        <v>0.028089887640449437</v>
      </c>
      <c r="BB1091" s="8" t="n">
        <f>IF(COUNT(AS1091,AW1091,BA1091)=3,1,0)</f>
        <v>1</v>
      </c>
      <c r="BC1091" s="11" t="n">
        <f>IF(SUMIF($AO$11:$AO$1309,AO1091,$BB$11:$BB$1309)=COUNTIF($AO$11:$AO$1309,AO1091),SUMIF($AO$11:$AO$1309,AO1091,$AS$11:$AS$1309),"")</f>
        <v>0.5380867011380766</v>
      </c>
      <c r="BD1091" s="11" t="n">
        <f>IF(SUMIF($AO$11:$AO$1309,AO1091,$BB$11:$BB$1309)=COUNTIF($AO$11:$AO$1309,AO1091),SUMIF($AO$11:$AO$1309,AO1091,$AW$11:$AW$1309),"")</f>
        <v>0.35267379679144384</v>
      </c>
      <c r="BE1091" s="11" t="n">
        <f>IF(SUMIF($AO$11:$AO$1309,AO1091,$BB$11:$BB$1309)=COUNTIF($AO$11:$AO$1309,AO1091),SUMIF($AO$11:$AO$1309,AO1091,$BA$11:$BA$1309),"")</f>
        <v>0.28099518459069023</v>
      </c>
      <c r="BF1091" s="12" t="n">
        <f>IF(COUNT(BD1091:BE1091)&lt;&gt;2,"",IF(AND(BD1091&gt;0,BE1091&gt;0),0.7*AW1091/BD1091+0.3*BA1091/BE1091,IF(BD1091&gt;0,AW1091/BD1091,IF(BE1091&gt;0,BA1091/BE1091,IF(AND(ISNUMBER(BH1091),BH1091=0),0,"")))))</f>
        <v>0.12020958134401573</v>
      </c>
      <c r="BG1091" s="11" t="n">
        <f>IF(AND(COUNT(BN1091:BU1091)=8,MIN(BN1091:BU1091)&gt;=0),SUMPRODUCT(BN1091:BQ1091,BR1091:BU1091),"")</f>
        <v>78.35892944347341</v>
      </c>
      <c r="BH1091" s="11" t="n">
        <f>IF(COUNT(BC1091,BG1091)=2,BC1091*BG1091,"")</f>
        <v>42.16389784894991</v>
      </c>
      <c r="BI1091" s="11" t="n">
        <f>IF(ISNUMBER(CI1091),CI1091,"")</f>
        <v>5.068504508254113</v>
      </c>
      <c r="BJ1091" s="8" t="str">
        <v>低销提醒依据不完整</v>
      </c>
      <c r="BK1091" s="8" t="str">
        <v>90天：2026-07-20 至 2026-10-17；180天：2026-04-21 至 2026-10-17</v>
      </c>
      <c r="BL1091" s="8" t="str">
        <v>90天：2026-10-06、2026-10-07；180天：2026-10-06、2026-10-07</v>
      </c>
      <c r="BM1091" s="8" t="str">
        <v>2026-10：12天 × 0.7307750238224848；2026-11：30天 × 0.9523018155490097；2026-12：31天 × 0.5958545198749097；2027-01：17天 × 1.3264167397065354</v>
      </c>
      <c r="BN1091" s="11" t="n">
        <v>0.7307750238224848</v>
      </c>
      <c r="BO1091" s="11" t="n">
        <v>0.9523018155490097</v>
      </c>
      <c r="BP1091" s="11" t="n">
        <v>0.5958545198749097</v>
      </c>
      <c r="BQ1091" s="11" t="n">
        <v>1.3264167397065354</v>
      </c>
      <c r="BR1091" s="8" t="n">
        <v>12</v>
      </c>
      <c r="BS1091" s="8" t="n">
        <v>30</v>
      </c>
      <c r="BT1091" s="8" t="n">
        <v>31</v>
      </c>
      <c r="BU1091" s="8" t="n">
        <v>17</v>
      </c>
      <c r="BV1091" s="11" t="n">
        <f>IF(COUNT(BC1091,BF1091)=2,BC1091*BF1091,"")</f>
        <v>0.0646831770705907</v>
      </c>
      <c r="BW1091" s="11" t="n">
        <f>IF(ISNUMBER(BN1091),BN1091,"")</f>
        <v>0.7307750238224848</v>
      </c>
      <c r="BX1091" s="14" t="n">
        <f>IF(ISNUMBER(BR1091),BR1091,"")</f>
        <v>12</v>
      </c>
      <c r="BY1091" s="13" t="n">
        <f>IF(AND(COUNT(BV1091,BW1091,BX1091)=3,MIN(BV1091,BW1091,BX1091)&gt;=0),BV1091*BW1091*BX1091,"")</f>
        <v>0.5672262031760991</v>
      </c>
      <c r="BZ1091" s="11" t="n">
        <f>IF(ISNUMBER(BO1091),BO1091,"")</f>
        <v>0.9523018155490097</v>
      </c>
      <c r="CA1091" s="14" t="n">
        <f>IF(ISNUMBER(BS1091),BS1091,"")</f>
        <v>30</v>
      </c>
      <c r="CB1091" s="13" t="n">
        <f>IF(AND(COUNT(BV1091,BZ1091,CA1091)=3,MIN(BV1091,BZ1091,CA1091)&gt;=0),BV1091*BZ1091*CA1091,"")</f>
        <v>1.8479372087940478</v>
      </c>
      <c r="CC1091" s="11" t="n">
        <f>IF(ISNUMBER(BP1091),BP1091,"")</f>
        <v>0.5958545198749097</v>
      </c>
      <c r="CD1091" s="14" t="n">
        <f>IF(ISNUMBER(BT1091),BT1091,"")</f>
        <v>31</v>
      </c>
      <c r="CE1091" s="13" t="n">
        <f>IF(AND(COUNT(BV1091,CC1091,CD1091)=3,MIN(BV1091,CC1091,CD1091)&gt;=0),BV1091*CC1091*CD1091,"")</f>
        <v>1.194794665938798</v>
      </c>
      <c r="CF1091" s="11" t="n">
        <f>IF(ISNUMBER(BQ1091),BQ1091,"")</f>
        <v>1.3264167397065354</v>
      </c>
      <c r="CG1091" s="14" t="n">
        <f>IF(ISNUMBER(BU1091),BU1091,"")</f>
        <v>17</v>
      </c>
      <c r="CH1091" s="13" t="n">
        <f>IF(AND(COUNT(BV1091,CF1091,CG1091)=3,MIN(BV1091,CF1091,CG1091)&gt;=0),BV1091*CF1091*CG1091,"")</f>
        <v>1.4585464303451685</v>
      </c>
      <c r="CI1091" s="13" t="n">
        <f>IF(COUNT(BY1091,CB1091,CE1091,CH1091)=4,SUM(BY1091,CB1091,CE1091,CH1091),"")</f>
        <v>5.068504508254113</v>
      </c>
    </row>
    <row r="1092" ht="72" customHeight="1">
      <c r="A1092" s="16" t="str">
        <v>B07-RD-38.5</v>
      </c>
      <c r="B1092" s="16" t="str">
        <v>4店-彬郁-US</v>
      </c>
      <c r="C1092" s="16" t="str">
        <v>艾年</v>
      </c>
      <c r="D1092" s="26" t="n">
        <f>IF(NOT(ISNUMBER(E1092)),"",IF(OR(E1092&lt;=0,L1092=0),0,IF(OR(NOT(ISNUMBER(F1092)),F1092&lt;0),"",MIN(E1092,INT(F1092)))))</f>
        <v>0</v>
      </c>
      <c r="E1092" s="27" t="n">
        <f>IF(OR(NOT(ISNUMBER(L1092)),COUNT(M1092:O1092)&lt;&gt;3,MIN(M1092:O1092)&lt;0),"",ROUNDUP(ROUND(BI1092-SUM(M1092:O1092),10),0))</f>
        <v>-19</v>
      </c>
      <c r="F1092" s="28" t="n">
        <v>0</v>
      </c>
      <c r="G1092" s="28" t="n">
        <f>IF(AND(ISNUMBER(D1092),ISNUMBER(E1092)),IF(OR(E1092&lt;=0,L1092=0),0,E1092-D1092),"")</f>
        <v>0</v>
      </c>
      <c r="H1092" s="16" t="str">
        <f>IF(NOT(ISNUMBER(E1092)),"销量或海外库存待补",IF(OR(E1092&lt;=0,L1092=0),IF(L1092=0,"零日销，本批不发","本批无需补货"),IF(NOT(ISNUMBER(D1092)),"国内库存待补",IF(D1092=0,"国内无可用库存",IF(G1092&gt;0,"先发国内现货","按建议量发货")))))</f>
        <v>本批无需补货</v>
      </c>
      <c r="I1092" s="28" t="n">
        <f>IF(AND(COUNT(Z1092,AA1092,AB1092)=3,Z1092&gt;=AA1092,AA1092&gt;=0,AB1092=7),Z1092-AA1092,"")</f>
        <v>0</v>
      </c>
      <c r="J1092" s="28" t="n">
        <f>IF(AND(COUNT(AF1092,AG1092,AH1092)=3,AF1092&gt;=AG1092,AG1092&gt;=0,AH1092=14),AF1092-AG1092,"")</f>
        <v>0</v>
      </c>
      <c r="K1092" s="28" t="n">
        <f>IF(AND(COUNT(AL1092,AM1092,AN1092)=3,AL1092&gt;=AM1092,AM1092&gt;=0,AN1092=30),AL1092-AM1092,"")</f>
        <v>1</v>
      </c>
      <c r="L1092" s="29" t="n">
        <f>IF(ISNUMBER(BI1092),BI1092/90,"")</f>
        <v>0.06193664297306067</v>
      </c>
      <c r="M1092" s="28" t="n">
        <v>7</v>
      </c>
      <c r="N1092" s="28" t="n">
        <v>17</v>
      </c>
      <c r="O1092" s="28" t="n">
        <v>0</v>
      </c>
      <c r="P1092" s="30" t="n">
        <f>IF(AND(ISNUMBER(L1092),L1092&gt;0,COUNT(M1092:O1092)=3,MIN(M1092:O1092)&gt;=0),SUM(M1092:O1092)/L1092,"")</f>
        <v>387.49274820139664</v>
      </c>
      <c r="Q1092" s="16" t="str">
        <v>沿用原计划SKU店铺</v>
      </c>
      <c r="R1092" s="16" t="str">
        <v>已匹配</v>
      </c>
      <c r="S1092" s="16" t="str">
        <v>在售</v>
      </c>
      <c r="T1092" s="16" t="str">
        <v>B07</v>
      </c>
      <c r="U1092" s="16" t="str">
        <v>红色羊京绒</v>
      </c>
      <c r="V1092" s="16" t="n">
        <v>7.5</v>
      </c>
      <c r="W1092" s="8" t="str">
        <v>2026-10-11 至 2026-10-17</v>
      </c>
      <c r="X1092" s="8" t="str">
        <v>2026-10-11、2026-10-12、2026-10-13、2026-10-14、2026-10-15、2026-10-16、2026-10-17</v>
      </c>
      <c r="Y1092" s="8" t="str">
        <v>无</v>
      </c>
      <c r="Z1092" s="8" t="n">
        <v>0</v>
      </c>
      <c r="AA1092" s="8" t="n">
        <v>0</v>
      </c>
      <c r="AB1092" s="8" t="n">
        <v>7</v>
      </c>
      <c r="AC1092" s="8" t="str">
        <v>2026-10-02 至 2026-10-17</v>
      </c>
      <c r="AD1092" s="8" t="str">
        <v>2026-10-02、2026-10-03、2026-10-04、2026-10-05、2026-10-08、2026-10-09、2026-10-10、2026-10-11、2026-10-12、2026-10-13、2026-10-14、2026-10-15、2026-10-16、2026-10-17</v>
      </c>
      <c r="AE1092" s="8" t="str">
        <v>2026-10-06 大促；2026-10-07 大促</v>
      </c>
      <c r="AF1092" s="8" t="n">
        <v>1</v>
      </c>
      <c r="AG1092" s="8" t="n">
        <v>1</v>
      </c>
      <c r="AH1092" s="8" t="n">
        <v>14</v>
      </c>
      <c r="AI1092" s="8" t="str">
        <v>2026-09-16 至 2026-10-17</v>
      </c>
      <c r="AJ10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2" s="8" t="str">
        <v>2026-10-06 大促；2026-10-07 大促</v>
      </c>
      <c r="AL1092" s="8" t="n">
        <v>2</v>
      </c>
      <c r="AM1092" s="8" t="n">
        <v>1</v>
      </c>
      <c r="AN1092" s="8" t="n">
        <v>30</v>
      </c>
      <c r="AO1092" s="8" t="str">
        <v>B07 / 红色羊京绒 / 13306</v>
      </c>
      <c r="AP1092" s="11" t="n">
        <v>0.7307750238224848</v>
      </c>
      <c r="AQ1092" s="11" t="n">
        <v>0.7307750238224848</v>
      </c>
      <c r="AR1092" s="11" t="n">
        <v>0.7449809054134506</v>
      </c>
      <c r="AS1092" s="11" t="n">
        <f>IF(AND(COUNT(I1092:K1092,AP1092:AR1092)=6,MIN(AP1092:AR1092)&gt;0),I1092/7/AP1092*0.5+J1092/14/AQ1092*0.3+K1092/30/AR1092*0.2,"")</f>
        <v>0.008948775221247839</v>
      </c>
      <c r="AT1092" s="8" t="n">
        <v>5</v>
      </c>
      <c r="AU1092" s="8" t="n">
        <v>1</v>
      </c>
      <c r="AV1092" s="8" t="n">
        <v>88</v>
      </c>
      <c r="AW1092" s="11" t="n">
        <f>IF(AND(COUNT(AT1092:AV1092)=3,AT1092&gt;=AU1092,AU1092&gt;=0,AV1092&gt;0),(AT1092-AU1092)/AV1092,"")</f>
        <v>0.045454545454545456</v>
      </c>
      <c r="AX1092" s="8" t="n">
        <v>8</v>
      </c>
      <c r="AY1092" s="8" t="n">
        <v>1</v>
      </c>
      <c r="AZ1092" s="8" t="n">
        <v>178</v>
      </c>
      <c r="BA1092" s="11" t="n">
        <f>IF(AND(COUNT(AX1092:AZ1092)=3,AX1092&gt;=AY1092,AY1092&gt;=0,AZ1092&gt;0),(AX1092-AY1092)/AZ1092,"")</f>
        <v>0.03932584269662921</v>
      </c>
      <c r="BB1092" s="8" t="n">
        <f>IF(COUNT(AS1092,AW1092,BA1092)=3,1,0)</f>
        <v>1</v>
      </c>
      <c r="BC1092" s="11" t="n">
        <f>IF(SUMIF($AO$11:$AO$1309,AO1092,$BB$11:$BB$1309)=COUNTIF($AO$11:$AO$1309,AO1092),SUMIF($AO$11:$AO$1309,AO1092,$AS$11:$AS$1309),"")</f>
        <v>0.5380867011380766</v>
      </c>
      <c r="BD1092" s="11" t="n">
        <f>IF(SUMIF($AO$11:$AO$1309,AO1092,$BB$11:$BB$1309)=COUNTIF($AO$11:$AO$1309,AO1092),SUMIF($AO$11:$AO$1309,AO1092,$AW$11:$AW$1309),"")</f>
        <v>0.35267379679144384</v>
      </c>
      <c r="BE1092" s="11" t="n">
        <f>IF(SUMIF($AO$11:$AO$1309,AO1092,$BB$11:$BB$1309)=COUNTIF($AO$11:$AO$1309,AO1092),SUMIF($AO$11:$AO$1309,AO1092,$BA$11:$BA$1309),"")</f>
        <v>0.28099518459069023</v>
      </c>
      <c r="BF1092" s="12" t="n">
        <f>IF(COUNT(BD1092:BE1092)&lt;&gt;2,"",IF(AND(BD1092&gt;0,BE1092&gt;0),0.7*AW1092/BD1092+0.3*BA1092/BE1092,IF(BD1092&gt;0,AW1092/BD1092,IF(BE1092&gt;0,BA1092/BE1092,IF(AND(ISNUMBER(BH1092),BH1092=0),0,"")))))</f>
        <v>0.13220546846843023</v>
      </c>
      <c r="BG1092" s="11" t="n">
        <f>IF(AND(COUNT(BN1092:BU1092)=8,MIN(BN1092:BU1092)&gt;=0),SUMPRODUCT(BN1092:BQ1092,BR1092:BU1092),"")</f>
        <v>78.35892944347341</v>
      </c>
      <c r="BH1092" s="11" t="n">
        <f>IF(COUNT(BC1092,BG1092)=2,BC1092*BG1092,"")</f>
        <v>42.16389784894991</v>
      </c>
      <c r="BI1092" s="11" t="n">
        <f>IF(ISNUMBER(CI1092),CI1092,"")</f>
        <v>5.57429786757546</v>
      </c>
      <c r="BJ1092" s="8" t="str">
        <v>低销提醒依据不完整</v>
      </c>
      <c r="BK1092" s="8" t="str">
        <v>90天：2026-07-20 至 2026-10-17；180天：2026-04-21 至 2026-10-17</v>
      </c>
      <c r="BL1092" s="8" t="str">
        <v>90天：2026-10-06、2026-10-07；180天：2026-10-06、2026-10-07</v>
      </c>
      <c r="BM1092" s="8" t="str">
        <v>2026-10：12天 × 0.7307750238224848；2026-11：30天 × 0.9523018155490097；2026-12：31天 × 0.5958545198749097；2027-01：17天 × 1.3264167397065354</v>
      </c>
      <c r="BN1092" s="11" t="n">
        <v>0.7307750238224848</v>
      </c>
      <c r="BO1092" s="11" t="n">
        <v>0.9523018155490097</v>
      </c>
      <c r="BP1092" s="11" t="n">
        <v>0.5958545198749097</v>
      </c>
      <c r="BQ1092" s="11" t="n">
        <v>1.3264167397065354</v>
      </c>
      <c r="BR1092" s="8" t="n">
        <v>12</v>
      </c>
      <c r="BS1092" s="8" t="n">
        <v>30</v>
      </c>
      <c r="BT1092" s="8" t="n">
        <v>31</v>
      </c>
      <c r="BU1092" s="8" t="n">
        <v>17</v>
      </c>
      <c r="BV1092" s="11" t="n">
        <f>IF(COUNT(BC1092,BF1092)=2,BC1092*BF1092,"")</f>
        <v>0.07113800440059162</v>
      </c>
      <c r="BW1092" s="11" t="n">
        <f>IF(ISNUMBER(BN1092),BN1092,"")</f>
        <v>0.7307750238224848</v>
      </c>
      <c r="BX1092" s="14" t="n">
        <f>IF(ISNUMBER(BR1092),BR1092,"")</f>
        <v>12</v>
      </c>
      <c r="BY1092" s="13" t="n">
        <f>IF(AND(COUNT(BV1092,BW1092,BX1092)=3,MIN(BV1092,BW1092,BX1092)&gt;=0),BV1092*BW1092*BX1092,"")</f>
        <v>0.6238305223263165</v>
      </c>
      <c r="BZ1092" s="11" t="n">
        <f>IF(ISNUMBER(BO1092),BO1092,"")</f>
        <v>0.9523018155490097</v>
      </c>
      <c r="CA1092" s="14" t="n">
        <f>IF(ISNUMBER(BS1092),BS1092,"")</f>
        <v>30</v>
      </c>
      <c r="CB1092" s="13" t="n">
        <f>IF(AND(COUNT(BV1092,BZ1092,CA1092)=3,MIN(BV1092,BZ1092,CA1092)&gt;=0),BV1092*BZ1092*CA1092,"")</f>
        <v>2.0323455223565055</v>
      </c>
      <c r="CC1092" s="11" t="n">
        <f>IF(ISNUMBER(BP1092),BP1092,"")</f>
        <v>0.5958545198749097</v>
      </c>
      <c r="CD1092" s="14" t="n">
        <f>IF(ISNUMBER(BT1092),BT1092,"")</f>
        <v>31</v>
      </c>
      <c r="CE1092" s="13" t="n">
        <f>IF(AND(COUNT(BV1092,CC1092,CD1092)=3,MIN(BV1092,CC1092,CD1092)&gt;=0),BV1092*CC1092*CD1092,"")</f>
        <v>1.3140249451661856</v>
      </c>
      <c r="CF1092" s="11" t="n">
        <f>IF(ISNUMBER(BQ1092),BQ1092,"")</f>
        <v>1.3264167397065354</v>
      </c>
      <c r="CG1092" s="14" t="n">
        <f>IF(ISNUMBER(BU1092),BU1092,"")</f>
        <v>17</v>
      </c>
      <c r="CH1092" s="13" t="n">
        <f>IF(AND(COUNT(BV1092,CF1092,CG1092)=3,MIN(BV1092,CF1092,CG1092)&gt;=0),BV1092*CF1092*CG1092,"")</f>
        <v>1.6040968777264524</v>
      </c>
      <c r="CI1092" s="13" t="n">
        <f>IF(COUNT(BY1092,CB1092,CE1092,CH1092)=4,SUM(BY1092,CB1092,CE1092,CH1092),"")</f>
        <v>5.57429786757546</v>
      </c>
    </row>
    <row r="1093" ht="72" customHeight="1">
      <c r="A1093" s="16" t="str">
        <v>B07-RD-41.5</v>
      </c>
      <c r="B1093" s="16" t="str">
        <v>4店-彬郁-US</v>
      </c>
      <c r="C1093" s="16" t="str">
        <v>艾年</v>
      </c>
      <c r="D1093" s="26" t="n">
        <f>IF(NOT(ISNUMBER(E1093)),"",IF(OR(E1093&lt;=0,L1093=0),0,IF(OR(NOT(ISNUMBER(F1093)),F1093&lt;0),"",MIN(E1093,INT(F1093)))))</f>
        <v>0</v>
      </c>
      <c r="E1093" s="27" t="n">
        <f>IF(OR(NOT(ISNUMBER(L1093)),COUNT(M1093:O1093)&lt;&gt;3,MIN(M1093:O1093)&lt;0),"",ROUNDUP(ROUND(BI1093-SUM(M1093:O1093),10),0))</f>
        <v>-2</v>
      </c>
      <c r="F1093" s="28" t="n">
        <v>0</v>
      </c>
      <c r="G1093" s="28" t="n">
        <f>IF(AND(ISNUMBER(D1093),ISNUMBER(E1093)),IF(OR(E1093&lt;=0,L1093=0),0,E1093-D1093),"")</f>
        <v>0</v>
      </c>
      <c r="H1093" s="16" t="str">
        <f>IF(NOT(ISNUMBER(E1093)),"销量或海外库存待补",IF(OR(E1093&lt;=0,L1093=0),IF(L1093=0,"零日销，本批不发","本批无需补货"),IF(NOT(ISNUMBER(D1093)),"国内库存待补",IF(D1093=0,"国内无可用库存",IF(G1093&gt;0,"先发国内现货","按建议量发货")))))</f>
        <v>本批无需补货</v>
      </c>
      <c r="I1093" s="28" t="n">
        <f>IF(AND(COUNT(Z1093,AA1093,AB1093)=3,Z1093&gt;=AA1093,AA1093&gt;=0,AB1093=7),Z1093-AA1093,"")</f>
        <v>1</v>
      </c>
      <c r="J1093" s="28" t="n">
        <f>IF(AND(COUNT(AF1093,AG1093,AH1093)=3,AF1093&gt;=AG1093,AG1093&gt;=0,AH1093=14),AF1093-AG1093,"")</f>
        <v>1</v>
      </c>
      <c r="K1093" s="28" t="n">
        <f>IF(AND(COUNT(AL1093,AM1093,AN1093)=3,AL1093&gt;=AM1093,AM1093&gt;=0,AN1093=30),AL1093-AM1093,"")</f>
        <v>2</v>
      </c>
      <c r="L1093" s="29" t="n">
        <f>IF(ISNUMBER(BI1093),BI1093/90,"")</f>
        <v>0.02675337682551911</v>
      </c>
      <c r="M1093" s="28" t="n">
        <v>4</v>
      </c>
      <c r="N1093" s="28" t="n">
        <v>0</v>
      </c>
      <c r="O1093" s="28" t="n">
        <v>0</v>
      </c>
      <c r="P1093" s="30" t="n">
        <f>IF(AND(ISNUMBER(L1093),L1093&gt;0,COUNT(M1093:O1093)=3,MIN(M1093:O1093)&gt;=0),SUM(M1093:O1093)/L1093,"")</f>
        <v>149.5138361817765</v>
      </c>
      <c r="Q1093" s="16" t="str">
        <v>沿用原计划SKU店铺</v>
      </c>
      <c r="R1093" s="16" t="str">
        <v>已匹配</v>
      </c>
      <c r="S1093" s="16" t="str">
        <v>在售</v>
      </c>
      <c r="T1093" s="16" t="str">
        <v>B07</v>
      </c>
      <c r="U1093" s="16" t="str">
        <v>红色羊京绒</v>
      </c>
      <c r="V1093" s="16" t="n">
        <v>10.5</v>
      </c>
      <c r="W1093" s="8" t="str">
        <v>2026-10-11 至 2026-10-17</v>
      </c>
      <c r="X1093" s="8" t="str">
        <v>2026-10-11、2026-10-12、2026-10-13、2026-10-14、2026-10-15、2026-10-16、2026-10-17</v>
      </c>
      <c r="Y1093" s="8" t="str">
        <v>无</v>
      </c>
      <c r="Z1093" s="8" t="n">
        <v>1</v>
      </c>
      <c r="AA1093" s="8" t="n">
        <v>0</v>
      </c>
      <c r="AB1093" s="8" t="n">
        <v>7</v>
      </c>
      <c r="AC1093" s="8" t="str">
        <v>2026-10-02 至 2026-10-17</v>
      </c>
      <c r="AD1093" s="8" t="str">
        <v>2026-10-02、2026-10-03、2026-10-04、2026-10-05、2026-10-08、2026-10-09、2026-10-10、2026-10-11、2026-10-12、2026-10-13、2026-10-14、2026-10-15、2026-10-16、2026-10-17</v>
      </c>
      <c r="AE1093" s="8" t="str">
        <v>2026-10-06 大促；2026-10-07 大促</v>
      </c>
      <c r="AF1093" s="8" t="n">
        <v>1</v>
      </c>
      <c r="AG1093" s="8" t="n">
        <v>0</v>
      </c>
      <c r="AH1093" s="8" t="n">
        <v>14</v>
      </c>
      <c r="AI1093" s="8" t="str">
        <v>2026-09-16 至 2026-10-17</v>
      </c>
      <c r="AJ10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3" s="8" t="str">
        <v>2026-10-06 大促；2026-10-07 大促</v>
      </c>
      <c r="AL1093" s="8" t="n">
        <v>2</v>
      </c>
      <c r="AM1093" s="8" t="n">
        <v>0</v>
      </c>
      <c r="AN1093" s="8" t="n">
        <v>30</v>
      </c>
      <c r="AO1093" s="8" t="str">
        <v>B07 / 红色羊京绒 / 13306</v>
      </c>
      <c r="AP1093" s="11" t="n">
        <v>0.7307750238224848</v>
      </c>
      <c r="AQ1093" s="11" t="n">
        <v>0.7307750238224848</v>
      </c>
      <c r="AR1093" s="11" t="n">
        <v>0.7449809054134506</v>
      </c>
      <c r="AS1093" s="11" t="n">
        <f>IF(AND(COUNT(I1093:K1093,AP1093:AR1093)=6,MIN(AP1093:AR1093)&gt;0),I1093/7/AP1093*0.5+J1093/14/AQ1093*0.3+K1093/30/AR1093*0.2,"")</f>
        <v>0.14496421231530088</v>
      </c>
      <c r="AT1093" s="8" t="n">
        <v>2</v>
      </c>
      <c r="AU1093" s="8" t="n">
        <v>0</v>
      </c>
      <c r="AV1093" s="8" t="n">
        <v>88</v>
      </c>
      <c r="AW1093" s="11" t="n">
        <f>IF(AND(COUNT(AT1093:AV1093)=3,AT1093&gt;=AU1093,AU1093&gt;=0,AV1093&gt;0),(AT1093-AU1093)/AV1093,"")</f>
        <v>0.022727272727272728</v>
      </c>
      <c r="AX1093" s="8" t="n">
        <v>2</v>
      </c>
      <c r="AY1093" s="8" t="n">
        <v>0</v>
      </c>
      <c r="AZ1093" s="8" t="n">
        <v>178</v>
      </c>
      <c r="BA1093" s="11" t="n">
        <f>IF(AND(COUNT(AX1093:AZ1093)=3,AX1093&gt;=AY1093,AY1093&gt;=0,AZ1093&gt;0),(AX1093-AY1093)/AZ1093,"")</f>
        <v>0.011235955056179775</v>
      </c>
      <c r="BB1093" s="8" t="n">
        <f>IF(COUNT(AS1093,AW1093,BA1093)=3,1,0)</f>
        <v>1</v>
      </c>
      <c r="BC1093" s="11" t="n">
        <f>IF(SUMIF($AO$11:$AO$1309,AO1093,$BB$11:$BB$1309)=COUNTIF($AO$11:$AO$1309,AO1093),SUMIF($AO$11:$AO$1309,AO1093,$AS$11:$AS$1309),"")</f>
        <v>0.5380867011380766</v>
      </c>
      <c r="BD1093" s="11" t="n">
        <f>IF(SUMIF($AO$11:$AO$1309,AO1093,$BB$11:$BB$1309)=COUNTIF($AO$11:$AO$1309,AO1093),SUMIF($AO$11:$AO$1309,AO1093,$AW$11:$AW$1309),"")</f>
        <v>0.35267379679144384</v>
      </c>
      <c r="BE1093" s="11" t="n">
        <f>IF(SUMIF($AO$11:$AO$1309,AO1093,$BB$11:$BB$1309)=COUNTIF($AO$11:$AO$1309,AO1093),SUMIF($AO$11:$AO$1309,AO1093,$BA$11:$BA$1309),"")</f>
        <v>0.28099518459069023</v>
      </c>
      <c r="BF1093" s="12" t="n">
        <f>IF(COUNT(BD1093:BE1093)&lt;&gt;2,"",IF(AND(BD1093&gt;0,BE1093&gt;0),0.7*AW1093/BD1093+0.3*BA1093/BE1093,IF(BD1093&gt;0,AW1093/BD1093,IF(BE1093&gt;0,BA1093/BE1093,IF(AND(ISNUMBER(BH1093),BH1093=0),0,"")))))</f>
        <v>0.05710581889090424</v>
      </c>
      <c r="BG1093" s="11" t="n">
        <f>IF(AND(COUNT(BN1093:BU1093)=8,MIN(BN1093:BU1093)&gt;=0),SUMPRODUCT(BN1093:BQ1093,BR1093:BU1093),"")</f>
        <v>78.35892944347341</v>
      </c>
      <c r="BH1093" s="11" t="n">
        <f>IF(COUNT(BC1093,BG1093)=2,BC1093*BG1093,"")</f>
        <v>42.16389784894991</v>
      </c>
      <c r="BI1093" s="11" t="n">
        <f>IF(ISNUMBER(CI1093),CI1093,"")</f>
        <v>2.40780391429672</v>
      </c>
      <c r="BJ1093" s="8" t="str">
        <v>低销提醒依据不完整</v>
      </c>
      <c r="BK1093" s="8" t="str">
        <v>90天：2026-07-20 至 2026-10-17；180天：2026-04-21 至 2026-10-17</v>
      </c>
      <c r="BL1093" s="8" t="str">
        <v>90天：2026-10-06、2026-10-07；180天：2026-10-06、2026-10-07</v>
      </c>
      <c r="BM1093" s="8" t="str">
        <v>2026-10：12天 × 0.7307750238224848；2026-11：30天 × 0.9523018155490097；2026-12：31天 × 0.5958545198749097；2027-01：17天 × 1.3264167397065354</v>
      </c>
      <c r="BN1093" s="11" t="n">
        <v>0.7307750238224848</v>
      </c>
      <c r="BO1093" s="11" t="n">
        <v>0.9523018155490097</v>
      </c>
      <c r="BP1093" s="11" t="n">
        <v>0.5958545198749097</v>
      </c>
      <c r="BQ1093" s="11" t="n">
        <v>1.3264167397065354</v>
      </c>
      <c r="BR1093" s="8" t="n">
        <v>12</v>
      </c>
      <c r="BS1093" s="8" t="n">
        <v>30</v>
      </c>
      <c r="BT1093" s="8" t="n">
        <v>31</v>
      </c>
      <c r="BU1093" s="8" t="n">
        <v>17</v>
      </c>
      <c r="BV1093" s="11" t="n">
        <f>IF(COUNT(BC1093,BF1093)=2,BC1093*BF1093,"")</f>
        <v>0.030727881702795116</v>
      </c>
      <c r="BW1093" s="11" t="n">
        <f>IF(ISNUMBER(BN1093),BN1093,"")</f>
        <v>0.7307750238224848</v>
      </c>
      <c r="BX1093" s="14" t="n">
        <f>IF(ISNUMBER(BR1093),BR1093,"")</f>
        <v>12</v>
      </c>
      <c r="BY1093" s="13" t="n">
        <f>IF(AND(COUNT(BV1093,BW1093,BX1093)=3,MIN(BV1093,BW1093,BX1093)&gt;=0),BV1093*BW1093*BX1093,"")</f>
        <v>0.26946202180049517</v>
      </c>
      <c r="BZ1093" s="11" t="n">
        <f>IF(ISNUMBER(BO1093),BO1093,"")</f>
        <v>0.9523018155490097</v>
      </c>
      <c r="CA1093" s="14" t="n">
        <f>IF(ISNUMBER(BS1093),BS1093,"")</f>
        <v>30</v>
      </c>
      <c r="CB1093" s="13" t="n">
        <f>IF(AND(COUNT(BV1093,BZ1093,CA1093)=3,MIN(BV1093,BZ1093,CA1093)&gt;=0),BV1093*BZ1093*CA1093,"")</f>
        <v>0.8778665260064096</v>
      </c>
      <c r="CC1093" s="11" t="n">
        <f>IF(ISNUMBER(BP1093),BP1093,"")</f>
        <v>0.5958545198749097</v>
      </c>
      <c r="CD1093" s="14" t="n">
        <f>IF(ISNUMBER(BT1093),BT1093,"")</f>
        <v>31</v>
      </c>
      <c r="CE1093" s="13" t="n">
        <f>IF(AND(COUNT(BV1093,CC1093,CD1093)=3,MIN(BV1093,CC1093,CD1093)&gt;=0),BV1093*CC1093*CD1093,"")</f>
        <v>0.5675897631625523</v>
      </c>
      <c r="CF1093" s="11" t="n">
        <f>IF(ISNUMBER(BQ1093),BQ1093,"")</f>
        <v>1.3264167397065354</v>
      </c>
      <c r="CG1093" s="14" t="n">
        <f>IF(ISNUMBER(BU1093),BU1093,"")</f>
        <v>17</v>
      </c>
      <c r="CH1093" s="13" t="n">
        <f>IF(AND(COUNT(BV1093,CF1093,CG1093)=3,MIN(BV1093,CF1093,CG1093)&gt;=0),BV1093*CF1093*CG1093,"")</f>
        <v>0.6928856033272632</v>
      </c>
      <c r="CI1093" s="13" t="n">
        <f>IF(COUNT(BY1093,CB1093,CE1093,CH1093)=4,SUM(BY1093,CB1093,CE1093,CH1093),"")</f>
        <v>2.40780391429672</v>
      </c>
    </row>
    <row r="1094" ht="72" customHeight="1">
      <c r="A1094" s="16" t="str">
        <v>B07-RD-I-0-40.5</v>
      </c>
      <c r="B1094" s="16" t="str">
        <v>4店-彬郁-US</v>
      </c>
      <c r="C1094" s="16" t="str">
        <v>艾年</v>
      </c>
      <c r="D1094" s="26" t="n">
        <f>IF(NOT(ISNUMBER(E1094)),"",IF(OR(E1094&lt;=0,L1094=0),0,IF(OR(NOT(ISNUMBER(F1094)),F1094&lt;0),"",MIN(E1094,INT(F1094)))))</f>
        <v>0</v>
      </c>
      <c r="E1094" s="27" t="n">
        <f>IF(OR(NOT(ISNUMBER(L1094)),COUNT(M1094:O1094)&lt;&gt;3,MIN(M1094:O1094)&lt;0),"",ROUNDUP(ROUND(BI1094-SUM(M1094:O1094),10),0))</f>
        <v>-11</v>
      </c>
      <c r="F1094" s="28"/>
      <c r="G1094" s="28" t="n">
        <f>IF(AND(ISNUMBER(D1094),ISNUMBER(E1094)),IF(OR(E1094&lt;=0,L1094=0),0,E1094-D1094),"")</f>
        <v>0</v>
      </c>
      <c r="H1094" s="16" t="str">
        <f>IF(NOT(ISNUMBER(E1094)),"销量或海外库存待补",IF(OR(E1094&lt;=0,L1094=0),IF(L1094=0,"零日销，本批不发","本批无需补货"),IF(NOT(ISNUMBER(D1094)),"国内库存待补",IF(D1094=0,"国内无可用库存",IF(G1094&gt;0,"先发国内现货","按建议量发货")))))</f>
        <v>本批无需补货</v>
      </c>
      <c r="I1094" s="28" t="n">
        <f>IF(AND(COUNT(Z1094,AA1094,AB1094)=3,Z1094&gt;=AA1094,AA1094&gt;=0,AB1094=7),Z1094-AA1094,"")</f>
        <v>0</v>
      </c>
      <c r="J1094" s="28" t="n">
        <f>IF(AND(COUNT(AF1094,AG1094,AH1094)=3,AF1094&gt;=AG1094,AG1094&gt;=0,AH1094=14),AF1094-AG1094,"")</f>
        <v>0</v>
      </c>
      <c r="K1094" s="28" t="n">
        <f>IF(AND(COUNT(AL1094,AM1094,AN1094)=3,AL1094&gt;=AM1094,AM1094&gt;=0,AN1094=30),AL1094-AM1094,"")</f>
        <v>0</v>
      </c>
      <c r="L1094" s="29" t="n">
        <f>IF(ISNUMBER(BI1094),BI1094/90,"")</f>
        <v>0.048559954560301107</v>
      </c>
      <c r="M1094" s="28" t="n">
        <v>15</v>
      </c>
      <c r="N1094" s="28" t="n">
        <v>0</v>
      </c>
      <c r="O1094" s="28" t="n">
        <v>0</v>
      </c>
      <c r="P1094" s="30" t="n">
        <f>IF(AND(ISNUMBER(L1094),L1094&gt;0,COUNT(M1094:O1094)=3,MIN(M1094:O1094)&gt;=0),SUM(M1094:O1094)/L1094,"")</f>
        <v>308.89649992100385</v>
      </c>
      <c r="Q1094" s="16" t="str">
        <v>沿用原计划SKU店铺</v>
      </c>
      <c r="R1094" s="16" t="str">
        <v>未匹配</v>
      </c>
      <c r="S1094" s="16" t="str">
        <v>在售</v>
      </c>
      <c r="T1094" s="16" t="str">
        <v>B07</v>
      </c>
      <c r="U1094" s="16" t="str">
        <v>红色色织提花</v>
      </c>
      <c r="V1094" s="16" t="n">
        <v>9.5</v>
      </c>
      <c r="W1094" s="8" t="str">
        <v>2026-10-11 至 2026-10-17</v>
      </c>
      <c r="X1094" s="8" t="str">
        <v>2026-10-11、2026-10-12、2026-10-13、2026-10-14、2026-10-15、2026-10-16、2026-10-17</v>
      </c>
      <c r="Y1094" s="8" t="str">
        <v>无</v>
      </c>
      <c r="Z1094" s="8" t="n">
        <v>0</v>
      </c>
      <c r="AA1094" s="8" t="n">
        <v>0</v>
      </c>
      <c r="AB1094" s="8" t="n">
        <v>7</v>
      </c>
      <c r="AC1094" s="8" t="str">
        <v>2026-10-02 至 2026-10-17</v>
      </c>
      <c r="AD1094" s="8" t="str">
        <v>2026-10-02、2026-10-03、2026-10-04、2026-10-05、2026-10-08、2026-10-09、2026-10-10、2026-10-11、2026-10-12、2026-10-13、2026-10-14、2026-10-15、2026-10-16、2026-10-17</v>
      </c>
      <c r="AE1094" s="8" t="str">
        <v>2026-10-06 大促；2026-10-07 大促</v>
      </c>
      <c r="AF1094" s="8" t="n">
        <v>0</v>
      </c>
      <c r="AG1094" s="8" t="n">
        <v>0</v>
      </c>
      <c r="AH1094" s="8" t="n">
        <v>14</v>
      </c>
      <c r="AI1094" s="8" t="str">
        <v>2026-09-16 至 2026-10-17</v>
      </c>
      <c r="AJ10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4" s="8" t="str">
        <v>2026-10-06 大促；2026-10-07 大促</v>
      </c>
      <c r="AL1094" s="8" t="n">
        <v>0</v>
      </c>
      <c r="AM1094" s="8" t="n">
        <v>0</v>
      </c>
      <c r="AN1094" s="8" t="n">
        <v>30</v>
      </c>
      <c r="AO1094" s="8" t="str">
        <v>B07 / 红色羊京绒 / 13306</v>
      </c>
      <c r="AP1094" s="11" t="n">
        <v>0.7307750238224848</v>
      </c>
      <c r="AQ1094" s="11" t="n">
        <v>0.7307750238224848</v>
      </c>
      <c r="AR1094" s="11" t="n">
        <v>0.7449809054134506</v>
      </c>
      <c r="AS1094" s="11" t="n">
        <f>IF(AND(COUNT(I1094:K1094,AP1094:AR1094)=6,MIN(AP1094:AR1094)&gt;0),I1094/7/AP1094*0.5+J1094/14/AQ1094*0.3+K1094/30/AR1094*0.2,"")</f>
        <v>0</v>
      </c>
      <c r="AT1094" s="8" t="n">
        <v>3</v>
      </c>
      <c r="AU1094" s="8" t="n">
        <v>0</v>
      </c>
      <c r="AV1094" s="8" t="n">
        <v>88</v>
      </c>
      <c r="AW1094" s="11" t="n">
        <f>IF(AND(COUNT(AT1094:AV1094)=3,AT1094&gt;=AU1094,AU1094&gt;=0,AV1094&gt;0),(AT1094-AU1094)/AV1094,"")</f>
        <v>0.03409090909090909</v>
      </c>
      <c r="AX1094" s="8" t="n">
        <v>6</v>
      </c>
      <c r="AY1094" s="8" t="n">
        <v>0</v>
      </c>
      <c r="AZ1094" s="8" t="n">
        <v>178</v>
      </c>
      <c r="BA1094" s="11" t="n">
        <f>IF(AND(COUNT(AX1094:AZ1094)=3,AX1094&gt;=AY1094,AY1094&gt;=0,AZ1094&gt;0),(AX1094-AY1094)/AZ1094,"")</f>
        <v>0.033707865168539325</v>
      </c>
      <c r="BB1094" s="8" t="n">
        <f>IF(COUNT(AS1094,AW1094,BA1094)=3,1,0)</f>
        <v>1</v>
      </c>
      <c r="BC1094" s="11" t="n">
        <f>IF(SUMIF($AO$11:$AO$1309,AO1094,$BB$11:$BB$1309)=COUNTIF($AO$11:$AO$1309,AO1094),SUMIF($AO$11:$AO$1309,AO1094,$AS$11:$AS$1309),"")</f>
        <v>0.5380867011380766</v>
      </c>
      <c r="BD1094" s="11" t="n">
        <f>IF(SUMIF($AO$11:$AO$1309,AO1094,$BB$11:$BB$1309)=COUNTIF($AO$11:$AO$1309,AO1094),SUMIF($AO$11:$AO$1309,AO1094,$AW$11:$AW$1309),"")</f>
        <v>0.35267379679144384</v>
      </c>
      <c r="BE1094" s="11" t="n">
        <f>IF(SUMIF($AO$11:$AO$1309,AO1094,$BB$11:$BB$1309)=COUNTIF($AO$11:$AO$1309,AO1094),SUMIF($AO$11:$AO$1309,AO1094,$BA$11:$BA$1309),"")</f>
        <v>0.28099518459069023</v>
      </c>
      <c r="BF1094" s="12" t="n">
        <f>IF(COUNT(BD1094:BE1094)&lt;&gt;2,"",IF(AND(BD1094&gt;0,BE1094&gt;0),0.7*AW1094/BD1094+0.3*BA1094/BE1094,IF(BD1094&gt;0,AW1094/BD1094,IF(BE1094&gt;0,BA1094/BE1094,IF(AND(ISNUMBER(BH1094),BH1094=0),0,"")))))</f>
        <v>0.1036525590229781</v>
      </c>
      <c r="BG1094" s="11" t="n">
        <f>IF(AND(COUNT(BN1094:BU1094)=8,MIN(BN1094:BU1094)&gt;=0),SUMPRODUCT(BN1094:BQ1094,BR1094:BU1094),"")</f>
        <v>78.35892944347341</v>
      </c>
      <c r="BH1094" s="11" t="n">
        <f>IF(COUNT(BC1094,BG1094)=2,BC1094*BG1094,"")</f>
        <v>42.16389784894991</v>
      </c>
      <c r="BI1094" s="11" t="n">
        <f>IF(ISNUMBER(CI1094),CI1094,"")</f>
        <v>4.370395910427099</v>
      </c>
      <c r="BJ1094" s="8" t="str">
        <v>低销提醒依据不完整</v>
      </c>
      <c r="BK1094" s="8" t="str">
        <v>90天：2026-07-20 至 2026-10-17；180天：2026-04-21 至 2026-10-17</v>
      </c>
      <c r="BL1094" s="8" t="str">
        <v>90天：2026-10-06、2026-10-07；180天：2026-10-06、2026-10-07</v>
      </c>
      <c r="BM1094" s="8" t="str">
        <v>2026-10：12天 × 0.7307750238224848；2026-11：30天 × 0.9523018155490097；2026-12：31天 × 0.5958545198749097；2027-01：17天 × 1.3264167397065354</v>
      </c>
      <c r="BN1094" s="11" t="n">
        <v>0.7307750238224848</v>
      </c>
      <c r="BO1094" s="11" t="n">
        <v>0.9523018155490097</v>
      </c>
      <c r="BP1094" s="11" t="n">
        <v>0.5958545198749097</v>
      </c>
      <c r="BQ1094" s="11" t="n">
        <v>1.3264167397065354</v>
      </c>
      <c r="BR1094" s="8" t="n">
        <v>12</v>
      </c>
      <c r="BS1094" s="8" t="n">
        <v>30</v>
      </c>
      <c r="BT1094" s="8" t="n">
        <v>31</v>
      </c>
      <c r="BU1094" s="8" t="n">
        <v>17</v>
      </c>
      <c r="BV1094" s="11" t="n">
        <f>IF(COUNT(BC1094,BF1094)=2,BC1094*BF1094,"")</f>
        <v>0.05577406354919406</v>
      </c>
      <c r="BW1094" s="11" t="n">
        <f>IF(ISNUMBER(BN1094),BN1094,"")</f>
        <v>0.7307750238224848</v>
      </c>
      <c r="BX1094" s="14" t="n">
        <f>IF(ISNUMBER(BR1094),BR1094,"")</f>
        <v>12</v>
      </c>
      <c r="BY1094" s="13" t="n">
        <f>IF(AND(COUNT(BV1094,BW1094,BX1094)=3,MIN(BV1094,BW1094,BX1094)&gt;=0),BV1094*BW1094*BX1094,"")</f>
        <v>0.4890995114260689</v>
      </c>
      <c r="BZ1094" s="11" t="n">
        <f>IF(ISNUMBER(BO1094),BO1094,"")</f>
        <v>0.9523018155490097</v>
      </c>
      <c r="CA1094" s="14" t="n">
        <f>IF(ISNUMBER(BS1094),BS1094,"")</f>
        <v>30</v>
      </c>
      <c r="CB1094" s="13" t="n">
        <f>IF(AND(COUNT(BV1094,BZ1094,CA1094)=3,MIN(BV1094,BZ1094,CA1094)&gt;=0),BV1094*BZ1094*CA1094,"")</f>
        <v>1.5934122593533004</v>
      </c>
      <c r="CC1094" s="11" t="n">
        <f>IF(ISNUMBER(BP1094),BP1094,"")</f>
        <v>0.5958545198749097</v>
      </c>
      <c r="CD1094" s="14" t="n">
        <f>IF(ISNUMBER(BT1094),BT1094,"")</f>
        <v>31</v>
      </c>
      <c r="CE1094" s="13" t="n">
        <f>IF(AND(COUNT(BV1094,CC1094,CD1094)=3,MIN(BV1094,CC1094,CD1094)&gt;=0),BV1094*CC1094*CD1094,"")</f>
        <v>1.0302300635849095</v>
      </c>
      <c r="CF1094" s="11" t="n">
        <f>IF(ISNUMBER(BQ1094),BQ1094,"")</f>
        <v>1.3264167397065354</v>
      </c>
      <c r="CG1094" s="14" t="n">
        <f>IF(ISNUMBER(BU1094),BU1094,"")</f>
        <v>17</v>
      </c>
      <c r="CH1094" s="13" t="n">
        <f>IF(AND(COUNT(BV1094,CF1094,CG1094)=3,MIN(BV1094,CF1094,CG1094)&gt;=0),BV1094*CF1094*CG1094,"")</f>
        <v>1.2576540760628205</v>
      </c>
      <c r="CI1094" s="13" t="n">
        <f>IF(COUNT(BY1094,CB1094,CE1094,CH1094)=4,SUM(BY1094,CB1094,CE1094,CH1094),"")</f>
        <v>4.370395910427099</v>
      </c>
    </row>
    <row r="1095" ht="72" customHeight="1">
      <c r="A1095" s="16" t="str">
        <v>B07-RD-I-0-41.5</v>
      </c>
      <c r="B1095" s="16" t="str">
        <v>4店-彬郁-US</v>
      </c>
      <c r="C1095" s="16" t="str">
        <v>艾年</v>
      </c>
      <c r="D1095" s="26" t="n">
        <f>IF(NOT(ISNUMBER(E1095)),"",IF(OR(E1095&lt;=0,L1095=0),0,IF(OR(NOT(ISNUMBER(F1095)),F1095&lt;0),"",MIN(E1095,INT(F1095)))))</f>
        <v>0</v>
      </c>
      <c r="E1095" s="27" t="n">
        <f>IF(OR(NOT(ISNUMBER(L1095)),COUNT(M1095:O1095)&lt;&gt;3,MIN(M1095:O1095)&lt;0),"",ROUNDUP(ROUND(BI1095-SUM(M1095:O1095),10),0))</f>
        <v>-10</v>
      </c>
      <c r="F1095" s="28" t="n">
        <v>0</v>
      </c>
      <c r="G1095" s="28" t="n">
        <f>IF(AND(ISNUMBER(D1095),ISNUMBER(E1095)),IF(OR(E1095&lt;=0,L1095=0),0,E1095-D1095),"")</f>
        <v>0</v>
      </c>
      <c r="H1095" s="16" t="str">
        <f>IF(NOT(ISNUMBER(E1095)),"销量或海外库存待补",IF(OR(E1095&lt;=0,L1095=0),IF(L1095=0,"零日销，本批不发","本批无需补货"),IF(NOT(ISNUMBER(D1095)),"国内库存待补",IF(D1095=0,"国内无可用库存",IF(G1095&gt;0,"先发国内现货","按建议量发货")))))</f>
        <v>零日销，本批不发</v>
      </c>
      <c r="I1095" s="28" t="n">
        <f>IF(AND(COUNT(Z1095,AA1095,AB1095)=3,Z1095&gt;=AA1095,AA1095&gt;=0,AB1095=7),Z1095-AA1095,"")</f>
        <v>0</v>
      </c>
      <c r="J1095" s="28" t="n">
        <f>IF(AND(COUNT(AF1095,AG1095,AH1095)=3,AF1095&gt;=AG1095,AG1095&gt;=0,AH1095=14),AF1095-AG1095,"")</f>
        <v>0</v>
      </c>
      <c r="K1095" s="28" t="n">
        <f>IF(AND(COUNT(AL1095,AM1095,AN1095)=3,AL1095&gt;=AM1095,AM1095&gt;=0,AN1095=30),AL1095-AM1095,"")</f>
        <v>0</v>
      </c>
      <c r="L1095" s="29" t="n">
        <f>IF(ISNUMBER(BI1095),BI1095/90,"")</f>
        <v>0</v>
      </c>
      <c r="M1095" s="28" t="n">
        <v>10</v>
      </c>
      <c r="N1095" s="28" t="n">
        <v>0</v>
      </c>
      <c r="O1095" s="28" t="n">
        <v>0</v>
      </c>
      <c r="P1095" s="30" t="str">
        <f>IF(AND(ISNUMBER(L1095),L1095&gt;0,COUNT(M1095:O1095)=3,MIN(M1095:O1095)&gt;=0),SUM(M1095:O1095)/L1095,"")</f>
      </c>
      <c r="Q1095" s="16" t="str">
        <v>沿用原计划SKU店铺</v>
      </c>
      <c r="R1095" s="16" t="str">
        <v>已匹配</v>
      </c>
      <c r="S1095" s="16" t="str">
        <v>在售</v>
      </c>
      <c r="T1095" s="16" t="str">
        <v>B07</v>
      </c>
      <c r="U1095" s="16" t="str">
        <v>红色色织提花</v>
      </c>
      <c r="V1095" s="16" t="n">
        <v>10.5</v>
      </c>
      <c r="W1095" s="8" t="str">
        <v>2026-10-11 至 2026-10-17</v>
      </c>
      <c r="X1095" s="8" t="str">
        <v>2026-10-11、2026-10-12、2026-10-13、2026-10-14、2026-10-15、2026-10-16、2026-10-17</v>
      </c>
      <c r="Y1095" s="8" t="str">
        <v>无</v>
      </c>
      <c r="Z1095" s="8" t="n">
        <v>0</v>
      </c>
      <c r="AA1095" s="8" t="n">
        <v>0</v>
      </c>
      <c r="AB1095" s="8" t="n">
        <v>7</v>
      </c>
      <c r="AC1095" s="8" t="str">
        <v>2026-10-02 至 2026-10-17</v>
      </c>
      <c r="AD1095" s="8" t="str">
        <v>2026-10-02、2026-10-03、2026-10-04、2026-10-05、2026-10-08、2026-10-09、2026-10-10、2026-10-11、2026-10-12、2026-10-13、2026-10-14、2026-10-15、2026-10-16、2026-10-17</v>
      </c>
      <c r="AE1095" s="8" t="str">
        <v>2026-10-06 大促；2026-10-07 大促</v>
      </c>
      <c r="AF1095" s="8" t="n">
        <v>0</v>
      </c>
      <c r="AG1095" s="8" t="n">
        <v>0</v>
      </c>
      <c r="AH1095" s="8" t="n">
        <v>14</v>
      </c>
      <c r="AI1095" s="8" t="str">
        <v>2026-09-16 至 2026-10-17</v>
      </c>
      <c r="AJ10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5" s="8" t="str">
        <v>2026-10-06 大促；2026-10-07 大促</v>
      </c>
      <c r="AL1095" s="8" t="n">
        <v>0</v>
      </c>
      <c r="AM1095" s="8" t="n">
        <v>0</v>
      </c>
      <c r="AN1095" s="8" t="n">
        <v>30</v>
      </c>
      <c r="AO1095" s="8" t="str">
        <v>B07 / 红色羊京绒 / 13306</v>
      </c>
      <c r="AP1095" s="11" t="n">
        <v>0.7307750238224848</v>
      </c>
      <c r="AQ1095" s="11" t="n">
        <v>0.7307750238224848</v>
      </c>
      <c r="AR1095" s="11" t="n">
        <v>0.7449809054134506</v>
      </c>
      <c r="AS1095" s="11" t="n">
        <f>IF(AND(COUNT(I1095:K1095,AP1095:AR1095)=6,MIN(AP1095:AR1095)&gt;0),I1095/7/AP1095*0.5+J1095/14/AQ1095*0.3+K1095/30/AR1095*0.2,"")</f>
        <v>0</v>
      </c>
      <c r="AT1095" s="8" t="n">
        <v>0</v>
      </c>
      <c r="AU1095" s="8" t="n">
        <v>0</v>
      </c>
      <c r="AV1095" s="8" t="n">
        <v>88</v>
      </c>
      <c r="AW1095" s="11" t="n">
        <f>IF(AND(COUNT(AT1095:AV1095)=3,AT1095&gt;=AU1095,AU1095&gt;=0,AV1095&gt;0),(AT1095-AU1095)/AV1095,"")</f>
        <v>0</v>
      </c>
      <c r="AX1095" s="8" t="n">
        <v>0</v>
      </c>
      <c r="AY1095" s="8" t="n">
        <v>0</v>
      </c>
      <c r="AZ1095" s="8" t="n">
        <v>178</v>
      </c>
      <c r="BA1095" s="11" t="n">
        <f>IF(AND(COUNT(AX1095:AZ1095)=3,AX1095&gt;=AY1095,AY1095&gt;=0,AZ1095&gt;0),(AX1095-AY1095)/AZ1095,"")</f>
        <v>0</v>
      </c>
      <c r="BB1095" s="8" t="n">
        <f>IF(COUNT(AS1095,AW1095,BA1095)=3,1,0)</f>
        <v>1</v>
      </c>
      <c r="BC1095" s="11" t="n">
        <f>IF(SUMIF($AO$11:$AO$1309,AO1095,$BB$11:$BB$1309)=COUNTIF($AO$11:$AO$1309,AO1095),SUMIF($AO$11:$AO$1309,AO1095,$AS$11:$AS$1309),"")</f>
        <v>0.5380867011380766</v>
      </c>
      <c r="BD1095" s="11" t="n">
        <f>IF(SUMIF($AO$11:$AO$1309,AO1095,$BB$11:$BB$1309)=COUNTIF($AO$11:$AO$1309,AO1095),SUMIF($AO$11:$AO$1309,AO1095,$AW$11:$AW$1309),"")</f>
        <v>0.35267379679144384</v>
      </c>
      <c r="BE1095" s="11" t="n">
        <f>IF(SUMIF($AO$11:$AO$1309,AO1095,$BB$11:$BB$1309)=COUNTIF($AO$11:$AO$1309,AO1095),SUMIF($AO$11:$AO$1309,AO1095,$BA$11:$BA$1309),"")</f>
        <v>0.28099518459069023</v>
      </c>
      <c r="BF1095" s="12" t="n">
        <f>IF(COUNT(BD1095:BE1095)&lt;&gt;2,"",IF(AND(BD1095&gt;0,BE1095&gt;0),0.7*AW1095/BD1095+0.3*BA1095/BE1095,IF(BD1095&gt;0,AW1095/BD1095,IF(BE1095&gt;0,BA1095/BE1095,IF(AND(ISNUMBER(BH1095),BH1095=0),0,"")))))</f>
        <v>0</v>
      </c>
      <c r="BG1095" s="11" t="n">
        <f>IF(AND(COUNT(BN1095:BU1095)=8,MIN(BN1095:BU1095)&gt;=0),SUMPRODUCT(BN1095:BQ1095,BR1095:BU1095),"")</f>
        <v>78.35892944347341</v>
      </c>
      <c r="BH1095" s="11" t="n">
        <f>IF(COUNT(BC1095,BG1095)=2,BC1095*BG1095,"")</f>
        <v>42.16389784894991</v>
      </c>
      <c r="BI1095" s="11" t="n">
        <f>IF(ISNUMBER(CI1095),CI1095,"")</f>
        <v>0</v>
      </c>
      <c r="BJ1095" s="8" t="str">
        <v>低销提醒依据不完整</v>
      </c>
      <c r="BK1095" s="8" t="str">
        <v>90天：2026-07-20 至 2026-10-17；180天：2026-04-21 至 2026-10-17</v>
      </c>
      <c r="BL1095" s="8" t="str">
        <v>90天：2026-10-06、2026-10-07；180天：2026-10-06、2026-10-07</v>
      </c>
      <c r="BM1095" s="8" t="str">
        <v>2026-10：12天 × 0.7307750238224848；2026-11：30天 × 0.9523018155490097；2026-12：31天 × 0.5958545198749097；2027-01：17天 × 1.3264167397065354</v>
      </c>
      <c r="BN1095" s="11" t="n">
        <v>0.7307750238224848</v>
      </c>
      <c r="BO1095" s="11" t="n">
        <v>0.9523018155490097</v>
      </c>
      <c r="BP1095" s="11" t="n">
        <v>0.5958545198749097</v>
      </c>
      <c r="BQ1095" s="11" t="n">
        <v>1.3264167397065354</v>
      </c>
      <c r="BR1095" s="8" t="n">
        <v>12</v>
      </c>
      <c r="BS1095" s="8" t="n">
        <v>30</v>
      </c>
      <c r="BT1095" s="8" t="n">
        <v>31</v>
      </c>
      <c r="BU1095" s="8" t="n">
        <v>17</v>
      </c>
      <c r="BV1095" s="11" t="n">
        <f>IF(COUNT(BC1095,BF1095)=2,BC1095*BF1095,"")</f>
        <v>0</v>
      </c>
      <c r="BW1095" s="11" t="n">
        <f>IF(ISNUMBER(BN1095),BN1095,"")</f>
        <v>0.7307750238224848</v>
      </c>
      <c r="BX1095" s="14" t="n">
        <f>IF(ISNUMBER(BR1095),BR1095,"")</f>
        <v>12</v>
      </c>
      <c r="BY1095" s="13" t="n">
        <f>IF(AND(COUNT(BV1095,BW1095,BX1095)=3,MIN(BV1095,BW1095,BX1095)&gt;=0),BV1095*BW1095*BX1095,"")</f>
        <v>0</v>
      </c>
      <c r="BZ1095" s="11" t="n">
        <f>IF(ISNUMBER(BO1095),BO1095,"")</f>
        <v>0.9523018155490097</v>
      </c>
      <c r="CA1095" s="14" t="n">
        <f>IF(ISNUMBER(BS1095),BS1095,"")</f>
        <v>30</v>
      </c>
      <c r="CB1095" s="13" t="n">
        <f>IF(AND(COUNT(BV1095,BZ1095,CA1095)=3,MIN(BV1095,BZ1095,CA1095)&gt;=0),BV1095*BZ1095*CA1095,"")</f>
        <v>0</v>
      </c>
      <c r="CC1095" s="11" t="n">
        <f>IF(ISNUMBER(BP1095),BP1095,"")</f>
        <v>0.5958545198749097</v>
      </c>
      <c r="CD1095" s="14" t="n">
        <f>IF(ISNUMBER(BT1095),BT1095,"")</f>
        <v>31</v>
      </c>
      <c r="CE1095" s="13" t="n">
        <f>IF(AND(COUNT(BV1095,CC1095,CD1095)=3,MIN(BV1095,CC1095,CD1095)&gt;=0),BV1095*CC1095*CD1095,"")</f>
        <v>0</v>
      </c>
      <c r="CF1095" s="11" t="n">
        <f>IF(ISNUMBER(BQ1095),BQ1095,"")</f>
        <v>1.3264167397065354</v>
      </c>
      <c r="CG1095" s="14" t="n">
        <f>IF(ISNUMBER(BU1095),BU1095,"")</f>
        <v>17</v>
      </c>
      <c r="CH1095" s="13" t="n">
        <f>IF(AND(COUNT(BV1095,CF1095,CG1095)=3,MIN(BV1095,CF1095,CG1095)&gt;=0),BV1095*CF1095*CG1095,"")</f>
        <v>0</v>
      </c>
      <c r="CI1095" s="13" t="n">
        <f>IF(COUNT(BY1095,CB1095,CE1095,CH1095)=4,SUM(BY1095,CB1095,CE1095,CH1095),"")</f>
        <v>0</v>
      </c>
    </row>
    <row r="1096" ht="72" customHeight="1">
      <c r="A1096" s="16" t="str">
        <v>B07-RD-Z-0-38</v>
      </c>
      <c r="B1096" s="16" t="str">
        <v>4店-彬郁-US</v>
      </c>
      <c r="C1096" s="16" t="str">
        <v>艾年</v>
      </c>
      <c r="D1096" s="26" t="n">
        <f>IF(NOT(ISNUMBER(E1096)),"",IF(OR(E1096&lt;=0,L1096=0),0,IF(OR(NOT(ISNUMBER(F1096)),F1096&lt;0),"",MIN(E1096,INT(F1096)))))</f>
        <v>0</v>
      </c>
      <c r="E1096" s="27" t="n">
        <f>IF(OR(NOT(ISNUMBER(L1096)),COUNT(M1096:O1096)&lt;&gt;3,MIN(M1096:O1096)&lt;0),"",ROUNDUP(ROUND(BI1096-SUM(M1096:O1096),10),0))</f>
        <v>-17</v>
      </c>
      <c r="F1096" s="28"/>
      <c r="G1096" s="28" t="n">
        <f>IF(AND(ISNUMBER(D1096),ISNUMBER(E1096)),IF(OR(E1096&lt;=0,L1096=0),0,E1096-D1096),"")</f>
        <v>0</v>
      </c>
      <c r="H1096" s="16" t="str">
        <f>IF(NOT(ISNUMBER(E1096)),"销量或海外库存待补",IF(OR(E1096&lt;=0,L1096=0),IF(L1096=0,"零日销，本批不发","本批无需补货"),IF(NOT(ISNUMBER(D1096)),"国内库存待补",IF(D1096=0,"国内无可用库存",IF(G1096&gt;0,"先发国内现货","按建议量发货")))))</f>
        <v>本批无需补货</v>
      </c>
      <c r="I1096" s="28" t="n">
        <f>IF(AND(COUNT(Z1096,AA1096,AB1096)=3,Z1096&gt;=AA1096,AA1096&gt;=0,AB1096=7),Z1096-AA1096,"")</f>
        <v>0</v>
      </c>
      <c r="J1096" s="28" t="n">
        <f>IF(AND(COUNT(AF1096,AG1096,AH1096)=3,AF1096&gt;=AG1096,AG1096&gt;=0,AH1096=14),AF1096-AG1096,"")</f>
        <v>0</v>
      </c>
      <c r="K1096" s="28" t="n">
        <f>IF(AND(COUNT(AL1096,AM1096,AN1096)=3,AL1096&gt;=AM1096,AM1096&gt;=0,AN1096=30),AL1096-AM1096,"")</f>
        <v>0</v>
      </c>
      <c r="L1096" s="29" t="n">
        <f>IF(ISNUMBER(BI1096),BI1096/90,"")</f>
        <v>0.05417988077498273</v>
      </c>
      <c r="M1096" s="28" t="n">
        <v>21</v>
      </c>
      <c r="N1096" s="28" t="n">
        <v>0</v>
      </c>
      <c r="O1096" s="28" t="n">
        <v>0</v>
      </c>
      <c r="P1096" s="30" t="n">
        <f>IF(AND(ISNUMBER(L1096),L1096&gt;0,COUNT(M1096:O1096)=3,MIN(M1096:O1096)&gt;=0),SUM(M1096:O1096)/L1096,"")</f>
        <v>387.5977521474473</v>
      </c>
      <c r="Q1096" s="16" t="str">
        <v>沿用原计划SKU店铺</v>
      </c>
      <c r="R1096" s="16" t="str">
        <v>未匹配</v>
      </c>
      <c r="S1096" s="16" t="str">
        <v>在售</v>
      </c>
      <c r="T1096" s="16" t="str">
        <v>B07</v>
      </c>
      <c r="U1096" s="16" t="str">
        <v>红色镜面PU</v>
      </c>
      <c r="V1096" s="16" t="n">
        <v>7</v>
      </c>
      <c r="W1096" s="8" t="str">
        <v>2026-10-11 至 2026-10-17</v>
      </c>
      <c r="X1096" s="8" t="str">
        <v>2026-10-11、2026-10-12、2026-10-13、2026-10-14、2026-10-15、2026-10-16、2026-10-17</v>
      </c>
      <c r="Y1096" s="8" t="str">
        <v>无</v>
      </c>
      <c r="Z1096" s="8" t="n">
        <v>0</v>
      </c>
      <c r="AA1096" s="8" t="n">
        <v>0</v>
      </c>
      <c r="AB1096" s="8" t="n">
        <v>7</v>
      </c>
      <c r="AC1096" s="8" t="str">
        <v>2026-10-02 至 2026-10-17</v>
      </c>
      <c r="AD1096" s="8" t="str">
        <v>2026-10-02、2026-10-03、2026-10-04、2026-10-05、2026-10-08、2026-10-09、2026-10-10、2026-10-11、2026-10-12、2026-10-13、2026-10-14、2026-10-15、2026-10-16、2026-10-17</v>
      </c>
      <c r="AE1096" s="8" t="str">
        <v>2026-10-06 大促；2026-10-07 大促</v>
      </c>
      <c r="AF1096" s="8" t="n">
        <v>0</v>
      </c>
      <c r="AG1096" s="8" t="n">
        <v>0</v>
      </c>
      <c r="AH1096" s="8" t="n">
        <v>14</v>
      </c>
      <c r="AI1096" s="8" t="str">
        <v>2026-09-16 至 2026-10-17</v>
      </c>
      <c r="AJ10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6" s="8" t="str">
        <v>2026-10-06 大促；2026-10-07 大促</v>
      </c>
      <c r="AL1096" s="8" t="n">
        <v>0</v>
      </c>
      <c r="AM1096" s="8" t="n">
        <v>0</v>
      </c>
      <c r="AN1096" s="8" t="n">
        <v>30</v>
      </c>
      <c r="AO1096" s="8" t="str">
        <v>B07 / 红色羊京绒 / 13306</v>
      </c>
      <c r="AP1096" s="11" t="n">
        <v>0.7307750238224848</v>
      </c>
      <c r="AQ1096" s="11" t="n">
        <v>0.7307750238224848</v>
      </c>
      <c r="AR1096" s="11" t="n">
        <v>0.7449809054134506</v>
      </c>
      <c r="AS1096" s="11" t="n">
        <f>IF(AND(COUNT(I1096:K1096,AP1096:AR1096)=6,MIN(AP1096:AR1096)&gt;0),I1096/7/AP1096*0.5+J1096/14/AQ1096*0.3+K1096/30/AR1096*0.2,"")</f>
        <v>0</v>
      </c>
      <c r="AT1096" s="8" t="n">
        <v>3</v>
      </c>
      <c r="AU1096" s="8" t="n">
        <v>0</v>
      </c>
      <c r="AV1096" s="8" t="n">
        <v>88</v>
      </c>
      <c r="AW1096" s="11" t="n">
        <f>IF(AND(COUNT(AT1096:AV1096)=3,AT1096&gt;=AU1096,AU1096&gt;=0,AV1096&gt;0),(AT1096-AU1096)/AV1096,"")</f>
        <v>0.03409090909090909</v>
      </c>
      <c r="AX1096" s="8" t="n">
        <v>8</v>
      </c>
      <c r="AY1096" s="8" t="n">
        <v>0</v>
      </c>
      <c r="AZ1096" s="8" t="n">
        <v>178</v>
      </c>
      <c r="BA1096" s="11" t="n">
        <f>IF(AND(COUNT(AX1096:AZ1096)=3,AX1096&gt;=AY1096,AY1096&gt;=0,AZ1096&gt;0),(AX1096-AY1096)/AZ1096,"")</f>
        <v>0.0449438202247191</v>
      </c>
      <c r="BB1096" s="8" t="n">
        <f>IF(COUNT(AS1096,AW1096,BA1096)=3,1,0)</f>
        <v>1</v>
      </c>
      <c r="BC1096" s="11" t="n">
        <f>IF(SUMIF($AO$11:$AO$1309,AO1096,$BB$11:$BB$1309)=COUNTIF($AO$11:$AO$1309,AO1096),SUMIF($AO$11:$AO$1309,AO1096,$AS$11:$AS$1309),"")</f>
        <v>0.5380867011380766</v>
      </c>
      <c r="BD1096" s="11" t="n">
        <f>IF(SUMIF($AO$11:$AO$1309,AO1096,$BB$11:$BB$1309)=COUNTIF($AO$11:$AO$1309,AO1096),SUMIF($AO$11:$AO$1309,AO1096,$AW$11:$AW$1309),"")</f>
        <v>0.35267379679144384</v>
      </c>
      <c r="BE1096" s="11" t="n">
        <f>IF(SUMIF($AO$11:$AO$1309,AO1096,$BB$11:$BB$1309)=COUNTIF($AO$11:$AO$1309,AO1096),SUMIF($AO$11:$AO$1309,AO1096,$BA$11:$BA$1309),"")</f>
        <v>0.28099518459069023</v>
      </c>
      <c r="BF1096" s="12" t="n">
        <f>IF(COUNT(BD1096:BE1096)&lt;&gt;2,"",IF(AND(BD1096&gt;0,BE1096&gt;0),0.7*AW1096/BD1096+0.3*BA1096/BE1096,IF(BD1096&gt;0,AW1096/BD1096,IF(BE1096&gt;0,BA1096/BE1096,IF(AND(ISNUMBER(BH1096),BH1096=0),0,"")))))</f>
        <v>0.11564844614739259</v>
      </c>
      <c r="BG1096" s="11" t="n">
        <f>IF(AND(COUNT(BN1096:BU1096)=8,MIN(BN1096:BU1096)&gt;=0),SUMPRODUCT(BN1096:BQ1096,BR1096:BU1096),"")</f>
        <v>78.35892944347341</v>
      </c>
      <c r="BH1096" s="11" t="n">
        <f>IF(COUNT(BC1096,BG1096)=2,BC1096*BG1096,"")</f>
        <v>42.16389784894991</v>
      </c>
      <c r="BI1096" s="11" t="n">
        <f>IF(ISNUMBER(CI1096),CI1096,"")</f>
        <v>4.876189269748446</v>
      </c>
      <c r="BJ1096" s="8" t="str">
        <v>低销提醒依据不完整</v>
      </c>
      <c r="BK1096" s="8" t="str">
        <v>90天：2026-07-20 至 2026-10-17；180天：2026-04-21 至 2026-10-17</v>
      </c>
      <c r="BL1096" s="8" t="str">
        <v>90天：2026-10-06、2026-10-07；180天：2026-10-06、2026-10-07</v>
      </c>
      <c r="BM1096" s="8" t="str">
        <v>2026-10：12天 × 0.7307750238224848；2026-11：30天 × 0.9523018155490097；2026-12：31天 × 0.5958545198749097；2027-01：17天 × 1.3264167397065354</v>
      </c>
      <c r="BN1096" s="11" t="n">
        <v>0.7307750238224848</v>
      </c>
      <c r="BO1096" s="11" t="n">
        <v>0.9523018155490097</v>
      </c>
      <c r="BP1096" s="11" t="n">
        <v>0.5958545198749097</v>
      </c>
      <c r="BQ1096" s="11" t="n">
        <v>1.3264167397065354</v>
      </c>
      <c r="BR1096" s="8" t="n">
        <v>12</v>
      </c>
      <c r="BS1096" s="8" t="n">
        <v>30</v>
      </c>
      <c r="BT1096" s="8" t="n">
        <v>31</v>
      </c>
      <c r="BU1096" s="8" t="n">
        <v>17</v>
      </c>
      <c r="BV1096" s="11" t="n">
        <f>IF(COUNT(BC1096,BF1096)=2,BC1096*BF1096,"")</f>
        <v>0.062228890879194976</v>
      </c>
      <c r="BW1096" s="11" t="n">
        <f>IF(ISNUMBER(BN1096),BN1096,"")</f>
        <v>0.7307750238224848</v>
      </c>
      <c r="BX1096" s="14" t="n">
        <f>IF(ISNUMBER(BR1096),BR1096,"")</f>
        <v>12</v>
      </c>
      <c r="BY1096" s="13" t="n">
        <f>IF(AND(COUNT(BV1096,BW1096,BX1096)=3,MIN(BV1096,BW1096,BX1096)&gt;=0),BV1096*BW1096*BX1096,"")</f>
        <v>0.5457038305762862</v>
      </c>
      <c r="BZ1096" s="11" t="n">
        <f>IF(ISNUMBER(BO1096),BO1096,"")</f>
        <v>0.9523018155490097</v>
      </c>
      <c r="CA1096" s="14" t="n">
        <f>IF(ISNUMBER(BS1096),BS1096,"")</f>
        <v>30</v>
      </c>
      <c r="CB1096" s="13" t="n">
        <f>IF(AND(COUNT(BV1096,BZ1096,CA1096)=3,MIN(BV1096,BZ1096,CA1096)&gt;=0),BV1096*BZ1096*CA1096,"")</f>
        <v>1.7778205729157577</v>
      </c>
      <c r="CC1096" s="11" t="n">
        <f>IF(ISNUMBER(BP1096),BP1096,"")</f>
        <v>0.5958545198749097</v>
      </c>
      <c r="CD1096" s="14" t="n">
        <f>IF(ISNUMBER(BT1096),BT1096,"")</f>
        <v>31</v>
      </c>
      <c r="CE1096" s="13" t="n">
        <f>IF(AND(COUNT(BV1096,CC1096,CD1096)=3,MIN(BV1096,CC1096,CD1096)&gt;=0),BV1096*CC1096*CD1096,"")</f>
        <v>1.149460342812297</v>
      </c>
      <c r="CF1096" s="11" t="n">
        <f>IF(ISNUMBER(BQ1096),BQ1096,"")</f>
        <v>1.3264167397065354</v>
      </c>
      <c r="CG1096" s="14" t="n">
        <f>IF(ISNUMBER(BU1096),BU1096,"")</f>
        <v>17</v>
      </c>
      <c r="CH1096" s="13" t="n">
        <f>IF(AND(COUNT(BV1096,CF1096,CG1096)=3,MIN(BV1096,CF1096,CG1096)&gt;=0),BV1096*CF1096*CG1096,"")</f>
        <v>1.4032045234441044</v>
      </c>
      <c r="CI1096" s="13" t="n">
        <f>IF(COUNT(BY1096,CB1096,CE1096,CH1096)=4,SUM(BY1096,CB1096,CE1096,CH1096),"")</f>
        <v>4.876189269748446</v>
      </c>
    </row>
    <row r="1097" ht="72" customHeight="1">
      <c r="A1097" s="16" t="str">
        <v>B07-RD-Z-0-39.5</v>
      </c>
      <c r="B1097" s="16" t="str">
        <v>4店-彬郁-US</v>
      </c>
      <c r="C1097" s="16" t="str">
        <v>艾年</v>
      </c>
      <c r="D1097" s="26" t="n">
        <f>IF(NOT(ISNUMBER(E1097)),"",IF(OR(E1097&lt;=0,L1097=0),0,IF(OR(NOT(ISNUMBER(F1097)),F1097&lt;0),"",MIN(E1097,INT(F1097)))))</f>
        <v>0</v>
      </c>
      <c r="E1097" s="27" t="n">
        <f>IF(OR(NOT(ISNUMBER(L1097)),COUNT(M1097:O1097)&lt;&gt;3,MIN(M1097:O1097)&lt;0),"",ROUNDUP(ROUND(BI1097-SUM(M1097:O1097),10),0))</f>
        <v>-13</v>
      </c>
      <c r="F1097" s="28" t="n">
        <v>0</v>
      </c>
      <c r="G1097" s="28" t="n">
        <f>IF(AND(ISNUMBER(D1097),ISNUMBER(E1097)),IF(OR(E1097&lt;=0,L1097=0),0,E1097-D1097),"")</f>
        <v>0</v>
      </c>
      <c r="H1097" s="16" t="str">
        <f>IF(NOT(ISNUMBER(E1097)),"销量或海外库存待补",IF(OR(E1097&lt;=0,L1097=0),IF(L1097=0,"零日销，本批不发","本批无需补货"),IF(NOT(ISNUMBER(D1097)),"国内库存待补",IF(D1097=0,"国内无可用库存",IF(G1097&gt;0,"先发国内现货","按建议量发货")))))</f>
        <v>本批无需补货</v>
      </c>
      <c r="I1097" s="28" t="n">
        <f>IF(AND(COUNT(Z1097,AA1097,AB1097)=3,Z1097&gt;=AA1097,AA1097&gt;=0,AB1097=7),Z1097-AA1097,"")</f>
        <v>1</v>
      </c>
      <c r="J1097" s="28" t="n">
        <f>IF(AND(COUNT(AF1097,AG1097,AH1097)=3,AF1097&gt;=AG1097,AG1097&gt;=0,AH1097=14),AF1097-AG1097,"")</f>
        <v>1</v>
      </c>
      <c r="K1097" s="28" t="n">
        <f>IF(AND(COUNT(AL1097,AM1097,AN1097)=3,AL1097&gt;=AM1097,AM1097&gt;=0,AN1097=30),AL1097-AM1097,"")</f>
        <v>1</v>
      </c>
      <c r="L1097" s="29" t="n">
        <f>IF(ISNUMBER(BI1097),BI1097/90,"")</f>
        <v>0.10982347040941727</v>
      </c>
      <c r="M1097" s="28" t="n">
        <v>21</v>
      </c>
      <c r="N1097" s="28" t="n">
        <v>1</v>
      </c>
      <c r="O1097" s="28" t="n">
        <v>0</v>
      </c>
      <c r="P1097" s="30" t="n">
        <f>IF(AND(ISNUMBER(L1097),L1097&gt;0,COUNT(M1097:O1097)=3,MIN(M1097:O1097)&gt;=0),SUM(M1097:O1097)/L1097,"")</f>
        <v>200.3214788058047</v>
      </c>
      <c r="Q1097" s="16" t="str">
        <v>沿用原计划SKU店铺</v>
      </c>
      <c r="R1097" s="16" t="str">
        <v>已匹配</v>
      </c>
      <c r="S1097" s="16" t="str">
        <v>在售</v>
      </c>
      <c r="T1097" s="16" t="str">
        <v>B07</v>
      </c>
      <c r="U1097" s="16" t="str">
        <v>红色镜面PU</v>
      </c>
      <c r="V1097" s="16" t="n">
        <v>8.5</v>
      </c>
      <c r="W1097" s="8" t="str">
        <v>2026-10-11 至 2026-10-17</v>
      </c>
      <c r="X1097" s="8" t="str">
        <v>2026-10-11、2026-10-12、2026-10-13、2026-10-14、2026-10-15、2026-10-16、2026-10-17</v>
      </c>
      <c r="Y1097" s="8" t="str">
        <v>无</v>
      </c>
      <c r="Z1097" s="8" t="n">
        <v>1</v>
      </c>
      <c r="AA1097" s="8" t="n">
        <v>0</v>
      </c>
      <c r="AB1097" s="8" t="n">
        <v>7</v>
      </c>
      <c r="AC1097" s="8" t="str">
        <v>2026-10-02 至 2026-10-17</v>
      </c>
      <c r="AD1097" s="8" t="str">
        <v>2026-10-02、2026-10-03、2026-10-04、2026-10-05、2026-10-08、2026-10-09、2026-10-10、2026-10-11、2026-10-12、2026-10-13、2026-10-14、2026-10-15、2026-10-16、2026-10-17</v>
      </c>
      <c r="AE1097" s="8" t="str">
        <v>2026-10-06 大促；2026-10-07 大促</v>
      </c>
      <c r="AF1097" s="8" t="n">
        <v>2</v>
      </c>
      <c r="AG1097" s="8" t="n">
        <v>1</v>
      </c>
      <c r="AH1097" s="8" t="n">
        <v>14</v>
      </c>
      <c r="AI1097" s="8" t="str">
        <v>2026-09-16 至 2026-10-17</v>
      </c>
      <c r="AJ10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7" s="8" t="str">
        <v>2026-10-06 大促；2026-10-07 大促</v>
      </c>
      <c r="AL1097" s="8" t="n">
        <v>2</v>
      </c>
      <c r="AM1097" s="8" t="n">
        <v>1</v>
      </c>
      <c r="AN1097" s="8" t="n">
        <v>30</v>
      </c>
      <c r="AO1097" s="8" t="str">
        <v>B07 / 红色羊京绒 / 13306</v>
      </c>
      <c r="AP1097" s="11" t="n">
        <v>0.7307750238224848</v>
      </c>
      <c r="AQ1097" s="11" t="n">
        <v>0.7307750238224848</v>
      </c>
      <c r="AR1097" s="11" t="n">
        <v>0.7449809054134506</v>
      </c>
      <c r="AS1097" s="11" t="n">
        <f>IF(AND(COUNT(I1097:K1097,AP1097:AR1097)=6,MIN(AP1097:AR1097)&gt;0),I1097/7/AP1097*0.5+J1097/14/AQ1097*0.3+K1097/30/AR1097*0.2,"")</f>
        <v>0.13601543709405306</v>
      </c>
      <c r="AT1097" s="8" t="n">
        <v>9</v>
      </c>
      <c r="AU1097" s="8" t="n">
        <v>1</v>
      </c>
      <c r="AV1097" s="8" t="n">
        <v>88</v>
      </c>
      <c r="AW1097" s="11" t="n">
        <f>IF(AND(COUNT(AT1097:AV1097)=3,AT1097&gt;=AU1097,AU1097&gt;=0,AV1097&gt;0),(AT1097-AU1097)/AV1097,"")</f>
        <v>0.09090909090909091</v>
      </c>
      <c r="AX1097" s="8" t="n">
        <v>10</v>
      </c>
      <c r="AY1097" s="8" t="n">
        <v>1</v>
      </c>
      <c r="AZ1097" s="8" t="n">
        <v>178</v>
      </c>
      <c r="BA1097" s="11" t="n">
        <f>IF(AND(COUNT(AX1097:AZ1097)=3,AX1097&gt;=AY1097,AY1097&gt;=0,AZ1097&gt;0),(AX1097-AY1097)/AZ1097,"")</f>
        <v>0.05056179775280899</v>
      </c>
      <c r="BB1097" s="8" t="n">
        <f>IF(COUNT(AS1097,AW1097,BA1097)=3,1,0)</f>
        <v>1</v>
      </c>
      <c r="BC1097" s="11" t="n">
        <f>IF(SUMIF($AO$11:$AO$1309,AO1097,$BB$11:$BB$1309)=COUNTIF($AO$11:$AO$1309,AO1097),SUMIF($AO$11:$AO$1309,AO1097,$AS$11:$AS$1309),"")</f>
        <v>0.5380867011380766</v>
      </c>
      <c r="BD1097" s="11" t="n">
        <f>IF(SUMIF($AO$11:$AO$1309,AO1097,$BB$11:$BB$1309)=COUNTIF($AO$11:$AO$1309,AO1097),SUMIF($AO$11:$AO$1309,AO1097,$AW$11:$AW$1309),"")</f>
        <v>0.35267379679144384</v>
      </c>
      <c r="BE1097" s="11" t="n">
        <f>IF(SUMIF($AO$11:$AO$1309,AO1097,$BB$11:$BB$1309)=COUNTIF($AO$11:$AO$1309,AO1097),SUMIF($AO$11:$AO$1309,AO1097,$BA$11:$BA$1309),"")</f>
        <v>0.28099518459069023</v>
      </c>
      <c r="BF1097" s="12" t="n">
        <f>IF(COUNT(BD1097:BE1097)&lt;&gt;2,"",IF(AND(BD1097&gt;0,BE1097&gt;0),0.7*AW1097/BD1097+0.3*BA1097/BE1097,IF(BD1097&gt;0,AW1097/BD1097,IF(BE1097&gt;0,BA1097/BE1097,IF(AND(ISNUMBER(BH1097),BH1097=0),0,"")))))</f>
        <v>0.23442121912582423</v>
      </c>
      <c r="BG1097" s="11" t="n">
        <f>IF(AND(COUNT(BN1097:BU1097)=8,MIN(BN1097:BU1097)&gt;=0),SUMPRODUCT(BN1097:BQ1097,BR1097:BU1097),"")</f>
        <v>78.35892944347341</v>
      </c>
      <c r="BH1097" s="11" t="n">
        <f>IF(COUNT(BC1097,BG1097)=2,BC1097*BG1097,"")</f>
        <v>42.16389784894991</v>
      </c>
      <c r="BI1097" s="11" t="n">
        <f>IF(ISNUMBER(CI1097),CI1097,"")</f>
        <v>9.884112336847554</v>
      </c>
      <c r="BJ1097" s="8" t="str">
        <v>低销提醒依据不完整</v>
      </c>
      <c r="BK1097" s="8" t="str">
        <v>90天：2026-07-20 至 2026-10-17；180天：2026-04-21 至 2026-10-17</v>
      </c>
      <c r="BL1097" s="8" t="str">
        <v>90天：2026-10-06、2026-10-07；180天：2026-10-06、2026-10-07</v>
      </c>
      <c r="BM1097" s="8" t="str">
        <v>2026-10：12天 × 0.7307750238224848；2026-11：30天 × 0.9523018155490097；2026-12：31天 × 0.5958545198749097；2027-01：17天 × 1.3264167397065354</v>
      </c>
      <c r="BN1097" s="11" t="n">
        <v>0.7307750238224848</v>
      </c>
      <c r="BO1097" s="11" t="n">
        <v>0.9523018155490097</v>
      </c>
      <c r="BP1097" s="11" t="n">
        <v>0.5958545198749097</v>
      </c>
      <c r="BQ1097" s="11" t="n">
        <v>1.3264167397065354</v>
      </c>
      <c r="BR1097" s="8" t="n">
        <v>12</v>
      </c>
      <c r="BS1097" s="8" t="n">
        <v>30</v>
      </c>
      <c r="BT1097" s="8" t="n">
        <v>31</v>
      </c>
      <c r="BU1097" s="8" t="n">
        <v>17</v>
      </c>
      <c r="BV1097" s="11" t="n">
        <f>IF(COUNT(BC1097,BF1097)=2,BC1097*BF1097,"")</f>
        <v>0.12613894047618093</v>
      </c>
      <c r="BW1097" s="11" t="n">
        <f>IF(ISNUMBER(BN1097),BN1097,"")</f>
        <v>0.7307750238224848</v>
      </c>
      <c r="BX1097" s="14" t="n">
        <f>IF(ISNUMBER(BR1097),BR1097,"")</f>
        <v>12</v>
      </c>
      <c r="BY1097" s="13" t="n">
        <f>IF(AND(COUNT(BV1097,BW1097,BX1097)=3,MIN(BV1097,BW1097,BX1097)&gt;=0),BV1097*BW1097*BX1097,"")</f>
        <v>1.1061502467770894</v>
      </c>
      <c r="BZ1097" s="11" t="n">
        <f>IF(ISNUMBER(BO1097),BO1097,"")</f>
        <v>0.9523018155490097</v>
      </c>
      <c r="CA1097" s="14" t="n">
        <f>IF(ISNUMBER(BS1097),BS1097,"")</f>
        <v>30</v>
      </c>
      <c r="CB1097" s="13" t="n">
        <f>IF(AND(COUNT(BV1097,BZ1097,CA1097)=3,MIN(BV1097,BZ1097,CA1097)&gt;=0),BV1097*BZ1097*CA1097,"")</f>
        <v>3.6036702608068674</v>
      </c>
      <c r="CC1097" s="11" t="n">
        <f>IF(ISNUMBER(BP1097),BP1097,"")</f>
        <v>0.5958545198749097</v>
      </c>
      <c r="CD1097" s="14" t="n">
        <f>IF(ISNUMBER(BT1097),BT1097,"")</f>
        <v>31</v>
      </c>
      <c r="CE1097" s="13" t="n">
        <f>IF(AND(COUNT(BV1097,CC1097,CD1097)=3,MIN(BV1097,CC1097,CD1097)&gt;=0),BV1097*CC1097*CD1097,"")</f>
        <v>2.3299741922639026</v>
      </c>
      <c r="CF1097" s="11" t="n">
        <f>IF(ISNUMBER(BQ1097),BQ1097,"")</f>
        <v>1.3264167397065354</v>
      </c>
      <c r="CG1097" s="14" t="n">
        <f>IF(ISNUMBER(BU1097),BU1097,"")</f>
        <v>17</v>
      </c>
      <c r="CH1097" s="13" t="n">
        <f>IF(AND(COUNT(BV1097,CF1097,CG1097)=3,MIN(BV1097,CF1097,CG1097)&gt;=0),BV1097*CF1097*CG1097,"")</f>
        <v>2.844317636999695</v>
      </c>
      <c r="CI1097" s="13" t="n">
        <f>IF(COUNT(BY1097,CB1097,CE1097,CH1097)=4,SUM(BY1097,CB1097,CE1097,CH1097),"")</f>
        <v>9.884112336847554</v>
      </c>
    </row>
    <row r="1098" ht="72" customHeight="1">
      <c r="A1098" s="16" t="str">
        <v>B07-RG-37-by</v>
      </c>
      <c r="B1098" s="16" t="str">
        <v>4店-彬郁-US</v>
      </c>
      <c r="C1098" s="16" t="str">
        <v>艾年</v>
      </c>
      <c r="D1098" s="26" t="n">
        <f>IF(NOT(ISNUMBER(E1098)),"",IF(OR(E1098&lt;=0,L1098=0),0,IF(OR(NOT(ISNUMBER(F1098)),F1098&lt;0),"",MIN(E1098,INT(F1098)))))</f>
        <v>0</v>
      </c>
      <c r="E1098" s="27" t="n">
        <f>IF(OR(NOT(ISNUMBER(L1098)),COUNT(M1098:O1098)&lt;&gt;3,MIN(M1098:O1098)&lt;0),"",ROUNDUP(ROUND(BI1098-SUM(M1098:O1098),10),0))</f>
        <v>-19</v>
      </c>
      <c r="F1098" s="28" t="n">
        <v>2</v>
      </c>
      <c r="G1098" s="28" t="n">
        <f>IF(AND(ISNUMBER(D1098),ISNUMBER(E1098)),IF(OR(E1098&lt;=0,L1098=0),0,E1098-D1098),"")</f>
        <v>0</v>
      </c>
      <c r="H1098" s="16" t="str">
        <f>IF(NOT(ISNUMBER(E1098)),"销量或海外库存待补",IF(OR(E1098&lt;=0,L1098=0),IF(L1098=0,"零日销，本批不发","本批无需补货"),IF(NOT(ISNUMBER(D1098)),"国内库存待补",IF(D1098=0,"国内无可用库存",IF(G1098&gt;0,"先发国内现货","按建议量发货")))))</f>
        <v>本批无需补货</v>
      </c>
      <c r="I1098" s="28" t="n">
        <f>IF(AND(COUNT(Z1098,AA1098,AB1098)=3,Z1098&gt;=AA1098,AA1098&gt;=0,AB1098=7),Z1098-AA1098,"")</f>
        <v>1</v>
      </c>
      <c r="J1098" s="28" t="n">
        <f>IF(AND(COUNT(AF1098,AG1098,AH1098)=3,AF1098&gt;=AG1098,AG1098&gt;=0,AH1098=14),AF1098-AG1098,"")</f>
        <v>1</v>
      </c>
      <c r="K1098" s="28" t="n">
        <f>IF(AND(COUNT(AL1098,AM1098,AN1098)=3,AL1098&gt;=AM1098,AM1098&gt;=0,AN1098=30),AL1098-AM1098,"")</f>
        <v>1</v>
      </c>
      <c r="L1098" s="29" t="n">
        <f>IF(ISNUMBER(BI1098),BI1098/90,"")</f>
        <v>0.02140082610814676</v>
      </c>
      <c r="M1098" s="28" t="n">
        <v>20</v>
      </c>
      <c r="N1098" s="28" t="n">
        <v>0</v>
      </c>
      <c r="O1098" s="28" t="n">
        <v>0</v>
      </c>
      <c r="P1098" s="30" t="n">
        <f>IF(AND(ISNUMBER(L1098),L1098&gt;0,COUNT(M1098:O1098)=3,MIN(M1098:O1098)&gt;=0),SUM(M1098:O1098)/L1098,"")</f>
        <v>934.5433629025423</v>
      </c>
      <c r="Q1098" s="16" t="str">
        <v>沿用原计划SKU店铺</v>
      </c>
      <c r="R1098" s="16" t="str">
        <v>已匹配</v>
      </c>
      <c r="S1098" s="16" t="str">
        <v>在售</v>
      </c>
      <c r="T1098" s="16" t="str">
        <v>B07</v>
      </c>
      <c r="U1098" s="16" t="str">
        <v>玫瑰金PU</v>
      </c>
      <c r="V1098" s="16" t="n">
        <v>6</v>
      </c>
      <c r="W1098" s="8" t="str">
        <v>2026-10-11 至 2026-10-17</v>
      </c>
      <c r="X1098" s="8" t="str">
        <v>2026-10-11、2026-10-12、2026-10-13、2026-10-14、2026-10-15、2026-10-16、2026-10-17</v>
      </c>
      <c r="Y1098" s="8" t="str">
        <v>无</v>
      </c>
      <c r="Z1098" s="8" t="n">
        <v>1</v>
      </c>
      <c r="AA1098" s="8" t="n">
        <v>0</v>
      </c>
      <c r="AB1098" s="8" t="n">
        <v>7</v>
      </c>
      <c r="AC1098" s="8" t="str">
        <v>2026-10-02 至 2026-10-17</v>
      </c>
      <c r="AD1098" s="8" t="str">
        <v>2026-10-02、2026-10-03、2026-10-04、2026-10-05、2026-10-08、2026-10-09、2026-10-10、2026-10-11、2026-10-12、2026-10-13、2026-10-14、2026-10-15、2026-10-16、2026-10-17</v>
      </c>
      <c r="AE1098" s="8" t="str">
        <v>2026-10-06 大促；2026-10-07 大促</v>
      </c>
      <c r="AF1098" s="8" t="n">
        <v>1</v>
      </c>
      <c r="AG1098" s="8" t="n">
        <v>0</v>
      </c>
      <c r="AH1098" s="8" t="n">
        <v>14</v>
      </c>
      <c r="AI1098" s="8" t="str">
        <v>2026-09-16 至 2026-10-17</v>
      </c>
      <c r="AJ10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8" s="8" t="str">
        <v>2026-10-06 大促；2026-10-07 大促</v>
      </c>
      <c r="AL1098" s="8" t="n">
        <v>1</v>
      </c>
      <c r="AM1098" s="8" t="n">
        <v>0</v>
      </c>
      <c r="AN1098" s="8" t="n">
        <v>30</v>
      </c>
      <c r="AO1098" s="8" t="str">
        <v>B07 / 玫瑰金PU / 13306</v>
      </c>
      <c r="AP1098" s="11" t="n">
        <v>0.7307750238224848</v>
      </c>
      <c r="AQ1098" s="11" t="n">
        <v>0.7307750238224848</v>
      </c>
      <c r="AR1098" s="11" t="n">
        <v>0.7449809054134506</v>
      </c>
      <c r="AS1098" s="11" t="n">
        <f>IF(AND(COUNT(I1098:K1098,AP1098:AR1098)=6,MIN(AP1098:AR1098)&gt;0),I1098/7/AP1098*0.5+J1098/14/AQ1098*0.3+K1098/30/AR1098*0.2,"")</f>
        <v>0.13601543709405306</v>
      </c>
      <c r="AT1098" s="8" t="n">
        <v>1</v>
      </c>
      <c r="AU1098" s="8" t="n">
        <v>0</v>
      </c>
      <c r="AV1098" s="8" t="n">
        <v>88</v>
      </c>
      <c r="AW1098" s="11" t="n">
        <f>IF(AND(COUNT(AT1098:AV1098)=3,AT1098&gt;=AU1098,AU1098&gt;=0,AV1098&gt;0),(AT1098-AU1098)/AV1098,"")</f>
        <v>0.011363636363636364</v>
      </c>
      <c r="AX1098" s="8" t="n">
        <v>7</v>
      </c>
      <c r="AY1098" s="8" t="n">
        <v>0</v>
      </c>
      <c r="AZ1098" s="8" t="n">
        <v>178</v>
      </c>
      <c r="BA1098" s="11" t="n">
        <f>IF(AND(COUNT(AX1098:AZ1098)=3,AX1098&gt;=AY1098,AY1098&gt;=0,AZ1098&gt;0),(AX1098-AY1098)/AZ1098,"")</f>
        <v>0.03932584269662921</v>
      </c>
      <c r="BB1098" s="8" t="n">
        <f>IF(COUNT(AS1098,AW1098,BA1098)=3,1,0)</f>
        <v>1</v>
      </c>
      <c r="BC1098" s="11" t="n">
        <f>IF(SUMIF($AO$11:$AO$1309,AO1098,$BB$11:$BB$1309)=COUNTIF($AO$11:$AO$1309,AO1098),SUMIF($AO$11:$AO$1309,AO1098,$AS$11:$AS$1309),"")</f>
        <v>0.21004839022398944</v>
      </c>
      <c r="BD1098" s="11" t="n">
        <f>IF(SUMIF($AO$11:$AO$1309,AO1098,$BB$11:$BB$1309)=COUNTIF($AO$11:$AO$1309,AO1098),SUMIF($AO$11:$AO$1309,AO1098,$AW$11:$AW$1309),"")</f>
        <v>0.13836898395721925</v>
      </c>
      <c r="BE1098" s="11" t="n">
        <f>IF(SUMIF($AO$11:$AO$1309,AO1098,$BB$11:$BB$1309)=COUNTIF($AO$11:$AO$1309,AO1098),SUMIF($AO$11:$AO$1309,AO1098,$BA$11:$BA$1309),"")</f>
        <v>0.19817014446227932</v>
      </c>
      <c r="BF1098" s="12" t="n">
        <f>IF(COUNT(BD1098:BE1098)&lt;&gt;2,"",IF(AND(BD1098&gt;0,BE1098&gt;0),0.7*AW1098/BD1098+0.3*BA1098/BE1098,IF(BD1098&gt;0,AW1098/BD1098,IF(BE1098&gt;0,BA1098/BE1098,IF(AND(ISNUMBER(BH1098),BH1098=0),0,"")))))</f>
        <v>0.1170213748355586</v>
      </c>
      <c r="BG1098" s="11" t="n">
        <f>IF(AND(COUNT(BN1098:BU1098)=8,MIN(BN1098:BU1098)&gt;=0),SUMPRODUCT(BN1098:BQ1098,BR1098:BU1098),"")</f>
        <v>78.35892944347341</v>
      </c>
      <c r="BH1098" s="11" t="n">
        <f>IF(COUNT(BC1098,BG1098)=2,BC1098*BG1098,"")</f>
        <v>16.45916698927676</v>
      </c>
      <c r="BI1098" s="11" t="n">
        <f>IF(ISNUMBER(CI1098),CI1098,"")</f>
        <v>1.9260743497332085</v>
      </c>
      <c r="BJ1098" s="8" t="str">
        <v>近180天本色销量32双（＜90），无有效新采购，请运营判断</v>
      </c>
      <c r="BK1098" s="8" t="str">
        <v>90天：2026-07-20 至 2026-10-17；180天：2026-04-21 至 2026-10-17</v>
      </c>
      <c r="BL1098" s="8" t="str">
        <v>90天：2026-10-06、2026-10-07；180天：2026-10-06、2026-10-07</v>
      </c>
      <c r="BM1098" s="8" t="str">
        <v>2026-10：12天 × 0.7307750238224848；2026-11：30天 × 0.9523018155490097；2026-12：31天 × 0.5958545198749097；2027-01：17天 × 1.3264167397065354</v>
      </c>
      <c r="BN1098" s="11" t="n">
        <v>0.7307750238224848</v>
      </c>
      <c r="BO1098" s="11" t="n">
        <v>0.9523018155490097</v>
      </c>
      <c r="BP1098" s="11" t="n">
        <v>0.5958545198749097</v>
      </c>
      <c r="BQ1098" s="11" t="n">
        <v>1.3264167397065354</v>
      </c>
      <c r="BR1098" s="8" t="n">
        <v>12</v>
      </c>
      <c r="BS1098" s="8" t="n">
        <v>30</v>
      </c>
      <c r="BT1098" s="8" t="n">
        <v>31</v>
      </c>
      <c r="BU1098" s="8" t="n">
        <v>17</v>
      </c>
      <c r="BV1098" s="11" t="n">
        <f>IF(COUNT(BC1098,BF1098)=2,BC1098*BF1098,"")</f>
        <v>0.024580151406007153</v>
      </c>
      <c r="BW1098" s="11" t="n">
        <f>IF(ISNUMBER(BN1098),BN1098,"")</f>
        <v>0.7307750238224848</v>
      </c>
      <c r="BX1098" s="14" t="n">
        <f>IF(ISNUMBER(BR1098),BR1098,"")</f>
        <v>12</v>
      </c>
      <c r="BY1098" s="13" t="n">
        <f>IF(AND(COUNT(BV1098,BW1098,BX1098)=3,MIN(BV1098,BW1098,BX1098)&gt;=0),BV1098*BW1098*BX1098,"")</f>
        <v>0.21555072875142195</v>
      </c>
      <c r="BZ1098" s="11" t="n">
        <f>IF(ISNUMBER(BO1098),BO1098,"")</f>
        <v>0.9523018155490097</v>
      </c>
      <c r="CA1098" s="14" t="n">
        <f>IF(ISNUMBER(BS1098),BS1098,"")</f>
        <v>30</v>
      </c>
      <c r="CB1098" s="13" t="n">
        <f>IF(AND(COUNT(BV1098,BZ1098,CA1098)=3,MIN(BV1098,BZ1098,CA1098)&gt;=0),BV1098*BZ1098*CA1098,"")</f>
        <v>0.7022316843123046</v>
      </c>
      <c r="CC1098" s="11" t="n">
        <f>IF(ISNUMBER(BP1098),BP1098,"")</f>
        <v>0.5958545198749097</v>
      </c>
      <c r="CD1098" s="14" t="n">
        <f>IF(ISNUMBER(BT1098),BT1098,"")</f>
        <v>31</v>
      </c>
      <c r="CE1098" s="13" t="n">
        <f>IF(AND(COUNT(BV1098,CC1098,CD1098)=3,MIN(BV1098,CC1098,CD1098)&gt;=0),BV1098*CC1098*CD1098,"")</f>
        <v>0.4540320237488483</v>
      </c>
      <c r="CF1098" s="11" t="n">
        <f>IF(ISNUMBER(BQ1098),BQ1098,"")</f>
        <v>1.3264167397065354</v>
      </c>
      <c r="CG1098" s="14" t="n">
        <f>IF(ISNUMBER(BU1098),BU1098,"")</f>
        <v>17</v>
      </c>
      <c r="CH1098" s="13" t="n">
        <f>IF(AND(COUNT(BV1098,CF1098,CG1098)=3,MIN(BV1098,CF1098,CG1098)&gt;=0),BV1098*CF1098*CG1098,"")</f>
        <v>0.5542599129206334</v>
      </c>
      <c r="CI1098" s="13" t="n">
        <f>IF(COUNT(BY1098,CB1098,CE1098,CH1098)=4,SUM(BY1098,CB1098,CE1098,CH1098),"")</f>
        <v>1.9260743497332085</v>
      </c>
    </row>
    <row r="1099" ht="72" customHeight="1">
      <c r="A1099" s="16" t="str">
        <v>B07-RG-37.5</v>
      </c>
      <c r="B1099" s="16" t="str">
        <v>4店-彬郁-US</v>
      </c>
      <c r="C1099" s="16" t="str">
        <v>艾年</v>
      </c>
      <c r="D1099" s="26" t="n">
        <f>IF(NOT(ISNUMBER(E1099)),"",IF(OR(E1099&lt;=0,L1099=0),0,IF(OR(NOT(ISNUMBER(F1099)),F1099&lt;0),"",MIN(E1099,INT(F1099)))))</f>
        <v>0</v>
      </c>
      <c r="E1099" s="27" t="n">
        <f>IF(OR(NOT(ISNUMBER(L1099)),COUNT(M1099:O1099)&lt;&gt;3,MIN(M1099:O1099)&lt;0),"",ROUNDUP(ROUND(BI1099-SUM(M1099:O1099),10),0))</f>
        <v>-7</v>
      </c>
      <c r="F1099" s="28" t="n">
        <v>4</v>
      </c>
      <c r="G1099" s="28" t="n">
        <f>IF(AND(ISNUMBER(D1099),ISNUMBER(E1099)),IF(OR(E1099&lt;=0,L1099=0),0,E1099-D1099),"")</f>
        <v>0</v>
      </c>
      <c r="H1099" s="16" t="str">
        <f>IF(NOT(ISNUMBER(E1099)),"销量或海外库存待补",IF(OR(E1099&lt;=0,L1099=0),IF(L1099=0,"零日销，本批不发","本批无需补货"),IF(NOT(ISNUMBER(D1099)),"国内库存待补",IF(D1099=0,"国内无可用库存",IF(G1099&gt;0,"先发国内现货","按建议量发货")))))</f>
        <v>本批无需补货</v>
      </c>
      <c r="I1099" s="28" t="n">
        <f>IF(AND(COUNT(Z1099,AA1099,AB1099)=3,Z1099&gt;=AA1099,AA1099&gt;=0,AB1099=7),Z1099-AA1099,"")</f>
        <v>0</v>
      </c>
      <c r="J1099" s="28" t="n">
        <f>IF(AND(COUNT(AF1099,AG1099,AH1099)=3,AF1099&gt;=AG1099,AG1099&gt;=0,AH1099=14),AF1099-AG1099,"")</f>
        <v>1</v>
      </c>
      <c r="K1099" s="28" t="n">
        <f>IF(AND(COUNT(AL1099,AM1099,AN1099)=3,AL1099&gt;=AM1099,AM1099&gt;=0,AN1099=30),AL1099-AM1099,"")</f>
        <v>1</v>
      </c>
      <c r="L1099" s="29" t="n">
        <f>IF(ISNUMBER(BI1099),BI1099/90,"")</f>
        <v>0.012068721059958092</v>
      </c>
      <c r="M1099" s="28" t="n">
        <v>8</v>
      </c>
      <c r="N1099" s="28" t="n">
        <v>0</v>
      </c>
      <c r="O1099" s="28" t="n">
        <v>0</v>
      </c>
      <c r="P1099" s="30" t="n">
        <f>IF(AND(ISNUMBER(L1099),L1099&gt;0,COUNT(M1099:O1099)=3,MIN(M1099:O1099)&gt;=0),SUM(M1099:O1099)/L1099,"")</f>
        <v>662.8705693217654</v>
      </c>
      <c r="Q1099" s="16" t="str">
        <v>沿用原计划SKU店铺</v>
      </c>
      <c r="R1099" s="16" t="str">
        <v>已匹配</v>
      </c>
      <c r="S1099" s="16" t="str">
        <v>在售</v>
      </c>
      <c r="T1099" s="16" t="str">
        <v>B07</v>
      </c>
      <c r="U1099" s="16" t="str">
        <v>玫瑰金PU</v>
      </c>
      <c r="V1099" s="16" t="n">
        <v>6.5</v>
      </c>
      <c r="W1099" s="8" t="str">
        <v>2026-10-11 至 2026-10-17</v>
      </c>
      <c r="X1099" s="8" t="str">
        <v>2026-10-11、2026-10-12、2026-10-13、2026-10-14、2026-10-15、2026-10-16、2026-10-17</v>
      </c>
      <c r="Y1099" s="8" t="str">
        <v>无</v>
      </c>
      <c r="Z1099" s="8" t="n">
        <v>0</v>
      </c>
      <c r="AA1099" s="8" t="n">
        <v>0</v>
      </c>
      <c r="AB1099" s="8" t="n">
        <v>7</v>
      </c>
      <c r="AC1099" s="8" t="str">
        <v>2026-10-02 至 2026-10-17</v>
      </c>
      <c r="AD1099" s="8" t="str">
        <v>2026-10-02、2026-10-03、2026-10-04、2026-10-05、2026-10-08、2026-10-09、2026-10-10、2026-10-11、2026-10-12、2026-10-13、2026-10-14、2026-10-15、2026-10-16、2026-10-17</v>
      </c>
      <c r="AE1099" s="8" t="str">
        <v>2026-10-06 大促；2026-10-07 大促</v>
      </c>
      <c r="AF1099" s="8" t="n">
        <v>2</v>
      </c>
      <c r="AG1099" s="8" t="n">
        <v>1</v>
      </c>
      <c r="AH1099" s="8" t="n">
        <v>14</v>
      </c>
      <c r="AI1099" s="8" t="str">
        <v>2026-09-16 至 2026-10-17</v>
      </c>
      <c r="AJ10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099" s="8" t="str">
        <v>2026-10-06 大促；2026-10-07 大促</v>
      </c>
      <c r="AL1099" s="8" t="n">
        <v>2</v>
      </c>
      <c r="AM1099" s="8" t="n">
        <v>1</v>
      </c>
      <c r="AN1099" s="8" t="n">
        <v>30</v>
      </c>
      <c r="AO1099" s="8" t="str">
        <v>B07 / 玫瑰金PU / 13306</v>
      </c>
      <c r="AP1099" s="11" t="n">
        <v>0.7307750238224848</v>
      </c>
      <c r="AQ1099" s="11" t="n">
        <v>0.7307750238224848</v>
      </c>
      <c r="AR1099" s="11" t="n">
        <v>0.7449809054134506</v>
      </c>
      <c r="AS1099" s="11" t="n">
        <f>IF(AND(COUNT(I1099:K1099,AP1099:AR1099)=6,MIN(AP1099:AR1099)&gt;0),I1099/7/AP1099*0.5+J1099/14/AQ1099*0.3+K1099/30/AR1099*0.2,"")</f>
        <v>0.038271851038049046</v>
      </c>
      <c r="AT1099" s="8" t="n">
        <v>2</v>
      </c>
      <c r="AU1099" s="8" t="n">
        <v>1</v>
      </c>
      <c r="AV1099" s="8" t="n">
        <v>88</v>
      </c>
      <c r="AW1099" s="11" t="n">
        <f>IF(AND(COUNT(AT1099:AV1099)=3,AT1099&gt;=AU1099,AU1099&gt;=0,AV1099&gt;0),(AT1099-AU1099)/AV1099,"")</f>
        <v>0.011363636363636364</v>
      </c>
      <c r="AX1099" s="8" t="n">
        <v>2</v>
      </c>
      <c r="AY1099" s="8" t="n">
        <v>1</v>
      </c>
      <c r="AZ1099" s="8" t="n">
        <v>178</v>
      </c>
      <c r="BA1099" s="11" t="n">
        <f>IF(AND(COUNT(AX1099:AZ1099)=3,AX1099&gt;=AY1099,AY1099&gt;=0,AZ1099&gt;0),(AX1099-AY1099)/AZ1099,"")</f>
        <v>0.0056179775280898875</v>
      </c>
      <c r="BB1099" s="8" t="n">
        <f>IF(COUNT(AS1099,AW1099,BA1099)=3,1,0)</f>
        <v>1</v>
      </c>
      <c r="BC1099" s="11" t="n">
        <f>IF(SUMIF($AO$11:$AO$1309,AO1099,$BB$11:$BB$1309)=COUNTIF($AO$11:$AO$1309,AO1099),SUMIF($AO$11:$AO$1309,AO1099,$AS$11:$AS$1309),"")</f>
        <v>0.21004839022398944</v>
      </c>
      <c r="BD1099" s="11" t="n">
        <f>IF(SUMIF($AO$11:$AO$1309,AO1099,$BB$11:$BB$1309)=COUNTIF($AO$11:$AO$1309,AO1099),SUMIF($AO$11:$AO$1309,AO1099,$AW$11:$AW$1309),"")</f>
        <v>0.13836898395721925</v>
      </c>
      <c r="BE1099" s="11" t="n">
        <f>IF(SUMIF($AO$11:$AO$1309,AO1099,$BB$11:$BB$1309)=COUNTIF($AO$11:$AO$1309,AO1099),SUMIF($AO$11:$AO$1309,AO1099,$BA$11:$BA$1309),"")</f>
        <v>0.19817014446227932</v>
      </c>
      <c r="BF1099" s="12" t="n">
        <f>IF(COUNT(BD1099:BE1099)&lt;&gt;2,"",IF(AND(BD1099&gt;0,BE1099&gt;0),0.7*AW1099/BD1099+0.3*BA1099/BE1099,IF(BD1099&gt;0,AW1099/BD1099,IF(BE1099&gt;0,BA1099/BE1099,IF(AND(ISNUMBER(BH1099),BH1099=0),0,"")))))</f>
        <v>0.06599270158106324</v>
      </c>
      <c r="BG1099" s="11" t="n">
        <f>IF(AND(COUNT(BN1099:BU1099)=8,MIN(BN1099:BU1099)&gt;=0),SUMPRODUCT(BN1099:BQ1099,BR1099:BU1099),"")</f>
        <v>78.35892944347341</v>
      </c>
      <c r="BH1099" s="11" t="n">
        <f>IF(COUNT(BC1099,BG1099)=2,BC1099*BG1099,"")</f>
        <v>16.45916698927676</v>
      </c>
      <c r="BI1099" s="11" t="n">
        <f>IF(ISNUMBER(CI1099),CI1099,"")</f>
        <v>1.0861848953962283</v>
      </c>
      <c r="BJ1099" s="8" t="str">
        <v>近180天本色销量10双（＜90），无有效新采购，请运营判断</v>
      </c>
      <c r="BK1099" s="8" t="str">
        <v>90天：2026-07-20 至 2026-10-17；180天：2026-04-21 至 2026-10-17</v>
      </c>
      <c r="BL1099" s="8" t="str">
        <v>90天：2026-10-06、2026-10-07；180天：2026-10-06、2026-10-07</v>
      </c>
      <c r="BM1099" s="8" t="str">
        <v>2026-10：12天 × 0.7307750238224848；2026-11：30天 × 0.9523018155490097；2026-12：31天 × 0.5958545198749097；2027-01：17天 × 1.3264167397065354</v>
      </c>
      <c r="BN1099" s="11" t="n">
        <v>0.7307750238224848</v>
      </c>
      <c r="BO1099" s="11" t="n">
        <v>0.9523018155490097</v>
      </c>
      <c r="BP1099" s="11" t="n">
        <v>0.5958545198749097</v>
      </c>
      <c r="BQ1099" s="11" t="n">
        <v>1.3264167397065354</v>
      </c>
      <c r="BR1099" s="8" t="n">
        <v>12</v>
      </c>
      <c r="BS1099" s="8" t="n">
        <v>30</v>
      </c>
      <c r="BT1099" s="8" t="n">
        <v>31</v>
      </c>
      <c r="BU1099" s="8" t="n">
        <v>17</v>
      </c>
      <c r="BV1099" s="11" t="n">
        <f>IF(COUNT(BC1099,BF1099)=2,BC1099*BF1099,"")</f>
        <v>0.013861660733634457</v>
      </c>
      <c r="BW1099" s="11" t="n">
        <f>IF(ISNUMBER(BN1099),BN1099,"")</f>
        <v>0.7307750238224848</v>
      </c>
      <c r="BX1099" s="14" t="n">
        <f>IF(ISNUMBER(BR1099),BR1099,"")</f>
        <v>12</v>
      </c>
      <c r="BY1099" s="13" t="n">
        <f>IF(AND(COUNT(BV1099,BW1099,BX1099)=3,MIN(BV1099,BW1099,BX1099)&gt;=0),BV1099*BW1099*BX1099,"")</f>
        <v>0.12155706543409106</v>
      </c>
      <c r="BZ1099" s="11" t="n">
        <f>IF(ISNUMBER(BO1099),BO1099,"")</f>
        <v>0.9523018155490097</v>
      </c>
      <c r="CA1099" s="14" t="n">
        <f>IF(ISNUMBER(BS1099),BS1099,"")</f>
        <v>30</v>
      </c>
      <c r="CB1099" s="13" t="n">
        <f>IF(AND(COUNT(BV1099,BZ1099,CA1099)=3,MIN(BV1099,BZ1099,CA1099)&gt;=0),BV1099*BZ1099*CA1099,"")</f>
        <v>0.39601454049493534</v>
      </c>
      <c r="CC1099" s="11" t="n">
        <f>IF(ISNUMBER(BP1099),BP1099,"")</f>
        <v>0.5958545198749097</v>
      </c>
      <c r="CD1099" s="14" t="n">
        <f>IF(ISNUMBER(BT1099),BT1099,"")</f>
        <v>31</v>
      </c>
      <c r="CE1099" s="13" t="n">
        <f>IF(AND(COUNT(BV1099,CC1099,CD1099)=3,MIN(BV1099,CC1099,CD1099)&gt;=0),BV1099*CC1099*CD1099,"")</f>
        <v>0.256045529234368</v>
      </c>
      <c r="CF1099" s="11" t="n">
        <f>IF(ISNUMBER(BQ1099),BQ1099,"")</f>
        <v>1.3264167397065354</v>
      </c>
      <c r="CG1099" s="14" t="n">
        <f>IF(ISNUMBER(BU1099),BU1099,"")</f>
        <v>17</v>
      </c>
      <c r="CH1099" s="13" t="n">
        <f>IF(AND(COUNT(BV1099,CF1099,CG1099)=3,MIN(BV1099,CF1099,CG1099)&gt;=0),BV1099*CF1099*CG1099,"")</f>
        <v>0.3125677602328338</v>
      </c>
      <c r="CI1099" s="13" t="n">
        <f>IF(COUNT(BY1099,CB1099,CE1099,CH1099)=4,SUM(BY1099,CB1099,CE1099,CH1099),"")</f>
        <v>1.0861848953962283</v>
      </c>
    </row>
    <row r="1100" ht="72" customHeight="1">
      <c r="A1100" s="16" t="str">
        <v>B07-RG-38-by</v>
      </c>
      <c r="B1100" s="16" t="str">
        <v>4店-彬郁-US</v>
      </c>
      <c r="C1100" s="16" t="str">
        <v>艾年</v>
      </c>
      <c r="D1100" s="26" t="n">
        <f>IF(NOT(ISNUMBER(E1100)),"",IF(OR(E1100&lt;=0,L1100=0),0,IF(OR(NOT(ISNUMBER(F1100)),F1100&lt;0),"",MIN(E1100,INT(F1100)))))</f>
        <v>0</v>
      </c>
      <c r="E1100" s="27" t="n">
        <f>IF(OR(NOT(ISNUMBER(L1100)),COUNT(M1100:O1100)&lt;&gt;3,MIN(M1100:O1100)&lt;0),"",ROUNDUP(ROUND(BI1100-SUM(M1100:O1100),10),0))</f>
        <v>-9</v>
      </c>
      <c r="F1100" s="28" t="n">
        <v>0</v>
      </c>
      <c r="G1100" s="28" t="n">
        <f>IF(AND(ISNUMBER(D1100),ISNUMBER(E1100)),IF(OR(E1100&lt;=0,L1100=0),0,E1100-D1100),"")</f>
        <v>0</v>
      </c>
      <c r="H1100" s="16" t="str">
        <f>IF(NOT(ISNUMBER(E1100)),"销量或海外库存待补",IF(OR(E1100&lt;=0,L1100=0),IF(L1100=0,"零日销，本批不发","本批无需补货"),IF(NOT(ISNUMBER(D1100)),"国内库存待补",IF(D1100=0,"国内无可用库存",IF(G1100&gt;0,"先发国内现货","按建议量发货")))))</f>
        <v>本批无需补货</v>
      </c>
      <c r="I1100" s="28" t="n">
        <f>IF(AND(COUNT(Z1100,AA1100,AB1100)=3,Z1100&gt;=AA1100,AA1100&gt;=0,AB1100=7),Z1100-AA1100,"")</f>
        <v>0</v>
      </c>
      <c r="J1100" s="28" t="n">
        <f>IF(AND(COUNT(AF1100,AG1100,AH1100)=3,AF1100&gt;=AG1100,AG1100&gt;=0,AH1100=14),AF1100-AG1100,"")</f>
        <v>0</v>
      </c>
      <c r="K1100" s="28" t="n">
        <f>IF(AND(COUNT(AL1100,AM1100,AN1100)=3,AL1100&gt;=AM1100,AM1100&gt;=0,AN1100=30),AL1100-AM1100,"")</f>
        <v>2</v>
      </c>
      <c r="L1100" s="29" t="n">
        <f>IF(ISNUMBER(BI1100),BI1100/90,"")</f>
        <v>0.028803494644010507</v>
      </c>
      <c r="M1100" s="28" t="n">
        <v>11</v>
      </c>
      <c r="N1100" s="28" t="n">
        <v>0</v>
      </c>
      <c r="O1100" s="28" t="n">
        <v>0</v>
      </c>
      <c r="P1100" s="30" t="n">
        <f>IF(AND(ISNUMBER(L1100),L1100&gt;0,COUNT(M1100:O1100)=3,MIN(M1100:O1100)&gt;=0),SUM(M1100:O1100)/L1100,"")</f>
        <v>381.8981042387985</v>
      </c>
      <c r="Q1100" s="16" t="str">
        <v>沿用原计划SKU店铺</v>
      </c>
      <c r="R1100" s="16" t="str">
        <v>已匹配</v>
      </c>
      <c r="S1100" s="16" t="str">
        <v>在售</v>
      </c>
      <c r="T1100" s="16" t="str">
        <v>B07</v>
      </c>
      <c r="U1100" s="16" t="str">
        <v>玫瑰金PU</v>
      </c>
      <c r="V1100" s="16" t="n">
        <v>7</v>
      </c>
      <c r="W1100" s="8" t="str">
        <v>2026-10-11 至 2026-10-17</v>
      </c>
      <c r="X1100" s="8" t="str">
        <v>2026-10-11、2026-10-12、2026-10-13、2026-10-14、2026-10-15、2026-10-16、2026-10-17</v>
      </c>
      <c r="Y1100" s="8" t="str">
        <v>无</v>
      </c>
      <c r="Z1100" s="8" t="n">
        <v>0</v>
      </c>
      <c r="AA1100" s="8" t="n">
        <v>0</v>
      </c>
      <c r="AB1100" s="8" t="n">
        <v>7</v>
      </c>
      <c r="AC1100" s="8" t="str">
        <v>2026-10-02 至 2026-10-17</v>
      </c>
      <c r="AD1100" s="8" t="str">
        <v>2026-10-02、2026-10-03、2026-10-04、2026-10-05、2026-10-08、2026-10-09、2026-10-10、2026-10-11、2026-10-12、2026-10-13、2026-10-14、2026-10-15、2026-10-16、2026-10-17</v>
      </c>
      <c r="AE1100" s="8" t="str">
        <v>2026-10-06 大促；2026-10-07 大促</v>
      </c>
      <c r="AF1100" s="8" t="n">
        <v>0</v>
      </c>
      <c r="AG1100" s="8" t="n">
        <v>0</v>
      </c>
      <c r="AH1100" s="8" t="n">
        <v>14</v>
      </c>
      <c r="AI1100" s="8" t="str">
        <v>2026-09-16 至 2026-10-17</v>
      </c>
      <c r="AJ11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0" s="8" t="str">
        <v>2026-10-06 大促；2026-10-07 大促</v>
      </c>
      <c r="AL1100" s="8" t="n">
        <v>2</v>
      </c>
      <c r="AM1100" s="8" t="n">
        <v>0</v>
      </c>
      <c r="AN1100" s="8" t="n">
        <v>30</v>
      </c>
      <c r="AO1100" s="8" t="str">
        <v>B07 / 玫瑰金PU / 13306</v>
      </c>
      <c r="AP1100" s="11" t="n">
        <v>0.7307750238224848</v>
      </c>
      <c r="AQ1100" s="11" t="n">
        <v>0.7307750238224848</v>
      </c>
      <c r="AR1100" s="11" t="n">
        <v>0.7449809054134506</v>
      </c>
      <c r="AS1100" s="11" t="n">
        <f>IF(AND(COUNT(I1100:K1100,AP1100:AR1100)=6,MIN(AP1100:AR1100)&gt;0),I1100/7/AP1100*0.5+J1100/14/AQ1100*0.3+K1100/30/AR1100*0.2,"")</f>
        <v>0.017897550442495677</v>
      </c>
      <c r="AT1100" s="8" t="n">
        <v>2</v>
      </c>
      <c r="AU1100" s="8" t="n">
        <v>0</v>
      </c>
      <c r="AV1100" s="8" t="n">
        <v>88</v>
      </c>
      <c r="AW1100" s="11" t="n">
        <f>IF(AND(COUNT(AT1100:AV1100)=3,AT1100&gt;=AU1100,AU1100&gt;=0,AV1100&gt;0),(AT1100-AU1100)/AV1100,"")</f>
        <v>0.022727272727272728</v>
      </c>
      <c r="AX1100" s="8" t="n">
        <v>5</v>
      </c>
      <c r="AY1100" s="8" t="n">
        <v>0</v>
      </c>
      <c r="AZ1100" s="8" t="n">
        <v>178</v>
      </c>
      <c r="BA1100" s="11" t="n">
        <f>IF(AND(COUNT(AX1100:AZ1100)=3,AX1100&gt;=AY1100,AY1100&gt;=0,AZ1100&gt;0),(AX1100-AY1100)/AZ1100,"")</f>
        <v>0.028089887640449437</v>
      </c>
      <c r="BB1100" s="8" t="n">
        <f>IF(COUNT(AS1100,AW1100,BA1100)=3,1,0)</f>
        <v>1</v>
      </c>
      <c r="BC1100" s="11" t="n">
        <f>IF(SUMIF($AO$11:$AO$1309,AO1100,$BB$11:$BB$1309)=COUNTIF($AO$11:$AO$1309,AO1100),SUMIF($AO$11:$AO$1309,AO1100,$AS$11:$AS$1309),"")</f>
        <v>0.21004839022398944</v>
      </c>
      <c r="BD1100" s="11" t="n">
        <f>IF(SUMIF($AO$11:$AO$1309,AO1100,$BB$11:$BB$1309)=COUNTIF($AO$11:$AO$1309,AO1100),SUMIF($AO$11:$AO$1309,AO1100,$AW$11:$AW$1309),"")</f>
        <v>0.13836898395721925</v>
      </c>
      <c r="BE1100" s="11" t="n">
        <f>IF(SUMIF($AO$11:$AO$1309,AO1100,$BB$11:$BB$1309)=COUNTIF($AO$11:$AO$1309,AO1100),SUMIF($AO$11:$AO$1309,AO1100,$BA$11:$BA$1309),"")</f>
        <v>0.19817014446227932</v>
      </c>
      <c r="BF1100" s="12" t="n">
        <f>IF(COUNT(BD1100:BE1100)&lt;&gt;2,"",IF(AND(BD1100&gt;0,BE1100&gt;0),0.7*AW1100/BD1100+0.3*BA1100/BE1100,IF(BD1100&gt;0,AW1100/BD1100,IF(BE1100&gt;0,BA1100/BE1100,IF(AND(ISNUMBER(BH1100),BH1100=0),0,"")))))</f>
        <v>0.15749973978937415</v>
      </c>
      <c r="BG1100" s="11" t="n">
        <f>IF(AND(COUNT(BN1100:BU1100)=8,MIN(BN1100:BU1100)&gt;=0),SUMPRODUCT(BN1100:BQ1100,BR1100:BU1100),"")</f>
        <v>78.35892944347341</v>
      </c>
      <c r="BH1100" s="11" t="n">
        <f>IF(COUNT(BC1100,BG1100)=2,BC1100*BG1100,"")</f>
        <v>16.45916698927676</v>
      </c>
      <c r="BI1100" s="11" t="n">
        <f>IF(ISNUMBER(CI1100),CI1100,"")</f>
        <v>2.5923145179609457</v>
      </c>
      <c r="BJ1100" s="8" t="str">
        <v>近180天本色销量32双（＜90），无有效新采购，请运营判断</v>
      </c>
      <c r="BK1100" s="8" t="str">
        <v>90天：2026-07-20 至 2026-10-17；180天：2026-04-21 至 2026-10-17</v>
      </c>
      <c r="BL1100" s="8" t="str">
        <v>90天：2026-10-06、2026-10-07；180天：2026-10-06、2026-10-07</v>
      </c>
      <c r="BM1100" s="8" t="str">
        <v>2026-10：12天 × 0.7307750238224848；2026-11：30天 × 0.9523018155490097；2026-12：31天 × 0.5958545198749097；2027-01：17天 × 1.3264167397065354</v>
      </c>
      <c r="BN1100" s="11" t="n">
        <v>0.7307750238224848</v>
      </c>
      <c r="BO1100" s="11" t="n">
        <v>0.9523018155490097</v>
      </c>
      <c r="BP1100" s="11" t="n">
        <v>0.5958545198749097</v>
      </c>
      <c r="BQ1100" s="11" t="n">
        <v>1.3264167397065354</v>
      </c>
      <c r="BR1100" s="8" t="n">
        <v>12</v>
      </c>
      <c r="BS1100" s="8" t="n">
        <v>30</v>
      </c>
      <c r="BT1100" s="8" t="n">
        <v>31</v>
      </c>
      <c r="BU1100" s="8" t="n">
        <v>17</v>
      </c>
      <c r="BV1100" s="11" t="n">
        <f>IF(COUNT(BC1100,BF1100)=2,BC1100*BF1100,"")</f>
        <v>0.033082566803455254</v>
      </c>
      <c r="BW1100" s="11" t="n">
        <f>IF(ISNUMBER(BN1100),BN1100,"")</f>
        <v>0.7307750238224848</v>
      </c>
      <c r="BX1100" s="14" t="n">
        <f>IF(ISNUMBER(BR1100),BR1100,"")</f>
        <v>12</v>
      </c>
      <c r="BY1100" s="13" t="n">
        <f>IF(AND(COUNT(BV1100,BW1100,BX1100)=3,MIN(BV1100,BW1100,BX1100)&gt;=0),BV1100*BW1100*BX1100,"")</f>
        <v>0.29011096252684754</v>
      </c>
      <c r="BZ1100" s="11" t="n">
        <f>IF(ISNUMBER(BO1100),BO1100,"")</f>
        <v>0.9523018155490097</v>
      </c>
      <c r="CA1100" s="14" t="n">
        <f>IF(ISNUMBER(BS1100),BS1100,"")</f>
        <v>30</v>
      </c>
      <c r="CB1100" s="13" t="n">
        <f>IF(AND(COUNT(BV1100,BZ1100,CA1100)=3,MIN(BV1100,BZ1100,CA1100)&gt;=0),BV1100*BZ1100*CA1100,"")</f>
        <v>0.9451376528985551</v>
      </c>
      <c r="CC1100" s="11" t="n">
        <f>IF(ISNUMBER(BP1100),BP1100,"")</f>
        <v>0.5958545198749097</v>
      </c>
      <c r="CD1100" s="14" t="n">
        <f>IF(ISNUMBER(BT1100),BT1100,"")</f>
        <v>31</v>
      </c>
      <c r="CE1100" s="13" t="n">
        <f>IF(AND(COUNT(BV1100,CC1100,CD1100)=3,MIN(BV1100,CC1100,CD1100)&gt;=0),BV1100*CC1100*CD1100,"")</f>
        <v>0.6110843057259762</v>
      </c>
      <c r="CF1100" s="11" t="n">
        <f>IF(ISNUMBER(BQ1100),BQ1100,"")</f>
        <v>1.3264167397065354</v>
      </c>
      <c r="CG1100" s="14" t="n">
        <f>IF(ISNUMBER(BU1100),BU1100,"")</f>
        <v>17</v>
      </c>
      <c r="CH1100" s="13" t="n">
        <f>IF(AND(COUNT(BV1100,CF1100,CG1100)=3,MIN(BV1100,CF1100,CG1100)&gt;=0),BV1100*CF1100*CG1100,"")</f>
        <v>0.7459815968095672</v>
      </c>
      <c r="CI1100" s="13" t="n">
        <f>IF(COUNT(BY1100,CB1100,CE1100,CH1100)=4,SUM(BY1100,CB1100,CE1100,CH1100),"")</f>
        <v>2.5923145179609457</v>
      </c>
    </row>
    <row r="1101" ht="72" customHeight="1">
      <c r="A1101" s="16" t="str">
        <v>B07-RG-40.5</v>
      </c>
      <c r="B1101" s="16" t="str">
        <v>4店-彬郁-US</v>
      </c>
      <c r="C1101" s="16" t="str">
        <v>艾年</v>
      </c>
      <c r="D1101" s="26" t="n">
        <f>IF(NOT(ISNUMBER(E1101)),"",IF(OR(E1101&lt;=0,L1101=0),0,IF(OR(NOT(ISNUMBER(F1101)),F1101&lt;0),"",MIN(E1101,INT(F1101)))))</f>
        <v>0</v>
      </c>
      <c r="E1101" s="27" t="n">
        <f>IF(OR(NOT(ISNUMBER(L1101)),COUNT(M1101:O1101)&lt;&gt;3,MIN(M1101:O1101)&lt;0),"",ROUNDUP(ROUND(BI1101-SUM(M1101:O1101),10),0))</f>
        <v>-18</v>
      </c>
      <c r="F1101" s="28" t="n">
        <v>0</v>
      </c>
      <c r="G1101" s="28" t="n">
        <f>IF(AND(ISNUMBER(D1101),ISNUMBER(E1101)),IF(OR(E1101&lt;=0,L1101=0),0,E1101-D1101),"")</f>
        <v>0</v>
      </c>
      <c r="H1101" s="16" t="str">
        <f>IF(NOT(ISNUMBER(E1101)),"销量或海外库存待补",IF(OR(E1101&lt;=0,L1101=0),IF(L1101=0,"零日销，本批不发","本批无需补货"),IF(NOT(ISNUMBER(D1101)),"国内库存待补",IF(D1101=0,"国内无可用库存",IF(G1101&gt;0,"先发国内现货","按建议量发货")))))</f>
        <v>零日销，本批不发</v>
      </c>
      <c r="I1101" s="28" t="n">
        <f>IF(AND(COUNT(Z1101,AA1101,AB1101)=3,Z1101&gt;=AA1101,AA1101&gt;=0,AB1101=7),Z1101-AA1101,"")</f>
        <v>0</v>
      </c>
      <c r="J1101" s="28" t="n">
        <f>IF(AND(COUNT(AF1101,AG1101,AH1101)=3,AF1101&gt;=AG1101,AG1101&gt;=0,AH1101=14),AF1101-AG1101,"")</f>
        <v>0</v>
      </c>
      <c r="K1101" s="28" t="n">
        <f>IF(AND(COUNT(AL1101,AM1101,AN1101)=3,AL1101&gt;=AM1101,AM1101&gt;=0,AN1101=30),AL1101-AM1101,"")</f>
        <v>0</v>
      </c>
      <c r="L1101" s="29" t="n">
        <f>IF(ISNUMBER(BI1101),BI1101/90,"")</f>
        <v>0</v>
      </c>
      <c r="M1101" s="28" t="n">
        <v>18</v>
      </c>
      <c r="N1101" s="28" t="n">
        <v>0</v>
      </c>
      <c r="O1101" s="28" t="n">
        <v>0</v>
      </c>
      <c r="P1101" s="30" t="str">
        <f>IF(AND(ISNUMBER(L1101),L1101&gt;0,COUNT(M1101:O1101)=3,MIN(M1101:O1101)&gt;=0),SUM(M1101:O1101)/L1101,"")</f>
      </c>
      <c r="Q1101" s="16" t="str">
        <v>沿用原计划SKU店铺</v>
      </c>
      <c r="R1101" s="16" t="str">
        <v>已匹配</v>
      </c>
      <c r="S1101" s="16" t="str">
        <v>在售</v>
      </c>
      <c r="T1101" s="16" t="str">
        <v>B07</v>
      </c>
      <c r="U1101" s="16" t="str">
        <v>玫瑰金PU</v>
      </c>
      <c r="V1101" s="16" t="n">
        <v>9.5</v>
      </c>
      <c r="W1101" s="8" t="str">
        <v>2026-10-11 至 2026-10-17</v>
      </c>
      <c r="X1101" s="8" t="str">
        <v>2026-10-11、2026-10-12、2026-10-13、2026-10-14、2026-10-15、2026-10-16、2026-10-17</v>
      </c>
      <c r="Y1101" s="8" t="str">
        <v>无</v>
      </c>
      <c r="Z1101" s="8" t="n">
        <v>0</v>
      </c>
      <c r="AA1101" s="8" t="n">
        <v>0</v>
      </c>
      <c r="AB1101" s="8" t="n">
        <v>7</v>
      </c>
      <c r="AC1101" s="8" t="str">
        <v>2026-10-02 至 2026-10-17</v>
      </c>
      <c r="AD1101" s="8" t="str">
        <v>2026-10-02、2026-10-03、2026-10-04、2026-10-05、2026-10-08、2026-10-09、2026-10-10、2026-10-11、2026-10-12、2026-10-13、2026-10-14、2026-10-15、2026-10-16、2026-10-17</v>
      </c>
      <c r="AE1101" s="8" t="str">
        <v>2026-10-06 大促；2026-10-07 大促</v>
      </c>
      <c r="AF1101" s="8" t="n">
        <v>0</v>
      </c>
      <c r="AG1101" s="8" t="n">
        <v>0</v>
      </c>
      <c r="AH1101" s="8" t="n">
        <v>14</v>
      </c>
      <c r="AI1101" s="8" t="str">
        <v>2026-09-16 至 2026-10-17</v>
      </c>
      <c r="AJ11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1" s="8" t="str">
        <v>2026-10-06 大促；2026-10-07 大促</v>
      </c>
      <c r="AL1101" s="8" t="n">
        <v>0</v>
      </c>
      <c r="AM1101" s="8" t="n">
        <v>0</v>
      </c>
      <c r="AN1101" s="8" t="n">
        <v>30</v>
      </c>
      <c r="AO1101" s="8" t="str">
        <v>B07 / 玫瑰金PU / 13306</v>
      </c>
      <c r="AP1101" s="11" t="n">
        <v>0.7307750238224848</v>
      </c>
      <c r="AQ1101" s="11" t="n">
        <v>0.7307750238224848</v>
      </c>
      <c r="AR1101" s="11" t="n">
        <v>0.7449809054134506</v>
      </c>
      <c r="AS1101" s="11" t="n">
        <f>IF(AND(COUNT(I1101:K1101,AP1101:AR1101)=6,MIN(AP1101:AR1101)&gt;0),I1101/7/AP1101*0.5+J1101/14/AQ1101*0.3+K1101/30/AR1101*0.2,"")</f>
        <v>0</v>
      </c>
      <c r="AT1101" s="8" t="n">
        <v>0</v>
      </c>
      <c r="AU1101" s="8" t="n">
        <v>0</v>
      </c>
      <c r="AV1101" s="8" t="n">
        <v>88</v>
      </c>
      <c r="AW1101" s="11" t="n">
        <f>IF(AND(COUNT(AT1101:AV1101)=3,AT1101&gt;=AU1101,AU1101&gt;=0,AV1101&gt;0),(AT1101-AU1101)/AV1101,"")</f>
        <v>0</v>
      </c>
      <c r="AX1101" s="8" t="n">
        <v>0</v>
      </c>
      <c r="AY1101" s="8" t="n">
        <v>0</v>
      </c>
      <c r="AZ1101" s="8" t="n">
        <v>178</v>
      </c>
      <c r="BA1101" s="11" t="n">
        <f>IF(AND(COUNT(AX1101:AZ1101)=3,AX1101&gt;=AY1101,AY1101&gt;=0,AZ1101&gt;0),(AX1101-AY1101)/AZ1101,"")</f>
        <v>0</v>
      </c>
      <c r="BB1101" s="8" t="n">
        <f>IF(COUNT(AS1101,AW1101,BA1101)=3,1,0)</f>
        <v>1</v>
      </c>
      <c r="BC1101" s="11" t="n">
        <f>IF(SUMIF($AO$11:$AO$1309,AO1101,$BB$11:$BB$1309)=COUNTIF($AO$11:$AO$1309,AO1101),SUMIF($AO$11:$AO$1309,AO1101,$AS$11:$AS$1309),"")</f>
        <v>0.21004839022398944</v>
      </c>
      <c r="BD1101" s="11" t="n">
        <f>IF(SUMIF($AO$11:$AO$1309,AO1101,$BB$11:$BB$1309)=COUNTIF($AO$11:$AO$1309,AO1101),SUMIF($AO$11:$AO$1309,AO1101,$AW$11:$AW$1309),"")</f>
        <v>0.13836898395721925</v>
      </c>
      <c r="BE1101" s="11" t="n">
        <f>IF(SUMIF($AO$11:$AO$1309,AO1101,$BB$11:$BB$1309)=COUNTIF($AO$11:$AO$1309,AO1101),SUMIF($AO$11:$AO$1309,AO1101,$BA$11:$BA$1309),"")</f>
        <v>0.19817014446227932</v>
      </c>
      <c r="BF1101" s="12" t="n">
        <f>IF(COUNT(BD1101:BE1101)&lt;&gt;2,"",IF(AND(BD1101&gt;0,BE1101&gt;0),0.7*AW1101/BD1101+0.3*BA1101/BE1101,IF(BD1101&gt;0,AW1101/BD1101,IF(BE1101&gt;0,BA1101/BE1101,IF(AND(ISNUMBER(BH1101),BH1101=0),0,"")))))</f>
        <v>0</v>
      </c>
      <c r="BG1101" s="11" t="n">
        <f>IF(AND(COUNT(BN1101:BU1101)=8,MIN(BN1101:BU1101)&gt;=0),SUMPRODUCT(BN1101:BQ1101,BR1101:BU1101),"")</f>
        <v>78.35892944347341</v>
      </c>
      <c r="BH1101" s="11" t="n">
        <f>IF(COUNT(BC1101,BG1101)=2,BC1101*BG1101,"")</f>
        <v>16.45916698927676</v>
      </c>
      <c r="BI1101" s="11" t="n">
        <f>IF(ISNUMBER(CI1101),CI1101,"")</f>
        <v>0</v>
      </c>
      <c r="BJ1101" s="8" t="str">
        <v>近180天本色销量10双（＜90），无有效新采购，请运营判断</v>
      </c>
      <c r="BK1101" s="8" t="str">
        <v>90天：2026-07-20 至 2026-10-17；180天：2026-04-21 至 2026-10-17</v>
      </c>
      <c r="BL1101" s="8" t="str">
        <v>90天：2026-10-06、2026-10-07；180天：2026-10-06、2026-10-07</v>
      </c>
      <c r="BM1101" s="8" t="str">
        <v>2026-10：12天 × 0.7307750238224848；2026-11：30天 × 0.9523018155490097；2026-12：31天 × 0.5958545198749097；2027-01：17天 × 1.3264167397065354</v>
      </c>
      <c r="BN1101" s="11" t="n">
        <v>0.7307750238224848</v>
      </c>
      <c r="BO1101" s="11" t="n">
        <v>0.9523018155490097</v>
      </c>
      <c r="BP1101" s="11" t="n">
        <v>0.5958545198749097</v>
      </c>
      <c r="BQ1101" s="11" t="n">
        <v>1.3264167397065354</v>
      </c>
      <c r="BR1101" s="8" t="n">
        <v>12</v>
      </c>
      <c r="BS1101" s="8" t="n">
        <v>30</v>
      </c>
      <c r="BT1101" s="8" t="n">
        <v>31</v>
      </c>
      <c r="BU1101" s="8" t="n">
        <v>17</v>
      </c>
      <c r="BV1101" s="11" t="n">
        <f>IF(COUNT(BC1101,BF1101)=2,BC1101*BF1101,"")</f>
        <v>0</v>
      </c>
      <c r="BW1101" s="11" t="n">
        <f>IF(ISNUMBER(BN1101),BN1101,"")</f>
        <v>0.7307750238224848</v>
      </c>
      <c r="BX1101" s="14" t="n">
        <f>IF(ISNUMBER(BR1101),BR1101,"")</f>
        <v>12</v>
      </c>
      <c r="BY1101" s="13" t="n">
        <f>IF(AND(COUNT(BV1101,BW1101,BX1101)=3,MIN(BV1101,BW1101,BX1101)&gt;=0),BV1101*BW1101*BX1101,"")</f>
        <v>0</v>
      </c>
      <c r="BZ1101" s="11" t="n">
        <f>IF(ISNUMBER(BO1101),BO1101,"")</f>
        <v>0.9523018155490097</v>
      </c>
      <c r="CA1101" s="14" t="n">
        <f>IF(ISNUMBER(BS1101),BS1101,"")</f>
        <v>30</v>
      </c>
      <c r="CB1101" s="13" t="n">
        <f>IF(AND(COUNT(BV1101,BZ1101,CA1101)=3,MIN(BV1101,BZ1101,CA1101)&gt;=0),BV1101*BZ1101*CA1101,"")</f>
        <v>0</v>
      </c>
      <c r="CC1101" s="11" t="n">
        <f>IF(ISNUMBER(BP1101),BP1101,"")</f>
        <v>0.5958545198749097</v>
      </c>
      <c r="CD1101" s="14" t="n">
        <f>IF(ISNUMBER(BT1101),BT1101,"")</f>
        <v>31</v>
      </c>
      <c r="CE1101" s="13" t="n">
        <f>IF(AND(COUNT(BV1101,CC1101,CD1101)=3,MIN(BV1101,CC1101,CD1101)&gt;=0),BV1101*CC1101*CD1101,"")</f>
        <v>0</v>
      </c>
      <c r="CF1101" s="11" t="n">
        <f>IF(ISNUMBER(BQ1101),BQ1101,"")</f>
        <v>1.3264167397065354</v>
      </c>
      <c r="CG1101" s="14" t="n">
        <f>IF(ISNUMBER(BU1101),BU1101,"")</f>
        <v>17</v>
      </c>
      <c r="CH1101" s="13" t="n">
        <f>IF(AND(COUNT(BV1101,CF1101,CG1101)=3,MIN(BV1101,CF1101,CG1101)&gt;=0),BV1101*CF1101*CG1101,"")</f>
        <v>0</v>
      </c>
      <c r="CI1101" s="13" t="n">
        <f>IF(COUNT(BY1101,CB1101,CE1101,CH1101)=4,SUM(BY1101,CB1101,CE1101,CH1101),"")</f>
        <v>0</v>
      </c>
    </row>
    <row r="1102" ht="72" customHeight="1">
      <c r="A1102" s="16" t="str">
        <v>B07-RG-41-by</v>
      </c>
      <c r="B1102" s="16" t="str">
        <v>4店-彬郁-US</v>
      </c>
      <c r="C1102" s="16" t="str">
        <v>艾年</v>
      </c>
      <c r="D1102" s="26" t="n">
        <f>IF(NOT(ISNUMBER(E1102)),"",IF(OR(E1102&lt;=0,L1102=0),0,IF(OR(NOT(ISNUMBER(F1102)),F1102&lt;0),"",MIN(E1102,INT(F1102)))))</f>
        <v>0</v>
      </c>
      <c r="E1102" s="27" t="n">
        <f>IF(OR(NOT(ISNUMBER(L1102)),COUNT(M1102:O1102)&lt;&gt;3,MIN(M1102:O1102)&lt;0),"",ROUNDUP(ROUND(BI1102-SUM(M1102:O1102),10),0))</f>
        <v>-24</v>
      </c>
      <c r="F1102" s="28" t="n">
        <v>0</v>
      </c>
      <c r="G1102" s="28" t="n">
        <f>IF(AND(ISNUMBER(D1102),ISNUMBER(E1102)),IF(OR(E1102&lt;=0,L1102=0),0,E1102-D1102),"")</f>
        <v>0</v>
      </c>
      <c r="H1102" s="16" t="str">
        <f>IF(NOT(ISNUMBER(E1102)),"销量或海外库存待补",IF(OR(E1102&lt;=0,L1102=0),IF(L1102=0,"零日销，本批不发","本批无需补货"),IF(NOT(ISNUMBER(D1102)),"国内库存待补",IF(D1102=0,"国内无可用库存",IF(G1102&gt;0,"先发国内现货","按建议量发货")))))</f>
        <v>本批无需补货</v>
      </c>
      <c r="I1102" s="28" t="n">
        <f>IF(AND(COUNT(Z1102,AA1102,AB1102)=3,Z1102&gt;=AA1102,AA1102&gt;=0,AB1102=7),Z1102-AA1102,"")</f>
        <v>0</v>
      </c>
      <c r="J1102" s="28" t="n">
        <f>IF(AND(COUNT(AF1102,AG1102,AH1102)=3,AF1102&gt;=AG1102,AG1102&gt;=0,AH1102=14),AF1102-AG1102,"")</f>
        <v>0</v>
      </c>
      <c r="K1102" s="28" t="n">
        <f>IF(AND(COUNT(AL1102,AM1102,AN1102)=3,AL1102&gt;=AM1102,AM1102&gt;=0,AN1102=30),AL1102-AM1102,"")</f>
        <v>0</v>
      </c>
      <c r="L1102" s="29" t="n">
        <f>IF(ISNUMBER(BI1102),BI1102/90,"")</f>
        <v>0.0015553508413647776</v>
      </c>
      <c r="M1102" s="28" t="n">
        <v>24</v>
      </c>
      <c r="N1102" s="28" t="n">
        <v>0</v>
      </c>
      <c r="O1102" s="28" t="n">
        <v>0</v>
      </c>
      <c r="P1102" s="30" t="n">
        <f>IF(AND(ISNUMBER(L1102),L1102&gt;0,COUNT(M1102:O1102)=3,MIN(M1102:O1102)&gt;=0),SUM(M1102:O1102)/L1102,"")</f>
        <v>15430.602126360545</v>
      </c>
      <c r="Q1102" s="16" t="str">
        <v>沿用原计划SKU店铺</v>
      </c>
      <c r="R1102" s="16" t="str">
        <v>已匹配</v>
      </c>
      <c r="S1102" s="16" t="str">
        <v>在售</v>
      </c>
      <c r="T1102" s="16" t="str">
        <v>B07</v>
      </c>
      <c r="U1102" s="16" t="str">
        <v>玫瑰金PU</v>
      </c>
      <c r="V1102" s="16" t="n">
        <v>10</v>
      </c>
      <c r="W1102" s="8" t="str">
        <v>2026-10-11 至 2026-10-17</v>
      </c>
      <c r="X1102" s="8" t="str">
        <v>2026-10-11、2026-10-12、2026-10-13、2026-10-14、2026-10-15、2026-10-16、2026-10-17</v>
      </c>
      <c r="Y1102" s="8" t="str">
        <v>无</v>
      </c>
      <c r="Z1102" s="8" t="n">
        <v>0</v>
      </c>
      <c r="AA1102" s="8" t="n">
        <v>0</v>
      </c>
      <c r="AB1102" s="8" t="n">
        <v>7</v>
      </c>
      <c r="AC1102" s="8" t="str">
        <v>2026-10-02 至 2026-10-17</v>
      </c>
      <c r="AD1102" s="8" t="str">
        <v>2026-10-02、2026-10-03、2026-10-04、2026-10-05、2026-10-08、2026-10-09、2026-10-10、2026-10-11、2026-10-12、2026-10-13、2026-10-14、2026-10-15、2026-10-16、2026-10-17</v>
      </c>
      <c r="AE1102" s="8" t="str">
        <v>2026-10-06 大促；2026-10-07 大促</v>
      </c>
      <c r="AF1102" s="8" t="n">
        <v>0</v>
      </c>
      <c r="AG1102" s="8" t="n">
        <v>0</v>
      </c>
      <c r="AH1102" s="8" t="n">
        <v>14</v>
      </c>
      <c r="AI1102" s="8" t="str">
        <v>2026-09-16 至 2026-10-17</v>
      </c>
      <c r="AJ11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2" s="8" t="str">
        <v>2026-10-06 大促；2026-10-07 大促</v>
      </c>
      <c r="AL1102" s="8" t="n">
        <v>0</v>
      </c>
      <c r="AM1102" s="8" t="n">
        <v>0</v>
      </c>
      <c r="AN1102" s="8" t="n">
        <v>30</v>
      </c>
      <c r="AO1102" s="8" t="str">
        <v>B07 / 玫瑰金PU / 13306</v>
      </c>
      <c r="AP1102" s="11" t="n">
        <v>0.7307750238224848</v>
      </c>
      <c r="AQ1102" s="11" t="n">
        <v>0.7307750238224848</v>
      </c>
      <c r="AR1102" s="11" t="n">
        <v>0.7449809054134506</v>
      </c>
      <c r="AS1102" s="11" t="n">
        <f>IF(AND(COUNT(I1102:K1102,AP1102:AR1102)=6,MIN(AP1102:AR1102)&gt;0),I1102/7/AP1102*0.5+J1102/14/AQ1102*0.3+K1102/30/AR1102*0.2,"")</f>
        <v>0</v>
      </c>
      <c r="AT1102" s="8" t="n">
        <v>0</v>
      </c>
      <c r="AU1102" s="8" t="n">
        <v>0</v>
      </c>
      <c r="AV1102" s="8" t="n">
        <v>88</v>
      </c>
      <c r="AW1102" s="11" t="n">
        <f>IF(AND(COUNT(AT1102:AV1102)=3,AT1102&gt;=AU1102,AU1102&gt;=0,AV1102&gt;0),(AT1102-AU1102)/AV1102,"")</f>
        <v>0</v>
      </c>
      <c r="AX1102" s="8" t="n">
        <v>1</v>
      </c>
      <c r="AY1102" s="8" t="n">
        <v>0</v>
      </c>
      <c r="AZ1102" s="8" t="n">
        <v>178</v>
      </c>
      <c r="BA1102" s="11" t="n">
        <f>IF(AND(COUNT(AX1102:AZ1102)=3,AX1102&gt;=AY1102,AY1102&gt;=0,AZ1102&gt;0),(AX1102-AY1102)/AZ1102,"")</f>
        <v>0.0056179775280898875</v>
      </c>
      <c r="BB1102" s="8" t="n">
        <f>IF(COUNT(AS1102,AW1102,BA1102)=3,1,0)</f>
        <v>1</v>
      </c>
      <c r="BC1102" s="11" t="n">
        <f>IF(SUMIF($AO$11:$AO$1309,AO1102,$BB$11:$BB$1309)=COUNTIF($AO$11:$AO$1309,AO1102),SUMIF($AO$11:$AO$1309,AO1102,$AS$11:$AS$1309),"")</f>
        <v>0.21004839022398944</v>
      </c>
      <c r="BD1102" s="11" t="n">
        <f>IF(SUMIF($AO$11:$AO$1309,AO1102,$BB$11:$BB$1309)=COUNTIF($AO$11:$AO$1309,AO1102),SUMIF($AO$11:$AO$1309,AO1102,$AW$11:$AW$1309),"")</f>
        <v>0.13836898395721925</v>
      </c>
      <c r="BE1102" s="11" t="n">
        <f>IF(SUMIF($AO$11:$AO$1309,AO1102,$BB$11:$BB$1309)=COUNTIF($AO$11:$AO$1309,AO1102),SUMIF($AO$11:$AO$1309,AO1102,$BA$11:$BA$1309),"")</f>
        <v>0.19817014446227932</v>
      </c>
      <c r="BF1102" s="12" t="n">
        <f>IF(COUNT(BD1102:BE1102)&lt;&gt;2,"",IF(AND(BD1102&gt;0,BE1102&gt;0),0.7*AW1102/BD1102+0.3*BA1102/BE1102,IF(BD1102&gt;0,AW1102/BD1102,IF(BE1102&gt;0,BA1102/BE1102,IF(AND(ISNUMBER(BH1102),BH1102=0),0,"")))))</f>
        <v>0.00850477887574923</v>
      </c>
      <c r="BG1102" s="11" t="n">
        <f>IF(AND(COUNT(BN1102:BU1102)=8,MIN(BN1102:BU1102)&gt;=0),SUMPRODUCT(BN1102:BQ1102,BR1102:BU1102),"")</f>
        <v>78.35892944347341</v>
      </c>
      <c r="BH1102" s="11" t="n">
        <f>IF(COUNT(BC1102,BG1102)=2,BC1102*BG1102,"")</f>
        <v>16.45916698927676</v>
      </c>
      <c r="BI1102" s="11" t="n">
        <f>IF(ISNUMBER(CI1102),CI1102,"")</f>
        <v>0.13998157572283</v>
      </c>
      <c r="BJ1102" s="8" t="str">
        <v>近180天本色销量32双（＜90），无有效新采购，请运营判断</v>
      </c>
      <c r="BK1102" s="8" t="str">
        <v>90天：2026-07-20 至 2026-10-17；180天：2026-04-21 至 2026-10-17</v>
      </c>
      <c r="BL1102" s="8" t="str">
        <v>90天：2026-10-06、2026-10-07；180天：2026-10-06、2026-10-07</v>
      </c>
      <c r="BM1102" s="8" t="str">
        <v>2026-10：12天 × 0.7307750238224848；2026-11：30天 × 0.9523018155490097；2026-12：31天 × 0.5958545198749097；2027-01：17天 × 1.3264167397065354</v>
      </c>
      <c r="BN1102" s="11" t="n">
        <v>0.7307750238224848</v>
      </c>
      <c r="BO1102" s="11" t="n">
        <v>0.9523018155490097</v>
      </c>
      <c r="BP1102" s="11" t="n">
        <v>0.5958545198749097</v>
      </c>
      <c r="BQ1102" s="11" t="n">
        <v>1.3264167397065354</v>
      </c>
      <c r="BR1102" s="8" t="n">
        <v>12</v>
      </c>
      <c r="BS1102" s="8" t="n">
        <v>30</v>
      </c>
      <c r="BT1102" s="8" t="n">
        <v>31</v>
      </c>
      <c r="BU1102" s="8" t="n">
        <v>17</v>
      </c>
      <c r="BV1102" s="11" t="n">
        <f>IF(COUNT(BC1102,BF1102)=2,BC1102*BF1102,"")</f>
        <v>0.0017864151120621163</v>
      </c>
      <c r="BW1102" s="11" t="n">
        <f>IF(ISNUMBER(BN1102),BN1102,"")</f>
        <v>0.7307750238224848</v>
      </c>
      <c r="BX1102" s="14" t="n">
        <f>IF(ISNUMBER(BR1102),BR1102,"")</f>
        <v>12</v>
      </c>
      <c r="BY1102" s="13" t="n">
        <f>IF(AND(COUNT(BV1102,BW1102,BX1102)=3,MIN(BV1102,BW1102,BX1102)&gt;=0),BV1102*BW1102*BX1102,"")</f>
        <v>0.01566561055288848</v>
      </c>
      <c r="BZ1102" s="11" t="n">
        <f>IF(ISNUMBER(BO1102),BO1102,"")</f>
        <v>0.9523018155490097</v>
      </c>
      <c r="CA1102" s="14" t="n">
        <f>IF(ISNUMBER(BS1102),BS1102,"")</f>
        <v>30</v>
      </c>
      <c r="CB1102" s="13" t="n">
        <f>IF(AND(COUNT(BV1102,BZ1102,CA1102)=3,MIN(BV1102,BZ1102,CA1102)&gt;=0),BV1102*BZ1102*CA1102,"")</f>
        <v>0.051036190636228225</v>
      </c>
      <c r="CC1102" s="11" t="n">
        <f>IF(ISNUMBER(BP1102),BP1102,"")</f>
        <v>0.5958545198749097</v>
      </c>
      <c r="CD1102" s="14" t="n">
        <f>IF(ISNUMBER(BT1102),BT1102,"")</f>
        <v>31</v>
      </c>
      <c r="CE1102" s="13" t="n">
        <f>IF(AND(COUNT(BV1102,CC1102,CD1102)=3,MIN(BV1102,CC1102,CD1102)&gt;=0),BV1102*CC1102*CD1102,"")</f>
        <v>0.03299774908574671</v>
      </c>
      <c r="CF1102" s="11" t="n">
        <f>IF(ISNUMBER(BQ1102),BQ1102,"")</f>
        <v>1.3264167397065354</v>
      </c>
      <c r="CG1102" s="14" t="n">
        <f>IF(ISNUMBER(BU1102),BU1102,"")</f>
        <v>17</v>
      </c>
      <c r="CH1102" s="13" t="n">
        <f>IF(AND(COUNT(BV1102,CF1102,CG1102)=3,MIN(BV1102,CF1102,CG1102)&gt;=0),BV1102*CF1102*CG1102,"")</f>
        <v>0.04028202544796659</v>
      </c>
      <c r="CI1102" s="13" t="n">
        <f>IF(COUNT(BY1102,CB1102,CE1102,CH1102)=4,SUM(BY1102,CB1102,CE1102,CH1102),"")</f>
        <v>0.13998157572283</v>
      </c>
    </row>
    <row r="1103" ht="72" customHeight="1">
      <c r="A1103" s="16" t="str">
        <v>B07-RG-41.5</v>
      </c>
      <c r="B1103" s="16" t="str">
        <v>4店-彬郁-US</v>
      </c>
      <c r="C1103" s="16" t="str">
        <v>艾年</v>
      </c>
      <c r="D1103" s="26" t="n">
        <f>IF(NOT(ISNUMBER(E1103)),"",IF(OR(E1103&lt;=0,L1103=0),0,IF(OR(NOT(ISNUMBER(F1103)),F1103&lt;0),"",MIN(E1103,INT(F1103)))))</f>
        <v>0</v>
      </c>
      <c r="E1103" s="27" t="n">
        <f>IF(OR(NOT(ISNUMBER(L1103)),COUNT(M1103:O1103)&lt;&gt;3,MIN(M1103:O1103)&lt;0),"",ROUNDUP(ROUND(BI1103-SUM(M1103:O1103),10),0))</f>
        <v>-3</v>
      </c>
      <c r="F1103" s="28"/>
      <c r="G1103" s="28" t="n">
        <f>IF(AND(ISNUMBER(D1103),ISNUMBER(E1103)),IF(OR(E1103&lt;=0,L1103=0),0,E1103-D1103),"")</f>
        <v>0</v>
      </c>
      <c r="H1103" s="16" t="str">
        <f>IF(NOT(ISNUMBER(E1103)),"销量或海外库存待补",IF(OR(E1103&lt;=0,L1103=0),IF(L1103=0,"零日销，本批不发","本批无需补货"),IF(NOT(ISNUMBER(D1103)),"国内库存待补",IF(D1103=0,"国内无可用库存",IF(G1103&gt;0,"先发国内现货","按建议量发货")))))</f>
        <v>本批无需补货</v>
      </c>
      <c r="I1103" s="28" t="n">
        <f>IF(AND(COUNT(Z1103,AA1103,AB1103)=3,Z1103&gt;=AA1103,AA1103&gt;=0,AB1103=7),Z1103-AA1103,"")</f>
        <v>0</v>
      </c>
      <c r="J1103" s="28" t="n">
        <f>IF(AND(COUNT(AF1103,AG1103,AH1103)=3,AF1103&gt;=AG1103,AG1103&gt;=0,AH1103=14),AF1103-AG1103,"")</f>
        <v>0</v>
      </c>
      <c r="K1103" s="28" t="n">
        <f>IF(AND(COUNT(AL1103,AM1103,AN1103)=3,AL1103&gt;=AM1103,AM1103&gt;=0,AN1103=30),AL1103-AM1103,"")</f>
        <v>1</v>
      </c>
      <c r="L1103" s="29" t="n">
        <f>IF(ISNUMBER(BI1103),BI1103/90,"")</f>
        <v>0.01362407190132287</v>
      </c>
      <c r="M1103" s="28" t="n">
        <v>4</v>
      </c>
      <c r="N1103" s="28" t="n">
        <v>0</v>
      </c>
      <c r="O1103" s="28" t="n">
        <v>0</v>
      </c>
      <c r="P1103" s="30" t="n">
        <f>IF(AND(ISNUMBER(L1103),L1103&gt;0,COUNT(M1103:O1103)=3,MIN(M1103:O1103)&gt;=0),SUM(M1103:O1103)/L1103,"")</f>
        <v>293.59798076312325</v>
      </c>
      <c r="Q1103" s="16" t="str">
        <v>沿用原计划SKU店铺</v>
      </c>
      <c r="R1103" s="16" t="str">
        <v>未匹配</v>
      </c>
      <c r="S1103" s="16" t="str">
        <v>在售</v>
      </c>
      <c r="T1103" s="16" t="str">
        <v>B07</v>
      </c>
      <c r="U1103" s="16" t="str">
        <v>玫瑰金PU</v>
      </c>
      <c r="V1103" s="16" t="n">
        <v>10.5</v>
      </c>
      <c r="W1103" s="8" t="str">
        <v>2026-10-11 至 2026-10-17</v>
      </c>
      <c r="X1103" s="8" t="str">
        <v>2026-10-11、2026-10-12、2026-10-13、2026-10-14、2026-10-15、2026-10-16、2026-10-17</v>
      </c>
      <c r="Y1103" s="8" t="str">
        <v>无</v>
      </c>
      <c r="Z1103" s="8" t="n">
        <v>0</v>
      </c>
      <c r="AA1103" s="8" t="n">
        <v>0</v>
      </c>
      <c r="AB1103" s="8" t="n">
        <v>7</v>
      </c>
      <c r="AC1103" s="8" t="str">
        <v>2026-10-02 至 2026-10-17</v>
      </c>
      <c r="AD1103" s="8" t="str">
        <v>2026-10-02、2026-10-03、2026-10-04、2026-10-05、2026-10-08、2026-10-09、2026-10-10、2026-10-11、2026-10-12、2026-10-13、2026-10-14、2026-10-15、2026-10-16、2026-10-17</v>
      </c>
      <c r="AE1103" s="8" t="str">
        <v>2026-10-06 大促；2026-10-07 大促</v>
      </c>
      <c r="AF1103" s="8" t="n">
        <v>0</v>
      </c>
      <c r="AG1103" s="8" t="n">
        <v>0</v>
      </c>
      <c r="AH1103" s="8" t="n">
        <v>14</v>
      </c>
      <c r="AI1103" s="8" t="str">
        <v>2026-09-16 至 2026-10-17</v>
      </c>
      <c r="AJ11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3" s="8" t="str">
        <v>2026-10-06 大促；2026-10-07 大促</v>
      </c>
      <c r="AL1103" s="8" t="n">
        <v>1</v>
      </c>
      <c r="AM1103" s="8" t="n">
        <v>0</v>
      </c>
      <c r="AN1103" s="8" t="n">
        <v>30</v>
      </c>
      <c r="AO1103" s="8" t="str">
        <v>B07 / 玫瑰金PU / 13306</v>
      </c>
      <c r="AP1103" s="11" t="n">
        <v>0.7307750238224848</v>
      </c>
      <c r="AQ1103" s="11" t="n">
        <v>0.7307750238224848</v>
      </c>
      <c r="AR1103" s="11" t="n">
        <v>0.7449809054134506</v>
      </c>
      <c r="AS1103" s="11" t="n">
        <f>IF(AND(COUNT(I1103:K1103,AP1103:AR1103)=6,MIN(AP1103:AR1103)&gt;0),I1103/7/AP1103*0.5+J1103/14/AQ1103*0.3+K1103/30/AR1103*0.2,"")</f>
        <v>0.008948775221247839</v>
      </c>
      <c r="AT1103" s="8" t="n">
        <v>1</v>
      </c>
      <c r="AU1103" s="8" t="n">
        <v>0</v>
      </c>
      <c r="AV1103" s="8" t="n">
        <v>88</v>
      </c>
      <c r="AW1103" s="11" t="n">
        <f>IF(AND(COUNT(AT1103:AV1103)=3,AT1103&gt;=AU1103,AU1103&gt;=0,AV1103&gt;0),(AT1103-AU1103)/AV1103,"")</f>
        <v>0.011363636363636364</v>
      </c>
      <c r="AX1103" s="8" t="n">
        <v>2</v>
      </c>
      <c r="AY1103" s="8" t="n">
        <v>0</v>
      </c>
      <c r="AZ1103" s="8" t="n">
        <v>178</v>
      </c>
      <c r="BA1103" s="11" t="n">
        <f>IF(AND(COUNT(AX1103:AZ1103)=3,AX1103&gt;=AY1103,AY1103&gt;=0,AZ1103&gt;0),(AX1103-AY1103)/AZ1103,"")</f>
        <v>0.011235955056179775</v>
      </c>
      <c r="BB1103" s="8" t="n">
        <f>IF(COUNT(AS1103,AW1103,BA1103)=3,1,0)</f>
        <v>1</v>
      </c>
      <c r="BC1103" s="11" t="n">
        <f>IF(SUMIF($AO$11:$AO$1309,AO1103,$BB$11:$BB$1309)=COUNTIF($AO$11:$AO$1309,AO1103),SUMIF($AO$11:$AO$1309,AO1103,$AS$11:$AS$1309),"")</f>
        <v>0.21004839022398944</v>
      </c>
      <c r="BD1103" s="11" t="n">
        <f>IF(SUMIF($AO$11:$AO$1309,AO1103,$BB$11:$BB$1309)=COUNTIF($AO$11:$AO$1309,AO1103),SUMIF($AO$11:$AO$1309,AO1103,$AW$11:$AW$1309),"")</f>
        <v>0.13836898395721925</v>
      </c>
      <c r="BE1103" s="11" t="n">
        <f>IF(SUMIF($AO$11:$AO$1309,AO1103,$BB$11:$BB$1309)=COUNTIF($AO$11:$AO$1309,AO1103),SUMIF($AO$11:$AO$1309,AO1103,$BA$11:$BA$1309),"")</f>
        <v>0.19817014446227932</v>
      </c>
      <c r="BF1103" s="12" t="n">
        <f>IF(COUNT(BD1103:BE1103)&lt;&gt;2,"",IF(AND(BD1103&gt;0,BE1103&gt;0),0.7*AW1103/BD1103+0.3*BA1103/BE1103,IF(BD1103&gt;0,AW1103/BD1103,IF(BE1103&gt;0,BA1103/BE1103,IF(AND(ISNUMBER(BH1103),BH1103=0),0,"")))))</f>
        <v>0.07449748045681247</v>
      </c>
      <c r="BG1103" s="11" t="n">
        <f>IF(AND(COUNT(BN1103:BU1103)=8,MIN(BN1103:BU1103)&gt;=0),SUMPRODUCT(BN1103:BQ1103,BR1103:BU1103),"")</f>
        <v>78.35892944347341</v>
      </c>
      <c r="BH1103" s="11" t="n">
        <f>IF(COUNT(BC1103,BG1103)=2,BC1103*BG1103,"")</f>
        <v>16.45916698927676</v>
      </c>
      <c r="BI1103" s="11" t="n">
        <f>IF(ISNUMBER(CI1103),CI1103,"")</f>
        <v>1.2261664711190583</v>
      </c>
      <c r="BJ1103" s="8" t="str">
        <v>近180天本色销量10双（＜90），无有效新采购，请运营判断</v>
      </c>
      <c r="BK1103" s="8" t="str">
        <v>90天：2026-07-20 至 2026-10-17；180天：2026-04-21 至 2026-10-17</v>
      </c>
      <c r="BL1103" s="8" t="str">
        <v>90天：2026-10-06、2026-10-07；180天：2026-10-06、2026-10-07</v>
      </c>
      <c r="BM1103" s="8" t="str">
        <v>2026-10：12天 × 0.7307750238224848；2026-11：30天 × 0.9523018155490097；2026-12：31天 × 0.5958545198749097；2027-01：17天 × 1.3264167397065354</v>
      </c>
      <c r="BN1103" s="11" t="n">
        <v>0.7307750238224848</v>
      </c>
      <c r="BO1103" s="11" t="n">
        <v>0.9523018155490097</v>
      </c>
      <c r="BP1103" s="11" t="n">
        <v>0.5958545198749097</v>
      </c>
      <c r="BQ1103" s="11" t="n">
        <v>1.3264167397065354</v>
      </c>
      <c r="BR1103" s="8" t="n">
        <v>12</v>
      </c>
      <c r="BS1103" s="8" t="n">
        <v>30</v>
      </c>
      <c r="BT1103" s="8" t="n">
        <v>31</v>
      </c>
      <c r="BU1103" s="8" t="n">
        <v>17</v>
      </c>
      <c r="BV1103" s="11" t="n">
        <f>IF(COUNT(BC1103,BF1103)=2,BC1103*BF1103,"")</f>
        <v>0.015648075845696573</v>
      </c>
      <c r="BW1103" s="11" t="n">
        <f>IF(ISNUMBER(BN1103),BN1103,"")</f>
        <v>0.7307750238224848</v>
      </c>
      <c r="BX1103" s="14" t="n">
        <f>IF(ISNUMBER(BR1103),BR1103,"")</f>
        <v>12</v>
      </c>
      <c r="BY1103" s="13" t="n">
        <f>IF(AND(COUNT(BV1103,BW1103,BX1103)=3,MIN(BV1103,BW1103,BX1103)&gt;=0),BV1103*BW1103*BX1103,"")</f>
        <v>0.13722267598697957</v>
      </c>
      <c r="BZ1103" s="11" t="n">
        <f>IF(ISNUMBER(BO1103),BO1103,"")</f>
        <v>0.9523018155490097</v>
      </c>
      <c r="CA1103" s="14" t="n">
        <f>IF(ISNUMBER(BS1103),BS1103,"")</f>
        <v>30</v>
      </c>
      <c r="CB1103" s="13" t="n">
        <f>IF(AND(COUNT(BV1103,BZ1103,CA1103)=3,MIN(BV1103,BZ1103,CA1103)&gt;=0),BV1103*BZ1103*CA1103,"")</f>
        <v>0.44705073113116356</v>
      </c>
      <c r="CC1103" s="11" t="n">
        <f>IF(ISNUMBER(BP1103),BP1103,"")</f>
        <v>0.5958545198749097</v>
      </c>
      <c r="CD1103" s="14" t="n">
        <f>IF(ISNUMBER(BT1103),BT1103,"")</f>
        <v>31</v>
      </c>
      <c r="CE1103" s="13" t="n">
        <f>IF(AND(COUNT(BV1103,CC1103,CD1103)=3,MIN(BV1103,CC1103,CD1103)&gt;=0),BV1103*CC1103*CD1103,"")</f>
        <v>0.2890432783201148</v>
      </c>
      <c r="CF1103" s="11" t="n">
        <f>IF(ISNUMBER(BQ1103),BQ1103,"")</f>
        <v>1.3264167397065354</v>
      </c>
      <c r="CG1103" s="14" t="n">
        <f>IF(ISNUMBER(BU1103),BU1103,"")</f>
        <v>17</v>
      </c>
      <c r="CH1103" s="13" t="n">
        <f>IF(AND(COUNT(BV1103,CF1103,CG1103)=3,MIN(BV1103,CF1103,CG1103)&gt;=0),BV1103*CF1103*CG1103,"")</f>
        <v>0.3528497856808004</v>
      </c>
      <c r="CI1103" s="13" t="n">
        <f>IF(COUNT(BY1103,CB1103,CE1103,CH1103)=4,SUM(BY1103,CB1103,CE1103,CH1103),"")</f>
        <v>1.2261664711190583</v>
      </c>
    </row>
    <row r="1104" ht="72" customHeight="1">
      <c r="A1104" s="16" t="str">
        <v>B07-RG-42-by</v>
      </c>
      <c r="B1104" s="16" t="str">
        <v>4店-彬郁-US</v>
      </c>
      <c r="C1104" s="16" t="str">
        <v>艾年</v>
      </c>
      <c r="D1104" s="26" t="n">
        <f>IF(NOT(ISNUMBER(E1104)),"",IF(OR(E1104&lt;=0,L1104=0),0,IF(OR(NOT(ISNUMBER(F1104)),F1104&lt;0),"",MIN(E1104,INT(F1104)))))</f>
        <v>0</v>
      </c>
      <c r="E1104" s="27" t="n">
        <f>IF(OR(NOT(ISNUMBER(L1104)),COUNT(M1104:O1104)&lt;&gt;3,MIN(M1104:O1104)&lt;0),"",ROUNDUP(ROUND(BI1104-SUM(M1104:O1104),10),0))</f>
        <v>-11</v>
      </c>
      <c r="F1104" s="28"/>
      <c r="G1104" s="28" t="n">
        <f>IF(AND(ISNUMBER(D1104),ISNUMBER(E1104)),IF(OR(E1104&lt;=0,L1104=0),0,E1104-D1104),"")</f>
        <v>0</v>
      </c>
      <c r="H1104" s="16" t="str">
        <f>IF(NOT(ISNUMBER(E1104)),"销量或海外库存待补",IF(OR(E1104&lt;=0,L1104=0),IF(L1104=0,"零日销，本批不发","本批无需补货"),IF(NOT(ISNUMBER(D1104)),"国内库存待补",IF(D1104=0,"国内无可用库存",IF(G1104&gt;0,"先发国内现货","按建议量发货")))))</f>
        <v>本批无需补货</v>
      </c>
      <c r="I1104" s="28" t="n">
        <f>IF(AND(COUNT(Z1104,AA1104,AB1104)=3,Z1104&gt;=AA1104,AA1104&gt;=0,AB1104=7),Z1104-AA1104,"")</f>
        <v>0</v>
      </c>
      <c r="J1104" s="28" t="n">
        <f>IF(AND(COUNT(AF1104,AG1104,AH1104)=3,AF1104&gt;=AG1104,AG1104&gt;=0,AH1104=14),AF1104-AG1104,"")</f>
        <v>0</v>
      </c>
      <c r="K1104" s="28" t="n">
        <f>IF(AND(COUNT(AL1104,AM1104,AN1104)=3,AL1104&gt;=AM1104,AM1104&gt;=0,AN1104=30),AL1104-AM1104,"")</f>
        <v>0</v>
      </c>
      <c r="L1104" s="29" t="n">
        <f>IF(ISNUMBER(BI1104),BI1104/90,"")</f>
        <v>0.025692792961280957</v>
      </c>
      <c r="M1104" s="28" t="n">
        <v>13</v>
      </c>
      <c r="N1104" s="28" t="n">
        <v>0</v>
      </c>
      <c r="O1104" s="28" t="n">
        <v>0</v>
      </c>
      <c r="P1104" s="30" t="n">
        <f>IF(AND(ISNUMBER(L1104),L1104&gt;0,COUNT(M1104:O1104)=3,MIN(M1104:O1104)&gt;=0),SUM(M1104:O1104)/L1104,"")</f>
        <v>505.9784671752504</v>
      </c>
      <c r="Q1104" s="16" t="str">
        <v>沿用原计划SKU店铺</v>
      </c>
      <c r="R1104" s="16" t="str">
        <v>未匹配</v>
      </c>
      <c r="S1104" s="16" t="str">
        <v>在售</v>
      </c>
      <c r="T1104" s="16" t="str">
        <v>B07</v>
      </c>
      <c r="U1104" s="16" t="str">
        <v>玫瑰金PU</v>
      </c>
      <c r="V1104" s="16" t="n">
        <v>11</v>
      </c>
      <c r="W1104" s="8" t="str">
        <v>2026-10-11 至 2026-10-17</v>
      </c>
      <c r="X1104" s="8" t="str">
        <v>2026-10-11、2026-10-12、2026-10-13、2026-10-14、2026-10-15、2026-10-16、2026-10-17</v>
      </c>
      <c r="Y1104" s="8" t="str">
        <v>无</v>
      </c>
      <c r="Z1104" s="8" t="n">
        <v>0</v>
      </c>
      <c r="AA1104" s="8" t="n">
        <v>0</v>
      </c>
      <c r="AB1104" s="8" t="n">
        <v>7</v>
      </c>
      <c r="AC1104" s="8" t="str">
        <v>2026-10-02 至 2026-10-17</v>
      </c>
      <c r="AD1104" s="8" t="str">
        <v>2026-10-02、2026-10-03、2026-10-04、2026-10-05、2026-10-08、2026-10-09、2026-10-10、2026-10-11、2026-10-12、2026-10-13、2026-10-14、2026-10-15、2026-10-16、2026-10-17</v>
      </c>
      <c r="AE1104" s="8" t="str">
        <v>2026-10-06 大促；2026-10-07 大促</v>
      </c>
      <c r="AF1104" s="8" t="n">
        <v>0</v>
      </c>
      <c r="AG1104" s="8" t="n">
        <v>0</v>
      </c>
      <c r="AH1104" s="8" t="n">
        <v>14</v>
      </c>
      <c r="AI1104" s="8" t="str">
        <v>2026-09-16 至 2026-10-17</v>
      </c>
      <c r="AJ11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4" s="8" t="str">
        <v>2026-10-06 大促；2026-10-07 大促</v>
      </c>
      <c r="AL1104" s="8" t="n">
        <v>0</v>
      </c>
      <c r="AM1104" s="8" t="n">
        <v>0</v>
      </c>
      <c r="AN1104" s="8" t="n">
        <v>30</v>
      </c>
      <c r="AO1104" s="8" t="str">
        <v>B07 / 玫瑰金PU / 13306</v>
      </c>
      <c r="AP1104" s="11" t="n">
        <v>0.7307750238224848</v>
      </c>
      <c r="AQ1104" s="11" t="n">
        <v>0.7307750238224848</v>
      </c>
      <c r="AR1104" s="11" t="n">
        <v>0.7449809054134506</v>
      </c>
      <c r="AS1104" s="11" t="n">
        <f>IF(AND(COUNT(I1104:K1104,AP1104:AR1104)=6,MIN(AP1104:AR1104)&gt;0),I1104/7/AP1104*0.5+J1104/14/AQ1104*0.3+K1104/30/AR1104*0.2,"")</f>
        <v>0</v>
      </c>
      <c r="AT1104" s="8" t="n">
        <v>2</v>
      </c>
      <c r="AU1104" s="8" t="n">
        <v>0</v>
      </c>
      <c r="AV1104" s="8" t="n">
        <v>88</v>
      </c>
      <c r="AW1104" s="11" t="n">
        <f>IF(AND(COUNT(AT1104:AV1104)=3,AT1104&gt;=AU1104,AU1104&gt;=0,AV1104&gt;0),(AT1104-AU1104)/AV1104,"")</f>
        <v>0.022727272727272728</v>
      </c>
      <c r="AX1104" s="8" t="n">
        <v>3</v>
      </c>
      <c r="AY1104" s="8" t="n">
        <v>0</v>
      </c>
      <c r="AZ1104" s="8" t="n">
        <v>178</v>
      </c>
      <c r="BA1104" s="11" t="n">
        <f>IF(AND(COUNT(AX1104:AZ1104)=3,AX1104&gt;=AY1104,AY1104&gt;=0,AZ1104&gt;0),(AX1104-AY1104)/AZ1104,"")</f>
        <v>0.016853932584269662</v>
      </c>
      <c r="BB1104" s="8" t="n">
        <f>IF(COUNT(AS1104,AW1104,BA1104)=3,1,0)</f>
        <v>1</v>
      </c>
      <c r="BC1104" s="11" t="n">
        <f>IF(SUMIF($AO$11:$AO$1309,AO1104,$BB$11:$BB$1309)=COUNTIF($AO$11:$AO$1309,AO1104),SUMIF($AO$11:$AO$1309,AO1104,$AS$11:$AS$1309),"")</f>
        <v>0.21004839022398944</v>
      </c>
      <c r="BD1104" s="11" t="n">
        <f>IF(SUMIF($AO$11:$AO$1309,AO1104,$BB$11:$BB$1309)=COUNTIF($AO$11:$AO$1309,AO1104),SUMIF($AO$11:$AO$1309,AO1104,$AW$11:$AW$1309),"")</f>
        <v>0.13836898395721925</v>
      </c>
      <c r="BE1104" s="11" t="n">
        <f>IF(SUMIF($AO$11:$AO$1309,AO1104,$BB$11:$BB$1309)=COUNTIF($AO$11:$AO$1309,AO1104),SUMIF($AO$11:$AO$1309,AO1104,$BA$11:$BA$1309),"")</f>
        <v>0.19817014446227932</v>
      </c>
      <c r="BF1104" s="12" t="n">
        <f>IF(COUNT(BD1104:BE1104)&lt;&gt;2,"",IF(AND(BD1104&gt;0,BE1104&gt;0),0.7*AW1104/BD1104+0.3*BA1104/BE1104,IF(BD1104&gt;0,AW1104/BD1104,IF(BE1104&gt;0,BA1104/BE1104,IF(AND(ISNUMBER(BH1104),BH1104=0),0,"")))))</f>
        <v>0.1404901820378757</v>
      </c>
      <c r="BG1104" s="11" t="n">
        <f>IF(AND(COUNT(BN1104:BU1104)=8,MIN(BN1104:BU1104)&gt;=0),SUMPRODUCT(BN1104:BQ1104,BR1104:BU1104),"")</f>
        <v>78.35892944347341</v>
      </c>
      <c r="BH1104" s="11" t="n">
        <f>IF(COUNT(BC1104,BG1104)=2,BC1104*BG1104,"")</f>
        <v>16.45916698927676</v>
      </c>
      <c r="BI1104" s="11" t="n">
        <f>IF(ISNUMBER(CI1104),CI1104,"")</f>
        <v>2.312351366515286</v>
      </c>
      <c r="BJ1104" s="8" t="str">
        <v>近180天本色销量32双（＜90），无有效新采购，请运营判断</v>
      </c>
      <c r="BK1104" s="8" t="str">
        <v>90天：2026-07-20 至 2026-10-17；180天：2026-04-21 至 2026-10-17</v>
      </c>
      <c r="BL1104" s="8" t="str">
        <v>90天：2026-10-06、2026-10-07；180天：2026-10-06、2026-10-07</v>
      </c>
      <c r="BM1104" s="8" t="str">
        <v>2026-10：12天 × 0.7307750238224848；2026-11：30天 × 0.9523018155490097；2026-12：31天 × 0.5958545198749097；2027-01：17天 × 1.3264167397065354</v>
      </c>
      <c r="BN1104" s="11" t="n">
        <v>0.7307750238224848</v>
      </c>
      <c r="BO1104" s="11" t="n">
        <v>0.9523018155490097</v>
      </c>
      <c r="BP1104" s="11" t="n">
        <v>0.5958545198749097</v>
      </c>
      <c r="BQ1104" s="11" t="n">
        <v>1.3264167397065354</v>
      </c>
      <c r="BR1104" s="8" t="n">
        <v>12</v>
      </c>
      <c r="BS1104" s="8" t="n">
        <v>30</v>
      </c>
      <c r="BT1104" s="8" t="n">
        <v>31</v>
      </c>
      <c r="BU1104" s="8" t="n">
        <v>17</v>
      </c>
      <c r="BV1104" s="11" t="n">
        <f>IF(COUNT(BC1104,BF1104)=2,BC1104*BF1104,"")</f>
        <v>0.029509736579331026</v>
      </c>
      <c r="BW1104" s="11" t="n">
        <f>IF(ISNUMBER(BN1104),BN1104,"")</f>
        <v>0.7307750238224848</v>
      </c>
      <c r="BX1104" s="14" t="n">
        <f>IF(ISNUMBER(BR1104),BR1104,"")</f>
        <v>12</v>
      </c>
      <c r="BY1104" s="13" t="n">
        <f>IF(AND(COUNT(BV1104,BW1104,BX1104)=3,MIN(BV1104,BW1104,BX1104)&gt;=0),BV1104*BW1104*BX1104,"")</f>
        <v>0.2587797414210706</v>
      </c>
      <c r="BZ1104" s="11" t="n">
        <f>IF(ISNUMBER(BO1104),BO1104,"")</f>
        <v>0.9523018155490097</v>
      </c>
      <c r="CA1104" s="14" t="n">
        <f>IF(ISNUMBER(BS1104),BS1104,"")</f>
        <v>30</v>
      </c>
      <c r="CB1104" s="13" t="n">
        <f>IF(AND(COUNT(BV1104,BZ1104,CA1104)=3,MIN(BV1104,BZ1104,CA1104)&gt;=0),BV1104*BZ1104*CA1104,"")</f>
        <v>0.8430652716260988</v>
      </c>
      <c r="CC1104" s="11" t="n">
        <f>IF(ISNUMBER(BP1104),BP1104,"")</f>
        <v>0.5958545198749097</v>
      </c>
      <c r="CD1104" s="14" t="n">
        <f>IF(ISNUMBER(BT1104),BT1104,"")</f>
        <v>31</v>
      </c>
      <c r="CE1104" s="13" t="n">
        <f>IF(AND(COUNT(BV1104,CC1104,CD1104)=3,MIN(BV1104,CC1104,CD1104)&gt;=0),BV1104*CC1104*CD1104,"")</f>
        <v>0.5450888075544827</v>
      </c>
      <c r="CF1104" s="11" t="n">
        <f>IF(ISNUMBER(BQ1104),BQ1104,"")</f>
        <v>1.3264167397065354</v>
      </c>
      <c r="CG1104" s="14" t="n">
        <f>IF(ISNUMBER(BU1104),BU1104,"")</f>
        <v>17</v>
      </c>
      <c r="CH1104" s="13" t="n">
        <f>IF(AND(COUNT(BV1104,CF1104,CG1104)=3,MIN(BV1104,CF1104,CG1104)&gt;=0),BV1104*CF1104*CG1104,"")</f>
        <v>0.6654175459136341</v>
      </c>
      <c r="CI1104" s="13" t="n">
        <f>IF(COUNT(BY1104,CB1104,CE1104,CH1104)=4,SUM(BY1104,CB1104,CE1104,CH1104),"")</f>
        <v>2.312351366515286</v>
      </c>
    </row>
    <row r="1105" ht="72" customHeight="1">
      <c r="A1105" s="16" t="str">
        <v>B07-SK-37-by</v>
      </c>
      <c r="B1105" s="16" t="str">
        <v>4店-彬郁-US</v>
      </c>
      <c r="C1105" s="16" t="str">
        <v>艾年</v>
      </c>
      <c r="D1105" s="26" t="n">
        <f>IF(NOT(ISNUMBER(E1105)),"",IF(OR(E1105&lt;=0,L1105=0),0,IF(OR(NOT(ISNUMBER(F1105)),F1105&lt;0),"",MIN(E1105,INT(F1105)))))</f>
        <v>0</v>
      </c>
      <c r="E1105" s="27" t="n">
        <f>IF(OR(NOT(ISNUMBER(L1105)),COUNT(M1105:O1105)&lt;&gt;3,MIN(M1105:O1105)&lt;0),"",ROUNDUP(ROUND(BI1105-SUM(M1105:O1105),10),0))</f>
        <v>-5</v>
      </c>
      <c r="F1105" s="28" t="n">
        <v>0</v>
      </c>
      <c r="G1105" s="28" t="n">
        <f>IF(AND(ISNUMBER(D1105),ISNUMBER(E1105)),IF(OR(E1105&lt;=0,L1105=0),0,E1105-D1105),"")</f>
        <v>0</v>
      </c>
      <c r="H1105" s="16" t="str">
        <f>IF(NOT(ISNUMBER(E1105)),"销量或海外库存待补",IF(OR(E1105&lt;=0,L1105=0),IF(L1105=0,"零日销，本批不发","本批无需补货"),IF(NOT(ISNUMBER(D1105)),"国内库存待补",IF(D1105=0,"国内无可用库存",IF(G1105&gt;0,"先发国内现货","按建议量发货")))))</f>
        <v>本批无需补货</v>
      </c>
      <c r="I1105" s="28" t="n">
        <f>IF(AND(COUNT(Z1105,AA1105,AB1105)=3,Z1105&gt;=AA1105,AA1105&gt;=0,AB1105=7),Z1105-AA1105,"")</f>
        <v>0</v>
      </c>
      <c r="J1105" s="28" t="n">
        <f>IF(AND(COUNT(AF1105,AG1105,AH1105)=3,AF1105&gt;=AG1105,AG1105&gt;=0,AH1105=14),AF1105-AG1105,"")</f>
        <v>0</v>
      </c>
      <c r="K1105" s="28" t="n">
        <f>IF(AND(COUNT(AL1105,AM1105,AN1105)=3,AL1105&gt;=AM1105,AM1105&gt;=0,AN1105=30),AL1105-AM1105,"")</f>
        <v>1</v>
      </c>
      <c r="L1105" s="29" t="n">
        <f>IF(ISNUMBER(BI1105),BI1105/90,"")</f>
        <v>0.007791293846302917</v>
      </c>
      <c r="M1105" s="28" t="n">
        <v>5</v>
      </c>
      <c r="N1105" s="28" t="n">
        <v>0</v>
      </c>
      <c r="O1105" s="28" t="n">
        <v>0</v>
      </c>
      <c r="P1105" s="30" t="n">
        <f>IF(AND(ISNUMBER(L1105),L1105&gt;0,COUNT(M1105:O1105)=3,MIN(M1105:O1105)&gt;=0),SUM(M1105:O1105)/L1105,"")</f>
        <v>641.741936401561</v>
      </c>
      <c r="Q1105" s="16" t="str">
        <v>沿用原计划SKU店铺</v>
      </c>
      <c r="R1105" s="16" t="str">
        <v>已匹配</v>
      </c>
      <c r="S1105" s="16" t="str">
        <v>在售</v>
      </c>
      <c r="T1105" s="16" t="str">
        <v>B07</v>
      </c>
      <c r="U1105" s="16" t="str">
        <v>黑白蛇纹PU</v>
      </c>
      <c r="V1105" s="16" t="n">
        <v>6</v>
      </c>
      <c r="W1105" s="8" t="str">
        <v>2026-10-11 至 2026-10-17</v>
      </c>
      <c r="X1105" s="8" t="str">
        <v>2026-10-11、2026-10-12、2026-10-13、2026-10-14、2026-10-15、2026-10-16、2026-10-17</v>
      </c>
      <c r="Y1105" s="8" t="str">
        <v>无</v>
      </c>
      <c r="Z1105" s="8" t="n">
        <v>0</v>
      </c>
      <c r="AA1105" s="8" t="n">
        <v>0</v>
      </c>
      <c r="AB1105" s="8" t="n">
        <v>7</v>
      </c>
      <c r="AC1105" s="8" t="str">
        <v>2026-10-02 至 2026-10-17</v>
      </c>
      <c r="AD1105" s="8" t="str">
        <v>2026-10-02、2026-10-03、2026-10-04、2026-10-05、2026-10-08、2026-10-09、2026-10-10、2026-10-11、2026-10-12、2026-10-13、2026-10-14、2026-10-15、2026-10-16、2026-10-17</v>
      </c>
      <c r="AE1105" s="8" t="str">
        <v>2026-10-06 大促；2026-10-07 大促</v>
      </c>
      <c r="AF1105" s="8" t="n">
        <v>0</v>
      </c>
      <c r="AG1105" s="8" t="n">
        <v>0</v>
      </c>
      <c r="AH1105" s="8" t="n">
        <v>14</v>
      </c>
      <c r="AI1105" s="8" t="str">
        <v>2026-09-16 至 2026-10-17</v>
      </c>
      <c r="AJ11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5" s="8" t="str">
        <v>2026-10-06 大促；2026-10-07 大促</v>
      </c>
      <c r="AL1105" s="8" t="n">
        <v>1</v>
      </c>
      <c r="AM1105" s="8" t="n">
        <v>0</v>
      </c>
      <c r="AN1105" s="8" t="n">
        <v>30</v>
      </c>
      <c r="AO1105" s="8" t="str">
        <v>B07 / 黑白蛇纹PU / 13306</v>
      </c>
      <c r="AP1105" s="11" t="n">
        <v>0.7307750238224848</v>
      </c>
      <c r="AQ1105" s="11" t="n">
        <v>0.7307750238224848</v>
      </c>
      <c r="AR1105" s="11" t="n">
        <v>0.7449809054134506</v>
      </c>
      <c r="AS1105" s="11" t="n">
        <f>IF(AND(COUNT(I1105:K1105,AP1105:AR1105)=6,MIN(AP1105:AR1105)&gt;0),I1105/7/AP1105*0.5+J1105/14/AQ1105*0.3+K1105/30/AR1105*0.2,"")</f>
        <v>0.008948775221247839</v>
      </c>
      <c r="AT1105" s="8" t="n">
        <v>2</v>
      </c>
      <c r="AU1105" s="8" t="n">
        <v>0</v>
      </c>
      <c r="AV1105" s="8" t="n">
        <v>88</v>
      </c>
      <c r="AW1105" s="11" t="n">
        <f>IF(AND(COUNT(AT1105:AV1105)=3,AT1105&gt;=AU1105,AU1105&gt;=0,AV1105&gt;0),(AT1105-AU1105)/AV1105,"")</f>
        <v>0.022727272727272728</v>
      </c>
      <c r="AX1105" s="8" t="n">
        <v>2</v>
      </c>
      <c r="AY1105" s="8" t="n">
        <v>0</v>
      </c>
      <c r="AZ1105" s="8" t="n">
        <v>178</v>
      </c>
      <c r="BA1105" s="11" t="n">
        <f>IF(AND(COUNT(AX1105:AZ1105)=3,AX1105&gt;=AY1105,AY1105&gt;=0,AZ1105&gt;0),(AX1105-AY1105)/AZ1105,"")</f>
        <v>0.011235955056179775</v>
      </c>
      <c r="BB1105" s="8" t="n">
        <f>IF(COUNT(AS1105,AW1105,BA1105)=3,1,0)</f>
        <v>1</v>
      </c>
      <c r="BC1105" s="11" t="n">
        <f>IF(SUMIF($AO$11:$AO$1309,AO1105,$BB$11:$BB$1309)=COUNTIF($AO$11:$AO$1309,AO1105),SUMIF($AO$11:$AO$1309,AO1105,$AS$11:$AS$1309),"")</f>
        <v>0.008948775221247839</v>
      </c>
      <c r="BD1105" s="11" t="n">
        <f>IF(SUMIF($AO$11:$AO$1309,AO1105,$BB$11:$BB$1309)=COUNTIF($AO$11:$AO$1309,AO1105),SUMIF($AO$11:$AO$1309,AO1105,$AW$11:$AW$1309),"")</f>
        <v>0.022727272727272728</v>
      </c>
      <c r="BE1105" s="11" t="n">
        <f>IF(SUMIF($AO$11:$AO$1309,AO1105,$BB$11:$BB$1309)=COUNTIF($AO$11:$AO$1309,AO1105),SUMIF($AO$11:$AO$1309,AO1105,$BA$11:$BA$1309),"")</f>
        <v>0.011235955056179775</v>
      </c>
      <c r="BF1105" s="12" t="n">
        <f>IF(COUNT(BD1105:BE1105)&lt;&gt;2,"",IF(AND(BD1105&gt;0,BE1105&gt;0),0.7*AW1105/BD1105+0.3*BA1105/BE1105,IF(BD1105&gt;0,AW1105/BD1105,IF(BE1105&gt;0,BA1105/BE1105,IF(AND(ISNUMBER(BH1105),BH1105=0),0,"")))))</f>
        <v>1</v>
      </c>
      <c r="BG1105" s="11" t="n">
        <f>IF(AND(COUNT(BN1105:BU1105)=8,MIN(BN1105:BU1105)&gt;=0),SUMPRODUCT(BN1105:BQ1105,BR1105:BU1105),"")</f>
        <v>78.35892944347341</v>
      </c>
      <c r="BH1105" s="11" t="n">
        <f>IF(COUNT(BC1105,BG1105)=2,BC1105*BG1105,"")</f>
        <v>0.7012164461672625</v>
      </c>
      <c r="BI1105" s="11" t="n">
        <f>IF(ISNUMBER(CI1105),CI1105,"")</f>
        <v>0.7012164461672625</v>
      </c>
      <c r="BJ1105" s="8" t="str"/>
      <c r="BK1105" s="8" t="str">
        <v>90天：2026-07-20 至 2026-10-17；180天：2026-04-21 至 2026-10-17</v>
      </c>
      <c r="BL1105" s="8" t="str">
        <v>90天：2026-10-06、2026-10-07；180天：2026-10-06、2026-10-07</v>
      </c>
      <c r="BM1105" s="8" t="str">
        <v>2026-10：12天 × 0.7307750238224848；2026-11：30天 × 0.9523018155490097；2026-12：31天 × 0.5958545198749097；2027-01：17天 × 1.3264167397065354</v>
      </c>
      <c r="BN1105" s="11" t="n">
        <v>0.7307750238224848</v>
      </c>
      <c r="BO1105" s="11" t="n">
        <v>0.9523018155490097</v>
      </c>
      <c r="BP1105" s="11" t="n">
        <v>0.5958545198749097</v>
      </c>
      <c r="BQ1105" s="11" t="n">
        <v>1.3264167397065354</v>
      </c>
      <c r="BR1105" s="8" t="n">
        <v>12</v>
      </c>
      <c r="BS1105" s="8" t="n">
        <v>30</v>
      </c>
      <c r="BT1105" s="8" t="n">
        <v>31</v>
      </c>
      <c r="BU1105" s="8" t="n">
        <v>17</v>
      </c>
      <c r="BV1105" s="11" t="n">
        <f>IF(COUNT(BC1105,BF1105)=2,BC1105*BF1105,"")</f>
        <v>0.008948775221247839</v>
      </c>
      <c r="BW1105" s="11" t="n">
        <f>IF(ISNUMBER(BN1105),BN1105,"")</f>
        <v>0.7307750238224848</v>
      </c>
      <c r="BX1105" s="14" t="n">
        <f>IF(ISNUMBER(BR1105),BR1105,"")</f>
        <v>12</v>
      </c>
      <c r="BY1105" s="13" t="n">
        <f>IF(AND(COUNT(BV1105,BW1105,BX1105)=3,MIN(BV1105,BW1105,BX1105)&gt;=0),BV1105*BW1105*BX1105,"")</f>
        <v>0.07847449710587341</v>
      </c>
      <c r="BZ1105" s="11" t="n">
        <f>IF(ISNUMBER(BO1105),BO1105,"")</f>
        <v>0.9523018155490097</v>
      </c>
      <c r="CA1105" s="14" t="n">
        <f>IF(ISNUMBER(BS1105),BS1105,"")</f>
        <v>30</v>
      </c>
      <c r="CB1105" s="13" t="n">
        <f>IF(AND(COUNT(BV1105,BZ1105,CA1105)=3,MIN(BV1105,BZ1105,CA1105)&gt;=0),BV1105*BZ1105*CA1105,"")</f>
        <v>0.25565804670402925</v>
      </c>
      <c r="CC1105" s="11" t="n">
        <f>IF(ISNUMBER(BP1105),BP1105,"")</f>
        <v>0.5958545198749097</v>
      </c>
      <c r="CD1105" s="14" t="n">
        <f>IF(ISNUMBER(BT1105),BT1105,"")</f>
        <v>31</v>
      </c>
      <c r="CE1105" s="13" t="n">
        <f>IF(AND(COUNT(BV1105,CC1105,CD1105)=3,MIN(BV1105,CC1105,CD1105)&gt;=0),BV1105*CC1105*CD1105,"")</f>
        <v>0.1652972130506787</v>
      </c>
      <c r="CF1105" s="11" t="n">
        <f>IF(ISNUMBER(BQ1105),BQ1105,"")</f>
        <v>1.3264167397065354</v>
      </c>
      <c r="CG1105" s="14" t="n">
        <f>IF(ISNUMBER(BU1105),BU1105,"")</f>
        <v>17</v>
      </c>
      <c r="CH1105" s="13" t="n">
        <f>IF(AND(COUNT(BV1105,CF1105,CG1105)=3,MIN(BV1105,CF1105,CG1105)&gt;=0),BV1105*CF1105*CG1105,"")</f>
        <v>0.2017866893066812</v>
      </c>
      <c r="CI1105" s="13" t="n">
        <f>IF(COUNT(BY1105,CB1105,CE1105,CH1105)=4,SUM(BY1105,CB1105,CE1105,CH1105),"")</f>
        <v>0.7012164461672625</v>
      </c>
    </row>
    <row r="1106" ht="72" customHeight="1">
      <c r="A1106" s="16" t="str">
        <v>B07-SK-38-by</v>
      </c>
      <c r="B1106" s="16" t="str">
        <v>4店-彬郁-US</v>
      </c>
      <c r="C1106" s="16" t="str">
        <v>艾年</v>
      </c>
      <c r="D1106" s="26" t="n">
        <f>IF(NOT(ISNUMBER(E1106)),"",IF(OR(E1106&lt;=0,L1106=0),0,IF(OR(NOT(ISNUMBER(F1106)),F1106&lt;0),"",MIN(E1106,INT(F1106)))))</f>
        <v>0</v>
      </c>
      <c r="E1106" s="27" t="n">
        <f>IF(OR(NOT(ISNUMBER(L1106)),COUNT(M1106:O1106)&lt;&gt;3,MIN(M1106:O1106)&lt;0),"",ROUNDUP(ROUND(BI1106-SUM(M1106:O1106),10),0))</f>
        <v>-7</v>
      </c>
      <c r="F1106" s="28" t="n">
        <v>0</v>
      </c>
      <c r="G1106" s="28" t="n">
        <f>IF(AND(ISNUMBER(D1106),ISNUMBER(E1106)),IF(OR(E1106&lt;=0,L1106=0),0,E1106-D1106),"")</f>
        <v>0</v>
      </c>
      <c r="H1106" s="16" t="str">
        <f>IF(NOT(ISNUMBER(E1106)),"销量或海外库存待补",IF(OR(E1106&lt;=0,L1106=0),IF(L1106=0,"零日销，本批不发","本批无需补货"),IF(NOT(ISNUMBER(D1106)),"国内库存待补",IF(D1106=0,"国内无可用库存",IF(G1106&gt;0,"先发国内现货","按建议量发货")))))</f>
        <v>零日销，本批不发</v>
      </c>
      <c r="I1106" s="28" t="n">
        <f>IF(AND(COUNT(Z1106,AA1106,AB1106)=3,Z1106&gt;=AA1106,AA1106&gt;=0,AB1106=7),Z1106-AA1106,"")</f>
        <v>0</v>
      </c>
      <c r="J1106" s="28" t="n">
        <f>IF(AND(COUNT(AF1106,AG1106,AH1106)=3,AF1106&gt;=AG1106,AG1106&gt;=0,AH1106=14),AF1106-AG1106,"")</f>
        <v>0</v>
      </c>
      <c r="K1106" s="28" t="n">
        <f>IF(AND(COUNT(AL1106,AM1106,AN1106)=3,AL1106&gt;=AM1106,AM1106&gt;=0,AN1106=30),AL1106-AM1106,"")</f>
        <v>0</v>
      </c>
      <c r="L1106" s="29" t="n">
        <f>IF(ISNUMBER(BI1106),BI1106/90,"")</f>
        <v>0</v>
      </c>
      <c r="M1106" s="28" t="n">
        <v>0</v>
      </c>
      <c r="N1106" s="28" t="n">
        <v>0</v>
      </c>
      <c r="O1106" s="28" t="n">
        <v>7</v>
      </c>
      <c r="P1106" s="30" t="str">
        <f>IF(AND(ISNUMBER(L1106),L1106&gt;0,COUNT(M1106:O1106)=3,MIN(M1106:O1106)&gt;=0),SUM(M1106:O1106)/L1106,"")</f>
      </c>
      <c r="Q1106" s="16" t="str">
        <v>沿用原计划SKU店铺</v>
      </c>
      <c r="R1106" s="16" t="str">
        <v>已匹配</v>
      </c>
      <c r="S1106" s="16" t="str">
        <v>在售</v>
      </c>
      <c r="T1106" s="16" t="str">
        <v>B07</v>
      </c>
      <c r="U1106" s="16" t="str">
        <v>黑白蛇纹PU</v>
      </c>
      <c r="V1106" s="16" t="n">
        <v>7</v>
      </c>
      <c r="W1106" s="8" t="str">
        <v>2026-10-11 至 2026-10-17</v>
      </c>
      <c r="X1106" s="8" t="str">
        <v>2026-10-11、2026-10-12、2026-10-13、2026-10-14、2026-10-15、2026-10-16、2026-10-17</v>
      </c>
      <c r="Y1106" s="8" t="str">
        <v>无</v>
      </c>
      <c r="Z1106" s="8" t="n">
        <v>0</v>
      </c>
      <c r="AA1106" s="8" t="n">
        <v>0</v>
      </c>
      <c r="AB1106" s="8" t="n">
        <v>7</v>
      </c>
      <c r="AC1106" s="8" t="str">
        <v>2026-10-02 至 2026-10-17</v>
      </c>
      <c r="AD1106" s="8" t="str">
        <v>2026-10-02、2026-10-03、2026-10-04、2026-10-05、2026-10-08、2026-10-09、2026-10-10、2026-10-11、2026-10-12、2026-10-13、2026-10-14、2026-10-15、2026-10-16、2026-10-17</v>
      </c>
      <c r="AE1106" s="8" t="str">
        <v>2026-10-06 大促；2026-10-07 大促</v>
      </c>
      <c r="AF1106" s="8" t="n">
        <v>0</v>
      </c>
      <c r="AG1106" s="8" t="n">
        <v>0</v>
      </c>
      <c r="AH1106" s="8" t="n">
        <v>14</v>
      </c>
      <c r="AI1106" s="8" t="str">
        <v>2026-09-16 至 2026-10-17</v>
      </c>
      <c r="AJ11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6" s="8" t="str">
        <v>2026-10-06 大促；2026-10-07 大促</v>
      </c>
      <c r="AL1106" s="8" t="n">
        <v>0</v>
      </c>
      <c r="AM1106" s="8" t="n">
        <v>0</v>
      </c>
      <c r="AN1106" s="8" t="n">
        <v>30</v>
      </c>
      <c r="AO1106" s="8" t="str">
        <v>B07 / 黑白蛇纹PU / 13306</v>
      </c>
      <c r="AP1106" s="11" t="n">
        <v>0.7307750238224848</v>
      </c>
      <c r="AQ1106" s="11" t="n">
        <v>0.7307750238224848</v>
      </c>
      <c r="AR1106" s="11" t="n">
        <v>0.7449809054134506</v>
      </c>
      <c r="AS1106" s="11" t="n">
        <f>IF(AND(COUNT(I1106:K1106,AP1106:AR1106)=6,MIN(AP1106:AR1106)&gt;0),I1106/7/AP1106*0.5+J1106/14/AQ1106*0.3+K1106/30/AR1106*0.2,"")</f>
        <v>0</v>
      </c>
      <c r="AT1106" s="8" t="n">
        <v>0</v>
      </c>
      <c r="AU1106" s="8" t="n">
        <v>0</v>
      </c>
      <c r="AV1106" s="8" t="n">
        <v>88</v>
      </c>
      <c r="AW1106" s="11" t="n">
        <f>IF(AND(COUNT(AT1106:AV1106)=3,AT1106&gt;=AU1106,AU1106&gt;=0,AV1106&gt;0),(AT1106-AU1106)/AV1106,"")</f>
        <v>0</v>
      </c>
      <c r="AX1106" s="8" t="n">
        <v>0</v>
      </c>
      <c r="AY1106" s="8" t="n">
        <v>0</v>
      </c>
      <c r="AZ1106" s="8" t="n">
        <v>178</v>
      </c>
      <c r="BA1106" s="11" t="n">
        <f>IF(AND(COUNT(AX1106:AZ1106)=3,AX1106&gt;=AY1106,AY1106&gt;=0,AZ1106&gt;0),(AX1106-AY1106)/AZ1106,"")</f>
        <v>0</v>
      </c>
      <c r="BB1106" s="8" t="n">
        <f>IF(COUNT(AS1106,AW1106,BA1106)=3,1,0)</f>
        <v>1</v>
      </c>
      <c r="BC1106" s="11" t="n">
        <f>IF(SUMIF($AO$11:$AO$1309,AO1106,$BB$11:$BB$1309)=COUNTIF($AO$11:$AO$1309,AO1106),SUMIF($AO$11:$AO$1309,AO1106,$AS$11:$AS$1309),"")</f>
        <v>0.008948775221247839</v>
      </c>
      <c r="BD1106" s="11" t="n">
        <f>IF(SUMIF($AO$11:$AO$1309,AO1106,$BB$11:$BB$1309)=COUNTIF($AO$11:$AO$1309,AO1106),SUMIF($AO$11:$AO$1309,AO1106,$AW$11:$AW$1309),"")</f>
        <v>0.022727272727272728</v>
      </c>
      <c r="BE1106" s="11" t="n">
        <f>IF(SUMIF($AO$11:$AO$1309,AO1106,$BB$11:$BB$1309)=COUNTIF($AO$11:$AO$1309,AO1106),SUMIF($AO$11:$AO$1309,AO1106,$BA$11:$BA$1309),"")</f>
        <v>0.011235955056179775</v>
      </c>
      <c r="BF1106" s="12" t="n">
        <f>IF(COUNT(BD1106:BE1106)&lt;&gt;2,"",IF(AND(BD1106&gt;0,BE1106&gt;0),0.7*AW1106/BD1106+0.3*BA1106/BE1106,IF(BD1106&gt;0,AW1106/BD1106,IF(BE1106&gt;0,BA1106/BE1106,IF(AND(ISNUMBER(BH1106),BH1106=0),0,"")))))</f>
        <v>0</v>
      </c>
      <c r="BG1106" s="11" t="n">
        <f>IF(AND(COUNT(BN1106:BU1106)=8,MIN(BN1106:BU1106)&gt;=0),SUMPRODUCT(BN1106:BQ1106,BR1106:BU1106),"")</f>
        <v>78.35892944347341</v>
      </c>
      <c r="BH1106" s="11" t="n">
        <f>IF(COUNT(BC1106,BG1106)=2,BC1106*BG1106,"")</f>
        <v>0.7012164461672625</v>
      </c>
      <c r="BI1106" s="11" t="n">
        <f>IF(ISNUMBER(CI1106),CI1106,"")</f>
        <v>0</v>
      </c>
      <c r="BJ1106" s="8" t="str"/>
      <c r="BK1106" s="8" t="str">
        <v>90天：2026-07-20 至 2026-10-17；180天：2026-04-21 至 2026-10-17</v>
      </c>
      <c r="BL1106" s="8" t="str">
        <v>90天：2026-10-06、2026-10-07；180天：2026-10-06、2026-10-07</v>
      </c>
      <c r="BM1106" s="8" t="str">
        <v>2026-10：12天 × 0.7307750238224848；2026-11：30天 × 0.9523018155490097；2026-12：31天 × 0.5958545198749097；2027-01：17天 × 1.3264167397065354</v>
      </c>
      <c r="BN1106" s="11" t="n">
        <v>0.7307750238224848</v>
      </c>
      <c r="BO1106" s="11" t="n">
        <v>0.9523018155490097</v>
      </c>
      <c r="BP1106" s="11" t="n">
        <v>0.5958545198749097</v>
      </c>
      <c r="BQ1106" s="11" t="n">
        <v>1.3264167397065354</v>
      </c>
      <c r="BR1106" s="8" t="n">
        <v>12</v>
      </c>
      <c r="BS1106" s="8" t="n">
        <v>30</v>
      </c>
      <c r="BT1106" s="8" t="n">
        <v>31</v>
      </c>
      <c r="BU1106" s="8" t="n">
        <v>17</v>
      </c>
      <c r="BV1106" s="11" t="n">
        <f>IF(COUNT(BC1106,BF1106)=2,BC1106*BF1106,"")</f>
        <v>0</v>
      </c>
      <c r="BW1106" s="11" t="n">
        <f>IF(ISNUMBER(BN1106),BN1106,"")</f>
        <v>0.7307750238224848</v>
      </c>
      <c r="BX1106" s="14" t="n">
        <f>IF(ISNUMBER(BR1106),BR1106,"")</f>
        <v>12</v>
      </c>
      <c r="BY1106" s="13" t="n">
        <f>IF(AND(COUNT(BV1106,BW1106,BX1106)=3,MIN(BV1106,BW1106,BX1106)&gt;=0),BV1106*BW1106*BX1106,"")</f>
        <v>0</v>
      </c>
      <c r="BZ1106" s="11" t="n">
        <f>IF(ISNUMBER(BO1106),BO1106,"")</f>
        <v>0.9523018155490097</v>
      </c>
      <c r="CA1106" s="14" t="n">
        <f>IF(ISNUMBER(BS1106),BS1106,"")</f>
        <v>30</v>
      </c>
      <c r="CB1106" s="13" t="n">
        <f>IF(AND(COUNT(BV1106,BZ1106,CA1106)=3,MIN(BV1106,BZ1106,CA1106)&gt;=0),BV1106*BZ1106*CA1106,"")</f>
        <v>0</v>
      </c>
      <c r="CC1106" s="11" t="n">
        <f>IF(ISNUMBER(BP1106),BP1106,"")</f>
        <v>0.5958545198749097</v>
      </c>
      <c r="CD1106" s="14" t="n">
        <f>IF(ISNUMBER(BT1106),BT1106,"")</f>
        <v>31</v>
      </c>
      <c r="CE1106" s="13" t="n">
        <f>IF(AND(COUNT(BV1106,CC1106,CD1106)=3,MIN(BV1106,CC1106,CD1106)&gt;=0),BV1106*CC1106*CD1106,"")</f>
        <v>0</v>
      </c>
      <c r="CF1106" s="11" t="n">
        <f>IF(ISNUMBER(BQ1106),BQ1106,"")</f>
        <v>1.3264167397065354</v>
      </c>
      <c r="CG1106" s="14" t="n">
        <f>IF(ISNUMBER(BU1106),BU1106,"")</f>
        <v>17</v>
      </c>
      <c r="CH1106" s="13" t="n">
        <f>IF(AND(COUNT(BV1106,CF1106,CG1106)=3,MIN(BV1106,CF1106,CG1106)&gt;=0),BV1106*CF1106*CG1106,"")</f>
        <v>0</v>
      </c>
      <c r="CI1106" s="13" t="n">
        <f>IF(COUNT(BY1106,CB1106,CE1106,CH1106)=4,SUM(BY1106,CB1106,CE1106,CH1106),"")</f>
        <v>0</v>
      </c>
    </row>
    <row r="1107" ht="72" customHeight="1">
      <c r="A1107" s="16" t="str">
        <v>B07-SK-41-New</v>
      </c>
      <c r="B1107" s="16" t="str">
        <v>4店-彬郁-US</v>
      </c>
      <c r="C1107" s="16" t="str">
        <v>艾年</v>
      </c>
      <c r="D1107" s="26" t="n">
        <f>IF(NOT(ISNUMBER(E1107)),"",IF(OR(E1107&lt;=0,L1107=0),0,IF(OR(NOT(ISNUMBER(F1107)),F1107&lt;0),"",MIN(E1107,INT(F1107)))))</f>
        <v>0</v>
      </c>
      <c r="E1107" s="27" t="n">
        <f>IF(OR(NOT(ISNUMBER(L1107)),COUNT(M1107:O1107)&lt;&gt;3,MIN(M1107:O1107)&lt;0),"",ROUNDUP(ROUND(BI1107-SUM(M1107:O1107),10),0))</f>
        <v>-10</v>
      </c>
      <c r="F1107" s="28" t="n">
        <v>0</v>
      </c>
      <c r="G1107" s="28" t="n">
        <f>IF(AND(ISNUMBER(D1107),ISNUMBER(E1107)),IF(OR(E1107&lt;=0,L1107=0),0,E1107-D1107),"")</f>
        <v>0</v>
      </c>
      <c r="H1107" s="16" t="str">
        <f>IF(NOT(ISNUMBER(E1107)),"销量或海外库存待补",IF(OR(E1107&lt;=0,L1107=0),IF(L1107=0,"零日销，本批不发","本批无需补货"),IF(NOT(ISNUMBER(D1107)),"国内库存待补",IF(D1107=0,"国内无可用库存",IF(G1107&gt;0,"先发国内现货","按建议量发货")))))</f>
        <v>零日销，本批不发</v>
      </c>
      <c r="I1107" s="28" t="n">
        <f>IF(AND(COUNT(Z1107,AA1107,AB1107)=3,Z1107&gt;=AA1107,AA1107&gt;=0,AB1107=7),Z1107-AA1107,"")</f>
        <v>0</v>
      </c>
      <c r="J1107" s="28" t="n">
        <f>IF(AND(COUNT(AF1107,AG1107,AH1107)=3,AF1107&gt;=AG1107,AG1107&gt;=0,AH1107=14),AF1107-AG1107,"")</f>
        <v>0</v>
      </c>
      <c r="K1107" s="28" t="n">
        <f>IF(AND(COUNT(AL1107,AM1107,AN1107)=3,AL1107&gt;=AM1107,AM1107&gt;=0,AN1107=30),AL1107-AM1107,"")</f>
        <v>0</v>
      </c>
      <c r="L1107" s="29" t="n">
        <f>IF(ISNUMBER(BI1107),BI1107/90,"")</f>
        <v>0</v>
      </c>
      <c r="M1107" s="28" t="n">
        <v>0</v>
      </c>
      <c r="N1107" s="28" t="n">
        <v>0</v>
      </c>
      <c r="O1107" s="28" t="n">
        <v>10</v>
      </c>
      <c r="P1107" s="30" t="str">
        <f>IF(AND(ISNUMBER(L1107),L1107&gt;0,COUNT(M1107:O1107)=3,MIN(M1107:O1107)&gt;=0),SUM(M1107:O1107)/L1107,"")</f>
      </c>
      <c r="Q1107" s="16" t="str">
        <v>沿用原计划SKU店铺</v>
      </c>
      <c r="R1107" s="16" t="str">
        <v>已匹配</v>
      </c>
      <c r="S1107" s="16" t="str">
        <v>在售</v>
      </c>
      <c r="T1107" s="16" t="str">
        <v>B07</v>
      </c>
      <c r="U1107" s="16" t="str">
        <v>黑白蛇纹PU</v>
      </c>
      <c r="V1107" s="16" t="n">
        <v>10</v>
      </c>
      <c r="W1107" s="8" t="str">
        <v>2026-10-11 至 2026-10-17</v>
      </c>
      <c r="X1107" s="8" t="str">
        <v>2026-10-11、2026-10-12、2026-10-13、2026-10-14、2026-10-15、2026-10-16、2026-10-17</v>
      </c>
      <c r="Y1107" s="8" t="str">
        <v>无</v>
      </c>
      <c r="Z1107" s="8" t="n">
        <v>0</v>
      </c>
      <c r="AA1107" s="8" t="n">
        <v>0</v>
      </c>
      <c r="AB1107" s="8" t="n">
        <v>7</v>
      </c>
      <c r="AC1107" s="8" t="str">
        <v>2026-10-02 至 2026-10-17</v>
      </c>
      <c r="AD1107" s="8" t="str">
        <v>2026-10-02、2026-10-03、2026-10-04、2026-10-05、2026-10-08、2026-10-09、2026-10-10、2026-10-11、2026-10-12、2026-10-13、2026-10-14、2026-10-15、2026-10-16、2026-10-17</v>
      </c>
      <c r="AE1107" s="8" t="str">
        <v>2026-10-06 大促；2026-10-07 大促</v>
      </c>
      <c r="AF1107" s="8" t="n">
        <v>0</v>
      </c>
      <c r="AG1107" s="8" t="n">
        <v>0</v>
      </c>
      <c r="AH1107" s="8" t="n">
        <v>14</v>
      </c>
      <c r="AI1107" s="8" t="str">
        <v>2026-09-16 至 2026-10-17</v>
      </c>
      <c r="AJ11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7" s="8" t="str">
        <v>2026-10-06 大促；2026-10-07 大促</v>
      </c>
      <c r="AL1107" s="8" t="n">
        <v>0</v>
      </c>
      <c r="AM1107" s="8" t="n">
        <v>0</v>
      </c>
      <c r="AN1107" s="8" t="n">
        <v>30</v>
      </c>
      <c r="AO1107" s="8" t="str">
        <v>B07 / 黑白蛇纹PU / 13306</v>
      </c>
      <c r="AP1107" s="11" t="n">
        <v>0.7307750238224848</v>
      </c>
      <c r="AQ1107" s="11" t="n">
        <v>0.7307750238224848</v>
      </c>
      <c r="AR1107" s="11" t="n">
        <v>0.7449809054134506</v>
      </c>
      <c r="AS1107" s="11" t="n">
        <f>IF(AND(COUNT(I1107:K1107,AP1107:AR1107)=6,MIN(AP1107:AR1107)&gt;0),I1107/7/AP1107*0.5+J1107/14/AQ1107*0.3+K1107/30/AR1107*0.2,"")</f>
        <v>0</v>
      </c>
      <c r="AT1107" s="8" t="n">
        <v>0</v>
      </c>
      <c r="AU1107" s="8" t="n">
        <v>0</v>
      </c>
      <c r="AV1107" s="8" t="n">
        <v>88</v>
      </c>
      <c r="AW1107" s="11" t="n">
        <f>IF(AND(COUNT(AT1107:AV1107)=3,AT1107&gt;=AU1107,AU1107&gt;=0,AV1107&gt;0),(AT1107-AU1107)/AV1107,"")</f>
        <v>0</v>
      </c>
      <c r="AX1107" s="8" t="n">
        <v>0</v>
      </c>
      <c r="AY1107" s="8" t="n">
        <v>0</v>
      </c>
      <c r="AZ1107" s="8" t="n">
        <v>178</v>
      </c>
      <c r="BA1107" s="11" t="n">
        <f>IF(AND(COUNT(AX1107:AZ1107)=3,AX1107&gt;=AY1107,AY1107&gt;=0,AZ1107&gt;0),(AX1107-AY1107)/AZ1107,"")</f>
        <v>0</v>
      </c>
      <c r="BB1107" s="8" t="n">
        <f>IF(COUNT(AS1107,AW1107,BA1107)=3,1,0)</f>
        <v>1</v>
      </c>
      <c r="BC1107" s="11" t="n">
        <f>IF(SUMIF($AO$11:$AO$1309,AO1107,$BB$11:$BB$1309)=COUNTIF($AO$11:$AO$1309,AO1107),SUMIF($AO$11:$AO$1309,AO1107,$AS$11:$AS$1309),"")</f>
        <v>0.008948775221247839</v>
      </c>
      <c r="BD1107" s="11" t="n">
        <f>IF(SUMIF($AO$11:$AO$1309,AO1107,$BB$11:$BB$1309)=COUNTIF($AO$11:$AO$1309,AO1107),SUMIF($AO$11:$AO$1309,AO1107,$AW$11:$AW$1309),"")</f>
        <v>0.022727272727272728</v>
      </c>
      <c r="BE1107" s="11" t="n">
        <f>IF(SUMIF($AO$11:$AO$1309,AO1107,$BB$11:$BB$1309)=COUNTIF($AO$11:$AO$1309,AO1107),SUMIF($AO$11:$AO$1309,AO1107,$BA$11:$BA$1309),"")</f>
        <v>0.011235955056179775</v>
      </c>
      <c r="BF1107" s="12" t="n">
        <f>IF(COUNT(BD1107:BE1107)&lt;&gt;2,"",IF(AND(BD1107&gt;0,BE1107&gt;0),0.7*AW1107/BD1107+0.3*BA1107/BE1107,IF(BD1107&gt;0,AW1107/BD1107,IF(BE1107&gt;0,BA1107/BE1107,IF(AND(ISNUMBER(BH1107),BH1107=0),0,"")))))</f>
        <v>0</v>
      </c>
      <c r="BG1107" s="11" t="n">
        <f>IF(AND(COUNT(BN1107:BU1107)=8,MIN(BN1107:BU1107)&gt;=0),SUMPRODUCT(BN1107:BQ1107,BR1107:BU1107),"")</f>
        <v>78.35892944347341</v>
      </c>
      <c r="BH1107" s="11" t="n">
        <f>IF(COUNT(BC1107,BG1107)=2,BC1107*BG1107,"")</f>
        <v>0.7012164461672625</v>
      </c>
      <c r="BI1107" s="11" t="n">
        <f>IF(ISNUMBER(CI1107),CI1107,"")</f>
        <v>0</v>
      </c>
      <c r="BJ1107" s="8" t="str"/>
      <c r="BK1107" s="8" t="str">
        <v>90天：2026-07-20 至 2026-10-17；180天：2026-04-21 至 2026-10-17</v>
      </c>
      <c r="BL1107" s="8" t="str">
        <v>90天：2026-10-06、2026-10-07；180天：2026-10-06、2026-10-07</v>
      </c>
      <c r="BM1107" s="8" t="str">
        <v>2026-10：12天 × 0.7307750238224848；2026-11：30天 × 0.9523018155490097；2026-12：31天 × 0.5958545198749097；2027-01：17天 × 1.3264167397065354</v>
      </c>
      <c r="BN1107" s="11" t="n">
        <v>0.7307750238224848</v>
      </c>
      <c r="BO1107" s="11" t="n">
        <v>0.9523018155490097</v>
      </c>
      <c r="BP1107" s="11" t="n">
        <v>0.5958545198749097</v>
      </c>
      <c r="BQ1107" s="11" t="n">
        <v>1.3264167397065354</v>
      </c>
      <c r="BR1107" s="8" t="n">
        <v>12</v>
      </c>
      <c r="BS1107" s="8" t="n">
        <v>30</v>
      </c>
      <c r="BT1107" s="8" t="n">
        <v>31</v>
      </c>
      <c r="BU1107" s="8" t="n">
        <v>17</v>
      </c>
      <c r="BV1107" s="11" t="n">
        <f>IF(COUNT(BC1107,BF1107)=2,BC1107*BF1107,"")</f>
        <v>0</v>
      </c>
      <c r="BW1107" s="11" t="n">
        <f>IF(ISNUMBER(BN1107),BN1107,"")</f>
        <v>0.7307750238224848</v>
      </c>
      <c r="BX1107" s="14" t="n">
        <f>IF(ISNUMBER(BR1107),BR1107,"")</f>
        <v>12</v>
      </c>
      <c r="BY1107" s="13" t="n">
        <f>IF(AND(COUNT(BV1107,BW1107,BX1107)=3,MIN(BV1107,BW1107,BX1107)&gt;=0),BV1107*BW1107*BX1107,"")</f>
        <v>0</v>
      </c>
      <c r="BZ1107" s="11" t="n">
        <f>IF(ISNUMBER(BO1107),BO1107,"")</f>
        <v>0.9523018155490097</v>
      </c>
      <c r="CA1107" s="14" t="n">
        <f>IF(ISNUMBER(BS1107),BS1107,"")</f>
        <v>30</v>
      </c>
      <c r="CB1107" s="13" t="n">
        <f>IF(AND(COUNT(BV1107,BZ1107,CA1107)=3,MIN(BV1107,BZ1107,CA1107)&gt;=0),BV1107*BZ1107*CA1107,"")</f>
        <v>0</v>
      </c>
      <c r="CC1107" s="11" t="n">
        <f>IF(ISNUMBER(BP1107),BP1107,"")</f>
        <v>0.5958545198749097</v>
      </c>
      <c r="CD1107" s="14" t="n">
        <f>IF(ISNUMBER(BT1107),BT1107,"")</f>
        <v>31</v>
      </c>
      <c r="CE1107" s="13" t="n">
        <f>IF(AND(COUNT(BV1107,CC1107,CD1107)=3,MIN(BV1107,CC1107,CD1107)&gt;=0),BV1107*CC1107*CD1107,"")</f>
        <v>0</v>
      </c>
      <c r="CF1107" s="11" t="n">
        <f>IF(ISNUMBER(BQ1107),BQ1107,"")</f>
        <v>1.3264167397065354</v>
      </c>
      <c r="CG1107" s="14" t="n">
        <f>IF(ISNUMBER(BU1107),BU1107,"")</f>
        <v>17</v>
      </c>
      <c r="CH1107" s="13" t="n">
        <f>IF(AND(COUNT(BV1107,CF1107,CG1107)=3,MIN(BV1107,CF1107,CG1107)&gt;=0),BV1107*CF1107*CG1107,"")</f>
        <v>0</v>
      </c>
      <c r="CI1107" s="13" t="n">
        <f>IF(COUNT(BY1107,CB1107,CE1107,CH1107)=4,SUM(BY1107,CB1107,CE1107,CH1107),"")</f>
        <v>0</v>
      </c>
    </row>
    <row r="1108" ht="72" customHeight="1">
      <c r="A1108" s="16" t="str">
        <v>B07-TN-37.5</v>
      </c>
      <c r="B1108" s="16" t="str">
        <v>4店-彬郁-US</v>
      </c>
      <c r="C1108" s="16" t="str">
        <v>艾年</v>
      </c>
      <c r="D1108" s="26" t="n">
        <f>IF(NOT(ISNUMBER(E1108)),"",IF(OR(E1108&lt;=0,L1108=0),0,IF(OR(NOT(ISNUMBER(F1108)),F1108&lt;0),"",MIN(E1108,INT(F1108)))))</f>
        <v>0</v>
      </c>
      <c r="E1108" s="27" t="n">
        <f>IF(OR(NOT(ISNUMBER(L1108)),COUNT(M1108:O1108)&lt;&gt;3,MIN(M1108:O1108)&lt;0),"",ROUNDUP(ROUND(BI1108-SUM(M1108:O1108),10),0))</f>
        <v>-41</v>
      </c>
      <c r="F1108" s="28" t="n">
        <v>0</v>
      </c>
      <c r="G1108" s="28" t="n">
        <f>IF(AND(ISNUMBER(D1108),ISNUMBER(E1108)),IF(OR(E1108&lt;=0,L1108=0),0,E1108-D1108),"")</f>
        <v>0</v>
      </c>
      <c r="H1108" s="16" t="str">
        <f>IF(NOT(ISNUMBER(E1108)),"销量或海外库存待补",IF(OR(E1108&lt;=0,L1108=0),IF(L1108=0,"零日销，本批不发","本批无需补货"),IF(NOT(ISNUMBER(D1108)),"国内库存待补",IF(D1108=0,"国内无可用库存",IF(G1108&gt;0,"先发国内现货","按建议量发货")))))</f>
        <v>本批无需补货</v>
      </c>
      <c r="I1108" s="28" t="n">
        <f>IF(AND(COUNT(Z1108,AA1108,AB1108)=3,Z1108&gt;=AA1108,AA1108&gt;=0,AB1108=7),Z1108-AA1108,"")</f>
        <v>0</v>
      </c>
      <c r="J1108" s="28" t="n">
        <f>IF(AND(COUNT(AF1108,AG1108,AH1108)=3,AF1108&gt;=AG1108,AG1108&gt;=0,AH1108=14),AF1108-AG1108,"")</f>
        <v>1</v>
      </c>
      <c r="K1108" s="28" t="n">
        <f>IF(AND(COUNT(AL1108,AM1108,AN1108)=3,AL1108&gt;=AM1108,AM1108&gt;=0,AN1108=30),AL1108-AM1108,"")</f>
        <v>2</v>
      </c>
      <c r="L1108" s="29" t="n">
        <f>IF(ISNUMBER(BI1108),BI1108/90,"")</f>
        <v>0.05756963550726333</v>
      </c>
      <c r="M1108" s="28" t="n">
        <v>24</v>
      </c>
      <c r="N1108" s="28" t="n">
        <v>0</v>
      </c>
      <c r="O1108" s="28" t="n">
        <v>22</v>
      </c>
      <c r="P1108" s="30" t="n">
        <f>IF(AND(ISNUMBER(L1108),L1108&gt;0,COUNT(M1108:O1108)=3,MIN(M1108:O1108)&gt;=0),SUM(M1108:O1108)/L1108,"")</f>
        <v>799.0323300587228</v>
      </c>
      <c r="Q1108" s="16" t="str">
        <v>沿用原计划SKU店铺</v>
      </c>
      <c r="R1108" s="16" t="str">
        <v>已匹配</v>
      </c>
      <c r="S1108" s="16" t="str">
        <v>在售</v>
      </c>
      <c r="T1108" s="16" t="str">
        <v>B07</v>
      </c>
      <c r="U1108" s="16" t="str">
        <v>驼色羊京绒</v>
      </c>
      <c r="V1108" s="16" t="n">
        <v>6.5</v>
      </c>
      <c r="W1108" s="8" t="str">
        <v>2026-10-11 至 2026-10-17</v>
      </c>
      <c r="X1108" s="8" t="str">
        <v>2026-10-11、2026-10-12、2026-10-13、2026-10-14、2026-10-15、2026-10-16、2026-10-17</v>
      </c>
      <c r="Y1108" s="8" t="str">
        <v>无</v>
      </c>
      <c r="Z1108" s="8" t="n">
        <v>0</v>
      </c>
      <c r="AA1108" s="8" t="n">
        <v>0</v>
      </c>
      <c r="AB1108" s="8" t="n">
        <v>7</v>
      </c>
      <c r="AC1108" s="8" t="str">
        <v>2026-10-02 至 2026-10-17</v>
      </c>
      <c r="AD1108" s="8" t="str">
        <v>2026-10-02、2026-10-03、2026-10-04、2026-10-05、2026-10-08、2026-10-09、2026-10-10、2026-10-11、2026-10-12、2026-10-13、2026-10-14、2026-10-15、2026-10-16、2026-10-17</v>
      </c>
      <c r="AE1108" s="8" t="str">
        <v>2026-10-06 大促；2026-10-07 大促</v>
      </c>
      <c r="AF1108" s="8" t="n">
        <v>1</v>
      </c>
      <c r="AG1108" s="8" t="n">
        <v>0</v>
      </c>
      <c r="AH1108" s="8" t="n">
        <v>14</v>
      </c>
      <c r="AI1108" s="8" t="str">
        <v>2026-09-16 至 2026-10-17</v>
      </c>
      <c r="AJ11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8" s="8" t="str">
        <v>2026-10-06 大促；2026-10-07 大促</v>
      </c>
      <c r="AL1108" s="8" t="n">
        <v>2</v>
      </c>
      <c r="AM1108" s="8" t="n">
        <v>0</v>
      </c>
      <c r="AN1108" s="8" t="n">
        <v>30</v>
      </c>
      <c r="AO1108" s="8" t="str">
        <v>B07 / 驼色羊京绒 / 13306</v>
      </c>
      <c r="AP1108" s="11" t="n">
        <v>0.7307750238224848</v>
      </c>
      <c r="AQ1108" s="11" t="n">
        <v>0.7307750238224848</v>
      </c>
      <c r="AR1108" s="11" t="n">
        <v>0.7449809054134506</v>
      </c>
      <c r="AS1108" s="11" t="n">
        <f>IF(AND(COUNT(I1108:K1108,AP1108:AR1108)=6,MIN(AP1108:AR1108)&gt;0),I1108/7/AP1108*0.5+J1108/14/AQ1108*0.3+K1108/30/AR1108*0.2,"")</f>
        <v>0.04722062625929688</v>
      </c>
      <c r="AT1108" s="8" t="n">
        <v>3</v>
      </c>
      <c r="AU1108" s="8" t="n">
        <v>0</v>
      </c>
      <c r="AV1108" s="8" t="n">
        <v>88</v>
      </c>
      <c r="AW1108" s="11" t="n">
        <f>IF(AND(COUNT(AT1108:AV1108)=3,AT1108&gt;=AU1108,AU1108&gt;=0,AV1108&gt;0),(AT1108-AU1108)/AV1108,"")</f>
        <v>0.03409090909090909</v>
      </c>
      <c r="AX1108" s="8" t="n">
        <v>8</v>
      </c>
      <c r="AY1108" s="8" t="n">
        <v>0</v>
      </c>
      <c r="AZ1108" s="8" t="n">
        <v>178</v>
      </c>
      <c r="BA1108" s="11" t="n">
        <f>IF(AND(COUNT(AX1108:AZ1108)=3,AX1108&gt;=AY1108,AY1108&gt;=0,AZ1108&gt;0),(AX1108-AY1108)/AZ1108,"")</f>
        <v>0.0449438202247191</v>
      </c>
      <c r="BB1108" s="8" t="n">
        <f>IF(COUNT(AS1108,AW1108,BA1108)=3,1,0)</f>
        <v>1</v>
      </c>
      <c r="BC1108" s="11" t="n">
        <f>IF(SUMIF($AO$11:$AO$1309,AO1108,$BB$11:$BB$1309)=COUNTIF($AO$11:$AO$1309,AO1108),SUMIF($AO$11:$AO$1309,AO1108,$AS$11:$AS$1309),"")</f>
        <v>0.5846777075606887</v>
      </c>
      <c r="BD1108" s="11" t="n">
        <f>IF(SUMIF($AO$11:$AO$1309,AO1108,$BB$11:$BB$1309)=COUNTIF($AO$11:$AO$1309,AO1108),SUMIF($AO$11:$AO$1309,AO1108,$AW$11:$AW$1309),"")</f>
        <v>0.32954545454545453</v>
      </c>
      <c r="BE1108" s="11" t="n">
        <f>IF(SUMIF($AO$11:$AO$1309,AO1108,$BB$11:$BB$1309)=COUNTIF($AO$11:$AO$1309,AO1108),SUMIF($AO$11:$AO$1309,AO1108,$BA$11:$BA$1309),"")</f>
        <v>0.3314606741573033</v>
      </c>
      <c r="BF1108" s="12" t="n">
        <f>IF(COUNT(BD1108:BE1108)&lt;&gt;2,"",IF(AND(BD1108&gt;0,BE1108&gt;0),0.7*AW1108/BD1108+0.3*BA1108/BE1108,IF(BD1108&gt;0,AW1108/BD1108,IF(BE1108&gt;0,BA1108/BE1108,IF(AND(ISNUMBER(BH1108),BH1108=0),0,"")))))</f>
        <v>0.1130917592051432</v>
      </c>
      <c r="BG1108" s="11" t="n">
        <f>IF(AND(COUNT(BN1108:BU1108)=8,MIN(BN1108:BU1108)&gt;=0),SUMPRODUCT(BN1108:BQ1108,BR1108:BU1108),"")</f>
        <v>78.35892944347341</v>
      </c>
      <c r="BH1108" s="11" t="n">
        <f>IF(COUNT(BC1108,BG1108)=2,BC1108*BG1108,"")</f>
        <v>45.81471923391979</v>
      </c>
      <c r="BI1108" s="11" t="n">
        <f>IF(ISNUMBER(CI1108),CI1108,"")</f>
        <v>5.1812671956536995</v>
      </c>
      <c r="BJ1108" s="8" t="str">
        <v>低销提醒依据不完整</v>
      </c>
      <c r="BK1108" s="8" t="str">
        <v>90天：2026-07-20 至 2026-10-17；180天：2026-04-21 至 2026-10-17</v>
      </c>
      <c r="BL1108" s="8" t="str">
        <v>90天：2026-10-06、2026-10-07；180天：2026-10-06、2026-10-07</v>
      </c>
      <c r="BM1108" s="8" t="str">
        <v>2026-10：12天 × 0.7307750238224848；2026-11：30天 × 0.9523018155490097；2026-12：31天 × 0.5958545198749097；2027-01：17天 × 1.3264167397065354</v>
      </c>
      <c r="BN1108" s="11" t="n">
        <v>0.7307750238224848</v>
      </c>
      <c r="BO1108" s="11" t="n">
        <v>0.9523018155490097</v>
      </c>
      <c r="BP1108" s="11" t="n">
        <v>0.5958545198749097</v>
      </c>
      <c r="BQ1108" s="11" t="n">
        <v>1.3264167397065354</v>
      </c>
      <c r="BR1108" s="8" t="n">
        <v>12</v>
      </c>
      <c r="BS1108" s="8" t="n">
        <v>30</v>
      </c>
      <c r="BT1108" s="8" t="n">
        <v>31</v>
      </c>
      <c r="BU1108" s="8" t="n">
        <v>17</v>
      </c>
      <c r="BV1108" s="11" t="n">
        <f>IF(COUNT(BC1108,BF1108)=2,BC1108*BF1108,"")</f>
        <v>0.06612223051606854</v>
      </c>
      <c r="BW1108" s="11" t="n">
        <f>IF(ISNUMBER(BN1108),BN1108,"")</f>
        <v>0.7307750238224848</v>
      </c>
      <c r="BX1108" s="14" t="n">
        <f>IF(ISNUMBER(BR1108),BR1108,"")</f>
        <v>12</v>
      </c>
      <c r="BY1108" s="13" t="n">
        <f>IF(AND(COUNT(BV1108,BW1108,BX1108)=3,MIN(BV1108,BW1108,BX1108)&gt;=0),BV1108*BW1108*BX1108,"")</f>
        <v>0.5798456949669099</v>
      </c>
      <c r="BZ1108" s="11" t="n">
        <f>IF(ISNUMBER(BO1108),BO1108,"")</f>
        <v>0.9523018155490097</v>
      </c>
      <c r="CA1108" s="14" t="n">
        <f>IF(ISNUMBER(BS1108),BS1108,"")</f>
        <v>30</v>
      </c>
      <c r="CB1108" s="13" t="n">
        <f>IF(AND(COUNT(BV1108,BZ1108,CA1108)=3,MIN(BV1108,BZ1108,CA1108)&gt;=0),BV1108*BZ1108*CA1108,"")</f>
        <v>1.8890496050580663</v>
      </c>
      <c r="CC1108" s="11" t="n">
        <f>IF(ISNUMBER(BP1108),BP1108,"")</f>
        <v>0.5958545198749097</v>
      </c>
      <c r="CD1108" s="14" t="n">
        <f>IF(ISNUMBER(BT1108),BT1108,"")</f>
        <v>31</v>
      </c>
      <c r="CE1108" s="13" t="n">
        <f>IF(AND(COUNT(BV1108,CC1108,CD1108)=3,MIN(BV1108,CC1108,CD1108)&gt;=0),BV1108*CC1108*CD1108,"")</f>
        <v>1.2213761274335138</v>
      </c>
      <c r="CF1108" s="11" t="n">
        <f>IF(ISNUMBER(BQ1108),BQ1108,"")</f>
        <v>1.3264167397065354</v>
      </c>
      <c r="CG1108" s="14" t="n">
        <f>IF(ISNUMBER(BU1108),BU1108,"")</f>
        <v>17</v>
      </c>
      <c r="CH1108" s="13" t="n">
        <f>IF(AND(COUNT(BV1108,CF1108,CG1108)=3,MIN(BV1108,CF1108,CG1108)&gt;=0),BV1108*CF1108*CG1108,"")</f>
        <v>1.4909957681952093</v>
      </c>
      <c r="CI1108" s="13" t="n">
        <f>IF(COUNT(BY1108,CB1108,CE1108,CH1108)=4,SUM(BY1108,CB1108,CE1108,CH1108),"")</f>
        <v>5.1812671956536995</v>
      </c>
    </row>
    <row r="1109" ht="72" customHeight="1">
      <c r="A1109" s="16" t="str">
        <v>B07-TN-38-by</v>
      </c>
      <c r="B1109" s="16" t="str">
        <v>4店-彬郁-US</v>
      </c>
      <c r="C1109" s="16" t="str">
        <v>艾年</v>
      </c>
      <c r="D1109" s="26" t="n">
        <f>IF(NOT(ISNUMBER(E1109)),"",IF(OR(E1109&lt;=0,L1109=0),0,IF(OR(NOT(ISNUMBER(F1109)),F1109&lt;0),"",MIN(E1109,INT(F1109)))))</f>
        <v>0</v>
      </c>
      <c r="E1109" s="27" t="n">
        <f>IF(OR(NOT(ISNUMBER(L1109)),COUNT(M1109:O1109)&lt;&gt;3,MIN(M1109:O1109)&lt;0),"",ROUNDUP(ROUND(BI1109-SUM(M1109:O1109),10),0))</f>
        <v>-14</v>
      </c>
      <c r="F1109" s="28" t="n">
        <v>0</v>
      </c>
      <c r="G1109" s="28" t="n">
        <f>IF(AND(ISNUMBER(D1109),ISNUMBER(E1109)),IF(OR(E1109&lt;=0,L1109=0),0,E1109-D1109),"")</f>
        <v>0</v>
      </c>
      <c r="H1109" s="16" t="str">
        <f>IF(NOT(ISNUMBER(E1109)),"销量或海外库存待补",IF(OR(E1109&lt;=0,L1109=0),IF(L1109=0,"零日销，本批不发","本批无需补货"),IF(NOT(ISNUMBER(D1109)),"国内库存待补",IF(D1109=0,"国内无可用库存",IF(G1109&gt;0,"先发国内现货","按建议量发货")))))</f>
        <v>本批无需补货</v>
      </c>
      <c r="I1109" s="28" t="n">
        <f>IF(AND(COUNT(Z1109,AA1109,AB1109)=3,Z1109&gt;=AA1109,AA1109&gt;=0,AB1109=7),Z1109-AA1109,"")</f>
        <v>1</v>
      </c>
      <c r="J1109" s="28" t="n">
        <f>IF(AND(COUNT(AF1109,AG1109,AH1109)=3,AF1109&gt;=AG1109,AG1109&gt;=0,AH1109=14),AF1109-AG1109,"")</f>
        <v>3</v>
      </c>
      <c r="K1109" s="28" t="n">
        <f>IF(AND(COUNT(AL1109,AM1109,AN1109)=3,AL1109&gt;=AM1109,AM1109&gt;=0,AN1109=30),AL1109-AM1109,"")</f>
        <v>5</v>
      </c>
      <c r="L1109" s="29" t="n">
        <f>IF(ISNUMBER(BI1109),BI1109/90,"")</f>
        <v>0.14164807992252235</v>
      </c>
      <c r="M1109" s="28" t="n">
        <v>26</v>
      </c>
      <c r="N1109" s="28" t="n">
        <v>0</v>
      </c>
      <c r="O1109" s="28" t="n">
        <v>0</v>
      </c>
      <c r="P1109" s="30" t="n">
        <f>IF(AND(ISNUMBER(L1109),L1109&gt;0,COUNT(M1109:O1109)=3,MIN(M1109:O1109)&gt;=0),SUM(M1109:O1109)/L1109,"")</f>
        <v>183.55349408351523</v>
      </c>
      <c r="Q1109" s="16" t="str">
        <v>沿用原计划SKU店铺</v>
      </c>
      <c r="R1109" s="16" t="str">
        <v>已匹配</v>
      </c>
      <c r="S1109" s="16" t="str">
        <v>在售</v>
      </c>
      <c r="T1109" s="16" t="str">
        <v>B07</v>
      </c>
      <c r="U1109" s="16" t="str">
        <v>驼色羊京绒</v>
      </c>
      <c r="V1109" s="16" t="n">
        <v>7</v>
      </c>
      <c r="W1109" s="8" t="str">
        <v>2026-10-11 至 2026-10-17</v>
      </c>
      <c r="X1109" s="8" t="str">
        <v>2026-10-11、2026-10-12、2026-10-13、2026-10-14、2026-10-15、2026-10-16、2026-10-17</v>
      </c>
      <c r="Y1109" s="8" t="str">
        <v>无</v>
      </c>
      <c r="Z1109" s="8" t="n">
        <v>1</v>
      </c>
      <c r="AA1109" s="8" t="n">
        <v>0</v>
      </c>
      <c r="AB1109" s="8" t="n">
        <v>7</v>
      </c>
      <c r="AC1109" s="8" t="str">
        <v>2026-10-02 至 2026-10-17</v>
      </c>
      <c r="AD1109" s="8" t="str">
        <v>2026-10-02、2026-10-03、2026-10-04、2026-10-05、2026-10-08、2026-10-09、2026-10-10、2026-10-11、2026-10-12、2026-10-13、2026-10-14、2026-10-15、2026-10-16、2026-10-17</v>
      </c>
      <c r="AE1109" s="8" t="str">
        <v>2026-10-06 大促；2026-10-07 大促</v>
      </c>
      <c r="AF1109" s="8" t="n">
        <v>3</v>
      </c>
      <c r="AG1109" s="8" t="n">
        <v>0</v>
      </c>
      <c r="AH1109" s="8" t="n">
        <v>14</v>
      </c>
      <c r="AI1109" s="8" t="str">
        <v>2026-09-16 至 2026-10-17</v>
      </c>
      <c r="AJ11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09" s="8" t="str">
        <v>2026-10-06 大促；2026-10-07 大促</v>
      </c>
      <c r="AL1109" s="8" t="n">
        <v>5</v>
      </c>
      <c r="AM1109" s="8" t="n">
        <v>0</v>
      </c>
      <c r="AN1109" s="8" t="n">
        <v>30</v>
      </c>
      <c r="AO1109" s="8" t="str">
        <v>B07 / 驼色羊京绒 / 13306</v>
      </c>
      <c r="AP1109" s="11" t="n">
        <v>0.7307750238224848</v>
      </c>
      <c r="AQ1109" s="11" t="n">
        <v>0.7307750238224848</v>
      </c>
      <c r="AR1109" s="11" t="n">
        <v>0.7449809054134506</v>
      </c>
      <c r="AS1109" s="11" t="n">
        <f>IF(AND(COUNT(I1109:K1109,AP1109:AR1109)=6,MIN(AP1109:AR1109)&gt;0),I1109/7/AP1109*0.5+J1109/14/AQ1109*0.3+K1109/30/AR1109*0.2,"")</f>
        <v>0.23045668961264681</v>
      </c>
      <c r="AT1109" s="8" t="n">
        <v>9</v>
      </c>
      <c r="AU1109" s="8" t="n">
        <v>0</v>
      </c>
      <c r="AV1109" s="8" t="n">
        <v>88</v>
      </c>
      <c r="AW1109" s="11" t="n">
        <f>IF(AND(COUNT(AT1109:AV1109)=3,AT1109&gt;=AU1109,AU1109&gt;=0,AV1109&gt;0),(AT1109-AU1109)/AV1109,"")</f>
        <v>0.10227272727272728</v>
      </c>
      <c r="AX1109" s="8" t="n">
        <v>12</v>
      </c>
      <c r="AY1109" s="8" t="n">
        <v>0</v>
      </c>
      <c r="AZ1109" s="8" t="n">
        <v>178</v>
      </c>
      <c r="BA1109" s="11" t="n">
        <f>IF(AND(COUNT(AX1109:AZ1109)=3,AX1109&gt;=AY1109,AY1109&gt;=0,AZ1109&gt;0),(AX1109-AY1109)/AZ1109,"")</f>
        <v>0.06741573033707865</v>
      </c>
      <c r="BB1109" s="8" t="n">
        <f>IF(COUNT(AS1109,AW1109,BA1109)=3,1,0)</f>
        <v>1</v>
      </c>
      <c r="BC1109" s="11" t="n">
        <f>IF(SUMIF($AO$11:$AO$1309,AO1109,$BB$11:$BB$1309)=COUNTIF($AO$11:$AO$1309,AO1109),SUMIF($AO$11:$AO$1309,AO1109,$AS$11:$AS$1309),"")</f>
        <v>0.5846777075606887</v>
      </c>
      <c r="BD1109" s="11" t="n">
        <f>IF(SUMIF($AO$11:$AO$1309,AO1109,$BB$11:$BB$1309)=COUNTIF($AO$11:$AO$1309,AO1109),SUMIF($AO$11:$AO$1309,AO1109,$AW$11:$AW$1309),"")</f>
        <v>0.32954545454545453</v>
      </c>
      <c r="BE1109" s="11" t="n">
        <f>IF(SUMIF($AO$11:$AO$1309,AO1109,$BB$11:$BB$1309)=COUNTIF($AO$11:$AO$1309,AO1109),SUMIF($AO$11:$AO$1309,AO1109,$BA$11:$BA$1309),"")</f>
        <v>0.3314606741573033</v>
      </c>
      <c r="BF1109" s="12" t="n">
        <f>IF(COUNT(BD1109:BE1109)&lt;&gt;2,"",IF(AND(BD1109&gt;0,BE1109&gt;0),0.7*AW1109/BD1109+0.3*BA1109/BE1109,IF(BD1109&gt;0,AW1109/BD1109,IF(BE1109&gt;0,BA1109/BE1109,IF(AND(ISNUMBER(BH1109),BH1109=0),0,"")))))</f>
        <v>0.27825832846288723</v>
      </c>
      <c r="BG1109" s="11" t="n">
        <f>IF(AND(COUNT(BN1109:BU1109)=8,MIN(BN1109:BU1109)&gt;=0),SUMPRODUCT(BN1109:BQ1109,BR1109:BU1109),"")</f>
        <v>78.35892944347341</v>
      </c>
      <c r="BH1109" s="11" t="n">
        <f>IF(COUNT(BC1109,BG1109)=2,BC1109*BG1109,"")</f>
        <v>45.81471923391979</v>
      </c>
      <c r="BI1109" s="11" t="n">
        <f>IF(ISNUMBER(CI1109),CI1109,"")</f>
        <v>12.748327193027011</v>
      </c>
      <c r="BJ1109" s="8" t="str">
        <v>低销提醒依据不完整</v>
      </c>
      <c r="BK1109" s="8" t="str">
        <v>90天：2026-07-20 至 2026-10-17；180天：2026-04-21 至 2026-10-17</v>
      </c>
      <c r="BL1109" s="8" t="str">
        <v>90天：2026-10-06、2026-10-07；180天：2026-10-06、2026-10-07</v>
      </c>
      <c r="BM1109" s="8" t="str">
        <v>2026-10：12天 × 0.7307750238224848；2026-11：30天 × 0.9523018155490097；2026-12：31天 × 0.5958545198749097；2027-01：17天 × 1.3264167397065354</v>
      </c>
      <c r="BN1109" s="11" t="n">
        <v>0.7307750238224848</v>
      </c>
      <c r="BO1109" s="11" t="n">
        <v>0.9523018155490097</v>
      </c>
      <c r="BP1109" s="11" t="n">
        <v>0.5958545198749097</v>
      </c>
      <c r="BQ1109" s="11" t="n">
        <v>1.3264167397065354</v>
      </c>
      <c r="BR1109" s="8" t="n">
        <v>12</v>
      </c>
      <c r="BS1109" s="8" t="n">
        <v>30</v>
      </c>
      <c r="BT1109" s="8" t="n">
        <v>31</v>
      </c>
      <c r="BU1109" s="8" t="n">
        <v>17</v>
      </c>
      <c r="BV1109" s="11" t="n">
        <f>IF(COUNT(BC1109,BF1109)=2,BC1109*BF1109,"")</f>
        <v>0.16269144159535004</v>
      </c>
      <c r="BW1109" s="11" t="n">
        <f>IF(ISNUMBER(BN1109),BN1109,"")</f>
        <v>0.7307750238224848</v>
      </c>
      <c r="BX1109" s="14" t="n">
        <f>IF(ISNUMBER(BR1109),BR1109,"")</f>
        <v>12</v>
      </c>
      <c r="BY1109" s="13" t="n">
        <f>IF(AND(COUNT(BV1109,BW1109,BX1109)=3,MIN(BV1109,BW1109,BX1109)&gt;=0),BV1109*BW1109*BX1109,"")</f>
        <v>1.426690105290676</v>
      </c>
      <c r="BZ1109" s="11" t="n">
        <f>IF(ISNUMBER(BO1109),BO1109,"")</f>
        <v>0.9523018155490097</v>
      </c>
      <c r="CA1109" s="14" t="n">
        <f>IF(ISNUMBER(BS1109),BS1109,"")</f>
        <v>30</v>
      </c>
      <c r="CB1109" s="13" t="n">
        <f>IF(AND(COUNT(BV1109,BZ1109,CA1109)=3,MIN(BV1109,BZ1109,CA1109)&gt;=0),BV1109*BZ1109*CA1109,"")</f>
        <v>4.647940656166126</v>
      </c>
      <c r="CC1109" s="11" t="n">
        <f>IF(ISNUMBER(BP1109),BP1109,"")</f>
        <v>0.5958545198749097</v>
      </c>
      <c r="CD1109" s="14" t="n">
        <f>IF(ISNUMBER(BT1109),BT1109,"")</f>
        <v>31</v>
      </c>
      <c r="CE1109" s="13" t="n">
        <f>IF(AND(COUNT(BV1109,CC1109,CD1109)=3,MIN(BV1109,CC1109,CD1109)&gt;=0),BV1109*CC1109*CD1109,"")</f>
        <v>3.0051533554061804</v>
      </c>
      <c r="CF1109" s="11" t="n">
        <f>IF(ISNUMBER(BQ1109),BQ1109,"")</f>
        <v>1.3264167397065354</v>
      </c>
      <c r="CG1109" s="14" t="n">
        <f>IF(ISNUMBER(BU1109),BU1109,"")</f>
        <v>17</v>
      </c>
      <c r="CH1109" s="13" t="n">
        <f>IF(AND(COUNT(BV1109,CF1109,CG1109)=3,MIN(BV1109,CF1109,CG1109)&gt;=0),BV1109*CF1109*CG1109,"")</f>
        <v>3.668543076164027</v>
      </c>
      <c r="CI1109" s="13" t="n">
        <f>IF(COUNT(BY1109,CB1109,CE1109,CH1109)=4,SUM(BY1109,CB1109,CE1109,CH1109),"")</f>
        <v>12.748327193027011</v>
      </c>
    </row>
    <row r="1110" ht="72" customHeight="1">
      <c r="A1110" s="16" t="str">
        <v>B07-TN-39-by</v>
      </c>
      <c r="B1110" s="16" t="str">
        <v>4店-彬郁-US</v>
      </c>
      <c r="C1110" s="16" t="str">
        <v>艾年</v>
      </c>
      <c r="D1110" s="26" t="n">
        <f>IF(NOT(ISNUMBER(E1110)),"",IF(OR(E1110&lt;=0,L1110=0),0,IF(OR(NOT(ISNUMBER(F1110)),F1110&lt;0),"",MIN(E1110,INT(F1110)))))</f>
        <v>0</v>
      </c>
      <c r="E1110" s="27" t="n">
        <f>IF(OR(NOT(ISNUMBER(L1110)),COUNT(M1110:O1110)&lt;&gt;3,MIN(M1110:O1110)&lt;0),"",ROUNDUP(ROUND(BI1110-SUM(M1110:O1110),10),0))</f>
        <v>-30</v>
      </c>
      <c r="F1110" s="28" t="n">
        <v>0</v>
      </c>
      <c r="G1110" s="28" t="n">
        <f>IF(AND(ISNUMBER(D1110),ISNUMBER(E1110)),IF(OR(E1110&lt;=0,L1110=0),0,E1110-D1110),"")</f>
        <v>0</v>
      </c>
      <c r="H1110" s="16" t="str">
        <f>IF(NOT(ISNUMBER(E1110)),"销量或海外库存待补",IF(OR(E1110&lt;=0,L1110=0),IF(L1110=0,"零日销，本批不发","本批无需补货"),IF(NOT(ISNUMBER(D1110)),"国内库存待补",IF(D1110=0,"国内无可用库存",IF(G1110&gt;0,"先发国内现货","按建议量发货")))))</f>
        <v>本批无需补货</v>
      </c>
      <c r="I1110" s="28" t="n">
        <f>IF(AND(COUNT(Z1110,AA1110,AB1110)=3,Z1110&gt;=AA1110,AA1110&gt;=0,AB1110=7),Z1110-AA1110,"")</f>
        <v>1</v>
      </c>
      <c r="J1110" s="28" t="n">
        <f>IF(AND(COUNT(AF1110,AG1110,AH1110)=3,AF1110&gt;=AG1110,AG1110&gt;=0,AH1110=14),AF1110-AG1110,"")</f>
        <v>2</v>
      </c>
      <c r="K1110" s="28" t="n">
        <f>IF(AND(COUNT(AL1110,AM1110,AN1110)=3,AL1110&gt;=AM1110,AM1110&gt;=0,AN1110=30),AL1110-AM1110,"")</f>
        <v>2</v>
      </c>
      <c r="L1110" s="29" t="n">
        <f>IF(ISNUMBER(BI1110),BI1110/90,"")</f>
        <v>0.037516956265973664</v>
      </c>
      <c r="M1110" s="28" t="n">
        <v>22</v>
      </c>
      <c r="N1110" s="28" t="n">
        <v>0</v>
      </c>
      <c r="O1110" s="28" t="n">
        <v>11</v>
      </c>
      <c r="P1110" s="30" t="n">
        <f>IF(AND(ISNUMBER(L1110),L1110&gt;0,COUNT(M1110:O1110)=3,MIN(M1110:O1110)&gt;=0),SUM(M1110:O1110)/L1110,"")</f>
        <v>879.6022727976374</v>
      </c>
      <c r="Q1110" s="16" t="str">
        <v>沿用原计划SKU店铺</v>
      </c>
      <c r="R1110" s="16" t="str">
        <v>已匹配</v>
      </c>
      <c r="S1110" s="16" t="str">
        <v>在售</v>
      </c>
      <c r="T1110" s="16" t="str">
        <v>B07</v>
      </c>
      <c r="U1110" s="16" t="str">
        <v>驼色羊京绒</v>
      </c>
      <c r="V1110" s="16" t="n">
        <v>8</v>
      </c>
      <c r="W1110" s="8" t="str">
        <v>2026-10-11 至 2026-10-17</v>
      </c>
      <c r="X1110" s="8" t="str">
        <v>2026-10-11、2026-10-12、2026-10-13、2026-10-14、2026-10-15、2026-10-16、2026-10-17</v>
      </c>
      <c r="Y1110" s="8" t="str">
        <v>无</v>
      </c>
      <c r="Z1110" s="8" t="n">
        <v>1</v>
      </c>
      <c r="AA1110" s="8" t="n">
        <v>0</v>
      </c>
      <c r="AB1110" s="8" t="n">
        <v>7</v>
      </c>
      <c r="AC1110" s="8" t="str">
        <v>2026-10-02 至 2026-10-17</v>
      </c>
      <c r="AD1110" s="8" t="str">
        <v>2026-10-02、2026-10-03、2026-10-04、2026-10-05、2026-10-08、2026-10-09、2026-10-10、2026-10-11、2026-10-12、2026-10-13、2026-10-14、2026-10-15、2026-10-16、2026-10-17</v>
      </c>
      <c r="AE1110" s="8" t="str">
        <v>2026-10-06 大促；2026-10-07 大促</v>
      </c>
      <c r="AF1110" s="8" t="n">
        <v>2</v>
      </c>
      <c r="AG1110" s="8" t="n">
        <v>0</v>
      </c>
      <c r="AH1110" s="8" t="n">
        <v>14</v>
      </c>
      <c r="AI1110" s="8" t="str">
        <v>2026-09-16 至 2026-10-17</v>
      </c>
      <c r="AJ111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0" s="8" t="str">
        <v>2026-10-06 大促；2026-10-07 大促</v>
      </c>
      <c r="AL1110" s="8" t="n">
        <v>2</v>
      </c>
      <c r="AM1110" s="8" t="n">
        <v>0</v>
      </c>
      <c r="AN1110" s="8" t="n">
        <v>30</v>
      </c>
      <c r="AO1110" s="8" t="str">
        <v>B07 / 驼色羊京绒 / 13306</v>
      </c>
      <c r="AP1110" s="11" t="n">
        <v>0.7307750238224848</v>
      </c>
      <c r="AQ1110" s="11" t="n">
        <v>0.7307750238224848</v>
      </c>
      <c r="AR1110" s="11" t="n">
        <v>0.7449809054134506</v>
      </c>
      <c r="AS1110" s="11" t="n">
        <f>IF(AND(COUNT(I1110:K1110,AP1110:AR1110)=6,MIN(AP1110:AR1110)&gt;0),I1110/7/AP1110*0.5+J1110/14/AQ1110*0.3+K1110/30/AR1110*0.2,"")</f>
        <v>0.1742872881321021</v>
      </c>
      <c r="AT1110" s="8" t="n">
        <v>2</v>
      </c>
      <c r="AU1110" s="8" t="n">
        <v>0</v>
      </c>
      <c r="AV1110" s="8" t="n">
        <v>88</v>
      </c>
      <c r="AW1110" s="11" t="n">
        <f>IF(AND(COUNT(AT1110:AV1110)=3,AT1110&gt;=AU1110,AU1110&gt;=0,AV1110&gt;0),(AT1110-AU1110)/AV1110,"")</f>
        <v>0.022727272727272728</v>
      </c>
      <c r="AX1110" s="8" t="n">
        <v>5</v>
      </c>
      <c r="AY1110" s="8" t="n">
        <v>0</v>
      </c>
      <c r="AZ1110" s="8" t="n">
        <v>178</v>
      </c>
      <c r="BA1110" s="11" t="n">
        <f>IF(AND(COUNT(AX1110:AZ1110)=3,AX1110&gt;=AY1110,AY1110&gt;=0,AZ1110&gt;0),(AX1110-AY1110)/AZ1110,"")</f>
        <v>0.028089887640449437</v>
      </c>
      <c r="BB1110" s="8" t="n">
        <f>IF(COUNT(AS1110,AW1110,BA1110)=3,1,0)</f>
        <v>1</v>
      </c>
      <c r="BC1110" s="11" t="n">
        <f>IF(SUMIF($AO$11:$AO$1309,AO1110,$BB$11:$BB$1309)=COUNTIF($AO$11:$AO$1309,AO1110),SUMIF($AO$11:$AO$1309,AO1110,$AS$11:$AS$1309),"")</f>
        <v>0.5846777075606887</v>
      </c>
      <c r="BD1110" s="11" t="n">
        <f>IF(SUMIF($AO$11:$AO$1309,AO1110,$BB$11:$BB$1309)=COUNTIF($AO$11:$AO$1309,AO1110),SUMIF($AO$11:$AO$1309,AO1110,$AW$11:$AW$1309),"")</f>
        <v>0.32954545454545453</v>
      </c>
      <c r="BE1110" s="11" t="n">
        <f>IF(SUMIF($AO$11:$AO$1309,AO1110,$BB$11:$BB$1309)=COUNTIF($AO$11:$AO$1309,AO1110),SUMIF($AO$11:$AO$1309,AO1110,$BA$11:$BA$1309),"")</f>
        <v>0.3314606741573033</v>
      </c>
      <c r="BF1110" s="12" t="n">
        <f>IF(COUNT(BD1110:BE1110)&lt;&gt;2,"",IF(AND(BD1110&gt;0,BE1110&gt;0),0.7*AW1110/BD1110+0.3*BA1110/BE1110,IF(BD1110&gt;0,AW1110/BD1110,IF(BE1110&gt;0,BA1110/BE1110,IF(AND(ISNUMBER(BH1110),BH1110=0),0,"")))))</f>
        <v>0.07369959088252484</v>
      </c>
      <c r="BG1110" s="11" t="n">
        <f>IF(AND(COUNT(BN1110:BU1110)=8,MIN(BN1110:BU1110)&gt;=0),SUMPRODUCT(BN1110:BQ1110,BR1110:BU1110),"")</f>
        <v>78.35892944347341</v>
      </c>
      <c r="BH1110" s="11" t="n">
        <f>IF(COUNT(BC1110,BG1110)=2,BC1110*BG1110,"")</f>
        <v>45.81471923391979</v>
      </c>
      <c r="BI1110" s="11" t="n">
        <f>IF(ISNUMBER(CI1110),CI1110,"")</f>
        <v>3.37652606393763</v>
      </c>
      <c r="BJ1110" s="8" t="str">
        <v>低销提醒依据不完整</v>
      </c>
      <c r="BK1110" s="8" t="str">
        <v>90天：2026-07-20 至 2026-10-17；180天：2026-04-21 至 2026-10-17</v>
      </c>
      <c r="BL1110" s="8" t="str">
        <v>90天：2026-10-06、2026-10-07；180天：2026-10-06、2026-10-07</v>
      </c>
      <c r="BM1110" s="8" t="str">
        <v>2026-10：12天 × 0.7307750238224848；2026-11：30天 × 0.9523018155490097；2026-12：31天 × 0.5958545198749097；2027-01：17天 × 1.3264167397065354</v>
      </c>
      <c r="BN1110" s="11" t="n">
        <v>0.7307750238224848</v>
      </c>
      <c r="BO1110" s="11" t="n">
        <v>0.9523018155490097</v>
      </c>
      <c r="BP1110" s="11" t="n">
        <v>0.5958545198749097</v>
      </c>
      <c r="BQ1110" s="11" t="n">
        <v>1.3264167397065354</v>
      </c>
      <c r="BR1110" s="8" t="n">
        <v>12</v>
      </c>
      <c r="BS1110" s="8" t="n">
        <v>30</v>
      </c>
      <c r="BT1110" s="8" t="n">
        <v>31</v>
      </c>
      <c r="BU1110" s="8" t="n">
        <v>17</v>
      </c>
      <c r="BV1110" s="11" t="n">
        <f>IF(COUNT(BC1110,BF1110)=2,BC1110*BF1110,"")</f>
        <v>0.04309050784535526</v>
      </c>
      <c r="BW1110" s="11" t="n">
        <f>IF(ISNUMBER(BN1110),BN1110,"")</f>
        <v>0.7307750238224848</v>
      </c>
      <c r="BX1110" s="14" t="n">
        <f>IF(ISNUMBER(BR1110),BR1110,"")</f>
        <v>12</v>
      </c>
      <c r="BY1110" s="13" t="n">
        <f>IF(AND(COUNT(BV1110,BW1110,BX1110)=3,MIN(BV1110,BW1110,BX1110)&gt;=0),BV1110*BW1110*BX1110,"")</f>
        <v>0.37787360276654947</v>
      </c>
      <c r="BZ1110" s="11" t="n">
        <f>IF(ISNUMBER(BO1110),BO1110,"")</f>
        <v>0.9523018155490097</v>
      </c>
      <c r="CA1110" s="14" t="n">
        <f>IF(ISNUMBER(BS1110),BS1110,"")</f>
        <v>30</v>
      </c>
      <c r="CB1110" s="13" t="n">
        <f>IF(AND(COUNT(BV1110,BZ1110,CA1110)=3,MIN(BV1110,BZ1110,CA1110)&gt;=0),BV1110*BZ1110*CA1110,"")</f>
        <v>1.2310550656218198</v>
      </c>
      <c r="CC1110" s="11" t="n">
        <f>IF(ISNUMBER(BP1110),BP1110,"")</f>
        <v>0.5958545198749097</v>
      </c>
      <c r="CD1110" s="14" t="n">
        <f>IF(ISNUMBER(BT1110),BT1110,"")</f>
        <v>31</v>
      </c>
      <c r="CE1110" s="13" t="n">
        <f>IF(AND(COUNT(BV1110,CC1110,CD1110)=3,MIN(BV1110,CC1110,CD1110)&gt;=0),BV1110*CC1110*CD1110,"")</f>
        <v>0.7959458897641657</v>
      </c>
      <c r="CF1110" s="11" t="n">
        <f>IF(ISNUMBER(BQ1110),BQ1110,"")</f>
        <v>1.3264167397065354</v>
      </c>
      <c r="CG1110" s="14" t="n">
        <f>IF(ISNUMBER(BU1110),BU1110,"")</f>
        <v>17</v>
      </c>
      <c r="CH1110" s="13" t="n">
        <f>IF(AND(COUNT(BV1110,CF1110,CG1110)=3,MIN(BV1110,CF1110,CG1110)&gt;=0),BV1110*CF1110*CG1110,"")</f>
        <v>0.9716515057850951</v>
      </c>
      <c r="CI1110" s="13" t="n">
        <f>IF(COUNT(BY1110,CB1110,CE1110,CH1110)=4,SUM(BY1110,CB1110,CE1110,CH1110),"")</f>
        <v>3.37652606393763</v>
      </c>
    </row>
    <row r="1111" ht="72" customHeight="1">
      <c r="A1111" s="16" t="str">
        <v>B07-TN-39.5</v>
      </c>
      <c r="B1111" s="16" t="str">
        <v>4店-彬郁-US</v>
      </c>
      <c r="C1111" s="16" t="str">
        <v>艾年</v>
      </c>
      <c r="D1111" s="26" t="n">
        <f>IF(NOT(ISNUMBER(E1111)),"",IF(OR(E1111&lt;=0,L1111=0),0,IF(OR(NOT(ISNUMBER(F1111)),F1111&lt;0),"",MIN(E1111,INT(F1111)))))</f>
        <v>0</v>
      </c>
      <c r="E1111" s="27" t="n">
        <f>IF(OR(NOT(ISNUMBER(L1111)),COUNT(M1111:O1111)&lt;&gt;3,MIN(M1111:O1111)&lt;0),"",ROUNDUP(ROUND(BI1111-SUM(M1111:O1111),10),0))</f>
        <v>-21</v>
      </c>
      <c r="F1111" s="28" t="n">
        <v>0</v>
      </c>
      <c r="G1111" s="28" t="n">
        <f>IF(AND(ISNUMBER(D1111),ISNUMBER(E1111)),IF(OR(E1111&lt;=0,L1111=0),0,E1111-D1111),"")</f>
        <v>0</v>
      </c>
      <c r="H1111" s="16" t="str">
        <f>IF(NOT(ISNUMBER(E1111)),"销量或海外库存待补",IF(OR(E1111&lt;=0,L1111=0),IF(L1111=0,"零日销，本批不发","本批无需补货"),IF(NOT(ISNUMBER(D1111)),"国内库存待补",IF(D1111=0,"国内无可用库存",IF(G1111&gt;0,"先发国内现货","按建议量发货")))))</f>
        <v>本批无需补货</v>
      </c>
      <c r="I1111" s="28" t="n">
        <f>IF(AND(COUNT(Z1111,AA1111,AB1111)=3,Z1111&gt;=AA1111,AA1111&gt;=0,AB1111=7),Z1111-AA1111,"")</f>
        <v>0</v>
      </c>
      <c r="J1111" s="28" t="n">
        <f>IF(AND(COUNT(AF1111,AG1111,AH1111)=3,AF1111&gt;=AG1111,AG1111&gt;=0,AH1111=14),AF1111-AG1111,"")</f>
        <v>0</v>
      </c>
      <c r="K1111" s="28" t="n">
        <f>IF(AND(COUNT(AL1111,AM1111,AN1111)=3,AL1111&gt;=AM1111,AM1111&gt;=0,AN1111=30),AL1111-AM1111,"")</f>
        <v>1</v>
      </c>
      <c r="L1111" s="29" t="n">
        <f>IF(ISNUMBER(BI1111),BI1111/90,"")</f>
        <v>0.0627464399404746</v>
      </c>
      <c r="M1111" s="28" t="n">
        <v>26</v>
      </c>
      <c r="N1111" s="28" t="n">
        <v>0</v>
      </c>
      <c r="O1111" s="28" t="n">
        <v>0</v>
      </c>
      <c r="P1111" s="30" t="n">
        <f>IF(AND(ISNUMBER(L1111),L1111&gt;0,COUNT(M1111:O1111)=3,MIN(M1111:O1111)&gt;=0),SUM(M1111:O1111)/L1111,"")</f>
        <v>414.36613813732396</v>
      </c>
      <c r="Q1111" s="16" t="str">
        <v>沿用原计划SKU店铺</v>
      </c>
      <c r="R1111" s="16" t="str">
        <v>已匹配</v>
      </c>
      <c r="S1111" s="16" t="str">
        <v>在售</v>
      </c>
      <c r="T1111" s="16" t="str">
        <v>B07</v>
      </c>
      <c r="U1111" s="16" t="str">
        <v>驼色羊京绒</v>
      </c>
      <c r="V1111" s="16" t="n">
        <v>8.5</v>
      </c>
      <c r="W1111" s="8" t="str">
        <v>2026-10-11 至 2026-10-17</v>
      </c>
      <c r="X1111" s="8" t="str">
        <v>2026-10-11、2026-10-12、2026-10-13、2026-10-14、2026-10-15、2026-10-16、2026-10-17</v>
      </c>
      <c r="Y1111" s="8" t="str">
        <v>无</v>
      </c>
      <c r="Z1111" s="8" t="n">
        <v>0</v>
      </c>
      <c r="AA1111" s="8" t="n">
        <v>0</v>
      </c>
      <c r="AB1111" s="8" t="n">
        <v>7</v>
      </c>
      <c r="AC1111" s="8" t="str">
        <v>2026-10-02 至 2026-10-17</v>
      </c>
      <c r="AD1111" s="8" t="str">
        <v>2026-10-02、2026-10-03、2026-10-04、2026-10-05、2026-10-08、2026-10-09、2026-10-10、2026-10-11、2026-10-12、2026-10-13、2026-10-14、2026-10-15、2026-10-16、2026-10-17</v>
      </c>
      <c r="AE1111" s="8" t="str">
        <v>2026-10-06 大促；2026-10-07 大促</v>
      </c>
      <c r="AF1111" s="8" t="n">
        <v>0</v>
      </c>
      <c r="AG1111" s="8" t="n">
        <v>0</v>
      </c>
      <c r="AH1111" s="8" t="n">
        <v>14</v>
      </c>
      <c r="AI1111" s="8" t="str">
        <v>2026-09-16 至 2026-10-17</v>
      </c>
      <c r="AJ111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1" s="8" t="str">
        <v>2026-10-06 大促；2026-10-07 大促</v>
      </c>
      <c r="AL1111" s="8" t="n">
        <v>1</v>
      </c>
      <c r="AM1111" s="8" t="n">
        <v>0</v>
      </c>
      <c r="AN1111" s="8" t="n">
        <v>30</v>
      </c>
      <c r="AO1111" s="8" t="str">
        <v>B07 / 驼色羊京绒 / 13306</v>
      </c>
      <c r="AP1111" s="11" t="n">
        <v>0.7307750238224848</v>
      </c>
      <c r="AQ1111" s="11" t="n">
        <v>0.7307750238224848</v>
      </c>
      <c r="AR1111" s="11" t="n">
        <v>0.7449809054134506</v>
      </c>
      <c r="AS1111" s="11" t="n">
        <f>IF(AND(COUNT(I1111:K1111,AP1111:AR1111)=6,MIN(AP1111:AR1111)&gt;0),I1111/7/AP1111*0.5+J1111/14/AQ1111*0.3+K1111/30/AR1111*0.2,"")</f>
        <v>0.008948775221247839</v>
      </c>
      <c r="AT1111" s="8" t="n">
        <v>3</v>
      </c>
      <c r="AU1111" s="8" t="n">
        <v>0</v>
      </c>
      <c r="AV1111" s="8" t="n">
        <v>88</v>
      </c>
      <c r="AW1111" s="11" t="n">
        <f>IF(AND(COUNT(AT1111:AV1111)=3,AT1111&gt;=AU1111,AU1111&gt;=0,AV1111&gt;0),(AT1111-AU1111)/AV1111,"")</f>
        <v>0.03409090909090909</v>
      </c>
      <c r="AX1111" s="8" t="n">
        <v>10</v>
      </c>
      <c r="AY1111" s="8" t="n">
        <v>0</v>
      </c>
      <c r="AZ1111" s="8" t="n">
        <v>178</v>
      </c>
      <c r="BA1111" s="11" t="n">
        <f>IF(AND(COUNT(AX1111:AZ1111)=3,AX1111&gt;=AY1111,AY1111&gt;=0,AZ1111&gt;0),(AX1111-AY1111)/AZ1111,"")</f>
        <v>0.056179775280898875</v>
      </c>
      <c r="BB1111" s="8" t="n">
        <f>IF(COUNT(AS1111,AW1111,BA1111)=3,1,0)</f>
        <v>1</v>
      </c>
      <c r="BC1111" s="11" t="n">
        <f>IF(SUMIF($AO$11:$AO$1309,AO1111,$BB$11:$BB$1309)=COUNTIF($AO$11:$AO$1309,AO1111),SUMIF($AO$11:$AO$1309,AO1111,$AS$11:$AS$1309),"")</f>
        <v>0.5846777075606887</v>
      </c>
      <c r="BD1111" s="11" t="n">
        <f>IF(SUMIF($AO$11:$AO$1309,AO1111,$BB$11:$BB$1309)=COUNTIF($AO$11:$AO$1309,AO1111),SUMIF($AO$11:$AO$1309,AO1111,$AW$11:$AW$1309),"")</f>
        <v>0.32954545454545453</v>
      </c>
      <c r="BE1111" s="11" t="n">
        <f>IF(SUMIF($AO$11:$AO$1309,AO1111,$BB$11:$BB$1309)=COUNTIF($AO$11:$AO$1309,AO1111),SUMIF($AO$11:$AO$1309,AO1111,$BA$11:$BA$1309),"")</f>
        <v>0.3314606741573033</v>
      </c>
      <c r="BF1111" s="12" t="n">
        <f>IF(COUNT(BD1111:BE1111)&lt;&gt;2,"",IF(AND(BD1111&gt;0,BE1111&gt;0),0.7*AW1111/BD1111+0.3*BA1111/BE1111,IF(BD1111&gt;0,AW1111/BD1111,IF(BE1111&gt;0,BA1111/BE1111,IF(AND(ISNUMBER(BH1111),BH1111=0),0,"")))))</f>
        <v>0.12326125073056693</v>
      </c>
      <c r="BG1111" s="11" t="n">
        <f>IF(AND(COUNT(BN1111:BU1111)=8,MIN(BN1111:BU1111)&gt;=0),SUMPRODUCT(BN1111:BQ1111,BR1111:BU1111),"")</f>
        <v>78.35892944347341</v>
      </c>
      <c r="BH1111" s="11" t="n">
        <f>IF(COUNT(BC1111,BG1111)=2,BC1111*BG1111,"")</f>
        <v>45.81471923391979</v>
      </c>
      <c r="BI1111" s="11" t="n">
        <f>IF(ISNUMBER(CI1111),CI1111,"")</f>
        <v>5.647179594642714</v>
      </c>
      <c r="BJ1111" s="8" t="str">
        <v>低销提醒依据不完整</v>
      </c>
      <c r="BK1111" s="8" t="str">
        <v>90天：2026-07-20 至 2026-10-17；180天：2026-04-21 至 2026-10-17</v>
      </c>
      <c r="BL1111" s="8" t="str">
        <v>90天：2026-10-06、2026-10-07；180天：2026-10-06、2026-10-07</v>
      </c>
      <c r="BM1111" s="8" t="str">
        <v>2026-10：12天 × 0.7307750238224848；2026-11：30天 × 0.9523018155490097；2026-12：31天 × 0.5958545198749097；2027-01：17天 × 1.3264167397065354</v>
      </c>
      <c r="BN1111" s="11" t="n">
        <v>0.7307750238224848</v>
      </c>
      <c r="BO1111" s="11" t="n">
        <v>0.9523018155490097</v>
      </c>
      <c r="BP1111" s="11" t="n">
        <v>0.5958545198749097</v>
      </c>
      <c r="BQ1111" s="11" t="n">
        <v>1.3264167397065354</v>
      </c>
      <c r="BR1111" s="8" t="n">
        <v>12</v>
      </c>
      <c r="BS1111" s="8" t="n">
        <v>30</v>
      </c>
      <c r="BT1111" s="8" t="n">
        <v>31</v>
      </c>
      <c r="BU1111" s="8" t="n">
        <v>17</v>
      </c>
      <c r="BV1111" s="11" t="n">
        <f>IF(COUNT(BC1111,BF1111)=2,BC1111*BF1111,"")</f>
        <v>0.07206810550821113</v>
      </c>
      <c r="BW1111" s="11" t="n">
        <f>IF(ISNUMBER(BN1111),BN1111,"")</f>
        <v>0.7307750238224848</v>
      </c>
      <c r="BX1111" s="14" t="n">
        <f>IF(ISNUMBER(BR1111),BR1111,"")</f>
        <v>12</v>
      </c>
      <c r="BY1111" s="13" t="n">
        <f>IF(AND(COUNT(BV1111,BW1111,BX1111)=3,MIN(BV1111,BW1111,BX1111)&gt;=0),BV1111*BW1111*BX1111,"")</f>
        <v>0.6319868582352521</v>
      </c>
      <c r="BZ1111" s="11" t="n">
        <f>IF(ISNUMBER(BO1111),BO1111,"")</f>
        <v>0.9523018155490097</v>
      </c>
      <c r="CA1111" s="14" t="n">
        <f>IF(ISNUMBER(BS1111),BS1111,"")</f>
        <v>30</v>
      </c>
      <c r="CB1111" s="13" t="n">
        <f>IF(AND(COUNT(BV1111,BZ1111,CA1111)=3,MIN(BV1111,BZ1111,CA1111)&gt;=0),BV1111*BZ1111*CA1111,"")</f>
        <v>2.0589176315594115</v>
      </c>
      <c r="CC1111" s="11" t="n">
        <f>IF(ISNUMBER(BP1111),BP1111,"")</f>
        <v>0.5958545198749097</v>
      </c>
      <c r="CD1111" s="14" t="n">
        <f>IF(ISNUMBER(BT1111),BT1111,"")</f>
        <v>31</v>
      </c>
      <c r="CE1111" s="13" t="n">
        <f>IF(AND(COUNT(BV1111,CC1111,CD1111)=3,MIN(BV1111,CC1111,CD1111)&gt;=0),BV1111*CC1111*CD1111,"")</f>
        <v>1.3312052985825737</v>
      </c>
      <c r="CF1111" s="11" t="n">
        <f>IF(ISNUMBER(BQ1111),BQ1111,"")</f>
        <v>1.3264167397065354</v>
      </c>
      <c r="CG1111" s="14" t="n">
        <f>IF(ISNUMBER(BU1111),BU1111,"")</f>
        <v>17</v>
      </c>
      <c r="CH1111" s="13" t="n">
        <f>IF(AND(COUNT(BV1111,CF1111,CG1111)=3,MIN(BV1111,CF1111,CG1111)&gt;=0),BV1111*CF1111*CG1111,"")</f>
        <v>1.6250698062654763</v>
      </c>
      <c r="CI1111" s="13" t="n">
        <f>IF(COUNT(BY1111,CB1111,CE1111,CH1111)=4,SUM(BY1111,CB1111,CE1111,CH1111),"")</f>
        <v>5.647179594642714</v>
      </c>
    </row>
    <row r="1112" ht="72" customHeight="1">
      <c r="A1112" s="16" t="str">
        <v>B07-TN-40.5</v>
      </c>
      <c r="B1112" s="16" t="str">
        <v>4店-彬郁-US</v>
      </c>
      <c r="C1112" s="16" t="str">
        <v>艾年</v>
      </c>
      <c r="D1112" s="26" t="n">
        <f>IF(NOT(ISNUMBER(E1112)),"",IF(OR(E1112&lt;=0,L1112=0),0,IF(OR(NOT(ISNUMBER(F1112)),F1112&lt;0),"",MIN(E1112,INT(F1112)))))</f>
        <v>0</v>
      </c>
      <c r="E1112" s="27" t="n">
        <f>IF(OR(NOT(ISNUMBER(L1112)),COUNT(M1112:O1112)&lt;&gt;3,MIN(M1112:O1112)&lt;0),"",ROUNDUP(ROUND(BI1112-SUM(M1112:O1112),10),0))</f>
        <v>-26</v>
      </c>
      <c r="F1112" s="28" t="n">
        <v>0</v>
      </c>
      <c r="G1112" s="28" t="n">
        <f>IF(AND(ISNUMBER(D1112),ISNUMBER(E1112)),IF(OR(E1112&lt;=0,L1112=0),0,E1112-D1112),"")</f>
        <v>0</v>
      </c>
      <c r="H1112" s="16" t="str">
        <f>IF(NOT(ISNUMBER(E1112)),"销量或海外库存待补",IF(OR(E1112&lt;=0,L1112=0),IF(L1112=0,"零日销，本批不发","本批无需补货"),IF(NOT(ISNUMBER(D1112)),"国内库存待补",IF(D1112=0,"国内无可用库存",IF(G1112&gt;0,"先发国内现货","按建议量发货")))))</f>
        <v>本批无需补货</v>
      </c>
      <c r="I1112" s="28" t="n">
        <f>IF(AND(COUNT(Z1112,AA1112,AB1112)=3,Z1112&gt;=AA1112,AA1112&gt;=0,AB1112=7),Z1112-AA1112,"")</f>
        <v>0</v>
      </c>
      <c r="J1112" s="28" t="n">
        <f>IF(AND(COUNT(AF1112,AG1112,AH1112)=3,AF1112&gt;=AG1112,AG1112&gt;=0,AH1112=14),AF1112-AG1112,"")</f>
        <v>1</v>
      </c>
      <c r="K1112" s="28" t="n">
        <f>IF(AND(COUNT(AL1112,AM1112,AN1112)=3,AL1112&gt;=AM1112,AM1112&gt;=0,AN1112=30),AL1112-AM1112,"")</f>
        <v>1</v>
      </c>
      <c r="L1112" s="29" t="n">
        <f>IF(ISNUMBER(BI1112),BI1112/90,"")</f>
        <v>0.06468030366552478</v>
      </c>
      <c r="M1112" s="28" t="n">
        <v>31</v>
      </c>
      <c r="N1112" s="28" t="n">
        <v>0</v>
      </c>
      <c r="O1112" s="28" t="n">
        <v>0</v>
      </c>
      <c r="P1112" s="30" t="n">
        <f>IF(AND(ISNUMBER(L1112),L1112&gt;0,COUNT(M1112:O1112)=3,MIN(M1112:O1112)&gt;=0),SUM(M1112:O1112)/L1112,"")</f>
        <v>479.28037197084615</v>
      </c>
      <c r="Q1112" s="16" t="str">
        <v>沿用原计划SKU店铺</v>
      </c>
      <c r="R1112" s="16" t="str">
        <v>已匹配</v>
      </c>
      <c r="S1112" s="16" t="str">
        <v>在售</v>
      </c>
      <c r="T1112" s="16" t="str">
        <v>B07</v>
      </c>
      <c r="U1112" s="16" t="str">
        <v>驼色羊京绒</v>
      </c>
      <c r="V1112" s="16" t="n">
        <v>9.5</v>
      </c>
      <c r="W1112" s="8" t="str">
        <v>2026-10-11 至 2026-10-17</v>
      </c>
      <c r="X1112" s="8" t="str">
        <v>2026-10-11、2026-10-12、2026-10-13、2026-10-14、2026-10-15、2026-10-16、2026-10-17</v>
      </c>
      <c r="Y1112" s="8" t="str">
        <v>无</v>
      </c>
      <c r="Z1112" s="8" t="n">
        <v>0</v>
      </c>
      <c r="AA1112" s="8" t="n">
        <v>0</v>
      </c>
      <c r="AB1112" s="8" t="n">
        <v>7</v>
      </c>
      <c r="AC1112" s="8" t="str">
        <v>2026-10-02 至 2026-10-17</v>
      </c>
      <c r="AD1112" s="8" t="str">
        <v>2026-10-02、2026-10-03、2026-10-04、2026-10-05、2026-10-08、2026-10-09、2026-10-10、2026-10-11、2026-10-12、2026-10-13、2026-10-14、2026-10-15、2026-10-16、2026-10-17</v>
      </c>
      <c r="AE1112" s="8" t="str">
        <v>2026-10-06 大促；2026-10-07 大促</v>
      </c>
      <c r="AF1112" s="8" t="n">
        <v>2</v>
      </c>
      <c r="AG1112" s="8" t="n">
        <v>1</v>
      </c>
      <c r="AH1112" s="8" t="n">
        <v>14</v>
      </c>
      <c r="AI1112" s="8" t="str">
        <v>2026-09-16 至 2026-10-17</v>
      </c>
      <c r="AJ111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2" s="8" t="str">
        <v>2026-10-06 大促；2026-10-07 大促</v>
      </c>
      <c r="AL1112" s="8" t="n">
        <v>2</v>
      </c>
      <c r="AM1112" s="8" t="n">
        <v>1</v>
      </c>
      <c r="AN1112" s="8" t="n">
        <v>30</v>
      </c>
      <c r="AO1112" s="8" t="str">
        <v>B07 / 驼色羊京绒 / 13306</v>
      </c>
      <c r="AP1112" s="11" t="n">
        <v>0.7307750238224848</v>
      </c>
      <c r="AQ1112" s="11" t="n">
        <v>0.7307750238224848</v>
      </c>
      <c r="AR1112" s="11" t="n">
        <v>0.7449809054134506</v>
      </c>
      <c r="AS1112" s="11" t="n">
        <f>IF(AND(COUNT(I1112:K1112,AP1112:AR1112)=6,MIN(AP1112:AR1112)&gt;0),I1112/7/AP1112*0.5+J1112/14/AQ1112*0.3+K1112/30/AR1112*0.2,"")</f>
        <v>0.038271851038049046</v>
      </c>
      <c r="AT1112" s="8" t="n">
        <v>5</v>
      </c>
      <c r="AU1112" s="8" t="n">
        <v>1</v>
      </c>
      <c r="AV1112" s="8" t="n">
        <v>88</v>
      </c>
      <c r="AW1112" s="11" t="n">
        <f>IF(AND(COUNT(AT1112:AV1112)=3,AT1112&gt;=AU1112,AU1112&gt;=0,AV1112&gt;0),(AT1112-AU1112)/AV1112,"")</f>
        <v>0.045454545454545456</v>
      </c>
      <c r="AX1112" s="8" t="n">
        <v>7</v>
      </c>
      <c r="AY1112" s="8" t="n">
        <v>1</v>
      </c>
      <c r="AZ1112" s="8" t="n">
        <v>178</v>
      </c>
      <c r="BA1112" s="11" t="n">
        <f>IF(AND(COUNT(AX1112:AZ1112)=3,AX1112&gt;=AY1112,AY1112&gt;=0,AZ1112&gt;0),(AX1112-AY1112)/AZ1112,"")</f>
        <v>0.033707865168539325</v>
      </c>
      <c r="BB1112" s="8" t="n">
        <f>IF(COUNT(AS1112,AW1112,BA1112)=3,1,0)</f>
        <v>1</v>
      </c>
      <c r="BC1112" s="11" t="n">
        <f>IF(SUMIF($AO$11:$AO$1309,AO1112,$BB$11:$BB$1309)=COUNTIF($AO$11:$AO$1309,AO1112),SUMIF($AO$11:$AO$1309,AO1112,$AS$11:$AS$1309),"")</f>
        <v>0.5846777075606887</v>
      </c>
      <c r="BD1112" s="11" t="n">
        <f>IF(SUMIF($AO$11:$AO$1309,AO1112,$BB$11:$BB$1309)=COUNTIF($AO$11:$AO$1309,AO1112),SUMIF($AO$11:$AO$1309,AO1112,$AW$11:$AW$1309),"")</f>
        <v>0.32954545454545453</v>
      </c>
      <c r="BE1112" s="11" t="n">
        <f>IF(SUMIF($AO$11:$AO$1309,AO1112,$BB$11:$BB$1309)=COUNTIF($AO$11:$AO$1309,AO1112),SUMIF($AO$11:$AO$1309,AO1112,$BA$11:$BA$1309),"")</f>
        <v>0.3314606741573033</v>
      </c>
      <c r="BF1112" s="12" t="n">
        <f>IF(COUNT(BD1112:BE1112)&lt;&gt;2,"",IF(AND(BD1112&gt;0,BE1112&gt;0),0.7*AW1112/BD1112+0.3*BA1112/BE1112,IF(BD1112&gt;0,AW1112/BD1112,IF(BE1112&gt;0,BA1112/BE1112,IF(AND(ISNUMBER(BH1112),BH1112=0),0,"")))))</f>
        <v>0.1270601987142022</v>
      </c>
      <c r="BG1112" s="11" t="n">
        <f>IF(AND(COUNT(BN1112:BU1112)=8,MIN(BN1112:BU1112)&gt;=0),SUMPRODUCT(BN1112:BQ1112,BR1112:BU1112),"")</f>
        <v>78.35892944347341</v>
      </c>
      <c r="BH1112" s="11" t="n">
        <f>IF(COUNT(BC1112,BG1112)=2,BC1112*BG1112,"")</f>
        <v>45.81471923391979</v>
      </c>
      <c r="BI1112" s="11" t="n">
        <f>IF(ISNUMBER(CI1112),CI1112,"")</f>
        <v>5.82122732989723</v>
      </c>
      <c r="BJ1112" s="8" t="str">
        <v>低销提醒依据不完整</v>
      </c>
      <c r="BK1112" s="8" t="str">
        <v>90天：2026-07-20 至 2026-10-17；180天：2026-04-21 至 2026-10-17</v>
      </c>
      <c r="BL1112" s="8" t="str">
        <v>90天：2026-10-06、2026-10-07；180天：2026-10-06、2026-10-07</v>
      </c>
      <c r="BM1112" s="8" t="str">
        <v>2026-10：12天 × 0.7307750238224848；2026-11：30天 × 0.9523018155490097；2026-12：31天 × 0.5958545198749097；2027-01：17天 × 1.3264167397065354</v>
      </c>
      <c r="BN1112" s="11" t="n">
        <v>0.7307750238224848</v>
      </c>
      <c r="BO1112" s="11" t="n">
        <v>0.9523018155490097</v>
      </c>
      <c r="BP1112" s="11" t="n">
        <v>0.5958545198749097</v>
      </c>
      <c r="BQ1112" s="11" t="n">
        <v>1.3264167397065354</v>
      </c>
      <c r="BR1112" s="8" t="n">
        <v>12</v>
      </c>
      <c r="BS1112" s="8" t="n">
        <v>30</v>
      </c>
      <c r="BT1112" s="8" t="n">
        <v>31</v>
      </c>
      <c r="BU1112" s="8" t="n">
        <v>17</v>
      </c>
      <c r="BV1112" s="11" t="n">
        <f>IF(COUNT(BC1112,BF1112)=2,BC1112*BF1112,"")</f>
        <v>0.07428926570642531</v>
      </c>
      <c r="BW1112" s="11" t="n">
        <f>IF(ISNUMBER(BN1112),BN1112,"")</f>
        <v>0.7307750238224848</v>
      </c>
      <c r="BX1112" s="14" t="n">
        <f>IF(ISNUMBER(BR1112),BR1112,"")</f>
        <v>12</v>
      </c>
      <c r="BY1112" s="13" t="n">
        <f>IF(AND(COUNT(BV1112,BW1112,BX1112)=3,MIN(BV1112,BW1112,BX1112)&gt;=0),BV1112*BW1112*BX1112,"")</f>
        <v>0.6514648789964144</v>
      </c>
      <c r="BZ1112" s="11" t="n">
        <f>IF(ISNUMBER(BO1112),BO1112,"")</f>
        <v>0.9523018155490097</v>
      </c>
      <c r="CA1112" s="14" t="n">
        <f>IF(ISNUMBER(BS1112),BS1112,"")</f>
        <v>30</v>
      </c>
      <c r="CB1112" s="13" t="n">
        <f>IF(AND(COUNT(BV1112,BZ1112,CA1112)=3,MIN(BV1112,BZ1112,CA1112)&gt;=0),BV1112*BZ1112*CA1112,"")</f>
        <v>2.122374078240948</v>
      </c>
      <c r="CC1112" s="11" t="n">
        <f>IF(ISNUMBER(BP1112),BP1112,"")</f>
        <v>0.5958545198749097</v>
      </c>
      <c r="CD1112" s="14" t="n">
        <f>IF(ISNUMBER(BT1112),BT1112,"")</f>
        <v>31</v>
      </c>
      <c r="CE1112" s="13" t="n">
        <f>IF(AND(COUNT(BV1112,CC1112,CD1112)=3,MIN(BV1112,CC1112,CD1112)&gt;=0),BV1112*CC1112*CD1112,"")</f>
        <v>1.3722334372302112</v>
      </c>
      <c r="CF1112" s="11" t="n">
        <f>IF(ISNUMBER(BQ1112),BQ1112,"")</f>
        <v>1.3264167397065354</v>
      </c>
      <c r="CG1112" s="14" t="n">
        <f>IF(ISNUMBER(BU1112),BU1112,"")</f>
        <v>17</v>
      </c>
      <c r="CH1112" s="13" t="n">
        <f>IF(AND(COUNT(BV1112,CF1112,CG1112)=3,MIN(BV1112,CF1112,CG1112)&gt;=0),BV1112*CF1112*CG1112,"")</f>
        <v>1.6751549354296562</v>
      </c>
      <c r="CI1112" s="13" t="n">
        <f>IF(COUNT(BY1112,CB1112,CE1112,CH1112)=4,SUM(BY1112,CB1112,CE1112,CH1112),"")</f>
        <v>5.82122732989723</v>
      </c>
    </row>
    <row r="1113" ht="72" customHeight="1">
      <c r="A1113" s="16" t="str">
        <v>B07-TN-41-by</v>
      </c>
      <c r="B1113" s="16" t="str">
        <v>4店-彬郁-US</v>
      </c>
      <c r="C1113" s="16" t="str">
        <v>艾年</v>
      </c>
      <c r="D1113" s="26" t="n">
        <f>IF(NOT(ISNUMBER(E1113)),"",IF(OR(E1113&lt;=0,L1113=0),0,IF(OR(NOT(ISNUMBER(F1113)),F1113&lt;0),"",MIN(E1113,INT(F1113)))))</f>
        <v>0</v>
      </c>
      <c r="E1113" s="27" t="n">
        <f>IF(OR(NOT(ISNUMBER(L1113)),COUNT(M1113:O1113)&lt;&gt;3,MIN(M1113:O1113)&lt;0),"",ROUNDUP(ROUND(BI1113-SUM(M1113:O1113),10),0))</f>
        <v>-12</v>
      </c>
      <c r="F1113" s="28" t="n">
        <v>0</v>
      </c>
      <c r="G1113" s="28" t="n">
        <f>IF(AND(ISNUMBER(D1113),ISNUMBER(E1113)),IF(OR(E1113&lt;=0,L1113=0),0,E1113-D1113),"")</f>
        <v>0</v>
      </c>
      <c r="H1113" s="16" t="str">
        <f>IF(NOT(ISNUMBER(E1113)),"销量或海外库存待补",IF(OR(E1113&lt;=0,L1113=0),IF(L1113=0,"零日销，本批不发","本批无需补货"),IF(NOT(ISNUMBER(D1113)),"国内库存待补",IF(D1113=0,"国内无可用库存",IF(G1113&gt;0,"先发国内现货","按建议量发货")))))</f>
        <v>本批无需补货</v>
      </c>
      <c r="I1113" s="28" t="n">
        <f>IF(AND(COUNT(Z1113,AA1113,AB1113)=3,Z1113&gt;=AA1113,AA1113&gt;=0,AB1113=7),Z1113-AA1113,"")</f>
        <v>0</v>
      </c>
      <c r="J1113" s="28" t="n">
        <f>IF(AND(COUNT(AF1113,AG1113,AH1113)=3,AF1113&gt;=AG1113,AG1113&gt;=0,AH1113=14),AF1113-AG1113,"")</f>
        <v>1</v>
      </c>
      <c r="K1113" s="28" t="n">
        <f>IF(AND(COUNT(AL1113,AM1113,AN1113)=3,AL1113&gt;=AM1113,AM1113&gt;=0,AN1113=30),AL1113-AM1113,"")</f>
        <v>1</v>
      </c>
      <c r="L1113" s="29" t="n">
        <f>IF(ISNUMBER(BI1113),BI1113/90,"")</f>
        <v>0.03234015183276239</v>
      </c>
      <c r="M1113" s="28" t="n">
        <v>14</v>
      </c>
      <c r="N1113" s="28" t="n">
        <v>0</v>
      </c>
      <c r="O1113" s="28" t="n">
        <v>0</v>
      </c>
      <c r="P1113" s="30" t="n">
        <f>IF(AND(ISNUMBER(L1113),L1113&gt;0,COUNT(M1113:O1113)=3,MIN(M1113:O1113)&gt;=0),SUM(M1113:O1113)/L1113,"")</f>
        <v>432.89840048979653</v>
      </c>
      <c r="Q1113" s="16" t="str">
        <v>沿用原计划SKU店铺</v>
      </c>
      <c r="R1113" s="16" t="str">
        <v>已匹配</v>
      </c>
      <c r="S1113" s="16" t="str">
        <v>在售</v>
      </c>
      <c r="T1113" s="16" t="str">
        <v>B07</v>
      </c>
      <c r="U1113" s="16" t="str">
        <v>驼色羊京绒</v>
      </c>
      <c r="V1113" s="16" t="n">
        <v>10</v>
      </c>
      <c r="W1113" s="8" t="str">
        <v>2026-10-11 至 2026-10-17</v>
      </c>
      <c r="X1113" s="8" t="str">
        <v>2026-10-11、2026-10-12、2026-10-13、2026-10-14、2026-10-15、2026-10-16、2026-10-17</v>
      </c>
      <c r="Y1113" s="8" t="str">
        <v>无</v>
      </c>
      <c r="Z1113" s="8" t="n">
        <v>0</v>
      </c>
      <c r="AA1113" s="8" t="n">
        <v>0</v>
      </c>
      <c r="AB1113" s="8" t="n">
        <v>7</v>
      </c>
      <c r="AC1113" s="8" t="str">
        <v>2026-10-02 至 2026-10-17</v>
      </c>
      <c r="AD1113" s="8" t="str">
        <v>2026-10-02、2026-10-03、2026-10-04、2026-10-05、2026-10-08、2026-10-09、2026-10-10、2026-10-11、2026-10-12、2026-10-13、2026-10-14、2026-10-15、2026-10-16、2026-10-17</v>
      </c>
      <c r="AE1113" s="8" t="str">
        <v>2026-10-06 大促；2026-10-07 大促</v>
      </c>
      <c r="AF1113" s="8" t="n">
        <v>1</v>
      </c>
      <c r="AG1113" s="8" t="n">
        <v>0</v>
      </c>
      <c r="AH1113" s="8" t="n">
        <v>14</v>
      </c>
      <c r="AI1113" s="8" t="str">
        <v>2026-09-16 至 2026-10-17</v>
      </c>
      <c r="AJ111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3" s="8" t="str">
        <v>2026-10-06 大促；2026-10-07 大促</v>
      </c>
      <c r="AL1113" s="8" t="n">
        <v>1</v>
      </c>
      <c r="AM1113" s="8" t="n">
        <v>0</v>
      </c>
      <c r="AN1113" s="8" t="n">
        <v>30</v>
      </c>
      <c r="AO1113" s="8" t="str">
        <v>B07 / 驼色羊京绒 / 13306</v>
      </c>
      <c r="AP1113" s="11" t="n">
        <v>0.7307750238224848</v>
      </c>
      <c r="AQ1113" s="11" t="n">
        <v>0.7307750238224848</v>
      </c>
      <c r="AR1113" s="11" t="n">
        <v>0.7449809054134506</v>
      </c>
      <c r="AS1113" s="11" t="n">
        <f>IF(AND(COUNT(I1113:K1113,AP1113:AR1113)=6,MIN(AP1113:AR1113)&gt;0),I1113/7/AP1113*0.5+J1113/14/AQ1113*0.3+K1113/30/AR1113*0.2,"")</f>
        <v>0.038271851038049046</v>
      </c>
      <c r="AT1113" s="8" t="n">
        <v>2</v>
      </c>
      <c r="AU1113" s="8" t="n">
        <v>0</v>
      </c>
      <c r="AV1113" s="8" t="n">
        <v>88</v>
      </c>
      <c r="AW1113" s="11" t="n">
        <f>IF(AND(COUNT(AT1113:AV1113)=3,AT1113&gt;=AU1113,AU1113&gt;=0,AV1113&gt;0),(AT1113-AU1113)/AV1113,"")</f>
        <v>0.022727272727272728</v>
      </c>
      <c r="AX1113" s="8" t="n">
        <v>3</v>
      </c>
      <c r="AY1113" s="8" t="n">
        <v>0</v>
      </c>
      <c r="AZ1113" s="8" t="n">
        <v>178</v>
      </c>
      <c r="BA1113" s="11" t="n">
        <f>IF(AND(COUNT(AX1113:AZ1113)=3,AX1113&gt;=AY1113,AY1113&gt;=0,AZ1113&gt;0),(AX1113-AY1113)/AZ1113,"")</f>
        <v>0.016853932584269662</v>
      </c>
      <c r="BB1113" s="8" t="n">
        <f>IF(COUNT(AS1113,AW1113,BA1113)=3,1,0)</f>
        <v>1</v>
      </c>
      <c r="BC1113" s="11" t="n">
        <f>IF(SUMIF($AO$11:$AO$1309,AO1113,$BB$11:$BB$1309)=COUNTIF($AO$11:$AO$1309,AO1113),SUMIF($AO$11:$AO$1309,AO1113,$AS$11:$AS$1309),"")</f>
        <v>0.5846777075606887</v>
      </c>
      <c r="BD1113" s="11" t="n">
        <f>IF(SUMIF($AO$11:$AO$1309,AO1113,$BB$11:$BB$1309)=COUNTIF($AO$11:$AO$1309,AO1113),SUMIF($AO$11:$AO$1309,AO1113,$AW$11:$AW$1309),"")</f>
        <v>0.32954545454545453</v>
      </c>
      <c r="BE1113" s="11" t="n">
        <f>IF(SUMIF($AO$11:$AO$1309,AO1113,$BB$11:$BB$1309)=COUNTIF($AO$11:$AO$1309,AO1113),SUMIF($AO$11:$AO$1309,AO1113,$BA$11:$BA$1309),"")</f>
        <v>0.3314606741573033</v>
      </c>
      <c r="BF1113" s="12" t="n">
        <f>IF(COUNT(BD1113:BE1113)&lt;&gt;2,"",IF(AND(BD1113&gt;0,BE1113&gt;0),0.7*AW1113/BD1113+0.3*BA1113/BE1113,IF(BD1113&gt;0,AW1113/BD1113,IF(BE1113&gt;0,BA1113/BE1113,IF(AND(ISNUMBER(BH1113),BH1113=0),0,"")))))</f>
        <v>0.0635300993571011</v>
      </c>
      <c r="BG1113" s="11" t="n">
        <f>IF(AND(COUNT(BN1113:BU1113)=8,MIN(BN1113:BU1113)&gt;=0),SUMPRODUCT(BN1113:BQ1113,BR1113:BU1113),"")</f>
        <v>78.35892944347341</v>
      </c>
      <c r="BH1113" s="11" t="n">
        <f>IF(COUNT(BC1113,BG1113)=2,BC1113*BG1113,"")</f>
        <v>45.81471923391979</v>
      </c>
      <c r="BI1113" s="11" t="n">
        <f>IF(ISNUMBER(CI1113),CI1113,"")</f>
        <v>2.910613664948615</v>
      </c>
      <c r="BJ1113" s="8" t="str">
        <v>低销提醒依据不完整</v>
      </c>
      <c r="BK1113" s="8" t="str">
        <v>90天：2026-07-20 至 2026-10-17；180天：2026-04-21 至 2026-10-17</v>
      </c>
      <c r="BL1113" s="8" t="str">
        <v>90天：2026-10-06、2026-10-07；180天：2026-10-06、2026-10-07</v>
      </c>
      <c r="BM1113" s="8" t="str">
        <v>2026-10：12天 × 0.7307750238224848；2026-11：30天 × 0.9523018155490097；2026-12：31天 × 0.5958545198749097；2027-01：17天 × 1.3264167397065354</v>
      </c>
      <c r="BN1113" s="11" t="n">
        <v>0.7307750238224848</v>
      </c>
      <c r="BO1113" s="11" t="n">
        <v>0.9523018155490097</v>
      </c>
      <c r="BP1113" s="11" t="n">
        <v>0.5958545198749097</v>
      </c>
      <c r="BQ1113" s="11" t="n">
        <v>1.3264167397065354</v>
      </c>
      <c r="BR1113" s="8" t="n">
        <v>12</v>
      </c>
      <c r="BS1113" s="8" t="n">
        <v>30</v>
      </c>
      <c r="BT1113" s="8" t="n">
        <v>31</v>
      </c>
      <c r="BU1113" s="8" t="n">
        <v>17</v>
      </c>
      <c r="BV1113" s="11" t="n">
        <f>IF(COUNT(BC1113,BF1113)=2,BC1113*BF1113,"")</f>
        <v>0.03714463285321266</v>
      </c>
      <c r="BW1113" s="11" t="n">
        <f>IF(ISNUMBER(BN1113),BN1113,"")</f>
        <v>0.7307750238224848</v>
      </c>
      <c r="BX1113" s="14" t="n">
        <f>IF(ISNUMBER(BR1113),BR1113,"")</f>
        <v>12</v>
      </c>
      <c r="BY1113" s="13" t="n">
        <f>IF(AND(COUNT(BV1113,BW1113,BX1113)=3,MIN(BV1113,BW1113,BX1113)&gt;=0),BV1113*BW1113*BX1113,"")</f>
        <v>0.3257324394982072</v>
      </c>
      <c r="BZ1113" s="11" t="n">
        <f>IF(ISNUMBER(BO1113),BO1113,"")</f>
        <v>0.9523018155490097</v>
      </c>
      <c r="CA1113" s="14" t="n">
        <f>IF(ISNUMBER(BS1113),BS1113,"")</f>
        <v>30</v>
      </c>
      <c r="CB1113" s="13" t="n">
        <f>IF(AND(COUNT(BV1113,BZ1113,CA1113)=3,MIN(BV1113,BZ1113,CA1113)&gt;=0),BV1113*BZ1113*CA1113,"")</f>
        <v>1.061187039120474</v>
      </c>
      <c r="CC1113" s="11" t="n">
        <f>IF(ISNUMBER(BP1113),BP1113,"")</f>
        <v>0.5958545198749097</v>
      </c>
      <c r="CD1113" s="14" t="n">
        <f>IF(ISNUMBER(BT1113),BT1113,"")</f>
        <v>31</v>
      </c>
      <c r="CE1113" s="13" t="n">
        <f>IF(AND(COUNT(BV1113,CC1113,CD1113)=3,MIN(BV1113,CC1113,CD1113)&gt;=0),BV1113*CC1113*CD1113,"")</f>
        <v>0.6861167186151056</v>
      </c>
      <c r="CF1113" s="11" t="n">
        <f>IF(ISNUMBER(BQ1113),BQ1113,"")</f>
        <v>1.3264167397065354</v>
      </c>
      <c r="CG1113" s="14" t="n">
        <f>IF(ISNUMBER(BU1113),BU1113,"")</f>
        <v>17</v>
      </c>
      <c r="CH1113" s="13" t="n">
        <f>IF(AND(COUNT(BV1113,CF1113,CG1113)=3,MIN(BV1113,CF1113,CG1113)&gt;=0),BV1113*CF1113*CG1113,"")</f>
        <v>0.8375774677148281</v>
      </c>
      <c r="CI1113" s="13" t="n">
        <f>IF(COUNT(BY1113,CB1113,CE1113,CH1113)=4,SUM(BY1113,CB1113,CE1113,CH1113),"")</f>
        <v>2.910613664948615</v>
      </c>
    </row>
    <row r="1114" ht="72" customHeight="1">
      <c r="A1114" s="16" t="str">
        <v>B07-TN1-37-by</v>
      </c>
      <c r="B1114" s="16" t="str">
        <v>4店-彬郁-US</v>
      </c>
      <c r="C1114" s="16" t="str">
        <v>艾年</v>
      </c>
      <c r="D1114" s="26" t="n">
        <f>IF(NOT(ISNUMBER(E1114)),"",IF(OR(E1114&lt;=0,L1114=0),0,IF(OR(NOT(ISNUMBER(F1114)),F1114&lt;0),"",MIN(E1114,INT(F1114)))))</f>
        <v>0</v>
      </c>
      <c r="E1114" s="27" t="n">
        <f>IF(OR(NOT(ISNUMBER(L1114)),COUNT(M1114:O1114)&lt;&gt;3,MIN(M1114:O1114)&lt;0),"",ROUNDUP(ROUND(BI1114-SUM(M1114:O1114),10),0))</f>
        <v>-5</v>
      </c>
      <c r="F1114" s="28" t="n">
        <v>0</v>
      </c>
      <c r="G1114" s="28" t="n">
        <f>IF(AND(ISNUMBER(D1114),ISNUMBER(E1114)),IF(OR(E1114&lt;=0,L1114=0),0,E1114-D1114),"")</f>
        <v>0</v>
      </c>
      <c r="H1114" s="16" t="str">
        <f>IF(NOT(ISNUMBER(E1114)),"销量或海外库存待补",IF(OR(E1114&lt;=0,L1114=0),IF(L1114=0,"零日销，本批不发","本批无需补货"),IF(NOT(ISNUMBER(D1114)),"国内库存待补",IF(D1114=0,"国内无可用库存",IF(G1114&gt;0,"先发国内现货","按建议量发货")))))</f>
        <v>本批无需补货</v>
      </c>
      <c r="I1114" s="28" t="n">
        <f>IF(AND(COUNT(Z1114,AA1114,AB1114)=3,Z1114&gt;=AA1114,AA1114&gt;=0,AB1114=7),Z1114-AA1114,"")</f>
        <v>0</v>
      </c>
      <c r="J1114" s="28" t="n">
        <f>IF(AND(COUNT(AF1114,AG1114,AH1114)=3,AF1114&gt;=AG1114,AG1114&gt;=0,AH1114=14),AF1114-AG1114,"")</f>
        <v>0</v>
      </c>
      <c r="K1114" s="28" t="n">
        <f>IF(AND(COUNT(AL1114,AM1114,AN1114)=3,AL1114&gt;=AM1114,AM1114&gt;=0,AN1114=30),AL1114-AM1114,"")</f>
        <v>0</v>
      </c>
      <c r="L1114" s="29" t="n">
        <f>IF(ISNUMBER(BI1114),BI1114/90,"")</f>
        <v>0.02522948367450093</v>
      </c>
      <c r="M1114" s="28" t="n">
        <v>7</v>
      </c>
      <c r="N1114" s="28" t="n">
        <v>0</v>
      </c>
      <c r="O1114" s="28" t="n">
        <v>0</v>
      </c>
      <c r="P1114" s="30" t="n">
        <f>IF(AND(ISNUMBER(L1114),L1114&gt;0,COUNT(M1114:O1114)=3,MIN(M1114:O1114)&gt;=0),SUM(M1114:O1114)/L1114,"")</f>
        <v>277.4531611629768</v>
      </c>
      <c r="Q1114" s="16" t="str">
        <v>沿用原计划SKU店铺</v>
      </c>
      <c r="R1114" s="16" t="str">
        <v>已匹配</v>
      </c>
      <c r="S1114" s="16" t="str">
        <v>在售</v>
      </c>
      <c r="T1114" s="16" t="str">
        <v>B07</v>
      </c>
      <c r="U1114" s="16" t="str">
        <v>驼色羊京绒</v>
      </c>
      <c r="V1114" s="16" t="n">
        <v>6</v>
      </c>
      <c r="W1114" s="8" t="str">
        <v>2026-10-11 至 2026-10-17</v>
      </c>
      <c r="X1114" s="8" t="str">
        <v>2026-10-11、2026-10-12、2026-10-13、2026-10-14、2026-10-15、2026-10-16、2026-10-17</v>
      </c>
      <c r="Y1114" s="8" t="str">
        <v>无</v>
      </c>
      <c r="Z1114" s="8" t="n">
        <v>0</v>
      </c>
      <c r="AA1114" s="8" t="n">
        <v>0</v>
      </c>
      <c r="AB1114" s="8" t="n">
        <v>7</v>
      </c>
      <c r="AC1114" s="8" t="str">
        <v>2026-10-02 至 2026-10-17</v>
      </c>
      <c r="AD1114" s="8" t="str">
        <v>2026-10-02、2026-10-03、2026-10-04、2026-10-05、2026-10-08、2026-10-09、2026-10-10、2026-10-11、2026-10-12、2026-10-13、2026-10-14、2026-10-15、2026-10-16、2026-10-17</v>
      </c>
      <c r="AE1114" s="8" t="str">
        <v>2026-10-06 大促；2026-10-07 大促</v>
      </c>
      <c r="AF1114" s="8" t="n">
        <v>0</v>
      </c>
      <c r="AG1114" s="8" t="n">
        <v>0</v>
      </c>
      <c r="AH1114" s="8" t="n">
        <v>14</v>
      </c>
      <c r="AI1114" s="8" t="str">
        <v>2026-09-16 至 2026-10-17</v>
      </c>
      <c r="AJ111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4" s="8" t="str">
        <v>2026-10-06 大促；2026-10-07 大促</v>
      </c>
      <c r="AL1114" s="8" t="n">
        <v>0</v>
      </c>
      <c r="AM1114" s="8" t="n">
        <v>0</v>
      </c>
      <c r="AN1114" s="8" t="n">
        <v>30</v>
      </c>
      <c r="AO1114" s="8" t="str">
        <v>B07 / 驼色羊京绒 / 13306</v>
      </c>
      <c r="AP1114" s="11" t="n">
        <v>0.7307750238224848</v>
      </c>
      <c r="AQ1114" s="11" t="n">
        <v>0.7307750238224848</v>
      </c>
      <c r="AR1114" s="11" t="n">
        <v>0.7449809054134506</v>
      </c>
      <c r="AS1114" s="11" t="n">
        <f>IF(AND(COUNT(I1114:K1114,AP1114:AR1114)=6,MIN(AP1114:AR1114)&gt;0),I1114/7/AP1114*0.5+J1114/14/AQ1114*0.3+K1114/30/AR1114*0.2,"")</f>
        <v>0</v>
      </c>
      <c r="AT1114" s="8" t="n">
        <v>1</v>
      </c>
      <c r="AU1114" s="8" t="n">
        <v>0</v>
      </c>
      <c r="AV1114" s="8" t="n">
        <v>88</v>
      </c>
      <c r="AW1114" s="11" t="n">
        <f>IF(AND(COUNT(AT1114:AV1114)=3,AT1114&gt;=AU1114,AU1114&gt;=0,AV1114&gt;0),(AT1114-AU1114)/AV1114,"")</f>
        <v>0.011363636363636364</v>
      </c>
      <c r="AX1114" s="8" t="n">
        <v>5</v>
      </c>
      <c r="AY1114" s="8" t="n">
        <v>0</v>
      </c>
      <c r="AZ1114" s="8" t="n">
        <v>178</v>
      </c>
      <c r="BA1114" s="11" t="n">
        <f>IF(AND(COUNT(AX1114:AZ1114)=3,AX1114&gt;=AY1114,AY1114&gt;=0,AZ1114&gt;0),(AX1114-AY1114)/AZ1114,"")</f>
        <v>0.028089887640449437</v>
      </c>
      <c r="BB1114" s="8" t="n">
        <f>IF(COUNT(AS1114,AW1114,BA1114)=3,1,0)</f>
        <v>1</v>
      </c>
      <c r="BC1114" s="11" t="n">
        <f>IF(SUMIF($AO$11:$AO$1309,AO1114,$BB$11:$BB$1309)=COUNTIF($AO$11:$AO$1309,AO1114),SUMIF($AO$11:$AO$1309,AO1114,$AS$11:$AS$1309),"")</f>
        <v>0.5846777075606887</v>
      </c>
      <c r="BD1114" s="11" t="n">
        <f>IF(SUMIF($AO$11:$AO$1309,AO1114,$BB$11:$BB$1309)=COUNTIF($AO$11:$AO$1309,AO1114),SUMIF($AO$11:$AO$1309,AO1114,$AW$11:$AW$1309),"")</f>
        <v>0.32954545454545453</v>
      </c>
      <c r="BE1114" s="11" t="n">
        <f>IF(SUMIF($AO$11:$AO$1309,AO1114,$BB$11:$BB$1309)=COUNTIF($AO$11:$AO$1309,AO1114),SUMIF($AO$11:$AO$1309,AO1114,$BA$11:$BA$1309),"")</f>
        <v>0.3314606741573033</v>
      </c>
      <c r="BF1114" s="12" t="n">
        <f>IF(COUNT(BD1114:BE1114)&lt;&gt;2,"",IF(AND(BD1114&gt;0,BE1114&gt;0),0.7*AW1114/BD1114+0.3*BA1114/BE1114,IF(BD1114&gt;0,AW1114/BD1114,IF(BE1114&gt;0,BA1114/BE1114,IF(AND(ISNUMBER(BH1114),BH1114=0),0,"")))))</f>
        <v>0.04956165984804209</v>
      </c>
      <c r="BG1114" s="11" t="n">
        <f>IF(AND(COUNT(BN1114:BU1114)=8,MIN(BN1114:BU1114)&gt;=0),SUMPRODUCT(BN1114:BQ1114,BR1114:BU1114),"")</f>
        <v>78.35892944347341</v>
      </c>
      <c r="BH1114" s="11" t="n">
        <f>IF(COUNT(BC1114,BG1114)=2,BC1114*BG1114,"")</f>
        <v>45.81471923391979</v>
      </c>
      <c r="BI1114" s="11" t="n">
        <f>IF(ISNUMBER(CI1114),CI1114,"")</f>
        <v>2.2706535307050837</v>
      </c>
      <c r="BJ1114" s="8" t="str">
        <v>低销提醒依据不完整</v>
      </c>
      <c r="BK1114" s="8" t="str">
        <v>90天：2026-07-20 至 2026-10-17；180天：2026-04-21 至 2026-10-17</v>
      </c>
      <c r="BL1114" s="8" t="str">
        <v>90天：2026-10-06、2026-10-07；180天：2026-10-06、2026-10-07</v>
      </c>
      <c r="BM1114" s="8" t="str">
        <v>2026-10：12天 × 0.7307750238224848；2026-11：30天 × 0.9523018155490097；2026-12：31天 × 0.5958545198749097；2027-01：17天 × 1.3264167397065354</v>
      </c>
      <c r="BN1114" s="11" t="n">
        <v>0.7307750238224848</v>
      </c>
      <c r="BO1114" s="11" t="n">
        <v>0.9523018155490097</v>
      </c>
      <c r="BP1114" s="11" t="n">
        <v>0.5958545198749097</v>
      </c>
      <c r="BQ1114" s="11" t="n">
        <v>1.3264167397065354</v>
      </c>
      <c r="BR1114" s="8" t="n">
        <v>12</v>
      </c>
      <c r="BS1114" s="8" t="n">
        <v>30</v>
      </c>
      <c r="BT1114" s="8" t="n">
        <v>31</v>
      </c>
      <c r="BU1114" s="8" t="n">
        <v>17</v>
      </c>
      <c r="BV1114" s="11" t="n">
        <f>IF(COUNT(BC1114,BF1114)=2,BC1114*BF1114,"")</f>
        <v>0.02897759766285588</v>
      </c>
      <c r="BW1114" s="11" t="n">
        <f>IF(ISNUMBER(BN1114),BN1114,"")</f>
        <v>0.7307750238224848</v>
      </c>
      <c r="BX1114" s="14" t="n">
        <f>IF(ISNUMBER(BR1114),BR1114,"")</f>
        <v>12</v>
      </c>
      <c r="BY1114" s="13" t="n">
        <f>IF(AND(COUNT(BV1114,BW1114,BX1114)=3,MIN(BV1114,BW1114,BX1114)&gt;=0),BV1114*BW1114*BX1114,"")</f>
        <v>0.2541132554687026</v>
      </c>
      <c r="BZ1114" s="11" t="n">
        <f>IF(ISNUMBER(BO1114),BO1114,"")</f>
        <v>0.9523018155490097</v>
      </c>
      <c r="CA1114" s="14" t="n">
        <f>IF(ISNUMBER(BS1114),BS1114,"")</f>
        <v>30</v>
      </c>
      <c r="CB1114" s="13" t="n">
        <f>IF(AND(COUNT(BV1114,BZ1114,CA1114)=3,MIN(BV1114,BZ1114,CA1114)&gt;=0),BV1114*BZ1114*CA1114,"")</f>
        <v>0.8278625659375919</v>
      </c>
      <c r="CC1114" s="11" t="n">
        <f>IF(ISNUMBER(BP1114),BP1114,"")</f>
        <v>0.5958545198749097</v>
      </c>
      <c r="CD1114" s="14" t="n">
        <f>IF(ISNUMBER(BT1114),BT1114,"")</f>
        <v>31</v>
      </c>
      <c r="CE1114" s="13" t="n">
        <f>IF(AND(COUNT(BV1114,CC1114,CD1114)=3,MIN(BV1114,CC1114,CD1114)&gt;=0),BV1114*CC1114*CD1114,"")</f>
        <v>0.5352594088184082</v>
      </c>
      <c r="CF1114" s="11" t="n">
        <f>IF(ISNUMBER(BQ1114),BQ1114,"")</f>
        <v>1.3264167397065354</v>
      </c>
      <c r="CG1114" s="14" t="n">
        <f>IF(ISNUMBER(BU1114),BU1114,"")</f>
        <v>17</v>
      </c>
      <c r="CH1114" s="13" t="n">
        <f>IF(AND(COUNT(BV1114,CF1114,CG1114)=3,MIN(BV1114,CF1114,CG1114)&gt;=0),BV1114*CF1114*CG1114,"")</f>
        <v>0.6534183004803812</v>
      </c>
      <c r="CI1114" s="13" t="n">
        <f>IF(COUNT(BY1114,CB1114,CE1114,CH1114)=4,SUM(BY1114,CB1114,CE1114,CH1114),"")</f>
        <v>2.2706535307050837</v>
      </c>
    </row>
    <row r="1115" ht="72" customHeight="1">
      <c r="A1115" s="16" t="str">
        <v>B07-TNP-37-New</v>
      </c>
      <c r="B1115" s="16" t="str">
        <v>4店-彬郁-US</v>
      </c>
      <c r="C1115" s="16" t="str">
        <v>艾年</v>
      </c>
      <c r="D1115" s="26" t="n">
        <f>IF(NOT(ISNUMBER(E1115)),"",IF(OR(E1115&lt;=0,L1115=0),0,IF(OR(NOT(ISNUMBER(F1115)),F1115&lt;0),"",MIN(E1115,INT(F1115)))))</f>
        <v>0</v>
      </c>
      <c r="E1115" s="27" t="n">
        <f>IF(OR(NOT(ISNUMBER(L1115)),COUNT(M1115:O1115)&lt;&gt;3,MIN(M1115:O1115)&lt;0),"",ROUNDUP(ROUND(BI1115-SUM(M1115:O1115),10),0))</f>
        <v>-10</v>
      </c>
      <c r="F1115" s="28" t="n">
        <v>0</v>
      </c>
      <c r="G1115" s="28" t="n">
        <f>IF(AND(ISNUMBER(D1115),ISNUMBER(E1115)),IF(OR(E1115&lt;=0,L1115=0),0,E1115-D1115),"")</f>
        <v>0</v>
      </c>
      <c r="H1115" s="16" t="str">
        <f>IF(NOT(ISNUMBER(E1115)),"销量或海外库存待补",IF(OR(E1115&lt;=0,L1115=0),IF(L1115=0,"零日销，本批不发","本批无需补货"),IF(NOT(ISNUMBER(D1115)),"国内库存待补",IF(D1115=0,"国内无可用库存",IF(G1115&gt;0,"先发国内现货","按建议量发货")))))</f>
        <v>零日销，本批不发</v>
      </c>
      <c r="I1115" s="28" t="n">
        <f>IF(AND(COUNT(Z1115,AA1115,AB1115)=3,Z1115&gt;=AA1115,AA1115&gt;=0,AB1115=7),Z1115-AA1115,"")</f>
        <v>0</v>
      </c>
      <c r="J1115" s="28" t="n">
        <f>IF(AND(COUNT(AF1115,AG1115,AH1115)=3,AF1115&gt;=AG1115,AG1115&gt;=0,AH1115=14),AF1115-AG1115,"")</f>
        <v>0</v>
      </c>
      <c r="K1115" s="28" t="n">
        <f>IF(AND(COUNT(AL1115,AM1115,AN1115)=3,AL1115&gt;=AM1115,AM1115&gt;=0,AN1115=30),AL1115-AM1115,"")</f>
        <v>0</v>
      </c>
      <c r="L1115" s="29" t="n">
        <f>IF(ISNUMBER(BI1115),BI1115/90,"")</f>
        <v>0</v>
      </c>
      <c r="M1115" s="28" t="n">
        <v>10</v>
      </c>
      <c r="N1115" s="28" t="n">
        <v>0</v>
      </c>
      <c r="O1115" s="28" t="n">
        <v>0</v>
      </c>
      <c r="P1115" s="30" t="str">
        <f>IF(AND(ISNUMBER(L1115),L1115&gt;0,COUNT(M1115:O1115)=3,MIN(M1115:O1115)&gt;=0),SUM(M1115:O1115)/L1115,"")</f>
      </c>
      <c r="Q1115" s="16" t="str">
        <v>沿用原计划SKU店铺</v>
      </c>
      <c r="R1115" s="16" t="str">
        <v>已匹配</v>
      </c>
      <c r="S1115" s="16" t="str">
        <v>在售</v>
      </c>
      <c r="T1115" s="16" t="str">
        <v>B07</v>
      </c>
      <c r="U1115" s="16" t="str">
        <v>驼色PU</v>
      </c>
      <c r="V1115" s="16" t="n">
        <v>6</v>
      </c>
      <c r="W1115" s="8" t="str">
        <v>2026-10-11 至 2026-10-17</v>
      </c>
      <c r="X1115" s="8" t="str">
        <v>2026-10-11、2026-10-12、2026-10-13、2026-10-14、2026-10-15、2026-10-16、2026-10-17</v>
      </c>
      <c r="Y1115" s="8" t="str">
        <v>无</v>
      </c>
      <c r="Z1115" s="8" t="n">
        <v>0</v>
      </c>
      <c r="AA1115" s="8" t="n">
        <v>0</v>
      </c>
      <c r="AB1115" s="8" t="n">
        <v>7</v>
      </c>
      <c r="AC1115" s="8" t="str">
        <v>2026-10-02 至 2026-10-17</v>
      </c>
      <c r="AD1115" s="8" t="str">
        <v>2026-10-02、2026-10-03、2026-10-04、2026-10-05、2026-10-08、2026-10-09、2026-10-10、2026-10-11、2026-10-12、2026-10-13、2026-10-14、2026-10-15、2026-10-16、2026-10-17</v>
      </c>
      <c r="AE1115" s="8" t="str">
        <v>2026-10-06 大促；2026-10-07 大促</v>
      </c>
      <c r="AF1115" s="8" t="n">
        <v>0</v>
      </c>
      <c r="AG1115" s="8" t="n">
        <v>0</v>
      </c>
      <c r="AH1115" s="8" t="n">
        <v>14</v>
      </c>
      <c r="AI1115" s="8" t="str">
        <v>2026-09-16 至 2026-10-17</v>
      </c>
      <c r="AJ111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5" s="8" t="str">
        <v>2026-10-06 大促；2026-10-07 大促</v>
      </c>
      <c r="AL1115" s="8" t="n">
        <v>0</v>
      </c>
      <c r="AM1115" s="8" t="n">
        <v>0</v>
      </c>
      <c r="AN1115" s="8" t="n">
        <v>30</v>
      </c>
      <c r="AO1115" s="8" t="str">
        <v>B07 / 驼色PU / 13306</v>
      </c>
      <c r="AP1115" s="11" t="n">
        <v>0.7307750238224848</v>
      </c>
      <c r="AQ1115" s="11" t="n">
        <v>0.7307750238224848</v>
      </c>
      <c r="AR1115" s="11" t="n">
        <v>0.7449809054134506</v>
      </c>
      <c r="AS1115" s="11" t="n">
        <f>IF(AND(COUNT(I1115:K1115,AP1115:AR1115)=6,MIN(AP1115:AR1115)&gt;0),I1115/7/AP1115*0.5+J1115/14/AQ1115*0.3+K1115/30/AR1115*0.2,"")</f>
        <v>0</v>
      </c>
      <c r="AT1115" s="8" t="n">
        <v>0</v>
      </c>
      <c r="AU1115" s="8" t="n">
        <v>0</v>
      </c>
      <c r="AV1115" s="8" t="n">
        <v>88</v>
      </c>
      <c r="AW1115" s="11" t="n">
        <f>IF(AND(COUNT(AT1115:AV1115)=3,AT1115&gt;=AU1115,AU1115&gt;=0,AV1115&gt;0),(AT1115-AU1115)/AV1115,"")</f>
        <v>0</v>
      </c>
      <c r="AX1115" s="8" t="n">
        <v>0</v>
      </c>
      <c r="AY1115" s="8" t="n">
        <v>0</v>
      </c>
      <c r="AZ1115" s="8" t="n">
        <v>178</v>
      </c>
      <c r="BA1115" s="11" t="n">
        <f>IF(AND(COUNT(AX1115:AZ1115)=3,AX1115&gt;=AY1115,AY1115&gt;=0,AZ1115&gt;0),(AX1115-AY1115)/AZ1115,"")</f>
        <v>0</v>
      </c>
      <c r="BB1115" s="8" t="n">
        <f>IF(COUNT(AS1115,AW1115,BA1115)=3,1,0)</f>
        <v>1</v>
      </c>
      <c r="BC1115" s="11" t="n">
        <f>IF(SUMIF($AO$11:$AO$1309,AO1115,$BB$11:$BB$1309)=COUNTIF($AO$11:$AO$1309,AO1115),SUMIF($AO$11:$AO$1309,AO1115,$AS$11:$AS$1309),"")</f>
        <v>0.22127795205062725</v>
      </c>
      <c r="BD1115" s="11" t="n">
        <f>IF(SUMIF($AO$11:$AO$1309,AO1115,$BB$11:$BB$1309)=COUNTIF($AO$11:$AO$1309,AO1115),SUMIF($AO$11:$AO$1309,AO1115,$AW$11:$AW$1309),"")</f>
        <v>0.05762032085561497</v>
      </c>
      <c r="BE1115" s="11" t="n">
        <f>IF(SUMIF($AO$11:$AO$1309,AO1115,$BB$11:$BB$1309)=COUNTIF($AO$11:$AO$1309,AO1115),SUMIF($AO$11:$AO$1309,AO1115,$BA$11:$BA$1309),"")</f>
        <v>0.08504012841091493</v>
      </c>
      <c r="BF1115" s="12" t="n">
        <f>IF(COUNT(BD1115:BE1115)&lt;&gt;2,"",IF(AND(BD1115&gt;0,BE1115&gt;0),0.7*AW1115/BD1115+0.3*BA1115/BE1115,IF(BD1115&gt;0,AW1115/BD1115,IF(BE1115&gt;0,BA1115/BE1115,IF(AND(ISNUMBER(BH1115),BH1115=0),0,"")))))</f>
        <v>0</v>
      </c>
      <c r="BG1115" s="11" t="n">
        <f>IF(AND(COUNT(BN1115:BU1115)=8,MIN(BN1115:BU1115)&gt;=0),SUMPRODUCT(BN1115:BQ1115,BR1115:BU1115),"")</f>
        <v>78.35892944347341</v>
      </c>
      <c r="BH1115" s="11" t="n">
        <f>IF(COUNT(BC1115,BG1115)=2,BC1115*BG1115,"")</f>
        <v>17.339103432131395</v>
      </c>
      <c r="BI1115" s="11" t="n">
        <f>IF(ISNUMBER(CI1115),CI1115,"")</f>
        <v>0</v>
      </c>
      <c r="BJ1115" s="8" t="str">
        <v>低销提醒依据不完整</v>
      </c>
      <c r="BK1115" s="8" t="str">
        <v>90天：2026-07-20 至 2026-10-17；180天：2026-04-21 至 2026-10-17</v>
      </c>
      <c r="BL1115" s="8" t="str">
        <v>90天：2026-10-06、2026-10-07；180天：2026-10-06、2026-10-07</v>
      </c>
      <c r="BM1115" s="8" t="str">
        <v>2026-10：12天 × 0.7307750238224848；2026-11：30天 × 0.9523018155490097；2026-12：31天 × 0.5958545198749097；2027-01：17天 × 1.3264167397065354</v>
      </c>
      <c r="BN1115" s="11" t="n">
        <v>0.7307750238224848</v>
      </c>
      <c r="BO1115" s="11" t="n">
        <v>0.9523018155490097</v>
      </c>
      <c r="BP1115" s="11" t="n">
        <v>0.5958545198749097</v>
      </c>
      <c r="BQ1115" s="11" t="n">
        <v>1.3264167397065354</v>
      </c>
      <c r="BR1115" s="8" t="n">
        <v>12</v>
      </c>
      <c r="BS1115" s="8" t="n">
        <v>30</v>
      </c>
      <c r="BT1115" s="8" t="n">
        <v>31</v>
      </c>
      <c r="BU1115" s="8" t="n">
        <v>17</v>
      </c>
      <c r="BV1115" s="11" t="n">
        <f>IF(COUNT(BC1115,BF1115)=2,BC1115*BF1115,"")</f>
        <v>0</v>
      </c>
      <c r="BW1115" s="11" t="n">
        <f>IF(ISNUMBER(BN1115),BN1115,"")</f>
        <v>0.7307750238224848</v>
      </c>
      <c r="BX1115" s="14" t="n">
        <f>IF(ISNUMBER(BR1115),BR1115,"")</f>
        <v>12</v>
      </c>
      <c r="BY1115" s="13" t="n">
        <f>IF(AND(COUNT(BV1115,BW1115,BX1115)=3,MIN(BV1115,BW1115,BX1115)&gt;=0),BV1115*BW1115*BX1115,"")</f>
        <v>0</v>
      </c>
      <c r="BZ1115" s="11" t="n">
        <f>IF(ISNUMBER(BO1115),BO1115,"")</f>
        <v>0.9523018155490097</v>
      </c>
      <c r="CA1115" s="14" t="n">
        <f>IF(ISNUMBER(BS1115),BS1115,"")</f>
        <v>30</v>
      </c>
      <c r="CB1115" s="13" t="n">
        <f>IF(AND(COUNT(BV1115,BZ1115,CA1115)=3,MIN(BV1115,BZ1115,CA1115)&gt;=0),BV1115*BZ1115*CA1115,"")</f>
        <v>0</v>
      </c>
      <c r="CC1115" s="11" t="n">
        <f>IF(ISNUMBER(BP1115),BP1115,"")</f>
        <v>0.5958545198749097</v>
      </c>
      <c r="CD1115" s="14" t="n">
        <f>IF(ISNUMBER(BT1115),BT1115,"")</f>
        <v>31</v>
      </c>
      <c r="CE1115" s="13" t="n">
        <f>IF(AND(COUNT(BV1115,CC1115,CD1115)=3,MIN(BV1115,CC1115,CD1115)&gt;=0),BV1115*CC1115*CD1115,"")</f>
        <v>0</v>
      </c>
      <c r="CF1115" s="11" t="n">
        <f>IF(ISNUMBER(BQ1115),BQ1115,"")</f>
        <v>1.3264167397065354</v>
      </c>
      <c r="CG1115" s="14" t="n">
        <f>IF(ISNUMBER(BU1115),BU1115,"")</f>
        <v>17</v>
      </c>
      <c r="CH1115" s="13" t="n">
        <f>IF(AND(COUNT(BV1115,CF1115,CG1115)=3,MIN(BV1115,CF1115,CG1115)&gt;=0),BV1115*CF1115*CG1115,"")</f>
        <v>0</v>
      </c>
      <c r="CI1115" s="13" t="n">
        <f>IF(COUNT(BY1115,CB1115,CE1115,CH1115)=4,SUM(BY1115,CB1115,CE1115,CH1115),"")</f>
        <v>0</v>
      </c>
    </row>
    <row r="1116" ht="72" customHeight="1">
      <c r="A1116" s="16" t="str">
        <v>B07-TNP-42-New</v>
      </c>
      <c r="B1116" s="16" t="str">
        <v>4店-彬郁-US</v>
      </c>
      <c r="C1116" s="16" t="str">
        <v>艾年</v>
      </c>
      <c r="D1116" s="26" t="n">
        <f>IF(NOT(ISNUMBER(E1116)),"",IF(OR(E1116&lt;=0,L1116=0),0,IF(OR(NOT(ISNUMBER(F1116)),F1116&lt;0),"",MIN(E1116,INT(F1116)))))</f>
        <v>0</v>
      </c>
      <c r="E1116" s="27" t="n">
        <f>IF(OR(NOT(ISNUMBER(L1116)),COUNT(M1116:O1116)&lt;&gt;3,MIN(M1116:O1116)&lt;0),"",ROUNDUP(ROUND(BI1116-SUM(M1116:O1116),10),0))</f>
        <v>-10</v>
      </c>
      <c r="F1116" s="28" t="n">
        <v>0</v>
      </c>
      <c r="G1116" s="28" t="n">
        <f>IF(AND(ISNUMBER(D1116),ISNUMBER(E1116)),IF(OR(E1116&lt;=0,L1116=0),0,E1116-D1116),"")</f>
        <v>0</v>
      </c>
      <c r="H1116" s="16" t="str">
        <f>IF(NOT(ISNUMBER(E1116)),"销量或海外库存待补",IF(OR(E1116&lt;=0,L1116=0),IF(L1116=0,"零日销，本批不发","本批无需补货"),IF(NOT(ISNUMBER(D1116)),"国内库存待补",IF(D1116=0,"国内无可用库存",IF(G1116&gt;0,"先发国内现货","按建议量发货")))))</f>
        <v>本批无需补货</v>
      </c>
      <c r="I1116" s="28" t="n">
        <f>IF(AND(COUNT(Z1116,AA1116,AB1116)=3,Z1116&gt;=AA1116,AA1116&gt;=0,AB1116=7),Z1116-AA1116,"")</f>
        <v>0</v>
      </c>
      <c r="J1116" s="28" t="n">
        <f>IF(AND(COUNT(AF1116,AG1116,AH1116)=3,AF1116&gt;=AG1116,AG1116&gt;=0,AH1116=14),AF1116-AG1116,"")</f>
        <v>0</v>
      </c>
      <c r="K1116" s="28" t="n">
        <f>IF(AND(COUNT(AL1116,AM1116,AN1116)=3,AL1116&gt;=AM1116,AM1116&gt;=0,AN1116=30),AL1116-AM1116,"")</f>
        <v>0</v>
      </c>
      <c r="L1116" s="29" t="n">
        <f>IF(ISNUMBER(BI1116),BI1116/90,"")</f>
        <v>0.0076364492276909356</v>
      </c>
      <c r="M1116" s="28" t="n">
        <v>10</v>
      </c>
      <c r="N1116" s="28" t="n">
        <v>0</v>
      </c>
      <c r="O1116" s="28" t="n">
        <v>0</v>
      </c>
      <c r="P1116" s="30" t="n">
        <f>IF(AND(ISNUMBER(L1116),L1116&gt;0,COUNT(M1116:O1116)=3,MIN(M1116:O1116)&gt;=0),SUM(M1116:O1116)/L1116,"")</f>
        <v>1309.509132037239</v>
      </c>
      <c r="Q1116" s="16" t="str">
        <v>沿用原计划SKU店铺</v>
      </c>
      <c r="R1116" s="16" t="str">
        <v>已匹配</v>
      </c>
      <c r="S1116" s="16" t="str">
        <v>在售</v>
      </c>
      <c r="T1116" s="16" t="str">
        <v>B07</v>
      </c>
      <c r="U1116" s="16" t="str">
        <v>驼色PU</v>
      </c>
      <c r="V1116" s="16" t="n">
        <v>11</v>
      </c>
      <c r="W1116" s="8" t="str">
        <v>2026-10-11 至 2026-10-17</v>
      </c>
      <c r="X1116" s="8" t="str">
        <v>2026-10-11、2026-10-12、2026-10-13、2026-10-14、2026-10-15、2026-10-16、2026-10-17</v>
      </c>
      <c r="Y1116" s="8" t="str">
        <v>无</v>
      </c>
      <c r="Z1116" s="8" t="n">
        <v>0</v>
      </c>
      <c r="AA1116" s="8" t="n">
        <v>0</v>
      </c>
      <c r="AB1116" s="8" t="n">
        <v>7</v>
      </c>
      <c r="AC1116" s="8" t="str">
        <v>2026-10-02 至 2026-10-17</v>
      </c>
      <c r="AD1116" s="8" t="str">
        <v>2026-10-02、2026-10-03、2026-10-04、2026-10-05、2026-10-08、2026-10-09、2026-10-10、2026-10-11、2026-10-12、2026-10-13、2026-10-14、2026-10-15、2026-10-16、2026-10-17</v>
      </c>
      <c r="AE1116" s="8" t="str">
        <v>2026-10-06 大促；2026-10-07 大促</v>
      </c>
      <c r="AF1116" s="8" t="n">
        <v>0</v>
      </c>
      <c r="AG1116" s="8" t="n">
        <v>0</v>
      </c>
      <c r="AH1116" s="8" t="n">
        <v>14</v>
      </c>
      <c r="AI1116" s="8" t="str">
        <v>2026-09-16 至 2026-10-17</v>
      </c>
      <c r="AJ111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6" s="8" t="str">
        <v>2026-10-06 大促；2026-10-07 大促</v>
      </c>
      <c r="AL1116" s="8" t="n">
        <v>0</v>
      </c>
      <c r="AM1116" s="8" t="n">
        <v>0</v>
      </c>
      <c r="AN1116" s="8" t="n">
        <v>30</v>
      </c>
      <c r="AO1116" s="8" t="str">
        <v>B07 / 驼色PU / 13306</v>
      </c>
      <c r="AP1116" s="11" t="n">
        <v>0.7307750238224848</v>
      </c>
      <c r="AQ1116" s="11" t="n">
        <v>0.7307750238224848</v>
      </c>
      <c r="AR1116" s="11" t="n">
        <v>0.7449809054134506</v>
      </c>
      <c r="AS1116" s="11" t="n">
        <f>IF(AND(COUNT(I1116:K1116,AP1116:AR1116)=6,MIN(AP1116:AR1116)&gt;0),I1116/7/AP1116*0.5+J1116/14/AQ1116*0.3+K1116/30/AR1116*0.2,"")</f>
        <v>0</v>
      </c>
      <c r="AT1116" s="8" t="n">
        <v>0</v>
      </c>
      <c r="AU1116" s="8" t="n">
        <v>0</v>
      </c>
      <c r="AV1116" s="8" t="n">
        <v>88</v>
      </c>
      <c r="AW1116" s="11" t="n">
        <f>IF(AND(COUNT(AT1116:AV1116)=3,AT1116&gt;=AU1116,AU1116&gt;=0,AV1116&gt;0),(AT1116-AU1116)/AV1116,"")</f>
        <v>0</v>
      </c>
      <c r="AX1116" s="8" t="n">
        <v>2</v>
      </c>
      <c r="AY1116" s="8" t="n">
        <v>0</v>
      </c>
      <c r="AZ1116" s="8" t="n">
        <v>178</v>
      </c>
      <c r="BA1116" s="11" t="n">
        <f>IF(AND(COUNT(AX1116:AZ1116)=3,AX1116&gt;=AY1116,AY1116&gt;=0,AZ1116&gt;0),(AX1116-AY1116)/AZ1116,"")</f>
        <v>0.011235955056179775</v>
      </c>
      <c r="BB1116" s="8" t="n">
        <f>IF(COUNT(AS1116,AW1116,BA1116)=3,1,0)</f>
        <v>1</v>
      </c>
      <c r="BC1116" s="11" t="n">
        <f>IF(SUMIF($AO$11:$AO$1309,AO1116,$BB$11:$BB$1309)=COUNTIF($AO$11:$AO$1309,AO1116),SUMIF($AO$11:$AO$1309,AO1116,$AS$11:$AS$1309),"")</f>
        <v>0.22127795205062725</v>
      </c>
      <c r="BD1116" s="11" t="n">
        <f>IF(SUMIF($AO$11:$AO$1309,AO1116,$BB$11:$BB$1309)=COUNTIF($AO$11:$AO$1309,AO1116),SUMIF($AO$11:$AO$1309,AO1116,$AW$11:$AW$1309),"")</f>
        <v>0.05762032085561497</v>
      </c>
      <c r="BE1116" s="11" t="n">
        <f>IF(SUMIF($AO$11:$AO$1309,AO1116,$BB$11:$BB$1309)=COUNTIF($AO$11:$AO$1309,AO1116),SUMIF($AO$11:$AO$1309,AO1116,$BA$11:$BA$1309),"")</f>
        <v>0.08504012841091493</v>
      </c>
      <c r="BF1116" s="12" t="n">
        <f>IF(COUNT(BD1116:BE1116)&lt;&gt;2,"",IF(AND(BD1116&gt;0,BE1116&gt;0),0.7*AW1116/BD1116+0.3*BA1116/BE1116,IF(BD1116&gt;0,AW1116/BD1116,IF(BE1116&gt;0,BA1116/BE1116,IF(AND(ISNUMBER(BH1116),BH1116=0),0,"")))))</f>
        <v>0.03963759909399773</v>
      </c>
      <c r="BG1116" s="11" t="n">
        <f>IF(AND(COUNT(BN1116:BU1116)=8,MIN(BN1116:BU1116)&gt;=0),SUMPRODUCT(BN1116:BQ1116,BR1116:BU1116),"")</f>
        <v>78.35892944347341</v>
      </c>
      <c r="BH1116" s="11" t="n">
        <f>IF(COUNT(BC1116,BG1116)=2,BC1116*BG1116,"")</f>
        <v>17.339103432131395</v>
      </c>
      <c r="BI1116" s="11" t="n">
        <f>IF(ISNUMBER(CI1116),CI1116,"")</f>
        <v>0.6872804304921842</v>
      </c>
      <c r="BJ1116" s="8" t="str">
        <v>低销提醒依据不完整</v>
      </c>
      <c r="BK1116" s="8" t="str">
        <v>90天：2026-07-20 至 2026-10-17；180天：2026-04-21 至 2026-10-17</v>
      </c>
      <c r="BL1116" s="8" t="str">
        <v>90天：2026-10-06、2026-10-07；180天：2026-10-06、2026-10-07</v>
      </c>
      <c r="BM1116" s="8" t="str">
        <v>2026-10：12天 × 0.7307750238224848；2026-11：30天 × 0.9523018155490097；2026-12：31天 × 0.5958545198749097；2027-01：17天 × 1.3264167397065354</v>
      </c>
      <c r="BN1116" s="11" t="n">
        <v>0.7307750238224848</v>
      </c>
      <c r="BO1116" s="11" t="n">
        <v>0.9523018155490097</v>
      </c>
      <c r="BP1116" s="11" t="n">
        <v>0.5958545198749097</v>
      </c>
      <c r="BQ1116" s="11" t="n">
        <v>1.3264167397065354</v>
      </c>
      <c r="BR1116" s="8" t="n">
        <v>12</v>
      </c>
      <c r="BS1116" s="8" t="n">
        <v>30</v>
      </c>
      <c r="BT1116" s="8" t="n">
        <v>31</v>
      </c>
      <c r="BU1116" s="8" t="n">
        <v>17</v>
      </c>
      <c r="BV1116" s="11" t="n">
        <f>IF(COUNT(BC1116,BF1116)=2,BC1116*BF1116,"")</f>
        <v>0.008770926751723616</v>
      </c>
      <c r="BW1116" s="11" t="n">
        <f>IF(ISNUMBER(BN1116),BN1116,"")</f>
        <v>0.7307750238224848</v>
      </c>
      <c r="BX1116" s="14" t="n">
        <f>IF(ISNUMBER(BR1116),BR1116,"")</f>
        <v>12</v>
      </c>
      <c r="BY1116" s="13" t="n">
        <f>IF(AND(COUNT(BV1116,BW1116,BX1116)=3,MIN(BV1116,BW1116,BX1116)&gt;=0),BV1116*BW1116*BX1116,"")</f>
        <v>0.07691489047123314</v>
      </c>
      <c r="BZ1116" s="11" t="n">
        <f>IF(ISNUMBER(BO1116),BO1116,"")</f>
        <v>0.9523018155490097</v>
      </c>
      <c r="CA1116" s="14" t="n">
        <f>IF(ISNUMBER(BS1116),BS1116,"")</f>
        <v>30</v>
      </c>
      <c r="CB1116" s="13" t="n">
        <f>IF(AND(COUNT(BV1116,BZ1116,CA1116)=3,MIN(BV1116,BZ1116,CA1116)&gt;=0),BV1116*BZ1116*CA1116,"")</f>
        <v>0.2505770840914133</v>
      </c>
      <c r="CC1116" s="11" t="n">
        <f>IF(ISNUMBER(BP1116),BP1116,"")</f>
        <v>0.5958545198749097</v>
      </c>
      <c r="CD1116" s="14" t="n">
        <f>IF(ISNUMBER(BT1116),BT1116,"")</f>
        <v>31</v>
      </c>
      <c r="CE1116" s="13" t="n">
        <f>IF(AND(COUNT(BV1116,CC1116,CD1116)=3,MIN(BV1116,CC1116,CD1116)&gt;=0),BV1116*CC1116*CD1116,"")</f>
        <v>0.16201208680369455</v>
      </c>
      <c r="CF1116" s="11" t="n">
        <f>IF(ISNUMBER(BQ1116),BQ1116,"")</f>
        <v>1.3264167397065354</v>
      </c>
      <c r="CG1116" s="14" t="n">
        <f>IF(ISNUMBER(BU1116),BU1116,"")</f>
        <v>17</v>
      </c>
      <c r="CH1116" s="13" t="n">
        <f>IF(AND(COUNT(BV1116,CF1116,CG1116)=3,MIN(BV1116,CF1116,CG1116)&gt;=0),BV1116*CF1116*CG1116,"")</f>
        <v>0.19777636912584323</v>
      </c>
      <c r="CI1116" s="13" t="n">
        <f>IF(COUNT(BY1116,CB1116,CE1116,CH1116)=4,SUM(BY1116,CB1116,CE1116,CH1116),"")</f>
        <v>0.6872804304921842</v>
      </c>
    </row>
    <row r="1117" ht="72" customHeight="1">
      <c r="A1117" s="16" t="str">
        <v>B07-WT-41.5</v>
      </c>
      <c r="B1117" s="16" t="str">
        <v>4店-彬郁-US</v>
      </c>
      <c r="C1117" s="16" t="str">
        <v>艾年</v>
      </c>
      <c r="D1117" s="26" t="n">
        <f>IF(NOT(ISNUMBER(E1117)),"",IF(OR(E1117&lt;=0,L1117=0),0,IF(OR(NOT(ISNUMBER(F1117)),F1117&lt;0),"",MIN(E1117,INT(F1117)))))</f>
        <v>0</v>
      </c>
      <c r="E1117" s="27" t="n">
        <f>IF(OR(NOT(ISNUMBER(L1117)),COUNT(M1117:O1117)&lt;&gt;3,MIN(M1117:O1117)&lt;0),"",ROUNDUP(ROUND(BI1117-SUM(M1117:O1117),10),0))</f>
        <v>-20</v>
      </c>
      <c r="F1117" s="28" t="n">
        <v>31</v>
      </c>
      <c r="G1117" s="28" t="n">
        <f>IF(AND(ISNUMBER(D1117),ISNUMBER(E1117)),IF(OR(E1117&lt;=0,L1117=0),0,E1117-D1117),"")</f>
        <v>0</v>
      </c>
      <c r="H1117" s="16" t="str">
        <f>IF(NOT(ISNUMBER(E1117)),"销量或海外库存待补",IF(OR(E1117&lt;=0,L1117=0),IF(L1117=0,"零日销，本批不发","本批无需补货"),IF(NOT(ISNUMBER(D1117)),"国内库存待补",IF(D1117=0,"国内无可用库存",IF(G1117&gt;0,"先发国内现货","按建议量发货")))))</f>
        <v>零日销，本批不发</v>
      </c>
      <c r="I1117" s="28" t="n">
        <f>IF(AND(COUNT(Z1117,AA1117,AB1117)=3,Z1117&gt;=AA1117,AA1117&gt;=0,AB1117=7),Z1117-AA1117,"")</f>
        <v>0</v>
      </c>
      <c r="J1117" s="28" t="n">
        <f>IF(AND(COUNT(AF1117,AG1117,AH1117)=3,AF1117&gt;=AG1117,AG1117&gt;=0,AH1117=14),AF1117-AG1117,"")</f>
        <v>0</v>
      </c>
      <c r="K1117" s="28" t="n">
        <f>IF(AND(COUNT(AL1117,AM1117,AN1117)=3,AL1117&gt;=AM1117,AM1117&gt;=0,AN1117=30),AL1117-AM1117,"")</f>
        <v>0</v>
      </c>
      <c r="L1117" s="29" t="n">
        <f>IF(ISNUMBER(BI1117),BI1117/90,"")</f>
        <v>0</v>
      </c>
      <c r="M1117" s="28" t="n">
        <v>0</v>
      </c>
      <c r="N1117" s="28" t="n">
        <v>0</v>
      </c>
      <c r="O1117" s="28" t="n">
        <v>20</v>
      </c>
      <c r="P1117" s="30" t="str">
        <f>IF(AND(ISNUMBER(L1117),L1117&gt;0,COUNT(M1117:O1117)=3,MIN(M1117:O1117)&gt;=0),SUM(M1117:O1117)/L1117,"")</f>
      </c>
      <c r="Q1117" s="16" t="str">
        <v>沿用原计划SKU店铺</v>
      </c>
      <c r="R1117" s="16" t="str">
        <v>已匹配</v>
      </c>
      <c r="S1117" s="16" t="str">
        <v>在售</v>
      </c>
      <c r="T1117" s="16" t="str">
        <v>B07</v>
      </c>
      <c r="U1117" s="16" t="str">
        <v>白色PU</v>
      </c>
      <c r="V1117" s="16" t="n">
        <v>10.5</v>
      </c>
      <c r="W1117" s="8" t="str">
        <v>2026-10-11 至 2026-10-17</v>
      </c>
      <c r="X1117" s="8" t="str">
        <v>2026-10-11、2026-10-12、2026-10-13、2026-10-14、2026-10-15、2026-10-16、2026-10-17</v>
      </c>
      <c r="Y1117" s="8" t="str">
        <v>无</v>
      </c>
      <c r="Z1117" s="8" t="n">
        <v>0</v>
      </c>
      <c r="AA1117" s="8" t="n">
        <v>0</v>
      </c>
      <c r="AB1117" s="8" t="n">
        <v>7</v>
      </c>
      <c r="AC1117" s="8" t="str">
        <v>2026-10-02 至 2026-10-17</v>
      </c>
      <c r="AD1117" s="8" t="str">
        <v>2026-10-02、2026-10-03、2026-10-04、2026-10-05、2026-10-08、2026-10-09、2026-10-10、2026-10-11、2026-10-12、2026-10-13、2026-10-14、2026-10-15、2026-10-16、2026-10-17</v>
      </c>
      <c r="AE1117" s="8" t="str">
        <v>2026-10-06 大促；2026-10-07 大促</v>
      </c>
      <c r="AF1117" s="8" t="n">
        <v>0</v>
      </c>
      <c r="AG1117" s="8" t="n">
        <v>0</v>
      </c>
      <c r="AH1117" s="8" t="n">
        <v>14</v>
      </c>
      <c r="AI1117" s="8" t="str">
        <v>2026-09-16 至 2026-10-17</v>
      </c>
      <c r="AJ111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7" s="8" t="str">
        <v>2026-10-06 大促；2026-10-07 大促</v>
      </c>
      <c r="AL1117" s="8" t="n">
        <v>0</v>
      </c>
      <c r="AM1117" s="8" t="n">
        <v>0</v>
      </c>
      <c r="AN1117" s="8" t="n">
        <v>30</v>
      </c>
      <c r="AO1117" s="8" t="str">
        <v>B07 / 白色PU / 13306</v>
      </c>
      <c r="AP1117" s="11" t="n">
        <v>0.7307750238224848</v>
      </c>
      <c r="AQ1117" s="11" t="n">
        <v>0.7307750238224848</v>
      </c>
      <c r="AR1117" s="11" t="n">
        <v>0.7449809054134506</v>
      </c>
      <c r="AS1117" s="11" t="n">
        <f>IF(AND(COUNT(I1117:K1117,AP1117:AR1117)=6,MIN(AP1117:AR1117)&gt;0),I1117/7/AP1117*0.5+J1117/14/AQ1117*0.3+K1117/30/AR1117*0.2,"")</f>
        <v>0</v>
      </c>
      <c r="AT1117" s="8" t="n">
        <v>0</v>
      </c>
      <c r="AU1117" s="8" t="n">
        <v>0</v>
      </c>
      <c r="AV1117" s="8" t="n">
        <v>88</v>
      </c>
      <c r="AW1117" s="11" t="n">
        <f>IF(AND(COUNT(AT1117:AV1117)=3,AT1117&gt;=AU1117,AU1117&gt;=0,AV1117&gt;0),(AT1117-AU1117)/AV1117,"")</f>
        <v>0</v>
      </c>
      <c r="AX1117" s="8" t="n">
        <v>0</v>
      </c>
      <c r="AY1117" s="8" t="n">
        <v>0</v>
      </c>
      <c r="AZ1117" s="8" t="n">
        <v>178</v>
      </c>
      <c r="BA1117" s="11" t="n">
        <f>IF(AND(COUNT(AX1117:AZ1117)=3,AX1117&gt;=AY1117,AY1117&gt;=0,AZ1117&gt;0),(AX1117-AY1117)/AZ1117,"")</f>
        <v>0</v>
      </c>
      <c r="BB1117" s="8" t="n">
        <f>IF(COUNT(AS1117,AW1117,BA1117)=3,1,0)</f>
        <v>1</v>
      </c>
      <c r="BC1117" s="11" t="n">
        <f>IF(SUMIF($AO$11:$AO$1309,AO1117,$BB$11:$BB$1309)=COUNTIF($AO$11:$AO$1309,AO1117),SUMIF($AO$11:$AO$1309,AO1117,$AS$11:$AS$1309),"")</f>
        <v>0.16263180041702485</v>
      </c>
      <c r="BD1117" s="11" t="n">
        <f>IF(SUMIF($AO$11:$AO$1309,AO1117,$BB$11:$BB$1309)=COUNTIF($AO$11:$AO$1309,AO1117),SUMIF($AO$11:$AO$1309,AO1117,$AW$11:$AW$1309),"")</f>
        <v>0.11524064171122994</v>
      </c>
      <c r="BE1117" s="11" t="n">
        <f>IF(SUMIF($AO$11:$AO$1309,AO1117,$BB$11:$BB$1309)=COUNTIF($AO$11:$AO$1309,AO1117),SUMIF($AO$11:$AO$1309,AO1117,$BA$11:$BA$1309),"")</f>
        <v>0.17569823434991974</v>
      </c>
      <c r="BF1117" s="12" t="n">
        <f>IF(COUNT(BD1117:BE1117)&lt;&gt;2,"",IF(AND(BD1117&gt;0,BE1117&gt;0),0.7*AW1117/BD1117+0.3*BA1117/BE1117,IF(BD1117&gt;0,AW1117/BD1117,IF(BE1117&gt;0,BA1117/BE1117,IF(AND(ISNUMBER(BH1117),BH1117=0),0,"")))))</f>
        <v>0</v>
      </c>
      <c r="BG1117" s="11" t="n">
        <f>IF(AND(COUNT(BN1117:BU1117)=8,MIN(BN1117:BU1117)&gt;=0),SUMPRODUCT(BN1117:BQ1117,BR1117:BU1117),"")</f>
        <v>78.35892944347341</v>
      </c>
      <c r="BH1117" s="11" t="n">
        <f>IF(COUNT(BC1117,BG1117)=2,BC1117*BG1117,"")</f>
        <v>12.7436537741427</v>
      </c>
      <c r="BI1117" s="11" t="n">
        <f>IF(ISNUMBER(CI1117),CI1117,"")</f>
        <v>0</v>
      </c>
      <c r="BJ1117" s="8" t="str"/>
      <c r="BK1117" s="8" t="str">
        <v>90天：2026-07-20 至 2026-10-17；180天：2026-04-21 至 2026-10-17</v>
      </c>
      <c r="BL1117" s="8" t="str">
        <v>90天：2026-10-06、2026-10-07；180天：2026-10-06、2026-10-07</v>
      </c>
      <c r="BM1117" s="8" t="str">
        <v>2026-10：12天 × 0.7307750238224848；2026-11：30天 × 0.9523018155490097；2026-12：31天 × 0.5958545198749097；2027-01：17天 × 1.3264167397065354</v>
      </c>
      <c r="BN1117" s="11" t="n">
        <v>0.7307750238224848</v>
      </c>
      <c r="BO1117" s="11" t="n">
        <v>0.9523018155490097</v>
      </c>
      <c r="BP1117" s="11" t="n">
        <v>0.5958545198749097</v>
      </c>
      <c r="BQ1117" s="11" t="n">
        <v>1.3264167397065354</v>
      </c>
      <c r="BR1117" s="8" t="n">
        <v>12</v>
      </c>
      <c r="BS1117" s="8" t="n">
        <v>30</v>
      </c>
      <c r="BT1117" s="8" t="n">
        <v>31</v>
      </c>
      <c r="BU1117" s="8" t="n">
        <v>17</v>
      </c>
      <c r="BV1117" s="11" t="n">
        <f>IF(COUNT(BC1117,BF1117)=2,BC1117*BF1117,"")</f>
        <v>0</v>
      </c>
      <c r="BW1117" s="11" t="n">
        <f>IF(ISNUMBER(BN1117),BN1117,"")</f>
        <v>0.7307750238224848</v>
      </c>
      <c r="BX1117" s="14" t="n">
        <f>IF(ISNUMBER(BR1117),BR1117,"")</f>
        <v>12</v>
      </c>
      <c r="BY1117" s="13" t="n">
        <f>IF(AND(COUNT(BV1117,BW1117,BX1117)=3,MIN(BV1117,BW1117,BX1117)&gt;=0),BV1117*BW1117*BX1117,"")</f>
        <v>0</v>
      </c>
      <c r="BZ1117" s="11" t="n">
        <f>IF(ISNUMBER(BO1117),BO1117,"")</f>
        <v>0.9523018155490097</v>
      </c>
      <c r="CA1117" s="14" t="n">
        <f>IF(ISNUMBER(BS1117),BS1117,"")</f>
        <v>30</v>
      </c>
      <c r="CB1117" s="13" t="n">
        <f>IF(AND(COUNT(BV1117,BZ1117,CA1117)=3,MIN(BV1117,BZ1117,CA1117)&gt;=0),BV1117*BZ1117*CA1117,"")</f>
        <v>0</v>
      </c>
      <c r="CC1117" s="11" t="n">
        <f>IF(ISNUMBER(BP1117),BP1117,"")</f>
        <v>0.5958545198749097</v>
      </c>
      <c r="CD1117" s="14" t="n">
        <f>IF(ISNUMBER(BT1117),BT1117,"")</f>
        <v>31</v>
      </c>
      <c r="CE1117" s="13" t="n">
        <f>IF(AND(COUNT(BV1117,CC1117,CD1117)=3,MIN(BV1117,CC1117,CD1117)&gt;=0),BV1117*CC1117*CD1117,"")</f>
        <v>0</v>
      </c>
      <c r="CF1117" s="11" t="n">
        <f>IF(ISNUMBER(BQ1117),BQ1117,"")</f>
        <v>1.3264167397065354</v>
      </c>
      <c r="CG1117" s="14" t="n">
        <f>IF(ISNUMBER(BU1117),BU1117,"")</f>
        <v>17</v>
      </c>
      <c r="CH1117" s="13" t="n">
        <f>IF(AND(COUNT(BV1117,CF1117,CG1117)=3,MIN(BV1117,CF1117,CG1117)&gt;=0),BV1117*CF1117*CG1117,"")</f>
        <v>0</v>
      </c>
      <c r="CI1117" s="13" t="n">
        <f>IF(COUNT(BY1117,CB1117,CE1117,CH1117)=4,SUM(BY1117,CB1117,CE1117,CH1117),"")</f>
        <v>0</v>
      </c>
    </row>
    <row r="1118" ht="72" customHeight="1">
      <c r="A1118" s="16" t="str">
        <v>B07-WT-42-New</v>
      </c>
      <c r="B1118" s="16" t="str">
        <v>4店-彬郁-US</v>
      </c>
      <c r="C1118" s="16" t="str">
        <v>艾年</v>
      </c>
      <c r="D1118" s="26" t="n">
        <f>IF(NOT(ISNUMBER(E1118)),"",IF(OR(E1118&lt;=0,L1118=0),0,IF(OR(NOT(ISNUMBER(F1118)),F1118&lt;0),"",MIN(E1118,INT(F1118)))))</f>
        <v>0</v>
      </c>
      <c r="E1118" s="27" t="n">
        <f>IF(OR(NOT(ISNUMBER(L1118)),COUNT(M1118:O1118)&lt;&gt;3,MIN(M1118:O1118)&lt;0),"",ROUNDUP(ROUND(BI1118-SUM(M1118:O1118),10),0))</f>
        <v>-34</v>
      </c>
      <c r="F1118" s="28" t="n">
        <v>9</v>
      </c>
      <c r="G1118" s="28" t="n">
        <f>IF(AND(ISNUMBER(D1118),ISNUMBER(E1118)),IF(OR(E1118&lt;=0,L1118=0),0,E1118-D1118),"")</f>
        <v>0</v>
      </c>
      <c r="H1118" s="16" t="str">
        <f>IF(NOT(ISNUMBER(E1118)),"销量或海外库存待补",IF(OR(E1118&lt;=0,L1118=0),IF(L1118=0,"零日销，本批不发","本批无需补货"),IF(NOT(ISNUMBER(D1118)),"国内库存待补",IF(D1118=0,"国内无可用库存",IF(G1118&gt;0,"先发国内现货","按建议量发货")))))</f>
        <v>零日销，本批不发</v>
      </c>
      <c r="I1118" s="28" t="n">
        <f>IF(AND(COUNT(Z1118,AA1118,AB1118)=3,Z1118&gt;=AA1118,AA1118&gt;=0,AB1118=7),Z1118-AA1118,"")</f>
        <v>0</v>
      </c>
      <c r="J1118" s="28" t="n">
        <f>IF(AND(COUNT(AF1118,AG1118,AH1118)=3,AF1118&gt;=AG1118,AG1118&gt;=0,AH1118=14),AF1118-AG1118,"")</f>
        <v>0</v>
      </c>
      <c r="K1118" s="28" t="n">
        <f>IF(AND(COUNT(AL1118,AM1118,AN1118)=3,AL1118&gt;=AM1118,AM1118&gt;=0,AN1118=30),AL1118-AM1118,"")</f>
        <v>0</v>
      </c>
      <c r="L1118" s="29" t="n">
        <f>IF(ISNUMBER(BI1118),BI1118/90,"")</f>
        <v>0</v>
      </c>
      <c r="M1118" s="28" t="n">
        <v>33</v>
      </c>
      <c r="N1118" s="28" t="n">
        <v>0</v>
      </c>
      <c r="O1118" s="28" t="n">
        <v>1</v>
      </c>
      <c r="P1118" s="30" t="str">
        <f>IF(AND(ISNUMBER(L1118),L1118&gt;0,COUNT(M1118:O1118)=3,MIN(M1118:O1118)&gt;=0),SUM(M1118:O1118)/L1118,"")</f>
      </c>
      <c r="Q1118" s="16" t="str">
        <v>沿用原计划SKU店铺</v>
      </c>
      <c r="R1118" s="16" t="str">
        <v>已匹配</v>
      </c>
      <c r="S1118" s="16" t="str">
        <v>在售</v>
      </c>
      <c r="T1118" s="16" t="str">
        <v>B07</v>
      </c>
      <c r="U1118" s="16" t="str">
        <v>白色PU</v>
      </c>
      <c r="V1118" s="16" t="n">
        <v>11</v>
      </c>
      <c r="W1118" s="8" t="str">
        <v>2026-10-11 至 2026-10-17</v>
      </c>
      <c r="X1118" s="8" t="str">
        <v>2026-10-11、2026-10-12、2026-10-13、2026-10-14、2026-10-15、2026-10-16、2026-10-17</v>
      </c>
      <c r="Y1118" s="8" t="str">
        <v>无</v>
      </c>
      <c r="Z1118" s="8" t="n">
        <v>0</v>
      </c>
      <c r="AA1118" s="8" t="n">
        <v>0</v>
      </c>
      <c r="AB1118" s="8" t="n">
        <v>7</v>
      </c>
      <c r="AC1118" s="8" t="str">
        <v>2026-10-02 至 2026-10-17</v>
      </c>
      <c r="AD1118" s="8" t="str">
        <v>2026-10-02、2026-10-03、2026-10-04、2026-10-05、2026-10-08、2026-10-09、2026-10-10、2026-10-11、2026-10-12、2026-10-13、2026-10-14、2026-10-15、2026-10-16、2026-10-17</v>
      </c>
      <c r="AE1118" s="8" t="str">
        <v>2026-10-06 大促；2026-10-07 大促</v>
      </c>
      <c r="AF1118" s="8" t="n">
        <v>0</v>
      </c>
      <c r="AG1118" s="8" t="n">
        <v>0</v>
      </c>
      <c r="AH1118" s="8" t="n">
        <v>14</v>
      </c>
      <c r="AI1118" s="8" t="str">
        <v>2026-09-16 至 2026-10-17</v>
      </c>
      <c r="AJ111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8" s="8" t="str">
        <v>2026-10-06 大促；2026-10-07 大促</v>
      </c>
      <c r="AL1118" s="8" t="n">
        <v>0</v>
      </c>
      <c r="AM1118" s="8" t="n">
        <v>0</v>
      </c>
      <c r="AN1118" s="8" t="n">
        <v>30</v>
      </c>
      <c r="AO1118" s="8" t="str">
        <v>B07 / 白色PU / 13306</v>
      </c>
      <c r="AP1118" s="11" t="n">
        <v>0.7307750238224848</v>
      </c>
      <c r="AQ1118" s="11" t="n">
        <v>0.7307750238224848</v>
      </c>
      <c r="AR1118" s="11" t="n">
        <v>0.7449809054134506</v>
      </c>
      <c r="AS1118" s="11" t="n">
        <f>IF(AND(COUNT(I1118:K1118,AP1118:AR1118)=6,MIN(AP1118:AR1118)&gt;0),I1118/7/AP1118*0.5+J1118/14/AQ1118*0.3+K1118/30/AR1118*0.2,"")</f>
        <v>0</v>
      </c>
      <c r="AT1118" s="8" t="n">
        <v>0</v>
      </c>
      <c r="AU1118" s="8" t="n">
        <v>0</v>
      </c>
      <c r="AV1118" s="8" t="n">
        <v>88</v>
      </c>
      <c r="AW1118" s="11" t="n">
        <f>IF(AND(COUNT(AT1118:AV1118)=3,AT1118&gt;=AU1118,AU1118&gt;=0,AV1118&gt;0),(AT1118-AU1118)/AV1118,"")</f>
        <v>0</v>
      </c>
      <c r="AX1118" s="8" t="n">
        <v>0</v>
      </c>
      <c r="AY1118" s="8" t="n">
        <v>0</v>
      </c>
      <c r="AZ1118" s="8" t="n">
        <v>178</v>
      </c>
      <c r="BA1118" s="11" t="n">
        <f>IF(AND(COUNT(AX1118:AZ1118)=3,AX1118&gt;=AY1118,AY1118&gt;=0,AZ1118&gt;0),(AX1118-AY1118)/AZ1118,"")</f>
        <v>0</v>
      </c>
      <c r="BB1118" s="8" t="n">
        <f>IF(COUNT(AS1118,AW1118,BA1118)=3,1,0)</f>
        <v>1</v>
      </c>
      <c r="BC1118" s="11" t="n">
        <f>IF(SUMIF($AO$11:$AO$1309,AO1118,$BB$11:$BB$1309)=COUNTIF($AO$11:$AO$1309,AO1118),SUMIF($AO$11:$AO$1309,AO1118,$AS$11:$AS$1309),"")</f>
        <v>0.16263180041702485</v>
      </c>
      <c r="BD1118" s="11" t="n">
        <f>IF(SUMIF($AO$11:$AO$1309,AO1118,$BB$11:$BB$1309)=COUNTIF($AO$11:$AO$1309,AO1118),SUMIF($AO$11:$AO$1309,AO1118,$AW$11:$AW$1309),"")</f>
        <v>0.11524064171122994</v>
      </c>
      <c r="BE1118" s="11" t="n">
        <f>IF(SUMIF($AO$11:$AO$1309,AO1118,$BB$11:$BB$1309)=COUNTIF($AO$11:$AO$1309,AO1118),SUMIF($AO$11:$AO$1309,AO1118,$BA$11:$BA$1309),"")</f>
        <v>0.17569823434991974</v>
      </c>
      <c r="BF1118" s="12" t="n">
        <f>IF(COUNT(BD1118:BE1118)&lt;&gt;2,"",IF(AND(BD1118&gt;0,BE1118&gt;0),0.7*AW1118/BD1118+0.3*BA1118/BE1118,IF(BD1118&gt;0,AW1118/BD1118,IF(BE1118&gt;0,BA1118/BE1118,IF(AND(ISNUMBER(BH1118),BH1118=0),0,"")))))</f>
        <v>0</v>
      </c>
      <c r="BG1118" s="11" t="n">
        <f>IF(AND(COUNT(BN1118:BU1118)=8,MIN(BN1118:BU1118)&gt;=0),SUMPRODUCT(BN1118:BQ1118,BR1118:BU1118),"")</f>
        <v>78.35892944347341</v>
      </c>
      <c r="BH1118" s="11" t="n">
        <f>IF(COUNT(BC1118,BG1118)=2,BC1118*BG1118,"")</f>
        <v>12.7436537741427</v>
      </c>
      <c r="BI1118" s="11" t="n">
        <f>IF(ISNUMBER(CI1118),CI1118,"")</f>
        <v>0</v>
      </c>
      <c r="BJ1118" s="8" t="str"/>
      <c r="BK1118" s="8" t="str">
        <v>90天：2026-07-20 至 2026-10-17；180天：2026-04-21 至 2026-10-17</v>
      </c>
      <c r="BL1118" s="8" t="str">
        <v>90天：2026-10-06、2026-10-07；180天：2026-10-06、2026-10-07</v>
      </c>
      <c r="BM1118" s="8" t="str">
        <v>2026-10：12天 × 0.7307750238224848；2026-11：30天 × 0.9523018155490097；2026-12：31天 × 0.5958545198749097；2027-01：17天 × 1.3264167397065354</v>
      </c>
      <c r="BN1118" s="11" t="n">
        <v>0.7307750238224848</v>
      </c>
      <c r="BO1118" s="11" t="n">
        <v>0.9523018155490097</v>
      </c>
      <c r="BP1118" s="11" t="n">
        <v>0.5958545198749097</v>
      </c>
      <c r="BQ1118" s="11" t="n">
        <v>1.3264167397065354</v>
      </c>
      <c r="BR1118" s="8" t="n">
        <v>12</v>
      </c>
      <c r="BS1118" s="8" t="n">
        <v>30</v>
      </c>
      <c r="BT1118" s="8" t="n">
        <v>31</v>
      </c>
      <c r="BU1118" s="8" t="n">
        <v>17</v>
      </c>
      <c r="BV1118" s="11" t="n">
        <f>IF(COUNT(BC1118,BF1118)=2,BC1118*BF1118,"")</f>
        <v>0</v>
      </c>
      <c r="BW1118" s="11" t="n">
        <f>IF(ISNUMBER(BN1118),BN1118,"")</f>
        <v>0.7307750238224848</v>
      </c>
      <c r="BX1118" s="14" t="n">
        <f>IF(ISNUMBER(BR1118),BR1118,"")</f>
        <v>12</v>
      </c>
      <c r="BY1118" s="13" t="n">
        <f>IF(AND(COUNT(BV1118,BW1118,BX1118)=3,MIN(BV1118,BW1118,BX1118)&gt;=0),BV1118*BW1118*BX1118,"")</f>
        <v>0</v>
      </c>
      <c r="BZ1118" s="11" t="n">
        <f>IF(ISNUMBER(BO1118),BO1118,"")</f>
        <v>0.9523018155490097</v>
      </c>
      <c r="CA1118" s="14" t="n">
        <f>IF(ISNUMBER(BS1118),BS1118,"")</f>
        <v>30</v>
      </c>
      <c r="CB1118" s="13" t="n">
        <f>IF(AND(COUNT(BV1118,BZ1118,CA1118)=3,MIN(BV1118,BZ1118,CA1118)&gt;=0),BV1118*BZ1118*CA1118,"")</f>
        <v>0</v>
      </c>
      <c r="CC1118" s="11" t="n">
        <f>IF(ISNUMBER(BP1118),BP1118,"")</f>
        <v>0.5958545198749097</v>
      </c>
      <c r="CD1118" s="14" t="n">
        <f>IF(ISNUMBER(BT1118),BT1118,"")</f>
        <v>31</v>
      </c>
      <c r="CE1118" s="13" t="n">
        <f>IF(AND(COUNT(BV1118,CC1118,CD1118)=3,MIN(BV1118,CC1118,CD1118)&gt;=0),BV1118*CC1118*CD1118,"")</f>
        <v>0</v>
      </c>
      <c r="CF1118" s="11" t="n">
        <f>IF(ISNUMBER(BQ1118),BQ1118,"")</f>
        <v>1.3264167397065354</v>
      </c>
      <c r="CG1118" s="14" t="n">
        <f>IF(ISNUMBER(BU1118),BU1118,"")</f>
        <v>17</v>
      </c>
      <c r="CH1118" s="13" t="n">
        <f>IF(AND(COUNT(BV1118,CF1118,CG1118)=3,MIN(BV1118,CF1118,CG1118)&gt;=0),BV1118*CF1118*CG1118,"")</f>
        <v>0</v>
      </c>
      <c r="CI1118" s="13" t="n">
        <f>IF(COUNT(BY1118,CB1118,CE1118,CH1118)=4,SUM(BY1118,CB1118,CE1118,CH1118),"")</f>
        <v>0</v>
      </c>
    </row>
    <row r="1119" ht="72" customHeight="1">
      <c r="A1119" s="16" t="str">
        <v>S02-BG-42</v>
      </c>
      <c r="B1119" s="16" t="str">
        <v>3店-SANDIEX-US</v>
      </c>
      <c r="C1119" s="16" t="str">
        <v>陈晨</v>
      </c>
      <c r="D1119" s="26" t="n">
        <f>IF(NOT(ISNUMBER(E1119)),"",IF(OR(E1119&lt;=0,L1119=0),0,IF(OR(NOT(ISNUMBER(F1119)),F1119&lt;0),"",MIN(E1119,INT(F1119)))))</f>
        <v>0</v>
      </c>
      <c r="E1119" s="27" t="n">
        <f>IF(OR(NOT(ISNUMBER(L1119)),COUNT(M1119:O1119)&lt;&gt;3,MIN(M1119:O1119)&lt;0),"",ROUNDUP(ROUND(BI1119-SUM(M1119:O1119),10),0))</f>
        <v>-6</v>
      </c>
      <c r="F1119" s="28" t="n">
        <v>77</v>
      </c>
      <c r="G1119" s="28" t="n">
        <f>IF(AND(ISNUMBER(D1119),ISNUMBER(E1119)),IF(OR(E1119&lt;=0,L1119=0),0,E1119-D1119),"")</f>
        <v>0</v>
      </c>
      <c r="H1119" s="16" t="str">
        <f>IF(NOT(ISNUMBER(E1119)),"销量或海外库存待补",IF(OR(E1119&lt;=0,L1119=0),IF(L1119=0,"零日销，本批不发","本批无需补货"),IF(NOT(ISNUMBER(D1119)),"国内库存待补",IF(D1119=0,"国内无可用库存",IF(G1119&gt;0,"先发国内现货","按建议量发货")))))</f>
        <v>本批无需补货</v>
      </c>
      <c r="I1119" s="28" t="n">
        <f>IF(AND(COUNT(Z1119,AA1119,AB1119)=3,Z1119&gt;=AA1119,AA1119&gt;=0,AB1119=7),Z1119-AA1119,"")</f>
        <v>5</v>
      </c>
      <c r="J1119" s="28" t="n">
        <f>IF(AND(COUNT(AF1119,AG1119,AH1119)=3,AF1119&gt;=AG1119,AG1119&gt;=0,AH1119=14),AF1119-AG1119,"")</f>
        <v>11</v>
      </c>
      <c r="K1119" s="28" t="n">
        <f>IF(AND(COUNT(AL1119,AM1119,AN1119)=3,AL1119&gt;=AM1119,AM1119&gt;=0,AN1119=30),AL1119-AM1119,"")</f>
        <v>21</v>
      </c>
      <c r="L1119" s="29" t="n">
        <f>IF(ISNUMBER(BI1119),BI1119/90,"")</f>
        <v>0.6419410850952814</v>
      </c>
      <c r="M1119" s="28" t="n">
        <v>62</v>
      </c>
      <c r="N1119" s="28" t="n">
        <v>0</v>
      </c>
      <c r="O1119" s="28" t="n">
        <v>1</v>
      </c>
      <c r="P1119" s="30" t="n">
        <f>IF(AND(ISNUMBER(L1119),L1119&gt;0,COUNT(M1119:O1119)=3,MIN(M1119:O1119)&gt;=0),SUM(M1119:O1119)/L1119,"")</f>
        <v>98.13984719586705</v>
      </c>
      <c r="Q1119" s="16" t="str">
        <v>沿用原计划SKU店铺</v>
      </c>
      <c r="R1119" s="16" t="str">
        <v>已匹配</v>
      </c>
      <c r="S1119" s="16" t="str">
        <v>在售</v>
      </c>
      <c r="T1119" s="16" t="str">
        <v>S02</v>
      </c>
      <c r="U1119" s="16" t="str">
        <v>裸色</v>
      </c>
      <c r="V1119" s="16" t="n">
        <v>11</v>
      </c>
      <c r="W1119" s="8" t="str">
        <v>2026-10-11 至 2026-10-17</v>
      </c>
      <c r="X1119" s="8" t="str">
        <v>2026-10-11、2026-10-12、2026-10-13、2026-10-14、2026-10-15、2026-10-16、2026-10-17</v>
      </c>
      <c r="Y1119" s="8" t="str">
        <v>无</v>
      </c>
      <c r="Z1119" s="8" t="n">
        <v>5</v>
      </c>
      <c r="AA1119" s="8" t="n">
        <v>0</v>
      </c>
      <c r="AB1119" s="8" t="n">
        <v>7</v>
      </c>
      <c r="AC1119" s="8" t="str">
        <v>2026-10-02 至 2026-10-17</v>
      </c>
      <c r="AD1119" s="8" t="str">
        <v>2026-10-02、2026-10-03、2026-10-04、2026-10-05、2026-10-08、2026-10-09、2026-10-10、2026-10-11、2026-10-12、2026-10-13、2026-10-14、2026-10-15、2026-10-16、2026-10-17</v>
      </c>
      <c r="AE1119" s="8" t="str">
        <v>2026-10-06 大促；2026-10-07 大促</v>
      </c>
      <c r="AF1119" s="8" t="n">
        <v>17</v>
      </c>
      <c r="AG1119" s="8" t="n">
        <v>6</v>
      </c>
      <c r="AH1119" s="8" t="n">
        <v>14</v>
      </c>
      <c r="AI1119" s="8" t="str">
        <v>2026-09-16 至 2026-10-17</v>
      </c>
      <c r="AJ111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19" s="8" t="str">
        <v>2026-10-06 大促；2026-10-07 大促</v>
      </c>
      <c r="AL1119" s="8" t="n">
        <v>27</v>
      </c>
      <c r="AM1119" s="8" t="n">
        <v>6</v>
      </c>
      <c r="AN1119" s="8" t="n">
        <v>30</v>
      </c>
      <c r="AO1119" s="8" t="str">
        <v>S02 / 裸色 / 6574</v>
      </c>
      <c r="AP1119" s="11" t="n">
        <v>0.9634503791704667</v>
      </c>
      <c r="AQ1119" s="11" t="n">
        <v>0.9634503791704667</v>
      </c>
      <c r="AR1119" s="11" t="n">
        <v>0.902244307144596</v>
      </c>
      <c r="AS1119" s="11" t="n">
        <f>IF(AND(COUNT(I1119:K1119,AP1119:AR1119)=6,MIN(AP1119:AR1119)&gt;0),I1119/7/AP1119*0.5+J1119/14/AQ1119*0.3+K1119/30/AR1119*0.2,"")</f>
        <v>0.77051648986215</v>
      </c>
      <c r="AT1119" s="8" t="n">
        <v>47</v>
      </c>
      <c r="AU1119" s="8" t="n">
        <v>6</v>
      </c>
      <c r="AV1119" s="8" t="n">
        <v>88</v>
      </c>
      <c r="AW1119" s="11" t="n">
        <f>IF(AND(COUNT(AT1119:AV1119)=3,AT1119&gt;=AU1119,AU1119&gt;=0,AV1119&gt;0),(AT1119-AU1119)/AV1119,"")</f>
        <v>0.4659090909090909</v>
      </c>
      <c r="AX1119" s="8" t="n">
        <v>91</v>
      </c>
      <c r="AY1119" s="8" t="n">
        <v>6</v>
      </c>
      <c r="AZ1119" s="8" t="n">
        <v>178</v>
      </c>
      <c r="BA1119" s="11" t="n">
        <f>IF(AND(COUNT(AX1119:AZ1119)=3,AX1119&gt;=AY1119,AY1119&gt;=0,AZ1119&gt;0),(AX1119-AY1119)/AZ1119,"")</f>
        <v>0.47752808988764045</v>
      </c>
      <c r="BB1119" s="8" t="n">
        <f>IF(COUNT(AS1119,AW1119,BA1119)=3,1,0)</f>
        <v>1</v>
      </c>
      <c r="BC1119" s="11" t="n">
        <f>IF(SUMIF($AO$11:$AO$1309,AO1119,$BB$11:$BB$1309)=COUNTIF($AO$11:$AO$1309,AO1119),SUMIF($AO$11:$AO$1309,AO1119,$AS$11:$AS$1309),"")</f>
        <v>13.209043546268767</v>
      </c>
      <c r="BD1119" s="11" t="n">
        <f>IF(SUMIF($AO$11:$AO$1309,AO1119,$BB$11:$BB$1309)=COUNTIF($AO$11:$AO$1309,AO1119),SUMIF($AO$11:$AO$1309,AO1119,$AW$11:$AW$1309),"")</f>
        <v>8.681818181818183</v>
      </c>
      <c r="BE1119" s="11" t="n">
        <f>IF(SUMIF($AO$11:$AO$1309,AO1119,$BB$11:$BB$1309)=COUNTIF($AO$11:$AO$1309,AO1119),SUMIF($AO$11:$AO$1309,AO1119,$BA$11:$BA$1309),"")</f>
        <v>8</v>
      </c>
      <c r="BF1119" s="12" t="n">
        <f>IF(COUNT(BD1119:BE1119)&lt;&gt;2,"",IF(AND(BD1119&gt;0,BE1119&gt;0),0.7*AW1119/BD1119+0.3*BA1119/BE1119,IF(BD1119&gt;0,AW1119/BD1119,IF(BE1119&gt;0,BA1119/BE1119,IF(AND(ISNUMBER(BH1119),BH1119=0),0,"")))))</f>
        <v>0.05547274839696452</v>
      </c>
      <c r="BG1119" s="11" t="n">
        <f>IF(AND(COUNT(BN1119:BU1119)=8,MIN(BN1119:BU1119)&gt;=0),SUMPRODUCT(BN1119:BQ1119,BR1119:BU1119),"")</f>
        <v>78.84726365280937</v>
      </c>
      <c r="BH1119" s="11" t="n">
        <f>IF(COUNT(BC1119,BG1119)=2,BC1119*BG1119,"")</f>
        <v>1041.4969390940935</v>
      </c>
      <c r="BI1119" s="11" t="n">
        <f>IF(ISNUMBER(CI1119),CI1119,"")</f>
        <v>57.77469765857533</v>
      </c>
      <c r="BJ1119" s="8" t="str"/>
      <c r="BK1119" s="8" t="str">
        <v>90天：2026-07-20 至 2026-10-17；180天：2026-04-21 至 2026-10-17</v>
      </c>
      <c r="BL1119" s="8" t="str">
        <v>90天：2026-10-06、2026-10-07；180天：2026-10-06、2026-10-07</v>
      </c>
      <c r="BM1119" s="8" t="str">
        <v>2026-10：12天 × 0.9634503791704667；2026-11：30天 × 0.8585031562320637；2026-12：31天 × 0.7896606554092485；2027-01：17天 × 1.0030167116538329</v>
      </c>
      <c r="BN1119" s="11" t="n">
        <v>0.9634503791704667</v>
      </c>
      <c r="BO1119" s="11" t="n">
        <v>0.8585031562320637</v>
      </c>
      <c r="BP1119" s="11" t="n">
        <v>0.7896606554092485</v>
      </c>
      <c r="BQ1119" s="11" t="n">
        <v>1.0030167116538329</v>
      </c>
      <c r="BR1119" s="8" t="n">
        <v>12</v>
      </c>
      <c r="BS1119" s="8" t="n">
        <v>30</v>
      </c>
      <c r="BT1119" s="8" t="n">
        <v>31</v>
      </c>
      <c r="BU1119" s="8" t="n">
        <v>17</v>
      </c>
      <c r="BV1119" s="11" t="n">
        <f>IF(COUNT(BC1119,BF1119)=2,BC1119*BF1119,"")</f>
        <v>0.7327419492067152</v>
      </c>
      <c r="BW1119" s="11" t="n">
        <f>IF(ISNUMBER(BN1119),BN1119,"")</f>
        <v>0.9634503791704667</v>
      </c>
      <c r="BX1119" s="14" t="n">
        <f>IF(ISNUMBER(BR1119),BR1119,"")</f>
        <v>12</v>
      </c>
      <c r="BY1119" s="13" t="n">
        <f>IF(AND(COUNT(BV1119,BW1119,BX1119)=3,MIN(BV1119,BW1119,BX1119)&gt;=0),BV1119*BW1119*BX1119,"")</f>
        <v>8.4715261055678</v>
      </c>
      <c r="BZ1119" s="11" t="n">
        <f>IF(ISNUMBER(BO1119),BO1119,"")</f>
        <v>0.8585031562320637</v>
      </c>
      <c r="CA1119" s="14" t="n">
        <f>IF(ISNUMBER(BS1119),BS1119,"")</f>
        <v>30</v>
      </c>
      <c r="CB1119" s="13" t="n">
        <f>IF(AND(COUNT(BV1119,BZ1119,CA1119)=3,MIN(BV1119,BZ1119,CA1119)&gt;=0),BV1119*BZ1119*CA1119,"")</f>
        <v>18.871838282927985</v>
      </c>
      <c r="CC1119" s="11" t="n">
        <f>IF(ISNUMBER(BP1119),BP1119,"")</f>
        <v>0.7896606554092485</v>
      </c>
      <c r="CD1119" s="14" t="n">
        <f>IF(ISNUMBER(BT1119),BT1119,"")</f>
        <v>31</v>
      </c>
      <c r="CE1119" s="13" t="n">
        <f>IF(AND(COUNT(BV1119,CC1119,CD1119)=3,MIN(BV1119,CC1119,CD1119)&gt;=0),BV1119*CC1119*CD1119,"")</f>
        <v>17.937142123549172</v>
      </c>
      <c r="CF1119" s="11" t="n">
        <f>IF(ISNUMBER(BQ1119),BQ1119,"")</f>
        <v>1.0030167116538329</v>
      </c>
      <c r="CG1119" s="14" t="n">
        <f>IF(ISNUMBER(BU1119),BU1119,"")</f>
        <v>17</v>
      </c>
      <c r="CH1119" s="13" t="n">
        <f>IF(AND(COUNT(BV1119,CF1119,CG1119)=3,MIN(BV1119,CF1119,CG1119)&gt;=0),BV1119*CF1119*CG1119,"")</f>
        <v>12.494191146530369</v>
      </c>
      <c r="CI1119" s="13" t="n">
        <f>IF(COUNT(BY1119,CB1119,CE1119,CH1119)=4,SUM(BY1119,CB1119,CE1119,CH1119),"")</f>
        <v>57.77469765857533</v>
      </c>
    </row>
    <row r="1120" ht="72" customHeight="1">
      <c r="A1120" s="16" t="str">
        <v>S02-BK-37</v>
      </c>
      <c r="B1120" s="16" t="str">
        <v>3店-SANDIEX-US</v>
      </c>
      <c r="C1120" s="16" t="str">
        <v>陈晨</v>
      </c>
      <c r="D1120" s="26" t="n">
        <f>IF(NOT(ISNUMBER(E1120)),"",IF(OR(E1120&lt;=0,L1120=0),0,IF(OR(NOT(ISNUMBER(F1120)),F1120&lt;0),"",MIN(E1120,INT(F1120)))))</f>
        <v>0</v>
      </c>
      <c r="E1120" s="27" t="n">
        <f>IF(OR(NOT(ISNUMBER(L1120)),COUNT(M1120:O1120)&lt;&gt;3,MIN(M1120:O1120)&lt;0),"",ROUNDUP(ROUND(BI1120-SUM(M1120:O1120),10),0))</f>
        <v>-39</v>
      </c>
      <c r="F1120" s="28" t="n">
        <v>120</v>
      </c>
      <c r="G1120" s="28" t="n">
        <f>IF(AND(ISNUMBER(D1120),ISNUMBER(E1120)),IF(OR(E1120&lt;=0,L1120=0),0,E1120-D1120),"")</f>
        <v>0</v>
      </c>
      <c r="H1120" s="16" t="str">
        <f>IF(NOT(ISNUMBER(E1120)),"销量或海外库存待补",IF(OR(E1120&lt;=0,L1120=0),IF(L1120=0,"零日销，本批不发","本批无需补货"),IF(NOT(ISNUMBER(D1120)),"国内库存待补",IF(D1120=0,"国内无可用库存",IF(G1120&gt;0,"先发国内现货","按建议量发货")))))</f>
        <v>本批无需补货</v>
      </c>
      <c r="I1120" s="28" t="n">
        <f>IF(AND(COUNT(Z1120,AA1120,AB1120)=3,Z1120&gt;=AA1120,AA1120&gt;=0,AB1120=7),Z1120-AA1120,"")</f>
        <v>6</v>
      </c>
      <c r="J1120" s="28" t="n">
        <f>IF(AND(COUNT(AF1120,AG1120,AH1120)=3,AF1120&gt;=AG1120,AG1120&gt;=0,AH1120=14),AF1120-AG1120,"")</f>
        <v>17</v>
      </c>
      <c r="K1120" s="28" t="n">
        <f>IF(AND(COUNT(AL1120,AM1120,AN1120)=3,AL1120&gt;=AM1120,AM1120&gt;=0,AN1120=30),AL1120-AM1120,"")</f>
        <v>20</v>
      </c>
      <c r="L1120" s="29" t="n">
        <f>IF(ISNUMBER(BI1120),BI1120/90,"")</f>
        <v>0.48382253555049287</v>
      </c>
      <c r="M1120" s="28" t="n">
        <v>82</v>
      </c>
      <c r="N1120" s="28" t="n">
        <v>0</v>
      </c>
      <c r="O1120" s="28" t="n">
        <v>0</v>
      </c>
      <c r="P1120" s="30" t="n">
        <f>IF(AND(ISNUMBER(L1120),L1120&gt;0,COUNT(M1120:O1120)=3,MIN(M1120:O1120)&gt;=0),SUM(M1120:O1120)/L1120,"")</f>
        <v>169.48363082488598</v>
      </c>
      <c r="Q1120" s="16" t="str">
        <v>沿用原计划SKU店铺</v>
      </c>
      <c r="R1120" s="16" t="str">
        <v>已匹配</v>
      </c>
      <c r="S1120" s="16" t="str">
        <v>在售</v>
      </c>
      <c r="T1120" s="16" t="str">
        <v>S02</v>
      </c>
      <c r="U1120" s="16" t="str">
        <v>黑色</v>
      </c>
      <c r="V1120" s="16" t="n">
        <v>6</v>
      </c>
      <c r="W1120" s="8" t="str">
        <v>2026-10-11 至 2026-10-17</v>
      </c>
      <c r="X1120" s="8" t="str">
        <v>2026-10-11、2026-10-12、2026-10-13、2026-10-14、2026-10-15、2026-10-16、2026-10-17</v>
      </c>
      <c r="Y1120" s="8" t="str">
        <v>无</v>
      </c>
      <c r="Z1120" s="8" t="n">
        <v>6</v>
      </c>
      <c r="AA1120" s="8" t="n">
        <v>0</v>
      </c>
      <c r="AB1120" s="8" t="n">
        <v>7</v>
      </c>
      <c r="AC1120" s="8" t="str">
        <v>2026-10-02 至 2026-10-17</v>
      </c>
      <c r="AD1120" s="8" t="str">
        <v>2026-10-02、2026-10-03、2026-10-04、2026-10-05、2026-10-08、2026-10-09、2026-10-10、2026-10-11、2026-10-12、2026-10-13、2026-10-14、2026-10-15、2026-10-16、2026-10-17</v>
      </c>
      <c r="AE1120" s="8" t="str">
        <v>2026-10-06 大促；2026-10-07 大促</v>
      </c>
      <c r="AF1120" s="8" t="n">
        <v>27</v>
      </c>
      <c r="AG1120" s="8" t="n">
        <v>10</v>
      </c>
      <c r="AH1120" s="8" t="n">
        <v>14</v>
      </c>
      <c r="AI1120" s="8" t="str">
        <v>2026-09-16 至 2026-10-17</v>
      </c>
      <c r="AJ112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0" s="8" t="str">
        <v>2026-10-06 大促；2026-10-07 大促</v>
      </c>
      <c r="AL1120" s="8" t="n">
        <v>30</v>
      </c>
      <c r="AM1120" s="8" t="n">
        <v>10</v>
      </c>
      <c r="AN1120" s="8" t="n">
        <v>30</v>
      </c>
      <c r="AO1120" s="8" t="str">
        <v>S02 / 黑色 / 6574</v>
      </c>
      <c r="AP1120" s="11" t="n">
        <v>0.9634503791704667</v>
      </c>
      <c r="AQ1120" s="11" t="n">
        <v>0.9634503791704667</v>
      </c>
      <c r="AR1120" s="11" t="n">
        <v>0.902244307144596</v>
      </c>
      <c r="AS1120" s="11" t="n">
        <f>IF(AND(COUNT(I1120:K1120,AP1120:AR1120)=6,MIN(AP1120:AR1120)&gt;0),I1120/7/AP1120*0.5+J1120/14/AQ1120*0.3+K1120/30/AR1120*0.2,"")</f>
        <v>0.9707147428887379</v>
      </c>
      <c r="AT1120" s="8" t="n">
        <v>37</v>
      </c>
      <c r="AU1120" s="8" t="n">
        <v>10</v>
      </c>
      <c r="AV1120" s="8" t="n">
        <v>88</v>
      </c>
      <c r="AW1120" s="11" t="n">
        <f>IF(AND(COUNT(AT1120:AV1120)=3,AT1120&gt;=AU1120,AU1120&gt;=0,AV1120&gt;0),(AT1120-AU1120)/AV1120,"")</f>
        <v>0.3068181818181818</v>
      </c>
      <c r="AX1120" s="8" t="n">
        <v>50</v>
      </c>
      <c r="AY1120" s="8" t="n">
        <v>10</v>
      </c>
      <c r="AZ1120" s="8" t="n">
        <v>178</v>
      </c>
      <c r="BA1120" s="11" t="n">
        <f>IF(AND(COUNT(AX1120:AZ1120)=3,AX1120&gt;=AY1120,AY1120&gt;=0,AZ1120&gt;0),(AX1120-AY1120)/AZ1120,"")</f>
        <v>0.2247191011235955</v>
      </c>
      <c r="BB1120" s="8" t="n">
        <f>IF(COUNT(AS1120,AW1120,BA1120)=3,1,0)</f>
        <v>1</v>
      </c>
      <c r="BC1120" s="11" t="n">
        <f>IF(SUMIF($AO$11:$AO$1309,AO1120,$BB$11:$BB$1309)=COUNTIF($AO$11:$AO$1309,AO1120),SUMIF($AO$11:$AO$1309,AO1120,$AS$11:$AS$1309),"")</f>
        <v>24.832695374544848</v>
      </c>
      <c r="BD1120" s="11" t="n">
        <f>IF(SUMIF($AO$11:$AO$1309,AO1120,$BB$11:$BB$1309)=COUNTIF($AO$11:$AO$1309,AO1120),SUMIF($AO$11:$AO$1309,AO1120,$AW$11:$AW$1309),"")</f>
        <v>14.125</v>
      </c>
      <c r="BE1120" s="11" t="n">
        <f>IF(SUMIF($AO$11:$AO$1309,AO1120,$BB$11:$BB$1309)=COUNTIF($AO$11:$AO$1309,AO1120),SUMIF($AO$11:$AO$1309,AO1120,$BA$11:$BA$1309),"")</f>
        <v>9.584269662921349</v>
      </c>
      <c r="BF1120" s="12" t="n">
        <f>IF(COUNT(BD1120:BE1120)&lt;&gt;2,"",IF(AND(BD1120&gt;0,BE1120&gt;0),0.7*AW1120/BD1120+0.3*BA1120/BE1120,IF(BD1120&gt;0,AW1120/BD1120,IF(BE1120&gt;0,BA1120/BE1120,IF(AND(ISNUMBER(BH1120),BH1120=0),0,"")))))</f>
        <v>0.022239146488801532</v>
      </c>
      <c r="BG1120" s="11" t="n">
        <f>IF(AND(COUNT(BN1120:BU1120)=8,MIN(BN1120:BU1120)&gt;=0),SUMPRODUCT(BN1120:BQ1120,BR1120:BU1120),"")</f>
        <v>78.84726365280937</v>
      </c>
      <c r="BH1120" s="11" t="n">
        <f>IF(COUNT(BC1120,BG1120)=2,BC1120*BG1120,"")</f>
        <v>1957.9900794066375</v>
      </c>
      <c r="BI1120" s="11" t="n">
        <f>IF(ISNUMBER(CI1120),CI1120,"")</f>
        <v>43.54402819954436</v>
      </c>
      <c r="BJ1120" s="8" t="str"/>
      <c r="BK1120" s="8" t="str">
        <v>90天：2026-07-20 至 2026-10-17；180天：2026-04-21 至 2026-10-17</v>
      </c>
      <c r="BL1120" s="8" t="str">
        <v>90天：2026-10-06、2026-10-07；180天：2026-10-06、2026-10-07</v>
      </c>
      <c r="BM1120" s="8" t="str">
        <v>2026-10：12天 × 0.9634503791704667；2026-11：30天 × 0.8585031562320637；2026-12：31天 × 0.7896606554092485；2027-01：17天 × 1.0030167116538329</v>
      </c>
      <c r="BN1120" s="11" t="n">
        <v>0.9634503791704667</v>
      </c>
      <c r="BO1120" s="11" t="n">
        <v>0.8585031562320637</v>
      </c>
      <c r="BP1120" s="11" t="n">
        <v>0.7896606554092485</v>
      </c>
      <c r="BQ1120" s="11" t="n">
        <v>1.0030167116538329</v>
      </c>
      <c r="BR1120" s="8" t="n">
        <v>12</v>
      </c>
      <c r="BS1120" s="8" t="n">
        <v>30</v>
      </c>
      <c r="BT1120" s="8" t="n">
        <v>31</v>
      </c>
      <c r="BU1120" s="8" t="n">
        <v>17</v>
      </c>
      <c r="BV1120" s="11" t="n">
        <f>IF(COUNT(BC1120,BF1120)=2,BC1120*BF1120,"")</f>
        <v>0.5522579501462871</v>
      </c>
      <c r="BW1120" s="11" t="n">
        <f>IF(ISNUMBER(BN1120),BN1120,"")</f>
        <v>0.9634503791704667</v>
      </c>
      <c r="BX1120" s="14" t="n">
        <f>IF(ISNUMBER(BR1120),BR1120,"")</f>
        <v>12</v>
      </c>
      <c r="BY1120" s="13" t="n">
        <f>IF(AND(COUNT(BV1120,BW1120,BX1120)=3,MIN(BV1120,BW1120,BX1120)&gt;=0),BV1120*BW1120*BX1120,"")</f>
        <v>6.38487757762014</v>
      </c>
      <c r="BZ1120" s="11" t="n">
        <f>IF(ISNUMBER(BO1120),BO1120,"")</f>
        <v>0.8585031562320637</v>
      </c>
      <c r="CA1120" s="14" t="n">
        <f>IF(ISNUMBER(BS1120),BS1120,"")</f>
        <v>30</v>
      </c>
      <c r="CB1120" s="13" t="n">
        <f>IF(AND(COUNT(BV1120,BZ1120,CA1120)=3,MIN(BV1120,BZ1120,CA1120)&gt;=0),BV1120*BZ1120*CA1120,"")</f>
        <v>14.223455797645116</v>
      </c>
      <c r="CC1120" s="11" t="n">
        <f>IF(ISNUMBER(BP1120),BP1120,"")</f>
        <v>0.7896606554092485</v>
      </c>
      <c r="CD1120" s="14" t="n">
        <f>IF(ISNUMBER(BT1120),BT1120,"")</f>
        <v>31</v>
      </c>
      <c r="CE1120" s="13" t="n">
        <f>IF(AND(COUNT(BV1120,CC1120,CD1120)=3,MIN(BV1120,CC1120,CD1120)&gt;=0),BV1120*CC1120*CD1120,"")</f>
        <v>13.51898762089204</v>
      </c>
      <c r="CF1120" s="11" t="n">
        <f>IF(ISNUMBER(BQ1120),BQ1120,"")</f>
        <v>1.0030167116538329</v>
      </c>
      <c r="CG1120" s="14" t="n">
        <f>IF(ISNUMBER(BU1120),BU1120,"")</f>
        <v>17</v>
      </c>
      <c r="CH1120" s="13" t="n">
        <f>IF(AND(COUNT(BV1120,CF1120,CG1120)=3,MIN(BV1120,CF1120,CG1120)&gt;=0),BV1120*CF1120*CG1120,"")</f>
        <v>9.416707203387059</v>
      </c>
      <c r="CI1120" s="13" t="n">
        <f>IF(COUNT(BY1120,CB1120,CE1120,CH1120)=4,SUM(BY1120,CB1120,CE1120,CH1120),"")</f>
        <v>43.54402819954436</v>
      </c>
    </row>
    <row r="1121" ht="72" customHeight="1">
      <c r="A1121" s="16" t="str">
        <v>S02-BKP-37</v>
      </c>
      <c r="B1121" s="16" t="str">
        <v>3店-SANDIEX-US</v>
      </c>
      <c r="C1121" s="16" t="str">
        <v>陈晨</v>
      </c>
      <c r="D1121" s="26" t="n">
        <f>IF(NOT(ISNUMBER(E1121)),"",IF(OR(E1121&lt;=0,L1121=0),0,IF(OR(NOT(ISNUMBER(F1121)),F1121&lt;0),"",MIN(E1121,INT(F1121)))))</f>
        <v>0</v>
      </c>
      <c r="E1121" s="27" t="n">
        <f>IF(OR(NOT(ISNUMBER(L1121)),COUNT(M1121:O1121)&lt;&gt;3,MIN(M1121:O1121)&lt;0),"",ROUNDUP(ROUND(BI1121-SUM(M1121:O1121),10),0))</f>
        <v>-4</v>
      </c>
      <c r="F1121" s="28" t="n">
        <v>59</v>
      </c>
      <c r="G1121" s="28" t="n">
        <f>IF(AND(ISNUMBER(D1121),ISNUMBER(E1121)),IF(OR(E1121&lt;=0,L1121=0),0,E1121-D1121),"")</f>
        <v>0</v>
      </c>
      <c r="H1121" s="16" t="str">
        <f>IF(NOT(ISNUMBER(E1121)),"销量或海外库存待补",IF(OR(E1121&lt;=0,L1121=0),IF(L1121=0,"零日销，本批不发","本批无需补货"),IF(NOT(ISNUMBER(D1121)),"国内库存待补",IF(D1121=0,"国内无可用库存",IF(G1121&gt;0,"先发国内现货","按建议量发货")))))</f>
        <v>本批无需补货</v>
      </c>
      <c r="I1121" s="28" t="n">
        <f>IF(AND(COUNT(Z1121,AA1121,AB1121)=3,Z1121&gt;=AA1121,AA1121&gt;=0,AB1121=7),Z1121-AA1121,"")</f>
        <v>3</v>
      </c>
      <c r="J1121" s="28" t="n">
        <f>IF(AND(COUNT(AF1121,AG1121,AH1121)=3,AF1121&gt;=AG1121,AG1121&gt;=0,AH1121=14),AF1121-AG1121,"")</f>
        <v>6</v>
      </c>
      <c r="K1121" s="28" t="n">
        <f>IF(AND(COUNT(AL1121,AM1121,AN1121)=3,AL1121&gt;=AM1121,AM1121&gt;=0,AN1121=30),AL1121-AM1121,"")</f>
        <v>10</v>
      </c>
      <c r="L1121" s="29" t="n">
        <f>IF(ISNUMBER(BI1121),BI1121/90,"")</f>
        <v>0.4734036074616438</v>
      </c>
      <c r="M1121" s="28" t="n">
        <v>46</v>
      </c>
      <c r="N1121" s="28" t="n">
        <v>0</v>
      </c>
      <c r="O1121" s="28" t="n">
        <v>0</v>
      </c>
      <c r="P1121" s="30" t="n">
        <f>IF(AND(ISNUMBER(L1121),L1121&gt;0,COUNT(M1121:O1121)=3,MIN(M1121:O1121)&gt;=0),SUM(M1121:O1121)/L1121,"")</f>
        <v>97.16867230194697</v>
      </c>
      <c r="Q1121" s="16" t="str">
        <v>沿用原计划SKU店铺</v>
      </c>
      <c r="R1121" s="16" t="str">
        <v>已匹配</v>
      </c>
      <c r="S1121" s="16" t="str">
        <v>在售</v>
      </c>
      <c r="T1121" s="16" t="str">
        <v>S02</v>
      </c>
      <c r="U1121" s="16" t="str">
        <v>黑色PU</v>
      </c>
      <c r="V1121" s="16" t="n">
        <v>6</v>
      </c>
      <c r="W1121" s="8" t="str">
        <v>2026-10-11 至 2026-10-17</v>
      </c>
      <c r="X1121" s="8" t="str">
        <v>2026-10-11、2026-10-12、2026-10-13、2026-10-14、2026-10-15、2026-10-16、2026-10-17</v>
      </c>
      <c r="Y1121" s="8" t="str">
        <v>无</v>
      </c>
      <c r="Z1121" s="8" t="n">
        <v>3</v>
      </c>
      <c r="AA1121" s="8" t="n">
        <v>0</v>
      </c>
      <c r="AB1121" s="8" t="n">
        <v>7</v>
      </c>
      <c r="AC1121" s="8" t="str">
        <v>2026-10-02 至 2026-10-17</v>
      </c>
      <c r="AD1121" s="8" t="str">
        <v>2026-10-02、2026-10-03、2026-10-04、2026-10-05、2026-10-08、2026-10-09、2026-10-10、2026-10-11、2026-10-12、2026-10-13、2026-10-14、2026-10-15、2026-10-16、2026-10-17</v>
      </c>
      <c r="AE1121" s="8" t="str">
        <v>2026-10-06 大促；2026-10-07 大促</v>
      </c>
      <c r="AF1121" s="8" t="n">
        <v>11</v>
      </c>
      <c r="AG1121" s="8" t="n">
        <v>5</v>
      </c>
      <c r="AH1121" s="8" t="n">
        <v>14</v>
      </c>
      <c r="AI1121" s="8" t="str">
        <v>2026-09-16 至 2026-10-17</v>
      </c>
      <c r="AJ112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1" s="8" t="str">
        <v>2026-10-06 大促；2026-10-07 大促</v>
      </c>
      <c r="AL1121" s="8" t="n">
        <v>15</v>
      </c>
      <c r="AM1121" s="8" t="n">
        <v>5</v>
      </c>
      <c r="AN1121" s="8" t="n">
        <v>30</v>
      </c>
      <c r="AO1121" s="8" t="str">
        <v>S02 / 黑色PU / 6574</v>
      </c>
      <c r="AP1121" s="11" t="n">
        <v>0.9634503791704667</v>
      </c>
      <c r="AQ1121" s="11" t="n">
        <v>0.9634503791704667</v>
      </c>
      <c r="AR1121" s="11" t="n">
        <v>0.902244307144596</v>
      </c>
      <c r="AS1121" s="11" t="n">
        <f>IF(AND(COUNT(I1121:K1121,AP1121:AR1121)=6,MIN(AP1121:AR1121)&gt;0),I1121/7/AP1121*0.5+J1121/14/AQ1121*0.3+K1121/30/AR1121*0.2,"")</f>
        <v>0.429753647859192</v>
      </c>
      <c r="AT1121" s="8" t="n">
        <v>36</v>
      </c>
      <c r="AU1121" s="8" t="n">
        <v>5</v>
      </c>
      <c r="AV1121" s="8" t="n">
        <v>88</v>
      </c>
      <c r="AW1121" s="11" t="n">
        <f>IF(AND(COUNT(AT1121:AV1121)=3,AT1121&gt;=AU1121,AU1121&gt;=0,AV1121&gt;0),(AT1121-AU1121)/AV1121,"")</f>
        <v>0.3522727272727273</v>
      </c>
      <c r="AX1121" s="8" t="n">
        <v>54</v>
      </c>
      <c r="AY1121" s="8" t="n">
        <v>5</v>
      </c>
      <c r="AZ1121" s="8" t="n">
        <v>178</v>
      </c>
      <c r="BA1121" s="11" t="n">
        <f>IF(AND(COUNT(AX1121:AZ1121)=3,AX1121&gt;=AY1121,AY1121&gt;=0,AZ1121&gt;0),(AX1121-AY1121)/AZ1121,"")</f>
        <v>0.2752808988764045</v>
      </c>
      <c r="BB1121" s="8" t="n">
        <f>IF(COUNT(AS1121,AW1121,BA1121)=3,1,0)</f>
        <v>1</v>
      </c>
      <c r="BC1121" s="11" t="n">
        <f>IF(SUMIF($AO$11:$AO$1309,AO1121,$BB$11:$BB$1309)=COUNTIF($AO$11:$AO$1309,AO1121),SUMIF($AO$11:$AO$1309,AO1121,$AS$11:$AS$1309),"")</f>
        <v>6.467825611843374</v>
      </c>
      <c r="BD1121" s="11" t="n">
        <f>IF(SUMIF($AO$11:$AO$1309,AO1121,$BB$11:$BB$1309)=COUNTIF($AO$11:$AO$1309,AO1121),SUMIF($AO$11:$AO$1309,AO1121,$AW$11:$AW$1309),"")</f>
        <v>4.170454545454546</v>
      </c>
      <c r="BE1121" s="11" t="n">
        <f>IF(SUMIF($AO$11:$AO$1309,AO1121,$BB$11:$BB$1309)=COUNTIF($AO$11:$AO$1309,AO1121),SUMIF($AO$11:$AO$1309,AO1121,$BA$11:$BA$1309),"")</f>
        <v>3.3820224719101124</v>
      </c>
      <c r="BF1121" s="12" t="n">
        <f>IF(COUNT(BD1121:BE1121)&lt;&gt;2,"",IF(AND(BD1121&gt;0,BE1121&gt;0),0.7*AW1121/BD1121+0.3*BA1121/BE1121,IF(BD1121&gt;0,AW1121/BD1121,IF(BE1121&gt;0,BA1121/BE1121,IF(AND(ISNUMBER(BH1121),BH1121=0),0,"")))))</f>
        <v>0.08354667004625815</v>
      </c>
      <c r="BG1121" s="11" t="n">
        <f>IF(AND(COUNT(BN1121:BU1121)=8,MIN(BN1121:BU1121)&gt;=0),SUMPRODUCT(BN1121:BQ1121,BR1121:BU1121),"")</f>
        <v>78.84726365280937</v>
      </c>
      <c r="BH1121" s="11" t="n">
        <f>IF(COUNT(BC1121,BG1121)=2,BC1121*BG1121,"")</f>
        <v>509.9703512774076</v>
      </c>
      <c r="BI1121" s="11" t="n">
        <f>IF(ISNUMBER(CI1121),CI1121,"")</f>
        <v>42.60632467154794</v>
      </c>
      <c r="BJ1121" s="8" t="str"/>
      <c r="BK1121" s="8" t="str">
        <v>90天：2026-07-20 至 2026-10-17；180天：2026-04-21 至 2026-10-17</v>
      </c>
      <c r="BL1121" s="8" t="str">
        <v>90天：2026-10-06、2026-10-07；180天：2026-10-06、2026-10-07</v>
      </c>
      <c r="BM1121" s="8" t="str">
        <v>2026-10：12天 × 0.9634503791704667；2026-11：30天 × 0.8585031562320637；2026-12：31天 × 0.7896606554092485；2027-01：17天 × 1.0030167116538329</v>
      </c>
      <c r="BN1121" s="11" t="n">
        <v>0.9634503791704667</v>
      </c>
      <c r="BO1121" s="11" t="n">
        <v>0.8585031562320637</v>
      </c>
      <c r="BP1121" s="11" t="n">
        <v>0.7896606554092485</v>
      </c>
      <c r="BQ1121" s="11" t="n">
        <v>1.0030167116538329</v>
      </c>
      <c r="BR1121" s="8" t="n">
        <v>12</v>
      </c>
      <c r="BS1121" s="8" t="n">
        <v>30</v>
      </c>
      <c r="BT1121" s="8" t="n">
        <v>31</v>
      </c>
      <c r="BU1121" s="8" t="n">
        <v>17</v>
      </c>
      <c r="BV1121" s="11" t="n">
        <f>IF(COUNT(BC1121,BF1121)=2,BC1121*BF1121,"")</f>
        <v>0.5403652923094161</v>
      </c>
      <c r="BW1121" s="11" t="n">
        <f>IF(ISNUMBER(BN1121),BN1121,"")</f>
        <v>0.9634503791704667</v>
      </c>
      <c r="BX1121" s="14" t="n">
        <f>IF(ISNUMBER(BR1121),BR1121,"")</f>
        <v>12</v>
      </c>
      <c r="BY1121" s="13" t="n">
        <f>IF(AND(COUNT(BV1121,BW1121,BX1121)=3,MIN(BV1121,BW1121,BX1121)&gt;=0),BV1121*BW1121*BX1121,"")</f>
        <v>6.2473817491928045</v>
      </c>
      <c r="BZ1121" s="11" t="n">
        <f>IF(ISNUMBER(BO1121),BO1121,"")</f>
        <v>0.8585031562320637</v>
      </c>
      <c r="CA1121" s="14" t="n">
        <f>IF(ISNUMBER(BS1121),BS1121,"")</f>
        <v>30</v>
      </c>
      <c r="CB1121" s="13" t="n">
        <f>IF(AND(COUNT(BV1121,BZ1121,CA1121)=3,MIN(BV1121,BZ1121,CA1121)&gt;=0),BV1121*BZ1121*CA1121,"")</f>
        <v>13.917159268976864</v>
      </c>
      <c r="CC1121" s="11" t="n">
        <f>IF(ISNUMBER(BP1121),BP1121,"")</f>
        <v>0.7896606554092485</v>
      </c>
      <c r="CD1121" s="14" t="n">
        <f>IF(ISNUMBER(BT1121),BT1121,"")</f>
        <v>31</v>
      </c>
      <c r="CE1121" s="13" t="n">
        <f>IF(AND(COUNT(BV1121,CC1121,CD1121)=3,MIN(BV1121,CC1121,CD1121)&gt;=0),BV1121*CC1121*CD1121,"")</f>
        <v>13.227861537449373</v>
      </c>
      <c r="CF1121" s="11" t="n">
        <f>IF(ISNUMBER(BQ1121),BQ1121,"")</f>
        <v>1.0030167116538329</v>
      </c>
      <c r="CG1121" s="14" t="n">
        <f>IF(ISNUMBER(BU1121),BU1121,"")</f>
        <v>17</v>
      </c>
      <c r="CH1121" s="13" t="n">
        <f>IF(AND(COUNT(BV1121,CF1121,CG1121)=3,MIN(BV1121,CF1121,CG1121)&gt;=0),BV1121*CF1121*CG1121,"")</f>
        <v>9.213922115928897</v>
      </c>
      <c r="CI1121" s="13" t="n">
        <f>IF(COUNT(BY1121,CB1121,CE1121,CH1121)=4,SUM(BY1121,CB1121,CE1121,CH1121),"")</f>
        <v>42.60632467154794</v>
      </c>
    </row>
    <row r="1122" ht="72" customHeight="1">
      <c r="A1122" s="16" t="str">
        <v>S02-BKP-41</v>
      </c>
      <c r="B1122" s="16" t="str">
        <v>3店-SANDIEX-US</v>
      </c>
      <c r="C1122" s="16" t="str">
        <v>陈晨</v>
      </c>
      <c r="D1122" s="26" t="n">
        <f>IF(NOT(ISNUMBER(E1122)),"",IF(OR(E1122&lt;=0,L1122=0),0,IF(OR(NOT(ISNUMBER(F1122)),F1122&lt;0),"",MIN(E1122,INT(F1122)))))</f>
        <v>0</v>
      </c>
      <c r="E1122" s="27" t="n">
        <f>IF(OR(NOT(ISNUMBER(L1122)),COUNT(M1122:O1122)&lt;&gt;3,MIN(M1122:O1122)&lt;0),"",ROUNDUP(ROUND(BI1122-SUM(M1122:O1122),10),0))</f>
        <v>-44</v>
      </c>
      <c r="F1122" s="28" t="n">
        <v>39</v>
      </c>
      <c r="G1122" s="28" t="n">
        <f>IF(AND(ISNUMBER(D1122),ISNUMBER(E1122)),IF(OR(E1122&lt;=0,L1122=0),0,E1122-D1122),"")</f>
        <v>0</v>
      </c>
      <c r="H1122" s="16" t="str">
        <f>IF(NOT(ISNUMBER(E1122)),"销量或海外库存待补",IF(OR(E1122&lt;=0,L1122=0),IF(L1122=0,"零日销，本批不发","本批无需补货"),IF(NOT(ISNUMBER(D1122)),"国内库存待补",IF(D1122=0,"国内无可用库存",IF(G1122&gt;0,"先发国内现货","按建议量发货")))))</f>
        <v>本批无需补货</v>
      </c>
      <c r="I1122" s="28" t="n">
        <f>IF(AND(COUNT(Z1122,AA1122,AB1122)=3,Z1122&gt;=AA1122,AA1122&gt;=0,AB1122=7),Z1122-AA1122,"")</f>
        <v>0</v>
      </c>
      <c r="J1122" s="28" t="n">
        <f>IF(AND(COUNT(AF1122,AG1122,AH1122)=3,AF1122&gt;=AG1122,AG1122&gt;=0,AH1122=14),AF1122-AG1122,"")</f>
        <v>0</v>
      </c>
      <c r="K1122" s="28" t="n">
        <f>IF(AND(COUNT(AL1122,AM1122,AN1122)=3,AL1122&gt;=AM1122,AM1122&gt;=0,AN1122=30),AL1122-AM1122,"")</f>
        <v>1</v>
      </c>
      <c r="L1122" s="29" t="n">
        <f>IF(ISNUMBER(BI1122),BI1122/90,"")</f>
        <v>0.024926508188293155</v>
      </c>
      <c r="M1122" s="28" t="n">
        <v>46</v>
      </c>
      <c r="N1122" s="28" t="n">
        <v>0</v>
      </c>
      <c r="O1122" s="28" t="n">
        <v>0</v>
      </c>
      <c r="P1122" s="30" t="n">
        <f>IF(AND(ISNUMBER(L1122),L1122&gt;0,COUNT(M1122:O1122)=3,MIN(M1122:O1122)&gt;=0),SUM(M1122:O1122)/L1122,"")</f>
        <v>1845.4249449027964</v>
      </c>
      <c r="Q1122" s="16" t="str">
        <v>沿用原计划SKU店铺</v>
      </c>
      <c r="R1122" s="16" t="str">
        <v>已匹配</v>
      </c>
      <c r="S1122" s="16" t="str">
        <v>在售</v>
      </c>
      <c r="T1122" s="16" t="str">
        <v>S02</v>
      </c>
      <c r="U1122" s="16" t="str">
        <v>黑色PU</v>
      </c>
      <c r="V1122" s="16" t="n">
        <v>10</v>
      </c>
      <c r="W1122" s="8" t="str">
        <v>2026-10-11 至 2026-10-17</v>
      </c>
      <c r="X1122" s="8" t="str">
        <v>2026-10-11、2026-10-12、2026-10-13、2026-10-14、2026-10-15、2026-10-16、2026-10-17</v>
      </c>
      <c r="Y1122" s="8" t="str">
        <v>无</v>
      </c>
      <c r="Z1122" s="8" t="n">
        <v>0</v>
      </c>
      <c r="AA1122" s="8" t="n">
        <v>0</v>
      </c>
      <c r="AB1122" s="8" t="n">
        <v>7</v>
      </c>
      <c r="AC1122" s="8" t="str">
        <v>2026-10-02 至 2026-10-17</v>
      </c>
      <c r="AD1122" s="8" t="str">
        <v>2026-10-02、2026-10-03、2026-10-04、2026-10-05、2026-10-08、2026-10-09、2026-10-10、2026-10-11、2026-10-12、2026-10-13、2026-10-14、2026-10-15、2026-10-16、2026-10-17</v>
      </c>
      <c r="AE1122" s="8" t="str">
        <v>2026-10-06 大促；2026-10-07 大促</v>
      </c>
      <c r="AF1122" s="8" t="n">
        <v>0</v>
      </c>
      <c r="AG1122" s="8" t="n">
        <v>0</v>
      </c>
      <c r="AH1122" s="8" t="n">
        <v>14</v>
      </c>
      <c r="AI1122" s="8" t="str">
        <v>2026-09-16 至 2026-10-17</v>
      </c>
      <c r="AJ112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2" s="8" t="str">
        <v>2026-10-06 大促；2026-10-07 大促</v>
      </c>
      <c r="AL1122" s="8" t="n">
        <v>1</v>
      </c>
      <c r="AM1122" s="8" t="n">
        <v>0</v>
      </c>
      <c r="AN1122" s="8" t="n">
        <v>30</v>
      </c>
      <c r="AO1122" s="8" t="str">
        <v>S02 / 黑色PU / 6574</v>
      </c>
      <c r="AP1122" s="11" t="n">
        <v>0.9634503791704667</v>
      </c>
      <c r="AQ1122" s="11" t="n">
        <v>0.9634503791704667</v>
      </c>
      <c r="AR1122" s="11" t="n">
        <v>0.902244307144596</v>
      </c>
      <c r="AS1122" s="11" t="n">
        <f>IF(AND(COUNT(I1122:K1122,AP1122:AR1122)=6,MIN(AP1122:AR1122)&gt;0),I1122/7/AP1122*0.5+J1122/14/AQ1122*0.3+K1122/30/AR1122*0.2,"")</f>
        <v>0.007388981691405951</v>
      </c>
      <c r="AT1122" s="8" t="n">
        <v>1</v>
      </c>
      <c r="AU1122" s="8" t="n">
        <v>0</v>
      </c>
      <c r="AV1122" s="8" t="n">
        <v>88</v>
      </c>
      <c r="AW1122" s="11" t="n">
        <f>IF(AND(COUNT(AT1122:AV1122)=3,AT1122&gt;=AU1122,AU1122&gt;=0,AV1122&gt;0),(AT1122-AU1122)/AV1122,"")</f>
        <v>0.011363636363636364</v>
      </c>
      <c r="AX1122" s="8" t="n">
        <v>5</v>
      </c>
      <c r="AY1122" s="8" t="n">
        <v>0</v>
      </c>
      <c r="AZ1122" s="8" t="n">
        <v>178</v>
      </c>
      <c r="BA1122" s="11" t="n">
        <f>IF(AND(COUNT(AX1122:AZ1122)=3,AX1122&gt;=AY1122,AY1122&gt;=0,AZ1122&gt;0),(AX1122-AY1122)/AZ1122,"")</f>
        <v>0.028089887640449437</v>
      </c>
      <c r="BB1122" s="8" t="n">
        <f>IF(COUNT(AS1122,AW1122,BA1122)=3,1,0)</f>
        <v>1</v>
      </c>
      <c r="BC1122" s="11" t="n">
        <f>IF(SUMIF($AO$11:$AO$1309,AO1122,$BB$11:$BB$1309)=COUNTIF($AO$11:$AO$1309,AO1122),SUMIF($AO$11:$AO$1309,AO1122,$AS$11:$AS$1309),"")</f>
        <v>6.467825611843374</v>
      </c>
      <c r="BD1122" s="11" t="n">
        <f>IF(SUMIF($AO$11:$AO$1309,AO1122,$BB$11:$BB$1309)=COUNTIF($AO$11:$AO$1309,AO1122),SUMIF($AO$11:$AO$1309,AO1122,$AW$11:$AW$1309),"")</f>
        <v>4.170454545454546</v>
      </c>
      <c r="BE1122" s="11" t="n">
        <f>IF(SUMIF($AO$11:$AO$1309,AO1122,$BB$11:$BB$1309)=COUNTIF($AO$11:$AO$1309,AO1122),SUMIF($AO$11:$AO$1309,AO1122,$BA$11:$BA$1309),"")</f>
        <v>3.3820224719101124</v>
      </c>
      <c r="BF1122" s="12" t="n">
        <f>IF(COUNT(BD1122:BE1122)&lt;&gt;2,"",IF(AND(BD1122&gt;0,BE1122&gt;0),0.7*AW1122/BD1122+0.3*BA1122/BE1122,IF(BD1122&gt;0,AW1122/BD1122,IF(BE1122&gt;0,BA1122/BE1122,IF(AND(ISNUMBER(BH1122),BH1122=0),0,"")))))</f>
        <v>0.004399051300388351</v>
      </c>
      <c r="BG1122" s="11" t="n">
        <f>IF(AND(COUNT(BN1122:BU1122)=8,MIN(BN1122:BU1122)&gt;=0),SUMPRODUCT(BN1122:BQ1122,BR1122:BU1122),"")</f>
        <v>78.84726365280937</v>
      </c>
      <c r="BH1122" s="11" t="n">
        <f>IF(COUNT(BC1122,BG1122)=2,BC1122*BG1122,"")</f>
        <v>509.9703512774076</v>
      </c>
      <c r="BI1122" s="11" t="n">
        <f>IF(ISNUMBER(CI1122),CI1122,"")</f>
        <v>2.243385736946384</v>
      </c>
      <c r="BJ1122" s="8" t="str"/>
      <c r="BK1122" s="8" t="str">
        <v>90天：2026-07-20 至 2026-10-17；180天：2026-04-21 至 2026-10-17</v>
      </c>
      <c r="BL1122" s="8" t="str">
        <v>90天：2026-10-06、2026-10-07；180天：2026-10-06、2026-10-07</v>
      </c>
      <c r="BM1122" s="8" t="str">
        <v>2026-10：12天 × 0.9634503791704667；2026-11：30天 × 0.8585031562320637；2026-12：31天 × 0.7896606554092485；2027-01：17天 × 1.0030167116538329</v>
      </c>
      <c r="BN1122" s="11" t="n">
        <v>0.9634503791704667</v>
      </c>
      <c r="BO1122" s="11" t="n">
        <v>0.8585031562320637</v>
      </c>
      <c r="BP1122" s="11" t="n">
        <v>0.7896606554092485</v>
      </c>
      <c r="BQ1122" s="11" t="n">
        <v>1.0030167116538329</v>
      </c>
      <c r="BR1122" s="8" t="n">
        <v>12</v>
      </c>
      <c r="BS1122" s="8" t="n">
        <v>30</v>
      </c>
      <c r="BT1122" s="8" t="n">
        <v>31</v>
      </c>
      <c r="BU1122" s="8" t="n">
        <v>17</v>
      </c>
      <c r="BV1122" s="11" t="n">
        <f>IF(COUNT(BC1122,BF1122)=2,BC1122*BF1122,"")</f>
        <v>0.028452296668464674</v>
      </c>
      <c r="BW1122" s="11" t="n">
        <f>IF(ISNUMBER(BN1122),BN1122,"")</f>
        <v>0.9634503791704667</v>
      </c>
      <c r="BX1122" s="14" t="n">
        <f>IF(ISNUMBER(BR1122),BR1122,"")</f>
        <v>12</v>
      </c>
      <c r="BY1122" s="13" t="n">
        <f>IF(AND(COUNT(BV1122,BW1122,BX1122)=3,MIN(BV1122,BW1122,BX1122)&gt;=0),BV1122*BW1122*BX1122,"")</f>
        <v>0.3289485121620348</v>
      </c>
      <c r="BZ1122" s="11" t="n">
        <f>IF(ISNUMBER(BO1122),BO1122,"")</f>
        <v>0.8585031562320637</v>
      </c>
      <c r="CA1122" s="14" t="n">
        <f>IF(ISNUMBER(BS1122),BS1122,"")</f>
        <v>30</v>
      </c>
      <c r="CB1122" s="13" t="n">
        <f>IF(AND(COUNT(BV1122,BZ1122,CA1122)=3,MIN(BV1122,BZ1122,CA1122)&gt;=0),BV1122*BZ1122*CA1122,"")</f>
        <v>0.7327915947578386</v>
      </c>
      <c r="CC1122" s="11" t="n">
        <f>IF(ISNUMBER(BP1122),BP1122,"")</f>
        <v>0.7896606554092485</v>
      </c>
      <c r="CD1122" s="14" t="n">
        <f>IF(ISNUMBER(BT1122),BT1122,"")</f>
        <v>31</v>
      </c>
      <c r="CE1122" s="13" t="n">
        <f>IF(AND(COUNT(BV1122,CC1122,CD1122)=3,MIN(BV1122,CC1122,CD1122)&gt;=0),BV1122*CC1122*CD1122,"")</f>
        <v>0.6964974362886639</v>
      </c>
      <c r="CF1122" s="11" t="n">
        <f>IF(ISNUMBER(BQ1122),BQ1122,"")</f>
        <v>1.0030167116538329</v>
      </c>
      <c r="CG1122" s="14" t="n">
        <f>IF(ISNUMBER(BU1122),BU1122,"")</f>
        <v>17</v>
      </c>
      <c r="CH1122" s="13" t="n">
        <f>IF(AND(COUNT(BV1122,CF1122,CG1122)=3,MIN(BV1122,CF1122,CG1122)&gt;=0),BV1122*CF1122*CG1122,"")</f>
        <v>0.4851481937378466</v>
      </c>
      <c r="CI1122" s="13" t="n">
        <f>IF(COUNT(BY1122,CB1122,CE1122,CH1122)=4,SUM(BY1122,CB1122,CE1122,CH1122),"")</f>
        <v>2.243385736946384</v>
      </c>
    </row>
    <row r="1123" ht="72" customHeight="1">
      <c r="A1123" s="16" t="str">
        <v>S02-RG-39</v>
      </c>
      <c r="B1123" s="16" t="str">
        <v>3店-SANDIEX-US</v>
      </c>
      <c r="C1123" s="16" t="str">
        <v>陈晨</v>
      </c>
      <c r="D1123" s="26" t="n">
        <f>IF(NOT(ISNUMBER(E1123)),"",IF(OR(E1123&lt;=0,L1123=0),0,IF(OR(NOT(ISNUMBER(F1123)),F1123&lt;0),"",MIN(E1123,INT(F1123)))))</f>
        <v>0</v>
      </c>
      <c r="E1123" s="27" t="n">
        <f>IF(OR(NOT(ISNUMBER(L1123)),COUNT(M1123:O1123)&lt;&gt;3,MIN(M1123:O1123)&lt;0),"",ROUNDUP(ROUND(BI1123-SUM(M1123:O1123),10),0))</f>
        <v>-5</v>
      </c>
      <c r="F1123" s="28" t="n">
        <v>0</v>
      </c>
      <c r="G1123" s="28" t="n">
        <f>IF(AND(ISNUMBER(D1123),ISNUMBER(E1123)),IF(OR(E1123&lt;=0,L1123=0),0,E1123-D1123),"")</f>
        <v>0</v>
      </c>
      <c r="H1123" s="16" t="str">
        <f>IF(NOT(ISNUMBER(E1123)),"销量或海外库存待补",IF(OR(E1123&lt;=0,L1123=0),IF(L1123=0,"零日销，本批不发","本批无需补货"),IF(NOT(ISNUMBER(D1123)),"国内库存待补",IF(D1123=0,"国内无可用库存",IF(G1123&gt;0,"先发国内现货","按建议量发货")))))</f>
        <v>本批无需补货</v>
      </c>
      <c r="I1123" s="28" t="n">
        <f>IF(AND(COUNT(Z1123,AA1123,AB1123)=3,Z1123&gt;=AA1123,AA1123&gt;=0,AB1123=7),Z1123-AA1123,"")</f>
        <v>0</v>
      </c>
      <c r="J1123" s="28" t="n">
        <f>IF(AND(COUNT(AF1123,AG1123,AH1123)=3,AF1123&gt;=AG1123,AG1123&gt;=0,AH1123=14),AF1123-AG1123,"")</f>
        <v>0</v>
      </c>
      <c r="K1123" s="28" t="n">
        <f>IF(AND(COUNT(AL1123,AM1123,AN1123)=3,AL1123&gt;=AM1123,AM1123&gt;=0,AN1123=30),AL1123-AM1123,"")</f>
        <v>0</v>
      </c>
      <c r="L1123" s="29" t="n">
        <f>IF(ISNUMBER(BI1123),BI1123/90,"")</f>
        <v>0.015305169210644001</v>
      </c>
      <c r="M1123" s="28" t="n">
        <v>6</v>
      </c>
      <c r="N1123" s="28" t="n">
        <v>0</v>
      </c>
      <c r="O1123" s="28" t="n">
        <v>0</v>
      </c>
      <c r="P1123" s="30" t="n">
        <f>IF(AND(ISNUMBER(L1123),L1123&gt;0,COUNT(M1123:O1123)=3,MIN(M1123:O1123)&gt;=0),SUM(M1123:O1123)/L1123,"")</f>
        <v>392.0244145897643</v>
      </c>
      <c r="Q1123" s="16" t="str">
        <v>沿用原计划SKU店铺</v>
      </c>
      <c r="R1123" s="16" t="str">
        <v>已匹配</v>
      </c>
      <c r="S1123" s="16" t="str">
        <v>在售</v>
      </c>
      <c r="T1123" s="16" t="str">
        <v>S02</v>
      </c>
      <c r="U1123" s="16" t="str">
        <v>玫瑰金</v>
      </c>
      <c r="V1123" s="16" t="n">
        <v>8</v>
      </c>
      <c r="W1123" s="8" t="str">
        <v>2026-10-11 至 2026-10-17</v>
      </c>
      <c r="X1123" s="8" t="str">
        <v>2026-10-11、2026-10-12、2026-10-13、2026-10-14、2026-10-15、2026-10-16、2026-10-17</v>
      </c>
      <c r="Y1123" s="8" t="str">
        <v>无</v>
      </c>
      <c r="Z1123" s="8" t="n">
        <v>0</v>
      </c>
      <c r="AA1123" s="8" t="n">
        <v>0</v>
      </c>
      <c r="AB1123" s="8" t="n">
        <v>7</v>
      </c>
      <c r="AC1123" s="8" t="str">
        <v>2026-10-02 至 2026-10-17</v>
      </c>
      <c r="AD1123" s="8" t="str">
        <v>2026-10-02、2026-10-03、2026-10-04、2026-10-05、2026-10-08、2026-10-09、2026-10-10、2026-10-11、2026-10-12、2026-10-13、2026-10-14、2026-10-15、2026-10-16、2026-10-17</v>
      </c>
      <c r="AE1123" s="8" t="str">
        <v>2026-10-06 大促；2026-10-07 大促</v>
      </c>
      <c r="AF1123" s="8" t="n">
        <v>0</v>
      </c>
      <c r="AG1123" s="8" t="n">
        <v>0</v>
      </c>
      <c r="AH1123" s="8" t="n">
        <v>14</v>
      </c>
      <c r="AI1123" s="8" t="str">
        <v>2026-09-16 至 2026-10-17</v>
      </c>
      <c r="AJ112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3" s="8" t="str">
        <v>2026-10-06 大促；2026-10-07 大促</v>
      </c>
      <c r="AL1123" s="8" t="n">
        <v>0</v>
      </c>
      <c r="AM1123" s="8" t="n">
        <v>0</v>
      </c>
      <c r="AN1123" s="8" t="n">
        <v>30</v>
      </c>
      <c r="AO1123" s="8" t="str">
        <v>S02 / 玫瑰金 / 6574</v>
      </c>
      <c r="AP1123" s="11" t="n">
        <v>0.9634503791704667</v>
      </c>
      <c r="AQ1123" s="11" t="n">
        <v>0.9634503791704667</v>
      </c>
      <c r="AR1123" s="11" t="n">
        <v>0.902244307144596</v>
      </c>
      <c r="AS1123" s="11" t="n">
        <f>IF(AND(COUNT(I1123:K1123,AP1123:AR1123)=6,MIN(AP1123:AR1123)&gt;0),I1123/7/AP1123*0.5+J1123/14/AQ1123*0.3+K1123/30/AR1123*0.2,"")</f>
        <v>0</v>
      </c>
      <c r="AT1123" s="8" t="n">
        <v>1</v>
      </c>
      <c r="AU1123" s="8" t="n">
        <v>0</v>
      </c>
      <c r="AV1123" s="8" t="n">
        <v>88</v>
      </c>
      <c r="AW1123" s="11" t="n">
        <f>IF(AND(COUNT(AT1123:AV1123)=3,AT1123&gt;=AU1123,AU1123&gt;=0,AV1123&gt;0),(AT1123-AU1123)/AV1123,"")</f>
        <v>0.011363636363636364</v>
      </c>
      <c r="AX1123" s="8" t="n">
        <v>3</v>
      </c>
      <c r="AY1123" s="8" t="n">
        <v>0</v>
      </c>
      <c r="AZ1123" s="8" t="n">
        <v>178</v>
      </c>
      <c r="BA1123" s="11" t="n">
        <f>IF(AND(COUNT(AX1123:AZ1123)=3,AX1123&gt;=AY1123,AY1123&gt;=0,AZ1123&gt;0),(AX1123-AY1123)/AZ1123,"")</f>
        <v>0.016853932584269662</v>
      </c>
      <c r="BB1123" s="8" t="n">
        <f>IF(COUNT(AS1123,AW1123,BA1123)=3,1,0)</f>
        <v>1</v>
      </c>
      <c r="BC1123" s="11" t="n">
        <f>IF(SUMIF($AO$11:$AO$1309,AO1123,$BB$11:$BB$1309)=COUNTIF($AO$11:$AO$1309,AO1123),SUMIF($AO$11:$AO$1309,AO1123,$AS$11:$AS$1309),"")</f>
        <v>0.11854673262185791</v>
      </c>
      <c r="BD1123" s="11" t="n">
        <f>IF(SUMIF($AO$11:$AO$1309,AO1123,$BB$11:$BB$1309)=COUNTIF($AO$11:$AO$1309,AO1123),SUMIF($AO$11:$AO$1309,AO1123,$AW$11:$AW$1309),"")</f>
        <v>0.07954545454545454</v>
      </c>
      <c r="BE1123" s="11" t="n">
        <f>IF(SUMIF($AO$11:$AO$1309,AO1123,$BB$11:$BB$1309)=COUNTIF($AO$11:$AO$1309,AO1123),SUMIF($AO$11:$AO$1309,AO1123,$BA$11:$BA$1309),"")</f>
        <v>0.10674157303370786</v>
      </c>
      <c r="BF1123" s="12" t="n">
        <f>IF(COUNT(BD1123:BE1123)&lt;&gt;2,"",IF(AND(BD1123&gt;0,BE1123&gt;0),0.7*AW1123/BD1123+0.3*BA1123/BE1123,IF(BD1123&gt;0,AW1123/BD1123,IF(BE1123&gt;0,BA1123/BE1123,IF(AND(ISNUMBER(BH1123),BH1123=0),0,"")))))</f>
        <v>0.14736842105263157</v>
      </c>
      <c r="BG1123" s="11" t="n">
        <f>IF(AND(COUNT(BN1123:BU1123)=8,MIN(BN1123:BU1123)&gt;=0),SUMPRODUCT(BN1123:BQ1123,BR1123:BU1123),"")</f>
        <v>78.84726365280937</v>
      </c>
      <c r="BH1123" s="11" t="n">
        <f>IF(COUNT(BC1123,BG1123)=2,BC1123*BG1123,"")</f>
        <v>9.347085482214728</v>
      </c>
      <c r="BI1123" s="11" t="n">
        <f>IF(ISNUMBER(CI1123),CI1123,"")</f>
        <v>1.37746522895796</v>
      </c>
      <c r="BJ1123" s="8" t="str">
        <v>近180天本色销量55双（＜90），无有效新采购，请运营判断</v>
      </c>
      <c r="BK1123" s="8" t="str">
        <v>90天：2026-07-20 至 2026-10-17；180天：2026-04-21 至 2026-10-17</v>
      </c>
      <c r="BL1123" s="8" t="str">
        <v>90天：2026-10-06、2026-10-07；180天：2026-10-06、2026-10-07</v>
      </c>
      <c r="BM1123" s="8" t="str">
        <v>2026-10：12天 × 0.9634503791704667；2026-11：30天 × 0.8585031562320637；2026-12：31天 × 0.7896606554092485；2027-01：17天 × 1.0030167116538329</v>
      </c>
      <c r="BN1123" s="11" t="n">
        <v>0.9634503791704667</v>
      </c>
      <c r="BO1123" s="11" t="n">
        <v>0.8585031562320637</v>
      </c>
      <c r="BP1123" s="11" t="n">
        <v>0.7896606554092485</v>
      </c>
      <c r="BQ1123" s="11" t="n">
        <v>1.0030167116538329</v>
      </c>
      <c r="BR1123" s="8" t="n">
        <v>12</v>
      </c>
      <c r="BS1123" s="8" t="n">
        <v>30</v>
      </c>
      <c r="BT1123" s="8" t="n">
        <v>31</v>
      </c>
      <c r="BU1123" s="8" t="n">
        <v>17</v>
      </c>
      <c r="BV1123" s="11" t="n">
        <f>IF(COUNT(BC1123,BF1123)=2,BC1123*BF1123,"")</f>
        <v>0.01747004480743169</v>
      </c>
      <c r="BW1123" s="11" t="n">
        <f>IF(ISNUMBER(BN1123),BN1123,"")</f>
        <v>0.9634503791704667</v>
      </c>
      <c r="BX1123" s="14" t="n">
        <f>IF(ISNUMBER(BR1123),BR1123,"")</f>
        <v>12</v>
      </c>
      <c r="BY1123" s="13" t="n">
        <f>IF(AND(COUNT(BV1123,BW1123,BX1123)=3,MIN(BV1123,BW1123,BX1123)&gt;=0),BV1123*BW1123*BX1123,"")</f>
        <v>0.2019782555261413</v>
      </c>
      <c r="BZ1123" s="11" t="n">
        <f>IF(ISNUMBER(BO1123),BO1123,"")</f>
        <v>0.8585031562320637</v>
      </c>
      <c r="CA1123" s="14" t="n">
        <f>IF(ISNUMBER(BS1123),BS1123,"")</f>
        <v>30</v>
      </c>
      <c r="CB1123" s="13" t="n">
        <f>IF(AND(COUNT(BV1123,BZ1123,CA1123)=3,MIN(BV1123,BZ1123,CA1123)&gt;=0),BV1123*BZ1123*CA1123,"")</f>
        <v>0.4499426582008705</v>
      </c>
      <c r="CC1123" s="11" t="n">
        <f>IF(ISNUMBER(BP1123),BP1123,"")</f>
        <v>0.7896606554092485</v>
      </c>
      <c r="CD1123" s="14" t="n">
        <f>IF(ISNUMBER(BT1123),BT1123,"")</f>
        <v>31</v>
      </c>
      <c r="CE1123" s="13" t="n">
        <f>IF(AND(COUNT(BV1123,CC1123,CD1123)=3,MIN(BV1123,CC1123,CD1123)&gt;=0),BV1123*CC1123*CD1123,"")</f>
        <v>0.42765761801262886</v>
      </c>
      <c r="CF1123" s="11" t="n">
        <f>IF(ISNUMBER(BQ1123),BQ1123,"")</f>
        <v>1.0030167116538329</v>
      </c>
      <c r="CG1123" s="14" t="n">
        <f>IF(ISNUMBER(BU1123),BU1123,"")</f>
        <v>17</v>
      </c>
      <c r="CH1123" s="13" t="n">
        <f>IF(AND(COUNT(BV1123,CF1123,CG1123)=3,MIN(BV1123,CF1123,CG1123)&gt;=0),BV1123*CF1123*CG1123,"")</f>
        <v>0.2978866972183193</v>
      </c>
      <c r="CI1123" s="13" t="n">
        <f>IF(COUNT(BY1123,CB1123,CE1123,CH1123)=4,SUM(BY1123,CB1123,CE1123,CH1123),"")</f>
        <v>1.37746522895796</v>
      </c>
    </row>
    <row r="1124" ht="72" customHeight="1">
      <c r="A1124" s="16" t="str">
        <v>S02-RG1-37</v>
      </c>
      <c r="B1124" s="16" t="str">
        <v>3店-SANDIEX-US</v>
      </c>
      <c r="C1124" s="16" t="str">
        <v>陈晨</v>
      </c>
      <c r="D1124" s="26" t="n">
        <f>IF(NOT(ISNUMBER(E1124)),"",IF(OR(E1124&lt;=0,L1124=0),0,IF(OR(NOT(ISNUMBER(F1124)),F1124&lt;0),"",MIN(E1124,INT(F1124)))))</f>
        <v>0</v>
      </c>
      <c r="E1124" s="27" t="n">
        <f>IF(OR(NOT(ISNUMBER(L1124)),COUNT(M1124:O1124)&lt;&gt;3,MIN(M1124:O1124)&lt;0),"",ROUNDUP(ROUND(BI1124-SUM(M1124:O1124),10),0))</f>
        <v>-14</v>
      </c>
      <c r="F1124" s="28" t="n">
        <v>0</v>
      </c>
      <c r="G1124" s="28" t="n">
        <f>IF(AND(ISNUMBER(D1124),ISNUMBER(E1124)),IF(OR(E1124&lt;=0,L1124=0),0,E1124-D1124),"")</f>
        <v>0</v>
      </c>
      <c r="H1124" s="16" t="str">
        <f>IF(NOT(ISNUMBER(E1124)),"销量或海外库存待补",IF(OR(E1124&lt;=0,L1124=0),IF(L1124=0,"零日销，本批不发","本批无需补货"),IF(NOT(ISNUMBER(D1124)),"国内库存待补",IF(D1124=0,"国内无可用库存",IF(G1124&gt;0,"先发国内现货","按建议量发货")))))</f>
        <v>零日销，本批不发</v>
      </c>
      <c r="I1124" s="28" t="n">
        <f>IF(AND(COUNT(Z1124,AA1124,AB1124)=3,Z1124&gt;=AA1124,AA1124&gt;=0,AB1124=7),Z1124-AA1124,"")</f>
        <v>0</v>
      </c>
      <c r="J1124" s="28" t="n">
        <f>IF(AND(COUNT(AF1124,AG1124,AH1124)=3,AF1124&gt;=AG1124,AG1124&gt;=0,AH1124=14),AF1124-AG1124,"")</f>
        <v>0</v>
      </c>
      <c r="K1124" s="28" t="n">
        <f>IF(AND(COUNT(AL1124,AM1124,AN1124)=3,AL1124&gt;=AM1124,AM1124&gt;=0,AN1124=30),AL1124-AM1124,"")</f>
        <v>0</v>
      </c>
      <c r="L1124" s="29" t="n">
        <f>IF(ISNUMBER(BI1124),BI1124/90,"")</f>
        <v>0</v>
      </c>
      <c r="M1124" s="28" t="n">
        <v>14</v>
      </c>
      <c r="N1124" s="28" t="n">
        <v>0</v>
      </c>
      <c r="O1124" s="28" t="n">
        <v>0</v>
      </c>
      <c r="P1124" s="30" t="str">
        <f>IF(AND(ISNUMBER(L1124),L1124&gt;0,COUNT(M1124:O1124)=3,MIN(M1124:O1124)&gt;=0),SUM(M1124:O1124)/L1124,"")</f>
      </c>
      <c r="Q1124" s="16" t="str">
        <v>沿用原计划SKU店铺</v>
      </c>
      <c r="R1124" s="16" t="str">
        <v>已匹配</v>
      </c>
      <c r="S1124" s="16" t="str">
        <v>在售</v>
      </c>
      <c r="T1124" s="16" t="str">
        <v>S02</v>
      </c>
      <c r="U1124" s="16" t="str">
        <v>玫瑰金</v>
      </c>
      <c r="V1124" s="16" t="n">
        <v>6.5</v>
      </c>
      <c r="W1124" s="8" t="str">
        <v>2026-10-11 至 2026-10-17</v>
      </c>
      <c r="X1124" s="8" t="str">
        <v>2026-10-11、2026-10-12、2026-10-13、2026-10-14、2026-10-15、2026-10-16、2026-10-17</v>
      </c>
      <c r="Y1124" s="8" t="str">
        <v>无</v>
      </c>
      <c r="Z1124" s="8" t="n">
        <v>0</v>
      </c>
      <c r="AA1124" s="8" t="n">
        <v>0</v>
      </c>
      <c r="AB1124" s="8" t="n">
        <v>7</v>
      </c>
      <c r="AC1124" s="8" t="str">
        <v>2026-10-02 至 2026-10-17</v>
      </c>
      <c r="AD1124" s="8" t="str">
        <v>2026-10-02、2026-10-03、2026-10-04、2026-10-05、2026-10-08、2026-10-09、2026-10-10、2026-10-11、2026-10-12、2026-10-13、2026-10-14、2026-10-15、2026-10-16、2026-10-17</v>
      </c>
      <c r="AE1124" s="8" t="str">
        <v>2026-10-06 大促；2026-10-07 大促</v>
      </c>
      <c r="AF1124" s="8" t="n">
        <v>0</v>
      </c>
      <c r="AG1124" s="8" t="n">
        <v>0</v>
      </c>
      <c r="AH1124" s="8" t="n">
        <v>14</v>
      </c>
      <c r="AI1124" s="8" t="str">
        <v>2026-09-16 至 2026-10-17</v>
      </c>
      <c r="AJ112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4" s="8" t="str">
        <v>2026-10-06 大促；2026-10-07 大促</v>
      </c>
      <c r="AL1124" s="8" t="n">
        <v>0</v>
      </c>
      <c r="AM1124" s="8" t="n">
        <v>0</v>
      </c>
      <c r="AN1124" s="8" t="n">
        <v>30</v>
      </c>
      <c r="AO1124" s="8" t="str">
        <v>S02 / 玫瑰金 / 6574</v>
      </c>
      <c r="AP1124" s="11" t="n">
        <v>0.9634503791704667</v>
      </c>
      <c r="AQ1124" s="11" t="n">
        <v>0.9634503791704667</v>
      </c>
      <c r="AR1124" s="11" t="n">
        <v>0.902244307144596</v>
      </c>
      <c r="AS1124" s="11" t="n">
        <f>IF(AND(COUNT(I1124:K1124,AP1124:AR1124)=6,MIN(AP1124:AR1124)&gt;0),I1124/7/AP1124*0.5+J1124/14/AQ1124*0.3+K1124/30/AR1124*0.2,"")</f>
        <v>0</v>
      </c>
      <c r="AT1124" s="8" t="n">
        <v>0</v>
      </c>
      <c r="AU1124" s="8" t="n">
        <v>0</v>
      </c>
      <c r="AV1124" s="8" t="n">
        <v>88</v>
      </c>
      <c r="AW1124" s="11" t="n">
        <f>IF(AND(COUNT(AT1124:AV1124)=3,AT1124&gt;=AU1124,AU1124&gt;=0,AV1124&gt;0),(AT1124-AU1124)/AV1124,"")</f>
        <v>0</v>
      </c>
      <c r="AX1124" s="8" t="n">
        <v>0</v>
      </c>
      <c r="AY1124" s="8" t="n">
        <v>0</v>
      </c>
      <c r="AZ1124" s="8" t="n">
        <v>178</v>
      </c>
      <c r="BA1124" s="11" t="n">
        <f>IF(AND(COUNT(AX1124:AZ1124)=3,AX1124&gt;=AY1124,AY1124&gt;=0,AZ1124&gt;0),(AX1124-AY1124)/AZ1124,"")</f>
        <v>0</v>
      </c>
      <c r="BB1124" s="8" t="n">
        <f>IF(COUNT(AS1124,AW1124,BA1124)=3,1,0)</f>
        <v>1</v>
      </c>
      <c r="BC1124" s="11" t="n">
        <f>IF(SUMIF($AO$11:$AO$1309,AO1124,$BB$11:$BB$1309)=COUNTIF($AO$11:$AO$1309,AO1124),SUMIF($AO$11:$AO$1309,AO1124,$AS$11:$AS$1309),"")</f>
        <v>0.11854673262185791</v>
      </c>
      <c r="BD1124" s="11" t="n">
        <f>IF(SUMIF($AO$11:$AO$1309,AO1124,$BB$11:$BB$1309)=COUNTIF($AO$11:$AO$1309,AO1124),SUMIF($AO$11:$AO$1309,AO1124,$AW$11:$AW$1309),"")</f>
        <v>0.07954545454545454</v>
      </c>
      <c r="BE1124" s="11" t="n">
        <f>IF(SUMIF($AO$11:$AO$1309,AO1124,$BB$11:$BB$1309)=COUNTIF($AO$11:$AO$1309,AO1124),SUMIF($AO$11:$AO$1309,AO1124,$BA$11:$BA$1309),"")</f>
        <v>0.10674157303370786</v>
      </c>
      <c r="BF1124" s="12" t="n">
        <f>IF(COUNT(BD1124:BE1124)&lt;&gt;2,"",IF(AND(BD1124&gt;0,BE1124&gt;0),0.7*AW1124/BD1124+0.3*BA1124/BE1124,IF(BD1124&gt;0,AW1124/BD1124,IF(BE1124&gt;0,BA1124/BE1124,IF(AND(ISNUMBER(BH1124),BH1124=0),0,"")))))</f>
        <v>0</v>
      </c>
      <c r="BG1124" s="11" t="n">
        <f>IF(AND(COUNT(BN1124:BU1124)=8,MIN(BN1124:BU1124)&gt;=0),SUMPRODUCT(BN1124:BQ1124,BR1124:BU1124),"")</f>
        <v>78.84726365280937</v>
      </c>
      <c r="BH1124" s="11" t="n">
        <f>IF(COUNT(BC1124,BG1124)=2,BC1124*BG1124,"")</f>
        <v>9.347085482214728</v>
      </c>
      <c r="BI1124" s="11" t="n">
        <f>IF(ISNUMBER(CI1124),CI1124,"")</f>
        <v>0</v>
      </c>
      <c r="BJ1124" s="8" t="str">
        <v>近180天本色销量55双（＜90），无有效新采购，请运营判断</v>
      </c>
      <c r="BK1124" s="8" t="str">
        <v>90天：2026-07-20 至 2026-10-17；180天：2026-04-21 至 2026-10-17</v>
      </c>
      <c r="BL1124" s="8" t="str">
        <v>90天：2026-10-06、2026-10-07；180天：2026-10-06、2026-10-07</v>
      </c>
      <c r="BM1124" s="8" t="str">
        <v>2026-10：12天 × 0.9634503791704667；2026-11：30天 × 0.8585031562320637；2026-12：31天 × 0.7896606554092485；2027-01：17天 × 1.0030167116538329</v>
      </c>
      <c r="BN1124" s="11" t="n">
        <v>0.9634503791704667</v>
      </c>
      <c r="BO1124" s="11" t="n">
        <v>0.8585031562320637</v>
      </c>
      <c r="BP1124" s="11" t="n">
        <v>0.7896606554092485</v>
      </c>
      <c r="BQ1124" s="11" t="n">
        <v>1.0030167116538329</v>
      </c>
      <c r="BR1124" s="8" t="n">
        <v>12</v>
      </c>
      <c r="BS1124" s="8" t="n">
        <v>30</v>
      </c>
      <c r="BT1124" s="8" t="n">
        <v>31</v>
      </c>
      <c r="BU1124" s="8" t="n">
        <v>17</v>
      </c>
      <c r="BV1124" s="11" t="n">
        <f>IF(COUNT(BC1124,BF1124)=2,BC1124*BF1124,"")</f>
        <v>0</v>
      </c>
      <c r="BW1124" s="11" t="n">
        <f>IF(ISNUMBER(BN1124),BN1124,"")</f>
        <v>0.9634503791704667</v>
      </c>
      <c r="BX1124" s="14" t="n">
        <f>IF(ISNUMBER(BR1124),BR1124,"")</f>
        <v>12</v>
      </c>
      <c r="BY1124" s="13" t="n">
        <f>IF(AND(COUNT(BV1124,BW1124,BX1124)=3,MIN(BV1124,BW1124,BX1124)&gt;=0),BV1124*BW1124*BX1124,"")</f>
        <v>0</v>
      </c>
      <c r="BZ1124" s="11" t="n">
        <f>IF(ISNUMBER(BO1124),BO1124,"")</f>
        <v>0.8585031562320637</v>
      </c>
      <c r="CA1124" s="14" t="n">
        <f>IF(ISNUMBER(BS1124),BS1124,"")</f>
        <v>30</v>
      </c>
      <c r="CB1124" s="13" t="n">
        <f>IF(AND(COUNT(BV1124,BZ1124,CA1124)=3,MIN(BV1124,BZ1124,CA1124)&gt;=0),BV1124*BZ1124*CA1124,"")</f>
        <v>0</v>
      </c>
      <c r="CC1124" s="11" t="n">
        <f>IF(ISNUMBER(BP1124),BP1124,"")</f>
        <v>0.7896606554092485</v>
      </c>
      <c r="CD1124" s="14" t="n">
        <f>IF(ISNUMBER(BT1124),BT1124,"")</f>
        <v>31</v>
      </c>
      <c r="CE1124" s="13" t="n">
        <f>IF(AND(COUNT(BV1124,CC1124,CD1124)=3,MIN(BV1124,CC1124,CD1124)&gt;=0),BV1124*CC1124*CD1124,"")</f>
        <v>0</v>
      </c>
      <c r="CF1124" s="11" t="n">
        <f>IF(ISNUMBER(BQ1124),BQ1124,"")</f>
        <v>1.0030167116538329</v>
      </c>
      <c r="CG1124" s="14" t="n">
        <f>IF(ISNUMBER(BU1124),BU1124,"")</f>
        <v>17</v>
      </c>
      <c r="CH1124" s="13" t="n">
        <f>IF(AND(COUNT(BV1124,CF1124,CG1124)=3,MIN(BV1124,CF1124,CG1124)&gt;=0),BV1124*CF1124*CG1124,"")</f>
        <v>0</v>
      </c>
      <c r="CI1124" s="13" t="n">
        <f>IF(COUNT(BY1124,CB1124,CE1124,CH1124)=4,SUM(BY1124,CB1124,CE1124,CH1124),"")</f>
        <v>0</v>
      </c>
    </row>
    <row r="1125" ht="72" customHeight="1">
      <c r="A1125" s="16" t="str">
        <v>S02-RG1-40</v>
      </c>
      <c r="B1125" s="16" t="str">
        <v>3店-SANDIEX-US</v>
      </c>
      <c r="C1125" s="16" t="str">
        <v>陈晨</v>
      </c>
      <c r="D1125" s="26" t="n">
        <f>IF(NOT(ISNUMBER(E1125)),"",IF(OR(E1125&lt;=0,L1125=0),0,IF(OR(NOT(ISNUMBER(F1125)),F1125&lt;0),"",MIN(E1125,INT(F1125)))))</f>
        <v>0</v>
      </c>
      <c r="E1125" s="27" t="n">
        <f>IF(OR(NOT(ISNUMBER(L1125)),COUNT(M1125:O1125)&lt;&gt;3,MIN(M1125:O1125)&lt;0),"",ROUNDUP(ROUND(BI1125-SUM(M1125:O1125),10),0))</f>
        <v>-7</v>
      </c>
      <c r="F1125" s="28" t="n">
        <v>1</v>
      </c>
      <c r="G1125" s="28" t="n">
        <f>IF(AND(ISNUMBER(D1125),ISNUMBER(E1125)),IF(OR(E1125&lt;=0,L1125=0),0,E1125-D1125),"")</f>
        <v>0</v>
      </c>
      <c r="H1125" s="16" t="str">
        <f>IF(NOT(ISNUMBER(E1125)),"销量或海外库存待补",IF(OR(E1125&lt;=0,L1125=0),IF(L1125=0,"零日销，本批不发","本批无需补货"),IF(NOT(ISNUMBER(D1125)),"国内库存待补",IF(D1125=0,"国内无可用库存",IF(G1125&gt;0,"先发国内现货","按建议量发货")))))</f>
        <v>本批无需补货</v>
      </c>
      <c r="I1125" s="28" t="n">
        <f>IF(AND(COUNT(Z1125,AA1125,AB1125)=3,Z1125&gt;=AA1125,AA1125&gt;=0,AB1125=7),Z1125-AA1125,"")</f>
        <v>0</v>
      </c>
      <c r="J1125" s="28" t="n">
        <f>IF(AND(COUNT(AF1125,AG1125,AH1125)=3,AF1125&gt;=AG1125,AG1125&gt;=0,AH1125=14),AF1125-AG1125,"")</f>
        <v>0</v>
      </c>
      <c r="K1125" s="28" t="n">
        <f>IF(AND(COUNT(AL1125,AM1125,AN1125)=3,AL1125&gt;=AM1125,AM1125&gt;=0,AN1125=30),AL1125-AM1125,"")</f>
        <v>0</v>
      </c>
      <c r="L1125" s="29" t="n">
        <f>IF(ISNUMBER(BI1125),BI1125/90,"")</f>
        <v>0.006559358233133144</v>
      </c>
      <c r="M1125" s="28" t="n">
        <v>7</v>
      </c>
      <c r="N1125" s="28" t="n">
        <v>0</v>
      </c>
      <c r="O1125" s="28" t="n">
        <v>0</v>
      </c>
      <c r="P1125" s="30" t="n">
        <f>IF(AND(ISNUMBER(L1125),L1125&gt;0,COUNT(M1125:O1125)=3,MIN(M1125:O1125)&gt;=0),SUM(M1125:O1125)/L1125,"")</f>
        <v>1067.177573049914</v>
      </c>
      <c r="Q1125" s="16" t="str">
        <v>沿用原计划SKU店铺</v>
      </c>
      <c r="R1125" s="16" t="str">
        <v>已匹配</v>
      </c>
      <c r="S1125" s="16" t="str">
        <v>在售</v>
      </c>
      <c r="T1125" s="16" t="str">
        <v>S02</v>
      </c>
      <c r="U1125" s="16" t="str">
        <v>玫瑰金</v>
      </c>
      <c r="V1125" s="16" t="n">
        <v>8.5</v>
      </c>
      <c r="W1125" s="8" t="str">
        <v>2026-10-11 至 2026-10-17</v>
      </c>
      <c r="X1125" s="8" t="str">
        <v>2026-10-11、2026-10-12、2026-10-13、2026-10-14、2026-10-15、2026-10-16、2026-10-17</v>
      </c>
      <c r="Y1125" s="8" t="str">
        <v>无</v>
      </c>
      <c r="Z1125" s="8" t="n">
        <v>0</v>
      </c>
      <c r="AA1125" s="8" t="n">
        <v>0</v>
      </c>
      <c r="AB1125" s="8" t="n">
        <v>7</v>
      </c>
      <c r="AC1125" s="8" t="str">
        <v>2026-10-02 至 2026-10-17</v>
      </c>
      <c r="AD1125" s="8" t="str">
        <v>2026-10-02、2026-10-03、2026-10-04、2026-10-05、2026-10-08、2026-10-09、2026-10-10、2026-10-11、2026-10-12、2026-10-13、2026-10-14、2026-10-15、2026-10-16、2026-10-17</v>
      </c>
      <c r="AE1125" s="8" t="str">
        <v>2026-10-06 大促；2026-10-07 大促</v>
      </c>
      <c r="AF1125" s="8" t="n">
        <v>0</v>
      </c>
      <c r="AG1125" s="8" t="n">
        <v>0</v>
      </c>
      <c r="AH1125" s="8" t="n">
        <v>14</v>
      </c>
      <c r="AI1125" s="8" t="str">
        <v>2026-09-16 至 2026-10-17</v>
      </c>
      <c r="AJ112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5" s="8" t="str">
        <v>2026-10-06 大促；2026-10-07 大促</v>
      </c>
      <c r="AL1125" s="8" t="n">
        <v>0</v>
      </c>
      <c r="AM1125" s="8" t="n">
        <v>0</v>
      </c>
      <c r="AN1125" s="8" t="n">
        <v>30</v>
      </c>
      <c r="AO1125" s="8" t="str">
        <v>S02 / 玫瑰金 / 6574</v>
      </c>
      <c r="AP1125" s="11" t="n">
        <v>0.9634503791704667</v>
      </c>
      <c r="AQ1125" s="11" t="n">
        <v>0.9634503791704667</v>
      </c>
      <c r="AR1125" s="11" t="n">
        <v>0.902244307144596</v>
      </c>
      <c r="AS1125" s="11" t="n">
        <f>IF(AND(COUNT(I1125:K1125,AP1125:AR1125)=6,MIN(AP1125:AR1125)&gt;0),I1125/7/AP1125*0.5+J1125/14/AQ1125*0.3+K1125/30/AR1125*0.2,"")</f>
        <v>0</v>
      </c>
      <c r="AT1125" s="8" t="n">
        <v>0</v>
      </c>
      <c r="AU1125" s="8" t="n">
        <v>0</v>
      </c>
      <c r="AV1125" s="8" t="n">
        <v>88</v>
      </c>
      <c r="AW1125" s="11" t="n">
        <f>IF(AND(COUNT(AT1125:AV1125)=3,AT1125&gt;=AU1125,AU1125&gt;=0,AV1125&gt;0),(AT1125-AU1125)/AV1125,"")</f>
        <v>0</v>
      </c>
      <c r="AX1125" s="8" t="n">
        <v>4</v>
      </c>
      <c r="AY1125" s="8" t="n">
        <v>0</v>
      </c>
      <c r="AZ1125" s="8" t="n">
        <v>178</v>
      </c>
      <c r="BA1125" s="11" t="n">
        <f>IF(AND(COUNT(AX1125:AZ1125)=3,AX1125&gt;=AY1125,AY1125&gt;=0,AZ1125&gt;0),(AX1125-AY1125)/AZ1125,"")</f>
        <v>0.02247191011235955</v>
      </c>
      <c r="BB1125" s="8" t="n">
        <f>IF(COUNT(AS1125,AW1125,BA1125)=3,1,0)</f>
        <v>1</v>
      </c>
      <c r="BC1125" s="11" t="n">
        <f>IF(SUMIF($AO$11:$AO$1309,AO1125,$BB$11:$BB$1309)=COUNTIF($AO$11:$AO$1309,AO1125),SUMIF($AO$11:$AO$1309,AO1125,$AS$11:$AS$1309),"")</f>
        <v>0.11854673262185791</v>
      </c>
      <c r="BD1125" s="11" t="n">
        <f>IF(SUMIF($AO$11:$AO$1309,AO1125,$BB$11:$BB$1309)=COUNTIF($AO$11:$AO$1309,AO1125),SUMIF($AO$11:$AO$1309,AO1125,$AW$11:$AW$1309),"")</f>
        <v>0.07954545454545454</v>
      </c>
      <c r="BE1125" s="11" t="n">
        <f>IF(SUMIF($AO$11:$AO$1309,AO1125,$BB$11:$BB$1309)=COUNTIF($AO$11:$AO$1309,AO1125),SUMIF($AO$11:$AO$1309,AO1125,$BA$11:$BA$1309),"")</f>
        <v>0.10674157303370786</v>
      </c>
      <c r="BF1125" s="12" t="n">
        <f>IF(COUNT(BD1125:BE1125)&lt;&gt;2,"",IF(AND(BD1125&gt;0,BE1125&gt;0),0.7*AW1125/BD1125+0.3*BA1125/BE1125,IF(BD1125&gt;0,AW1125/BD1125,IF(BE1125&gt;0,BA1125/BE1125,IF(AND(ISNUMBER(BH1125),BH1125=0),0,"")))))</f>
        <v>0.06315789473684211</v>
      </c>
      <c r="BG1125" s="11" t="n">
        <f>IF(AND(COUNT(BN1125:BU1125)=8,MIN(BN1125:BU1125)&gt;=0),SUMPRODUCT(BN1125:BQ1125,BR1125:BU1125),"")</f>
        <v>78.84726365280937</v>
      </c>
      <c r="BH1125" s="11" t="n">
        <f>IF(COUNT(BC1125,BG1125)=2,BC1125*BG1125,"")</f>
        <v>9.347085482214728</v>
      </c>
      <c r="BI1125" s="11" t="n">
        <f>IF(ISNUMBER(CI1125),CI1125,"")</f>
        <v>0.590342240981983</v>
      </c>
      <c r="BJ1125" s="8" t="str">
        <v>近180天本色销量55双（＜90），无有效新采购，请运营判断</v>
      </c>
      <c r="BK1125" s="8" t="str">
        <v>90天：2026-07-20 至 2026-10-17；180天：2026-04-21 至 2026-10-17</v>
      </c>
      <c r="BL1125" s="8" t="str">
        <v>90天：2026-10-06、2026-10-07；180天：2026-10-06、2026-10-07</v>
      </c>
      <c r="BM1125" s="8" t="str">
        <v>2026-10：12天 × 0.9634503791704667；2026-11：30天 × 0.8585031562320637；2026-12：31天 × 0.7896606554092485；2027-01：17天 × 1.0030167116538329</v>
      </c>
      <c r="BN1125" s="11" t="n">
        <v>0.9634503791704667</v>
      </c>
      <c r="BO1125" s="11" t="n">
        <v>0.8585031562320637</v>
      </c>
      <c r="BP1125" s="11" t="n">
        <v>0.7896606554092485</v>
      </c>
      <c r="BQ1125" s="11" t="n">
        <v>1.0030167116538329</v>
      </c>
      <c r="BR1125" s="8" t="n">
        <v>12</v>
      </c>
      <c r="BS1125" s="8" t="n">
        <v>30</v>
      </c>
      <c r="BT1125" s="8" t="n">
        <v>31</v>
      </c>
      <c r="BU1125" s="8" t="n">
        <v>17</v>
      </c>
      <c r="BV1125" s="11" t="n">
        <f>IF(COUNT(BC1125,BF1125)=2,BC1125*BF1125,"")</f>
        <v>0.007487162060327869</v>
      </c>
      <c r="BW1125" s="11" t="n">
        <f>IF(ISNUMBER(BN1125),BN1125,"")</f>
        <v>0.9634503791704667</v>
      </c>
      <c r="BX1125" s="14" t="n">
        <f>IF(ISNUMBER(BR1125),BR1125,"")</f>
        <v>12</v>
      </c>
      <c r="BY1125" s="13" t="n">
        <f>IF(AND(COUNT(BV1125,BW1125,BX1125)=3,MIN(BV1125,BW1125,BX1125)&gt;=0),BV1125*BW1125*BX1125,"")</f>
        <v>0.08656210951120343</v>
      </c>
      <c r="BZ1125" s="11" t="n">
        <f>IF(ISNUMBER(BO1125),BO1125,"")</f>
        <v>0.8585031562320637</v>
      </c>
      <c r="CA1125" s="14" t="n">
        <f>IF(ISNUMBER(BS1125),BS1125,"")</f>
        <v>30</v>
      </c>
      <c r="CB1125" s="13" t="n">
        <f>IF(AND(COUNT(BV1125,BZ1125,CA1125)=3,MIN(BV1125,BZ1125,CA1125)&gt;=0),BV1125*BZ1125*CA1125,"")</f>
        <v>0.1928325678003731</v>
      </c>
      <c r="CC1125" s="11" t="n">
        <f>IF(ISNUMBER(BP1125),BP1125,"")</f>
        <v>0.7896606554092485</v>
      </c>
      <c r="CD1125" s="14" t="n">
        <f>IF(ISNUMBER(BT1125),BT1125,"")</f>
        <v>31</v>
      </c>
      <c r="CE1125" s="13" t="n">
        <f>IF(AND(COUNT(BV1125,CC1125,CD1125)=3,MIN(BV1125,CC1125,CD1125)&gt;=0),BV1125*CC1125*CD1125,"")</f>
        <v>0.18328183629112668</v>
      </c>
      <c r="CF1125" s="11" t="n">
        <f>IF(ISNUMBER(BQ1125),BQ1125,"")</f>
        <v>1.0030167116538329</v>
      </c>
      <c r="CG1125" s="14" t="n">
        <f>IF(ISNUMBER(BU1125),BU1125,"")</f>
        <v>17</v>
      </c>
      <c r="CH1125" s="13" t="n">
        <f>IF(AND(COUNT(BV1125,CF1125,CG1125)=3,MIN(BV1125,CF1125,CG1125)&gt;=0),BV1125*CF1125*CG1125,"")</f>
        <v>0.12766572737927973</v>
      </c>
      <c r="CI1125" s="13" t="n">
        <f>IF(COUNT(BY1125,CB1125,CE1125,CH1125)=4,SUM(BY1125,CB1125,CE1125,CH1125),"")</f>
        <v>0.590342240981983</v>
      </c>
    </row>
    <row r="1126" ht="72" customHeight="1">
      <c r="A1126" s="16" t="str">
        <v>S02-SP-37</v>
      </c>
      <c r="B1126" s="16" t="str">
        <v>3店-SANDIEX-US</v>
      </c>
      <c r="C1126" s="16" t="str">
        <v>陈晨</v>
      </c>
      <c r="D1126" s="26" t="n">
        <f>IF(NOT(ISNUMBER(E1126)),"",IF(OR(E1126&lt;=0,L1126=0),0,IF(OR(NOT(ISNUMBER(F1126)),F1126&lt;0),"",MIN(E1126,INT(F1126)))))</f>
        <v>0</v>
      </c>
      <c r="E1126" s="27" t="n">
        <f>IF(OR(NOT(ISNUMBER(L1126)),COUNT(M1126:O1126)&lt;&gt;3,MIN(M1126:O1126)&lt;0),"",ROUNDUP(ROUND(BI1126-SUM(M1126:O1126),10),0))</f>
        <v>-6</v>
      </c>
      <c r="F1126" s="28" t="n">
        <v>40</v>
      </c>
      <c r="G1126" s="28" t="n">
        <f>IF(AND(ISNUMBER(D1126),ISNUMBER(E1126)),IF(OR(E1126&lt;=0,L1126=0),0,E1126-D1126),"")</f>
        <v>0</v>
      </c>
      <c r="H1126" s="16" t="str">
        <f>IF(NOT(ISNUMBER(E1126)),"销量或海外库存待补",IF(OR(E1126&lt;=0,L1126=0),IF(L1126=0,"零日销，本批不发","本批无需补货"),IF(NOT(ISNUMBER(D1126)),"国内库存待补",IF(D1126=0,"国内无可用库存",IF(G1126&gt;0,"先发国内现货","按建议量发货")))))</f>
        <v>本批无需补货</v>
      </c>
      <c r="I1126" s="28" t="n">
        <f>IF(AND(COUNT(Z1126,AA1126,AB1126)=3,Z1126&gt;=AA1126,AA1126&gt;=0,AB1126=7),Z1126-AA1126,"")</f>
        <v>0</v>
      </c>
      <c r="J1126" s="28" t="n">
        <f>IF(AND(COUNT(AF1126,AG1126,AH1126)=3,AF1126&gt;=AG1126,AG1126&gt;=0,AH1126=14),AF1126-AG1126,"")</f>
        <v>0</v>
      </c>
      <c r="K1126" s="28" t="n">
        <f>IF(AND(COUNT(AL1126,AM1126,AN1126)=3,AL1126&gt;=AM1126,AM1126&gt;=0,AN1126=30),AL1126-AM1126,"")</f>
        <v>2</v>
      </c>
      <c r="L1126" s="29" t="n">
        <f>IF(ISNUMBER(BI1126),BI1126/90,"")</f>
        <v>0.03438466584281106</v>
      </c>
      <c r="M1126" s="28" t="n">
        <v>3</v>
      </c>
      <c r="N1126" s="28" t="n">
        <v>0</v>
      </c>
      <c r="O1126" s="28" t="n">
        <v>6</v>
      </c>
      <c r="P1126" s="30" t="n">
        <f>IF(AND(ISNUMBER(L1126),L1126&gt;0,COUNT(M1126:O1126)=3,MIN(M1126:O1126)&gt;=0),SUM(M1126:O1126)/L1126,"")</f>
        <v>261.74458234212176</v>
      </c>
      <c r="Q1126" s="16" t="str">
        <v>沿用原计划SKU店铺</v>
      </c>
      <c r="R1126" s="16" t="str">
        <v>已匹配</v>
      </c>
      <c r="S1126" s="16" t="str">
        <v>在售</v>
      </c>
      <c r="T1126" s="16" t="str">
        <v>S02</v>
      </c>
      <c r="U1126" s="16" t="str">
        <v>黑白蛇纹</v>
      </c>
      <c r="V1126" s="16" t="n">
        <v>6</v>
      </c>
      <c r="W1126" s="8" t="str">
        <v>2026-10-11 至 2026-10-17</v>
      </c>
      <c r="X1126" s="8" t="str">
        <v>2026-10-11、2026-10-12、2026-10-13、2026-10-14、2026-10-15、2026-10-16、2026-10-17</v>
      </c>
      <c r="Y1126" s="8" t="str">
        <v>无</v>
      </c>
      <c r="Z1126" s="8" t="n">
        <v>0</v>
      </c>
      <c r="AA1126" s="8" t="n">
        <v>0</v>
      </c>
      <c r="AB1126" s="8" t="n">
        <v>7</v>
      </c>
      <c r="AC1126" s="8" t="str">
        <v>2026-10-02 至 2026-10-17</v>
      </c>
      <c r="AD1126" s="8" t="str">
        <v>2026-10-02、2026-10-03、2026-10-04、2026-10-05、2026-10-08、2026-10-09、2026-10-10、2026-10-11、2026-10-12、2026-10-13、2026-10-14、2026-10-15、2026-10-16、2026-10-17</v>
      </c>
      <c r="AE1126" s="8" t="str">
        <v>2026-10-06 大促；2026-10-07 大促</v>
      </c>
      <c r="AF1126" s="8" t="n">
        <v>0</v>
      </c>
      <c r="AG1126" s="8" t="n">
        <v>0</v>
      </c>
      <c r="AH1126" s="8" t="n">
        <v>14</v>
      </c>
      <c r="AI1126" s="8" t="str">
        <v>2026-09-16 至 2026-10-17</v>
      </c>
      <c r="AJ112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6" s="8" t="str">
        <v>2026-10-06 大促；2026-10-07 大促</v>
      </c>
      <c r="AL1126" s="8" t="n">
        <v>2</v>
      </c>
      <c r="AM1126" s="8" t="n">
        <v>0</v>
      </c>
      <c r="AN1126" s="8" t="n">
        <v>30</v>
      </c>
      <c r="AO1126" s="8" t="str">
        <v>S02 / 黑白蛇纹 / 6574</v>
      </c>
      <c r="AP1126" s="11" t="n">
        <v>0.9634503791704667</v>
      </c>
      <c r="AQ1126" s="11" t="n">
        <v>0.9634503791704667</v>
      </c>
      <c r="AR1126" s="11" t="n">
        <v>0.902244307144596</v>
      </c>
      <c r="AS1126" s="11" t="n">
        <f>IF(AND(COUNT(I1126:K1126,AP1126:AR1126)=6,MIN(AP1126:AR1126)&gt;0),I1126/7/AP1126*0.5+J1126/14/AQ1126*0.3+K1126/30/AR1126*0.2,"")</f>
        <v>0.014777963382811902</v>
      </c>
      <c r="AT1126" s="8" t="n">
        <v>2</v>
      </c>
      <c r="AU1126" s="8" t="n">
        <v>0</v>
      </c>
      <c r="AV1126" s="8" t="n">
        <v>88</v>
      </c>
      <c r="AW1126" s="11" t="n">
        <f>IF(AND(COUNT(AT1126:AV1126)=3,AT1126&gt;=AU1126,AU1126&gt;=0,AV1126&gt;0),(AT1126-AU1126)/AV1126,"")</f>
        <v>0.022727272727272728</v>
      </c>
      <c r="AX1126" s="8" t="n">
        <v>3</v>
      </c>
      <c r="AY1126" s="8" t="n">
        <v>0</v>
      </c>
      <c r="AZ1126" s="8" t="n">
        <v>178</v>
      </c>
      <c r="BA1126" s="11" t="n">
        <f>IF(AND(COUNT(AX1126:AZ1126)=3,AX1126&gt;=AY1126,AY1126&gt;=0,AZ1126&gt;0),(AX1126-AY1126)/AZ1126,"")</f>
        <v>0.016853932584269662</v>
      </c>
      <c r="BB1126" s="8" t="n">
        <f>IF(COUNT(AS1126,AW1126,BA1126)=3,1,0)</f>
        <v>1</v>
      </c>
      <c r="BC1126" s="11" t="n">
        <f>IF(SUMIF($AO$11:$AO$1309,AO1126,$BB$11:$BB$1309)=COUNTIF($AO$11:$AO$1309,AO1126),SUMIF($AO$11:$AO$1309,AO1126,$AS$11:$AS$1309),"")</f>
        <v>0.7927579792962208</v>
      </c>
      <c r="BD1126" s="11" t="n">
        <f>IF(SUMIF($AO$11:$AO$1309,AO1126,$BB$11:$BB$1309)=COUNTIF($AO$11:$AO$1309,AO1126),SUMIF($AO$11:$AO$1309,AO1126,$AW$11:$AW$1309),"")</f>
        <v>0.4094919786096257</v>
      </c>
      <c r="BE1126" s="11" t="n">
        <f>IF(SUMIF($AO$11:$AO$1309,AO1126,$BB$11:$BB$1309)=COUNTIF($AO$11:$AO$1309,AO1126),SUMIF($AO$11:$AO$1309,AO1126,$BA$11:$BA$1309),"")</f>
        <v>0.4744141252006421</v>
      </c>
      <c r="BF1126" s="12" t="n">
        <f>IF(COUNT(BD1126:BE1126)&lt;&gt;2,"",IF(AND(BD1126&gt;0,BE1126&gt;0),0.7*AW1126/BD1126+0.3*BA1126/BE1126,IF(BD1126&gt;0,AW1126/BD1126,IF(BE1126&gt;0,BA1126/BE1126,IF(AND(ISNUMBER(BH1126),BH1126=0),0,"")))))</f>
        <v>0.049508534339567416</v>
      </c>
      <c r="BG1126" s="11" t="n">
        <f>IF(AND(COUNT(BN1126:BU1126)=8,MIN(BN1126:BU1126)&gt;=0),SUMPRODUCT(BN1126:BQ1126,BR1126:BU1126),"")</f>
        <v>78.84726365280937</v>
      </c>
      <c r="BH1126" s="11" t="n">
        <f>IF(COUNT(BC1126,BG1126)=2,BC1126*BG1126,"")</f>
        <v>62.50679740643752</v>
      </c>
      <c r="BI1126" s="11" t="n">
        <f>IF(ISNUMBER(CI1126),CI1126,"")</f>
        <v>3.0946199258529954</v>
      </c>
      <c r="BJ1126" s="8" t="str"/>
      <c r="BK1126" s="8" t="str">
        <v>90天：2026-07-20 至 2026-10-17；180天：2026-04-21 至 2026-10-17</v>
      </c>
      <c r="BL1126" s="8" t="str">
        <v>90天：2026-10-06、2026-10-07；180天：2026-10-06、2026-10-07</v>
      </c>
      <c r="BM1126" s="8" t="str">
        <v>2026-10：12天 × 0.9634503791704667；2026-11：30天 × 0.8585031562320637；2026-12：31天 × 0.7896606554092485；2027-01：17天 × 1.0030167116538329</v>
      </c>
      <c r="BN1126" s="11" t="n">
        <v>0.9634503791704667</v>
      </c>
      <c r="BO1126" s="11" t="n">
        <v>0.8585031562320637</v>
      </c>
      <c r="BP1126" s="11" t="n">
        <v>0.7896606554092485</v>
      </c>
      <c r="BQ1126" s="11" t="n">
        <v>1.0030167116538329</v>
      </c>
      <c r="BR1126" s="8" t="n">
        <v>12</v>
      </c>
      <c r="BS1126" s="8" t="n">
        <v>30</v>
      </c>
      <c r="BT1126" s="8" t="n">
        <v>31</v>
      </c>
      <c r="BU1126" s="8" t="n">
        <v>17</v>
      </c>
      <c r="BV1126" s="11" t="n">
        <f>IF(COUNT(BC1126,BF1126)=2,BC1126*BF1126,"")</f>
        <v>0.03924828564095302</v>
      </c>
      <c r="BW1126" s="11" t="n">
        <f>IF(ISNUMBER(BN1126),BN1126,"")</f>
        <v>0.9634503791704667</v>
      </c>
      <c r="BX1126" s="14" t="n">
        <f>IF(ISNUMBER(BR1126),BR1126,"")</f>
        <v>12</v>
      </c>
      <c r="BY1126" s="13" t="n">
        <f>IF(AND(COUNT(BV1126,BW1126,BX1126)=3,MIN(BV1126,BW1126,BX1126)&gt;=0),BV1126*BW1126*BX1126,"")</f>
        <v>0.45376530819080363</v>
      </c>
      <c r="BZ1126" s="11" t="n">
        <f>IF(ISNUMBER(BO1126),BO1126,"")</f>
        <v>0.8585031562320637</v>
      </c>
      <c r="CA1126" s="14" t="n">
        <f>IF(ISNUMBER(BS1126),BS1126,"")</f>
        <v>30</v>
      </c>
      <c r="CB1126" s="13" t="n">
        <f>IF(AND(COUNT(BV1126,BZ1126,CA1126)=3,MIN(BV1126,BZ1126,CA1126)&gt;=0),BV1126*BZ1126*CA1126,"")</f>
        <v>1.0108433129836727</v>
      </c>
      <c r="CC1126" s="11" t="n">
        <f>IF(ISNUMBER(BP1126),BP1126,"")</f>
        <v>0.7896606554092485</v>
      </c>
      <c r="CD1126" s="14" t="n">
        <f>IF(ISNUMBER(BT1126),BT1126,"")</f>
        <v>31</v>
      </c>
      <c r="CE1126" s="13" t="n">
        <f>IF(AND(COUNT(BV1126,CC1126,CD1126)=3,MIN(BV1126,CC1126,CD1126)&gt;=0),BV1126*CC1126*CD1126,"")</f>
        <v>0.960777635850655</v>
      </c>
      <c r="CF1126" s="11" t="n">
        <f>IF(ISNUMBER(BQ1126),BQ1126,"")</f>
        <v>1.0030167116538329</v>
      </c>
      <c r="CG1126" s="14" t="n">
        <f>IF(ISNUMBER(BU1126),BU1126,"")</f>
        <v>17</v>
      </c>
      <c r="CH1126" s="13" t="n">
        <f>IF(AND(COUNT(BV1126,CF1126,CG1126)=3,MIN(BV1126,CF1126,CG1126)&gt;=0),BV1126*CF1126*CG1126,"")</f>
        <v>0.6692336688278638</v>
      </c>
      <c r="CI1126" s="13" t="n">
        <f>IF(COUNT(BY1126,CB1126,CE1126,CH1126)=4,SUM(BY1126,CB1126,CE1126,CH1126),"")</f>
        <v>3.0946199258529954</v>
      </c>
    </row>
    <row r="1127" ht="72" customHeight="1">
      <c r="A1127" s="16" t="str">
        <v>S02-SP-39</v>
      </c>
      <c r="B1127" s="16" t="str">
        <v>3店-SANDIEX-US</v>
      </c>
      <c r="C1127" s="16" t="str">
        <v>陈晨</v>
      </c>
      <c r="D1127" s="26" t="n">
        <f>IF(NOT(ISNUMBER(E1127)),"",IF(OR(E1127&lt;=0,L1127=0),0,IF(OR(NOT(ISNUMBER(F1127)),F1127&lt;0),"",MIN(E1127,INT(F1127)))))</f>
        <v>0</v>
      </c>
      <c r="E1127" s="27" t="n">
        <f>IF(OR(NOT(ISNUMBER(L1127)),COUNT(M1127:O1127)&lt;&gt;3,MIN(M1127:O1127)&lt;0),"",ROUNDUP(ROUND(BI1127-SUM(M1127:O1127),10),0))</f>
        <v>-6</v>
      </c>
      <c r="F1127" s="28" t="n">
        <v>116</v>
      </c>
      <c r="G1127" s="28" t="n">
        <f>IF(AND(ISNUMBER(D1127),ISNUMBER(E1127)),IF(OR(E1127&lt;=0,L1127=0),0,E1127-D1127),"")</f>
        <v>0</v>
      </c>
      <c r="H1127" s="16" t="str">
        <f>IF(NOT(ISNUMBER(E1127)),"销量或海外库存待补",IF(OR(E1127&lt;=0,L1127=0),IF(L1127=0,"零日销，本批不发","本批无需补货"),IF(NOT(ISNUMBER(D1127)),"国内库存待补",IF(D1127=0,"国内无可用库存",IF(G1127&gt;0,"先发国内现货","按建议量发货")))))</f>
        <v>本批无需补货</v>
      </c>
      <c r="I1127" s="28" t="n">
        <f>IF(AND(COUNT(Z1127,AA1127,AB1127)=3,Z1127&gt;=AA1127,AA1127&gt;=0,AB1127=7),Z1127-AA1127,"")</f>
        <v>5</v>
      </c>
      <c r="J1127" s="28" t="n">
        <f>IF(AND(COUNT(AF1127,AG1127,AH1127)=3,AF1127&gt;=AG1127,AG1127&gt;=0,AH1127=14),AF1127-AG1127,"")</f>
        <v>8</v>
      </c>
      <c r="K1127" s="28" t="n">
        <f>IF(AND(COUNT(AL1127,AM1127,AN1127)=3,AL1127&gt;=AM1127,AM1127&gt;=0,AN1127=30),AL1127-AM1127,"")</f>
        <v>15</v>
      </c>
      <c r="L1127" s="29" t="n">
        <f>IF(ISNUMBER(BI1127),BI1127/90,"")</f>
        <v>0.3881006701870371</v>
      </c>
      <c r="M1127" s="28" t="n">
        <v>16</v>
      </c>
      <c r="N1127" s="28" t="n">
        <v>0</v>
      </c>
      <c r="O1127" s="28" t="n">
        <v>24</v>
      </c>
      <c r="P1127" s="30" t="n">
        <f>IF(AND(ISNUMBER(L1127),L1127&gt;0,COUNT(M1127:O1127)=3,MIN(M1127:O1127)&gt;=0),SUM(M1127:O1127)/L1127,"")</f>
        <v>103.0660420677007</v>
      </c>
      <c r="Q1127" s="16" t="str">
        <v>沿用原计划SKU店铺</v>
      </c>
      <c r="R1127" s="16" t="str">
        <v>已匹配</v>
      </c>
      <c r="S1127" s="16" t="str">
        <v>在售</v>
      </c>
      <c r="T1127" s="16" t="str">
        <v>S02</v>
      </c>
      <c r="U1127" s="16" t="str">
        <v>黑白蛇纹</v>
      </c>
      <c r="V1127" s="16" t="n">
        <v>8</v>
      </c>
      <c r="W1127" s="8" t="str">
        <v>2026-10-11 至 2026-10-17</v>
      </c>
      <c r="X1127" s="8" t="str">
        <v>2026-10-11、2026-10-12、2026-10-13、2026-10-14、2026-10-15、2026-10-16、2026-10-17</v>
      </c>
      <c r="Y1127" s="8" t="str">
        <v>无</v>
      </c>
      <c r="Z1127" s="8" t="n">
        <v>5</v>
      </c>
      <c r="AA1127" s="8" t="n">
        <v>0</v>
      </c>
      <c r="AB1127" s="8" t="n">
        <v>7</v>
      </c>
      <c r="AC1127" s="8" t="str">
        <v>2026-10-02 至 2026-10-17</v>
      </c>
      <c r="AD1127" s="8" t="str">
        <v>2026-10-02、2026-10-03、2026-10-04、2026-10-05、2026-10-08、2026-10-09、2026-10-10、2026-10-11、2026-10-12、2026-10-13、2026-10-14、2026-10-15、2026-10-16、2026-10-17</v>
      </c>
      <c r="AE1127" s="8" t="str">
        <v>2026-10-06 大促；2026-10-07 大促</v>
      </c>
      <c r="AF1127" s="8" t="n">
        <v>10</v>
      </c>
      <c r="AG1127" s="8" t="n">
        <v>2</v>
      </c>
      <c r="AH1127" s="8" t="n">
        <v>14</v>
      </c>
      <c r="AI1127" s="8" t="str">
        <v>2026-09-16 至 2026-10-17</v>
      </c>
      <c r="AJ112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7" s="8" t="str">
        <v>2026-10-06 大促；2026-10-07 大促</v>
      </c>
      <c r="AL1127" s="8" t="n">
        <v>17</v>
      </c>
      <c r="AM1127" s="8" t="n">
        <v>2</v>
      </c>
      <c r="AN1127" s="8" t="n">
        <v>30</v>
      </c>
      <c r="AO1127" s="8" t="str">
        <v>S02 / 黑白蛇纹 / 6574</v>
      </c>
      <c r="AP1127" s="11" t="n">
        <v>0.9634503791704667</v>
      </c>
      <c r="AQ1127" s="11" t="n">
        <v>0.9634503791704667</v>
      </c>
      <c r="AR1127" s="11" t="n">
        <v>0.902244307144596</v>
      </c>
      <c r="AS1127" s="11" t="n">
        <f>IF(AND(COUNT(I1127:K1127,AP1127:AR1127)=6,MIN(AP1127:AR1127)&gt;0),I1127/7/AP1127*0.5+J1127/14/AQ1127*0.3+K1127/30/AR1127*0.2,"")</f>
        <v>0.659458131411502</v>
      </c>
      <c r="AT1127" s="8" t="n">
        <v>24</v>
      </c>
      <c r="AU1127" s="8" t="n">
        <v>2</v>
      </c>
      <c r="AV1127" s="8" t="n">
        <v>88</v>
      </c>
      <c r="AW1127" s="11" t="n">
        <f>IF(AND(COUNT(AT1127:AV1127)=3,AT1127&gt;=AU1127,AU1127&gt;=0,AV1127&gt;0),(AT1127-AU1127)/AV1127,"")</f>
        <v>0.25</v>
      </c>
      <c r="AX1127" s="8" t="n">
        <v>39</v>
      </c>
      <c r="AY1127" s="8" t="n">
        <v>2</v>
      </c>
      <c r="AZ1127" s="8" t="n">
        <v>178</v>
      </c>
      <c r="BA1127" s="11" t="n">
        <f>IF(AND(COUNT(AX1127:AZ1127)=3,AX1127&gt;=AY1127,AY1127&gt;=0,AZ1127&gt;0),(AX1127-AY1127)/AZ1127,"")</f>
        <v>0.20786516853932585</v>
      </c>
      <c r="BB1127" s="8" t="n">
        <f>IF(COUNT(AS1127,AW1127,BA1127)=3,1,0)</f>
        <v>1</v>
      </c>
      <c r="BC1127" s="11" t="n">
        <f>IF(SUMIF($AO$11:$AO$1309,AO1127,$BB$11:$BB$1309)=COUNTIF($AO$11:$AO$1309,AO1127),SUMIF($AO$11:$AO$1309,AO1127,$AS$11:$AS$1309),"")</f>
        <v>0.7927579792962208</v>
      </c>
      <c r="BD1127" s="11" t="n">
        <f>IF(SUMIF($AO$11:$AO$1309,AO1127,$BB$11:$BB$1309)=COUNTIF($AO$11:$AO$1309,AO1127),SUMIF($AO$11:$AO$1309,AO1127,$AW$11:$AW$1309),"")</f>
        <v>0.4094919786096257</v>
      </c>
      <c r="BE1127" s="11" t="n">
        <f>IF(SUMIF($AO$11:$AO$1309,AO1127,$BB$11:$BB$1309)=COUNTIF($AO$11:$AO$1309,AO1127),SUMIF($AO$11:$AO$1309,AO1127,$BA$11:$BA$1309),"")</f>
        <v>0.4744141252006421</v>
      </c>
      <c r="BF1127" s="12" t="n">
        <f>IF(COUNT(BD1127:BE1127)&lt;&gt;2,"",IF(AND(BD1127&gt;0,BE1127&gt;0),0.7*AW1127/BD1127+0.3*BA1127/BE1127,IF(BD1127&gt;0,AW1127/BD1127,IF(BE1127&gt;0,BA1127/BE1127,IF(AND(ISNUMBER(BH1127),BH1127=0),0,"")))))</f>
        <v>0.5588041903621193</v>
      </c>
      <c r="BG1127" s="11" t="n">
        <f>IF(AND(COUNT(BN1127:BU1127)=8,MIN(BN1127:BU1127)&gt;=0),SUMPRODUCT(BN1127:BQ1127,BR1127:BU1127),"")</f>
        <v>78.84726365280937</v>
      </c>
      <c r="BH1127" s="11" t="n">
        <f>IF(COUNT(BC1127,BG1127)=2,BC1127*BG1127,"")</f>
        <v>62.50679740643752</v>
      </c>
      <c r="BI1127" s="11" t="n">
        <f>IF(ISNUMBER(CI1127),CI1127,"")</f>
        <v>34.929060316833336</v>
      </c>
      <c r="BJ1127" s="8" t="str"/>
      <c r="BK1127" s="8" t="str">
        <v>90天：2026-07-20 至 2026-10-17；180天：2026-04-21 至 2026-10-17</v>
      </c>
      <c r="BL1127" s="8" t="str">
        <v>90天：2026-10-06、2026-10-07；180天：2026-10-06、2026-10-07</v>
      </c>
      <c r="BM1127" s="8" t="str">
        <v>2026-10：12天 × 0.9634503791704667；2026-11：30天 × 0.8585031562320637；2026-12：31天 × 0.7896606554092485；2027-01：17天 × 1.0030167116538329</v>
      </c>
      <c r="BN1127" s="11" t="n">
        <v>0.9634503791704667</v>
      </c>
      <c r="BO1127" s="11" t="n">
        <v>0.8585031562320637</v>
      </c>
      <c r="BP1127" s="11" t="n">
        <v>0.7896606554092485</v>
      </c>
      <c r="BQ1127" s="11" t="n">
        <v>1.0030167116538329</v>
      </c>
      <c r="BR1127" s="8" t="n">
        <v>12</v>
      </c>
      <c r="BS1127" s="8" t="n">
        <v>30</v>
      </c>
      <c r="BT1127" s="8" t="n">
        <v>31</v>
      </c>
      <c r="BU1127" s="8" t="n">
        <v>17</v>
      </c>
      <c r="BV1127" s="11" t="n">
        <f>IF(COUNT(BC1127,BF1127)=2,BC1127*BF1127,"")</f>
        <v>0.4429964807737344</v>
      </c>
      <c r="BW1127" s="11" t="n">
        <f>IF(ISNUMBER(BN1127),BN1127,"")</f>
        <v>0.9634503791704667</v>
      </c>
      <c r="BX1127" s="14" t="n">
        <f>IF(ISNUMBER(BR1127),BR1127,"")</f>
        <v>12</v>
      </c>
      <c r="BY1127" s="13" t="n">
        <f>IF(AND(COUNT(BV1127,BW1127,BX1127)=3,MIN(BV1127,BW1127,BX1127)&gt;=0),BV1127*BW1127*BX1127,"")</f>
        <v>5.121661528471641</v>
      </c>
      <c r="BZ1127" s="11" t="n">
        <f>IF(ISNUMBER(BO1127),BO1127,"")</f>
        <v>0.8585031562320637</v>
      </c>
      <c r="CA1127" s="14" t="n">
        <f>IF(ISNUMBER(BS1127),BS1127,"")</f>
        <v>30</v>
      </c>
      <c r="CB1127" s="13" t="n">
        <f>IF(AND(COUNT(BV1127,BZ1127,CA1127)=3,MIN(BV1127,BZ1127,CA1127)&gt;=0),BV1127*BZ1127*CA1127,"")</f>
        <v>11.40941630831843</v>
      </c>
      <c r="CC1127" s="11" t="n">
        <f>IF(ISNUMBER(BP1127),BP1127,"")</f>
        <v>0.7896606554092485</v>
      </c>
      <c r="CD1127" s="14" t="n">
        <f>IF(ISNUMBER(BT1127),BT1127,"")</f>
        <v>31</v>
      </c>
      <c r="CE1127" s="13" t="n">
        <f>IF(AND(COUNT(BV1127,CC1127,CD1127)=3,MIN(BV1127,CC1127,CD1127)&gt;=0),BV1127*CC1127*CD1127,"")</f>
        <v>10.844323631905107</v>
      </c>
      <c r="CF1127" s="11" t="n">
        <f>IF(ISNUMBER(BQ1127),BQ1127,"")</f>
        <v>1.0030167116538329</v>
      </c>
      <c r="CG1127" s="14" t="n">
        <f>IF(ISNUMBER(BU1127),BU1127,"")</f>
        <v>17</v>
      </c>
      <c r="CH1127" s="13" t="n">
        <f>IF(AND(COUNT(BV1127,CF1127,CG1127)=3,MIN(BV1127,CF1127,CG1127)&gt;=0),BV1127*CF1127*CG1127,"")</f>
        <v>7.553658848138155</v>
      </c>
      <c r="CI1127" s="13" t="n">
        <f>IF(COUNT(BY1127,CB1127,CE1127,CH1127)=4,SUM(BY1127,CB1127,CE1127,CH1127),"")</f>
        <v>34.929060316833336</v>
      </c>
    </row>
    <row r="1128" ht="72" customHeight="1">
      <c r="A1128" s="16" t="str">
        <v>S02-TN-37</v>
      </c>
      <c r="B1128" s="16" t="str">
        <v>3店-SANDIEX-US</v>
      </c>
      <c r="C1128" s="16" t="str">
        <v>陈晨</v>
      </c>
      <c r="D1128" s="26" t="n">
        <f>IF(NOT(ISNUMBER(E1128)),"",IF(OR(E1128&lt;=0,L1128=0),0,IF(OR(NOT(ISNUMBER(F1128)),F1128&lt;0),"",MIN(E1128,INT(F1128)))))</f>
        <v>0</v>
      </c>
      <c r="E1128" s="27" t="n">
        <f>IF(OR(NOT(ISNUMBER(L1128)),COUNT(M1128:O1128)&lt;&gt;3,MIN(M1128:O1128)&lt;0),"",ROUNDUP(ROUND(BI1128-SUM(M1128:O1128),10),0))</f>
        <v>-30</v>
      </c>
      <c r="F1128" s="28" t="n">
        <v>0</v>
      </c>
      <c r="G1128" s="28" t="n">
        <f>IF(AND(ISNUMBER(D1128),ISNUMBER(E1128)),IF(OR(E1128&lt;=0,L1128=0),0,E1128-D1128),"")</f>
        <v>0</v>
      </c>
      <c r="H1128" s="16" t="str">
        <f>IF(NOT(ISNUMBER(E1128)),"销量或海外库存待补",IF(OR(E1128&lt;=0,L1128=0),IF(L1128=0,"零日销，本批不发","本批无需补货"),IF(NOT(ISNUMBER(D1128)),"国内库存待补",IF(D1128=0,"国内无可用库存",IF(G1128&gt;0,"先发国内现货","按建议量发货")))))</f>
        <v>本批无需补货</v>
      </c>
      <c r="I1128" s="28" t="n">
        <f>IF(AND(COUNT(Z1128,AA1128,AB1128)=3,Z1128&gt;=AA1128,AA1128&gt;=0,AB1128=7),Z1128-AA1128,"")</f>
        <v>0</v>
      </c>
      <c r="J1128" s="28" t="n">
        <f>IF(AND(COUNT(AF1128,AG1128,AH1128)=3,AF1128&gt;=AG1128,AG1128&gt;=0,AH1128=14),AF1128-AG1128,"")</f>
        <v>2</v>
      </c>
      <c r="K1128" s="28" t="n">
        <f>IF(AND(COUNT(AL1128,AM1128,AN1128)=3,AL1128&gt;=AM1128,AM1128&gt;=0,AN1128=30),AL1128-AM1128,"")</f>
        <v>9</v>
      </c>
      <c r="L1128" s="29" t="n">
        <f>IF(ISNUMBER(BI1128),BI1128/90,"")</f>
        <v>0.1421584820847977</v>
      </c>
      <c r="M1128" s="28" t="n">
        <v>42</v>
      </c>
      <c r="N1128" s="28" t="n">
        <v>0</v>
      </c>
      <c r="O1128" s="28" t="n">
        <v>0</v>
      </c>
      <c r="P1128" s="30" t="n">
        <f>IF(AND(ISNUMBER(L1128),L1128&gt;0,COUNT(M1128:O1128)=3,MIN(M1128:O1128)&gt;=0),SUM(M1128:O1128)/L1128,"")</f>
        <v>295.44491038492487</v>
      </c>
      <c r="Q1128" s="16" t="str">
        <v>沿用原计划SKU店铺</v>
      </c>
      <c r="R1128" s="16" t="str">
        <v>已匹配</v>
      </c>
      <c r="S1128" s="16" t="str">
        <v>在售</v>
      </c>
      <c r="T1128" s="16" t="str">
        <v>S02</v>
      </c>
      <c r="U1128" s="16" t="str">
        <v>驼色</v>
      </c>
      <c r="V1128" s="16" t="n">
        <v>6</v>
      </c>
      <c r="W1128" s="8" t="str">
        <v>2026-10-11 至 2026-10-17</v>
      </c>
      <c r="X1128" s="8" t="str">
        <v>2026-10-11、2026-10-12、2026-10-13、2026-10-14、2026-10-15、2026-10-16、2026-10-17</v>
      </c>
      <c r="Y1128" s="8" t="str">
        <v>无</v>
      </c>
      <c r="Z1128" s="8" t="n">
        <v>0</v>
      </c>
      <c r="AA1128" s="8" t="n">
        <v>0</v>
      </c>
      <c r="AB1128" s="8" t="n">
        <v>7</v>
      </c>
      <c r="AC1128" s="8" t="str">
        <v>2026-10-02 至 2026-10-17</v>
      </c>
      <c r="AD1128" s="8" t="str">
        <v>2026-10-02、2026-10-03、2026-10-04、2026-10-05、2026-10-08、2026-10-09、2026-10-10、2026-10-11、2026-10-12、2026-10-13、2026-10-14、2026-10-15、2026-10-16、2026-10-17</v>
      </c>
      <c r="AE1128" s="8" t="str">
        <v>2026-10-06 大促；2026-10-07 大促</v>
      </c>
      <c r="AF1128" s="8" t="n">
        <v>8</v>
      </c>
      <c r="AG1128" s="8" t="n">
        <v>6</v>
      </c>
      <c r="AH1128" s="8" t="n">
        <v>14</v>
      </c>
      <c r="AI1128" s="8" t="str">
        <v>2026-09-16 至 2026-10-17</v>
      </c>
      <c r="AJ11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8" s="8" t="str">
        <v>2026-10-06 大促；2026-10-07 大促</v>
      </c>
      <c r="AL1128" s="8" t="n">
        <v>15</v>
      </c>
      <c r="AM1128" s="8" t="n">
        <v>6</v>
      </c>
      <c r="AN1128" s="8" t="n">
        <v>30</v>
      </c>
      <c r="AO1128" s="8" t="str">
        <v>S02 / 驼色 / 6574</v>
      </c>
      <c r="AP1128" s="11" t="n">
        <v>0.9634503791704667</v>
      </c>
      <c r="AQ1128" s="11" t="n">
        <v>0.9634503791704667</v>
      </c>
      <c r="AR1128" s="11" t="n">
        <v>0.902244307144596</v>
      </c>
      <c r="AS1128" s="11" t="n">
        <f>IF(AND(COUNT(I1128:K1128,AP1128:AR1128)=6,MIN(AP1128:AR1128)&gt;0),I1128/7/AP1128*0.5+J1128/14/AQ1128*0.3+K1128/30/AR1128*0.2,"")</f>
        <v>0.11098381409079514</v>
      </c>
      <c r="AT1128" s="8" t="n">
        <v>15</v>
      </c>
      <c r="AU1128" s="8" t="n">
        <v>6</v>
      </c>
      <c r="AV1128" s="8" t="n">
        <v>88</v>
      </c>
      <c r="AW1128" s="11" t="n">
        <f>IF(AND(COUNT(AT1128:AV1128)=3,AT1128&gt;=AU1128,AU1128&gt;=0,AV1128&gt;0),(AT1128-AU1128)/AV1128,"")</f>
        <v>0.10227272727272728</v>
      </c>
      <c r="AX1128" s="8" t="n">
        <v>18</v>
      </c>
      <c r="AY1128" s="8" t="n">
        <v>6</v>
      </c>
      <c r="AZ1128" s="8" t="n">
        <v>178</v>
      </c>
      <c r="BA1128" s="11" t="n">
        <f>IF(AND(COUNT(AX1128:AZ1128)=3,AX1128&gt;=AY1128,AY1128&gt;=0,AZ1128&gt;0),(AX1128-AY1128)/AZ1128,"")</f>
        <v>0.06741573033707865</v>
      </c>
      <c r="BB1128" s="8" t="n">
        <f>IF(COUNT(AS1128,AW1128,BA1128)=3,1,0)</f>
        <v>1</v>
      </c>
      <c r="BC1128" s="11" t="n">
        <f>IF(SUMIF($AO$11:$AO$1309,AO1128,$BB$11:$BB$1309)=COUNTIF($AO$11:$AO$1309,AO1128),SUMIF($AO$11:$AO$1309,AO1128,$AS$11:$AS$1309),"")</f>
        <v>2.6523136246811423</v>
      </c>
      <c r="BD1128" s="11" t="n">
        <f>IF(SUMIF($AO$11:$AO$1309,AO1128,$BB$11:$BB$1309)=COUNTIF($AO$11:$AO$1309,AO1128),SUMIF($AO$11:$AO$1309,AO1128,$AW$11:$AW$1309),"")</f>
        <v>1.5697492163009403</v>
      </c>
      <c r="BE1128" s="11" t="n">
        <f>IF(SUMIF($AO$11:$AO$1309,AO1128,$BB$11:$BB$1309)=COUNTIF($AO$11:$AO$1309,AO1128),SUMIF($AO$11:$AO$1309,AO1128,$BA$11:$BA$1309),"")</f>
        <v>1.2987367485558305</v>
      </c>
      <c r="BF1128" s="12" t="n">
        <f>IF(COUNT(BD1128:BE1128)&lt;&gt;2,"",IF(AND(BD1128&gt;0,BE1128&gt;0),0.7*AW1128/BD1128+0.3*BA1128/BE1128,IF(BD1128&gt;0,AW1128/BD1128,IF(BE1128&gt;0,BA1128/BE1128,IF(AND(ISNUMBER(BH1128),BH1128=0),0,"")))))</f>
        <v>0.0611791987467257</v>
      </c>
      <c r="BG1128" s="11" t="n">
        <f>IF(AND(COUNT(BN1128:BU1128)=8,MIN(BN1128:BU1128)&gt;=0),SUMPRODUCT(BN1128:BQ1128,BR1128:BU1128),"")</f>
        <v>78.84726365280937</v>
      </c>
      <c r="BH1128" s="11" t="n">
        <f>IF(COUNT(BC1128,BG1128)=2,BC1128*BG1128,"")</f>
        <v>209.12767165517252</v>
      </c>
      <c r="BI1128" s="11" t="n">
        <f>IF(ISNUMBER(CI1128),CI1128,"")</f>
        <v>12.794263387631794</v>
      </c>
      <c r="BJ1128" s="8" t="str"/>
      <c r="BK1128" s="8" t="str">
        <v>90天：2026-07-20 至 2026-10-17；180天：2026-04-21 至 2026-10-17</v>
      </c>
      <c r="BL1128" s="8" t="str">
        <v>90天：2026-10-06、2026-10-07；180天：2026-10-06、2026-10-07</v>
      </c>
      <c r="BM1128" s="8" t="str">
        <v>2026-10：12天 × 0.9634503791704667；2026-11：30天 × 0.8585031562320637；2026-12：31天 × 0.7896606554092485；2027-01：17天 × 1.0030167116538329</v>
      </c>
      <c r="BN1128" s="11" t="n">
        <v>0.9634503791704667</v>
      </c>
      <c r="BO1128" s="11" t="n">
        <v>0.8585031562320637</v>
      </c>
      <c r="BP1128" s="11" t="n">
        <v>0.7896606554092485</v>
      </c>
      <c r="BQ1128" s="11" t="n">
        <v>1.0030167116538329</v>
      </c>
      <c r="BR1128" s="8" t="n">
        <v>12</v>
      </c>
      <c r="BS1128" s="8" t="n">
        <v>30</v>
      </c>
      <c r="BT1128" s="8" t="n">
        <v>31</v>
      </c>
      <c r="BU1128" s="8" t="n">
        <v>17</v>
      </c>
      <c r="BV1128" s="11" t="n">
        <f>IF(COUNT(BC1128,BF1128)=2,BC1128*BF1128,"")</f>
        <v>0.16226642238301603</v>
      </c>
      <c r="BW1128" s="11" t="n">
        <f>IF(ISNUMBER(BN1128),BN1128,"")</f>
        <v>0.9634503791704667</v>
      </c>
      <c r="BX1128" s="14" t="n">
        <f>IF(ISNUMBER(BR1128),BR1128,"")</f>
        <v>12</v>
      </c>
      <c r="BY1128" s="13" t="n">
        <f>IF(AND(COUNT(BV1128,BW1128,BX1128)=3,MIN(BV1128,BW1128,BX1128)&gt;=0),BV1128*BW1128*BX1128,"")</f>
        <v>1.8760277540586228</v>
      </c>
      <c r="BZ1128" s="11" t="n">
        <f>IF(ISNUMBER(BO1128),BO1128,"")</f>
        <v>0.8585031562320637</v>
      </c>
      <c r="CA1128" s="14" t="n">
        <f>IF(ISNUMBER(BS1128),BS1128,"")</f>
        <v>30</v>
      </c>
      <c r="CB1128" s="13" t="n">
        <f>IF(AND(COUNT(BV1128,BZ1128,CA1128)=3,MIN(BV1128,BZ1128,CA1128)&gt;=0),BV1128*BZ1128*CA1128,"")</f>
        <v>4.179187072989134</v>
      </c>
      <c r="CC1128" s="11" t="n">
        <f>IF(ISNUMBER(BP1128),BP1128,"")</f>
        <v>0.7896606554092485</v>
      </c>
      <c r="CD1128" s="14" t="n">
        <f>IF(ISNUMBER(BT1128),BT1128,"")</f>
        <v>31</v>
      </c>
      <c r="CE1128" s="13" t="n">
        <f>IF(AND(COUNT(BV1128,CC1128,CD1128)=3,MIN(BV1128,CC1128,CD1128)&gt;=0),BV1128*CC1128*CD1128,"")</f>
        <v>3.972197692946478</v>
      </c>
      <c r="CF1128" s="11" t="n">
        <f>IF(ISNUMBER(BQ1128),BQ1128,"")</f>
        <v>1.0030167116538329</v>
      </c>
      <c r="CG1128" s="14" t="n">
        <f>IF(ISNUMBER(BU1128),BU1128,"")</f>
        <v>17</v>
      </c>
      <c r="CH1128" s="13" t="n">
        <f>IF(AND(COUNT(BV1128,CF1128,CG1128)=3,MIN(BV1128,CF1128,CG1128)&gt;=0),BV1128*CF1128*CG1128,"")</f>
        <v>2.766850867637559</v>
      </c>
      <c r="CI1128" s="13" t="n">
        <f>IF(COUNT(BY1128,CB1128,CE1128,CH1128)=4,SUM(BY1128,CB1128,CE1128,CH1128),"")</f>
        <v>12.794263387631794</v>
      </c>
    </row>
    <row r="1129" ht="72" customHeight="1">
      <c r="A1129" s="16" t="str">
        <v>S02-TNP-37</v>
      </c>
      <c r="B1129" s="16" t="str">
        <v>3店-SANDIEX-US</v>
      </c>
      <c r="C1129" s="16" t="str">
        <v>陈晨</v>
      </c>
      <c r="D1129" s="26" t="n">
        <f>IF(NOT(ISNUMBER(E1129)),"",IF(OR(E1129&lt;=0,L1129=0),0,IF(OR(NOT(ISNUMBER(F1129)),F1129&lt;0),"",MIN(E1129,INT(F1129)))))</f>
        <v>0</v>
      </c>
      <c r="E1129" s="27" t="n">
        <f>IF(OR(NOT(ISNUMBER(L1129)),COUNT(M1129:O1129)&lt;&gt;3,MIN(M1129:O1129)&lt;0),"",ROUNDUP(ROUND(BI1129-SUM(M1129:O1129),10),0))</f>
        <v>-12</v>
      </c>
      <c r="F1129" s="28" t="n">
        <v>0</v>
      </c>
      <c r="G1129" s="28" t="n">
        <f>IF(AND(ISNUMBER(D1129),ISNUMBER(E1129)),IF(OR(E1129&lt;=0,L1129=0),0,E1129-D1129),"")</f>
        <v>0</v>
      </c>
      <c r="H1129" s="16" t="str">
        <f>IF(NOT(ISNUMBER(E1129)),"销量或海外库存待补",IF(OR(E1129&lt;=0,L1129=0),IF(L1129=0,"零日销，本批不发","本批无需补货"),IF(NOT(ISNUMBER(D1129)),"国内库存待补",IF(D1129=0,"国内无可用库存",IF(G1129&gt;0,"先发国内现货","按建议量发货")))))</f>
        <v>本批无需补货</v>
      </c>
      <c r="I1129" s="28" t="n">
        <f>IF(AND(COUNT(Z1129,AA1129,AB1129)=3,Z1129&gt;=AA1129,AA1129&gt;=0,AB1129=7),Z1129-AA1129,"")</f>
        <v>2</v>
      </c>
      <c r="J1129" s="28" t="n">
        <f>IF(AND(COUNT(AF1129,AG1129,AH1129)=3,AF1129&gt;=AG1129,AG1129&gt;=0,AH1129=14),AF1129-AG1129,"")</f>
        <v>6</v>
      </c>
      <c r="K1129" s="28" t="n">
        <f>IF(AND(COUNT(AL1129,AM1129,AN1129)=3,AL1129&gt;=AM1129,AM1129&gt;=0,AN1129=30),AL1129-AM1129,"")</f>
        <v>10</v>
      </c>
      <c r="L1129" s="29" t="n">
        <f>IF(ISNUMBER(BI1129),BI1129/90,"")</f>
        <v>0.22153219730404428</v>
      </c>
      <c r="M1129" s="28" t="n">
        <v>31</v>
      </c>
      <c r="N1129" s="28" t="n">
        <v>0</v>
      </c>
      <c r="O1129" s="28" t="n">
        <v>0</v>
      </c>
      <c r="P1129" s="30" t="n">
        <f>IF(AND(ISNUMBER(L1129),L1129&gt;0,COUNT(M1129:O1129)=3,MIN(M1129:O1129)&gt;=0),SUM(M1129:O1129)/L1129,"")</f>
        <v>139.9345123519617</v>
      </c>
      <c r="Q1129" s="16" t="str">
        <v>沿用原计划SKU店铺</v>
      </c>
      <c r="R1129" s="16" t="str">
        <v>已匹配</v>
      </c>
      <c r="S1129" s="16" t="str">
        <v>在售</v>
      </c>
      <c r="T1129" s="16" t="str">
        <v>S02</v>
      </c>
      <c r="U1129" s="16" t="str">
        <v>驼色PU</v>
      </c>
      <c r="V1129" s="16" t="n">
        <v>6</v>
      </c>
      <c r="W1129" s="8" t="str">
        <v>2026-10-11 至 2026-10-17</v>
      </c>
      <c r="X1129" s="8" t="str">
        <v>2026-10-11、2026-10-12、2026-10-13、2026-10-14、2026-10-15、2026-10-16、2026-10-17</v>
      </c>
      <c r="Y1129" s="8" t="str">
        <v>无</v>
      </c>
      <c r="Z1129" s="8" t="n">
        <v>2</v>
      </c>
      <c r="AA1129" s="8" t="n">
        <v>0</v>
      </c>
      <c r="AB1129" s="8" t="n">
        <v>7</v>
      </c>
      <c r="AC1129" s="8" t="str">
        <v>2026-10-02 至 2026-10-17</v>
      </c>
      <c r="AD1129" s="8" t="str">
        <v>2026-10-02、2026-10-03、2026-10-04、2026-10-05、2026-10-08、2026-10-09、2026-10-10、2026-10-11、2026-10-12、2026-10-13、2026-10-14、2026-10-15、2026-10-16、2026-10-17</v>
      </c>
      <c r="AE1129" s="8" t="str">
        <v>2026-10-06 大促；2026-10-07 大促</v>
      </c>
      <c r="AF1129" s="8" t="n">
        <v>6</v>
      </c>
      <c r="AG1129" s="8" t="n">
        <v>0</v>
      </c>
      <c r="AH1129" s="8" t="n">
        <v>14</v>
      </c>
      <c r="AI1129" s="8" t="str">
        <v>2026-09-16 至 2026-10-17</v>
      </c>
      <c r="AJ112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29" s="8" t="str">
        <v>2026-10-06 大促；2026-10-07 大促</v>
      </c>
      <c r="AL1129" s="8" t="n">
        <v>10</v>
      </c>
      <c r="AM1129" s="8" t="n">
        <v>0</v>
      </c>
      <c r="AN1129" s="8" t="n">
        <v>30</v>
      </c>
      <c r="AO1129" s="8" t="str">
        <v>S02 / 驼色PU / 6574</v>
      </c>
      <c r="AP1129" s="11" t="n">
        <v>0.9634503791704667</v>
      </c>
      <c r="AQ1129" s="11" t="n">
        <v>0.9634503791704667</v>
      </c>
      <c r="AR1129" s="11" t="n">
        <v>0.902244307144596</v>
      </c>
      <c r="AS1129" s="11" t="n">
        <f>IF(AND(COUNT(I1129:K1129,AP1129:AR1129)=6,MIN(AP1129:AR1129)&gt;0),I1129/7/AP1129*0.5+J1129/14/AQ1129*0.3+K1129/30/AR1129*0.2,"")</f>
        <v>0.35561534974562276</v>
      </c>
      <c r="AT1129" s="8" t="n">
        <v>15</v>
      </c>
      <c r="AU1129" s="8" t="n">
        <v>0</v>
      </c>
      <c r="AV1129" s="8" t="n">
        <v>88</v>
      </c>
      <c r="AW1129" s="11" t="n">
        <f>IF(AND(COUNT(AT1129:AV1129)=3,AT1129&gt;=AU1129,AU1129&gt;=0,AV1129&gt;0),(AT1129-AU1129)/AV1129,"")</f>
        <v>0.17045454545454544</v>
      </c>
      <c r="AX1129" s="8" t="n">
        <v>22</v>
      </c>
      <c r="AY1129" s="8" t="n">
        <v>0</v>
      </c>
      <c r="AZ1129" s="8" t="n">
        <v>178</v>
      </c>
      <c r="BA1129" s="11" t="n">
        <f>IF(AND(COUNT(AX1129:AZ1129)=3,AX1129&gt;=AY1129,AY1129&gt;=0,AZ1129&gt;0),(AX1129-AY1129)/AZ1129,"")</f>
        <v>0.12359550561797752</v>
      </c>
      <c r="BB1129" s="8" t="n">
        <f>IF(COUNT(AS1129,AW1129,BA1129)=3,1,0)</f>
        <v>1</v>
      </c>
      <c r="BC1129" s="11" t="n">
        <f>IF(SUMIF($AO$11:$AO$1309,AO1129,$BB$11:$BB$1309)=COUNTIF($AO$11:$AO$1309,AO1129),SUMIF($AO$11:$AO$1309,AO1129,$AS$11:$AS$1309),"")</f>
        <v>2.9113987850676852</v>
      </c>
      <c r="BD1129" s="11" t="n">
        <f>IF(SUMIF($AO$11:$AO$1309,AO1129,$BB$11:$BB$1309)=COUNTIF($AO$11:$AO$1309,AO1129),SUMIF($AO$11:$AO$1309,AO1129,$AW$11:$AW$1309),"")</f>
        <v>1.9090909090909094</v>
      </c>
      <c r="BE1129" s="11" t="n">
        <f>IF(SUMIF($AO$11:$AO$1309,AO1129,$BB$11:$BB$1309)=COUNTIF($AO$11:$AO$1309,AO1129),SUMIF($AO$11:$AO$1309,AO1129,$BA$11:$BA$1309),"")</f>
        <v>1.5224719101123596</v>
      </c>
      <c r="BF1129" s="12" t="n">
        <f>IF(COUNT(BD1129:BE1129)&lt;&gt;2,"",IF(AND(BD1129&gt;0,BE1129&gt;0),0.7*AW1129/BD1129+0.3*BA1129/BE1129,IF(BD1129&gt;0,AW1129/BD1129,IF(BE1129&gt;0,BA1129/BE1129,IF(AND(ISNUMBER(BH1129),BH1129=0),0,"")))))</f>
        <v>0.0868542435424354</v>
      </c>
      <c r="BG1129" s="11" t="n">
        <f>IF(AND(COUNT(BN1129:BU1129)=8,MIN(BN1129:BU1129)&gt;=0),SUMPRODUCT(BN1129:BQ1129,BR1129:BU1129),"")</f>
        <v>78.84726365280937</v>
      </c>
      <c r="BH1129" s="11" t="n">
        <f>IF(COUNT(BC1129,BG1129)=2,BC1129*BG1129,"")</f>
        <v>229.55582760470068</v>
      </c>
      <c r="BI1129" s="11" t="n">
        <f>IF(ISNUMBER(CI1129),CI1129,"")</f>
        <v>19.937897757363984</v>
      </c>
      <c r="BJ1129" s="8" t="str"/>
      <c r="BK1129" s="8" t="str">
        <v>90天：2026-07-20 至 2026-10-17；180天：2026-04-21 至 2026-10-17</v>
      </c>
      <c r="BL1129" s="8" t="str">
        <v>90天：2026-10-06、2026-10-07；180天：2026-10-06、2026-10-07</v>
      </c>
      <c r="BM1129" s="8" t="str">
        <v>2026-10：12天 × 0.9634503791704667；2026-11：30天 × 0.8585031562320637；2026-12：31天 × 0.7896606554092485；2027-01：17天 × 1.0030167116538329</v>
      </c>
      <c r="BN1129" s="11" t="n">
        <v>0.9634503791704667</v>
      </c>
      <c r="BO1129" s="11" t="n">
        <v>0.8585031562320637</v>
      </c>
      <c r="BP1129" s="11" t="n">
        <v>0.7896606554092485</v>
      </c>
      <c r="BQ1129" s="11" t="n">
        <v>1.0030167116538329</v>
      </c>
      <c r="BR1129" s="8" t="n">
        <v>12</v>
      </c>
      <c r="BS1129" s="8" t="n">
        <v>30</v>
      </c>
      <c r="BT1129" s="8" t="n">
        <v>31</v>
      </c>
      <c r="BU1129" s="8" t="n">
        <v>17</v>
      </c>
      <c r="BV1129" s="11" t="n">
        <f>IF(COUNT(BC1129,BF1129)=2,BC1129*BF1129,"")</f>
        <v>0.25286733912741927</v>
      </c>
      <c r="BW1129" s="11" t="n">
        <f>IF(ISNUMBER(BN1129),BN1129,"")</f>
        <v>0.9634503791704667</v>
      </c>
      <c r="BX1129" s="14" t="n">
        <f>IF(ISNUMBER(BR1129),BR1129,"")</f>
        <v>12</v>
      </c>
      <c r="BY1129" s="13" t="n">
        <f>IF(AND(COUNT(BV1129,BW1129,BX1129)=3,MIN(BV1129,BW1129,BX1129)&gt;=0),BV1129*BW1129*BX1129,"")</f>
        <v>2.923501605145669</v>
      </c>
      <c r="BZ1129" s="11" t="n">
        <f>IF(ISNUMBER(BO1129),BO1129,"")</f>
        <v>0.8585031562320637</v>
      </c>
      <c r="CA1129" s="14" t="n">
        <f>IF(ISNUMBER(BS1129),BS1129,"")</f>
        <v>30</v>
      </c>
      <c r="CB1129" s="13" t="n">
        <f>IF(AND(COUNT(BV1129,BZ1129,CA1129)=3,MIN(BV1129,BZ1129,CA1129)&gt;=0),BV1129*BZ1129*CA1129,"")</f>
        <v>6.512622262466792</v>
      </c>
      <c r="CC1129" s="11" t="n">
        <f>IF(ISNUMBER(BP1129),BP1129,"")</f>
        <v>0.7896606554092485</v>
      </c>
      <c r="CD1129" s="14" t="n">
        <f>IF(ISNUMBER(BT1129),BT1129,"")</f>
        <v>31</v>
      </c>
      <c r="CE1129" s="13" t="n">
        <f>IF(AND(COUNT(BV1129,CC1129,CD1129)=3,MIN(BV1129,CC1129,CD1129)&gt;=0),BV1129*CC1129*CD1129,"")</f>
        <v>6.190061051155468</v>
      </c>
      <c r="CF1129" s="11" t="n">
        <f>IF(ISNUMBER(BQ1129),BQ1129,"")</f>
        <v>1.0030167116538329</v>
      </c>
      <c r="CG1129" s="14" t="n">
        <f>IF(ISNUMBER(BU1129),BU1129,"")</f>
        <v>17</v>
      </c>
      <c r="CH1129" s="13" t="n">
        <f>IF(AND(COUNT(BV1129,CF1129,CG1129)=3,MIN(BV1129,CF1129,CG1129)&gt;=0),BV1129*CF1129*CG1129,"")</f>
        <v>4.311712838596057</v>
      </c>
      <c r="CI1129" s="13" t="n">
        <f>IF(COUNT(BY1129,CB1129,CE1129,CH1129)=4,SUM(BY1129,CB1129,CE1129,CH1129),"")</f>
        <v>19.937897757363984</v>
      </c>
    </row>
    <row r="1130" ht="72" customHeight="1">
      <c r="A1130" s="16" t="str">
        <v>S02-TNP-40</v>
      </c>
      <c r="B1130" s="16" t="str">
        <v>3店-SANDIEX-US</v>
      </c>
      <c r="C1130" s="16" t="str">
        <v>陈晨</v>
      </c>
      <c r="D1130" s="26" t="n">
        <f>IF(NOT(ISNUMBER(E1130)),"",IF(OR(E1130&lt;=0,L1130=0),0,IF(OR(NOT(ISNUMBER(F1130)),F1130&lt;0),"",MIN(E1130,INT(F1130)))))</f>
        <v>0</v>
      </c>
      <c r="E1130" s="27" t="n">
        <f>IF(OR(NOT(ISNUMBER(L1130)),COUNT(M1130:O1130)&lt;&gt;3,MIN(M1130:O1130)&lt;0),"",ROUNDUP(ROUND(BI1130-SUM(M1130:O1130),10),0))</f>
        <v>-68</v>
      </c>
      <c r="F1130" s="28" t="n">
        <v>0</v>
      </c>
      <c r="G1130" s="28" t="n">
        <f>IF(AND(ISNUMBER(D1130),ISNUMBER(E1130)),IF(OR(E1130&lt;=0,L1130=0),0,E1130-D1130),"")</f>
        <v>0</v>
      </c>
      <c r="H1130" s="16" t="str">
        <f>IF(NOT(ISNUMBER(E1130)),"销量或海外库存待补",IF(OR(E1130&lt;=0,L1130=0),IF(L1130=0,"零日销，本批不发","本批无需补货"),IF(NOT(ISNUMBER(D1130)),"国内库存待补",IF(D1130=0,"国内无可用库存",IF(G1130&gt;0,"先发国内现货","按建议量发货")))))</f>
        <v>本批无需补货</v>
      </c>
      <c r="I1130" s="28" t="n">
        <f>IF(AND(COUNT(Z1130,AA1130,AB1130)=3,Z1130&gt;=AA1130,AA1130&gt;=0,AB1130=7),Z1130-AA1130,"")</f>
        <v>0</v>
      </c>
      <c r="J1130" s="28" t="n">
        <f>IF(AND(COUNT(AF1130,AG1130,AH1130)=3,AF1130&gt;=AG1130,AG1130&gt;=0,AH1130=14),AF1130-AG1130,"")</f>
        <v>0</v>
      </c>
      <c r="K1130" s="28" t="n">
        <f>IF(AND(COUNT(AL1130,AM1130,AN1130)=3,AL1130&gt;=AM1130,AM1130&gt;=0,AN1130=30),AL1130-AM1130,"")</f>
        <v>1</v>
      </c>
      <c r="L1130" s="29" t="n">
        <f>IF(ISNUMBER(BI1130),BI1130/90,"")</f>
        <v>0.04035344857954711</v>
      </c>
      <c r="M1130" s="28" t="n">
        <v>71</v>
      </c>
      <c r="N1130" s="28" t="n">
        <v>0</v>
      </c>
      <c r="O1130" s="28" t="n">
        <v>0</v>
      </c>
      <c r="P1130" s="30" t="n">
        <f>IF(AND(ISNUMBER(L1130),L1130&gt;0,COUNT(M1130:O1130)=3,MIN(M1130:O1130)&gt;=0),SUM(M1130:O1130)/L1130,"")</f>
        <v>1759.4530950692006</v>
      </c>
      <c r="Q1130" s="16" t="str">
        <v>沿用原计划SKU店铺</v>
      </c>
      <c r="R1130" s="16" t="str">
        <v>已匹配</v>
      </c>
      <c r="S1130" s="16" t="str">
        <v>在售</v>
      </c>
      <c r="T1130" s="16" t="str">
        <v>S02</v>
      </c>
      <c r="U1130" s="16" t="str">
        <v>驼色PU</v>
      </c>
      <c r="V1130" s="16" t="n">
        <v>9</v>
      </c>
      <c r="W1130" s="8" t="str">
        <v>2026-10-11 至 2026-10-17</v>
      </c>
      <c r="X1130" s="8" t="str">
        <v>2026-10-11、2026-10-12、2026-10-13、2026-10-14、2026-10-15、2026-10-16、2026-10-17</v>
      </c>
      <c r="Y1130" s="8" t="str">
        <v>无</v>
      </c>
      <c r="Z1130" s="8" t="n">
        <v>0</v>
      </c>
      <c r="AA1130" s="8" t="n">
        <v>0</v>
      </c>
      <c r="AB1130" s="8" t="n">
        <v>7</v>
      </c>
      <c r="AC1130" s="8" t="str">
        <v>2026-10-02 至 2026-10-17</v>
      </c>
      <c r="AD1130" s="8" t="str">
        <v>2026-10-02、2026-10-03、2026-10-04、2026-10-05、2026-10-08、2026-10-09、2026-10-10、2026-10-11、2026-10-12、2026-10-13、2026-10-14、2026-10-15、2026-10-16、2026-10-17</v>
      </c>
      <c r="AE1130" s="8" t="str">
        <v>2026-10-06 大促；2026-10-07 大促</v>
      </c>
      <c r="AF1130" s="8" t="n">
        <v>0</v>
      </c>
      <c r="AG1130" s="8" t="n">
        <v>0</v>
      </c>
      <c r="AH1130" s="8" t="n">
        <v>14</v>
      </c>
      <c r="AI1130" s="8" t="str">
        <v>2026-09-16 至 2026-10-17</v>
      </c>
      <c r="AJ113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0" s="8" t="str">
        <v>2026-10-06 大促；2026-10-07 大促</v>
      </c>
      <c r="AL1130" s="8" t="n">
        <v>1</v>
      </c>
      <c r="AM1130" s="8" t="n">
        <v>0</v>
      </c>
      <c r="AN1130" s="8" t="n">
        <v>30</v>
      </c>
      <c r="AO1130" s="8" t="str">
        <v>S02 / 驼色PU / 6574</v>
      </c>
      <c r="AP1130" s="11" t="n">
        <v>0.9634503791704667</v>
      </c>
      <c r="AQ1130" s="11" t="n">
        <v>0.9634503791704667</v>
      </c>
      <c r="AR1130" s="11" t="n">
        <v>0.902244307144596</v>
      </c>
      <c r="AS1130" s="11" t="n">
        <f>IF(AND(COUNT(I1130:K1130,AP1130:AR1130)=6,MIN(AP1130:AR1130)&gt;0),I1130/7/AP1130*0.5+J1130/14/AQ1130*0.3+K1130/30/AR1130*0.2,"")</f>
        <v>0.007388981691405951</v>
      </c>
      <c r="AT1130" s="8" t="n">
        <v>3</v>
      </c>
      <c r="AU1130" s="8" t="n">
        <v>0</v>
      </c>
      <c r="AV1130" s="8" t="n">
        <v>88</v>
      </c>
      <c r="AW1130" s="11" t="n">
        <f>IF(AND(COUNT(AT1130:AV1130)=3,AT1130&gt;=AU1130,AU1130&gt;=0,AV1130&gt;0),(AT1130-AU1130)/AV1130,"")</f>
        <v>0.03409090909090909</v>
      </c>
      <c r="AX1130" s="8" t="n">
        <v>3</v>
      </c>
      <c r="AY1130" s="8" t="n">
        <v>0</v>
      </c>
      <c r="AZ1130" s="8" t="n">
        <v>178</v>
      </c>
      <c r="BA1130" s="11" t="n">
        <f>IF(AND(COUNT(AX1130:AZ1130)=3,AX1130&gt;=AY1130,AY1130&gt;=0,AZ1130&gt;0),(AX1130-AY1130)/AZ1130,"")</f>
        <v>0.016853932584269662</v>
      </c>
      <c r="BB1130" s="8" t="n">
        <f>IF(COUNT(AS1130,AW1130,BA1130)=3,1,0)</f>
        <v>1</v>
      </c>
      <c r="BC1130" s="11" t="n">
        <f>IF(SUMIF($AO$11:$AO$1309,AO1130,$BB$11:$BB$1309)=COUNTIF($AO$11:$AO$1309,AO1130),SUMIF($AO$11:$AO$1309,AO1130,$AS$11:$AS$1309),"")</f>
        <v>2.9113987850676852</v>
      </c>
      <c r="BD1130" s="11" t="n">
        <f>IF(SUMIF($AO$11:$AO$1309,AO1130,$BB$11:$BB$1309)=COUNTIF($AO$11:$AO$1309,AO1130),SUMIF($AO$11:$AO$1309,AO1130,$AW$11:$AW$1309),"")</f>
        <v>1.9090909090909094</v>
      </c>
      <c r="BE1130" s="11" t="n">
        <f>IF(SUMIF($AO$11:$AO$1309,AO1130,$BB$11:$BB$1309)=COUNTIF($AO$11:$AO$1309,AO1130),SUMIF($AO$11:$AO$1309,AO1130,$BA$11:$BA$1309),"")</f>
        <v>1.5224719101123596</v>
      </c>
      <c r="BF1130" s="12" t="n">
        <f>IF(COUNT(BD1130:BE1130)&lt;&gt;2,"",IF(AND(BD1130&gt;0,BE1130&gt;0),0.7*AW1130/BD1130+0.3*BA1130/BE1130,IF(BD1130&gt;0,AW1130/BD1130,IF(BE1130&gt;0,BA1130/BE1130,IF(AND(ISNUMBER(BH1130),BH1130=0),0,"")))))</f>
        <v>0.0158210332103321</v>
      </c>
      <c r="BG1130" s="11" t="n">
        <f>IF(AND(COUNT(BN1130:BU1130)=8,MIN(BN1130:BU1130)&gt;=0),SUMPRODUCT(BN1130:BQ1130,BR1130:BU1130),"")</f>
        <v>78.84726365280937</v>
      </c>
      <c r="BH1130" s="11" t="n">
        <f>IF(COUNT(BC1130,BG1130)=2,BC1130*BG1130,"")</f>
        <v>229.55582760470068</v>
      </c>
      <c r="BI1130" s="11" t="n">
        <f>IF(ISNUMBER(CI1130),CI1130,"")</f>
        <v>3.63181037215924</v>
      </c>
      <c r="BJ1130" s="8" t="str"/>
      <c r="BK1130" s="8" t="str">
        <v>90天：2026-07-20 至 2026-10-17；180天：2026-04-21 至 2026-10-17</v>
      </c>
      <c r="BL1130" s="8" t="str">
        <v>90天：2026-10-06、2026-10-07；180天：2026-10-06、2026-10-07</v>
      </c>
      <c r="BM1130" s="8" t="str">
        <v>2026-10：12天 × 0.9634503791704667；2026-11：30天 × 0.8585031562320637；2026-12：31天 × 0.7896606554092485；2027-01：17天 × 1.0030167116538329</v>
      </c>
      <c r="BN1130" s="11" t="n">
        <v>0.9634503791704667</v>
      </c>
      <c r="BO1130" s="11" t="n">
        <v>0.8585031562320637</v>
      </c>
      <c r="BP1130" s="11" t="n">
        <v>0.7896606554092485</v>
      </c>
      <c r="BQ1130" s="11" t="n">
        <v>1.0030167116538329</v>
      </c>
      <c r="BR1130" s="8" t="n">
        <v>12</v>
      </c>
      <c r="BS1130" s="8" t="n">
        <v>30</v>
      </c>
      <c r="BT1130" s="8" t="n">
        <v>31</v>
      </c>
      <c r="BU1130" s="8" t="n">
        <v>17</v>
      </c>
      <c r="BV1130" s="11" t="n">
        <f>IF(COUNT(BC1130,BF1130)=2,BC1130*BF1130,"")</f>
        <v>0.04606133686707638</v>
      </c>
      <c r="BW1130" s="11" t="n">
        <f>IF(ISNUMBER(BN1130),BN1130,"")</f>
        <v>0.9634503791704667</v>
      </c>
      <c r="BX1130" s="14" t="n">
        <f>IF(ISNUMBER(BR1130),BR1130,"")</f>
        <v>12</v>
      </c>
      <c r="BY1130" s="13" t="n">
        <f>IF(AND(COUNT(BV1130,BW1130,BX1130)=3,MIN(BV1130,BW1130,BX1130)&gt;=0),BV1130*BW1130*BX1130,"")</f>
        <v>0.5325337496362</v>
      </c>
      <c r="BZ1130" s="11" t="n">
        <f>IF(ISNUMBER(BO1130),BO1130,"")</f>
        <v>0.8585031562320637</v>
      </c>
      <c r="CA1130" s="14" t="n">
        <f>IF(ISNUMBER(BS1130),BS1130,"")</f>
        <v>30</v>
      </c>
      <c r="CB1130" s="13" t="n">
        <f>IF(AND(COUNT(BV1130,BZ1130,CA1130)=3,MIN(BV1130,BZ1130,CA1130)&gt;=0),BV1130*BZ1130*CA1130,"")</f>
        <v>1.1863140924196016</v>
      </c>
      <c r="CC1130" s="11" t="n">
        <f>IF(ISNUMBER(BP1130),BP1130,"")</f>
        <v>0.7896606554092485</v>
      </c>
      <c r="CD1130" s="14" t="n">
        <f>IF(ISNUMBER(BT1130),BT1130,"")</f>
        <v>31</v>
      </c>
      <c r="CE1130" s="13" t="n">
        <f>IF(AND(COUNT(BV1130,CC1130,CD1130)=3,MIN(BV1130,CC1130,CD1130)&gt;=0),BV1130*CC1130*CD1130,"")</f>
        <v>1.1275575892439331</v>
      </c>
      <c r="CF1130" s="11" t="n">
        <f>IF(ISNUMBER(BQ1130),BQ1130,"")</f>
        <v>1.0030167116538329</v>
      </c>
      <c r="CG1130" s="14" t="n">
        <f>IF(ISNUMBER(BU1130),BU1130,"")</f>
        <v>17</v>
      </c>
      <c r="CH1130" s="13" t="n">
        <f>IF(AND(COUNT(BV1130,CF1130,CG1130)=3,MIN(BV1130,CF1130,CG1130)&gt;=0),BV1130*CF1130*CG1130,"")</f>
        <v>0.785404940859505</v>
      </c>
      <c r="CI1130" s="13" t="n">
        <f>IF(COUNT(BY1130,CB1130,CE1130,CH1130)=4,SUM(BY1130,CB1130,CE1130,CH1130),"")</f>
        <v>3.63181037215924</v>
      </c>
    </row>
    <row r="1131" ht="72" customHeight="1">
      <c r="A1131" s="16" t="str">
        <v>S02-TNP-41</v>
      </c>
      <c r="B1131" s="16" t="str">
        <v>3店-SANDIEX-US</v>
      </c>
      <c r="C1131" s="16" t="str">
        <v>陈晨</v>
      </c>
      <c r="D1131" s="26" t="n">
        <f>IF(NOT(ISNUMBER(E1131)),"",IF(OR(E1131&lt;=0,L1131=0),0,IF(OR(NOT(ISNUMBER(F1131)),F1131&lt;0),"",MIN(E1131,INT(F1131)))))</f>
        <v>0</v>
      </c>
      <c r="E1131" s="27" t="n">
        <f>IF(OR(NOT(ISNUMBER(L1131)),COUNT(M1131:O1131)&lt;&gt;3,MIN(M1131:O1131)&lt;0),"",ROUNDUP(ROUND(BI1131-SUM(M1131:O1131),10),0))</f>
        <v>-23</v>
      </c>
      <c r="F1131" s="28" t="n">
        <v>0</v>
      </c>
      <c r="G1131" s="28" t="n">
        <f>IF(AND(ISNUMBER(D1131),ISNUMBER(E1131)),IF(OR(E1131&lt;=0,L1131=0),0,E1131-D1131),"")</f>
        <v>0</v>
      </c>
      <c r="H1131" s="16" t="str">
        <f>IF(NOT(ISNUMBER(E1131)),"销量或海外库存待补",IF(OR(E1131&lt;=0,L1131=0),IF(L1131=0,"零日销，本批不发","本批无需补货"),IF(NOT(ISNUMBER(D1131)),"国内库存待补",IF(D1131=0,"国内无可用库存",IF(G1131&gt;0,"先发国内现货","按建议量发货")))))</f>
        <v>本批无需补货</v>
      </c>
      <c r="I1131" s="28" t="n">
        <f>IF(AND(COUNT(Z1131,AA1131,AB1131)=3,Z1131&gt;=AA1131,AA1131&gt;=0,AB1131=7),Z1131-AA1131,"")</f>
        <v>2</v>
      </c>
      <c r="J1131" s="28" t="n">
        <f>IF(AND(COUNT(AF1131,AG1131,AH1131)=3,AF1131&gt;=AG1131,AG1131&gt;=0,AH1131=14),AF1131-AG1131,"")</f>
        <v>6</v>
      </c>
      <c r="K1131" s="28" t="n">
        <f>IF(AND(COUNT(AL1131,AM1131,AN1131)=3,AL1131&gt;=AM1131,AM1131&gt;=0,AN1131=30),AL1131-AM1131,"")</f>
        <v>9</v>
      </c>
      <c r="L1131" s="29" t="n">
        <f>IF(ISNUMBER(BI1131),BI1131/90,"")</f>
        <v>0.30439598432890635</v>
      </c>
      <c r="M1131" s="28" t="n">
        <v>50</v>
      </c>
      <c r="N1131" s="28" t="n">
        <v>0</v>
      </c>
      <c r="O1131" s="28" t="n">
        <v>0</v>
      </c>
      <c r="P1131" s="30" t="n">
        <f>IF(AND(ISNUMBER(L1131),L1131&gt;0,COUNT(M1131:O1131)=3,MIN(M1131:O1131)&gt;=0),SUM(M1131:O1131)/L1131,"")</f>
        <v>164.25972277602037</v>
      </c>
      <c r="Q1131" s="16" t="str">
        <v>沿用原计划SKU店铺</v>
      </c>
      <c r="R1131" s="16" t="str">
        <v>已匹配</v>
      </c>
      <c r="S1131" s="16" t="str">
        <v>在售</v>
      </c>
      <c r="T1131" s="16" t="str">
        <v>S02</v>
      </c>
      <c r="U1131" s="16" t="str">
        <v>驼色PU</v>
      </c>
      <c r="V1131" s="16" t="n">
        <v>10</v>
      </c>
      <c r="W1131" s="8" t="str">
        <v>2026-10-11 至 2026-10-17</v>
      </c>
      <c r="X1131" s="8" t="str">
        <v>2026-10-11、2026-10-12、2026-10-13、2026-10-14、2026-10-15、2026-10-16、2026-10-17</v>
      </c>
      <c r="Y1131" s="8" t="str">
        <v>无</v>
      </c>
      <c r="Z1131" s="8" t="n">
        <v>2</v>
      </c>
      <c r="AA1131" s="8" t="n">
        <v>0</v>
      </c>
      <c r="AB1131" s="8" t="n">
        <v>7</v>
      </c>
      <c r="AC1131" s="8" t="str">
        <v>2026-10-02 至 2026-10-17</v>
      </c>
      <c r="AD1131" s="8" t="str">
        <v>2026-10-02、2026-10-03、2026-10-04、2026-10-05、2026-10-08、2026-10-09、2026-10-10、2026-10-11、2026-10-12、2026-10-13、2026-10-14、2026-10-15、2026-10-16、2026-10-17</v>
      </c>
      <c r="AE1131" s="8" t="str">
        <v>2026-10-06 大促；2026-10-07 大促</v>
      </c>
      <c r="AF1131" s="8" t="n">
        <v>10</v>
      </c>
      <c r="AG1131" s="8" t="n">
        <v>4</v>
      </c>
      <c r="AH1131" s="8" t="n">
        <v>14</v>
      </c>
      <c r="AI1131" s="8" t="str">
        <v>2026-09-16 至 2026-10-17</v>
      </c>
      <c r="AJ113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1" s="8" t="str">
        <v>2026-10-06 大促；2026-10-07 大促</v>
      </c>
      <c r="AL1131" s="8" t="n">
        <v>13</v>
      </c>
      <c r="AM1131" s="8" t="n">
        <v>4</v>
      </c>
      <c r="AN1131" s="8" t="n">
        <v>30</v>
      </c>
      <c r="AO1131" s="8" t="str">
        <v>S02 / 驼色PU / 6574</v>
      </c>
      <c r="AP1131" s="11" t="n">
        <v>0.9634503791704667</v>
      </c>
      <c r="AQ1131" s="11" t="n">
        <v>0.9634503791704667</v>
      </c>
      <c r="AR1131" s="11" t="n">
        <v>0.902244307144596</v>
      </c>
      <c r="AS1131" s="11" t="n">
        <f>IF(AND(COUNT(I1131:K1131,AP1131:AR1131)=6,MIN(AP1131:AR1131)&gt;0),I1131/7/AP1131*0.5+J1131/14/AQ1131*0.3+K1131/30/AR1131*0.2,"")</f>
        <v>0.3482263680542168</v>
      </c>
      <c r="AT1131" s="8" t="n">
        <v>26</v>
      </c>
      <c r="AU1131" s="8" t="n">
        <v>4</v>
      </c>
      <c r="AV1131" s="8" t="n">
        <v>88</v>
      </c>
      <c r="AW1131" s="11" t="n">
        <f>IF(AND(COUNT(AT1131:AV1131)=3,AT1131&gt;=AU1131,AU1131&gt;=0,AV1131&gt;0),(AT1131-AU1131)/AV1131,"")</f>
        <v>0.25</v>
      </c>
      <c r="AX1131" s="8" t="n">
        <v>29</v>
      </c>
      <c r="AY1131" s="8" t="n">
        <v>4</v>
      </c>
      <c r="AZ1131" s="8" t="n">
        <v>178</v>
      </c>
      <c r="BA1131" s="11" t="n">
        <f>IF(AND(COUNT(AX1131:AZ1131)=3,AX1131&gt;=AY1131,AY1131&gt;=0,AZ1131&gt;0),(AX1131-AY1131)/AZ1131,"")</f>
        <v>0.1404494382022472</v>
      </c>
      <c r="BB1131" s="8" t="n">
        <f>IF(COUNT(AS1131,AW1131,BA1131)=3,1,0)</f>
        <v>1</v>
      </c>
      <c r="BC1131" s="11" t="n">
        <f>IF(SUMIF($AO$11:$AO$1309,AO1131,$BB$11:$BB$1309)=COUNTIF($AO$11:$AO$1309,AO1131),SUMIF($AO$11:$AO$1309,AO1131,$AS$11:$AS$1309),"")</f>
        <v>2.9113987850676852</v>
      </c>
      <c r="BD1131" s="11" t="n">
        <f>IF(SUMIF($AO$11:$AO$1309,AO1131,$BB$11:$BB$1309)=COUNTIF($AO$11:$AO$1309,AO1131),SUMIF($AO$11:$AO$1309,AO1131,$AW$11:$AW$1309),"")</f>
        <v>1.9090909090909094</v>
      </c>
      <c r="BE1131" s="11" t="n">
        <f>IF(SUMIF($AO$11:$AO$1309,AO1131,$BB$11:$BB$1309)=COUNTIF($AO$11:$AO$1309,AO1131),SUMIF($AO$11:$AO$1309,AO1131,$BA$11:$BA$1309),"")</f>
        <v>1.5224719101123596</v>
      </c>
      <c r="BF1131" s="12" t="n">
        <f>IF(COUNT(BD1131:BE1131)&lt;&gt;2,"",IF(AND(BD1131&gt;0,BE1131&gt;0),0.7*AW1131/BD1131+0.3*BA1131/BE1131,IF(BD1131&gt;0,AW1131/BD1131,IF(BE1131&gt;0,BA1131/BE1131,IF(AND(ISNUMBER(BH1131),BH1131=0),0,"")))))</f>
        <v>0.11934194341943417</v>
      </c>
      <c r="BG1131" s="11" t="n">
        <f>IF(AND(COUNT(BN1131:BU1131)=8,MIN(BN1131:BU1131)&gt;=0),SUMPRODUCT(BN1131:BQ1131,BR1131:BU1131),"")</f>
        <v>78.84726365280937</v>
      </c>
      <c r="BH1131" s="11" t="n">
        <f>IF(COUNT(BC1131,BG1131)=2,BC1131*BG1131,"")</f>
        <v>229.55582760470068</v>
      </c>
      <c r="BI1131" s="11" t="n">
        <f>IF(ISNUMBER(CI1131),CI1131,"")</f>
        <v>27.39563858960157</v>
      </c>
      <c r="BJ1131" s="8" t="str"/>
      <c r="BK1131" s="8" t="str">
        <v>90天：2026-07-20 至 2026-10-17；180天：2026-04-21 至 2026-10-17</v>
      </c>
      <c r="BL1131" s="8" t="str">
        <v>90天：2026-10-06、2026-10-07；180天：2026-10-06、2026-10-07</v>
      </c>
      <c r="BM1131" s="8" t="str">
        <v>2026-10：12天 × 0.9634503791704667；2026-11：30天 × 0.8585031562320637；2026-12：31天 × 0.7896606554092485；2027-01：17天 × 1.0030167116538329</v>
      </c>
      <c r="BN1131" s="11" t="n">
        <v>0.9634503791704667</v>
      </c>
      <c r="BO1131" s="11" t="n">
        <v>0.8585031562320637</v>
      </c>
      <c r="BP1131" s="11" t="n">
        <v>0.7896606554092485</v>
      </c>
      <c r="BQ1131" s="11" t="n">
        <v>1.0030167116538329</v>
      </c>
      <c r="BR1131" s="8" t="n">
        <v>12</v>
      </c>
      <c r="BS1131" s="8" t="n">
        <v>30</v>
      </c>
      <c r="BT1131" s="8" t="n">
        <v>31</v>
      </c>
      <c r="BU1131" s="8" t="n">
        <v>17</v>
      </c>
      <c r="BV1131" s="11" t="n">
        <f>IF(COUNT(BC1131,BF1131)=2,BC1131*BF1131,"")</f>
        <v>0.3474519890789571</v>
      </c>
      <c r="BW1131" s="11" t="n">
        <f>IF(ISNUMBER(BN1131),BN1131,"")</f>
        <v>0.9634503791704667</v>
      </c>
      <c r="BX1131" s="14" t="n">
        <f>IF(ISNUMBER(BR1131),BR1131,"")</f>
        <v>12</v>
      </c>
      <c r="BY1131" s="13" t="n">
        <f>IF(AND(COUNT(BV1131,BW1131,BX1131)=3,MIN(BV1131,BW1131,BX1131)&gt;=0),BV1131*BW1131*BX1131,"")</f>
        <v>4.017033007459848</v>
      </c>
      <c r="BZ1131" s="11" t="n">
        <f>IF(ISNUMBER(BO1131),BO1131,"")</f>
        <v>0.8585031562320637</v>
      </c>
      <c r="CA1131" s="14" t="n">
        <f>IF(ISNUMBER(BS1131),BS1131,"")</f>
        <v>30</v>
      </c>
      <c r="CB1131" s="13" t="n">
        <f>IF(AND(COUNT(BV1131,BZ1131,CA1131)=3,MIN(BV1131,BZ1131,CA1131)&gt;=0),BV1131*BZ1131*CA1131,"")</f>
        <v>8.948658877901797</v>
      </c>
      <c r="CC1131" s="11" t="n">
        <f>IF(ISNUMBER(BP1131),BP1131,"")</f>
        <v>0.7896606554092485</v>
      </c>
      <c r="CD1131" s="14" t="n">
        <f>IF(ISNUMBER(BT1131),BT1131,"")</f>
        <v>31</v>
      </c>
      <c r="CE1131" s="13" t="n">
        <f>IF(AND(COUNT(BV1131,CC1131,CD1131)=3,MIN(BV1131,CC1131,CD1131)&gt;=0),BV1131*CC1131*CD1131,"")</f>
        <v>8.505444127999423</v>
      </c>
      <c r="CF1131" s="11" t="n">
        <f>IF(ISNUMBER(BQ1131),BQ1131,"")</f>
        <v>1.0030167116538329</v>
      </c>
      <c r="CG1131" s="14" t="n">
        <f>IF(ISNUMBER(BU1131),BU1131,"")</f>
        <v>17</v>
      </c>
      <c r="CH1131" s="13" t="n">
        <f>IF(AND(COUNT(BV1131,CF1131,CG1131)=3,MIN(BV1131,CF1131,CG1131)&gt;=0),BV1131*CF1131*CG1131,"")</f>
        <v>5.924502576240503</v>
      </c>
      <c r="CI1131" s="13" t="n">
        <f>IF(COUNT(BY1131,CB1131,CE1131,CH1131)=4,SUM(BY1131,CB1131,CE1131,CH1131),"")</f>
        <v>27.39563858960157</v>
      </c>
    </row>
    <row r="1132" ht="72" customHeight="1">
      <c r="A1132" s="16" t="str">
        <v>S02-TNP-42</v>
      </c>
      <c r="B1132" s="16" t="str">
        <v>3店-SANDIEX-US</v>
      </c>
      <c r="C1132" s="16" t="str">
        <v>陈晨</v>
      </c>
      <c r="D1132" s="26" t="n">
        <f>IF(NOT(ISNUMBER(E1132)),"",IF(OR(E1132&lt;=0,L1132=0),0,IF(OR(NOT(ISNUMBER(F1132)),F1132&lt;0),"",MIN(E1132,INT(F1132)))))</f>
        <v>0</v>
      </c>
      <c r="E1132" s="27" t="n">
        <f>IF(OR(NOT(ISNUMBER(L1132)),COUNT(M1132:O1132)&lt;&gt;3,MIN(M1132:O1132)&lt;0),"",ROUNDUP(ROUND(BI1132-SUM(M1132:O1132),10),0))</f>
        <v>-7</v>
      </c>
      <c r="F1132" s="28" t="n">
        <v>0</v>
      </c>
      <c r="G1132" s="28" t="n">
        <f>IF(AND(ISNUMBER(D1132),ISNUMBER(E1132)),IF(OR(E1132&lt;=0,L1132=0),0,E1132-D1132),"")</f>
        <v>0</v>
      </c>
      <c r="H1132" s="16" t="str">
        <f>IF(NOT(ISNUMBER(E1132)),"销量或海外库存待补",IF(OR(E1132&lt;=0,L1132=0),IF(L1132=0,"零日销，本批不发","本批无需补货"),IF(NOT(ISNUMBER(D1132)),"国内库存待补",IF(D1132=0,"国内无可用库存",IF(G1132&gt;0,"先发国内现货","按建议量发货")))))</f>
        <v>本批无需补货</v>
      </c>
      <c r="I1132" s="28" t="n">
        <f>IF(AND(COUNT(Z1132,AA1132,AB1132)=3,Z1132&gt;=AA1132,AA1132&gt;=0,AB1132=7),Z1132-AA1132,"")</f>
        <v>0</v>
      </c>
      <c r="J1132" s="28" t="n">
        <f>IF(AND(COUNT(AF1132,AG1132,AH1132)=3,AF1132&gt;=AG1132,AG1132&gt;=0,AH1132=14),AF1132-AG1132,"")</f>
        <v>3</v>
      </c>
      <c r="K1132" s="28" t="n">
        <f>IF(AND(COUNT(AL1132,AM1132,AN1132)=3,AL1132&gt;=AM1132,AM1132&gt;=0,AN1132=30),AL1132-AM1132,"")</f>
        <v>3</v>
      </c>
      <c r="L1132" s="29" t="n">
        <f>IF(ISNUMBER(BI1132),BI1132/90,"")</f>
        <v>0.11392300109191872</v>
      </c>
      <c r="M1132" s="28" t="n">
        <v>17</v>
      </c>
      <c r="N1132" s="28" t="n">
        <v>0</v>
      </c>
      <c r="O1132" s="28" t="n">
        <v>0</v>
      </c>
      <c r="P1132" s="30" t="n">
        <f>IF(AND(ISNUMBER(L1132),L1132&gt;0,COUNT(M1132:O1132)=3,MIN(M1132:O1132)&gt;=0),SUM(M1132:O1132)/L1132,"")</f>
        <v>149.22359696514278</v>
      </c>
      <c r="Q1132" s="16" t="str">
        <v>沿用原计划SKU店铺</v>
      </c>
      <c r="R1132" s="16" t="str">
        <v>已匹配</v>
      </c>
      <c r="S1132" s="16" t="str">
        <v>在售</v>
      </c>
      <c r="T1132" s="16" t="str">
        <v>S02</v>
      </c>
      <c r="U1132" s="16" t="str">
        <v>驼色PU</v>
      </c>
      <c r="V1132" s="16" t="n">
        <v>11</v>
      </c>
      <c r="W1132" s="8" t="str">
        <v>2026-10-11 至 2026-10-17</v>
      </c>
      <c r="X1132" s="8" t="str">
        <v>2026-10-11、2026-10-12、2026-10-13、2026-10-14、2026-10-15、2026-10-16、2026-10-17</v>
      </c>
      <c r="Y1132" s="8" t="str">
        <v>无</v>
      </c>
      <c r="Z1132" s="8" t="n">
        <v>0</v>
      </c>
      <c r="AA1132" s="8" t="n">
        <v>0</v>
      </c>
      <c r="AB1132" s="8" t="n">
        <v>7</v>
      </c>
      <c r="AC1132" s="8" t="str">
        <v>2026-10-02 至 2026-10-17</v>
      </c>
      <c r="AD1132" s="8" t="str">
        <v>2026-10-02、2026-10-03、2026-10-04、2026-10-05、2026-10-08、2026-10-09、2026-10-10、2026-10-11、2026-10-12、2026-10-13、2026-10-14、2026-10-15、2026-10-16、2026-10-17</v>
      </c>
      <c r="AE1132" s="8" t="str">
        <v>2026-10-06 大促；2026-10-07 大促</v>
      </c>
      <c r="AF1132" s="8" t="n">
        <v>4</v>
      </c>
      <c r="AG1132" s="8" t="n">
        <v>1</v>
      </c>
      <c r="AH1132" s="8" t="n">
        <v>14</v>
      </c>
      <c r="AI1132" s="8" t="str">
        <v>2026-09-16 至 2026-10-17</v>
      </c>
      <c r="AJ113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2" s="8" t="str">
        <v>2026-10-06 大促；2026-10-07 大促</v>
      </c>
      <c r="AL1132" s="8" t="n">
        <v>4</v>
      </c>
      <c r="AM1132" s="8" t="n">
        <v>1</v>
      </c>
      <c r="AN1132" s="8" t="n">
        <v>30</v>
      </c>
      <c r="AO1132" s="8" t="str">
        <v>S02 / 驼色PU / 6574</v>
      </c>
      <c r="AP1132" s="11" t="n">
        <v>0.9634503791704667</v>
      </c>
      <c r="AQ1132" s="11" t="n">
        <v>0.9634503791704667</v>
      </c>
      <c r="AR1132" s="11" t="n">
        <v>0.902244307144596</v>
      </c>
      <c r="AS1132" s="11" t="n">
        <f>IF(AND(COUNT(I1132:K1132,AP1132:AR1132)=6,MIN(AP1132:AR1132)&gt;0),I1132/7/AP1132*0.5+J1132/14/AQ1132*0.3+K1132/30/AR1132*0.2,"")</f>
        <v>0.0888914133764302</v>
      </c>
      <c r="AT1132" s="8" t="n">
        <v>8</v>
      </c>
      <c r="AU1132" s="8" t="n">
        <v>1</v>
      </c>
      <c r="AV1132" s="8" t="n">
        <v>88</v>
      </c>
      <c r="AW1132" s="11" t="n">
        <f>IF(AND(COUNT(AT1132:AV1132)=3,AT1132&gt;=AU1132,AU1132&gt;=0,AV1132&gt;0),(AT1132-AU1132)/AV1132,"")</f>
        <v>0.07954545454545454</v>
      </c>
      <c r="AX1132" s="8" t="n">
        <v>15</v>
      </c>
      <c r="AY1132" s="8" t="n">
        <v>1</v>
      </c>
      <c r="AZ1132" s="8" t="n">
        <v>178</v>
      </c>
      <c r="BA1132" s="11" t="n">
        <f>IF(AND(COUNT(AX1132:AZ1132)=3,AX1132&gt;=AY1132,AY1132&gt;=0,AZ1132&gt;0),(AX1132-AY1132)/AZ1132,"")</f>
        <v>0.07865168539325842</v>
      </c>
      <c r="BB1132" s="8" t="n">
        <f>IF(COUNT(AS1132,AW1132,BA1132)=3,1,0)</f>
        <v>1</v>
      </c>
      <c r="BC1132" s="11" t="n">
        <f>IF(SUMIF($AO$11:$AO$1309,AO1132,$BB$11:$BB$1309)=COUNTIF($AO$11:$AO$1309,AO1132),SUMIF($AO$11:$AO$1309,AO1132,$AS$11:$AS$1309),"")</f>
        <v>2.9113987850676852</v>
      </c>
      <c r="BD1132" s="11" t="n">
        <f>IF(SUMIF($AO$11:$AO$1309,AO1132,$BB$11:$BB$1309)=COUNTIF($AO$11:$AO$1309,AO1132),SUMIF($AO$11:$AO$1309,AO1132,$AW$11:$AW$1309),"")</f>
        <v>1.9090909090909094</v>
      </c>
      <c r="BE1132" s="11" t="n">
        <f>IF(SUMIF($AO$11:$AO$1309,AO1132,$BB$11:$BB$1309)=COUNTIF($AO$11:$AO$1309,AO1132),SUMIF($AO$11:$AO$1309,AO1132,$BA$11:$BA$1309),"")</f>
        <v>1.5224719101123596</v>
      </c>
      <c r="BF1132" s="12" t="n">
        <f>IF(COUNT(BD1132:BE1132)&lt;&gt;2,"",IF(AND(BD1132&gt;0,BE1132&gt;0),0.7*AW1132/BD1132+0.3*BA1132/BE1132,IF(BD1132&gt;0,AW1132/BD1132,IF(BE1132&gt;0,BA1132/BE1132,IF(AND(ISNUMBER(BH1132),BH1132=0),0,"")))))</f>
        <v>0.044664821648216474</v>
      </c>
      <c r="BG1132" s="11" t="n">
        <f>IF(AND(COUNT(BN1132:BU1132)=8,MIN(BN1132:BU1132)&gt;=0),SUMPRODUCT(BN1132:BQ1132,BR1132:BU1132),"")</f>
        <v>78.84726365280937</v>
      </c>
      <c r="BH1132" s="11" t="n">
        <f>IF(COUNT(BC1132,BG1132)=2,BC1132*BG1132,"")</f>
        <v>229.55582760470068</v>
      </c>
      <c r="BI1132" s="11" t="n">
        <f>IF(ISNUMBER(CI1132),CI1132,"")</f>
        <v>10.253070098272685</v>
      </c>
      <c r="BJ1132" s="8" t="str"/>
      <c r="BK1132" s="8" t="str">
        <v>90天：2026-07-20 至 2026-10-17；180天：2026-04-21 至 2026-10-17</v>
      </c>
      <c r="BL1132" s="8" t="str">
        <v>90天：2026-10-06、2026-10-07；180天：2026-10-06、2026-10-07</v>
      </c>
      <c r="BM1132" s="8" t="str">
        <v>2026-10：12天 × 0.9634503791704667；2026-11：30天 × 0.8585031562320637；2026-12：31天 × 0.7896606554092485；2027-01：17天 × 1.0030167116538329</v>
      </c>
      <c r="BN1132" s="11" t="n">
        <v>0.9634503791704667</v>
      </c>
      <c r="BO1132" s="11" t="n">
        <v>0.8585031562320637</v>
      </c>
      <c r="BP1132" s="11" t="n">
        <v>0.7896606554092485</v>
      </c>
      <c r="BQ1132" s="11" t="n">
        <v>1.0030167116538329</v>
      </c>
      <c r="BR1132" s="8" t="n">
        <v>12</v>
      </c>
      <c r="BS1132" s="8" t="n">
        <v>30</v>
      </c>
      <c r="BT1132" s="8" t="n">
        <v>31</v>
      </c>
      <c r="BU1132" s="8" t="n">
        <v>17</v>
      </c>
      <c r="BV1132" s="11" t="n">
        <f>IF(COUNT(BC1132,BF1132)=2,BC1132*BF1132,"")</f>
        <v>0.1300371074818823</v>
      </c>
      <c r="BW1132" s="11" t="n">
        <f>IF(ISNUMBER(BN1132),BN1132,"")</f>
        <v>0.9634503791704667</v>
      </c>
      <c r="BX1132" s="14" t="n">
        <f>IF(ISNUMBER(BR1132),BR1132,"")</f>
        <v>12</v>
      </c>
      <c r="BY1132" s="13" t="n">
        <f>IF(AND(COUNT(BV1132,BW1132,BX1132)=3,MIN(BV1132,BW1132,BX1132)&gt;=0),BV1132*BW1132*BX1132,"")</f>
        <v>1.5034116061158027</v>
      </c>
      <c r="BZ1132" s="11" t="n">
        <f>IF(ISNUMBER(BO1132),BO1132,"")</f>
        <v>0.8585031562320637</v>
      </c>
      <c r="CA1132" s="14" t="n">
        <f>IF(ISNUMBER(BS1132),BS1132,"")</f>
        <v>30</v>
      </c>
      <c r="CB1132" s="13" t="n">
        <f>IF(AND(COUNT(BV1132,BZ1132,CA1132)=3,MIN(BV1132,BZ1132,CA1132)&gt;=0),BV1132*BZ1132*CA1132,"")</f>
        <v>3.349118016014522</v>
      </c>
      <c r="CC1132" s="11" t="n">
        <f>IF(ISNUMBER(BP1132),BP1132,"")</f>
        <v>0.7896606554092485</v>
      </c>
      <c r="CD1132" s="14" t="n">
        <f>IF(ISNUMBER(BT1132),BT1132,"")</f>
        <v>31</v>
      </c>
      <c r="CE1132" s="13" t="n">
        <f>IF(AND(COUNT(BV1132,CC1132,CD1132)=3,MIN(BV1132,CC1132,CD1132)&gt;=0),BV1132*CC1132*CD1132,"")</f>
        <v>3.183240813171648</v>
      </c>
      <c r="CF1132" s="11" t="n">
        <f>IF(ISNUMBER(BQ1132),BQ1132,"")</f>
        <v>1.0030167116538329</v>
      </c>
      <c r="CG1132" s="14" t="n">
        <f>IF(ISNUMBER(BU1132),BU1132,"")</f>
        <v>17</v>
      </c>
      <c r="CH1132" s="13" t="n">
        <f>IF(AND(COUNT(BV1132,CF1132,CG1132)=3,MIN(BV1132,CF1132,CG1132)&gt;=0),BV1132*CF1132*CG1132,"")</f>
        <v>2.2172996629707113</v>
      </c>
      <c r="CI1132" s="13" t="n">
        <f>IF(COUNT(BY1132,CB1132,CE1132,CH1132)=4,SUM(BY1132,CB1132,CE1132,CH1132),"")</f>
        <v>10.253070098272685</v>
      </c>
    </row>
    <row r="1133" ht="72" customHeight="1">
      <c r="A1133" s="16" t="str">
        <v>S02a-BK-37</v>
      </c>
      <c r="B1133" s="16" t="str">
        <v>3店-SANDIEX-US</v>
      </c>
      <c r="C1133" s="16" t="str">
        <v>陈晨</v>
      </c>
      <c r="D1133" s="26" t="n">
        <f>IF(NOT(ISNUMBER(E1133)),"",IF(OR(E1133&lt;=0,L1133=0),0,IF(OR(NOT(ISNUMBER(F1133)),F1133&lt;0),"",MIN(E1133,INT(F1133)))))</f>
        <v>0</v>
      </c>
      <c r="E1133" s="27" t="n">
        <f>IF(OR(NOT(ISNUMBER(L1133)),COUNT(M1133:O1133)&lt;&gt;3,MIN(M1133:O1133)&lt;0),"",ROUNDUP(ROUND(BI1133-SUM(M1133:O1133),10),0))</f>
        <v>-20</v>
      </c>
      <c r="F1133" s="28" t="n">
        <v>232</v>
      </c>
      <c r="G1133" s="28" t="n">
        <f>IF(AND(ISNUMBER(D1133),ISNUMBER(E1133)),IF(OR(E1133&lt;=0,L1133=0),0,E1133-D1133),"")</f>
        <v>0</v>
      </c>
      <c r="H1133" s="16" t="str">
        <f>IF(NOT(ISNUMBER(E1133)),"销量或海外库存待补",IF(OR(E1133&lt;=0,L1133=0),IF(L1133=0,"零日销，本批不发","本批无需补货"),IF(NOT(ISNUMBER(D1133)),"国内库存待补",IF(D1133=0,"国内无可用库存",IF(G1133&gt;0,"先发国内现货","按建议量发货")))))</f>
        <v>本批无需补货</v>
      </c>
      <c r="I1133" s="28" t="n">
        <f>IF(AND(COUNT(Z1133,AA1133,AB1133)=3,Z1133&gt;=AA1133,AA1133&gt;=0,AB1133=7),Z1133-AA1133,"")</f>
        <v>0</v>
      </c>
      <c r="J1133" s="28" t="n">
        <f>IF(AND(COUNT(AF1133,AG1133,AH1133)=3,AF1133&gt;=AG1133,AG1133&gt;=0,AH1133=14),AF1133-AG1133,"")</f>
        <v>0</v>
      </c>
      <c r="K1133" s="28" t="n">
        <f>IF(AND(COUNT(AL1133,AM1133,AN1133)=3,AL1133&gt;=AM1133,AM1133&gt;=0,AN1133=30),AL1133-AM1133,"")</f>
        <v>0</v>
      </c>
      <c r="L1133" s="29" t="n">
        <f>IF(ISNUMBER(BI1133),BI1133/90,"")</f>
        <v>0.07427310109852725</v>
      </c>
      <c r="M1133" s="28" t="n">
        <v>26</v>
      </c>
      <c r="N1133" s="28" t="n">
        <v>0</v>
      </c>
      <c r="O1133" s="28" t="n">
        <v>0</v>
      </c>
      <c r="P1133" s="30" t="n">
        <f>IF(AND(ISNUMBER(L1133),L1133&gt;0,COUNT(M1133:O1133)=3,MIN(M1133:O1133)&gt;=0),SUM(M1133:O1133)/L1133,"")</f>
        <v>350.0594376086385</v>
      </c>
      <c r="Q1133" s="16" t="str">
        <v>沿用原计划SKU店铺</v>
      </c>
      <c r="R1133" s="16" t="str">
        <v>已匹配</v>
      </c>
      <c r="S1133" s="16" t="str">
        <v>在售</v>
      </c>
      <c r="T1133" s="16" t="str">
        <v>S02a</v>
      </c>
      <c r="U1133" s="16" t="str">
        <v>黑色</v>
      </c>
      <c r="V1133" s="16" t="n">
        <v>6</v>
      </c>
      <c r="W1133" s="8" t="str">
        <v>2026-10-11 至 2026-10-17</v>
      </c>
      <c r="X1133" s="8" t="str">
        <v>2026-10-11、2026-10-12、2026-10-13、2026-10-14、2026-10-15、2026-10-16、2026-10-17</v>
      </c>
      <c r="Y1133" s="8" t="str">
        <v>无</v>
      </c>
      <c r="Z1133" s="8" t="n">
        <v>0</v>
      </c>
      <c r="AA1133" s="8" t="n">
        <v>0</v>
      </c>
      <c r="AB1133" s="8" t="n">
        <v>7</v>
      </c>
      <c r="AC1133" s="8" t="str">
        <v>2026-10-02 至 2026-10-17</v>
      </c>
      <c r="AD1133" s="8" t="str">
        <v>2026-10-02、2026-10-03、2026-10-04、2026-10-05、2026-10-08、2026-10-09、2026-10-10、2026-10-11、2026-10-12、2026-10-13、2026-10-14、2026-10-15、2026-10-16、2026-10-17</v>
      </c>
      <c r="AE1133" s="8" t="str">
        <v>2026-10-06 大促；2026-10-07 大促</v>
      </c>
      <c r="AF1133" s="8" t="n">
        <v>0</v>
      </c>
      <c r="AG1133" s="8" t="n">
        <v>0</v>
      </c>
      <c r="AH1133" s="8" t="n">
        <v>14</v>
      </c>
      <c r="AI1133" s="8" t="str">
        <v>2026-09-16 至 2026-10-17</v>
      </c>
      <c r="AJ113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3" s="8" t="str">
        <v>2026-10-06 大促；2026-10-07 大促</v>
      </c>
      <c r="AL1133" s="8" t="n">
        <v>0</v>
      </c>
      <c r="AM1133" s="8" t="n">
        <v>0</v>
      </c>
      <c r="AN1133" s="8" t="n">
        <v>30</v>
      </c>
      <c r="AO1133" s="8" t="str">
        <v>S02a / 黑色 / 6574</v>
      </c>
      <c r="AP1133" s="11" t="n">
        <v>0.7647664488148722</v>
      </c>
      <c r="AQ1133" s="11" t="n">
        <v>0.7647664488148722</v>
      </c>
      <c r="AR1133" s="11" t="n">
        <v>0.8066052567225582</v>
      </c>
      <c r="AS1133" s="11" t="n">
        <f>IF(AND(COUNT(I1133:K1133,AP1133:AR1133)=6,MIN(AP1133:AR1133)&gt;0),I1133/7/AP1133*0.5+J1133/14/AQ1133*0.3+K1133/30/AR1133*0.2,"")</f>
        <v>0</v>
      </c>
      <c r="AT1133" s="8" t="n">
        <v>3</v>
      </c>
      <c r="AU1133" s="8" t="n">
        <v>0</v>
      </c>
      <c r="AV1133" s="8" t="n">
        <v>88</v>
      </c>
      <c r="AW1133" s="11" t="n">
        <f>IF(AND(COUNT(AT1133:AV1133)=3,AT1133&gt;=AU1133,AU1133&gt;=0,AV1133&gt;0),(AT1133-AU1133)/AV1133,"")</f>
        <v>0.03409090909090909</v>
      </c>
      <c r="AX1133" s="8" t="n">
        <v>5</v>
      </c>
      <c r="AY1133" s="8" t="n">
        <v>0</v>
      </c>
      <c r="AZ1133" s="8" t="n">
        <v>178</v>
      </c>
      <c r="BA1133" s="11" t="n">
        <f>IF(AND(COUNT(AX1133:AZ1133)=3,AX1133&gt;=AY1133,AY1133&gt;=0,AZ1133&gt;0),(AX1133-AY1133)/AZ1133,"")</f>
        <v>0.028089887640449437</v>
      </c>
      <c r="BB1133" s="8" t="n">
        <f>IF(COUNT(AS1133,AW1133,BA1133)=3,1,0)</f>
        <v>1</v>
      </c>
      <c r="BC1133" s="11" t="n">
        <f>IF(SUMIF($AO$11:$AO$1309,AO1133,$BB$11:$BB$1309)=COUNTIF($AO$11:$AO$1309,AO1133),SUMIF($AO$11:$AO$1309,AO1133,$AS$11:$AS$1309),"")</f>
        <v>1.8937291591853285</v>
      </c>
      <c r="BD1133" s="11" t="n">
        <f>IF(SUMIF($AO$11:$AO$1309,AO1133,$BB$11:$BB$1309)=COUNTIF($AO$11:$AO$1309,AO1133),SUMIF($AO$11:$AO$1309,AO1133,$AW$11:$AW$1309),"")</f>
        <v>1.0754010695187166</v>
      </c>
      <c r="BE1133" s="11" t="n">
        <f>IF(SUMIF($AO$11:$AO$1309,AO1133,$BB$11:$BB$1309)=COUNTIF($AO$11:$AO$1309,AO1133),SUMIF($AO$11:$AO$1309,AO1133,$BA$11:$BA$1309),"")</f>
        <v>0.9853611556982342</v>
      </c>
      <c r="BF1133" s="12" t="n">
        <f>IF(COUNT(BD1133:BE1133)&lt;&gt;2,"",IF(AND(BD1133&gt;0,BE1133&gt;0),0.7*AW1133/BD1133+0.3*BA1133/BE1133,IF(BD1133&gt;0,AW1133/BD1133,IF(BE1133&gt;0,BA1133/BE1133,IF(AND(ISNUMBER(BH1133),BH1133=0),0,"")))))</f>
        <v>0.03074261254246493</v>
      </c>
      <c r="BG1133" s="11" t="n">
        <f>IF(AND(COUNT(BN1133:BU1133)=8,MIN(BN1133:BU1133)&gt;=0),SUMPRODUCT(BN1133:BQ1133,BR1133:BU1133),"")</f>
        <v>114.81944114457707</v>
      </c>
      <c r="BH1133" s="11" t="n">
        <f>IF(COUNT(BC1133,BG1133)=2,BC1133*BG1133,"")</f>
        <v>217.43692373684925</v>
      </c>
      <c r="BI1133" s="11" t="n">
        <f>IF(ISNUMBER(CI1133),CI1133,"")</f>
        <v>6.684579098867452</v>
      </c>
      <c r="BJ1133" s="8" t="str"/>
      <c r="BK1133" s="8" t="str">
        <v>90天：2026-07-20 至 2026-10-17；180天：2026-04-21 至 2026-10-17</v>
      </c>
      <c r="BL1133" s="8" t="str">
        <v>90天：2026-10-06、2026-10-07；180天：2026-10-06、2026-10-07</v>
      </c>
      <c r="BM1133" s="8" t="str">
        <v>2026-10：12天 × 0.7647664488148722；2026-11：30天 × 1.5248287781391903；2026-12：31天 × 1.2288250057360348；2027-01：17天 × 1.2825767786356366</v>
      </c>
      <c r="BN1133" s="11" t="n">
        <v>0.7647664488148722</v>
      </c>
      <c r="BO1133" s="11" t="n">
        <v>1.5248287781391903</v>
      </c>
      <c r="BP1133" s="11" t="n">
        <v>1.2288250057360348</v>
      </c>
      <c r="BQ1133" s="11" t="n">
        <v>1.2825767786356366</v>
      </c>
      <c r="BR1133" s="8" t="n">
        <v>12</v>
      </c>
      <c r="BS1133" s="8" t="n">
        <v>30</v>
      </c>
      <c r="BT1133" s="8" t="n">
        <v>31</v>
      </c>
      <c r="BU1133" s="8" t="n">
        <v>17</v>
      </c>
      <c r="BV1133" s="11" t="n">
        <f>IF(COUNT(BC1133,BF1133)=2,BC1133*BF1133,"")</f>
        <v>0.058218181801202445</v>
      </c>
      <c r="BW1133" s="11" t="n">
        <f>IF(ISNUMBER(BN1133),BN1133,"")</f>
        <v>0.7647664488148722</v>
      </c>
      <c r="BX1133" s="14" t="n">
        <f>IF(ISNUMBER(BR1133),BR1133,"")</f>
        <v>12</v>
      </c>
      <c r="BY1133" s="13" t="n">
        <f>IF(AND(COUNT(BV1133,BW1133,BX1133)=3,MIN(BV1133,BW1133,BX1133)&gt;=0),BV1133*BW1133*BX1133,"")</f>
        <v>0.5342797458307705</v>
      </c>
      <c r="BZ1133" s="11" t="n">
        <f>IF(ISNUMBER(BO1133),BO1133,"")</f>
        <v>1.5248287781391903</v>
      </c>
      <c r="CA1133" s="14" t="n">
        <f>IF(ISNUMBER(BS1133),BS1133,"")</f>
        <v>30</v>
      </c>
      <c r="CB1133" s="13" t="n">
        <f>IF(AND(COUNT(BV1133,BZ1133,CA1133)=3,MIN(BV1133,BZ1133,CA1133)&gt;=0),BV1133*BZ1133*CA1133,"")</f>
        <v>2.663182770642383</v>
      </c>
      <c r="CC1133" s="11" t="n">
        <f>IF(ISNUMBER(BP1133),BP1133,"")</f>
        <v>1.2288250057360348</v>
      </c>
      <c r="CD1133" s="14" t="n">
        <f>IF(ISNUMBER(BT1133),BT1133,"")</f>
        <v>31</v>
      </c>
      <c r="CE1133" s="13" t="n">
        <f>IF(AND(COUNT(BV1133,CC1133,CD1133)=3,MIN(BV1133,CC1133,CD1133)&gt;=0),BV1133*CC1133*CD1133,"")</f>
        <v>2.2177386851599277</v>
      </c>
      <c r="CF1133" s="11" t="n">
        <f>IF(ISNUMBER(BQ1133),BQ1133,"")</f>
        <v>1.2825767786356366</v>
      </c>
      <c r="CG1133" s="14" t="n">
        <f>IF(ISNUMBER(BU1133),BU1133,"")</f>
        <v>17</v>
      </c>
      <c r="CH1133" s="13" t="n">
        <f>IF(AND(COUNT(BV1133,CF1133,CG1133)=3,MIN(BV1133,CF1133,CG1133)&gt;=0),BV1133*CF1133*CG1133,"")</f>
        <v>1.2693778972343712</v>
      </c>
      <c r="CI1133" s="13" t="n">
        <f>IF(COUNT(BY1133,CB1133,CE1133,CH1133)=4,SUM(BY1133,CB1133,CE1133,CH1133),"")</f>
        <v>6.684579098867452</v>
      </c>
    </row>
    <row r="1134" ht="72" customHeight="1">
      <c r="A1134" s="16" t="str">
        <v>S02a-BK-38</v>
      </c>
      <c r="B1134" s="16" t="str">
        <v>3店-SANDIEX-US</v>
      </c>
      <c r="C1134" s="16" t="str">
        <v>陈晨</v>
      </c>
      <c r="D1134" s="26" t="n">
        <f>IF(NOT(ISNUMBER(E1134)),"",IF(OR(E1134&lt;=0,L1134=0),0,IF(OR(NOT(ISNUMBER(F1134)),F1134&lt;0),"",MIN(E1134,INT(F1134)))))</f>
        <v>0</v>
      </c>
      <c r="E1134" s="27" t="n">
        <f>IF(OR(NOT(ISNUMBER(L1134)),COUNT(M1134:O1134)&lt;&gt;3,MIN(M1134:O1134)&lt;0),"",ROUNDUP(ROUND(BI1134-SUM(M1134:O1134),10),0))</f>
        <v>-6</v>
      </c>
      <c r="F1134" s="28" t="n">
        <v>114</v>
      </c>
      <c r="G1134" s="28" t="n">
        <f>IF(AND(ISNUMBER(D1134),ISNUMBER(E1134)),IF(OR(E1134&lt;=0,L1134=0),0,E1134-D1134),"")</f>
        <v>0</v>
      </c>
      <c r="H1134" s="16" t="str">
        <f>IF(NOT(ISNUMBER(E1134)),"销量或海外库存待补",IF(OR(E1134&lt;=0,L1134=0),IF(L1134=0,"零日销，本批不发","本批无需补货"),IF(NOT(ISNUMBER(D1134)),"国内库存待补",IF(D1134=0,"国内无可用库存",IF(G1134&gt;0,"先发国内现货","按建议量发货")))))</f>
        <v>本批无需补货</v>
      </c>
      <c r="I1134" s="28" t="n">
        <f>IF(AND(COUNT(Z1134,AA1134,AB1134)=3,Z1134&gt;=AA1134,AA1134&gt;=0,AB1134=7),Z1134-AA1134,"")</f>
        <v>2</v>
      </c>
      <c r="J1134" s="28" t="n">
        <f>IF(AND(COUNT(AF1134,AG1134,AH1134)=3,AF1134&gt;=AG1134,AG1134&gt;=0,AH1134=14),AF1134-AG1134,"")</f>
        <v>6</v>
      </c>
      <c r="K1134" s="28" t="n">
        <f>IF(AND(COUNT(AL1134,AM1134,AN1134)=3,AL1134&gt;=AM1134,AM1134&gt;=0,AN1134=30),AL1134-AM1134,"")</f>
        <v>9</v>
      </c>
      <c r="L1134" s="29" t="n">
        <f>IF(ISNUMBER(BI1134),BI1134/90,"")</f>
        <v>0.5007001722218813</v>
      </c>
      <c r="M1134" s="28" t="n">
        <v>51</v>
      </c>
      <c r="N1134" s="28" t="n">
        <v>0</v>
      </c>
      <c r="O1134" s="28" t="n">
        <v>0</v>
      </c>
      <c r="P1134" s="30" t="n">
        <f>IF(AND(ISNUMBER(L1134),L1134&gt;0,COUNT(M1134:O1134)=3,MIN(M1134:O1134)&gt;=0),SUM(M1134:O1134)/L1134,"")</f>
        <v>101.8573646054185</v>
      </c>
      <c r="Q1134" s="16" t="str">
        <v>沿用原计划SKU店铺</v>
      </c>
      <c r="R1134" s="16" t="str">
        <v>已匹配</v>
      </c>
      <c r="S1134" s="16" t="str">
        <v>在售</v>
      </c>
      <c r="T1134" s="16" t="str">
        <v>S02a</v>
      </c>
      <c r="U1134" s="16" t="str">
        <v>黑色</v>
      </c>
      <c r="V1134" s="16" t="n">
        <v>7</v>
      </c>
      <c r="W1134" s="8" t="str">
        <v>2026-10-11 至 2026-10-17</v>
      </c>
      <c r="X1134" s="8" t="str">
        <v>2026-10-11、2026-10-12、2026-10-13、2026-10-14、2026-10-15、2026-10-16、2026-10-17</v>
      </c>
      <c r="Y1134" s="8" t="str">
        <v>无</v>
      </c>
      <c r="Z1134" s="8" t="n">
        <v>2</v>
      </c>
      <c r="AA1134" s="8" t="n">
        <v>0</v>
      </c>
      <c r="AB1134" s="8" t="n">
        <v>7</v>
      </c>
      <c r="AC1134" s="8" t="str">
        <v>2026-10-02 至 2026-10-17</v>
      </c>
      <c r="AD1134" s="8" t="str">
        <v>2026-10-02、2026-10-03、2026-10-04、2026-10-05、2026-10-08、2026-10-09、2026-10-10、2026-10-11、2026-10-12、2026-10-13、2026-10-14、2026-10-15、2026-10-16、2026-10-17</v>
      </c>
      <c r="AE1134" s="8" t="str">
        <v>2026-10-06 大促；2026-10-07 大促</v>
      </c>
      <c r="AF1134" s="8" t="n">
        <v>6</v>
      </c>
      <c r="AG1134" s="8" t="n">
        <v>0</v>
      </c>
      <c r="AH1134" s="8" t="n">
        <v>14</v>
      </c>
      <c r="AI1134" s="8" t="str">
        <v>2026-09-16 至 2026-10-17</v>
      </c>
      <c r="AJ113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4" s="8" t="str">
        <v>2026-10-06 大促；2026-10-07 大促</v>
      </c>
      <c r="AL1134" s="8" t="n">
        <v>9</v>
      </c>
      <c r="AM1134" s="8" t="n">
        <v>0</v>
      </c>
      <c r="AN1134" s="8" t="n">
        <v>30</v>
      </c>
      <c r="AO1134" s="8" t="str">
        <v>S02a / 黑色 / 6574</v>
      </c>
      <c r="AP1134" s="11" t="n">
        <v>0.7647664488148722</v>
      </c>
      <c r="AQ1134" s="11" t="n">
        <v>0.7647664488148722</v>
      </c>
      <c r="AR1134" s="11" t="n">
        <v>0.8066052567225582</v>
      </c>
      <c r="AS1134" s="11" t="n">
        <f>IF(AND(COUNT(I1134:K1134,AP1134:AR1134)=6,MIN(AP1134:AR1134)&gt;0),I1134/7/AP1134*0.5+J1134/14/AQ1134*0.3+K1134/30/AR1134*0.2,"")</f>
        <v>0.42930277284381657</v>
      </c>
      <c r="AT1134" s="8" t="n">
        <v>19</v>
      </c>
      <c r="AU1134" s="8" t="n">
        <v>0</v>
      </c>
      <c r="AV1134" s="8" t="n">
        <v>88</v>
      </c>
      <c r="AW1134" s="11" t="n">
        <f>IF(AND(COUNT(AT1134:AV1134)=3,AT1134&gt;=AU1134,AU1134&gt;=0,AV1134&gt;0),(AT1134-AU1134)/AV1134,"")</f>
        <v>0.2159090909090909</v>
      </c>
      <c r="AX1134" s="8" t="n">
        <v>39</v>
      </c>
      <c r="AY1134" s="8" t="n">
        <v>0</v>
      </c>
      <c r="AZ1134" s="8" t="n">
        <v>178</v>
      </c>
      <c r="BA1134" s="11" t="n">
        <f>IF(AND(COUNT(AX1134:AZ1134)=3,AX1134&gt;=AY1134,AY1134&gt;=0,AZ1134&gt;0),(AX1134-AY1134)/AZ1134,"")</f>
        <v>0.21910112359550563</v>
      </c>
      <c r="BB1134" s="8" t="n">
        <f>IF(COUNT(AS1134,AW1134,BA1134)=3,1,0)</f>
        <v>1</v>
      </c>
      <c r="BC1134" s="11" t="n">
        <f>IF(SUMIF($AO$11:$AO$1309,AO1134,$BB$11:$BB$1309)=COUNTIF($AO$11:$AO$1309,AO1134),SUMIF($AO$11:$AO$1309,AO1134,$AS$11:$AS$1309),"")</f>
        <v>1.8937291591853285</v>
      </c>
      <c r="BD1134" s="11" t="n">
        <f>IF(SUMIF($AO$11:$AO$1309,AO1134,$BB$11:$BB$1309)=COUNTIF($AO$11:$AO$1309,AO1134),SUMIF($AO$11:$AO$1309,AO1134,$AW$11:$AW$1309),"")</f>
        <v>1.0754010695187166</v>
      </c>
      <c r="BE1134" s="11" t="n">
        <f>IF(SUMIF($AO$11:$AO$1309,AO1134,$BB$11:$BB$1309)=COUNTIF($AO$11:$AO$1309,AO1134),SUMIF($AO$11:$AO$1309,AO1134,$BA$11:$BA$1309),"")</f>
        <v>0.9853611556982342</v>
      </c>
      <c r="BF1134" s="12" t="n">
        <f>IF(COUNT(BD1134:BE1134)&lt;&gt;2,"",IF(AND(BD1134&gt;0,BE1134&gt;0),0.7*AW1134/BD1134+0.3*BA1134/BE1134,IF(BD1134&gt;0,AW1134/BD1134,IF(BE1134&gt;0,BA1134/BE1134,IF(AND(ISNUMBER(BH1134),BH1134=0),0,"")))))</f>
        <v>0.20724638081481672</v>
      </c>
      <c r="BG1134" s="11" t="n">
        <f>IF(AND(COUNT(BN1134:BU1134)=8,MIN(BN1134:BU1134)&gt;=0),SUMPRODUCT(BN1134:BQ1134,BR1134:BU1134),"")</f>
        <v>114.81944114457707</v>
      </c>
      <c r="BH1134" s="11" t="n">
        <f>IF(COUNT(BC1134,BG1134)=2,BC1134*BG1134,"")</f>
        <v>217.43692373684925</v>
      </c>
      <c r="BI1134" s="11" t="n">
        <f>IF(ISNUMBER(CI1134),CI1134,"")</f>
        <v>45.063015499969325</v>
      </c>
      <c r="BJ1134" s="8" t="str"/>
      <c r="BK1134" s="8" t="str">
        <v>90天：2026-07-20 至 2026-10-17；180天：2026-04-21 至 2026-10-17</v>
      </c>
      <c r="BL1134" s="8" t="str">
        <v>90天：2026-10-06、2026-10-07；180天：2026-10-06、2026-10-07</v>
      </c>
      <c r="BM1134" s="8" t="str">
        <v>2026-10：12天 × 0.7647664488148722；2026-11：30天 × 1.5248287781391903；2026-12：31天 × 1.2288250057360348；2027-01：17天 × 1.2825767786356366</v>
      </c>
      <c r="BN1134" s="11" t="n">
        <v>0.7647664488148722</v>
      </c>
      <c r="BO1134" s="11" t="n">
        <v>1.5248287781391903</v>
      </c>
      <c r="BP1134" s="11" t="n">
        <v>1.2288250057360348</v>
      </c>
      <c r="BQ1134" s="11" t="n">
        <v>1.2825767786356366</v>
      </c>
      <c r="BR1134" s="8" t="n">
        <v>12</v>
      </c>
      <c r="BS1134" s="8" t="n">
        <v>30</v>
      </c>
      <c r="BT1134" s="8" t="n">
        <v>31</v>
      </c>
      <c r="BU1134" s="8" t="n">
        <v>17</v>
      </c>
      <c r="BV1134" s="11" t="n">
        <f>IF(COUNT(BC1134,BF1134)=2,BC1134*BF1134,"")</f>
        <v>0.39246851448464526</v>
      </c>
      <c r="BW1134" s="11" t="n">
        <f>IF(ISNUMBER(BN1134),BN1134,"")</f>
        <v>0.7647664488148722</v>
      </c>
      <c r="BX1134" s="14" t="n">
        <f>IF(ISNUMBER(BR1134),BR1134,"")</f>
        <v>12</v>
      </c>
      <c r="BY1134" s="13" t="n">
        <f>IF(AND(COUNT(BV1134,BW1134,BX1134)=3,MIN(BV1134,BW1134,BX1134)&gt;=0),BV1134*BW1134*BX1134,"")</f>
        <v>3.6017610251288446</v>
      </c>
      <c r="BZ1134" s="11" t="n">
        <f>IF(ISNUMBER(BO1134),BO1134,"")</f>
        <v>1.5248287781391903</v>
      </c>
      <c r="CA1134" s="14" t="n">
        <f>IF(ISNUMBER(BS1134),BS1134,"")</f>
        <v>30</v>
      </c>
      <c r="CB1134" s="13" t="n">
        <f>IF(AND(COUNT(BV1134,BZ1134,CA1134)=3,MIN(BV1134,BZ1134,CA1134)&gt;=0),BV1134*BZ1134*CA1134,"")</f>
        <v>17.95341856199174</v>
      </c>
      <c r="CC1134" s="11" t="n">
        <f>IF(ISNUMBER(BP1134),BP1134,"")</f>
        <v>1.2288250057360348</v>
      </c>
      <c r="CD1134" s="14" t="n">
        <f>IF(ISNUMBER(BT1134),BT1134,"")</f>
        <v>31</v>
      </c>
      <c r="CE1134" s="13" t="n">
        <f>IF(AND(COUNT(BV1134,CC1134,CD1134)=3,MIN(BV1134,CC1134,CD1134)&gt;=0),BV1134*CC1134*CD1134,"")</f>
        <v>14.950528861447026</v>
      </c>
      <c r="CF1134" s="11" t="n">
        <f>IF(ISNUMBER(BQ1134),BQ1134,"")</f>
        <v>1.2825767786356366</v>
      </c>
      <c r="CG1134" s="14" t="n">
        <f>IF(ISNUMBER(BU1134),BU1134,"")</f>
        <v>17</v>
      </c>
      <c r="CH1134" s="13" t="n">
        <f>IF(AND(COUNT(BV1134,CF1134,CG1134)=3,MIN(BV1134,CF1134,CG1134)&gt;=0),BV1134*CF1134*CG1134,"")</f>
        <v>8.557307051401711</v>
      </c>
      <c r="CI1134" s="13" t="n">
        <f>IF(COUNT(BY1134,CB1134,CE1134,CH1134)=4,SUM(BY1134,CB1134,CE1134,CH1134),"")</f>
        <v>45.063015499969325</v>
      </c>
    </row>
    <row r="1135" ht="72" customHeight="1">
      <c r="A1135" s="16" t="str">
        <v>S02a-BK-39</v>
      </c>
      <c r="B1135" s="16" t="str">
        <v>3店-SANDIEX-US</v>
      </c>
      <c r="C1135" s="16" t="str">
        <v>陈晨</v>
      </c>
      <c r="D1135" s="26" t="n">
        <f>IF(NOT(ISNUMBER(E1135)),"",IF(OR(E1135&lt;=0,L1135=0),0,IF(OR(NOT(ISNUMBER(F1135)),F1135&lt;0),"",MIN(E1135,INT(F1135)))))</f>
        <v>0</v>
      </c>
      <c r="E1135" s="27" t="n">
        <f>IF(OR(NOT(ISNUMBER(L1135)),COUNT(M1135:O1135)&lt;&gt;3,MIN(M1135:O1135)&lt;0),"",ROUNDUP(ROUND(BI1135-SUM(M1135:O1135),10),0))</f>
        <v>-24</v>
      </c>
      <c r="F1135" s="28" t="n">
        <v>1</v>
      </c>
      <c r="G1135" s="28" t="n">
        <f>IF(AND(ISNUMBER(D1135),ISNUMBER(E1135)),IF(OR(E1135&lt;=0,L1135=0),0,E1135-D1135),"")</f>
        <v>0</v>
      </c>
      <c r="H1135" s="16" t="str">
        <f>IF(NOT(ISNUMBER(E1135)),"销量或海外库存待补",IF(OR(E1135&lt;=0,L1135=0),IF(L1135=0,"零日销，本批不发","本批无需补货"),IF(NOT(ISNUMBER(D1135)),"国内库存待补",IF(D1135=0,"国内无可用库存",IF(G1135&gt;0,"先发国内现货","按建议量发货")))))</f>
        <v>本批无需补货</v>
      </c>
      <c r="I1135" s="28" t="n">
        <f>IF(AND(COUNT(Z1135,AA1135,AB1135)=3,Z1135&gt;=AA1135,AA1135&gt;=0,AB1135=7),Z1135-AA1135,"")</f>
        <v>4</v>
      </c>
      <c r="J1135" s="28" t="n">
        <f>IF(AND(COUNT(AF1135,AG1135,AH1135)=3,AF1135&gt;=AG1135,AG1135&gt;=0,AH1135=14),AF1135-AG1135,"")</f>
        <v>4</v>
      </c>
      <c r="K1135" s="28" t="n">
        <f>IF(AND(COUNT(AL1135,AM1135,AN1135)=3,AL1135&gt;=AM1135,AM1135&gt;=0,AN1135=30),AL1135-AM1135,"")</f>
        <v>4</v>
      </c>
      <c r="L1135" s="29" t="n">
        <f>IF(ISNUMBER(BI1135),BI1135/90,"")</f>
        <v>0.1210699762025518</v>
      </c>
      <c r="M1135" s="28" t="n">
        <v>34</v>
      </c>
      <c r="N1135" s="28" t="n">
        <v>0</v>
      </c>
      <c r="O1135" s="28" t="n">
        <v>0</v>
      </c>
      <c r="P1135" s="30" t="n">
        <f>IF(AND(ISNUMBER(L1135),L1135&gt;0,COUNT(M1135:O1135)=3,MIN(M1135:O1135)&gt;=0),SUM(M1135:O1135)/L1135,"")</f>
        <v>280.82932752144524</v>
      </c>
      <c r="Q1135" s="16" t="str">
        <v>沿用原计划SKU店铺</v>
      </c>
      <c r="R1135" s="16" t="str">
        <v>已匹配</v>
      </c>
      <c r="S1135" s="16" t="str">
        <v>在售</v>
      </c>
      <c r="T1135" s="16" t="str">
        <v>S02a</v>
      </c>
      <c r="U1135" s="16" t="str">
        <v>黑色</v>
      </c>
      <c r="V1135" s="16" t="n">
        <v>8</v>
      </c>
      <c r="W1135" s="8" t="str">
        <v>2026-10-11 至 2026-10-17</v>
      </c>
      <c r="X1135" s="8" t="str">
        <v>2026-10-11、2026-10-12、2026-10-13、2026-10-14、2026-10-15、2026-10-16、2026-10-17</v>
      </c>
      <c r="Y1135" s="8" t="str">
        <v>无</v>
      </c>
      <c r="Z1135" s="8" t="n">
        <v>4</v>
      </c>
      <c r="AA1135" s="8" t="n">
        <v>0</v>
      </c>
      <c r="AB1135" s="8" t="n">
        <v>7</v>
      </c>
      <c r="AC1135" s="8" t="str">
        <v>2026-10-02 至 2026-10-17</v>
      </c>
      <c r="AD1135" s="8" t="str">
        <v>2026-10-02、2026-10-03、2026-10-04、2026-10-05、2026-10-08、2026-10-09、2026-10-10、2026-10-11、2026-10-12、2026-10-13、2026-10-14、2026-10-15、2026-10-16、2026-10-17</v>
      </c>
      <c r="AE1135" s="8" t="str">
        <v>2026-10-06 大促；2026-10-07 大促</v>
      </c>
      <c r="AF1135" s="8" t="n">
        <v>4</v>
      </c>
      <c r="AG1135" s="8" t="n">
        <v>0</v>
      </c>
      <c r="AH1135" s="8" t="n">
        <v>14</v>
      </c>
      <c r="AI1135" s="8" t="str">
        <v>2026-09-16 至 2026-10-17</v>
      </c>
      <c r="AJ113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5" s="8" t="str">
        <v>2026-10-06 大促；2026-10-07 大促</v>
      </c>
      <c r="AL1135" s="8" t="n">
        <v>4</v>
      </c>
      <c r="AM1135" s="8" t="n">
        <v>0</v>
      </c>
      <c r="AN1135" s="8" t="n">
        <v>30</v>
      </c>
      <c r="AO1135" s="8" t="str">
        <v>S02a / 黑色 / 6574</v>
      </c>
      <c r="AP1135" s="11" t="n">
        <v>0.7647664488148722</v>
      </c>
      <c r="AQ1135" s="11" t="n">
        <v>0.7647664488148722</v>
      </c>
      <c r="AR1135" s="11" t="n">
        <v>0.8066052567225582</v>
      </c>
      <c r="AS1135" s="11" t="n">
        <f>IF(AND(COUNT(I1135:K1135,AP1135:AR1135)=6,MIN(AP1135:AR1135)&gt;0),I1135/7/AP1135*0.5+J1135/14/AQ1135*0.3+K1135/30/AR1135*0.2,"")</f>
        <v>0.5187361871344802</v>
      </c>
      <c r="AT1135" s="8" t="n">
        <v>4</v>
      </c>
      <c r="AU1135" s="8" t="n">
        <v>0</v>
      </c>
      <c r="AV1135" s="8" t="n">
        <v>88</v>
      </c>
      <c r="AW1135" s="11" t="n">
        <f>IF(AND(COUNT(AT1135:AV1135)=3,AT1135&gt;=AU1135,AU1135&gt;=0,AV1135&gt;0),(AT1135-AU1135)/AV1135,"")</f>
        <v>0.045454545454545456</v>
      </c>
      <c r="AX1135" s="8" t="n">
        <v>12</v>
      </c>
      <c r="AY1135" s="8" t="n">
        <v>0</v>
      </c>
      <c r="AZ1135" s="8" t="n">
        <v>178</v>
      </c>
      <c r="BA1135" s="11" t="n">
        <f>IF(AND(COUNT(AX1135:AZ1135)=3,AX1135&gt;=AY1135,AY1135&gt;=0,AZ1135&gt;0),(AX1135-AY1135)/AZ1135,"")</f>
        <v>0.06741573033707865</v>
      </c>
      <c r="BB1135" s="8" t="n">
        <f>IF(COUNT(AS1135,AW1135,BA1135)=3,1,0)</f>
        <v>1</v>
      </c>
      <c r="BC1135" s="11" t="n">
        <f>IF(SUMIF($AO$11:$AO$1309,AO1135,$BB$11:$BB$1309)=COUNTIF($AO$11:$AO$1309,AO1135),SUMIF($AO$11:$AO$1309,AO1135,$AS$11:$AS$1309),"")</f>
        <v>1.8937291591853285</v>
      </c>
      <c r="BD1135" s="11" t="n">
        <f>IF(SUMIF($AO$11:$AO$1309,AO1135,$BB$11:$BB$1309)=COUNTIF($AO$11:$AO$1309,AO1135),SUMIF($AO$11:$AO$1309,AO1135,$AW$11:$AW$1309),"")</f>
        <v>1.0754010695187166</v>
      </c>
      <c r="BE1135" s="11" t="n">
        <f>IF(SUMIF($AO$11:$AO$1309,AO1135,$BB$11:$BB$1309)=COUNTIF($AO$11:$AO$1309,AO1135),SUMIF($AO$11:$AO$1309,AO1135,$BA$11:$BA$1309),"")</f>
        <v>0.9853611556982342</v>
      </c>
      <c r="BF1135" s="12" t="n">
        <f>IF(COUNT(BD1135:BE1135)&lt;&gt;2,"",IF(AND(BD1135&gt;0,BE1135&gt;0),0.7*AW1135/BD1135+0.3*BA1135/BE1135,IF(BD1135&gt;0,AW1135/BD1135,IF(BE1135&gt;0,BA1135/BE1135,IF(AND(ISNUMBER(BH1135),BH1135=0),0,"")))))</f>
        <v>0.05011245408998148</v>
      </c>
      <c r="BG1135" s="11" t="n">
        <f>IF(AND(COUNT(BN1135:BU1135)=8,MIN(BN1135:BU1135)&gt;=0),SUMPRODUCT(BN1135:BQ1135,BR1135:BU1135),"")</f>
        <v>114.81944114457707</v>
      </c>
      <c r="BH1135" s="11" t="n">
        <f>IF(COUNT(BC1135,BG1135)=2,BC1135*BG1135,"")</f>
        <v>217.43692373684925</v>
      </c>
      <c r="BI1135" s="11" t="n">
        <f>IF(ISNUMBER(CI1135),CI1135,"")</f>
        <v>10.896297858229662</v>
      </c>
      <c r="BJ1135" s="8" t="str"/>
      <c r="BK1135" s="8" t="str">
        <v>90天：2026-07-20 至 2026-10-17；180天：2026-04-21 至 2026-10-17</v>
      </c>
      <c r="BL1135" s="8" t="str">
        <v>90天：2026-10-06、2026-10-07；180天：2026-10-06、2026-10-07</v>
      </c>
      <c r="BM1135" s="8" t="str">
        <v>2026-10：12天 × 0.7647664488148722；2026-11：30天 × 1.5248287781391903；2026-12：31天 × 1.2288250057360348；2027-01：17天 × 1.2825767786356366</v>
      </c>
      <c r="BN1135" s="11" t="n">
        <v>0.7647664488148722</v>
      </c>
      <c r="BO1135" s="11" t="n">
        <v>1.5248287781391903</v>
      </c>
      <c r="BP1135" s="11" t="n">
        <v>1.2288250057360348</v>
      </c>
      <c r="BQ1135" s="11" t="n">
        <v>1.2825767786356366</v>
      </c>
      <c r="BR1135" s="8" t="n">
        <v>12</v>
      </c>
      <c r="BS1135" s="8" t="n">
        <v>30</v>
      </c>
      <c r="BT1135" s="8" t="n">
        <v>31</v>
      </c>
      <c r="BU1135" s="8" t="n">
        <v>17</v>
      </c>
      <c r="BV1135" s="11" t="n">
        <f>IF(COUNT(BC1135,BF1135)=2,BC1135*BF1135,"")</f>
        <v>0.09489941554853401</v>
      </c>
      <c r="BW1135" s="11" t="n">
        <f>IF(ISNUMBER(BN1135),BN1135,"")</f>
        <v>0.7647664488148722</v>
      </c>
      <c r="BX1135" s="14" t="n">
        <f>IF(ISNUMBER(BR1135),BR1135,"")</f>
        <v>12</v>
      </c>
      <c r="BY1135" s="13" t="n">
        <f>IF(AND(COUNT(BV1135,BW1135,BX1135)=3,MIN(BV1135,BW1135,BX1135)&gt;=0),BV1135*BW1135*BX1135,"")</f>
        <v>0.8709106682839106</v>
      </c>
      <c r="BZ1135" s="11" t="n">
        <f>IF(ISNUMBER(BO1135),BO1135,"")</f>
        <v>1.5248287781391903</v>
      </c>
      <c r="CA1135" s="14" t="n">
        <f>IF(ISNUMBER(BS1135),BS1135,"")</f>
        <v>30</v>
      </c>
      <c r="CB1135" s="13" t="n">
        <f>IF(AND(COUNT(BV1135,BZ1135,CA1135)=3,MIN(BV1135,BZ1135,CA1135)&gt;=0),BV1135*BZ1135*CA1135,"")</f>
        <v>4.341160795709832</v>
      </c>
      <c r="CC1135" s="11" t="n">
        <f>IF(ISNUMBER(BP1135),BP1135,"")</f>
        <v>1.2288250057360348</v>
      </c>
      <c r="CD1135" s="14" t="n">
        <f>IF(ISNUMBER(BT1135),BT1135,"")</f>
        <v>31</v>
      </c>
      <c r="CE1135" s="13" t="n">
        <f>IF(AND(COUNT(BV1135,CC1135,CD1135)=3,MIN(BV1135,CC1135,CD1135)&gt;=0),BV1135*CC1135*CD1135,"")</f>
        <v>3.6150580205289833</v>
      </c>
      <c r="CF1135" s="11" t="n">
        <f>IF(ISNUMBER(BQ1135),BQ1135,"")</f>
        <v>1.2825767786356366</v>
      </c>
      <c r="CG1135" s="14" t="n">
        <f>IF(ISNUMBER(BU1135),BU1135,"")</f>
        <v>17</v>
      </c>
      <c r="CH1135" s="13" t="n">
        <f>IF(AND(COUNT(BV1135,CF1135,CG1135)=3,MIN(BV1135,CF1135,CG1135)&gt;=0),BV1135*CF1135*CG1135,"")</f>
        <v>2.0691683737069377</v>
      </c>
      <c r="CI1135" s="13" t="n">
        <f>IF(COUNT(BY1135,CB1135,CE1135,CH1135)=4,SUM(BY1135,CB1135,CE1135,CH1135),"")</f>
        <v>10.896297858229662</v>
      </c>
    </row>
    <row r="1136" ht="72" customHeight="1">
      <c r="A1136" s="16" t="str">
        <v>S02a-BK-40</v>
      </c>
      <c r="B1136" s="16" t="str">
        <v>3店-SANDIEX-US</v>
      </c>
      <c r="C1136" s="16" t="str">
        <v>陈晨</v>
      </c>
      <c r="D1136" s="26" t="n">
        <f>IF(NOT(ISNUMBER(E1136)),"",IF(OR(E1136&lt;=0,L1136=0),0,IF(OR(NOT(ISNUMBER(F1136)),F1136&lt;0),"",MIN(E1136,INT(F1136)))))</f>
        <v>0</v>
      </c>
      <c r="E1136" s="27" t="n">
        <f>IF(OR(NOT(ISNUMBER(L1136)),COUNT(M1136:O1136)&lt;&gt;3,MIN(M1136:O1136)&lt;0),"",ROUNDUP(ROUND(BI1136-SUM(M1136:O1136),10),0))</f>
        <v>-27</v>
      </c>
      <c r="F1136" s="28" t="n">
        <v>0</v>
      </c>
      <c r="G1136" s="28" t="n">
        <f>IF(AND(ISNUMBER(D1136),ISNUMBER(E1136)),IF(OR(E1136&lt;=0,L1136=0),0,E1136-D1136),"")</f>
        <v>0</v>
      </c>
      <c r="H1136" s="16" t="str">
        <f>IF(NOT(ISNUMBER(E1136)),"销量或海外库存待补",IF(OR(E1136&lt;=0,L1136=0),IF(L1136=0,"零日销，本批不发","本批无需补货"),IF(NOT(ISNUMBER(D1136)),"国内库存待补",IF(D1136=0,"国内无可用库存",IF(G1136&gt;0,"先发国内现货","按建议量发货")))))</f>
        <v>本批无需补货</v>
      </c>
      <c r="I1136" s="28" t="n">
        <f>IF(AND(COUNT(Z1136,AA1136,AB1136)=3,Z1136&gt;=AA1136,AA1136&gt;=0,AB1136=7),Z1136-AA1136,"")</f>
        <v>2</v>
      </c>
      <c r="J1136" s="28" t="n">
        <f>IF(AND(COUNT(AF1136,AG1136,AH1136)=3,AF1136&gt;=AG1136,AG1136&gt;=0,AH1136=14),AF1136-AG1136,"")</f>
        <v>2</v>
      </c>
      <c r="K1136" s="28" t="n">
        <f>IF(AND(COUNT(AL1136,AM1136,AN1136)=3,AL1136&gt;=AM1136,AM1136&gt;=0,AN1136=30),AL1136-AM1136,"")</f>
        <v>4</v>
      </c>
      <c r="L1136" s="29" t="n">
        <f>IF(ISNUMBER(BI1136),BI1136/90,"")</f>
        <v>0.39615957707271615</v>
      </c>
      <c r="M1136" s="28" t="n">
        <v>29</v>
      </c>
      <c r="N1136" s="28" t="n">
        <v>0</v>
      </c>
      <c r="O1136" s="28" t="n">
        <v>33</v>
      </c>
      <c r="P1136" s="30" t="n">
        <f>IF(AND(ISNUMBER(L1136),L1136&gt;0,COUNT(M1136:O1136)=3,MIN(M1136:O1136)&gt;=0),SUM(M1136:O1136)/L1136,"")</f>
        <v>156.50259034030555</v>
      </c>
      <c r="Q1136" s="16" t="str">
        <v>沿用原计划SKU店铺</v>
      </c>
      <c r="R1136" s="16" t="str">
        <v>已匹配</v>
      </c>
      <c r="S1136" s="16" t="str">
        <v>在售</v>
      </c>
      <c r="T1136" s="16" t="str">
        <v>S02a</v>
      </c>
      <c r="U1136" s="16" t="str">
        <v>黑色</v>
      </c>
      <c r="V1136" s="16" t="n">
        <v>9</v>
      </c>
      <c r="W1136" s="8" t="str">
        <v>2026-10-11 至 2026-10-17</v>
      </c>
      <c r="X1136" s="8" t="str">
        <v>2026-10-11、2026-10-12、2026-10-13、2026-10-14、2026-10-15、2026-10-16、2026-10-17</v>
      </c>
      <c r="Y1136" s="8" t="str">
        <v>无</v>
      </c>
      <c r="Z1136" s="8" t="n">
        <v>2</v>
      </c>
      <c r="AA1136" s="8" t="n">
        <v>0</v>
      </c>
      <c r="AB1136" s="8" t="n">
        <v>7</v>
      </c>
      <c r="AC1136" s="8" t="str">
        <v>2026-10-02 至 2026-10-17</v>
      </c>
      <c r="AD1136" s="8" t="str">
        <v>2026-10-02、2026-10-03、2026-10-04、2026-10-05、2026-10-08、2026-10-09、2026-10-10、2026-10-11、2026-10-12、2026-10-13、2026-10-14、2026-10-15、2026-10-16、2026-10-17</v>
      </c>
      <c r="AE1136" s="8" t="str">
        <v>2026-10-06 大促；2026-10-07 大促</v>
      </c>
      <c r="AF1136" s="8" t="n">
        <v>2</v>
      </c>
      <c r="AG1136" s="8" t="n">
        <v>0</v>
      </c>
      <c r="AH1136" s="8" t="n">
        <v>14</v>
      </c>
      <c r="AI1136" s="8" t="str">
        <v>2026-09-16 至 2026-10-17</v>
      </c>
      <c r="AJ113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6" s="8" t="str">
        <v>2026-10-06 大促；2026-10-07 大促</v>
      </c>
      <c r="AL1136" s="8" t="n">
        <v>4</v>
      </c>
      <c r="AM1136" s="8" t="n">
        <v>0</v>
      </c>
      <c r="AN1136" s="8" t="n">
        <v>30</v>
      </c>
      <c r="AO1136" s="8" t="str">
        <v>S02a / 黑色 / 6574</v>
      </c>
      <c r="AP1136" s="11" t="n">
        <v>0.7647664488148722</v>
      </c>
      <c r="AQ1136" s="11" t="n">
        <v>0.7647664488148722</v>
      </c>
      <c r="AR1136" s="11" t="n">
        <v>0.8066052567225582</v>
      </c>
      <c r="AS1136" s="11" t="n">
        <f>IF(AND(COUNT(I1136:K1136,AP1136:AR1136)=6,MIN(AP1136:AR1136)&gt;0),I1136/7/AP1136*0.5+J1136/14/AQ1136*0.3+K1136/30/AR1136*0.2,"")</f>
        <v>0.2758982775974187</v>
      </c>
      <c r="AT1136" s="8" t="n">
        <v>15</v>
      </c>
      <c r="AU1136" s="8" t="n">
        <v>0</v>
      </c>
      <c r="AV1136" s="8" t="n">
        <v>88</v>
      </c>
      <c r="AW1136" s="11" t="n">
        <f>IF(AND(COUNT(AT1136:AV1136)=3,AT1136&gt;=AU1136,AU1136&gt;=0,AV1136&gt;0),(AT1136-AU1136)/AV1136,"")</f>
        <v>0.17045454545454544</v>
      </c>
      <c r="AX1136" s="8" t="n">
        <v>31</v>
      </c>
      <c r="AY1136" s="8" t="n">
        <v>0</v>
      </c>
      <c r="AZ1136" s="8" t="n">
        <v>178</v>
      </c>
      <c r="BA1136" s="11" t="n">
        <f>IF(AND(COUNT(AX1136:AZ1136)=3,AX1136&gt;=AY1136,AY1136&gt;=0,AZ1136&gt;0),(AX1136-AY1136)/AZ1136,"")</f>
        <v>0.17415730337078653</v>
      </c>
      <c r="BB1136" s="8" t="n">
        <f>IF(COUNT(AS1136,AW1136,BA1136)=3,1,0)</f>
        <v>1</v>
      </c>
      <c r="BC1136" s="11" t="n">
        <f>IF(SUMIF($AO$11:$AO$1309,AO1136,$BB$11:$BB$1309)=COUNTIF($AO$11:$AO$1309,AO1136),SUMIF($AO$11:$AO$1309,AO1136,$AS$11:$AS$1309),"")</f>
        <v>1.8937291591853285</v>
      </c>
      <c r="BD1136" s="11" t="n">
        <f>IF(SUMIF($AO$11:$AO$1309,AO1136,$BB$11:$BB$1309)=COUNTIF($AO$11:$AO$1309,AO1136),SUMIF($AO$11:$AO$1309,AO1136,$AW$11:$AW$1309),"")</f>
        <v>1.0754010695187166</v>
      </c>
      <c r="BE1136" s="11" t="n">
        <f>IF(SUMIF($AO$11:$AO$1309,AO1136,$BB$11:$BB$1309)=COUNTIF($AO$11:$AO$1309,AO1136),SUMIF($AO$11:$AO$1309,AO1136,$BA$11:$BA$1309),"")</f>
        <v>0.9853611556982342</v>
      </c>
      <c r="BF1136" s="12" t="n">
        <f>IF(COUNT(BD1136:BE1136)&lt;&gt;2,"",IF(AND(BD1136&gt;0,BE1136&gt;0),0.7*AW1136/BD1136+0.3*BA1136/BE1136,IF(BD1136&gt;0,AW1136/BD1136,IF(BE1136&gt;0,BA1136/BE1136,IF(AND(ISNUMBER(BH1136),BH1136=0),0,"")))))</f>
        <v>0.16397565474985643</v>
      </c>
      <c r="BG1136" s="11" t="n">
        <f>IF(AND(COUNT(BN1136:BU1136)=8,MIN(BN1136:BU1136)&gt;=0),SUMPRODUCT(BN1136:BQ1136,BR1136:BU1136),"")</f>
        <v>114.81944114457707</v>
      </c>
      <c r="BH1136" s="11" t="n">
        <f>IF(COUNT(BC1136,BG1136)=2,BC1136*BG1136,"")</f>
        <v>217.43692373684925</v>
      </c>
      <c r="BI1136" s="11" t="n">
        <f>IF(ISNUMBER(CI1136),CI1136,"")</f>
        <v>35.654361936544454</v>
      </c>
      <c r="BJ1136" s="8" t="str"/>
      <c r="BK1136" s="8" t="str">
        <v>90天：2026-07-20 至 2026-10-17；180天：2026-04-21 至 2026-10-17</v>
      </c>
      <c r="BL1136" s="8" t="str">
        <v>90天：2026-10-06、2026-10-07；180天：2026-10-06、2026-10-07</v>
      </c>
      <c r="BM1136" s="8" t="str">
        <v>2026-10：12天 × 0.7647664488148722；2026-11：30天 × 1.5248287781391903；2026-12：31天 × 1.2288250057360348；2027-01：17天 × 1.2825767786356366</v>
      </c>
      <c r="BN1136" s="11" t="n">
        <v>0.7647664488148722</v>
      </c>
      <c r="BO1136" s="11" t="n">
        <v>1.5248287781391903</v>
      </c>
      <c r="BP1136" s="11" t="n">
        <v>1.2288250057360348</v>
      </c>
      <c r="BQ1136" s="11" t="n">
        <v>1.2825767786356366</v>
      </c>
      <c r="BR1136" s="8" t="n">
        <v>12</v>
      </c>
      <c r="BS1136" s="8" t="n">
        <v>30</v>
      </c>
      <c r="BT1136" s="8" t="n">
        <v>31</v>
      </c>
      <c r="BU1136" s="8" t="n">
        <v>17</v>
      </c>
      <c r="BV1136" s="11" t="n">
        <f>IF(COUNT(BC1136,BF1136)=2,BC1136*BF1136,"")</f>
        <v>0.3105254787963093</v>
      </c>
      <c r="BW1136" s="11" t="n">
        <f>IF(ISNUMBER(BN1136),BN1136,"")</f>
        <v>0.7647664488148722</v>
      </c>
      <c r="BX1136" s="14" t="n">
        <f>IF(ISNUMBER(BR1136),BR1136,"")</f>
        <v>12</v>
      </c>
      <c r="BY1136" s="13" t="n">
        <f>IF(AND(COUNT(BV1136,BW1136,BX1136)=3,MIN(BV1136,BW1136,BX1136)&gt;=0),BV1136*BW1136*BX1136,"")</f>
        <v>2.8497536122270968</v>
      </c>
      <c r="BZ1136" s="11" t="n">
        <f>IF(ISNUMBER(BO1136),BO1136,"")</f>
        <v>1.5248287781391903</v>
      </c>
      <c r="CA1136" s="14" t="n">
        <f>IF(ISNUMBER(BS1136),BS1136,"")</f>
        <v>30</v>
      </c>
      <c r="CB1136" s="13" t="n">
        <f>IF(AND(COUNT(BV1136,BZ1136,CA1136)=3,MIN(BV1136,BZ1136,CA1136)&gt;=0),BV1136*BZ1136*CA1136,"")</f>
        <v>14.204945592421902</v>
      </c>
      <c r="CC1136" s="11" t="n">
        <f>IF(ISNUMBER(BP1136),BP1136,"")</f>
        <v>1.2288250057360348</v>
      </c>
      <c r="CD1136" s="14" t="n">
        <f>IF(ISNUMBER(BT1136),BT1136,"")</f>
        <v>31</v>
      </c>
      <c r="CE1136" s="13" t="n">
        <f>IF(AND(COUNT(BV1136,CC1136,CD1136)=3,MIN(BV1136,CC1136,CD1136)&gt;=0),BV1136*CC1136*CD1136,"")</f>
        <v>11.829025671154852</v>
      </c>
      <c r="CF1136" s="11" t="n">
        <f>IF(ISNUMBER(BQ1136),BQ1136,"")</f>
        <v>1.2825767786356366</v>
      </c>
      <c r="CG1136" s="14" t="n">
        <f>IF(ISNUMBER(BU1136),BU1136,"")</f>
        <v>17</v>
      </c>
      <c r="CH1136" s="13" t="n">
        <f>IF(AND(COUNT(BV1136,CF1136,CG1136)=3,MIN(BV1136,CF1136,CG1136)&gt;=0),BV1136*CF1136*CG1136,"")</f>
        <v>6.7706370607406035</v>
      </c>
      <c r="CI1136" s="13" t="n">
        <f>IF(COUNT(BY1136,CB1136,CE1136,CH1136)=4,SUM(BY1136,CB1136,CE1136,CH1136),"")</f>
        <v>35.654361936544454</v>
      </c>
    </row>
    <row r="1137" ht="72" customHeight="1">
      <c r="A1137" s="16" t="str">
        <v>S02a-BK1-37</v>
      </c>
      <c r="B1137" s="16" t="str">
        <v>3店-SANDIEX-US</v>
      </c>
      <c r="C1137" s="16" t="str">
        <v>陈晨</v>
      </c>
      <c r="D1137" s="26" t="n">
        <f>IF(NOT(ISNUMBER(E1137)),"",IF(OR(E1137&lt;=0,L1137=0),0,IF(OR(NOT(ISNUMBER(F1137)),F1137&lt;0),"",MIN(E1137,INT(F1137)))))</f>
        <v>0</v>
      </c>
      <c r="E1137" s="27" t="n">
        <f>IF(OR(NOT(ISNUMBER(L1137)),COUNT(M1137:O1137)&lt;&gt;3,MIN(M1137:O1137)&lt;0),"",ROUNDUP(ROUND(BI1137-SUM(M1137:O1137),10),0))</f>
        <v>-2</v>
      </c>
      <c r="F1137" s="28" t="n">
        <v>0</v>
      </c>
      <c r="G1137" s="28" t="n">
        <f>IF(AND(ISNUMBER(D1137),ISNUMBER(E1137)),IF(OR(E1137&lt;=0,L1137=0),0,E1137-D1137),"")</f>
        <v>0</v>
      </c>
      <c r="H1137" s="16" t="str">
        <f>IF(NOT(ISNUMBER(E1137)),"销量或海外库存待补",IF(OR(E1137&lt;=0,L1137=0),IF(L1137=0,"零日销，本批不发","本批无需补货"),IF(NOT(ISNUMBER(D1137)),"国内库存待补",IF(D1137=0,"国内无可用库存",IF(G1137&gt;0,"先发国内现货","按建议量发货")))))</f>
        <v>本批无需补货</v>
      </c>
      <c r="I1137" s="28" t="n">
        <f>IF(AND(COUNT(Z1137,AA1137,AB1137)=3,Z1137&gt;=AA1137,AA1137&gt;=0,AB1137=7),Z1137-AA1137,"")</f>
        <v>0</v>
      </c>
      <c r="J1137" s="28" t="n">
        <f>IF(AND(COUNT(AF1137,AG1137,AH1137)=3,AF1137&gt;=AG1137,AG1137&gt;=0,AH1137=14),AF1137-AG1137,"")</f>
        <v>0</v>
      </c>
      <c r="K1137" s="28" t="n">
        <f>IF(AND(COUNT(AL1137,AM1137,AN1137)=3,AL1137&gt;=AM1137,AM1137&gt;=0,AN1137=30),AL1137-AM1137,"")</f>
        <v>0</v>
      </c>
      <c r="L1137" s="29" t="n">
        <f>IF(ISNUMBER(BI1137),BI1137/90,"")</f>
        <v>0.0165293810533866</v>
      </c>
      <c r="M1137" s="28" t="n">
        <v>3</v>
      </c>
      <c r="N1137" s="28" t="n">
        <v>0</v>
      </c>
      <c r="O1137" s="28" t="n">
        <v>0</v>
      </c>
      <c r="P1137" s="30" t="n">
        <f>IF(AND(ISNUMBER(L1137),L1137&gt;0,COUNT(M1137:O1137)=3,MIN(M1137:O1137)&gt;=0),SUM(M1137:O1137)/L1137,"")</f>
        <v>181.49499913581755</v>
      </c>
      <c r="Q1137" s="16" t="str">
        <v>沿用同SPU原计划店铺</v>
      </c>
      <c r="R1137" s="16" t="str">
        <v>已匹配</v>
      </c>
      <c r="S1137" s="16" t="str">
        <v>在售</v>
      </c>
      <c r="T1137" s="16" t="str">
        <v>S02a</v>
      </c>
      <c r="U1137" s="16" t="str">
        <v>黑色</v>
      </c>
      <c r="V1137" s="16" t="n">
        <v>6.5</v>
      </c>
      <c r="W1137" s="8" t="str">
        <v>2026-10-11 至 2026-10-17</v>
      </c>
      <c r="X1137" s="8" t="str">
        <v>2026-10-11、2026-10-12、2026-10-13、2026-10-14、2026-10-15、2026-10-16、2026-10-17</v>
      </c>
      <c r="Y1137" s="8" t="str">
        <v>无</v>
      </c>
      <c r="Z1137" s="8" t="n">
        <v>0</v>
      </c>
      <c r="AA1137" s="8" t="n">
        <v>0</v>
      </c>
      <c r="AB1137" s="8" t="n">
        <v>7</v>
      </c>
      <c r="AC1137" s="8" t="str">
        <v>2026-10-02 至 2026-10-17</v>
      </c>
      <c r="AD1137" s="8" t="str">
        <v>2026-10-02、2026-10-03、2026-10-04、2026-10-05、2026-10-08、2026-10-09、2026-10-10、2026-10-11、2026-10-12、2026-10-13、2026-10-14、2026-10-15、2026-10-16、2026-10-17</v>
      </c>
      <c r="AE1137" s="8" t="str">
        <v>2026-10-06 大促；2026-10-07 大促</v>
      </c>
      <c r="AF1137" s="8" t="n">
        <v>4</v>
      </c>
      <c r="AG1137" s="8" t="n">
        <v>4</v>
      </c>
      <c r="AH1137" s="8" t="n">
        <v>14</v>
      </c>
      <c r="AI1137" s="8" t="str">
        <v>2026-09-16 至 2026-10-17</v>
      </c>
      <c r="AJ113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7" s="8" t="str">
        <v>2026-10-06 大促；2026-10-07 大促</v>
      </c>
      <c r="AL1137" s="8" t="n">
        <v>4</v>
      </c>
      <c r="AM1137" s="8" t="n">
        <v>4</v>
      </c>
      <c r="AN1137" s="8" t="n">
        <v>30</v>
      </c>
      <c r="AO1137" s="8" t="str">
        <v>S02a / 黑色 / 6574</v>
      </c>
      <c r="AP1137" s="11" t="n">
        <v>0.7647664488148722</v>
      </c>
      <c r="AQ1137" s="11" t="n">
        <v>0.7647664488148722</v>
      </c>
      <c r="AR1137" s="11" t="n">
        <v>0.8066052567225582</v>
      </c>
      <c r="AS1137" s="11" t="n">
        <f>IF(AND(COUNT(I1137:K1137,AP1137:AR1137)=6,MIN(AP1137:AR1137)&gt;0),I1137/7/AP1137*0.5+J1137/14/AQ1137*0.3+K1137/30/AR1137*0.2,"")</f>
        <v>0</v>
      </c>
      <c r="AT1137" s="8" t="n">
        <v>4</v>
      </c>
      <c r="AU1137" s="8" t="n">
        <v>4</v>
      </c>
      <c r="AV1137" s="8" t="n">
        <v>88</v>
      </c>
      <c r="AW1137" s="11" t="n">
        <f>IF(AND(COUNT(AT1137:AV1137)=3,AT1137&gt;=AU1137,AU1137&gt;=0,AV1137&gt;0),(AT1137-AU1137)/AV1137,"")</f>
        <v>0</v>
      </c>
      <c r="AX1137" s="8" t="n">
        <v>8</v>
      </c>
      <c r="AY1137" s="8" t="n">
        <v>4</v>
      </c>
      <c r="AZ1137" s="8" t="n">
        <v>178</v>
      </c>
      <c r="BA1137" s="11" t="n">
        <f>IF(AND(COUNT(AX1137:AZ1137)=3,AX1137&gt;=AY1137,AY1137&gt;=0,AZ1137&gt;0),(AX1137-AY1137)/AZ1137,"")</f>
        <v>0.02247191011235955</v>
      </c>
      <c r="BB1137" s="8" t="n">
        <f>IF(COUNT(AS1137,AW1137,BA1137)=3,1,0)</f>
        <v>1</v>
      </c>
      <c r="BC1137" s="11" t="n">
        <f>IF(SUMIF($AO$11:$AO$1309,AO1137,$BB$11:$BB$1309)=COUNTIF($AO$11:$AO$1309,AO1137),SUMIF($AO$11:$AO$1309,AO1137,$AS$11:$AS$1309),"")</f>
        <v>1.8937291591853285</v>
      </c>
      <c r="BD1137" s="11" t="n">
        <f>IF(SUMIF($AO$11:$AO$1309,AO1137,$BB$11:$BB$1309)=COUNTIF($AO$11:$AO$1309,AO1137),SUMIF($AO$11:$AO$1309,AO1137,$AW$11:$AW$1309),"")</f>
        <v>1.0754010695187166</v>
      </c>
      <c r="BE1137" s="11" t="n">
        <f>IF(SUMIF($AO$11:$AO$1309,AO1137,$BB$11:$BB$1309)=COUNTIF($AO$11:$AO$1309,AO1137),SUMIF($AO$11:$AO$1309,AO1137,$BA$11:$BA$1309),"")</f>
        <v>0.9853611556982342</v>
      </c>
      <c r="BF1137" s="12" t="n">
        <f>IF(COUNT(BD1137:BE1137)&lt;&gt;2,"",IF(AND(BD1137&gt;0,BE1137&gt;0),0.7*AW1137/BD1137+0.3*BA1137/BE1137,IF(BD1137&gt;0,AW1137/BD1137,IF(BE1137&gt;0,BA1137/BE1137,IF(AND(ISNUMBER(BH1137),BH1137=0),0,"")))))</f>
        <v>0.006841728025021177</v>
      </c>
      <c r="BG1137" s="11" t="n">
        <f>IF(AND(COUNT(BN1137:BU1137)=8,MIN(BN1137:BU1137)&gt;=0),SUMPRODUCT(BN1137:BQ1137,BR1137:BU1137),"")</f>
        <v>114.81944114457707</v>
      </c>
      <c r="BH1137" s="11" t="n">
        <f>IF(COUNT(BC1137,BG1137)=2,BC1137*BG1137,"")</f>
        <v>217.43692373684925</v>
      </c>
      <c r="BI1137" s="11" t="n">
        <f>IF(ISNUMBER(CI1137),CI1137,"")</f>
        <v>1.4876442948047939</v>
      </c>
      <c r="BJ1137" s="8" t="str"/>
      <c r="BK1137" s="8" t="str">
        <v>90天：2026-07-20 至 2026-10-17；180天：2026-04-21 至 2026-10-17</v>
      </c>
      <c r="BL1137" s="8" t="str">
        <v>90天：2026-10-06、2026-10-07；180天：2026-10-06、2026-10-07</v>
      </c>
      <c r="BM1137" s="8" t="str">
        <v>2026-10：12天 × 0.7647664488148722；2026-11：30天 × 1.5248287781391903；2026-12：31天 × 1.2288250057360348；2027-01：17天 × 1.2825767786356366</v>
      </c>
      <c r="BN1137" s="11" t="n">
        <v>0.7647664488148722</v>
      </c>
      <c r="BO1137" s="11" t="n">
        <v>1.5248287781391903</v>
      </c>
      <c r="BP1137" s="11" t="n">
        <v>1.2288250057360348</v>
      </c>
      <c r="BQ1137" s="11" t="n">
        <v>1.2825767786356366</v>
      </c>
      <c r="BR1137" s="8" t="n">
        <v>12</v>
      </c>
      <c r="BS1137" s="8" t="n">
        <v>30</v>
      </c>
      <c r="BT1137" s="8" t="n">
        <v>31</v>
      </c>
      <c r="BU1137" s="8" t="n">
        <v>17</v>
      </c>
      <c r="BV1137" s="11" t="n">
        <f>IF(COUNT(BC1137,BF1137)=2,BC1137*BF1137,"")</f>
        <v>0.012956379860198052</v>
      </c>
      <c r="BW1137" s="11" t="n">
        <f>IF(ISNUMBER(BN1137),BN1137,"")</f>
        <v>0.7647664488148722</v>
      </c>
      <c r="BX1137" s="14" t="n">
        <f>IF(ISNUMBER(BR1137),BR1137,"")</f>
        <v>12</v>
      </c>
      <c r="BY1137" s="13" t="n">
        <f>IF(AND(COUNT(BV1137,BW1137,BX1137)=3,MIN(BV1137,BW1137,BX1137)&gt;=0),BV1137*BW1137*BX1137,"")</f>
        <v>0.11890325538216234</v>
      </c>
      <c r="BZ1137" s="11" t="n">
        <f>IF(ISNUMBER(BO1137),BO1137,"")</f>
        <v>1.5248287781391903</v>
      </c>
      <c r="CA1137" s="14" t="n">
        <f>IF(ISNUMBER(BS1137),BS1137,"")</f>
        <v>30</v>
      </c>
      <c r="CB1137" s="13" t="n">
        <f>IF(AND(COUNT(BV1137,BZ1137,CA1137)=3,MIN(BV1137,BZ1137,CA1137)&gt;=0),BV1137*BZ1137*CA1137,"")</f>
        <v>0.5926878261399903</v>
      </c>
      <c r="CC1137" s="11" t="n">
        <f>IF(ISNUMBER(BP1137),BP1137,"")</f>
        <v>1.2288250057360348</v>
      </c>
      <c r="CD1137" s="14" t="n">
        <f>IF(ISNUMBER(BT1137),BT1137,"")</f>
        <v>31</v>
      </c>
      <c r="CE1137" s="13" t="n">
        <f>IF(AND(COUNT(BV1137,CC1137,CD1137)=3,MIN(BV1137,CC1137,CD1137)&gt;=0),BV1137*CC1137*CD1137,"")</f>
        <v>0.4935548302368096</v>
      </c>
      <c r="CF1137" s="11" t="n">
        <f>IF(ISNUMBER(BQ1137),BQ1137,"")</f>
        <v>1.2825767786356366</v>
      </c>
      <c r="CG1137" s="14" t="n">
        <f>IF(ISNUMBER(BU1137),BU1137,"")</f>
        <v>17</v>
      </c>
      <c r="CH1137" s="13" t="n">
        <f>IF(AND(COUNT(BV1137,CF1137,CG1137)=3,MIN(BV1137,CF1137,CG1137)&gt;=0),BV1137*CF1137*CG1137,"")</f>
        <v>0.28249838304583175</v>
      </c>
      <c r="CI1137" s="13" t="n">
        <f>IF(COUNT(BY1137,CB1137,CE1137,CH1137)=4,SUM(BY1137,CB1137,CE1137,CH1137),"")</f>
        <v>1.4876442948047939</v>
      </c>
    </row>
    <row r="1138" ht="72" customHeight="1">
      <c r="A1138" s="16" t="str">
        <v>S02a-BKP-37</v>
      </c>
      <c r="B1138" s="16" t="str">
        <v>3店-SANDIEX-US</v>
      </c>
      <c r="C1138" s="16" t="str">
        <v>陈晨</v>
      </c>
      <c r="D1138" s="26" t="n">
        <f>IF(NOT(ISNUMBER(E1138)),"",IF(OR(E1138&lt;=0,L1138=0),0,IF(OR(NOT(ISNUMBER(F1138)),F1138&lt;0),"",MIN(E1138,INT(F1138)))))</f>
        <v>0</v>
      </c>
      <c r="E1138" s="27" t="n">
        <f>IF(OR(NOT(ISNUMBER(L1138)),COUNT(M1138:O1138)&lt;&gt;3,MIN(M1138:O1138)&lt;0),"",ROUNDUP(ROUND(BI1138-SUM(M1138:O1138),10),0))</f>
        <v>-9</v>
      </c>
      <c r="F1138" s="28" t="n">
        <v>0</v>
      </c>
      <c r="G1138" s="28" t="n">
        <f>IF(AND(ISNUMBER(D1138),ISNUMBER(E1138)),IF(OR(E1138&lt;=0,L1138=0),0,E1138-D1138),"")</f>
        <v>0</v>
      </c>
      <c r="H1138" s="16" t="str">
        <f>IF(NOT(ISNUMBER(E1138)),"销量或海外库存待补",IF(OR(E1138&lt;=0,L1138=0),IF(L1138=0,"零日销，本批不发","本批无需补货"),IF(NOT(ISNUMBER(D1138)),"国内库存待补",IF(D1138=0,"国内无可用库存",IF(G1138&gt;0,"先发国内现货","按建议量发货")))))</f>
        <v>本批无需补货</v>
      </c>
      <c r="I1138" s="28" t="n">
        <f>IF(AND(COUNT(Z1138,AA1138,AB1138)=3,Z1138&gt;=AA1138,AA1138&gt;=0,AB1138=7),Z1138-AA1138,"")</f>
        <v>0</v>
      </c>
      <c r="J1138" s="28" t="n">
        <f>IF(AND(COUNT(AF1138,AG1138,AH1138)=3,AF1138&gt;=AG1138,AG1138&gt;=0,AH1138=14),AF1138-AG1138,"")</f>
        <v>0</v>
      </c>
      <c r="K1138" s="28" t="n">
        <f>IF(AND(COUNT(AL1138,AM1138,AN1138)=3,AL1138&gt;=AM1138,AM1138&gt;=0,AN1138=30),AL1138-AM1138,"")</f>
        <v>1</v>
      </c>
      <c r="L1138" s="29" t="n">
        <f>IF(ISNUMBER(BI1138),BI1138/90,"")</f>
        <v>0.09525523236742861</v>
      </c>
      <c r="M1138" s="28" t="n">
        <v>17</v>
      </c>
      <c r="N1138" s="28" t="n">
        <v>0</v>
      </c>
      <c r="O1138" s="28" t="n">
        <v>0</v>
      </c>
      <c r="P1138" s="30" t="n">
        <f>IF(AND(ISNUMBER(L1138),L1138&gt;0,COUNT(M1138:O1138)=3,MIN(M1138:O1138)&gt;=0),SUM(M1138:O1138)/L1138,"")</f>
        <v>178.46788651384307</v>
      </c>
      <c r="Q1138" s="16" t="str">
        <v>沿用原计划SKU店铺</v>
      </c>
      <c r="R1138" s="16" t="str">
        <v>已匹配</v>
      </c>
      <c r="S1138" s="16" t="str">
        <v>在售</v>
      </c>
      <c r="T1138" s="16" t="str">
        <v>S02a</v>
      </c>
      <c r="U1138" s="16" t="str">
        <v>黑色PU</v>
      </c>
      <c r="V1138" s="16" t="n">
        <v>6</v>
      </c>
      <c r="W1138" s="8" t="str">
        <v>2026-10-11 至 2026-10-17</v>
      </c>
      <c r="X1138" s="8" t="str">
        <v>2026-10-11、2026-10-12、2026-10-13、2026-10-14、2026-10-15、2026-10-16、2026-10-17</v>
      </c>
      <c r="Y1138" s="8" t="str">
        <v>无</v>
      </c>
      <c r="Z1138" s="8" t="n">
        <v>0</v>
      </c>
      <c r="AA1138" s="8" t="n">
        <v>0</v>
      </c>
      <c r="AB1138" s="8" t="n">
        <v>7</v>
      </c>
      <c r="AC1138" s="8" t="str">
        <v>2026-10-02 至 2026-10-17</v>
      </c>
      <c r="AD1138" s="8" t="str">
        <v>2026-10-02、2026-10-03、2026-10-04、2026-10-05、2026-10-08、2026-10-09、2026-10-10、2026-10-11、2026-10-12、2026-10-13、2026-10-14、2026-10-15、2026-10-16、2026-10-17</v>
      </c>
      <c r="AE1138" s="8" t="str">
        <v>2026-10-06 大促；2026-10-07 大促</v>
      </c>
      <c r="AF1138" s="8" t="n">
        <v>0</v>
      </c>
      <c r="AG1138" s="8" t="n">
        <v>0</v>
      </c>
      <c r="AH1138" s="8" t="n">
        <v>14</v>
      </c>
      <c r="AI1138" s="8" t="str">
        <v>2026-09-16 至 2026-10-17</v>
      </c>
      <c r="AJ113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8" s="8" t="str">
        <v>2026-10-06 大促；2026-10-07 大促</v>
      </c>
      <c r="AL1138" s="8" t="n">
        <v>1</v>
      </c>
      <c r="AM1138" s="8" t="n">
        <v>0</v>
      </c>
      <c r="AN1138" s="8" t="n">
        <v>30</v>
      </c>
      <c r="AO1138" s="8" t="str">
        <v>S02a / 黑色PU / 6574</v>
      </c>
      <c r="AP1138" s="11" t="n">
        <v>0.7647664488148722</v>
      </c>
      <c r="AQ1138" s="11" t="n">
        <v>0.7647664488148722</v>
      </c>
      <c r="AR1138" s="11" t="n">
        <v>0.8066052567225582</v>
      </c>
      <c r="AS1138" s="11" t="n">
        <f>IF(AND(COUNT(I1138:K1138,AP1138:AR1138)=6,MIN(AP1138:AR1138)&gt;0),I1138/7/AP1138*0.5+J1138/14/AQ1138*0.3+K1138/30/AR1138*0.2,"")</f>
        <v>0.008265092015089294</v>
      </c>
      <c r="AT1138" s="8" t="n">
        <v>3</v>
      </c>
      <c r="AU1138" s="8" t="n">
        <v>0</v>
      </c>
      <c r="AV1138" s="8" t="n">
        <v>88</v>
      </c>
      <c r="AW1138" s="11" t="n">
        <f>IF(AND(COUNT(AT1138:AV1138)=3,AT1138&gt;=AU1138,AU1138&gt;=0,AV1138&gt;0),(AT1138-AU1138)/AV1138,"")</f>
        <v>0.03409090909090909</v>
      </c>
      <c r="AX1138" s="8" t="n">
        <v>5</v>
      </c>
      <c r="AY1138" s="8" t="n">
        <v>0</v>
      </c>
      <c r="AZ1138" s="8" t="n">
        <v>178</v>
      </c>
      <c r="BA1138" s="11" t="n">
        <f>IF(AND(COUNT(AX1138:AZ1138)=3,AX1138&gt;=AY1138,AY1138&gt;=0,AZ1138&gt;0),(AX1138-AY1138)/AZ1138,"")</f>
        <v>0.028089887640449437</v>
      </c>
      <c r="BB1138" s="8" t="n">
        <f>IF(COUNT(AS1138,AW1138,BA1138)=3,1,0)</f>
        <v>1</v>
      </c>
      <c r="BC1138" s="11" t="n">
        <f>IF(SUMIF($AO$11:$AO$1309,AO1138,$BB$11:$BB$1309)=COUNTIF($AO$11:$AO$1309,AO1138),SUMIF($AO$11:$AO$1309,AO1138,$AS$11:$AS$1309),"")</f>
        <v>1.3346079165193463</v>
      </c>
      <c r="BD1138" s="11" t="n">
        <f>IF(SUMIF($AO$11:$AO$1309,AO1138,$BB$11:$BB$1309)=COUNTIF($AO$11:$AO$1309,AO1138),SUMIF($AO$11:$AO$1309,AO1138,$AW$11:$AW$1309),"")</f>
        <v>0.5454545454545454</v>
      </c>
      <c r="BE1138" s="11" t="n">
        <f>IF(SUMIF($AO$11:$AO$1309,AO1138,$BB$11:$BB$1309)=COUNTIF($AO$11:$AO$1309,AO1138),SUMIF($AO$11:$AO$1309,AO1138,$BA$11:$BA$1309),"")</f>
        <v>0.6910112359550562</v>
      </c>
      <c r="BF1138" s="12" t="n">
        <f>IF(COUNT(BD1138:BE1138)&lt;&gt;2,"",IF(AND(BD1138&gt;0,BE1138&gt;0),0.7*AW1138/BD1138+0.3*BA1138/BE1138,IF(BD1138&gt;0,AW1138/BD1138,IF(BE1138&gt;0,BA1138/BE1138,IF(AND(ISNUMBER(BH1138),BH1138=0),0,"")))))</f>
        <v>0.055945121951219506</v>
      </c>
      <c r="BG1138" s="11" t="n">
        <f>IF(AND(COUNT(BN1138:BU1138)=8,MIN(BN1138:BU1138)&gt;=0),SUMPRODUCT(BN1138:BQ1138,BR1138:BU1138),"")</f>
        <v>114.81944114457707</v>
      </c>
      <c r="BH1138" s="11" t="n">
        <f>IF(COUNT(BC1138,BG1138)=2,BC1138*BG1138,"")</f>
        <v>153.2389351218797</v>
      </c>
      <c r="BI1138" s="11" t="n">
        <f>IF(ISNUMBER(CI1138),CI1138,"")</f>
        <v>8.572970913068575</v>
      </c>
      <c r="BJ1138" s="8" t="str"/>
      <c r="BK1138" s="8" t="str">
        <v>90天：2026-07-20 至 2026-10-17；180天：2026-04-21 至 2026-10-17</v>
      </c>
      <c r="BL1138" s="8" t="str">
        <v>90天：2026-10-06、2026-10-07；180天：2026-10-06、2026-10-07</v>
      </c>
      <c r="BM1138" s="8" t="str">
        <v>2026-10：12天 × 0.7647664488148722；2026-11：30天 × 1.5248287781391903；2026-12：31天 × 1.2288250057360348；2027-01：17天 × 1.2825767786356366</v>
      </c>
      <c r="BN1138" s="11" t="n">
        <v>0.7647664488148722</v>
      </c>
      <c r="BO1138" s="11" t="n">
        <v>1.5248287781391903</v>
      </c>
      <c r="BP1138" s="11" t="n">
        <v>1.2288250057360348</v>
      </c>
      <c r="BQ1138" s="11" t="n">
        <v>1.2825767786356366</v>
      </c>
      <c r="BR1138" s="8" t="n">
        <v>12</v>
      </c>
      <c r="BS1138" s="8" t="n">
        <v>30</v>
      </c>
      <c r="BT1138" s="8" t="n">
        <v>31</v>
      </c>
      <c r="BU1138" s="8" t="n">
        <v>17</v>
      </c>
      <c r="BV1138" s="11" t="n">
        <f>IF(COUNT(BC1138,BF1138)=2,BC1138*BF1138,"")</f>
        <v>0.0746648026467378</v>
      </c>
      <c r="BW1138" s="11" t="n">
        <f>IF(ISNUMBER(BN1138),BN1138,"")</f>
        <v>0.7647664488148722</v>
      </c>
      <c r="BX1138" s="14" t="n">
        <f>IF(ISNUMBER(BR1138),BR1138,"")</f>
        <v>12</v>
      </c>
      <c r="BY1138" s="13" t="n">
        <f>IF(AND(COUNT(BV1138,BW1138,BX1138)=3,MIN(BV1138,BW1138,BX1138)&gt;=0),BV1138*BW1138*BX1138,"")</f>
        <v>0.6852136316593074</v>
      </c>
      <c r="BZ1138" s="11" t="n">
        <f>IF(ISNUMBER(BO1138),BO1138,"")</f>
        <v>1.5248287781391903</v>
      </c>
      <c r="CA1138" s="14" t="n">
        <f>IF(ISNUMBER(BS1138),BS1138,"")</f>
        <v>30</v>
      </c>
      <c r="CB1138" s="13" t="n">
        <f>IF(AND(COUNT(BV1138,BZ1138,CA1138)=3,MIN(BV1138,BZ1138,CA1138)&gt;=0),BV1138*BZ1138*CA1138,"")</f>
        <v>3.4155311936948696</v>
      </c>
      <c r="CC1138" s="11" t="n">
        <f>IF(ISNUMBER(BP1138),BP1138,"")</f>
        <v>1.2288250057360348</v>
      </c>
      <c r="CD1138" s="14" t="n">
        <f>IF(ISNUMBER(BT1138),BT1138,"")</f>
        <v>31</v>
      </c>
      <c r="CE1138" s="13" t="n">
        <f>IF(AND(COUNT(BV1138,CC1138,CD1138)=3,MIN(BV1138,CC1138,CD1138)&gt;=0),BV1138*CC1138*CD1138,"")</f>
        <v>2.8442492727603823</v>
      </c>
      <c r="CF1138" s="11" t="n">
        <f>IF(ISNUMBER(BQ1138),BQ1138,"")</f>
        <v>1.2825767786356366</v>
      </c>
      <c r="CG1138" s="14" t="n">
        <f>IF(ISNUMBER(BU1138),BU1138,"")</f>
        <v>17</v>
      </c>
      <c r="CH1138" s="13" t="n">
        <f>IF(AND(COUNT(BV1138,CF1138,CG1138)=3,MIN(BV1138,CF1138,CG1138)&gt;=0),BV1138*CF1138*CG1138,"")</f>
        <v>1.627976814954015</v>
      </c>
      <c r="CI1138" s="13" t="n">
        <f>IF(COUNT(BY1138,CB1138,CE1138,CH1138)=4,SUM(BY1138,CB1138,CE1138,CH1138),"")</f>
        <v>8.572970913068575</v>
      </c>
    </row>
    <row r="1139" ht="72" customHeight="1">
      <c r="A1139" s="16" t="str">
        <v>S02a-BKP-40</v>
      </c>
      <c r="B1139" s="16" t="str">
        <v>3店-SANDIEX-US</v>
      </c>
      <c r="C1139" s="16" t="str">
        <v>陈晨</v>
      </c>
      <c r="D1139" s="26" t="n">
        <f>IF(NOT(ISNUMBER(E1139)),"",IF(OR(E1139&lt;=0,L1139=0),0,IF(OR(NOT(ISNUMBER(F1139)),F1139&lt;0),"",MIN(E1139,INT(F1139)))))</f>
        <v>0</v>
      </c>
      <c r="E1139" s="27" t="n">
        <f>IF(OR(NOT(ISNUMBER(L1139)),COUNT(M1139:O1139)&lt;&gt;3,MIN(M1139:O1139)&lt;0),"",ROUNDUP(ROUND(BI1139-SUM(M1139:O1139),10),0))</f>
        <v>-4</v>
      </c>
      <c r="F1139" s="28" t="n">
        <v>13</v>
      </c>
      <c r="G1139" s="28" t="n">
        <f>IF(AND(ISNUMBER(D1139),ISNUMBER(E1139)),IF(OR(E1139&lt;=0,L1139=0),0,E1139-D1139),"")</f>
        <v>0</v>
      </c>
      <c r="H1139" s="16" t="str">
        <f>IF(NOT(ISNUMBER(E1139)),"销量或海外库存待补",IF(OR(E1139&lt;=0,L1139=0),IF(L1139=0,"零日销，本批不发","本批无需补货"),IF(NOT(ISNUMBER(D1139)),"国内库存待补",IF(D1139=0,"国内无可用库存",IF(G1139&gt;0,"先发国内现货","按建议量发货")))))</f>
        <v>本批无需补货</v>
      </c>
      <c r="I1139" s="28" t="n">
        <f>IF(AND(COUNT(Z1139,AA1139,AB1139)=3,Z1139&gt;=AA1139,AA1139&gt;=0,AB1139=7),Z1139-AA1139,"")</f>
        <v>1</v>
      </c>
      <c r="J1139" s="28" t="n">
        <f>IF(AND(COUNT(AF1139,AG1139,AH1139)=3,AF1139&gt;=AG1139,AG1139&gt;=0,AH1139=14),AF1139-AG1139,"")</f>
        <v>5</v>
      </c>
      <c r="K1139" s="28" t="n">
        <f>IF(AND(COUNT(AL1139,AM1139,AN1139)=3,AL1139&gt;=AM1139,AM1139&gt;=0,AN1139=30),AL1139-AM1139,"")</f>
        <v>6</v>
      </c>
      <c r="L1139" s="29" t="n">
        <f>IF(ISNUMBER(BI1139),BI1139/90,"")</f>
        <v>0.3397523138118912</v>
      </c>
      <c r="M1139" s="28" t="n">
        <v>34</v>
      </c>
      <c r="N1139" s="28" t="n">
        <v>0</v>
      </c>
      <c r="O1139" s="28" t="n">
        <v>0</v>
      </c>
      <c r="P1139" s="30" t="n">
        <f>IF(AND(ISNUMBER(L1139),L1139&gt;0,COUNT(M1139:O1139)=3,MIN(M1139:O1139)&gt;=0),SUM(M1139:O1139)/L1139,"")</f>
        <v>100.07290198713582</v>
      </c>
      <c r="Q1139" s="16" t="str">
        <v>沿用原计划SKU店铺</v>
      </c>
      <c r="R1139" s="16" t="str">
        <v>已匹配</v>
      </c>
      <c r="S1139" s="16" t="str">
        <v>在售</v>
      </c>
      <c r="T1139" s="16" t="str">
        <v>S02a</v>
      </c>
      <c r="U1139" s="16" t="str">
        <v>黑色PU</v>
      </c>
      <c r="V1139" s="16" t="n">
        <v>9</v>
      </c>
      <c r="W1139" s="8" t="str">
        <v>2026-10-11 至 2026-10-17</v>
      </c>
      <c r="X1139" s="8" t="str">
        <v>2026-10-11、2026-10-12、2026-10-13、2026-10-14、2026-10-15、2026-10-16、2026-10-17</v>
      </c>
      <c r="Y1139" s="8" t="str">
        <v>无</v>
      </c>
      <c r="Z1139" s="8" t="n">
        <v>1</v>
      </c>
      <c r="AA1139" s="8" t="n">
        <v>0</v>
      </c>
      <c r="AB1139" s="8" t="n">
        <v>7</v>
      </c>
      <c r="AC1139" s="8" t="str">
        <v>2026-10-02 至 2026-10-17</v>
      </c>
      <c r="AD1139" s="8" t="str">
        <v>2026-10-02、2026-10-03、2026-10-04、2026-10-05、2026-10-08、2026-10-09、2026-10-10、2026-10-11、2026-10-12、2026-10-13、2026-10-14、2026-10-15、2026-10-16、2026-10-17</v>
      </c>
      <c r="AE1139" s="8" t="str">
        <v>2026-10-06 大促；2026-10-07 大促</v>
      </c>
      <c r="AF1139" s="8" t="n">
        <v>5</v>
      </c>
      <c r="AG1139" s="8" t="n">
        <v>0</v>
      </c>
      <c r="AH1139" s="8" t="n">
        <v>14</v>
      </c>
      <c r="AI1139" s="8" t="str">
        <v>2026-09-16 至 2026-10-17</v>
      </c>
      <c r="AJ113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39" s="8" t="str">
        <v>2026-10-06 大促；2026-10-07 大促</v>
      </c>
      <c r="AL1139" s="8" t="n">
        <v>6</v>
      </c>
      <c r="AM1139" s="8" t="n">
        <v>0</v>
      </c>
      <c r="AN1139" s="8" t="n">
        <v>30</v>
      </c>
      <c r="AO1139" s="8" t="str">
        <v>S02a / 黑色PU / 6574</v>
      </c>
      <c r="AP1139" s="11" t="n">
        <v>0.7647664488148722</v>
      </c>
      <c r="AQ1139" s="11" t="n">
        <v>0.7647664488148722</v>
      </c>
      <c r="AR1139" s="11" t="n">
        <v>0.8066052567225582</v>
      </c>
      <c r="AS1139" s="11" t="n">
        <f>IF(AND(COUNT(I1139:K1139,AP1139:AR1139)=6,MIN(AP1139:AR1139)&gt;0),I1139/7/AP1139*0.5+J1139/14/AQ1139*0.3+K1139/30/AR1139*0.2,"")</f>
        <v>0.283088542030018</v>
      </c>
      <c r="AT1139" s="8" t="n">
        <v>9</v>
      </c>
      <c r="AU1139" s="8" t="n">
        <v>0</v>
      </c>
      <c r="AV1139" s="8" t="n">
        <v>88</v>
      </c>
      <c r="AW1139" s="11" t="n">
        <f>IF(AND(COUNT(AT1139:AV1139)=3,AT1139&gt;=AU1139,AU1139&gt;=0,AV1139&gt;0),(AT1139-AU1139)/AV1139,"")</f>
        <v>0.10227272727272728</v>
      </c>
      <c r="AX1139" s="8" t="n">
        <v>28</v>
      </c>
      <c r="AY1139" s="8" t="n">
        <v>0</v>
      </c>
      <c r="AZ1139" s="8" t="n">
        <v>178</v>
      </c>
      <c r="BA1139" s="11" t="n">
        <f>IF(AND(COUNT(AX1139:AZ1139)=3,AX1139&gt;=AY1139,AY1139&gt;=0,AZ1139&gt;0),(AX1139-AY1139)/AZ1139,"")</f>
        <v>0.15730337078651685</v>
      </c>
      <c r="BB1139" s="8" t="n">
        <f>IF(COUNT(AS1139,AW1139,BA1139)=3,1,0)</f>
        <v>1</v>
      </c>
      <c r="BC1139" s="11" t="n">
        <f>IF(SUMIF($AO$11:$AO$1309,AO1139,$BB$11:$BB$1309)=COUNTIF($AO$11:$AO$1309,AO1139),SUMIF($AO$11:$AO$1309,AO1139,$AS$11:$AS$1309),"")</f>
        <v>1.3346079165193463</v>
      </c>
      <c r="BD1139" s="11" t="n">
        <f>IF(SUMIF($AO$11:$AO$1309,AO1139,$BB$11:$BB$1309)=COUNTIF($AO$11:$AO$1309,AO1139),SUMIF($AO$11:$AO$1309,AO1139,$AW$11:$AW$1309),"")</f>
        <v>0.5454545454545454</v>
      </c>
      <c r="BE1139" s="11" t="n">
        <f>IF(SUMIF($AO$11:$AO$1309,AO1139,$BB$11:$BB$1309)=COUNTIF($AO$11:$AO$1309,AO1139),SUMIF($AO$11:$AO$1309,AO1139,$BA$11:$BA$1309),"")</f>
        <v>0.6910112359550562</v>
      </c>
      <c r="BF1139" s="12" t="n">
        <f>IF(COUNT(BD1139:BE1139)&lt;&gt;2,"",IF(AND(BD1139&gt;0,BE1139&gt;0),0.7*AW1139/BD1139+0.3*BA1139/BE1139,IF(BD1139&gt;0,AW1139/BD1139,IF(BE1139&gt;0,BA1139/BE1139,IF(AND(ISNUMBER(BH1139),BH1139=0),0,"")))))</f>
        <v>0.19954268292682925</v>
      </c>
      <c r="BG1139" s="11" t="n">
        <f>IF(AND(COUNT(BN1139:BU1139)=8,MIN(BN1139:BU1139)&gt;=0),SUMPRODUCT(BN1139:BQ1139,BR1139:BU1139),"")</f>
        <v>114.81944114457707</v>
      </c>
      <c r="BH1139" s="11" t="n">
        <f>IF(COUNT(BC1139,BG1139)=2,BC1139*BG1139,"")</f>
        <v>153.2389351218797</v>
      </c>
      <c r="BI1139" s="11" t="n">
        <f>IF(ISNUMBER(CI1139),CI1139,"")</f>
        <v>30.577708243070205</v>
      </c>
      <c r="BJ1139" s="8" t="str"/>
      <c r="BK1139" s="8" t="str">
        <v>90天：2026-07-20 至 2026-10-17；180天：2026-04-21 至 2026-10-17</v>
      </c>
      <c r="BL1139" s="8" t="str">
        <v>90天：2026-10-06、2026-10-07；180天：2026-10-06、2026-10-07</v>
      </c>
      <c r="BM1139" s="8" t="str">
        <v>2026-10：12天 × 0.7647664488148722；2026-11：30天 × 1.5248287781391903；2026-12：31天 × 1.2288250057360348；2027-01：17天 × 1.2825767786356366</v>
      </c>
      <c r="BN1139" s="11" t="n">
        <v>0.7647664488148722</v>
      </c>
      <c r="BO1139" s="11" t="n">
        <v>1.5248287781391903</v>
      </c>
      <c r="BP1139" s="11" t="n">
        <v>1.2288250057360348</v>
      </c>
      <c r="BQ1139" s="11" t="n">
        <v>1.2825767786356366</v>
      </c>
      <c r="BR1139" s="8" t="n">
        <v>12</v>
      </c>
      <c r="BS1139" s="8" t="n">
        <v>30</v>
      </c>
      <c r="BT1139" s="8" t="n">
        <v>31</v>
      </c>
      <c r="BU1139" s="8" t="n">
        <v>17</v>
      </c>
      <c r="BV1139" s="11" t="n">
        <f>IF(COUNT(BC1139,BF1139)=2,BC1139*BF1139,"")</f>
        <v>0.2663112443176561</v>
      </c>
      <c r="BW1139" s="11" t="n">
        <f>IF(ISNUMBER(BN1139),BN1139,"")</f>
        <v>0.7647664488148722</v>
      </c>
      <c r="BX1139" s="14" t="n">
        <f>IF(ISNUMBER(BR1139),BR1139,"")</f>
        <v>12</v>
      </c>
      <c r="BY1139" s="13" t="n">
        <f>IF(AND(COUNT(BV1139,BW1139,BX1139)=3,MIN(BV1139,BW1139,BX1139)&gt;=0),BV1139*BW1139*BX1139,"")</f>
        <v>2.4439908551554046</v>
      </c>
      <c r="BZ1139" s="11" t="n">
        <f>IF(ISNUMBER(BO1139),BO1139,"")</f>
        <v>1.5248287781391903</v>
      </c>
      <c r="CA1139" s="14" t="n">
        <f>IF(ISNUMBER(BS1139),BS1139,"")</f>
        <v>30</v>
      </c>
      <c r="CB1139" s="13" t="n">
        <f>IF(AND(COUNT(BV1139,BZ1139,CA1139)=3,MIN(BV1139,BZ1139,CA1139)&gt;=0),BV1139*BZ1139*CA1139,"")</f>
        <v>12.18237147832857</v>
      </c>
      <c r="CC1139" s="11" t="n">
        <f>IF(ISNUMBER(BP1139),BP1139,"")</f>
        <v>1.2288250057360348</v>
      </c>
      <c r="CD1139" s="14" t="n">
        <f>IF(ISNUMBER(BT1139),BT1139,"")</f>
        <v>31</v>
      </c>
      <c r="CE1139" s="13" t="n">
        <f>IF(AND(COUNT(BV1139,CC1139,CD1139)=3,MIN(BV1139,CC1139,CD1139)&gt;=0),BV1139*CC1139*CD1139,"")</f>
        <v>10.144747406112645</v>
      </c>
      <c r="CF1139" s="11" t="n">
        <f>IF(ISNUMBER(BQ1139),BQ1139,"")</f>
        <v>1.2825767786356366</v>
      </c>
      <c r="CG1139" s="14" t="n">
        <f>IF(ISNUMBER(BU1139),BU1139,"")</f>
        <v>17</v>
      </c>
      <c r="CH1139" s="13" t="n">
        <f>IF(AND(COUNT(BV1139,CF1139,CG1139)=3,MIN(BV1139,CF1139,CG1139)&gt;=0),BV1139*CF1139*CG1139,"")</f>
        <v>5.806598503473586</v>
      </c>
      <c r="CI1139" s="13" t="n">
        <f>IF(COUNT(BY1139,CB1139,CE1139,CH1139)=4,SUM(BY1139,CB1139,CE1139,CH1139),"")</f>
        <v>30.577708243070205</v>
      </c>
    </row>
    <row r="1140" ht="72" customHeight="1">
      <c r="A1140" s="16" t="str">
        <v>S02a-BKP-41</v>
      </c>
      <c r="B1140" s="16" t="str">
        <v>3店-SANDIEX-US</v>
      </c>
      <c r="C1140" s="16" t="str">
        <v>陈晨</v>
      </c>
      <c r="D1140" s="26" t="n">
        <f>IF(NOT(ISNUMBER(E1140)),"",IF(OR(E1140&lt;=0,L1140=0),0,IF(OR(NOT(ISNUMBER(F1140)),F1140&lt;0),"",MIN(E1140,INT(F1140)))))</f>
        <v>0</v>
      </c>
      <c r="E1140" s="27" t="n">
        <f>IF(OR(NOT(ISNUMBER(L1140)),COUNT(M1140:O1140)&lt;&gt;3,MIN(M1140:O1140)&lt;0),"",ROUNDUP(ROUND(BI1140-SUM(M1140:O1140),10),0))</f>
        <v>-21</v>
      </c>
      <c r="F1140" s="28" t="n">
        <v>46</v>
      </c>
      <c r="G1140" s="28" t="n">
        <f>IF(AND(ISNUMBER(D1140),ISNUMBER(E1140)),IF(OR(E1140&lt;=0,L1140=0),0,E1140-D1140),"")</f>
        <v>0</v>
      </c>
      <c r="H1140" s="16" t="str">
        <f>IF(NOT(ISNUMBER(E1140)),"销量或海外库存待补",IF(OR(E1140&lt;=0,L1140=0),IF(L1140=0,"零日销，本批不发","本批无需补货"),IF(NOT(ISNUMBER(D1140)),"国内库存待补",IF(D1140=0,"国内无可用库存",IF(G1140&gt;0,"先发国内现货","按建议量发货")))))</f>
        <v>本批无需补货</v>
      </c>
      <c r="I1140" s="28" t="n">
        <f>IF(AND(COUNT(Z1140,AA1140,AB1140)=3,Z1140&gt;=AA1140,AA1140&gt;=0,AB1140=7),Z1140-AA1140,"")</f>
        <v>0</v>
      </c>
      <c r="J1140" s="28" t="n">
        <f>IF(AND(COUNT(AF1140,AG1140,AH1140)=3,AF1140&gt;=AG1140,AG1140&gt;=0,AH1140=14),AF1140-AG1140,"")</f>
        <v>0</v>
      </c>
      <c r="K1140" s="28" t="n">
        <f>IF(AND(COUNT(AL1140,AM1140,AN1140)=3,AL1140&gt;=AM1140,AM1140&gt;=0,AN1140=30),AL1140-AM1140,"")</f>
        <v>0</v>
      </c>
      <c r="L1140" s="29" t="n">
        <f>IF(ISNUMBER(BI1140),BI1140/90,"")</f>
        <v>0.03322253335975711</v>
      </c>
      <c r="M1140" s="28" t="n">
        <v>23</v>
      </c>
      <c r="N1140" s="28" t="n">
        <v>0</v>
      </c>
      <c r="O1140" s="28" t="n">
        <v>0</v>
      </c>
      <c r="P1140" s="30" t="n">
        <f>IF(AND(ISNUMBER(L1140),L1140&gt;0,COUNT(M1140:O1140)=3,MIN(M1140:O1140)&gt;=0),SUM(M1140:O1140)/L1140,"")</f>
        <v>692.3012086688187</v>
      </c>
      <c r="Q1140" s="16" t="str">
        <v>沿用原计划SKU店铺</v>
      </c>
      <c r="R1140" s="16" t="str">
        <v>已匹配</v>
      </c>
      <c r="S1140" s="16" t="str">
        <v>在售</v>
      </c>
      <c r="T1140" s="16" t="str">
        <v>S02a</v>
      </c>
      <c r="U1140" s="16" t="str">
        <v>黑色PU</v>
      </c>
      <c r="V1140" s="16" t="n">
        <v>10</v>
      </c>
      <c r="W1140" s="8" t="str">
        <v>2026-10-11 至 2026-10-17</v>
      </c>
      <c r="X1140" s="8" t="str">
        <v>2026-10-11、2026-10-12、2026-10-13、2026-10-14、2026-10-15、2026-10-16、2026-10-17</v>
      </c>
      <c r="Y1140" s="8" t="str">
        <v>无</v>
      </c>
      <c r="Z1140" s="8" t="n">
        <v>0</v>
      </c>
      <c r="AA1140" s="8" t="n">
        <v>0</v>
      </c>
      <c r="AB1140" s="8" t="n">
        <v>7</v>
      </c>
      <c r="AC1140" s="8" t="str">
        <v>2026-10-02 至 2026-10-17</v>
      </c>
      <c r="AD1140" s="8" t="str">
        <v>2026-10-02、2026-10-03、2026-10-04、2026-10-05、2026-10-08、2026-10-09、2026-10-10、2026-10-11、2026-10-12、2026-10-13、2026-10-14、2026-10-15、2026-10-16、2026-10-17</v>
      </c>
      <c r="AE1140" s="8" t="str">
        <v>2026-10-06 大促；2026-10-07 大促</v>
      </c>
      <c r="AF1140" s="8" t="n">
        <v>0</v>
      </c>
      <c r="AG1140" s="8" t="n">
        <v>0</v>
      </c>
      <c r="AH1140" s="8" t="n">
        <v>14</v>
      </c>
      <c r="AI1140" s="8" t="str">
        <v>2026-09-16 至 2026-10-17</v>
      </c>
      <c r="AJ114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0" s="8" t="str">
        <v>2026-10-06 大促；2026-10-07 大促</v>
      </c>
      <c r="AL1140" s="8" t="n">
        <v>0</v>
      </c>
      <c r="AM1140" s="8" t="n">
        <v>0</v>
      </c>
      <c r="AN1140" s="8" t="n">
        <v>30</v>
      </c>
      <c r="AO1140" s="8" t="str">
        <v>S02a / 黑色PU / 6574</v>
      </c>
      <c r="AP1140" s="11" t="n">
        <v>0.7647664488148722</v>
      </c>
      <c r="AQ1140" s="11" t="n">
        <v>0.7647664488148722</v>
      </c>
      <c r="AR1140" s="11" t="n">
        <v>0.8066052567225582</v>
      </c>
      <c r="AS1140" s="11" t="n">
        <f>IF(AND(COUNT(I1140:K1140,AP1140:AR1140)=6,MIN(AP1140:AR1140)&gt;0),I1140/7/AP1140*0.5+J1140/14/AQ1140*0.3+K1140/30/AR1140*0.2,"")</f>
        <v>0</v>
      </c>
      <c r="AT1140" s="8" t="n">
        <v>0</v>
      </c>
      <c r="AU1140" s="8" t="n">
        <v>0</v>
      </c>
      <c r="AV1140" s="8" t="n">
        <v>88</v>
      </c>
      <c r="AW1140" s="11" t="n">
        <f>IF(AND(COUNT(AT1140:AV1140)=3,AT1140&gt;=AU1140,AU1140&gt;=0,AV1140&gt;0),(AT1140-AU1140)/AV1140,"")</f>
        <v>0</v>
      </c>
      <c r="AX1140" s="8" t="n">
        <v>8</v>
      </c>
      <c r="AY1140" s="8" t="n">
        <v>0</v>
      </c>
      <c r="AZ1140" s="8" t="n">
        <v>178</v>
      </c>
      <c r="BA1140" s="11" t="n">
        <f>IF(AND(COUNT(AX1140:AZ1140)=3,AX1140&gt;=AY1140,AY1140&gt;=0,AZ1140&gt;0),(AX1140-AY1140)/AZ1140,"")</f>
        <v>0.0449438202247191</v>
      </c>
      <c r="BB1140" s="8" t="n">
        <f>IF(COUNT(AS1140,AW1140,BA1140)=3,1,0)</f>
        <v>1</v>
      </c>
      <c r="BC1140" s="11" t="n">
        <f>IF(SUMIF($AO$11:$AO$1309,AO1140,$BB$11:$BB$1309)=COUNTIF($AO$11:$AO$1309,AO1140),SUMIF($AO$11:$AO$1309,AO1140,$AS$11:$AS$1309),"")</f>
        <v>1.3346079165193463</v>
      </c>
      <c r="BD1140" s="11" t="n">
        <f>IF(SUMIF($AO$11:$AO$1309,AO1140,$BB$11:$BB$1309)=COUNTIF($AO$11:$AO$1309,AO1140),SUMIF($AO$11:$AO$1309,AO1140,$AW$11:$AW$1309),"")</f>
        <v>0.5454545454545454</v>
      </c>
      <c r="BE1140" s="11" t="n">
        <f>IF(SUMIF($AO$11:$AO$1309,AO1140,$BB$11:$BB$1309)=COUNTIF($AO$11:$AO$1309,AO1140),SUMIF($AO$11:$AO$1309,AO1140,$BA$11:$BA$1309),"")</f>
        <v>0.6910112359550562</v>
      </c>
      <c r="BF1140" s="12" t="n">
        <f>IF(COUNT(BD1140:BE1140)&lt;&gt;2,"",IF(AND(BD1140&gt;0,BE1140&gt;0),0.7*AW1140/BD1140+0.3*BA1140/BE1140,IF(BD1140&gt;0,AW1140/BD1140,IF(BE1140&gt;0,BA1140/BE1140,IF(AND(ISNUMBER(BH1140),BH1140=0),0,"")))))</f>
        <v>0.019512195121951216</v>
      </c>
      <c r="BG1140" s="11" t="n">
        <f>IF(AND(COUNT(BN1140:BU1140)=8,MIN(BN1140:BU1140)&gt;=0),SUMPRODUCT(BN1140:BQ1140,BR1140:BU1140),"")</f>
        <v>114.81944114457707</v>
      </c>
      <c r="BH1140" s="11" t="n">
        <f>IF(COUNT(BC1140,BG1140)=2,BC1140*BG1140,"")</f>
        <v>153.2389351218797</v>
      </c>
      <c r="BI1140" s="11" t="n">
        <f>IF(ISNUMBER(CI1140),CI1140,"")</f>
        <v>2.99002800237814</v>
      </c>
      <c r="BJ1140" s="8" t="str"/>
      <c r="BK1140" s="8" t="str">
        <v>90天：2026-07-20 至 2026-10-17；180天：2026-04-21 至 2026-10-17</v>
      </c>
      <c r="BL1140" s="8" t="str">
        <v>90天：2026-10-06、2026-10-07；180天：2026-10-06、2026-10-07</v>
      </c>
      <c r="BM1140" s="8" t="str">
        <v>2026-10：12天 × 0.7647664488148722；2026-11：30天 × 1.5248287781391903；2026-12：31天 × 1.2288250057360348；2027-01：17天 × 1.2825767786356366</v>
      </c>
      <c r="BN1140" s="11" t="n">
        <v>0.7647664488148722</v>
      </c>
      <c r="BO1140" s="11" t="n">
        <v>1.5248287781391903</v>
      </c>
      <c r="BP1140" s="11" t="n">
        <v>1.2288250057360348</v>
      </c>
      <c r="BQ1140" s="11" t="n">
        <v>1.2825767786356366</v>
      </c>
      <c r="BR1140" s="8" t="n">
        <v>12</v>
      </c>
      <c r="BS1140" s="8" t="n">
        <v>30</v>
      </c>
      <c r="BT1140" s="8" t="n">
        <v>31</v>
      </c>
      <c r="BU1140" s="8" t="n">
        <v>17</v>
      </c>
      <c r="BV1140" s="11" t="n">
        <f>IF(COUNT(BC1140,BF1140)=2,BC1140*BF1140,"")</f>
        <v>0.026041130078426265</v>
      </c>
      <c r="BW1140" s="11" t="n">
        <f>IF(ISNUMBER(BN1140),BN1140,"")</f>
        <v>0.7647664488148722</v>
      </c>
      <c r="BX1140" s="14" t="n">
        <f>IF(ISNUMBER(BR1140),BR1140,"")</f>
        <v>12</v>
      </c>
      <c r="BY1140" s="13" t="n">
        <f>IF(AND(COUNT(BV1140,BW1140,BX1140)=3,MIN(BV1140,BW1140,BX1140)&gt;=0),BV1140*BW1140*BX1140,"")</f>
        <v>0.2389845908784505</v>
      </c>
      <c r="BZ1140" s="11" t="n">
        <f>IF(ISNUMBER(BO1140),BO1140,"")</f>
        <v>1.5248287781391903</v>
      </c>
      <c r="CA1140" s="14" t="n">
        <f>IF(ISNUMBER(BS1140),BS1140,"")</f>
        <v>30</v>
      </c>
      <c r="CB1140" s="13" t="n">
        <f>IF(AND(COUNT(BV1140,BZ1140,CA1140)=3,MIN(BV1140,BZ1140,CA1140)&gt;=0),BV1140*BZ1140*CA1140,"")</f>
        <v>1.191247936765513</v>
      </c>
      <c r="CC1140" s="11" t="n">
        <f>IF(ISNUMBER(BP1140),BP1140,"")</f>
        <v>1.2288250057360348</v>
      </c>
      <c r="CD1140" s="14" t="n">
        <f>IF(ISNUMBER(BT1140),BT1140,"")</f>
        <v>31</v>
      </c>
      <c r="CE1140" s="13" t="n">
        <f>IF(AND(COUNT(BV1140,CC1140,CD1140)=3,MIN(BV1140,CC1140,CD1140)&gt;=0),BV1140*CC1140*CD1140,"")</f>
        <v>0.9919997463578445</v>
      </c>
      <c r="CF1140" s="11" t="n">
        <f>IF(ISNUMBER(BQ1140),BQ1140,"")</f>
        <v>1.2825767786356366</v>
      </c>
      <c r="CG1140" s="14" t="n">
        <f>IF(ISNUMBER(BU1140),BU1140,"")</f>
        <v>17</v>
      </c>
      <c r="CH1140" s="13" t="n">
        <f>IF(AND(COUNT(BV1140,CF1140,CG1140)=3,MIN(BV1140,CF1140,CG1140)&gt;=0),BV1140*CF1140*CG1140,"")</f>
        <v>0.5677957283763322</v>
      </c>
      <c r="CI1140" s="13" t="n">
        <f>IF(COUNT(BY1140,CB1140,CE1140,CH1140)=4,SUM(BY1140,CB1140,CE1140,CH1140),"")</f>
        <v>2.99002800237814</v>
      </c>
    </row>
    <row r="1141" ht="72" customHeight="1">
      <c r="A1141" s="16" t="str">
        <v>S02a-BKP1-37</v>
      </c>
      <c r="B1141" s="16" t="str">
        <v>3店-SANDIEX-US</v>
      </c>
      <c r="C1141" s="16" t="str">
        <v>陈晨</v>
      </c>
      <c r="D1141" s="26" t="n">
        <f>IF(NOT(ISNUMBER(E1141)),"",IF(OR(E1141&lt;=0,L1141=0),0,IF(OR(NOT(ISNUMBER(F1141)),F1141&lt;0),"",MIN(E1141,INT(F1141)))))</f>
        <v>0</v>
      </c>
      <c r="E1141" s="27" t="n">
        <f>IF(OR(NOT(ISNUMBER(L1141)),COUNT(M1141:O1141)&lt;&gt;3,MIN(M1141:O1141)&lt;0),"",ROUNDUP(ROUND(BI1141-SUM(M1141:O1141),10),0))</f>
        <v>-10</v>
      </c>
      <c r="F1141" s="28" t="n">
        <v>0</v>
      </c>
      <c r="G1141" s="28" t="n">
        <f>IF(AND(ISNUMBER(D1141),ISNUMBER(E1141)),IF(OR(E1141&lt;=0,L1141=0),0,E1141-D1141),"")</f>
        <v>0</v>
      </c>
      <c r="H1141" s="16" t="str">
        <f>IF(NOT(ISNUMBER(E1141)),"销量或海外库存待补",IF(OR(E1141&lt;=0,L1141=0),IF(L1141=0,"零日销，本批不发","本批无需补货"),IF(NOT(ISNUMBER(D1141)),"国内库存待补",IF(D1141=0,"国内无可用库存",IF(G1141&gt;0,"先发国内现货","按建议量发货")))))</f>
        <v>零日销，本批不发</v>
      </c>
      <c r="I1141" s="28" t="n">
        <f>IF(AND(COUNT(Z1141,AA1141,AB1141)=3,Z1141&gt;=AA1141,AA1141&gt;=0,AB1141=7),Z1141-AA1141,"")</f>
        <v>0</v>
      </c>
      <c r="J1141" s="28" t="n">
        <f>IF(AND(COUNT(AF1141,AG1141,AH1141)=3,AF1141&gt;=AG1141,AG1141&gt;=0,AH1141=14),AF1141-AG1141,"")</f>
        <v>0</v>
      </c>
      <c r="K1141" s="28" t="n">
        <f>IF(AND(COUNT(AL1141,AM1141,AN1141)=3,AL1141&gt;=AM1141,AM1141&gt;=0,AN1141=30),AL1141-AM1141,"")</f>
        <v>0</v>
      </c>
      <c r="L1141" s="29" t="n">
        <f>IF(ISNUMBER(BI1141),BI1141/90,"")</f>
        <v>0</v>
      </c>
      <c r="M1141" s="28" t="n">
        <v>10</v>
      </c>
      <c r="N1141" s="28" t="n">
        <v>0</v>
      </c>
      <c r="O1141" s="28" t="n">
        <v>0</v>
      </c>
      <c r="P1141" s="30" t="str">
        <f>IF(AND(ISNUMBER(L1141),L1141&gt;0,COUNT(M1141:O1141)=3,MIN(M1141:O1141)&gt;=0),SUM(M1141:O1141)/L1141,"")</f>
      </c>
      <c r="Q1141" s="16" t="str">
        <v>沿用同SPU原计划店铺</v>
      </c>
      <c r="R1141" s="16" t="str">
        <v>已匹配</v>
      </c>
      <c r="S1141" s="16" t="str">
        <v>在售</v>
      </c>
      <c r="T1141" s="16" t="str">
        <v>S02a</v>
      </c>
      <c r="U1141" s="16" t="str">
        <v>黑色PU</v>
      </c>
      <c r="V1141" s="16" t="n">
        <v>6.5</v>
      </c>
      <c r="W1141" s="8" t="str">
        <v>2026-10-11 至 2026-10-17</v>
      </c>
      <c r="X1141" s="8" t="str">
        <v>2026-10-11、2026-10-12、2026-10-13、2026-10-14、2026-10-15、2026-10-16、2026-10-17</v>
      </c>
      <c r="Y1141" s="8" t="str">
        <v>无</v>
      </c>
      <c r="Z1141" s="8" t="n">
        <v>0</v>
      </c>
      <c r="AA1141" s="8" t="n">
        <v>0</v>
      </c>
      <c r="AB1141" s="8" t="n">
        <v>7</v>
      </c>
      <c r="AC1141" s="8" t="str">
        <v>2026-10-02 至 2026-10-17</v>
      </c>
      <c r="AD1141" s="8" t="str">
        <v>2026-10-02、2026-10-03、2026-10-04、2026-10-05、2026-10-08、2026-10-09、2026-10-10、2026-10-11、2026-10-12、2026-10-13、2026-10-14、2026-10-15、2026-10-16、2026-10-17</v>
      </c>
      <c r="AE1141" s="8" t="str">
        <v>2026-10-06 大促；2026-10-07 大促</v>
      </c>
      <c r="AF1141" s="8" t="n">
        <v>0</v>
      </c>
      <c r="AG1141" s="8" t="n">
        <v>0</v>
      </c>
      <c r="AH1141" s="8" t="n">
        <v>14</v>
      </c>
      <c r="AI1141" s="8" t="str">
        <v>2026-09-16 至 2026-10-17</v>
      </c>
      <c r="AJ114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1" s="8" t="str">
        <v>2026-10-06 大促；2026-10-07 大促</v>
      </c>
      <c r="AL1141" s="8" t="n">
        <v>0</v>
      </c>
      <c r="AM1141" s="8" t="n">
        <v>0</v>
      </c>
      <c r="AN1141" s="8" t="n">
        <v>30</v>
      </c>
      <c r="AO1141" s="8" t="str">
        <v>S02a / 黑色PU / 6574</v>
      </c>
      <c r="AP1141" s="11" t="n">
        <v>0.7647664488148722</v>
      </c>
      <c r="AQ1141" s="11" t="n">
        <v>0.7647664488148722</v>
      </c>
      <c r="AR1141" s="11" t="n">
        <v>0.8066052567225582</v>
      </c>
      <c r="AS1141" s="11" t="n">
        <f>IF(AND(COUNT(I1141:K1141,AP1141:AR1141)=6,MIN(AP1141:AR1141)&gt;0),I1141/7/AP1141*0.5+J1141/14/AQ1141*0.3+K1141/30/AR1141*0.2,"")</f>
        <v>0</v>
      </c>
      <c r="AT1141" s="8" t="n">
        <v>0</v>
      </c>
      <c r="AU1141" s="8" t="n">
        <v>0</v>
      </c>
      <c r="AV1141" s="8" t="n">
        <v>88</v>
      </c>
      <c r="AW1141" s="11" t="n">
        <f>IF(AND(COUNT(AT1141:AV1141)=3,AT1141&gt;=AU1141,AU1141&gt;=0,AV1141&gt;0),(AT1141-AU1141)/AV1141,"")</f>
        <v>0</v>
      </c>
      <c r="AX1141" s="8" t="n">
        <v>0</v>
      </c>
      <c r="AY1141" s="8" t="n">
        <v>0</v>
      </c>
      <c r="AZ1141" s="8" t="n">
        <v>178</v>
      </c>
      <c r="BA1141" s="11" t="n">
        <f>IF(AND(COUNT(AX1141:AZ1141)=3,AX1141&gt;=AY1141,AY1141&gt;=0,AZ1141&gt;0),(AX1141-AY1141)/AZ1141,"")</f>
        <v>0</v>
      </c>
      <c r="BB1141" s="8" t="n">
        <f>IF(COUNT(AS1141,AW1141,BA1141)=3,1,0)</f>
        <v>1</v>
      </c>
      <c r="BC1141" s="11" t="n">
        <f>IF(SUMIF($AO$11:$AO$1309,AO1141,$BB$11:$BB$1309)=COUNTIF($AO$11:$AO$1309,AO1141),SUMIF($AO$11:$AO$1309,AO1141,$AS$11:$AS$1309),"")</f>
        <v>1.3346079165193463</v>
      </c>
      <c r="BD1141" s="11" t="n">
        <f>IF(SUMIF($AO$11:$AO$1309,AO1141,$BB$11:$BB$1309)=COUNTIF($AO$11:$AO$1309,AO1141),SUMIF($AO$11:$AO$1309,AO1141,$AW$11:$AW$1309),"")</f>
        <v>0.5454545454545454</v>
      </c>
      <c r="BE1141" s="11" t="n">
        <f>IF(SUMIF($AO$11:$AO$1309,AO1141,$BB$11:$BB$1309)=COUNTIF($AO$11:$AO$1309,AO1141),SUMIF($AO$11:$AO$1309,AO1141,$BA$11:$BA$1309),"")</f>
        <v>0.6910112359550562</v>
      </c>
      <c r="BF1141" s="12" t="n">
        <f>IF(COUNT(BD1141:BE1141)&lt;&gt;2,"",IF(AND(BD1141&gt;0,BE1141&gt;0),0.7*AW1141/BD1141+0.3*BA1141/BE1141,IF(BD1141&gt;0,AW1141/BD1141,IF(BE1141&gt;0,BA1141/BE1141,IF(AND(ISNUMBER(BH1141),BH1141=0),0,"")))))</f>
        <v>0</v>
      </c>
      <c r="BG1141" s="11" t="n">
        <f>IF(AND(COUNT(BN1141:BU1141)=8,MIN(BN1141:BU1141)&gt;=0),SUMPRODUCT(BN1141:BQ1141,BR1141:BU1141),"")</f>
        <v>114.81944114457707</v>
      </c>
      <c r="BH1141" s="11" t="n">
        <f>IF(COUNT(BC1141,BG1141)=2,BC1141*BG1141,"")</f>
        <v>153.2389351218797</v>
      </c>
      <c r="BI1141" s="11" t="n">
        <f>IF(ISNUMBER(CI1141),CI1141,"")</f>
        <v>0</v>
      </c>
      <c r="BJ1141" s="8" t="str"/>
      <c r="BK1141" s="8" t="str">
        <v>90天：2026-07-20 至 2026-10-17；180天：2026-04-21 至 2026-10-17</v>
      </c>
      <c r="BL1141" s="8" t="str">
        <v>90天：2026-10-06、2026-10-07；180天：2026-10-06、2026-10-07</v>
      </c>
      <c r="BM1141" s="8" t="str">
        <v>2026-10：12天 × 0.7647664488148722；2026-11：30天 × 1.5248287781391903；2026-12：31天 × 1.2288250057360348；2027-01：17天 × 1.2825767786356366</v>
      </c>
      <c r="BN1141" s="11" t="n">
        <v>0.7647664488148722</v>
      </c>
      <c r="BO1141" s="11" t="n">
        <v>1.5248287781391903</v>
      </c>
      <c r="BP1141" s="11" t="n">
        <v>1.2288250057360348</v>
      </c>
      <c r="BQ1141" s="11" t="n">
        <v>1.2825767786356366</v>
      </c>
      <c r="BR1141" s="8" t="n">
        <v>12</v>
      </c>
      <c r="BS1141" s="8" t="n">
        <v>30</v>
      </c>
      <c r="BT1141" s="8" t="n">
        <v>31</v>
      </c>
      <c r="BU1141" s="8" t="n">
        <v>17</v>
      </c>
      <c r="BV1141" s="11" t="n">
        <f>IF(COUNT(BC1141,BF1141)=2,BC1141*BF1141,"")</f>
        <v>0</v>
      </c>
      <c r="BW1141" s="11" t="n">
        <f>IF(ISNUMBER(BN1141),BN1141,"")</f>
        <v>0.7647664488148722</v>
      </c>
      <c r="BX1141" s="14" t="n">
        <f>IF(ISNUMBER(BR1141),BR1141,"")</f>
        <v>12</v>
      </c>
      <c r="BY1141" s="13" t="n">
        <f>IF(AND(COUNT(BV1141,BW1141,BX1141)=3,MIN(BV1141,BW1141,BX1141)&gt;=0),BV1141*BW1141*BX1141,"")</f>
        <v>0</v>
      </c>
      <c r="BZ1141" s="11" t="n">
        <f>IF(ISNUMBER(BO1141),BO1141,"")</f>
        <v>1.5248287781391903</v>
      </c>
      <c r="CA1141" s="14" t="n">
        <f>IF(ISNUMBER(BS1141),BS1141,"")</f>
        <v>30</v>
      </c>
      <c r="CB1141" s="13" t="n">
        <f>IF(AND(COUNT(BV1141,BZ1141,CA1141)=3,MIN(BV1141,BZ1141,CA1141)&gt;=0),BV1141*BZ1141*CA1141,"")</f>
        <v>0</v>
      </c>
      <c r="CC1141" s="11" t="n">
        <f>IF(ISNUMBER(BP1141),BP1141,"")</f>
        <v>1.2288250057360348</v>
      </c>
      <c r="CD1141" s="14" t="n">
        <f>IF(ISNUMBER(BT1141),BT1141,"")</f>
        <v>31</v>
      </c>
      <c r="CE1141" s="13" t="n">
        <f>IF(AND(COUNT(BV1141,CC1141,CD1141)=3,MIN(BV1141,CC1141,CD1141)&gt;=0),BV1141*CC1141*CD1141,"")</f>
        <v>0</v>
      </c>
      <c r="CF1141" s="11" t="n">
        <f>IF(ISNUMBER(BQ1141),BQ1141,"")</f>
        <v>1.2825767786356366</v>
      </c>
      <c r="CG1141" s="14" t="n">
        <f>IF(ISNUMBER(BU1141),BU1141,"")</f>
        <v>17</v>
      </c>
      <c r="CH1141" s="13" t="n">
        <f>IF(AND(COUNT(BV1141,CF1141,CG1141)=3,MIN(BV1141,CF1141,CG1141)&gt;=0),BV1141*CF1141*CG1141,"")</f>
        <v>0</v>
      </c>
      <c r="CI1141" s="13" t="n">
        <f>IF(COUNT(BY1141,CB1141,CE1141,CH1141)=4,SUM(BY1141,CB1141,CE1141,CH1141),"")</f>
        <v>0</v>
      </c>
    </row>
    <row r="1142" ht="72" customHeight="1">
      <c r="A1142" s="16" t="str">
        <v>S02a-BKP1-38</v>
      </c>
      <c r="B1142" s="16" t="str">
        <v>3店-SANDIEX-US</v>
      </c>
      <c r="C1142" s="16" t="str">
        <v>陈晨</v>
      </c>
      <c r="D1142" s="26" t="n">
        <f>IF(NOT(ISNUMBER(E1142)),"",IF(OR(E1142&lt;=0,L1142=0),0,IF(OR(NOT(ISNUMBER(F1142)),F1142&lt;0),"",MIN(E1142,INT(F1142)))))</f>
        <v>0</v>
      </c>
      <c r="E1142" s="27" t="n">
        <f>IF(OR(NOT(ISNUMBER(L1142)),COUNT(M1142:O1142)&lt;&gt;3,MIN(M1142:O1142)&lt;0),"",ROUNDUP(ROUND(BI1142-SUM(M1142:O1142),10),0))</f>
        <v>-3</v>
      </c>
      <c r="F1142" s="28" t="n">
        <v>0</v>
      </c>
      <c r="G1142" s="28" t="n">
        <f>IF(AND(ISNUMBER(D1142),ISNUMBER(E1142)),IF(OR(E1142&lt;=0,L1142=0),0,E1142-D1142),"")</f>
        <v>0</v>
      </c>
      <c r="H1142" s="16" t="str">
        <f>IF(NOT(ISNUMBER(E1142)),"销量或海外库存待补",IF(OR(E1142&lt;=0,L1142=0),IF(L1142=0,"零日销，本批不发","本批无需补货"),IF(NOT(ISNUMBER(D1142)),"国内库存待补",IF(D1142=0,"国内无可用库存",IF(G1142&gt;0,"先发国内现货","按建议量发货")))))</f>
        <v>零日销，本批不发</v>
      </c>
      <c r="I1142" s="28" t="n">
        <f>IF(AND(COUNT(Z1142,AA1142,AB1142)=3,Z1142&gt;=AA1142,AA1142&gt;=0,AB1142=7),Z1142-AA1142,"")</f>
        <v>0</v>
      </c>
      <c r="J1142" s="28" t="n">
        <f>IF(AND(COUNT(AF1142,AG1142,AH1142)=3,AF1142&gt;=AG1142,AG1142&gt;=0,AH1142=14),AF1142-AG1142,"")</f>
        <v>0</v>
      </c>
      <c r="K1142" s="28" t="n">
        <f>IF(AND(COUNT(AL1142,AM1142,AN1142)=3,AL1142&gt;=AM1142,AM1142&gt;=0,AN1142=30),AL1142-AM1142,"")</f>
        <v>0</v>
      </c>
      <c r="L1142" s="29" t="n">
        <f>IF(ISNUMBER(BI1142),BI1142/90,"")</f>
        <v>0</v>
      </c>
      <c r="M1142" s="28" t="n">
        <v>3</v>
      </c>
      <c r="N1142" s="28" t="n">
        <v>0</v>
      </c>
      <c r="O1142" s="28" t="n">
        <v>0</v>
      </c>
      <c r="P1142" s="30" t="str">
        <f>IF(AND(ISNUMBER(L1142),L1142&gt;0,COUNT(M1142:O1142)=3,MIN(M1142:O1142)&gt;=0),SUM(M1142:O1142)/L1142,"")</f>
      </c>
      <c r="Q1142" s="16" t="str">
        <v>沿用同SPU原计划店铺</v>
      </c>
      <c r="R1142" s="16" t="str">
        <v>已匹配</v>
      </c>
      <c r="S1142" s="16" t="str">
        <v>在售</v>
      </c>
      <c r="T1142" s="16" t="str">
        <v>S02a</v>
      </c>
      <c r="U1142" s="16" t="str">
        <v>黑色PU</v>
      </c>
      <c r="V1142" s="16" t="n">
        <v>7.5</v>
      </c>
      <c r="W1142" s="8" t="str">
        <v>2026-10-11 至 2026-10-17</v>
      </c>
      <c r="X1142" s="8" t="str">
        <v>2026-10-11、2026-10-12、2026-10-13、2026-10-14、2026-10-15、2026-10-16、2026-10-17</v>
      </c>
      <c r="Y1142" s="8" t="str">
        <v>无</v>
      </c>
      <c r="Z1142" s="8" t="n">
        <v>0</v>
      </c>
      <c r="AA1142" s="8" t="n">
        <v>0</v>
      </c>
      <c r="AB1142" s="8" t="n">
        <v>7</v>
      </c>
      <c r="AC1142" s="8" t="str">
        <v>2026-10-02 至 2026-10-17</v>
      </c>
      <c r="AD1142" s="8" t="str">
        <v>2026-10-02、2026-10-03、2026-10-04、2026-10-05、2026-10-08、2026-10-09、2026-10-10、2026-10-11、2026-10-12、2026-10-13、2026-10-14、2026-10-15、2026-10-16、2026-10-17</v>
      </c>
      <c r="AE1142" s="8" t="str">
        <v>2026-10-06 大促；2026-10-07 大促</v>
      </c>
      <c r="AF1142" s="8" t="n">
        <v>0</v>
      </c>
      <c r="AG1142" s="8" t="n">
        <v>0</v>
      </c>
      <c r="AH1142" s="8" t="n">
        <v>14</v>
      </c>
      <c r="AI1142" s="8" t="str">
        <v>2026-09-16 至 2026-10-17</v>
      </c>
      <c r="AJ114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2" s="8" t="str">
        <v>2026-10-06 大促；2026-10-07 大促</v>
      </c>
      <c r="AL1142" s="8" t="n">
        <v>0</v>
      </c>
      <c r="AM1142" s="8" t="n">
        <v>0</v>
      </c>
      <c r="AN1142" s="8" t="n">
        <v>30</v>
      </c>
      <c r="AO1142" s="8" t="str">
        <v>S02a / 黑色PU / 6574</v>
      </c>
      <c r="AP1142" s="11" t="n">
        <v>0.7647664488148722</v>
      </c>
      <c r="AQ1142" s="11" t="n">
        <v>0.7647664488148722</v>
      </c>
      <c r="AR1142" s="11" t="n">
        <v>0.8066052567225582</v>
      </c>
      <c r="AS1142" s="11" t="n">
        <f>IF(AND(COUNT(I1142:K1142,AP1142:AR1142)=6,MIN(AP1142:AR1142)&gt;0),I1142/7/AP1142*0.5+J1142/14/AQ1142*0.3+K1142/30/AR1142*0.2,"")</f>
        <v>0</v>
      </c>
      <c r="AT1142" s="8" t="n">
        <v>0</v>
      </c>
      <c r="AU1142" s="8" t="n">
        <v>0</v>
      </c>
      <c r="AV1142" s="8" t="n">
        <v>88</v>
      </c>
      <c r="AW1142" s="11" t="n">
        <f>IF(AND(COUNT(AT1142:AV1142)=3,AT1142&gt;=AU1142,AU1142&gt;=0,AV1142&gt;0),(AT1142-AU1142)/AV1142,"")</f>
        <v>0</v>
      </c>
      <c r="AX1142" s="8" t="n">
        <v>0</v>
      </c>
      <c r="AY1142" s="8" t="n">
        <v>0</v>
      </c>
      <c r="AZ1142" s="8" t="n">
        <v>178</v>
      </c>
      <c r="BA1142" s="11" t="n">
        <f>IF(AND(COUNT(AX1142:AZ1142)=3,AX1142&gt;=AY1142,AY1142&gt;=0,AZ1142&gt;0),(AX1142-AY1142)/AZ1142,"")</f>
        <v>0</v>
      </c>
      <c r="BB1142" s="8" t="n">
        <f>IF(COUNT(AS1142,AW1142,BA1142)=3,1,0)</f>
        <v>1</v>
      </c>
      <c r="BC1142" s="11" t="n">
        <f>IF(SUMIF($AO$11:$AO$1309,AO1142,$BB$11:$BB$1309)=COUNTIF($AO$11:$AO$1309,AO1142),SUMIF($AO$11:$AO$1309,AO1142,$AS$11:$AS$1309),"")</f>
        <v>1.3346079165193463</v>
      </c>
      <c r="BD1142" s="11" t="n">
        <f>IF(SUMIF($AO$11:$AO$1309,AO1142,$BB$11:$BB$1309)=COUNTIF($AO$11:$AO$1309,AO1142),SUMIF($AO$11:$AO$1309,AO1142,$AW$11:$AW$1309),"")</f>
        <v>0.5454545454545454</v>
      </c>
      <c r="BE1142" s="11" t="n">
        <f>IF(SUMIF($AO$11:$AO$1309,AO1142,$BB$11:$BB$1309)=COUNTIF($AO$11:$AO$1309,AO1142),SUMIF($AO$11:$AO$1309,AO1142,$BA$11:$BA$1309),"")</f>
        <v>0.6910112359550562</v>
      </c>
      <c r="BF1142" s="12" t="n">
        <f>IF(COUNT(BD1142:BE1142)&lt;&gt;2,"",IF(AND(BD1142&gt;0,BE1142&gt;0),0.7*AW1142/BD1142+0.3*BA1142/BE1142,IF(BD1142&gt;0,AW1142/BD1142,IF(BE1142&gt;0,BA1142/BE1142,IF(AND(ISNUMBER(BH1142),BH1142=0),0,"")))))</f>
        <v>0</v>
      </c>
      <c r="BG1142" s="11" t="n">
        <f>IF(AND(COUNT(BN1142:BU1142)=8,MIN(BN1142:BU1142)&gt;=0),SUMPRODUCT(BN1142:BQ1142,BR1142:BU1142),"")</f>
        <v>114.81944114457707</v>
      </c>
      <c r="BH1142" s="11" t="n">
        <f>IF(COUNT(BC1142,BG1142)=2,BC1142*BG1142,"")</f>
        <v>153.2389351218797</v>
      </c>
      <c r="BI1142" s="11" t="n">
        <f>IF(ISNUMBER(CI1142),CI1142,"")</f>
        <v>0</v>
      </c>
      <c r="BJ1142" s="8" t="str"/>
      <c r="BK1142" s="8" t="str">
        <v>90天：2026-07-20 至 2026-10-17；180天：2026-04-21 至 2026-10-17</v>
      </c>
      <c r="BL1142" s="8" t="str">
        <v>90天：2026-10-06、2026-10-07；180天：2026-10-06、2026-10-07</v>
      </c>
      <c r="BM1142" s="8" t="str">
        <v>2026-10：12天 × 0.7647664488148722；2026-11：30天 × 1.5248287781391903；2026-12：31天 × 1.2288250057360348；2027-01：17天 × 1.2825767786356366</v>
      </c>
      <c r="BN1142" s="11" t="n">
        <v>0.7647664488148722</v>
      </c>
      <c r="BO1142" s="11" t="n">
        <v>1.5248287781391903</v>
      </c>
      <c r="BP1142" s="11" t="n">
        <v>1.2288250057360348</v>
      </c>
      <c r="BQ1142" s="11" t="n">
        <v>1.2825767786356366</v>
      </c>
      <c r="BR1142" s="8" t="n">
        <v>12</v>
      </c>
      <c r="BS1142" s="8" t="n">
        <v>30</v>
      </c>
      <c r="BT1142" s="8" t="n">
        <v>31</v>
      </c>
      <c r="BU1142" s="8" t="n">
        <v>17</v>
      </c>
      <c r="BV1142" s="11" t="n">
        <f>IF(COUNT(BC1142,BF1142)=2,BC1142*BF1142,"")</f>
        <v>0</v>
      </c>
      <c r="BW1142" s="11" t="n">
        <f>IF(ISNUMBER(BN1142),BN1142,"")</f>
        <v>0.7647664488148722</v>
      </c>
      <c r="BX1142" s="14" t="n">
        <f>IF(ISNUMBER(BR1142),BR1142,"")</f>
        <v>12</v>
      </c>
      <c r="BY1142" s="13" t="n">
        <f>IF(AND(COUNT(BV1142,BW1142,BX1142)=3,MIN(BV1142,BW1142,BX1142)&gt;=0),BV1142*BW1142*BX1142,"")</f>
        <v>0</v>
      </c>
      <c r="BZ1142" s="11" t="n">
        <f>IF(ISNUMBER(BO1142),BO1142,"")</f>
        <v>1.5248287781391903</v>
      </c>
      <c r="CA1142" s="14" t="n">
        <f>IF(ISNUMBER(BS1142),BS1142,"")</f>
        <v>30</v>
      </c>
      <c r="CB1142" s="13" t="n">
        <f>IF(AND(COUNT(BV1142,BZ1142,CA1142)=3,MIN(BV1142,BZ1142,CA1142)&gt;=0),BV1142*BZ1142*CA1142,"")</f>
        <v>0</v>
      </c>
      <c r="CC1142" s="11" t="n">
        <f>IF(ISNUMBER(BP1142),BP1142,"")</f>
        <v>1.2288250057360348</v>
      </c>
      <c r="CD1142" s="14" t="n">
        <f>IF(ISNUMBER(BT1142),BT1142,"")</f>
        <v>31</v>
      </c>
      <c r="CE1142" s="13" t="n">
        <f>IF(AND(COUNT(BV1142,CC1142,CD1142)=3,MIN(BV1142,CC1142,CD1142)&gt;=0),BV1142*CC1142*CD1142,"")</f>
        <v>0</v>
      </c>
      <c r="CF1142" s="11" t="n">
        <f>IF(ISNUMBER(BQ1142),BQ1142,"")</f>
        <v>1.2825767786356366</v>
      </c>
      <c r="CG1142" s="14" t="n">
        <f>IF(ISNUMBER(BU1142),BU1142,"")</f>
        <v>17</v>
      </c>
      <c r="CH1142" s="13" t="n">
        <f>IF(AND(COUNT(BV1142,CF1142,CG1142)=3,MIN(BV1142,CF1142,CG1142)&gt;=0),BV1142*CF1142*CG1142,"")</f>
        <v>0</v>
      </c>
      <c r="CI1142" s="13" t="n">
        <f>IF(COUNT(BY1142,CB1142,CE1142,CH1142)=4,SUM(BY1142,CB1142,CE1142,CH1142),"")</f>
        <v>0</v>
      </c>
    </row>
    <row r="1143" ht="72" customHeight="1">
      <c r="A1143" s="16" t="str">
        <v>S02a-ND-39</v>
      </c>
      <c r="B1143" s="16" t="str">
        <v>3店-SANDIEX-US</v>
      </c>
      <c r="C1143" s="16" t="str">
        <v>陈晨</v>
      </c>
      <c r="D1143" s="26" t="n">
        <f>IF(NOT(ISNUMBER(E1143)),"",IF(OR(E1143&lt;=0,L1143=0),0,IF(OR(NOT(ISNUMBER(F1143)),F1143&lt;0),"",MIN(E1143,INT(F1143)))))</f>
        <v>0</v>
      </c>
      <c r="E1143" s="27" t="n">
        <f>IF(OR(NOT(ISNUMBER(L1143)),COUNT(M1143:O1143)&lt;&gt;3,MIN(M1143:O1143)&lt;0),"",ROUNDUP(ROUND(BI1143-SUM(M1143:O1143),10),0))</f>
        <v>-34</v>
      </c>
      <c r="F1143" s="28" t="n">
        <v>14</v>
      </c>
      <c r="G1143" s="28" t="n">
        <f>IF(AND(ISNUMBER(D1143),ISNUMBER(E1143)),IF(OR(E1143&lt;=0,L1143=0),0,E1143-D1143),"")</f>
        <v>0</v>
      </c>
      <c r="H1143" s="16" t="str">
        <f>IF(NOT(ISNUMBER(E1143)),"销量或海外库存待补",IF(OR(E1143&lt;=0,L1143=0),IF(L1143=0,"零日销，本批不发","本批无需补货"),IF(NOT(ISNUMBER(D1143)),"国内库存待补",IF(D1143=0,"国内无可用库存",IF(G1143&gt;0,"先发国内现货","按建议量发货")))))</f>
        <v>本批无需补货</v>
      </c>
      <c r="I1143" s="28" t="n">
        <f>IF(AND(COUNT(Z1143,AA1143,AB1143)=3,Z1143&gt;=AA1143,AA1143&gt;=0,AB1143=7),Z1143-AA1143,"")</f>
        <v>3</v>
      </c>
      <c r="J1143" s="28" t="n">
        <f>IF(AND(COUNT(AF1143,AG1143,AH1143)=3,AF1143&gt;=AG1143,AG1143&gt;=0,AH1143=14),AF1143-AG1143,"")</f>
        <v>5</v>
      </c>
      <c r="K1143" s="28" t="n">
        <f>IF(AND(COUNT(AL1143,AM1143,AN1143)=3,AL1143&gt;=AM1143,AM1143&gt;=0,AN1143=30),AL1143-AM1143,"")</f>
        <v>9</v>
      </c>
      <c r="L1143" s="29" t="n">
        <f>IF(ISNUMBER(BI1143),BI1143/90,"")</f>
        <v>0.341234417063863</v>
      </c>
      <c r="M1143" s="28" t="n">
        <v>64</v>
      </c>
      <c r="N1143" s="28" t="n">
        <v>0</v>
      </c>
      <c r="O1143" s="28" t="n">
        <v>0</v>
      </c>
      <c r="P1143" s="30" t="n">
        <f>IF(AND(ISNUMBER(L1143),L1143&gt;0,COUNT(M1143:O1143)=3,MIN(M1143:O1143)&gt;=0),SUM(M1143:O1143)/L1143,"")</f>
        <v>187.5543520805588</v>
      </c>
      <c r="Q1143" s="16" t="str">
        <v>沿用原计划SKU店铺</v>
      </c>
      <c r="R1143" s="16" t="str">
        <v>已匹配</v>
      </c>
      <c r="S1143" s="16" t="str">
        <v>在售</v>
      </c>
      <c r="T1143" s="16" t="str">
        <v>S02a</v>
      </c>
      <c r="U1143" s="16" t="str">
        <v>裸色</v>
      </c>
      <c r="V1143" s="16" t="n">
        <v>8</v>
      </c>
      <c r="W1143" s="8" t="str">
        <v>2026-10-11 至 2026-10-17</v>
      </c>
      <c r="X1143" s="8" t="str">
        <v>2026-10-11、2026-10-12、2026-10-13、2026-10-14、2026-10-15、2026-10-16、2026-10-17</v>
      </c>
      <c r="Y1143" s="8" t="str">
        <v>无</v>
      </c>
      <c r="Z1143" s="8" t="n">
        <v>3</v>
      </c>
      <c r="AA1143" s="8" t="n">
        <v>0</v>
      </c>
      <c r="AB1143" s="8" t="n">
        <v>7</v>
      </c>
      <c r="AC1143" s="8" t="str">
        <v>2026-10-02 至 2026-10-17</v>
      </c>
      <c r="AD1143" s="8" t="str">
        <v>2026-10-02、2026-10-03、2026-10-04、2026-10-05、2026-10-08、2026-10-09、2026-10-10、2026-10-11、2026-10-12、2026-10-13、2026-10-14、2026-10-15、2026-10-16、2026-10-17</v>
      </c>
      <c r="AE1143" s="8" t="str">
        <v>2026-10-06 大促；2026-10-07 大促</v>
      </c>
      <c r="AF1143" s="8" t="n">
        <v>5</v>
      </c>
      <c r="AG1143" s="8" t="n">
        <v>0</v>
      </c>
      <c r="AH1143" s="8" t="n">
        <v>14</v>
      </c>
      <c r="AI1143" s="8" t="str">
        <v>2026-09-16 至 2026-10-17</v>
      </c>
      <c r="AJ114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3" s="8" t="str">
        <v>2026-10-06 大促；2026-10-07 大促</v>
      </c>
      <c r="AL1143" s="8" t="n">
        <v>9</v>
      </c>
      <c r="AM1143" s="8" t="n">
        <v>0</v>
      </c>
      <c r="AN1143" s="8" t="n">
        <v>30</v>
      </c>
      <c r="AO1143" s="8" t="str">
        <v>S02a / 裸色 / 6574</v>
      </c>
      <c r="AP1143" s="11" t="n">
        <v>0.7647664488148722</v>
      </c>
      <c r="AQ1143" s="11" t="n">
        <v>0.7647664488148722</v>
      </c>
      <c r="AR1143" s="11" t="n">
        <v>0.8066052567225582</v>
      </c>
      <c r="AS1143" s="11" t="n">
        <f>IF(AND(COUNT(I1143:K1143,AP1143:AR1143)=6,MIN(AP1143:AR1143)&gt;0),I1143/7/AP1143*0.5+J1143/14/AQ1143*0.3+K1143/30/AR1143*0.2,"")</f>
        <v>0.4946822100268716</v>
      </c>
      <c r="AT1143" s="8" t="n">
        <v>10</v>
      </c>
      <c r="AU1143" s="8" t="n">
        <v>0</v>
      </c>
      <c r="AV1143" s="8" t="n">
        <v>88</v>
      </c>
      <c r="AW1143" s="11" t="n">
        <f>IF(AND(COUNT(AT1143:AV1143)=3,AT1143&gt;=AU1143,AU1143&gt;=0,AV1143&gt;0),(AT1143-AU1143)/AV1143,"")</f>
        <v>0.11363636363636363</v>
      </c>
      <c r="AX1143" s="8" t="n">
        <v>16</v>
      </c>
      <c r="AY1143" s="8" t="n">
        <v>0</v>
      </c>
      <c r="AZ1143" s="8" t="n">
        <v>178</v>
      </c>
      <c r="BA1143" s="11" t="n">
        <f>IF(AND(COUNT(AX1143:AZ1143)=3,AX1143&gt;=AY1143,AY1143&gt;=0,AZ1143&gt;0),(AX1143-AY1143)/AZ1143,"")</f>
        <v>0.0898876404494382</v>
      </c>
      <c r="BB1143" s="8" t="n">
        <f>IF(COUNT(AS1143,AW1143,BA1143)=3,1,0)</f>
        <v>1</v>
      </c>
      <c r="BC1143" s="11" t="n">
        <f>IF(SUMIF($AO$11:$AO$1309,AO1143,$BB$11:$BB$1309)=COUNTIF($AO$11:$AO$1309,AO1143),SUMIF($AO$11:$AO$1309,AO1143,$AS$11:$AS$1309),"")</f>
        <v>1.7214890010212096</v>
      </c>
      <c r="BD1143" s="11" t="n">
        <f>IF(SUMIF($AO$11:$AO$1309,AO1143,$BB$11:$BB$1309)=COUNTIF($AO$11:$AO$1309,AO1143),SUMIF($AO$11:$AO$1309,AO1143,$AW$11:$AW$1309),"")</f>
        <v>0.7169661733615222</v>
      </c>
      <c r="BE1143" s="11" t="n">
        <f>IF(SUMIF($AO$11:$AO$1309,AO1143,$BB$11:$BB$1309)=COUNTIF($AO$11:$AO$1309,AO1143),SUMIF($AO$11:$AO$1309,AO1143,$BA$11:$BA$1309),"")</f>
        <v>0.6069969356486209</v>
      </c>
      <c r="BF1143" s="12" t="n">
        <f>IF(COUNT(BD1143:BE1143)&lt;&gt;2,"",IF(AND(BD1143&gt;0,BE1143&gt;0),0.7*AW1143/BD1143+0.3*BA1143/BE1143,IF(BD1143&gt;0,AW1143/BD1143,IF(BE1143&gt;0,BA1143/BE1143,IF(AND(ISNUMBER(BH1143),BH1143=0),0,"")))))</f>
        <v>0.15537303756155602</v>
      </c>
      <c r="BG1143" s="11" t="n">
        <f>IF(AND(COUNT(BN1143:BU1143)=8,MIN(BN1143:BU1143)&gt;=0),SUMPRODUCT(BN1143:BQ1143,BR1143:BU1143),"")</f>
        <v>114.81944114457707</v>
      </c>
      <c r="BH1143" s="11" t="n">
        <f>IF(COUNT(BC1143,BG1143)=2,BC1143*BG1143,"")</f>
        <v>197.66040503379156</v>
      </c>
      <c r="BI1143" s="11" t="n">
        <f>IF(ISNUMBER(CI1143),CI1143,"")</f>
        <v>30.71109753574767</v>
      </c>
      <c r="BJ1143" s="8" t="str"/>
      <c r="BK1143" s="8" t="str">
        <v>90天：2026-07-20 至 2026-10-17；180天：2026-04-21 至 2026-10-17</v>
      </c>
      <c r="BL1143" s="8" t="str">
        <v>90天：2026-10-06、2026-10-07；180天：2026-10-06、2026-10-07</v>
      </c>
      <c r="BM1143" s="8" t="str">
        <v>2026-10：12天 × 0.7647664488148722；2026-11：30天 × 1.5248287781391903；2026-12：31天 × 1.2288250057360348；2027-01：17天 × 1.2825767786356366</v>
      </c>
      <c r="BN1143" s="11" t="n">
        <v>0.7647664488148722</v>
      </c>
      <c r="BO1143" s="11" t="n">
        <v>1.5248287781391903</v>
      </c>
      <c r="BP1143" s="11" t="n">
        <v>1.2288250057360348</v>
      </c>
      <c r="BQ1143" s="11" t="n">
        <v>1.2825767786356366</v>
      </c>
      <c r="BR1143" s="8" t="n">
        <v>12</v>
      </c>
      <c r="BS1143" s="8" t="n">
        <v>30</v>
      </c>
      <c r="BT1143" s="8" t="n">
        <v>31</v>
      </c>
      <c r="BU1143" s="8" t="n">
        <v>17</v>
      </c>
      <c r="BV1143" s="11" t="n">
        <f>IF(COUNT(BC1143,BF1143)=2,BC1143*BF1143,"")</f>
        <v>0.26747297521747393</v>
      </c>
      <c r="BW1143" s="11" t="n">
        <f>IF(ISNUMBER(BN1143),BN1143,"")</f>
        <v>0.7647664488148722</v>
      </c>
      <c r="BX1143" s="14" t="n">
        <f>IF(ISNUMBER(BR1143),BR1143,"")</f>
        <v>12</v>
      </c>
      <c r="BY1143" s="13" t="n">
        <f>IF(AND(COUNT(BV1143,BW1143,BX1143)=3,MIN(BV1143,BW1143,BX1143)&gt;=0),BV1143*BW1143*BX1143,"")</f>
        <v>2.4546522889321905</v>
      </c>
      <c r="BZ1143" s="11" t="n">
        <f>IF(ISNUMBER(BO1143),BO1143,"")</f>
        <v>1.5248287781391903</v>
      </c>
      <c r="CA1143" s="14" t="n">
        <f>IF(ISNUMBER(BS1143),BS1143,"")</f>
        <v>30</v>
      </c>
      <c r="CB1143" s="13" t="n">
        <f>IF(AND(COUNT(BV1143,BZ1143,CA1143)=3,MIN(BV1143,BZ1143,CA1143)&gt;=0),BV1143*BZ1143*CA1143,"")</f>
        <v>12.23551469958344</v>
      </c>
      <c r="CC1143" s="11" t="n">
        <f>IF(ISNUMBER(BP1143),BP1143,"")</f>
        <v>1.2288250057360348</v>
      </c>
      <c r="CD1143" s="14" t="n">
        <f>IF(ISNUMBER(BT1143),BT1143,"")</f>
        <v>31</v>
      </c>
      <c r="CE1143" s="13" t="n">
        <f>IF(AND(COUNT(BV1143,CC1143,CD1143)=3,MIN(BV1143,CC1143,CD1143)&gt;=0),BV1143*CC1143*CD1143,"")</f>
        <v>10.189001889481247</v>
      </c>
      <c r="CF1143" s="11" t="n">
        <f>IF(ISNUMBER(BQ1143),BQ1143,"")</f>
        <v>1.2825767786356366</v>
      </c>
      <c r="CG1143" s="14" t="n">
        <f>IF(ISNUMBER(BU1143),BU1143,"")</f>
        <v>17</v>
      </c>
      <c r="CH1143" s="13" t="n">
        <f>IF(AND(COUNT(BV1143,CF1143,CG1143)=3,MIN(BV1143,CF1143,CG1143)&gt;=0),BV1143*CF1143*CG1143,"")</f>
        <v>5.831928657750792</v>
      </c>
      <c r="CI1143" s="13" t="n">
        <f>IF(COUNT(BY1143,CB1143,CE1143,CH1143)=4,SUM(BY1143,CB1143,CE1143,CH1143),"")</f>
        <v>30.71109753574767</v>
      </c>
    </row>
    <row r="1144" ht="72" customHeight="1">
      <c r="A1144" s="16" t="str">
        <v>S02a-ND-41</v>
      </c>
      <c r="B1144" s="16" t="str">
        <v>3店-SANDIEX-US</v>
      </c>
      <c r="C1144" s="16" t="str">
        <v>陈晨</v>
      </c>
      <c r="D1144" s="26" t="n">
        <f>IF(NOT(ISNUMBER(E1144)),"",IF(OR(E1144&lt;=0,L1144=0),0,IF(OR(NOT(ISNUMBER(F1144)),F1144&lt;0),"",MIN(E1144,INT(F1144)))))</f>
        <v>0</v>
      </c>
      <c r="E1144" s="27" t="n">
        <f>IF(OR(NOT(ISNUMBER(L1144)),COUNT(M1144:O1144)&lt;&gt;3,MIN(M1144:O1144)&lt;0),"",ROUNDUP(ROUND(BI1144-SUM(M1144:O1144),10),0))</f>
        <v>-9</v>
      </c>
      <c r="F1144" s="28" t="n">
        <v>0</v>
      </c>
      <c r="G1144" s="28" t="n">
        <f>IF(AND(ISNUMBER(D1144),ISNUMBER(E1144)),IF(OR(E1144&lt;=0,L1144=0),0,E1144-D1144),"")</f>
        <v>0</v>
      </c>
      <c r="H1144" s="16" t="str">
        <f>IF(NOT(ISNUMBER(E1144)),"销量或海外库存待补",IF(OR(E1144&lt;=0,L1144=0),IF(L1144=0,"零日销，本批不发","本批无需补货"),IF(NOT(ISNUMBER(D1144)),"国内库存待补",IF(D1144=0,"国内无可用库存",IF(G1144&gt;0,"先发国内现货","按建议量发货")))))</f>
        <v>本批无需补货</v>
      </c>
      <c r="I1144" s="28" t="n">
        <f>IF(AND(COUNT(Z1144,AA1144,AB1144)=3,Z1144&gt;=AA1144,AA1144&gt;=0,AB1144=7),Z1144-AA1144,"")</f>
        <v>2</v>
      </c>
      <c r="J1144" s="28" t="n">
        <f>IF(AND(COUNT(AF1144,AG1144,AH1144)=3,AF1144&gt;=AG1144,AG1144&gt;=0,AH1144=14),AF1144-AG1144,"")</f>
        <v>2</v>
      </c>
      <c r="K1144" s="28" t="n">
        <f>IF(AND(COUNT(AL1144,AM1144,AN1144)=3,AL1144&gt;=AM1144,AM1144&gt;=0,AN1144=30),AL1144-AM1144,"")</f>
        <v>4</v>
      </c>
      <c r="L1144" s="29" t="n">
        <f>IF(ISNUMBER(BI1144),BI1144/90,"")</f>
        <v>0.45092241809508493</v>
      </c>
      <c r="M1144" s="28" t="n">
        <v>27</v>
      </c>
      <c r="N1144" s="28" t="n">
        <v>0</v>
      </c>
      <c r="O1144" s="28" t="n">
        <v>22</v>
      </c>
      <c r="P1144" s="30" t="n">
        <f>IF(AND(ISNUMBER(L1144),L1144&gt;0,COUNT(M1144:O1144)=3,MIN(M1144:O1144)&gt;=0),SUM(M1144:O1144)/L1144,"")</f>
        <v>108.6661430740121</v>
      </c>
      <c r="Q1144" s="16" t="str">
        <v>沿用原计划SKU店铺</v>
      </c>
      <c r="R1144" s="16" t="str">
        <v>已匹配</v>
      </c>
      <c r="S1144" s="16" t="str">
        <v>在售</v>
      </c>
      <c r="T1144" s="16" t="str">
        <v>S02a</v>
      </c>
      <c r="U1144" s="16" t="str">
        <v>裸色</v>
      </c>
      <c r="V1144" s="16" t="n">
        <v>10</v>
      </c>
      <c r="W1144" s="8" t="str">
        <v>2026-10-11 至 2026-10-17</v>
      </c>
      <c r="X1144" s="8" t="str">
        <v>2026-10-11、2026-10-12、2026-10-13、2026-10-14、2026-10-15、2026-10-16、2026-10-17</v>
      </c>
      <c r="Y1144" s="8" t="str">
        <v>无</v>
      </c>
      <c r="Z1144" s="8" t="n">
        <v>2</v>
      </c>
      <c r="AA1144" s="8" t="n">
        <v>0</v>
      </c>
      <c r="AB1144" s="8" t="n">
        <v>7</v>
      </c>
      <c r="AC1144" s="8" t="str">
        <v>2026-10-02 至 2026-10-17</v>
      </c>
      <c r="AD1144" s="8" t="str">
        <v>2026-10-02、2026-10-03、2026-10-04、2026-10-05、2026-10-08、2026-10-09、2026-10-10、2026-10-11、2026-10-12、2026-10-13、2026-10-14、2026-10-15、2026-10-16、2026-10-17</v>
      </c>
      <c r="AE1144" s="8" t="str">
        <v>2026-10-06 大促；2026-10-07 大促</v>
      </c>
      <c r="AF1144" s="8" t="n">
        <v>3</v>
      </c>
      <c r="AG1144" s="8" t="n">
        <v>1</v>
      </c>
      <c r="AH1144" s="8" t="n">
        <v>14</v>
      </c>
      <c r="AI1144" s="8" t="str">
        <v>2026-09-16 至 2026-10-17</v>
      </c>
      <c r="AJ114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4" s="8" t="str">
        <v>2026-10-06 大促；2026-10-07 大促</v>
      </c>
      <c r="AL1144" s="8" t="n">
        <v>5</v>
      </c>
      <c r="AM1144" s="8" t="n">
        <v>1</v>
      </c>
      <c r="AN1144" s="8" t="n">
        <v>30</v>
      </c>
      <c r="AO1144" s="8" t="str">
        <v>S02a / 裸色 / 6574</v>
      </c>
      <c r="AP1144" s="11" t="n">
        <v>0.7647664488148722</v>
      </c>
      <c r="AQ1144" s="11" t="n">
        <v>0.7647664488148722</v>
      </c>
      <c r="AR1144" s="11" t="n">
        <v>0.8066052567225582</v>
      </c>
      <c r="AS1144" s="11" t="n">
        <f>IF(AND(COUNT(I1144:K1144,AP1144:AR1144)=6,MIN(AP1144:AR1144)&gt;0),I1144/7/AP1144*0.5+J1144/14/AQ1144*0.3+K1144/30/AR1144*0.2,"")</f>
        <v>0.2758982775974187</v>
      </c>
      <c r="AT1144" s="8" t="n">
        <v>14</v>
      </c>
      <c r="AU1144" s="8" t="n">
        <v>1</v>
      </c>
      <c r="AV1144" s="8" t="n">
        <v>88</v>
      </c>
      <c r="AW1144" s="11" t="n">
        <f>IF(AND(COUNT(AT1144:AV1144)=3,AT1144&gt;=AU1144,AU1144&gt;=0,AV1144&gt;0),(AT1144-AU1144)/AV1144,"")</f>
        <v>0.14772727272727273</v>
      </c>
      <c r="AX1144" s="8" t="n">
        <v>23</v>
      </c>
      <c r="AY1144" s="8" t="n">
        <v>1</v>
      </c>
      <c r="AZ1144" s="8" t="n">
        <v>178</v>
      </c>
      <c r="BA1144" s="11" t="n">
        <f>IF(AND(COUNT(AX1144:AZ1144)=3,AX1144&gt;=AY1144,AY1144&gt;=0,AZ1144&gt;0),(AX1144-AY1144)/AZ1144,"")</f>
        <v>0.12359550561797752</v>
      </c>
      <c r="BB1144" s="8" t="n">
        <f>IF(COUNT(AS1144,AW1144,BA1144)=3,1,0)</f>
        <v>1</v>
      </c>
      <c r="BC1144" s="11" t="n">
        <f>IF(SUMIF($AO$11:$AO$1309,AO1144,$BB$11:$BB$1309)=COUNTIF($AO$11:$AO$1309,AO1144),SUMIF($AO$11:$AO$1309,AO1144,$AS$11:$AS$1309),"")</f>
        <v>1.7214890010212096</v>
      </c>
      <c r="BD1144" s="11" t="n">
        <f>IF(SUMIF($AO$11:$AO$1309,AO1144,$BB$11:$BB$1309)=COUNTIF($AO$11:$AO$1309,AO1144),SUMIF($AO$11:$AO$1309,AO1144,$AW$11:$AW$1309),"")</f>
        <v>0.7169661733615222</v>
      </c>
      <c r="BE1144" s="11" t="n">
        <f>IF(SUMIF($AO$11:$AO$1309,AO1144,$BB$11:$BB$1309)=COUNTIF($AO$11:$AO$1309,AO1144),SUMIF($AO$11:$AO$1309,AO1144,$BA$11:$BA$1309),"")</f>
        <v>0.6069969356486209</v>
      </c>
      <c r="BF1144" s="12" t="n">
        <f>IF(COUNT(BD1144:BE1144)&lt;&gt;2,"",IF(AND(BD1144&gt;0,BE1144&gt;0),0.7*AW1144/BD1144+0.3*BA1144/BE1144,IF(BD1144&gt;0,AW1144/BD1144,IF(BE1144&gt;0,BA1144/BE1144,IF(AND(ISNUMBER(BH1144),BH1144=0),0,"")))))</f>
        <v>0.2053168798354919</v>
      </c>
      <c r="BG1144" s="11" t="n">
        <f>IF(AND(COUNT(BN1144:BU1144)=8,MIN(BN1144:BU1144)&gt;=0),SUMPRODUCT(BN1144:BQ1144,BR1144:BU1144),"")</f>
        <v>114.81944114457707</v>
      </c>
      <c r="BH1144" s="11" t="n">
        <f>IF(COUNT(BC1144,BG1144)=2,BC1144*BG1144,"")</f>
        <v>197.66040503379156</v>
      </c>
      <c r="BI1144" s="11" t="n">
        <f>IF(ISNUMBER(CI1144),CI1144,"")</f>
        <v>40.58301762855764</v>
      </c>
      <c r="BJ1144" s="8" t="str"/>
      <c r="BK1144" s="8" t="str">
        <v>90天：2026-07-20 至 2026-10-17；180天：2026-04-21 至 2026-10-17</v>
      </c>
      <c r="BL1144" s="8" t="str">
        <v>90天：2026-10-06、2026-10-07；180天：2026-10-06、2026-10-07</v>
      </c>
      <c r="BM1144" s="8" t="str">
        <v>2026-10：12天 × 0.7647664488148722；2026-11：30天 × 1.5248287781391903；2026-12：31天 × 1.2288250057360348；2027-01：17天 × 1.2825767786356366</v>
      </c>
      <c r="BN1144" s="11" t="n">
        <v>0.7647664488148722</v>
      </c>
      <c r="BO1144" s="11" t="n">
        <v>1.5248287781391903</v>
      </c>
      <c r="BP1144" s="11" t="n">
        <v>1.2288250057360348</v>
      </c>
      <c r="BQ1144" s="11" t="n">
        <v>1.2825767786356366</v>
      </c>
      <c r="BR1144" s="8" t="n">
        <v>12</v>
      </c>
      <c r="BS1144" s="8" t="n">
        <v>30</v>
      </c>
      <c r="BT1144" s="8" t="n">
        <v>31</v>
      </c>
      <c r="BU1144" s="8" t="n">
        <v>17</v>
      </c>
      <c r="BV1144" s="11" t="n">
        <f>IF(COUNT(BC1144,BF1144)=2,BC1144*BF1144,"")</f>
        <v>0.3534507503607927</v>
      </c>
      <c r="BW1144" s="11" t="n">
        <f>IF(ISNUMBER(BN1144),BN1144,"")</f>
        <v>0.7647664488148722</v>
      </c>
      <c r="BX1144" s="14" t="n">
        <f>IF(ISNUMBER(BR1144),BR1144,"")</f>
        <v>12</v>
      </c>
      <c r="BY1144" s="13" t="n">
        <f>IF(AND(COUNT(BV1144,BW1144,BX1144)=3,MIN(BV1144,BW1144,BX1144)&gt;=0),BV1144*BW1144*BX1144,"")</f>
        <v>3.2436873022125043</v>
      </c>
      <c r="BZ1144" s="11" t="n">
        <f>IF(ISNUMBER(BO1144),BO1144,"")</f>
        <v>1.5248287781391903</v>
      </c>
      <c r="CA1144" s="14" t="n">
        <f>IF(ISNUMBER(BS1144),BS1144,"")</f>
        <v>30</v>
      </c>
      <c r="CB1144" s="13" t="n">
        <f>IF(AND(COUNT(BV1144,BZ1144,CA1144)=3,MIN(BV1144,BZ1144,CA1144)&gt;=0),BV1144*BZ1144*CA1144,"")</f>
        <v>16.168556274150824</v>
      </c>
      <c r="CC1144" s="11" t="n">
        <f>IF(ISNUMBER(BP1144),BP1144,"")</f>
        <v>1.2288250057360348</v>
      </c>
      <c r="CD1144" s="14" t="n">
        <f>IF(ISNUMBER(BT1144),BT1144,"")</f>
        <v>31</v>
      </c>
      <c r="CE1144" s="13" t="n">
        <f>IF(AND(COUNT(BV1144,CC1144,CD1144)=3,MIN(BV1144,CC1144,CD1144)&gt;=0),BV1144*CC1144*CD1144,"")</f>
        <v>13.464202730524715</v>
      </c>
      <c r="CF1144" s="11" t="n">
        <f>IF(ISNUMBER(BQ1144),BQ1144,"")</f>
        <v>1.2825767786356366</v>
      </c>
      <c r="CG1144" s="14" t="n">
        <f>IF(ISNUMBER(BU1144),BU1144,"")</f>
        <v>17</v>
      </c>
      <c r="CH1144" s="13" t="n">
        <f>IF(AND(COUNT(BV1144,CF1144,CG1144)=3,MIN(BV1144,CF1144,CG1144)&gt;=0),BV1144*CF1144*CG1144,"")</f>
        <v>7.706571321669599</v>
      </c>
      <c r="CI1144" s="13" t="n">
        <f>IF(COUNT(BY1144,CB1144,CE1144,CH1144)=4,SUM(BY1144,CB1144,CE1144,CH1144),"")</f>
        <v>40.58301762855764</v>
      </c>
    </row>
    <row r="1145" ht="72" customHeight="1">
      <c r="A1145" s="16" t="str">
        <v>S02a-ND1-38</v>
      </c>
      <c r="B1145" s="16" t="str">
        <v>3店-SANDIEX-US</v>
      </c>
      <c r="C1145" s="16" t="str">
        <v>陈晨</v>
      </c>
      <c r="D1145" s="26" t="n">
        <f>IF(NOT(ISNUMBER(E1145)),"",IF(OR(E1145&lt;=0,L1145=0),0,IF(OR(NOT(ISNUMBER(F1145)),F1145&lt;0),"",MIN(E1145,INT(F1145)))))</f>
        <v>0</v>
      </c>
      <c r="E1145" s="27" t="n">
        <f>IF(OR(NOT(ISNUMBER(L1145)),COUNT(M1145:O1145)&lt;&gt;3,MIN(M1145:O1145)&lt;0),"",ROUNDUP(ROUND(BI1145-SUM(M1145:O1145),10),0))</f>
        <v>-16</v>
      </c>
      <c r="F1145" s="28" t="n">
        <v>0</v>
      </c>
      <c r="G1145" s="28" t="n">
        <f>IF(AND(ISNUMBER(D1145),ISNUMBER(E1145)),IF(OR(E1145&lt;=0,L1145=0),0,E1145-D1145),"")</f>
        <v>0</v>
      </c>
      <c r="H1145" s="16" t="str">
        <f>IF(NOT(ISNUMBER(E1145)),"销量或海外库存待补",IF(OR(E1145&lt;=0,L1145=0),IF(L1145=0,"零日销，本批不发","本批无需补货"),IF(NOT(ISNUMBER(D1145)),"国内库存待补",IF(D1145=0,"国内无可用库存",IF(G1145&gt;0,"先发国内现货","按建议量发货")))))</f>
        <v>本批无需补货</v>
      </c>
      <c r="I1145" s="28" t="n">
        <f>IF(AND(COUNT(Z1145,AA1145,AB1145)=3,Z1145&gt;=AA1145,AA1145&gt;=0,AB1145=7),Z1145-AA1145,"")</f>
        <v>1</v>
      </c>
      <c r="J1145" s="28" t="n">
        <f>IF(AND(COUNT(AF1145,AG1145,AH1145)=3,AF1145&gt;=AG1145,AG1145&gt;=0,AH1145=14),AF1145-AG1145,"")</f>
        <v>1</v>
      </c>
      <c r="K1145" s="28" t="n">
        <f>IF(AND(COUNT(AL1145,AM1145,AN1145)=3,AL1145&gt;=AM1145,AM1145&gt;=0,AN1145=30),AL1145-AM1145,"")</f>
        <v>1</v>
      </c>
      <c r="L1145" s="29" t="n">
        <f>IF(ISNUMBER(BI1145),BI1145/90,"")</f>
        <v>0.24984060581279854</v>
      </c>
      <c r="M1145" s="28" t="n">
        <v>38</v>
      </c>
      <c r="N1145" s="28" t="n">
        <v>0</v>
      </c>
      <c r="O1145" s="28" t="n">
        <v>0</v>
      </c>
      <c r="P1145" s="30" t="n">
        <f>IF(AND(ISNUMBER(L1145),L1145&gt;0,COUNT(M1145:O1145)=3,MIN(M1145:O1145)&gt;=0),SUM(M1145:O1145)/L1145,"")</f>
        <v>152.09697349386343</v>
      </c>
      <c r="Q1145" s="16" t="str">
        <v>沿用同SPU原计划店铺</v>
      </c>
      <c r="R1145" s="16" t="str">
        <v>已匹配</v>
      </c>
      <c r="S1145" s="16" t="str">
        <v>在售</v>
      </c>
      <c r="T1145" s="16" t="str">
        <v>S02a</v>
      </c>
      <c r="U1145" s="16" t="str">
        <v>裸色</v>
      </c>
      <c r="V1145" s="16" t="n">
        <v>7.5</v>
      </c>
      <c r="W1145" s="8" t="str">
        <v>2026-10-11 至 2026-10-17</v>
      </c>
      <c r="X1145" s="8" t="str">
        <v>2026-10-11、2026-10-12、2026-10-13、2026-10-14、2026-10-15、2026-10-16、2026-10-17</v>
      </c>
      <c r="Y1145" s="8" t="str">
        <v>无</v>
      </c>
      <c r="Z1145" s="8" t="n">
        <v>1</v>
      </c>
      <c r="AA1145" s="8" t="n">
        <v>0</v>
      </c>
      <c r="AB1145" s="8" t="n">
        <v>7</v>
      </c>
      <c r="AC1145" s="8" t="str">
        <v>2026-10-02 至 2026-10-17</v>
      </c>
      <c r="AD1145" s="8" t="str">
        <v>2026-10-02、2026-10-03、2026-10-04、2026-10-05、2026-10-08、2026-10-09、2026-10-10、2026-10-11、2026-10-12、2026-10-13、2026-10-14、2026-10-15、2026-10-16、2026-10-17</v>
      </c>
      <c r="AE1145" s="8" t="str">
        <v>2026-10-06 大促；2026-10-07 大促</v>
      </c>
      <c r="AF1145" s="8" t="n">
        <v>1</v>
      </c>
      <c r="AG1145" s="8" t="n">
        <v>0</v>
      </c>
      <c r="AH1145" s="8" t="n">
        <v>14</v>
      </c>
      <c r="AI1145" s="8" t="str">
        <v>2026-09-16 至 2026-10-17</v>
      </c>
      <c r="AJ114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5" s="8" t="str">
        <v>2026-10-06 大促；2026-10-07 大促</v>
      </c>
      <c r="AL1145" s="8" t="n">
        <v>1</v>
      </c>
      <c r="AM1145" s="8" t="n">
        <v>0</v>
      </c>
      <c r="AN1145" s="8" t="n">
        <v>30</v>
      </c>
      <c r="AO1145" s="8" t="str">
        <v>S02a / 裸色 / 6574</v>
      </c>
      <c r="AP1145" s="11" t="n">
        <v>0.7647664488148722</v>
      </c>
      <c r="AQ1145" s="11" t="n">
        <v>0.7647664488148722</v>
      </c>
      <c r="AR1145" s="11" t="n">
        <v>0.8066052567225582</v>
      </c>
      <c r="AS1145" s="11" t="n">
        <f>IF(AND(COUNT(I1145:K1145,AP1145:AR1145)=6,MIN(AP1145:AR1145)&gt;0),I1145/7/AP1145*0.5+J1145/14/AQ1145*0.3+K1145/30/AR1145*0.2,"")</f>
        <v>0.12968404678362005</v>
      </c>
      <c r="AT1145" s="8" t="n">
        <v>7</v>
      </c>
      <c r="AU1145" s="8" t="n">
        <v>0</v>
      </c>
      <c r="AV1145" s="8" t="n">
        <v>88</v>
      </c>
      <c r="AW1145" s="11" t="n">
        <f>IF(AND(COUNT(AT1145:AV1145)=3,AT1145&gt;=AU1145,AU1145&gt;=0,AV1145&gt;0),(AT1145-AU1145)/AV1145,"")</f>
        <v>0.07954545454545454</v>
      </c>
      <c r="AX1145" s="8" t="n">
        <v>13</v>
      </c>
      <c r="AY1145" s="8" t="n">
        <v>0</v>
      </c>
      <c r="AZ1145" s="8" t="n">
        <v>178</v>
      </c>
      <c r="BA1145" s="11" t="n">
        <f>IF(AND(COUNT(AX1145:AZ1145)=3,AX1145&gt;=AY1145,AY1145&gt;=0,AZ1145&gt;0),(AX1145-AY1145)/AZ1145,"")</f>
        <v>0.07303370786516854</v>
      </c>
      <c r="BB1145" s="8" t="n">
        <f>IF(COUNT(AS1145,AW1145,BA1145)=3,1,0)</f>
        <v>1</v>
      </c>
      <c r="BC1145" s="11" t="n">
        <f>IF(SUMIF($AO$11:$AO$1309,AO1145,$BB$11:$BB$1309)=COUNTIF($AO$11:$AO$1309,AO1145),SUMIF($AO$11:$AO$1309,AO1145,$AS$11:$AS$1309),"")</f>
        <v>1.7214890010212096</v>
      </c>
      <c r="BD1145" s="11" t="n">
        <f>IF(SUMIF($AO$11:$AO$1309,AO1145,$BB$11:$BB$1309)=COUNTIF($AO$11:$AO$1309,AO1145),SUMIF($AO$11:$AO$1309,AO1145,$AW$11:$AW$1309),"")</f>
        <v>0.7169661733615222</v>
      </c>
      <c r="BE1145" s="11" t="n">
        <f>IF(SUMIF($AO$11:$AO$1309,AO1145,$BB$11:$BB$1309)=COUNTIF($AO$11:$AO$1309,AO1145),SUMIF($AO$11:$AO$1309,AO1145,$BA$11:$BA$1309),"")</f>
        <v>0.6069969356486209</v>
      </c>
      <c r="BF1145" s="12" t="n">
        <f>IF(COUNT(BD1145:BE1145)&lt;&gt;2,"",IF(AND(BD1145&gt;0,BE1145&gt;0),0.7*AW1145/BD1145+0.3*BA1145/BE1145,IF(BD1145&gt;0,AW1145/BD1145,IF(BE1145&gt;0,BA1145/BE1145,IF(AND(ISNUMBER(BH1145),BH1145=0),0,"")))))</f>
        <v>0.11375902280129283</v>
      </c>
      <c r="BG1145" s="11" t="n">
        <f>IF(AND(COUNT(BN1145:BU1145)=8,MIN(BN1145:BU1145)&gt;=0),SUMPRODUCT(BN1145:BQ1145,BR1145:BU1145),"")</f>
        <v>114.81944114457707</v>
      </c>
      <c r="BH1145" s="11" t="n">
        <f>IF(COUNT(BC1145,BG1145)=2,BC1145*BG1145,"")</f>
        <v>197.66040503379156</v>
      </c>
      <c r="BI1145" s="11" t="n">
        <f>IF(ISNUMBER(CI1145),CI1145,"")</f>
        <v>22.48565452315187</v>
      </c>
      <c r="BJ1145" s="8" t="str"/>
      <c r="BK1145" s="8" t="str">
        <v>90天：2026-07-20 至 2026-10-17；180天：2026-04-21 至 2026-10-17</v>
      </c>
      <c r="BL1145" s="8" t="str">
        <v>90天：2026-10-06、2026-10-07；180天：2026-10-06、2026-10-07</v>
      </c>
      <c r="BM1145" s="8" t="str">
        <v>2026-10：12天 × 0.7647664488148722；2026-11：30天 × 1.5248287781391903；2026-12：31天 × 1.2288250057360348；2027-01：17天 × 1.2825767786356366</v>
      </c>
      <c r="BN1145" s="11" t="n">
        <v>0.7647664488148722</v>
      </c>
      <c r="BO1145" s="11" t="n">
        <v>1.5248287781391903</v>
      </c>
      <c r="BP1145" s="11" t="n">
        <v>1.2288250057360348</v>
      </c>
      <c r="BQ1145" s="11" t="n">
        <v>1.2825767786356366</v>
      </c>
      <c r="BR1145" s="8" t="n">
        <v>12</v>
      </c>
      <c r="BS1145" s="8" t="n">
        <v>30</v>
      </c>
      <c r="BT1145" s="8" t="n">
        <v>31</v>
      </c>
      <c r="BU1145" s="8" t="n">
        <v>17</v>
      </c>
      <c r="BV1145" s="11" t="n">
        <f>IF(COUNT(BC1145,BF1145)=2,BC1145*BF1145,"")</f>
        <v>0.1958349065193466</v>
      </c>
      <c r="BW1145" s="11" t="n">
        <f>IF(ISNUMBER(BN1145),BN1145,"")</f>
        <v>0.7647664488148722</v>
      </c>
      <c r="BX1145" s="14" t="n">
        <f>IF(ISNUMBER(BR1145),BR1145,"")</f>
        <v>12</v>
      </c>
      <c r="BY1145" s="13" t="n">
        <f>IF(AND(COUNT(BV1145,BW1145,BX1145)=3,MIN(BV1145,BW1145,BX1145)&gt;=0),BV1145*BW1145*BX1145,"")</f>
        <v>1.7972155921535178</v>
      </c>
      <c r="BZ1145" s="11" t="n">
        <f>IF(ISNUMBER(BO1145),BO1145,"")</f>
        <v>1.5248287781391903</v>
      </c>
      <c r="CA1145" s="14" t="n">
        <f>IF(ISNUMBER(BS1145),BS1145,"")</f>
        <v>30</v>
      </c>
      <c r="CB1145" s="13" t="n">
        <f>IF(AND(COUNT(BV1145,BZ1145,CA1145)=3,MIN(BV1145,BZ1145,CA1145)&gt;=0),BV1145*BZ1145*CA1145,"")</f>
        <v>8.958441036746935</v>
      </c>
      <c r="CC1145" s="11" t="n">
        <f>IF(ISNUMBER(BP1145),BP1145,"")</f>
        <v>1.2288250057360348</v>
      </c>
      <c r="CD1145" s="14" t="n">
        <f>IF(ISNUMBER(BT1145),BT1145,"")</f>
        <v>31</v>
      </c>
      <c r="CE1145" s="13" t="n">
        <f>IF(AND(COUNT(BV1145,CC1145,CD1145)=3,MIN(BV1145,CC1145,CD1145)&gt;=0),BV1145*CC1145*CD1145,"")</f>
        <v>7.46005173393551</v>
      </c>
      <c r="CF1145" s="11" t="n">
        <f>IF(ISNUMBER(BQ1145),BQ1145,"")</f>
        <v>1.2825767786356366</v>
      </c>
      <c r="CG1145" s="14" t="n">
        <f>IF(ISNUMBER(BU1145),BU1145,"")</f>
        <v>17</v>
      </c>
      <c r="CH1145" s="13" t="n">
        <f>IF(AND(COUNT(BV1145,CF1145,CG1145)=3,MIN(BV1145,CF1145,CG1145)&gt;=0),BV1145*CF1145*CG1145,"")</f>
        <v>4.269946160315908</v>
      </c>
      <c r="CI1145" s="13" t="n">
        <f>IF(COUNT(BY1145,CB1145,CE1145,CH1145)=4,SUM(BY1145,CB1145,CE1145,CH1145),"")</f>
        <v>22.48565452315187</v>
      </c>
    </row>
    <row r="1146" ht="72" customHeight="1">
      <c r="A1146" s="16" t="str">
        <v>S02a-TN-37</v>
      </c>
      <c r="B1146" s="16" t="str">
        <v>3店-SANDIEX-US</v>
      </c>
      <c r="C1146" s="16" t="str">
        <v>陈晨</v>
      </c>
      <c r="D1146" s="26" t="n">
        <f>IF(NOT(ISNUMBER(E1146)),"",IF(OR(E1146&lt;=0,L1146=0),0,IF(OR(NOT(ISNUMBER(F1146)),F1146&lt;0),"",MIN(E1146,INT(F1146)))))</f>
        <v>0</v>
      </c>
      <c r="E1146" s="27" t="n">
        <f>IF(OR(NOT(ISNUMBER(L1146)),COUNT(M1146:O1146)&lt;&gt;3,MIN(M1146:O1146)&lt;0),"",ROUNDUP(ROUND(BI1146-SUM(M1146:O1146),10),0))</f>
        <v>-15</v>
      </c>
      <c r="F1146" s="28" t="n">
        <v>0</v>
      </c>
      <c r="G1146" s="28" t="n">
        <f>IF(AND(ISNUMBER(D1146),ISNUMBER(E1146)),IF(OR(E1146&lt;=0,L1146=0),0,E1146-D1146),"")</f>
        <v>0</v>
      </c>
      <c r="H1146" s="16" t="str">
        <f>IF(NOT(ISNUMBER(E1146)),"销量或海外库存待补",IF(OR(E1146&lt;=0,L1146=0),IF(L1146=0,"零日销，本批不发","本批无需补货"),IF(NOT(ISNUMBER(D1146)),"国内库存待补",IF(D1146=0,"国内无可用库存",IF(G1146&gt;0,"先发国内现货","按建议量发货")))))</f>
        <v>本批无需补货</v>
      </c>
      <c r="I1146" s="28" t="n">
        <f>IF(AND(COUNT(Z1146,AA1146,AB1146)=3,Z1146&gt;=AA1146,AA1146&gt;=0,AB1146=7),Z1146-AA1146,"")</f>
        <v>2</v>
      </c>
      <c r="J1146" s="28" t="n">
        <f>IF(AND(COUNT(AF1146,AG1146,AH1146)=3,AF1146&gt;=AG1146,AG1146&gt;=0,AH1146=14),AF1146-AG1146,"")</f>
        <v>3</v>
      </c>
      <c r="K1146" s="28" t="n">
        <f>IF(AND(COUNT(AL1146,AM1146,AN1146)=3,AL1146&gt;=AM1146,AM1146&gt;=0,AN1146=30),AL1146-AM1146,"")</f>
        <v>3</v>
      </c>
      <c r="L1146" s="29" t="n">
        <f>IF(ISNUMBER(BI1146),BI1146/90,"")</f>
        <v>0.11359006133886983</v>
      </c>
      <c r="M1146" s="28" t="n">
        <v>25</v>
      </c>
      <c r="N1146" s="28" t="n">
        <v>0</v>
      </c>
      <c r="O1146" s="28" t="n">
        <v>0</v>
      </c>
      <c r="P1146" s="30" t="n">
        <f>IF(AND(ISNUMBER(L1146),L1146&gt;0,COUNT(M1146:O1146)=3,MIN(M1146:O1146)&gt;=0),SUM(M1146:O1146)/L1146,"")</f>
        <v>220.0896777880791</v>
      </c>
      <c r="Q1146" s="16" t="str">
        <v>沿用原计划SKU店铺</v>
      </c>
      <c r="R1146" s="16" t="str">
        <v>已匹配</v>
      </c>
      <c r="S1146" s="16" t="str">
        <v>在售</v>
      </c>
      <c r="T1146" s="16" t="str">
        <v>S02a</v>
      </c>
      <c r="U1146" s="16" t="str">
        <v>驼色</v>
      </c>
      <c r="V1146" s="16" t="n">
        <v>6</v>
      </c>
      <c r="W1146" s="8" t="str">
        <v>2026-10-11 至 2026-10-17</v>
      </c>
      <c r="X1146" s="8" t="str">
        <v>2026-10-11、2026-10-12、2026-10-13、2026-10-14、2026-10-15、2026-10-16、2026-10-17</v>
      </c>
      <c r="Y1146" s="8" t="str">
        <v>无</v>
      </c>
      <c r="Z1146" s="8" t="n">
        <v>2</v>
      </c>
      <c r="AA1146" s="8" t="n">
        <v>0</v>
      </c>
      <c r="AB1146" s="8" t="n">
        <v>7</v>
      </c>
      <c r="AC1146" s="8" t="str">
        <v>2026-10-02 至 2026-10-17</v>
      </c>
      <c r="AD1146" s="8" t="str">
        <v>2026-10-02、2026-10-03、2026-10-04、2026-10-05、2026-10-08、2026-10-09、2026-10-10、2026-10-11、2026-10-12、2026-10-13、2026-10-14、2026-10-15、2026-10-16、2026-10-17</v>
      </c>
      <c r="AE1146" s="8" t="str">
        <v>2026-10-06 大促；2026-10-07 大促</v>
      </c>
      <c r="AF1146" s="8" t="n">
        <v>3</v>
      </c>
      <c r="AG1146" s="8" t="n">
        <v>0</v>
      </c>
      <c r="AH1146" s="8" t="n">
        <v>14</v>
      </c>
      <c r="AI1146" s="8" t="str">
        <v>2026-09-16 至 2026-10-17</v>
      </c>
      <c r="AJ114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6" s="8" t="str">
        <v>2026-10-06 大促；2026-10-07 大促</v>
      </c>
      <c r="AL1146" s="8" t="n">
        <v>3</v>
      </c>
      <c r="AM1146" s="8" t="n">
        <v>0</v>
      </c>
      <c r="AN1146" s="8" t="n">
        <v>30</v>
      </c>
      <c r="AO1146" s="8" t="str">
        <v>S02a / 驼色 / 6574</v>
      </c>
      <c r="AP1146" s="11" t="n">
        <v>0.7647664488148722</v>
      </c>
      <c r="AQ1146" s="11" t="n">
        <v>0.7647664488148722</v>
      </c>
      <c r="AR1146" s="11" t="n">
        <v>0.8066052567225582</v>
      </c>
      <c r="AS1146" s="11" t="n">
        <f>IF(AND(COUNT(I1146:K1146,AP1146:AR1146)=6,MIN(AP1146:AR1146)&gt;0),I1146/7/AP1146*0.5+J1146/14/AQ1146*0.3+K1146/30/AR1146*0.2,"")</f>
        <v>0.29565294437506723</v>
      </c>
      <c r="AT1146" s="8" t="n">
        <v>3</v>
      </c>
      <c r="AU1146" s="8" t="n">
        <v>0</v>
      </c>
      <c r="AV1146" s="8" t="n">
        <v>88</v>
      </c>
      <c r="AW1146" s="11" t="n">
        <f>IF(AND(COUNT(AT1146:AV1146)=3,AT1146&gt;=AU1146,AU1146&gt;=0,AV1146&gt;0),(AT1146-AU1146)/AV1146,"")</f>
        <v>0.03409090909090909</v>
      </c>
      <c r="AX1146" s="8" t="n">
        <v>7</v>
      </c>
      <c r="AY1146" s="8" t="n">
        <v>0</v>
      </c>
      <c r="AZ1146" s="8" t="n">
        <v>178</v>
      </c>
      <c r="BA1146" s="11" t="n">
        <f>IF(AND(COUNT(AX1146:AZ1146)=3,AX1146&gt;=AY1146,AY1146&gt;=0,AZ1146&gt;0),(AX1146-AY1146)/AZ1146,"")</f>
        <v>0.03932584269662921</v>
      </c>
      <c r="BB1146" s="8" t="n">
        <f>IF(COUNT(AS1146,AW1146,BA1146)=3,1,0)</f>
        <v>1</v>
      </c>
      <c r="BC1146" s="11" t="n">
        <f>IF(SUMIF($AO$11:$AO$1309,AO1146,$BB$11:$BB$1309)=COUNTIF($AO$11:$AO$1309,AO1146),SUMIF($AO$11:$AO$1309,AO1146,$AS$11:$AS$1309),"")</f>
        <v>4.646128546626029</v>
      </c>
      <c r="BD1146" s="11" t="n">
        <f>IF(SUMIF($AO$11:$AO$1309,AO1146,$BB$11:$BB$1309)=COUNTIF($AO$11:$AO$1309,AO1146),SUMIF($AO$11:$AO$1309,AO1146,$AW$11:$AW$1309),"")</f>
        <v>1.9772727272727275</v>
      </c>
      <c r="BE1146" s="11" t="n">
        <f>IF(SUMIF($AO$11:$AO$1309,AO1146,$BB$11:$BB$1309)=COUNTIF($AO$11:$AO$1309,AO1146),SUMIF($AO$11:$AO$1309,AO1146,$BA$11:$BA$1309),"")</f>
        <v>1.6629213483146066</v>
      </c>
      <c r="BF1146" s="12" t="n">
        <f>IF(COUNT(BD1146:BE1146)&lt;&gt;2,"",IF(AND(BD1146&gt;0,BE1146&gt;0),0.7*AW1146/BD1146+0.3*BA1146/BE1146,IF(BD1146&gt;0,AW1146/BD1146,IF(BE1146&gt;0,BA1146/BE1146,IF(AND(ISNUMBER(BH1146),BH1146=0),0,"")))))</f>
        <v>0.019163560111835974</v>
      </c>
      <c r="BG1146" s="11" t="n">
        <f>IF(AND(COUNT(BN1146:BU1146)=8,MIN(BN1146:BU1146)&gt;=0),SUMPRODUCT(BN1146:BQ1146,BR1146:BU1146),"")</f>
        <v>114.81944114457707</v>
      </c>
      <c r="BH1146" s="11" t="n">
        <f>IF(COUNT(BC1146,BG1146)=2,BC1146*BG1146,"")</f>
        <v>533.4658832094667</v>
      </c>
      <c r="BI1146" s="11" t="n">
        <f>IF(ISNUMBER(CI1146),CI1146,"")</f>
        <v>10.223105520498285</v>
      </c>
      <c r="BJ1146" s="8" t="str"/>
      <c r="BK1146" s="8" t="str">
        <v>90天：2026-07-20 至 2026-10-17；180天：2026-04-21 至 2026-10-17</v>
      </c>
      <c r="BL1146" s="8" t="str">
        <v>90天：2026-10-06、2026-10-07；180天：2026-10-06、2026-10-07</v>
      </c>
      <c r="BM1146" s="8" t="str">
        <v>2026-10：12天 × 0.7647664488148722；2026-11：30天 × 1.5248287781391903；2026-12：31天 × 1.2288250057360348；2027-01：17天 × 1.2825767786356366</v>
      </c>
      <c r="BN1146" s="11" t="n">
        <v>0.7647664488148722</v>
      </c>
      <c r="BO1146" s="11" t="n">
        <v>1.5248287781391903</v>
      </c>
      <c r="BP1146" s="11" t="n">
        <v>1.2288250057360348</v>
      </c>
      <c r="BQ1146" s="11" t="n">
        <v>1.2825767786356366</v>
      </c>
      <c r="BR1146" s="8" t="n">
        <v>12</v>
      </c>
      <c r="BS1146" s="8" t="n">
        <v>30</v>
      </c>
      <c r="BT1146" s="8" t="n">
        <v>31</v>
      </c>
      <c r="BU1146" s="8" t="n">
        <v>17</v>
      </c>
      <c r="BV1146" s="11" t="n">
        <f>IF(COUNT(BC1146,BF1146)=2,BC1146*BF1146,"")</f>
        <v>0.08903636369058501</v>
      </c>
      <c r="BW1146" s="11" t="n">
        <f>IF(ISNUMBER(BN1146),BN1146,"")</f>
        <v>0.7647664488148722</v>
      </c>
      <c r="BX1146" s="14" t="n">
        <f>IF(ISNUMBER(BR1146),BR1146,"")</f>
        <v>12</v>
      </c>
      <c r="BY1146" s="13" t="n">
        <f>IF(AND(COUNT(BV1146,BW1146,BX1146)=3,MIN(BV1146,BW1146,BX1146)&gt;=0),BV1146*BW1146*BX1146,"")</f>
        <v>0.8171042841004574</v>
      </c>
      <c r="BZ1146" s="11" t="n">
        <f>IF(ISNUMBER(BO1146),BO1146,"")</f>
        <v>1.5248287781391903</v>
      </c>
      <c r="CA1146" s="14" t="n">
        <f>IF(ISNUMBER(BS1146),BS1146,"")</f>
        <v>30</v>
      </c>
      <c r="CB1146" s="13" t="n">
        <f>IF(AND(COUNT(BV1146,BZ1146,CA1146)=3,MIN(BV1146,BZ1146,CA1146)&gt;=0),BV1146*BZ1146*CA1146,"")</f>
        <v>4.07295628968814</v>
      </c>
      <c r="CC1146" s="11" t="n">
        <f>IF(ISNUMBER(BP1146),BP1146,"")</f>
        <v>1.2288250057360348</v>
      </c>
      <c r="CD1146" s="14" t="n">
        <f>IF(ISNUMBER(BT1146),BT1146,"")</f>
        <v>31</v>
      </c>
      <c r="CE1146" s="13" t="n">
        <f>IF(AND(COUNT(BV1146,CC1146,CD1146)=3,MIN(BV1146,CC1146,CD1146)&gt;=0),BV1146*CC1146*CD1146,"")</f>
        <v>3.391713413806763</v>
      </c>
      <c r="CF1146" s="11" t="n">
        <f>IF(ISNUMBER(BQ1146),BQ1146,"")</f>
        <v>1.2825767786356366</v>
      </c>
      <c r="CG1146" s="14" t="n">
        <f>IF(ISNUMBER(BU1146),BU1146,"")</f>
        <v>17</v>
      </c>
      <c r="CH1146" s="13" t="n">
        <f>IF(AND(COUNT(BV1146,CF1146,CG1146)=3,MIN(BV1146,CF1146,CG1146)&gt;=0),BV1146*CF1146*CG1146,"")</f>
        <v>1.941331532902925</v>
      </c>
      <c r="CI1146" s="13" t="n">
        <f>IF(COUNT(BY1146,CB1146,CE1146,CH1146)=4,SUM(BY1146,CB1146,CE1146,CH1146),"")</f>
        <v>10.223105520498285</v>
      </c>
    </row>
    <row r="1147" ht="72" customHeight="1">
      <c r="A1147" s="16" t="str">
        <v>S02a-TN1-37</v>
      </c>
      <c r="B1147" s="16" t="str">
        <v>3店-SANDIEX-US</v>
      </c>
      <c r="C1147" s="16" t="str">
        <v>陈晨</v>
      </c>
      <c r="D1147" s="26" t="n">
        <f>IF(NOT(ISNUMBER(E1147)),"",IF(OR(E1147&lt;=0,L1147=0),0,IF(OR(NOT(ISNUMBER(F1147)),F1147&lt;0),"",MIN(E1147,INT(F1147)))))</f>
        <v>0</v>
      </c>
      <c r="E1147" s="27" t="n">
        <f>IF(OR(NOT(ISNUMBER(L1147)),COUNT(M1147:O1147)&lt;&gt;3,MIN(M1147:O1147)&lt;0),"",ROUNDUP(ROUND(BI1147-SUM(M1147:O1147),10),0))</f>
        <v>-13</v>
      </c>
      <c r="F1147" s="28" t="n">
        <v>0</v>
      </c>
      <c r="G1147" s="28" t="n">
        <f>IF(AND(ISNUMBER(D1147),ISNUMBER(E1147)),IF(OR(E1147&lt;=0,L1147=0),0,E1147-D1147),"")</f>
        <v>0</v>
      </c>
      <c r="H1147" s="16" t="str">
        <f>IF(NOT(ISNUMBER(E1147)),"销量或海外库存待补",IF(OR(E1147&lt;=0,L1147=0),IF(L1147=0,"零日销，本批不发","本批无需补货"),IF(NOT(ISNUMBER(D1147)),"国内库存待补",IF(D1147=0,"国内无可用库存",IF(G1147&gt;0,"先发国内现货","按建议量发货")))))</f>
        <v>本批无需补货</v>
      </c>
      <c r="I1147" s="28" t="n">
        <f>IF(AND(COUNT(Z1147,AA1147,AB1147)=3,Z1147&gt;=AA1147,AA1147&gt;=0,AB1147=7),Z1147-AA1147,"")</f>
        <v>0</v>
      </c>
      <c r="J1147" s="28" t="n">
        <f>IF(AND(COUNT(AF1147,AG1147,AH1147)=3,AF1147&gt;=AG1147,AG1147&gt;=0,AH1147=14),AF1147-AG1147,"")</f>
        <v>1</v>
      </c>
      <c r="K1147" s="28" t="n">
        <f>IF(AND(COUNT(AL1147,AM1147,AN1147)=3,AL1147&gt;=AM1147,AM1147&gt;=0,AN1147=30),AL1147-AM1147,"")</f>
        <v>1</v>
      </c>
      <c r="L1147" s="29" t="n">
        <f>IF(ISNUMBER(BI1147),BI1147/90,"")</f>
        <v>0.05989084895719136</v>
      </c>
      <c r="M1147" s="28" t="n">
        <v>18</v>
      </c>
      <c r="N1147" s="28" t="n">
        <v>0</v>
      </c>
      <c r="O1147" s="28" t="n">
        <v>0</v>
      </c>
      <c r="P1147" s="30" t="n">
        <f>IF(AND(ISNUMBER(L1147),L1147&gt;0,COUNT(M1147:O1147)=3,MIN(M1147:O1147)&gt;=0),SUM(M1147:O1147)/L1147,"")</f>
        <v>300.54674985265274</v>
      </c>
      <c r="Q1147" s="16" t="str">
        <v>沿用同SPU原计划店铺</v>
      </c>
      <c r="R1147" s="16" t="str">
        <v>已匹配</v>
      </c>
      <c r="S1147" s="16" t="str">
        <v>在售</v>
      </c>
      <c r="T1147" s="16" t="str">
        <v>S02a</v>
      </c>
      <c r="U1147" s="16" t="str">
        <v>驼色</v>
      </c>
      <c r="V1147" s="16" t="n">
        <v>6.5</v>
      </c>
      <c r="W1147" s="8" t="str">
        <v>2026-10-11 至 2026-10-17</v>
      </c>
      <c r="X1147" s="8" t="str">
        <v>2026-10-11、2026-10-12、2026-10-13、2026-10-14、2026-10-15、2026-10-16、2026-10-17</v>
      </c>
      <c r="Y1147" s="8" t="str">
        <v>无</v>
      </c>
      <c r="Z1147" s="8" t="n">
        <v>0</v>
      </c>
      <c r="AA1147" s="8" t="n">
        <v>0</v>
      </c>
      <c r="AB1147" s="8" t="n">
        <v>7</v>
      </c>
      <c r="AC1147" s="8" t="str">
        <v>2026-10-02 至 2026-10-17</v>
      </c>
      <c r="AD1147" s="8" t="str">
        <v>2026-10-02、2026-10-03、2026-10-04、2026-10-05、2026-10-08、2026-10-09、2026-10-10、2026-10-11、2026-10-12、2026-10-13、2026-10-14、2026-10-15、2026-10-16、2026-10-17</v>
      </c>
      <c r="AE1147" s="8" t="str">
        <v>2026-10-06 大促；2026-10-07 大促</v>
      </c>
      <c r="AF1147" s="8" t="n">
        <v>3</v>
      </c>
      <c r="AG1147" s="8" t="n">
        <v>2</v>
      </c>
      <c r="AH1147" s="8" t="n">
        <v>14</v>
      </c>
      <c r="AI1147" s="8" t="str">
        <v>2026-09-16 至 2026-10-17</v>
      </c>
      <c r="AJ114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7" s="8" t="str">
        <v>2026-10-06 大促；2026-10-07 大促</v>
      </c>
      <c r="AL1147" s="8" t="n">
        <v>3</v>
      </c>
      <c r="AM1147" s="8" t="n">
        <v>2</v>
      </c>
      <c r="AN1147" s="8" t="n">
        <v>30</v>
      </c>
      <c r="AO1147" s="8" t="str">
        <v>S02a / 驼色 / 6574</v>
      </c>
      <c r="AP1147" s="11" t="n">
        <v>0.7647664488148722</v>
      </c>
      <c r="AQ1147" s="11" t="n">
        <v>0.7647664488148722</v>
      </c>
      <c r="AR1147" s="11" t="n">
        <v>0.8066052567225582</v>
      </c>
      <c r="AS1147" s="11" t="n">
        <f>IF(AND(COUNT(I1147:K1147,AP1147:AR1147)=6,MIN(AP1147:AR1147)&gt;0),I1147/7/AP1147*0.5+J1147/14/AQ1147*0.3+K1147/30/AR1147*0.2,"")</f>
        <v>0.03628485080782716</v>
      </c>
      <c r="AT1147" s="8" t="n">
        <v>3</v>
      </c>
      <c r="AU1147" s="8" t="n">
        <v>2</v>
      </c>
      <c r="AV1147" s="8" t="n">
        <v>88</v>
      </c>
      <c r="AW1147" s="11" t="n">
        <f>IF(AND(COUNT(AT1147:AV1147)=3,AT1147&gt;=AU1147,AU1147&gt;=0,AV1147&gt;0),(AT1147-AU1147)/AV1147,"")</f>
        <v>0.011363636363636364</v>
      </c>
      <c r="AX1147" s="8" t="n">
        <v>8</v>
      </c>
      <c r="AY1147" s="8" t="n">
        <v>2</v>
      </c>
      <c r="AZ1147" s="8" t="n">
        <v>178</v>
      </c>
      <c r="BA1147" s="11" t="n">
        <f>IF(AND(COUNT(AX1147:AZ1147)=3,AX1147&gt;=AY1147,AY1147&gt;=0,AZ1147&gt;0),(AX1147-AY1147)/AZ1147,"")</f>
        <v>0.033707865168539325</v>
      </c>
      <c r="BB1147" s="8" t="n">
        <f>IF(COUNT(AS1147,AW1147,BA1147)=3,1,0)</f>
        <v>1</v>
      </c>
      <c r="BC1147" s="11" t="n">
        <f>IF(SUMIF($AO$11:$AO$1309,AO1147,$BB$11:$BB$1309)=COUNTIF($AO$11:$AO$1309,AO1147),SUMIF($AO$11:$AO$1309,AO1147,$AS$11:$AS$1309),"")</f>
        <v>4.646128546626029</v>
      </c>
      <c r="BD1147" s="11" t="n">
        <f>IF(SUMIF($AO$11:$AO$1309,AO1147,$BB$11:$BB$1309)=COUNTIF($AO$11:$AO$1309,AO1147),SUMIF($AO$11:$AO$1309,AO1147,$AW$11:$AW$1309),"")</f>
        <v>1.9772727272727275</v>
      </c>
      <c r="BE1147" s="11" t="n">
        <f>IF(SUMIF($AO$11:$AO$1309,AO1147,$BB$11:$BB$1309)=COUNTIF($AO$11:$AO$1309,AO1147),SUMIF($AO$11:$AO$1309,AO1147,$BA$11:$BA$1309),"")</f>
        <v>1.6629213483146066</v>
      </c>
      <c r="BF1147" s="12" t="n">
        <f>IF(COUNT(BD1147:BE1147)&lt;&gt;2,"",IF(AND(BD1147&gt;0,BE1147&gt;0),0.7*AW1147/BD1147+0.3*BA1147/BE1147,IF(BD1147&gt;0,AW1147/BD1147,IF(BE1147&gt;0,BA1147/BE1147,IF(AND(ISNUMBER(BH1147),BH1147=0),0,"")))))</f>
        <v>0.010104069586828208</v>
      </c>
      <c r="BG1147" s="11" t="n">
        <f>IF(AND(COUNT(BN1147:BU1147)=8,MIN(BN1147:BU1147)&gt;=0),SUMPRODUCT(BN1147:BQ1147,BR1147:BU1147),"")</f>
        <v>114.81944114457707</v>
      </c>
      <c r="BH1147" s="11" t="n">
        <f>IF(COUNT(BC1147,BG1147)=2,BC1147*BG1147,"")</f>
        <v>533.4658832094667</v>
      </c>
      <c r="BI1147" s="11" t="n">
        <f>IF(ISNUMBER(CI1147),CI1147,"")</f>
        <v>5.390176406147222</v>
      </c>
      <c r="BJ1147" s="8" t="str"/>
      <c r="BK1147" s="8" t="str">
        <v>90天：2026-07-20 至 2026-10-17；180天：2026-04-21 至 2026-10-17</v>
      </c>
      <c r="BL1147" s="8" t="str">
        <v>90天：2026-10-06、2026-10-07；180天：2026-10-06、2026-10-07</v>
      </c>
      <c r="BM1147" s="8" t="str">
        <v>2026-10：12天 × 0.7647664488148722；2026-11：30天 × 1.5248287781391903；2026-12：31天 × 1.2288250057360348；2027-01：17天 × 1.2825767786356366</v>
      </c>
      <c r="BN1147" s="11" t="n">
        <v>0.7647664488148722</v>
      </c>
      <c r="BO1147" s="11" t="n">
        <v>1.5248287781391903</v>
      </c>
      <c r="BP1147" s="11" t="n">
        <v>1.2288250057360348</v>
      </c>
      <c r="BQ1147" s="11" t="n">
        <v>1.2825767786356366</v>
      </c>
      <c r="BR1147" s="8" t="n">
        <v>12</v>
      </c>
      <c r="BS1147" s="8" t="n">
        <v>30</v>
      </c>
      <c r="BT1147" s="8" t="n">
        <v>31</v>
      </c>
      <c r="BU1147" s="8" t="n">
        <v>17</v>
      </c>
      <c r="BV1147" s="11" t="n">
        <f>IF(COUNT(BC1147,BF1147)=2,BC1147*BF1147,"")</f>
        <v>0.0469448061444584</v>
      </c>
      <c r="BW1147" s="11" t="n">
        <f>IF(ISNUMBER(BN1147),BN1147,"")</f>
        <v>0.7647664488148722</v>
      </c>
      <c r="BX1147" s="14" t="n">
        <f>IF(ISNUMBER(BR1147),BR1147,"")</f>
        <v>12</v>
      </c>
      <c r="BY1147" s="13" t="n">
        <f>IF(AND(COUNT(BV1147,BW1147,BX1147)=3,MIN(BV1147,BW1147,BX1147)&gt;=0),BV1147*BW1147*BX1147,"")</f>
        <v>0.43082175222480057</v>
      </c>
      <c r="BZ1147" s="11" t="n">
        <f>IF(ISNUMBER(BO1147),BO1147,"")</f>
        <v>1.5248287781391903</v>
      </c>
      <c r="CA1147" s="14" t="n">
        <f>IF(ISNUMBER(BS1147),BS1147,"")</f>
        <v>30</v>
      </c>
      <c r="CB1147" s="13" t="n">
        <f>IF(AND(COUNT(BV1147,BZ1147,CA1147)=3,MIN(BV1147,BZ1147,CA1147)&gt;=0),BV1147*BZ1147*CA1147,"")</f>
        <v>2.14748374179707</v>
      </c>
      <c r="CC1147" s="11" t="n">
        <f>IF(ISNUMBER(BP1147),BP1147,"")</f>
        <v>1.2288250057360348</v>
      </c>
      <c r="CD1147" s="14" t="n">
        <f>IF(ISNUMBER(BT1147),BT1147,"")</f>
        <v>31</v>
      </c>
      <c r="CE1147" s="13" t="n">
        <f>IF(AND(COUNT(BV1147,CC1147,CD1147)=3,MIN(BV1147,CC1147,CD1147)&gt;=0),BV1147*CC1147*CD1147,"")</f>
        <v>1.7882955020719753</v>
      </c>
      <c r="CF1147" s="11" t="n">
        <f>IF(ISNUMBER(BQ1147),BQ1147,"")</f>
        <v>1.2825767786356366</v>
      </c>
      <c r="CG1147" s="14" t="n">
        <f>IF(ISNUMBER(BU1147),BU1147,"")</f>
        <v>17</v>
      </c>
      <c r="CH1147" s="13" t="n">
        <f>IF(AND(COUNT(BV1147,CF1147,CG1147)=3,MIN(BV1147,CF1147,CG1147)&gt;=0),BV1147*CF1147*CG1147,"")</f>
        <v>1.0235754100533763</v>
      </c>
      <c r="CI1147" s="13" t="n">
        <f>IF(COUNT(BY1147,CB1147,CE1147,CH1147)=4,SUM(BY1147,CB1147,CE1147,CH1147),"")</f>
        <v>5.390176406147222</v>
      </c>
    </row>
    <row r="1148" ht="72" customHeight="1">
      <c r="A1148" s="16" t="str">
        <v>S02a-TN1-38</v>
      </c>
      <c r="B1148" s="16" t="str">
        <v>3店-SANDIEX-US</v>
      </c>
      <c r="C1148" s="16" t="str">
        <v>陈晨</v>
      </c>
      <c r="D1148" s="26" t="n">
        <f>IF(NOT(ISNUMBER(E1148)),"",IF(OR(E1148&lt;=0,L1148=0),0,IF(OR(NOT(ISNUMBER(F1148)),F1148&lt;0),"",MIN(E1148,INT(F1148)))))</f>
        <v>0</v>
      </c>
      <c r="E1148" s="27" t="n">
        <f>IF(OR(NOT(ISNUMBER(L1148)),COUNT(M1148:O1148)&lt;&gt;3,MIN(M1148:O1148)&lt;0),"",ROUNDUP(ROUND(BI1148-SUM(M1148:O1148),10),0))</f>
        <v>-2</v>
      </c>
      <c r="F1148" s="28" t="n">
        <v>103</v>
      </c>
      <c r="G1148" s="28" t="n">
        <f>IF(AND(ISNUMBER(D1148),ISNUMBER(E1148)),IF(OR(E1148&lt;=0,L1148=0),0,E1148-D1148),"")</f>
        <v>0</v>
      </c>
      <c r="H1148" s="16" t="str">
        <f>IF(NOT(ISNUMBER(E1148)),"销量或海外库存待补",IF(OR(E1148&lt;=0,L1148=0),IF(L1148=0,"零日销，本批不发","本批无需补货"),IF(NOT(ISNUMBER(D1148)),"国内库存待补",IF(D1148=0,"国内无可用库存",IF(G1148&gt;0,"先发国内现货","按建议量发货")))))</f>
        <v>本批无需补货</v>
      </c>
      <c r="I1148" s="28" t="n">
        <f>IF(AND(COUNT(Z1148,AA1148,AB1148)=3,Z1148&gt;=AA1148,AA1148&gt;=0,AB1148=7),Z1148-AA1148,"")</f>
        <v>1</v>
      </c>
      <c r="J1148" s="28" t="n">
        <f>IF(AND(COUNT(AF1148,AG1148,AH1148)=3,AF1148&gt;=AG1148,AG1148&gt;=0,AH1148=14),AF1148-AG1148,"")</f>
        <v>3</v>
      </c>
      <c r="K1148" s="28" t="n">
        <f>IF(AND(COUNT(AL1148,AM1148,AN1148)=3,AL1148&gt;=AM1148,AM1148&gt;=0,AN1148=30),AL1148-AM1148,"")</f>
        <v>3</v>
      </c>
      <c r="L1148" s="29" t="n">
        <f>IF(ISNUMBER(BI1148),BI1148/90,"")</f>
        <v>0.34058604612588794</v>
      </c>
      <c r="M1148" s="28" t="n">
        <v>32</v>
      </c>
      <c r="N1148" s="28" t="n">
        <v>0</v>
      </c>
      <c r="O1148" s="28" t="n">
        <v>0</v>
      </c>
      <c r="P1148" s="30" t="n">
        <f>IF(AND(ISNUMBER(L1148),L1148&gt;0,COUNT(M1148:O1148)=3,MIN(M1148:O1148)&gt;=0),SUM(M1148:O1148)/L1148,"")</f>
        <v>93.95569890192186</v>
      </c>
      <c r="Q1148" s="16" t="str">
        <v>沿用同SPU原计划店铺</v>
      </c>
      <c r="R1148" s="16" t="str">
        <v>已匹配</v>
      </c>
      <c r="S1148" s="16" t="str">
        <v>在售</v>
      </c>
      <c r="T1148" s="16" t="str">
        <v>S02a</v>
      </c>
      <c r="U1148" s="16" t="str">
        <v>驼色</v>
      </c>
      <c r="V1148" s="16" t="n">
        <v>7.5</v>
      </c>
      <c r="W1148" s="8" t="str">
        <v>2026-10-11 至 2026-10-17</v>
      </c>
      <c r="X1148" s="8" t="str">
        <v>2026-10-11、2026-10-12、2026-10-13、2026-10-14、2026-10-15、2026-10-16、2026-10-17</v>
      </c>
      <c r="Y1148" s="8" t="str">
        <v>无</v>
      </c>
      <c r="Z1148" s="8" t="n">
        <v>1</v>
      </c>
      <c r="AA1148" s="8" t="n">
        <v>0</v>
      </c>
      <c r="AB1148" s="8" t="n">
        <v>7</v>
      </c>
      <c r="AC1148" s="8" t="str">
        <v>2026-10-02 至 2026-10-17</v>
      </c>
      <c r="AD1148" s="8" t="str">
        <v>2026-10-02、2026-10-03、2026-10-04、2026-10-05、2026-10-08、2026-10-09、2026-10-10、2026-10-11、2026-10-12、2026-10-13、2026-10-14、2026-10-15、2026-10-16、2026-10-17</v>
      </c>
      <c r="AE1148" s="8" t="str">
        <v>2026-10-06 大促；2026-10-07 大促</v>
      </c>
      <c r="AF1148" s="8" t="n">
        <v>4</v>
      </c>
      <c r="AG1148" s="8" t="n">
        <v>1</v>
      </c>
      <c r="AH1148" s="8" t="n">
        <v>14</v>
      </c>
      <c r="AI1148" s="8" t="str">
        <v>2026-09-16 至 2026-10-17</v>
      </c>
      <c r="AJ114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8" s="8" t="str">
        <v>2026-10-06 大促；2026-10-07 大促</v>
      </c>
      <c r="AL1148" s="8" t="n">
        <v>4</v>
      </c>
      <c r="AM1148" s="8" t="n">
        <v>1</v>
      </c>
      <c r="AN1148" s="8" t="n">
        <v>30</v>
      </c>
      <c r="AO1148" s="8" t="str">
        <v>S02a / 驼色 / 6574</v>
      </c>
      <c r="AP1148" s="11" t="n">
        <v>0.7647664488148722</v>
      </c>
      <c r="AQ1148" s="11" t="n">
        <v>0.7647664488148722</v>
      </c>
      <c r="AR1148" s="11" t="n">
        <v>0.8066052567225582</v>
      </c>
      <c r="AS1148" s="11" t="n">
        <f>IF(AND(COUNT(I1148:K1148,AP1148:AR1148)=6,MIN(AP1148:AR1148)&gt;0),I1148/7/AP1148*0.5+J1148/14/AQ1148*0.3+K1148/30/AR1148*0.2,"")</f>
        <v>0.20225374839927435</v>
      </c>
      <c r="AT1148" s="8" t="n">
        <v>11</v>
      </c>
      <c r="AU1148" s="8" t="n">
        <v>1</v>
      </c>
      <c r="AV1148" s="8" t="n">
        <v>88</v>
      </c>
      <c r="AW1148" s="11" t="n">
        <f>IF(AND(COUNT(AT1148:AV1148)=3,AT1148&gt;=AU1148,AU1148&gt;=0,AV1148&gt;0),(AT1148-AU1148)/AV1148,"")</f>
        <v>0.11363636363636363</v>
      </c>
      <c r="AX1148" s="8" t="n">
        <v>18</v>
      </c>
      <c r="AY1148" s="8" t="n">
        <v>1</v>
      </c>
      <c r="AZ1148" s="8" t="n">
        <v>178</v>
      </c>
      <c r="BA1148" s="11" t="n">
        <f>IF(AND(COUNT(AX1148:AZ1148)=3,AX1148&gt;=AY1148,AY1148&gt;=0,AZ1148&gt;0),(AX1148-AY1148)/AZ1148,"")</f>
        <v>0.09550561797752809</v>
      </c>
      <c r="BB1148" s="8" t="n">
        <f>IF(COUNT(AS1148,AW1148,BA1148)=3,1,0)</f>
        <v>1</v>
      </c>
      <c r="BC1148" s="11" t="n">
        <f>IF(SUMIF($AO$11:$AO$1309,AO1148,$BB$11:$BB$1309)=COUNTIF($AO$11:$AO$1309,AO1148),SUMIF($AO$11:$AO$1309,AO1148,$AS$11:$AS$1309),"")</f>
        <v>4.646128546626029</v>
      </c>
      <c r="BD1148" s="11" t="n">
        <f>IF(SUMIF($AO$11:$AO$1309,AO1148,$BB$11:$BB$1309)=COUNTIF($AO$11:$AO$1309,AO1148),SUMIF($AO$11:$AO$1309,AO1148,$AW$11:$AW$1309),"")</f>
        <v>1.9772727272727275</v>
      </c>
      <c r="BE1148" s="11" t="n">
        <f>IF(SUMIF($AO$11:$AO$1309,AO1148,$BB$11:$BB$1309)=COUNTIF($AO$11:$AO$1309,AO1148),SUMIF($AO$11:$AO$1309,AO1148,$BA$11:$BA$1309),"")</f>
        <v>1.6629213483146066</v>
      </c>
      <c r="BF1148" s="12" t="n">
        <f>IF(COUNT(BD1148:BE1148)&lt;&gt;2,"",IF(AND(BD1148&gt;0,BE1148&gt;0),0.7*AW1148/BD1148+0.3*BA1148/BE1148,IF(BD1148&gt;0,AW1148/BD1148,IF(BE1148&gt;0,BA1148/BE1148,IF(AND(ISNUMBER(BH1148),BH1148=0),0,"")))))</f>
        <v>0.05745961478720099</v>
      </c>
      <c r="BG1148" s="11" t="n">
        <f>IF(AND(COUNT(BN1148:BU1148)=8,MIN(BN1148:BU1148)&gt;=0),SUMPRODUCT(BN1148:BQ1148,BR1148:BU1148),"")</f>
        <v>114.81944114457707</v>
      </c>
      <c r="BH1148" s="11" t="n">
        <f>IF(COUNT(BC1148,BG1148)=2,BC1148*BG1148,"")</f>
        <v>533.4658832094667</v>
      </c>
      <c r="BI1148" s="11" t="n">
        <f>IF(ISNUMBER(CI1148),CI1148,"")</f>
        <v>30.652744151329912</v>
      </c>
      <c r="BJ1148" s="8" t="str"/>
      <c r="BK1148" s="8" t="str">
        <v>90天：2026-07-20 至 2026-10-17；180天：2026-04-21 至 2026-10-17</v>
      </c>
      <c r="BL1148" s="8" t="str">
        <v>90天：2026-10-06、2026-10-07；180天：2026-10-06、2026-10-07</v>
      </c>
      <c r="BM1148" s="8" t="str">
        <v>2026-10：12天 × 0.7647664488148722；2026-11：30天 × 1.5248287781391903；2026-12：31天 × 1.2288250057360348；2027-01：17天 × 1.2825767786356366</v>
      </c>
      <c r="BN1148" s="11" t="n">
        <v>0.7647664488148722</v>
      </c>
      <c r="BO1148" s="11" t="n">
        <v>1.5248287781391903</v>
      </c>
      <c r="BP1148" s="11" t="n">
        <v>1.2288250057360348</v>
      </c>
      <c r="BQ1148" s="11" t="n">
        <v>1.2825767786356366</v>
      </c>
      <c r="BR1148" s="8" t="n">
        <v>12</v>
      </c>
      <c r="BS1148" s="8" t="n">
        <v>30</v>
      </c>
      <c r="BT1148" s="8" t="n">
        <v>31</v>
      </c>
      <c r="BU1148" s="8" t="n">
        <v>17</v>
      </c>
      <c r="BV1148" s="11" t="n">
        <f>IF(COUNT(BC1148,BF1148)=2,BC1148*BF1148,"")</f>
        <v>0.26696475654094964</v>
      </c>
      <c r="BW1148" s="11" t="n">
        <f>IF(ISNUMBER(BN1148),BN1148,"")</f>
        <v>0.7647664488148722</v>
      </c>
      <c r="BX1148" s="14" t="n">
        <f>IF(ISNUMBER(BR1148),BR1148,"")</f>
        <v>12</v>
      </c>
      <c r="BY1148" s="13" t="n">
        <f>IF(AND(COUNT(BV1148,BW1148,BX1148)=3,MIN(BV1148,BW1148,BX1148)&gt;=0),BV1148*BW1148*BX1148,"")</f>
        <v>2.4499882658225878</v>
      </c>
      <c r="BZ1148" s="11" t="n">
        <f>IF(ISNUMBER(BO1148),BO1148,"")</f>
        <v>1.5248287781391903</v>
      </c>
      <c r="CA1148" s="14" t="n">
        <f>IF(ISNUMBER(BS1148),BS1148,"")</f>
        <v>30</v>
      </c>
      <c r="CB1148" s="13" t="n">
        <f>IF(AND(COUNT(BV1148,BZ1148,CA1148)=3,MIN(BV1148,BZ1148,CA1148)&gt;=0),BV1148*BZ1148*CA1148,"")</f>
        <v>12.212266305676879</v>
      </c>
      <c r="CC1148" s="11" t="n">
        <f>IF(ISNUMBER(BP1148),BP1148,"")</f>
        <v>1.2288250057360348</v>
      </c>
      <c r="CD1148" s="14" t="n">
        <f>IF(ISNUMBER(BT1148),BT1148,"")</f>
        <v>31</v>
      </c>
      <c r="CE1148" s="13" t="n">
        <f>IF(AND(COUNT(BV1148,CC1148,CD1148)=3,MIN(BV1148,CC1148,CD1148)&gt;=0),BV1148*CC1148*CD1148,"")</f>
        <v>10.169642023120298</v>
      </c>
      <c r="CF1148" s="11" t="n">
        <f>IF(ISNUMBER(BQ1148),BQ1148,"")</f>
        <v>1.2825767786356366</v>
      </c>
      <c r="CG1148" s="14" t="n">
        <f>IF(ISNUMBER(BU1148),BU1148,"")</f>
        <v>17</v>
      </c>
      <c r="CH1148" s="13" t="n">
        <f>IF(AND(COUNT(BV1148,CF1148,CG1148)=3,MIN(BV1148,CF1148,CG1148)&gt;=0),BV1148*CF1148*CG1148,"")</f>
        <v>5.820847556710149</v>
      </c>
      <c r="CI1148" s="13" t="n">
        <f>IF(COUNT(BY1148,CB1148,CE1148,CH1148)=4,SUM(BY1148,CB1148,CE1148,CH1148),"")</f>
        <v>30.652744151329912</v>
      </c>
    </row>
    <row r="1149" ht="72" customHeight="1">
      <c r="A1149" s="16" t="str">
        <v>S02a-WT-37</v>
      </c>
      <c r="B1149" s="16" t="str">
        <v>3店-SANDIEX-US</v>
      </c>
      <c r="C1149" s="16" t="str">
        <v>陈晨</v>
      </c>
      <c r="D1149" s="26" t="n">
        <f>IF(NOT(ISNUMBER(E1149)),"",IF(OR(E1149&lt;=0,L1149=0),0,IF(OR(NOT(ISNUMBER(F1149)),F1149&lt;0),"",MIN(E1149,INT(F1149)))))</f>
        <v>0</v>
      </c>
      <c r="E1149" s="27" t="n">
        <f>IF(OR(NOT(ISNUMBER(L1149)),COUNT(M1149:O1149)&lt;&gt;3,MIN(M1149:O1149)&lt;0),"",ROUNDUP(ROUND(BI1149-SUM(M1149:O1149),10),0))</f>
        <v>-17</v>
      </c>
      <c r="F1149" s="28" t="n">
        <v>10</v>
      </c>
      <c r="G1149" s="28" t="n">
        <f>IF(AND(ISNUMBER(D1149),ISNUMBER(E1149)),IF(OR(E1149&lt;=0,L1149=0),0,E1149-D1149),"")</f>
        <v>0</v>
      </c>
      <c r="H1149" s="16" t="str">
        <f>IF(NOT(ISNUMBER(E1149)),"销量或海外库存待补",IF(OR(E1149&lt;=0,L1149=0),IF(L1149=0,"零日销，本批不发","本批无需补货"),IF(NOT(ISNUMBER(D1149)),"国内库存待补",IF(D1149=0,"国内无可用库存",IF(G1149&gt;0,"先发国内现货","按建议量发货")))))</f>
        <v>零日销，本批不发</v>
      </c>
      <c r="I1149" s="28" t="n">
        <f>IF(AND(COUNT(Z1149,AA1149,AB1149)=3,Z1149&gt;=AA1149,AA1149&gt;=0,AB1149=7),Z1149-AA1149,"")</f>
        <v>0</v>
      </c>
      <c r="J1149" s="28" t="n">
        <f>IF(AND(COUNT(AF1149,AG1149,AH1149)=3,AF1149&gt;=AG1149,AG1149&gt;=0,AH1149=14),AF1149-AG1149,"")</f>
        <v>0</v>
      </c>
      <c r="K1149" s="28" t="n">
        <f>IF(AND(COUNT(AL1149,AM1149,AN1149)=3,AL1149&gt;=AM1149,AM1149&gt;=0,AN1149=30),AL1149-AM1149,"")</f>
        <v>0</v>
      </c>
      <c r="L1149" s="29" t="n">
        <f>IF(ISNUMBER(BI1149),BI1149/90,"")</f>
        <v>0</v>
      </c>
      <c r="M1149" s="28" t="n">
        <v>17</v>
      </c>
      <c r="N1149" s="28" t="n">
        <v>0</v>
      </c>
      <c r="O1149" s="28" t="n">
        <v>0</v>
      </c>
      <c r="P1149" s="30" t="str">
        <f>IF(AND(ISNUMBER(L1149),L1149&gt;0,COUNT(M1149:O1149)=3,MIN(M1149:O1149)&gt;=0),SUM(M1149:O1149)/L1149,"")</f>
      </c>
      <c r="Q1149" s="16" t="str">
        <v>沿用原计划SKU店铺</v>
      </c>
      <c r="R1149" s="16" t="str">
        <v>已匹配</v>
      </c>
      <c r="S1149" s="16" t="str">
        <v>在售</v>
      </c>
      <c r="T1149" s="16" t="str">
        <v>S02a</v>
      </c>
      <c r="U1149" s="16" t="str">
        <v>白色PU</v>
      </c>
      <c r="V1149" s="16" t="n">
        <v>6</v>
      </c>
      <c r="W1149" s="8" t="str">
        <v>2026-10-11 至 2026-10-17</v>
      </c>
      <c r="X1149" s="8" t="str">
        <v>2026-10-11、2026-10-12、2026-10-13、2026-10-14、2026-10-15、2026-10-16、2026-10-17</v>
      </c>
      <c r="Y1149" s="8" t="str">
        <v>无</v>
      </c>
      <c r="Z1149" s="8" t="n">
        <v>0</v>
      </c>
      <c r="AA1149" s="8" t="n">
        <v>0</v>
      </c>
      <c r="AB1149" s="8" t="n">
        <v>7</v>
      </c>
      <c r="AC1149" s="8" t="str">
        <v>2026-10-02 至 2026-10-17</v>
      </c>
      <c r="AD1149" s="8" t="str">
        <v>2026-10-02、2026-10-03、2026-10-04、2026-10-05、2026-10-08、2026-10-09、2026-10-10、2026-10-11、2026-10-12、2026-10-13、2026-10-14、2026-10-15、2026-10-16、2026-10-17</v>
      </c>
      <c r="AE1149" s="8" t="str">
        <v>2026-10-06 大促；2026-10-07 大促</v>
      </c>
      <c r="AF1149" s="8" t="n">
        <v>0</v>
      </c>
      <c r="AG1149" s="8" t="n">
        <v>0</v>
      </c>
      <c r="AH1149" s="8" t="n">
        <v>14</v>
      </c>
      <c r="AI1149" s="8" t="str">
        <v>2026-09-16 至 2026-10-17</v>
      </c>
      <c r="AJ114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49" s="8" t="str">
        <v>2026-10-06 大促；2026-10-07 大促</v>
      </c>
      <c r="AL1149" s="8" t="n">
        <v>0</v>
      </c>
      <c r="AM1149" s="8" t="n">
        <v>0</v>
      </c>
      <c r="AN1149" s="8" t="n">
        <v>30</v>
      </c>
      <c r="AO1149" s="8" t="str">
        <v>S02a / 白色 / 6574</v>
      </c>
      <c r="AP1149" s="11" t="n">
        <v>0.7647664488148722</v>
      </c>
      <c r="AQ1149" s="11" t="n">
        <v>0.7647664488148722</v>
      </c>
      <c r="AR1149" s="11" t="n">
        <v>0.8066052567225582</v>
      </c>
      <c r="AS1149" s="11" t="n">
        <f>IF(AND(COUNT(I1149:K1149,AP1149:AR1149)=6,MIN(AP1149:AR1149)&gt;0),I1149/7/AP1149*0.5+J1149/14/AQ1149*0.3+K1149/30/AR1149*0.2,"")</f>
        <v>0</v>
      </c>
      <c r="AT1149" s="8" t="n">
        <v>0</v>
      </c>
      <c r="AU1149" s="8" t="n">
        <v>0</v>
      </c>
      <c r="AV1149" s="8" t="n">
        <v>88</v>
      </c>
      <c r="AW1149" s="11" t="n">
        <f>IF(AND(COUNT(AT1149:AV1149)=3,AT1149&gt;=AU1149,AU1149&gt;=0,AV1149&gt;0),(AT1149-AU1149)/AV1149,"")</f>
        <v>0</v>
      </c>
      <c r="AX1149" s="8" t="n">
        <v>0</v>
      </c>
      <c r="AY1149" s="8" t="n">
        <v>0</v>
      </c>
      <c r="AZ1149" s="8" t="n">
        <v>178</v>
      </c>
      <c r="BA1149" s="11" t="n">
        <f>IF(AND(COUNT(AX1149:AZ1149)=3,AX1149&gt;=AY1149,AY1149&gt;=0,AZ1149&gt;0),(AX1149-AY1149)/AZ1149,"")</f>
        <v>0</v>
      </c>
      <c r="BB1149" s="8" t="n">
        <f>IF(COUNT(AS1149,AW1149,BA1149)=3,1,0)</f>
        <v>1</v>
      </c>
      <c r="BC1149" s="11" t="n">
        <f>IF(SUMIF($AO$11:$AO$1309,AO1149,$BB$11:$BB$1309)=COUNTIF($AO$11:$AO$1309,AO1149),SUMIF($AO$11:$AO$1309,AO1149,$AS$11:$AS$1309),"")</f>
        <v>0.008265092015089294</v>
      </c>
      <c r="BD1149" s="11" t="n">
        <f>IF(SUMIF($AO$11:$AO$1309,AO1149,$BB$11:$BB$1309)=COUNTIF($AO$11:$AO$1309,AO1149),SUMIF($AO$11:$AO$1309,AO1149,$AW$11:$AW$1309),"")</f>
        <v>0.06818181818181818</v>
      </c>
      <c r="BE1149" s="11" t="n">
        <f>IF(SUMIF($AO$11:$AO$1309,AO1149,$BB$11:$BB$1309)=COUNTIF($AO$11:$AO$1309,AO1149),SUMIF($AO$11:$AO$1309,AO1149,$BA$11:$BA$1309),"")</f>
        <v>0.20224719101123595</v>
      </c>
      <c r="BF1149" s="12" t="n">
        <f>IF(COUNT(BD1149:BE1149)&lt;&gt;2,"",IF(AND(BD1149&gt;0,BE1149&gt;0),0.7*AW1149/BD1149+0.3*BA1149/BE1149,IF(BD1149&gt;0,AW1149/BD1149,IF(BE1149&gt;0,BA1149/BE1149,IF(AND(ISNUMBER(BH1149),BH1149=0),0,"")))))</f>
        <v>0</v>
      </c>
      <c r="BG1149" s="11" t="n">
        <f>IF(AND(COUNT(BN1149:BU1149)=8,MIN(BN1149:BU1149)&gt;=0),SUMPRODUCT(BN1149:BQ1149,BR1149:BU1149),"")</f>
        <v>114.81944114457707</v>
      </c>
      <c r="BH1149" s="11" t="n">
        <f>IF(COUNT(BC1149,BG1149)=2,BC1149*BG1149,"")</f>
        <v>0.9489932461810591</v>
      </c>
      <c r="BI1149" s="11" t="n">
        <f>IF(ISNUMBER(CI1149),CI1149,"")</f>
        <v>0</v>
      </c>
      <c r="BJ1149" s="8" t="str">
        <v>近180天本色销量41双（＜90），无有效新采购，请运营判断</v>
      </c>
      <c r="BK1149" s="8" t="str">
        <v>90天：2026-07-20 至 2026-10-17；180天：2026-04-21 至 2026-10-17</v>
      </c>
      <c r="BL1149" s="8" t="str">
        <v>90天：2026-10-06、2026-10-07；180天：2026-10-06、2026-10-07</v>
      </c>
      <c r="BM1149" s="8" t="str">
        <v>2026-10：12天 × 0.7647664488148722；2026-11：30天 × 1.5248287781391903；2026-12：31天 × 1.2288250057360348；2027-01：17天 × 1.2825767786356366</v>
      </c>
      <c r="BN1149" s="11" t="n">
        <v>0.7647664488148722</v>
      </c>
      <c r="BO1149" s="11" t="n">
        <v>1.5248287781391903</v>
      </c>
      <c r="BP1149" s="11" t="n">
        <v>1.2288250057360348</v>
      </c>
      <c r="BQ1149" s="11" t="n">
        <v>1.2825767786356366</v>
      </c>
      <c r="BR1149" s="8" t="n">
        <v>12</v>
      </c>
      <c r="BS1149" s="8" t="n">
        <v>30</v>
      </c>
      <c r="BT1149" s="8" t="n">
        <v>31</v>
      </c>
      <c r="BU1149" s="8" t="n">
        <v>17</v>
      </c>
      <c r="BV1149" s="11" t="n">
        <f>IF(COUNT(BC1149,BF1149)=2,BC1149*BF1149,"")</f>
        <v>0</v>
      </c>
      <c r="BW1149" s="11" t="n">
        <f>IF(ISNUMBER(BN1149),BN1149,"")</f>
        <v>0.7647664488148722</v>
      </c>
      <c r="BX1149" s="14" t="n">
        <f>IF(ISNUMBER(BR1149),BR1149,"")</f>
        <v>12</v>
      </c>
      <c r="BY1149" s="13" t="n">
        <f>IF(AND(COUNT(BV1149,BW1149,BX1149)=3,MIN(BV1149,BW1149,BX1149)&gt;=0),BV1149*BW1149*BX1149,"")</f>
        <v>0</v>
      </c>
      <c r="BZ1149" s="11" t="n">
        <f>IF(ISNUMBER(BO1149),BO1149,"")</f>
        <v>1.5248287781391903</v>
      </c>
      <c r="CA1149" s="14" t="n">
        <f>IF(ISNUMBER(BS1149),BS1149,"")</f>
        <v>30</v>
      </c>
      <c r="CB1149" s="13" t="n">
        <f>IF(AND(COUNT(BV1149,BZ1149,CA1149)=3,MIN(BV1149,BZ1149,CA1149)&gt;=0),BV1149*BZ1149*CA1149,"")</f>
        <v>0</v>
      </c>
      <c r="CC1149" s="11" t="n">
        <f>IF(ISNUMBER(BP1149),BP1149,"")</f>
        <v>1.2288250057360348</v>
      </c>
      <c r="CD1149" s="14" t="n">
        <f>IF(ISNUMBER(BT1149),BT1149,"")</f>
        <v>31</v>
      </c>
      <c r="CE1149" s="13" t="n">
        <f>IF(AND(COUNT(BV1149,CC1149,CD1149)=3,MIN(BV1149,CC1149,CD1149)&gt;=0),BV1149*CC1149*CD1149,"")</f>
        <v>0</v>
      </c>
      <c r="CF1149" s="11" t="n">
        <f>IF(ISNUMBER(BQ1149),BQ1149,"")</f>
        <v>1.2825767786356366</v>
      </c>
      <c r="CG1149" s="14" t="n">
        <f>IF(ISNUMBER(BU1149),BU1149,"")</f>
        <v>17</v>
      </c>
      <c r="CH1149" s="13" t="n">
        <f>IF(AND(COUNT(BV1149,CF1149,CG1149)=3,MIN(BV1149,CF1149,CG1149)&gt;=0),BV1149*CF1149*CG1149,"")</f>
        <v>0</v>
      </c>
      <c r="CI1149" s="13" t="n">
        <f>IF(COUNT(BY1149,CB1149,CE1149,CH1149)=4,SUM(BY1149,CB1149,CE1149,CH1149),"")</f>
        <v>0</v>
      </c>
    </row>
    <row r="1150" ht="72" customHeight="1">
      <c r="A1150" s="16" t="str">
        <v>S02a-WT-38</v>
      </c>
      <c r="B1150" s="16" t="str">
        <v>3店-SANDIEX-US</v>
      </c>
      <c r="C1150" s="16" t="str">
        <v>陈晨</v>
      </c>
      <c r="D1150" s="26" t="n">
        <f>IF(NOT(ISNUMBER(E1150)),"",IF(OR(E1150&lt;=0,L1150=0),0,IF(OR(NOT(ISNUMBER(F1150)),F1150&lt;0),"",MIN(E1150,INT(F1150)))))</f>
        <v>0</v>
      </c>
      <c r="E1150" s="27" t="n">
        <f>IF(OR(NOT(ISNUMBER(L1150)),COUNT(M1150:O1150)&lt;&gt;3,MIN(M1150:O1150)&lt;0),"",ROUNDUP(ROUND(BI1150-SUM(M1150:O1150),10),0))</f>
        <v>-25</v>
      </c>
      <c r="F1150" s="28" t="n">
        <v>0</v>
      </c>
      <c r="G1150" s="28" t="n">
        <f>IF(AND(ISNUMBER(D1150),ISNUMBER(E1150)),IF(OR(E1150&lt;=0,L1150=0),0,E1150-D1150),"")</f>
        <v>0</v>
      </c>
      <c r="H1150" s="16" t="str">
        <f>IF(NOT(ISNUMBER(E1150)),"销量或海外库存待补",IF(OR(E1150&lt;=0,L1150=0),IF(L1150=0,"零日销，本批不发","本批无需补货"),IF(NOT(ISNUMBER(D1150)),"国内库存待补",IF(D1150=0,"国内无可用库存",IF(G1150&gt;0,"先发国内现货","按建议量发货")))))</f>
        <v>本批无需补货</v>
      </c>
      <c r="I1150" s="28" t="n">
        <f>IF(AND(COUNT(Z1150,AA1150,AB1150)=3,Z1150&gt;=AA1150,AA1150&gt;=0,AB1150=7),Z1150-AA1150,"")</f>
        <v>0</v>
      </c>
      <c r="J1150" s="28" t="n">
        <f>IF(AND(COUNT(AF1150,AG1150,AH1150)=3,AF1150&gt;=AG1150,AG1150&gt;=0,AH1150=14),AF1150-AG1150,"")</f>
        <v>0</v>
      </c>
      <c r="K1150" s="28" t="n">
        <f>IF(AND(COUNT(AL1150,AM1150,AN1150)=3,AL1150&gt;=AM1150,AM1150&gt;=0,AN1150=30),AL1150-AM1150,"")</f>
        <v>0</v>
      </c>
      <c r="L1150" s="29" t="n">
        <f>IF(ISNUMBER(BI1150),BI1150/90,"")</f>
        <v>0.0014937856652850006</v>
      </c>
      <c r="M1150" s="28" t="n">
        <v>10</v>
      </c>
      <c r="N1150" s="28" t="n">
        <v>0</v>
      </c>
      <c r="O1150" s="28" t="n">
        <v>15</v>
      </c>
      <c r="P1150" s="30" t="n">
        <f>IF(AND(ISNUMBER(L1150),L1150&gt;0,COUNT(M1150:O1150)=3,MIN(M1150:O1150)&gt;=0),SUM(M1150:O1150)/L1150,"")</f>
        <v>16736.00207914047</v>
      </c>
      <c r="Q1150" s="16" t="str">
        <v>沿用原计划SKU店铺</v>
      </c>
      <c r="R1150" s="16" t="str">
        <v>已匹配</v>
      </c>
      <c r="S1150" s="16" t="str">
        <v>在售</v>
      </c>
      <c r="T1150" s="16" t="str">
        <v>S02a</v>
      </c>
      <c r="U1150" s="16" t="str">
        <v>白色PU</v>
      </c>
      <c r="V1150" s="16" t="n">
        <v>7</v>
      </c>
      <c r="W1150" s="8" t="str">
        <v>2026-10-11 至 2026-10-17</v>
      </c>
      <c r="X1150" s="8" t="str">
        <v>2026-10-11、2026-10-12、2026-10-13、2026-10-14、2026-10-15、2026-10-16、2026-10-17</v>
      </c>
      <c r="Y1150" s="8" t="str">
        <v>无</v>
      </c>
      <c r="Z1150" s="8" t="n">
        <v>0</v>
      </c>
      <c r="AA1150" s="8" t="n">
        <v>0</v>
      </c>
      <c r="AB1150" s="8" t="n">
        <v>7</v>
      </c>
      <c r="AC1150" s="8" t="str">
        <v>2026-10-02 至 2026-10-17</v>
      </c>
      <c r="AD1150" s="8" t="str">
        <v>2026-10-02、2026-10-03、2026-10-04、2026-10-05、2026-10-08、2026-10-09、2026-10-10、2026-10-11、2026-10-12、2026-10-13、2026-10-14、2026-10-15、2026-10-16、2026-10-17</v>
      </c>
      <c r="AE1150" s="8" t="str">
        <v>2026-10-06 大促；2026-10-07 大促</v>
      </c>
      <c r="AF1150" s="8" t="n">
        <v>0</v>
      </c>
      <c r="AG1150" s="8" t="n">
        <v>0</v>
      </c>
      <c r="AH1150" s="8" t="n">
        <v>14</v>
      </c>
      <c r="AI1150" s="8" t="str">
        <v>2026-09-16 至 2026-10-17</v>
      </c>
      <c r="AJ115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0" s="8" t="str">
        <v>2026-10-06 大促；2026-10-07 大促</v>
      </c>
      <c r="AL1150" s="8" t="n">
        <v>0</v>
      </c>
      <c r="AM1150" s="8" t="n">
        <v>0</v>
      </c>
      <c r="AN1150" s="8" t="n">
        <v>30</v>
      </c>
      <c r="AO1150" s="8" t="str">
        <v>S02a / 白色 / 6574</v>
      </c>
      <c r="AP1150" s="11" t="n">
        <v>0.7647664488148722</v>
      </c>
      <c r="AQ1150" s="11" t="n">
        <v>0.7647664488148722</v>
      </c>
      <c r="AR1150" s="11" t="n">
        <v>0.8066052567225582</v>
      </c>
      <c r="AS1150" s="11" t="n">
        <f>IF(AND(COUNT(I1150:K1150,AP1150:AR1150)=6,MIN(AP1150:AR1150)&gt;0),I1150/7/AP1150*0.5+J1150/14/AQ1150*0.3+K1150/30/AR1150*0.2,"")</f>
        <v>0</v>
      </c>
      <c r="AT1150" s="8" t="n">
        <v>1</v>
      </c>
      <c r="AU1150" s="8" t="n">
        <v>0</v>
      </c>
      <c r="AV1150" s="8" t="n">
        <v>88</v>
      </c>
      <c r="AW1150" s="11" t="n">
        <f>IF(AND(COUNT(AT1150:AV1150)=3,AT1150&gt;=AU1150,AU1150&gt;=0,AV1150&gt;0),(AT1150-AU1150)/AV1150,"")</f>
        <v>0.011363636363636364</v>
      </c>
      <c r="AX1150" s="8" t="n">
        <v>3</v>
      </c>
      <c r="AY1150" s="8" t="n">
        <v>0</v>
      </c>
      <c r="AZ1150" s="8" t="n">
        <v>178</v>
      </c>
      <c r="BA1150" s="11" t="n">
        <f>IF(AND(COUNT(AX1150:AZ1150)=3,AX1150&gt;=AY1150,AY1150&gt;=0,AZ1150&gt;0),(AX1150-AY1150)/AZ1150,"")</f>
        <v>0.016853932584269662</v>
      </c>
      <c r="BB1150" s="8" t="n">
        <f>IF(COUNT(AS1150,AW1150,BA1150)=3,1,0)</f>
        <v>1</v>
      </c>
      <c r="BC1150" s="11" t="n">
        <f>IF(SUMIF($AO$11:$AO$1309,AO1150,$BB$11:$BB$1309)=COUNTIF($AO$11:$AO$1309,AO1150),SUMIF($AO$11:$AO$1309,AO1150,$AS$11:$AS$1309),"")</f>
        <v>0.008265092015089294</v>
      </c>
      <c r="BD1150" s="11" t="n">
        <f>IF(SUMIF($AO$11:$AO$1309,AO1150,$BB$11:$BB$1309)=COUNTIF($AO$11:$AO$1309,AO1150),SUMIF($AO$11:$AO$1309,AO1150,$AW$11:$AW$1309),"")</f>
        <v>0.06818181818181818</v>
      </c>
      <c r="BE1150" s="11" t="n">
        <f>IF(SUMIF($AO$11:$AO$1309,AO1150,$BB$11:$BB$1309)=COUNTIF($AO$11:$AO$1309,AO1150),SUMIF($AO$11:$AO$1309,AO1150,$BA$11:$BA$1309),"")</f>
        <v>0.20224719101123595</v>
      </c>
      <c r="BF1150" s="12" t="n">
        <f>IF(COUNT(BD1150:BE1150)&lt;&gt;2,"",IF(AND(BD1150&gt;0,BE1150&gt;0),0.7*AW1150/BD1150+0.3*BA1150/BE1150,IF(BD1150&gt;0,AW1150/BD1150,IF(BE1150&gt;0,BA1150/BE1150,IF(AND(ISNUMBER(BH1150),BH1150=0),0,"")))))</f>
        <v>0.14166666666666666</v>
      </c>
      <c r="BG1150" s="11" t="n">
        <f>IF(AND(COUNT(BN1150:BU1150)=8,MIN(BN1150:BU1150)&gt;=0),SUMPRODUCT(BN1150:BQ1150,BR1150:BU1150),"")</f>
        <v>114.81944114457707</v>
      </c>
      <c r="BH1150" s="11" t="n">
        <f>IF(COUNT(BC1150,BG1150)=2,BC1150*BG1150,"")</f>
        <v>0.9489932461810591</v>
      </c>
      <c r="BI1150" s="11" t="n">
        <f>IF(ISNUMBER(CI1150),CI1150,"")</f>
        <v>0.13444070987565004</v>
      </c>
      <c r="BJ1150" s="8" t="str">
        <v>近180天本色销量41双（＜90），无有效新采购，请运营判断</v>
      </c>
      <c r="BK1150" s="8" t="str">
        <v>90天：2026-07-20 至 2026-10-17；180天：2026-04-21 至 2026-10-17</v>
      </c>
      <c r="BL1150" s="8" t="str">
        <v>90天：2026-10-06、2026-10-07；180天：2026-10-06、2026-10-07</v>
      </c>
      <c r="BM1150" s="8" t="str">
        <v>2026-10：12天 × 0.7647664488148722；2026-11：30天 × 1.5248287781391903；2026-12：31天 × 1.2288250057360348；2027-01：17天 × 1.2825767786356366</v>
      </c>
      <c r="BN1150" s="11" t="n">
        <v>0.7647664488148722</v>
      </c>
      <c r="BO1150" s="11" t="n">
        <v>1.5248287781391903</v>
      </c>
      <c r="BP1150" s="11" t="n">
        <v>1.2288250057360348</v>
      </c>
      <c r="BQ1150" s="11" t="n">
        <v>1.2825767786356366</v>
      </c>
      <c r="BR1150" s="8" t="n">
        <v>12</v>
      </c>
      <c r="BS1150" s="8" t="n">
        <v>30</v>
      </c>
      <c r="BT1150" s="8" t="n">
        <v>31</v>
      </c>
      <c r="BU1150" s="8" t="n">
        <v>17</v>
      </c>
      <c r="BV1150" s="11" t="n">
        <f>IF(COUNT(BC1150,BF1150)=2,BC1150*BF1150,"")</f>
        <v>0.0011708880354709833</v>
      </c>
      <c r="BW1150" s="11" t="n">
        <f>IF(ISNUMBER(BN1150),BN1150,"")</f>
        <v>0.7647664488148722</v>
      </c>
      <c r="BX1150" s="14" t="n">
        <f>IF(ISNUMBER(BR1150),BR1150,"")</f>
        <v>12</v>
      </c>
      <c r="BY1150" s="13" t="n">
        <f>IF(AND(COUNT(BV1150,BW1150,BX1150)=3,MIN(BV1150,BW1150,BX1150)&gt;=0),BV1150*BW1150*BX1150,"")</f>
        <v>0.010745470618163592</v>
      </c>
      <c r="BZ1150" s="11" t="n">
        <f>IF(ISNUMBER(BO1150),BO1150,"")</f>
        <v>1.5248287781391903</v>
      </c>
      <c r="CA1150" s="14" t="n">
        <f>IF(ISNUMBER(BS1150),BS1150,"")</f>
        <v>30</v>
      </c>
      <c r="CB1150" s="13" t="n">
        <f>IF(AND(COUNT(BV1150,BZ1150,CA1150)=3,MIN(BV1150,BZ1150,CA1150)&gt;=0),BV1150*BZ1150*CA1150,"")</f>
        <v>0.05356211317395049</v>
      </c>
      <c r="CC1150" s="11" t="n">
        <f>IF(ISNUMBER(BP1150),BP1150,"")</f>
        <v>1.2288250057360348</v>
      </c>
      <c r="CD1150" s="14" t="n">
        <f>IF(ISNUMBER(BT1150),BT1150,"")</f>
        <v>31</v>
      </c>
      <c r="CE1150" s="13" t="n">
        <f>IF(AND(COUNT(BV1150,CC1150,CD1150)=3,MIN(BV1150,CC1150,CD1150)&gt;=0),BV1150*CC1150*CD1150,"")</f>
        <v>0.04460331140402045</v>
      </c>
      <c r="CF1150" s="11" t="n">
        <f>IF(ISNUMBER(BQ1150),BQ1150,"")</f>
        <v>1.2825767786356366</v>
      </c>
      <c r="CG1150" s="14" t="n">
        <f>IF(ISNUMBER(BU1150),BU1150,"")</f>
        <v>17</v>
      </c>
      <c r="CH1150" s="13" t="n">
        <f>IF(AND(COUNT(BV1150,CF1150,CG1150)=3,MIN(BV1150,CF1150,CG1150)&gt;=0),BV1150*CF1150*CG1150,"")</f>
        <v>0.025529814679515504</v>
      </c>
      <c r="CI1150" s="13" t="n">
        <f>IF(COUNT(BY1150,CB1150,CE1150,CH1150)=4,SUM(BY1150,CB1150,CE1150,CH1150),"")</f>
        <v>0.13444070987565004</v>
      </c>
    </row>
    <row r="1151" ht="72" customHeight="1">
      <c r="A1151" s="16" t="str">
        <v>S02a-WT-39</v>
      </c>
      <c r="B1151" s="16" t="str">
        <v>3店-SANDIEX-US</v>
      </c>
      <c r="C1151" s="16" t="str">
        <v>陈晨</v>
      </c>
      <c r="D1151" s="26" t="n">
        <f>IF(NOT(ISNUMBER(E1151)),"",IF(OR(E1151&lt;=0,L1151=0),0,IF(OR(NOT(ISNUMBER(F1151)),F1151&lt;0),"",MIN(E1151,INT(F1151)))))</f>
        <v>0</v>
      </c>
      <c r="E1151" s="27" t="n">
        <f>IF(OR(NOT(ISNUMBER(L1151)),COUNT(M1151:O1151)&lt;&gt;3,MIN(M1151:O1151)&lt;0),"",ROUNDUP(ROUND(BI1151-SUM(M1151:O1151),10),0))</f>
        <v>-12</v>
      </c>
      <c r="F1151" s="28" t="n">
        <v>0</v>
      </c>
      <c r="G1151" s="28" t="n">
        <f>IF(AND(ISNUMBER(D1151),ISNUMBER(E1151)),IF(OR(E1151&lt;=0,L1151=0),0,E1151-D1151),"")</f>
        <v>0</v>
      </c>
      <c r="H1151" s="16" t="str">
        <f>IF(NOT(ISNUMBER(E1151)),"销量或海外库存待补",IF(OR(E1151&lt;=0,L1151=0),IF(L1151=0,"零日销，本批不发","本批无需补货"),IF(NOT(ISNUMBER(D1151)),"国内库存待补",IF(D1151=0,"国内无可用库存",IF(G1151&gt;0,"先发国内现货","按建议量发货")))))</f>
        <v>本批无需补货</v>
      </c>
      <c r="I1151" s="28" t="n">
        <f>IF(AND(COUNT(Z1151,AA1151,AB1151)=3,Z1151&gt;=AA1151,AA1151&gt;=0,AB1151=7),Z1151-AA1151,"")</f>
        <v>0</v>
      </c>
      <c r="J1151" s="28" t="n">
        <f>IF(AND(COUNT(AF1151,AG1151,AH1151)=3,AF1151&gt;=AG1151,AG1151&gt;=0,AH1151=14),AF1151-AG1151,"")</f>
        <v>0</v>
      </c>
      <c r="K1151" s="28" t="n">
        <f>IF(AND(COUNT(AL1151,AM1151,AN1151)=3,AL1151&gt;=AM1151,AM1151&gt;=0,AN1151=30),AL1151-AM1151,"")</f>
        <v>0</v>
      </c>
      <c r="L1151" s="29" t="n">
        <f>IF(ISNUMBER(BI1151),BI1151/90,"")</f>
        <v>0.000351478980067059</v>
      </c>
      <c r="M1151" s="28" t="n">
        <v>12</v>
      </c>
      <c r="N1151" s="28" t="n">
        <v>0</v>
      </c>
      <c r="O1151" s="28" t="n">
        <v>0</v>
      </c>
      <c r="P1151" s="30" t="n">
        <f>IF(AND(ISNUMBER(L1151),L1151&gt;0,COUNT(M1151:O1151)=3,MIN(M1151:O1151)&gt;=0),SUM(M1151:O1151)/L1151,"")</f>
        <v>34141.44424144656</v>
      </c>
      <c r="Q1151" s="16" t="str">
        <v>沿用原计划SKU店铺</v>
      </c>
      <c r="R1151" s="16" t="str">
        <v>已匹配</v>
      </c>
      <c r="S1151" s="16" t="str">
        <v>在售</v>
      </c>
      <c r="T1151" s="16" t="str">
        <v>S02a</v>
      </c>
      <c r="U1151" s="16" t="str">
        <v>白色PU</v>
      </c>
      <c r="V1151" s="16" t="n">
        <v>8</v>
      </c>
      <c r="W1151" s="8" t="str">
        <v>2026-10-11 至 2026-10-17</v>
      </c>
      <c r="X1151" s="8" t="str">
        <v>2026-10-11、2026-10-12、2026-10-13、2026-10-14、2026-10-15、2026-10-16、2026-10-17</v>
      </c>
      <c r="Y1151" s="8" t="str">
        <v>无</v>
      </c>
      <c r="Z1151" s="8" t="n">
        <v>0</v>
      </c>
      <c r="AA1151" s="8" t="n">
        <v>0</v>
      </c>
      <c r="AB1151" s="8" t="n">
        <v>7</v>
      </c>
      <c r="AC1151" s="8" t="str">
        <v>2026-10-02 至 2026-10-17</v>
      </c>
      <c r="AD1151" s="8" t="str">
        <v>2026-10-02、2026-10-03、2026-10-04、2026-10-05、2026-10-08、2026-10-09、2026-10-10、2026-10-11、2026-10-12、2026-10-13、2026-10-14、2026-10-15、2026-10-16、2026-10-17</v>
      </c>
      <c r="AE1151" s="8" t="str">
        <v>2026-10-06 大促；2026-10-07 大促</v>
      </c>
      <c r="AF1151" s="8" t="n">
        <v>0</v>
      </c>
      <c r="AG1151" s="8" t="n">
        <v>0</v>
      </c>
      <c r="AH1151" s="8" t="n">
        <v>14</v>
      </c>
      <c r="AI1151" s="8" t="str">
        <v>2026-09-16 至 2026-10-17</v>
      </c>
      <c r="AJ115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1" s="8" t="str">
        <v>2026-10-06 大促；2026-10-07 大促</v>
      </c>
      <c r="AL1151" s="8" t="n">
        <v>0</v>
      </c>
      <c r="AM1151" s="8" t="n">
        <v>0</v>
      </c>
      <c r="AN1151" s="8" t="n">
        <v>30</v>
      </c>
      <c r="AO1151" s="8" t="str">
        <v>S02a / 白色 / 6574</v>
      </c>
      <c r="AP1151" s="11" t="n">
        <v>0.7647664488148722</v>
      </c>
      <c r="AQ1151" s="11" t="n">
        <v>0.7647664488148722</v>
      </c>
      <c r="AR1151" s="11" t="n">
        <v>0.8066052567225582</v>
      </c>
      <c r="AS1151" s="11" t="n">
        <f>IF(AND(COUNT(I1151:K1151,AP1151:AR1151)=6,MIN(AP1151:AR1151)&gt;0),I1151/7/AP1151*0.5+J1151/14/AQ1151*0.3+K1151/30/AR1151*0.2,"")</f>
        <v>0</v>
      </c>
      <c r="AT1151" s="8" t="n">
        <v>0</v>
      </c>
      <c r="AU1151" s="8" t="n">
        <v>0</v>
      </c>
      <c r="AV1151" s="8" t="n">
        <v>88</v>
      </c>
      <c r="AW1151" s="11" t="n">
        <f>IF(AND(COUNT(AT1151:AV1151)=3,AT1151&gt;=AU1151,AU1151&gt;=0,AV1151&gt;0),(AT1151-AU1151)/AV1151,"")</f>
        <v>0</v>
      </c>
      <c r="AX1151" s="8" t="n">
        <v>4</v>
      </c>
      <c r="AY1151" s="8" t="n">
        <v>0</v>
      </c>
      <c r="AZ1151" s="8" t="n">
        <v>178</v>
      </c>
      <c r="BA1151" s="11" t="n">
        <f>IF(AND(COUNT(AX1151:AZ1151)=3,AX1151&gt;=AY1151,AY1151&gt;=0,AZ1151&gt;0),(AX1151-AY1151)/AZ1151,"")</f>
        <v>0.02247191011235955</v>
      </c>
      <c r="BB1151" s="8" t="n">
        <f>IF(COUNT(AS1151,AW1151,BA1151)=3,1,0)</f>
        <v>1</v>
      </c>
      <c r="BC1151" s="11" t="n">
        <f>IF(SUMIF($AO$11:$AO$1309,AO1151,$BB$11:$BB$1309)=COUNTIF($AO$11:$AO$1309,AO1151),SUMIF($AO$11:$AO$1309,AO1151,$AS$11:$AS$1309),"")</f>
        <v>0.008265092015089294</v>
      </c>
      <c r="BD1151" s="11" t="n">
        <f>IF(SUMIF($AO$11:$AO$1309,AO1151,$BB$11:$BB$1309)=COUNTIF($AO$11:$AO$1309,AO1151),SUMIF($AO$11:$AO$1309,AO1151,$AW$11:$AW$1309),"")</f>
        <v>0.06818181818181818</v>
      </c>
      <c r="BE1151" s="11" t="n">
        <f>IF(SUMIF($AO$11:$AO$1309,AO1151,$BB$11:$BB$1309)=COUNTIF($AO$11:$AO$1309,AO1151),SUMIF($AO$11:$AO$1309,AO1151,$BA$11:$BA$1309),"")</f>
        <v>0.20224719101123595</v>
      </c>
      <c r="BF1151" s="12" t="n">
        <f>IF(COUNT(BD1151:BE1151)&lt;&gt;2,"",IF(AND(BD1151&gt;0,BE1151&gt;0),0.7*AW1151/BD1151+0.3*BA1151/BE1151,IF(BD1151&gt;0,AW1151/BD1151,IF(BE1151&gt;0,BA1151/BE1151,IF(AND(ISNUMBER(BH1151),BH1151=0),0,"")))))</f>
        <v>0.03333333333333333</v>
      </c>
      <c r="BG1151" s="11" t="n">
        <f>IF(AND(COUNT(BN1151:BU1151)=8,MIN(BN1151:BU1151)&gt;=0),SUMPRODUCT(BN1151:BQ1151,BR1151:BU1151),"")</f>
        <v>114.81944114457707</v>
      </c>
      <c r="BH1151" s="11" t="n">
        <f>IF(COUNT(BC1151,BG1151)=2,BC1151*BG1151,"")</f>
        <v>0.9489932461810591</v>
      </c>
      <c r="BI1151" s="11" t="n">
        <f>IF(ISNUMBER(CI1151),CI1151,"")</f>
        <v>0.03163310820603531</v>
      </c>
      <c r="BJ1151" s="8" t="str">
        <v>近180天本色销量41双（＜90），无有效新采购，请运营判断</v>
      </c>
      <c r="BK1151" s="8" t="str">
        <v>90天：2026-07-20 至 2026-10-17；180天：2026-04-21 至 2026-10-17</v>
      </c>
      <c r="BL1151" s="8" t="str">
        <v>90天：2026-10-06、2026-10-07；180天：2026-10-06、2026-10-07</v>
      </c>
      <c r="BM1151" s="8" t="str">
        <v>2026-10：12天 × 0.7647664488148722；2026-11：30天 × 1.5248287781391903；2026-12：31天 × 1.2288250057360348；2027-01：17天 × 1.2825767786356366</v>
      </c>
      <c r="BN1151" s="11" t="n">
        <v>0.7647664488148722</v>
      </c>
      <c r="BO1151" s="11" t="n">
        <v>1.5248287781391903</v>
      </c>
      <c r="BP1151" s="11" t="n">
        <v>1.2288250057360348</v>
      </c>
      <c r="BQ1151" s="11" t="n">
        <v>1.2825767786356366</v>
      </c>
      <c r="BR1151" s="8" t="n">
        <v>12</v>
      </c>
      <c r="BS1151" s="8" t="n">
        <v>30</v>
      </c>
      <c r="BT1151" s="8" t="n">
        <v>31</v>
      </c>
      <c r="BU1151" s="8" t="n">
        <v>17</v>
      </c>
      <c r="BV1151" s="11" t="n">
        <f>IF(COUNT(BC1151,BF1151)=2,BC1151*BF1151,"")</f>
        <v>0.00027550306716964313</v>
      </c>
      <c r="BW1151" s="11" t="n">
        <f>IF(ISNUMBER(BN1151),BN1151,"")</f>
        <v>0.7647664488148722</v>
      </c>
      <c r="BX1151" s="14" t="n">
        <f>IF(ISNUMBER(BR1151),BR1151,"")</f>
        <v>12</v>
      </c>
      <c r="BY1151" s="13" t="n">
        <f>IF(AND(COUNT(BV1151,BW1151,BX1151)=3,MIN(BV1151,BW1151,BX1151)&gt;=0),BV1151*BW1151*BX1151,"")</f>
        <v>0.0025283460278031984</v>
      </c>
      <c r="BZ1151" s="11" t="n">
        <f>IF(ISNUMBER(BO1151),BO1151,"")</f>
        <v>1.5248287781391903</v>
      </c>
      <c r="CA1151" s="14" t="n">
        <f>IF(ISNUMBER(BS1151),BS1151,"")</f>
        <v>30</v>
      </c>
      <c r="CB1151" s="13" t="n">
        <f>IF(AND(COUNT(BV1151,BZ1151,CA1151)=3,MIN(BV1151,BZ1151,CA1151)&gt;=0),BV1151*BZ1151*CA1151,"")</f>
        <v>0.012602850158576586</v>
      </c>
      <c r="CC1151" s="11" t="n">
        <f>IF(ISNUMBER(BP1151),BP1151,"")</f>
        <v>1.2288250057360348</v>
      </c>
      <c r="CD1151" s="14" t="n">
        <f>IF(ISNUMBER(BT1151),BT1151,"")</f>
        <v>31</v>
      </c>
      <c r="CE1151" s="13" t="n">
        <f>IF(AND(COUNT(BV1151,CC1151,CD1151)=3,MIN(BV1151,CC1151,CD1151)&gt;=0),BV1151*CC1151*CD1151,"")</f>
        <v>0.01049489680094599</v>
      </c>
      <c r="CF1151" s="11" t="n">
        <f>IF(ISNUMBER(BQ1151),BQ1151,"")</f>
        <v>1.2825767786356366</v>
      </c>
      <c r="CG1151" s="14" t="n">
        <f>IF(ISNUMBER(BU1151),BU1151,"")</f>
        <v>17</v>
      </c>
      <c r="CH1151" s="13" t="n">
        <f>IF(AND(COUNT(BV1151,CF1151,CG1151)=3,MIN(BV1151,CF1151,CG1151)&gt;=0),BV1151*CF1151*CG1151,"")</f>
        <v>0.006007015218709531</v>
      </c>
      <c r="CI1151" s="13" t="n">
        <f>IF(COUNT(BY1151,CB1151,CE1151,CH1151)=4,SUM(BY1151,CB1151,CE1151,CH1151),"")</f>
        <v>0.03163310820603531</v>
      </c>
    </row>
    <row r="1152" ht="72" customHeight="1">
      <c r="A1152" s="16" t="str">
        <v>S02a-WT-40</v>
      </c>
      <c r="B1152" s="16" t="str">
        <v>3店-SANDIEX-US</v>
      </c>
      <c r="C1152" s="16" t="str">
        <v>陈晨</v>
      </c>
      <c r="D1152" s="26" t="n">
        <f>IF(NOT(ISNUMBER(E1152)),"",IF(OR(E1152&lt;=0,L1152=0),0,IF(OR(NOT(ISNUMBER(F1152)),F1152&lt;0),"",MIN(E1152,INT(F1152)))))</f>
        <v>0</v>
      </c>
      <c r="E1152" s="27" t="n">
        <f>IF(OR(NOT(ISNUMBER(L1152)),COUNT(M1152:O1152)&lt;&gt;3,MIN(M1152:O1152)&lt;0),"",ROUNDUP(ROUND(BI1152-SUM(M1152:O1152),10),0))</f>
        <v>-16</v>
      </c>
      <c r="F1152" s="28" t="n">
        <v>0</v>
      </c>
      <c r="G1152" s="28" t="n">
        <f>IF(AND(ISNUMBER(D1152),ISNUMBER(E1152)),IF(OR(E1152&lt;=0,L1152=0),0,E1152-D1152),"")</f>
        <v>0</v>
      </c>
      <c r="H1152" s="16" t="str">
        <f>IF(NOT(ISNUMBER(E1152)),"销量或海外库存待补",IF(OR(E1152&lt;=0,L1152=0),IF(L1152=0,"零日销，本批不发","本批无需补货"),IF(NOT(ISNUMBER(D1152)),"国内库存待补",IF(D1152=0,"国内无可用库存",IF(G1152&gt;0,"先发国内现货","按建议量发货")))))</f>
        <v>本批无需补货</v>
      </c>
      <c r="I1152" s="28" t="n">
        <f>IF(AND(COUNT(Z1152,AA1152,AB1152)=3,Z1152&gt;=AA1152,AA1152&gt;=0,AB1152=7),Z1152-AA1152,"")</f>
        <v>0</v>
      </c>
      <c r="J1152" s="28" t="n">
        <f>IF(AND(COUNT(AF1152,AG1152,AH1152)=3,AF1152&gt;=AG1152,AG1152&gt;=0,AH1152=14),AF1152-AG1152,"")</f>
        <v>0</v>
      </c>
      <c r="K1152" s="28" t="n">
        <f>IF(AND(COUNT(AL1152,AM1152,AN1152)=3,AL1152&gt;=AM1152,AM1152&gt;=0,AN1152=30),AL1152-AM1152,"")</f>
        <v>0</v>
      </c>
      <c r="L1152" s="29" t="n">
        <f>IF(ISNUMBER(BI1152),BI1152/90,"")</f>
        <v>0.0015816554103017652</v>
      </c>
      <c r="M1152" s="28" t="n">
        <v>16</v>
      </c>
      <c r="N1152" s="28" t="n">
        <v>0</v>
      </c>
      <c r="O1152" s="28" t="n">
        <v>0</v>
      </c>
      <c r="P1152" s="30" t="n">
        <f>IF(AND(ISNUMBER(L1152),L1152&gt;0,COUNT(M1152:O1152)=3,MIN(M1152:O1152)&gt;=0),SUM(M1152:O1152)/L1152,"")</f>
        <v>10115.98347894713</v>
      </c>
      <c r="Q1152" s="16" t="str">
        <v>沿用原计划SKU店铺</v>
      </c>
      <c r="R1152" s="16" t="str">
        <v>已匹配</v>
      </c>
      <c r="S1152" s="16" t="str">
        <v>在售</v>
      </c>
      <c r="T1152" s="16" t="str">
        <v>S02a</v>
      </c>
      <c r="U1152" s="16" t="str">
        <v>白色PU</v>
      </c>
      <c r="V1152" s="16" t="n">
        <v>9</v>
      </c>
      <c r="W1152" s="8" t="str">
        <v>2026-10-11 至 2026-10-17</v>
      </c>
      <c r="X1152" s="8" t="str">
        <v>2026-10-11、2026-10-12、2026-10-13、2026-10-14、2026-10-15、2026-10-16、2026-10-17</v>
      </c>
      <c r="Y1152" s="8" t="str">
        <v>无</v>
      </c>
      <c r="Z1152" s="8" t="n">
        <v>0</v>
      </c>
      <c r="AA1152" s="8" t="n">
        <v>0</v>
      </c>
      <c r="AB1152" s="8" t="n">
        <v>7</v>
      </c>
      <c r="AC1152" s="8" t="str">
        <v>2026-10-02 至 2026-10-17</v>
      </c>
      <c r="AD1152" s="8" t="str">
        <v>2026-10-02、2026-10-03、2026-10-04、2026-10-05、2026-10-08、2026-10-09、2026-10-10、2026-10-11、2026-10-12、2026-10-13、2026-10-14、2026-10-15、2026-10-16、2026-10-17</v>
      </c>
      <c r="AE1152" s="8" t="str">
        <v>2026-10-06 大促；2026-10-07 大促</v>
      </c>
      <c r="AF1152" s="8" t="n">
        <v>0</v>
      </c>
      <c r="AG1152" s="8" t="n">
        <v>0</v>
      </c>
      <c r="AH1152" s="8" t="n">
        <v>14</v>
      </c>
      <c r="AI1152" s="8" t="str">
        <v>2026-09-16 至 2026-10-17</v>
      </c>
      <c r="AJ115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2" s="8" t="str">
        <v>2026-10-06 大促；2026-10-07 大促</v>
      </c>
      <c r="AL1152" s="8" t="n">
        <v>0</v>
      </c>
      <c r="AM1152" s="8" t="n">
        <v>0</v>
      </c>
      <c r="AN1152" s="8" t="n">
        <v>30</v>
      </c>
      <c r="AO1152" s="8" t="str">
        <v>S02a / 白色 / 6574</v>
      </c>
      <c r="AP1152" s="11" t="n">
        <v>0.7647664488148722</v>
      </c>
      <c r="AQ1152" s="11" t="n">
        <v>0.7647664488148722</v>
      </c>
      <c r="AR1152" s="11" t="n">
        <v>0.8066052567225582</v>
      </c>
      <c r="AS1152" s="11" t="n">
        <f>IF(AND(COUNT(I1152:K1152,AP1152:AR1152)=6,MIN(AP1152:AR1152)&gt;0),I1152/7/AP1152*0.5+J1152/14/AQ1152*0.3+K1152/30/AR1152*0.2,"")</f>
        <v>0</v>
      </c>
      <c r="AT1152" s="8" t="n">
        <v>1</v>
      </c>
      <c r="AU1152" s="8" t="n">
        <v>0</v>
      </c>
      <c r="AV1152" s="8" t="n">
        <v>88</v>
      </c>
      <c r="AW1152" s="11" t="n">
        <f>IF(AND(COUNT(AT1152:AV1152)=3,AT1152&gt;=AU1152,AU1152&gt;=0,AV1152&gt;0),(AT1152-AU1152)/AV1152,"")</f>
        <v>0.011363636363636364</v>
      </c>
      <c r="AX1152" s="8" t="n">
        <v>4</v>
      </c>
      <c r="AY1152" s="8" t="n">
        <v>0</v>
      </c>
      <c r="AZ1152" s="8" t="n">
        <v>178</v>
      </c>
      <c r="BA1152" s="11" t="n">
        <f>IF(AND(COUNT(AX1152:AZ1152)=3,AX1152&gt;=AY1152,AY1152&gt;=0,AZ1152&gt;0),(AX1152-AY1152)/AZ1152,"")</f>
        <v>0.02247191011235955</v>
      </c>
      <c r="BB1152" s="8" t="n">
        <f>IF(COUNT(AS1152,AW1152,BA1152)=3,1,0)</f>
        <v>1</v>
      </c>
      <c r="BC1152" s="11" t="n">
        <f>IF(SUMIF($AO$11:$AO$1309,AO1152,$BB$11:$BB$1309)=COUNTIF($AO$11:$AO$1309,AO1152),SUMIF($AO$11:$AO$1309,AO1152,$AS$11:$AS$1309),"")</f>
        <v>0.008265092015089294</v>
      </c>
      <c r="BD1152" s="11" t="n">
        <f>IF(SUMIF($AO$11:$AO$1309,AO1152,$BB$11:$BB$1309)=COUNTIF($AO$11:$AO$1309,AO1152),SUMIF($AO$11:$AO$1309,AO1152,$AW$11:$AW$1309),"")</f>
        <v>0.06818181818181818</v>
      </c>
      <c r="BE1152" s="11" t="n">
        <f>IF(SUMIF($AO$11:$AO$1309,AO1152,$BB$11:$BB$1309)=COUNTIF($AO$11:$AO$1309,AO1152),SUMIF($AO$11:$AO$1309,AO1152,$BA$11:$BA$1309),"")</f>
        <v>0.20224719101123595</v>
      </c>
      <c r="BF1152" s="12" t="n">
        <f>IF(COUNT(BD1152:BE1152)&lt;&gt;2,"",IF(AND(BD1152&gt;0,BE1152&gt;0),0.7*AW1152/BD1152+0.3*BA1152/BE1152,IF(BD1152&gt;0,AW1152/BD1152,IF(BE1152&gt;0,BA1152/BE1152,IF(AND(ISNUMBER(BH1152),BH1152=0),0,"")))))</f>
        <v>0.15</v>
      </c>
      <c r="BG1152" s="11" t="n">
        <f>IF(AND(COUNT(BN1152:BU1152)=8,MIN(BN1152:BU1152)&gt;=0),SUMPRODUCT(BN1152:BQ1152,BR1152:BU1152),"")</f>
        <v>114.81944114457707</v>
      </c>
      <c r="BH1152" s="11" t="n">
        <f>IF(COUNT(BC1152,BG1152)=2,BC1152*BG1152,"")</f>
        <v>0.9489932461810591</v>
      </c>
      <c r="BI1152" s="11" t="n">
        <f>IF(ISNUMBER(CI1152),CI1152,"")</f>
        <v>0.14234898692715886</v>
      </c>
      <c r="BJ1152" s="8" t="str">
        <v>近180天本色销量41双（＜90），无有效新采购，请运营判断</v>
      </c>
      <c r="BK1152" s="8" t="str">
        <v>90天：2026-07-20 至 2026-10-17；180天：2026-04-21 至 2026-10-17</v>
      </c>
      <c r="BL1152" s="8" t="str">
        <v>90天：2026-10-06、2026-10-07；180天：2026-10-06、2026-10-07</v>
      </c>
      <c r="BM1152" s="8" t="str">
        <v>2026-10：12天 × 0.7647664488148722；2026-11：30天 × 1.5248287781391903；2026-12：31天 × 1.2288250057360348；2027-01：17天 × 1.2825767786356366</v>
      </c>
      <c r="BN1152" s="11" t="n">
        <v>0.7647664488148722</v>
      </c>
      <c r="BO1152" s="11" t="n">
        <v>1.5248287781391903</v>
      </c>
      <c r="BP1152" s="11" t="n">
        <v>1.2288250057360348</v>
      </c>
      <c r="BQ1152" s="11" t="n">
        <v>1.2825767786356366</v>
      </c>
      <c r="BR1152" s="8" t="n">
        <v>12</v>
      </c>
      <c r="BS1152" s="8" t="n">
        <v>30</v>
      </c>
      <c r="BT1152" s="8" t="n">
        <v>31</v>
      </c>
      <c r="BU1152" s="8" t="n">
        <v>17</v>
      </c>
      <c r="BV1152" s="11" t="n">
        <f>IF(COUNT(BC1152,BF1152)=2,BC1152*BF1152,"")</f>
        <v>0.001239763802263394</v>
      </c>
      <c r="BW1152" s="11" t="n">
        <f>IF(ISNUMBER(BN1152),BN1152,"")</f>
        <v>0.7647664488148722</v>
      </c>
      <c r="BX1152" s="14" t="n">
        <f>IF(ISNUMBER(BR1152),BR1152,"")</f>
        <v>12</v>
      </c>
      <c r="BY1152" s="13" t="n">
        <f>IF(AND(COUNT(BV1152,BW1152,BX1152)=3,MIN(BV1152,BW1152,BX1152)&gt;=0),BV1152*BW1152*BX1152,"")</f>
        <v>0.011377557125114391</v>
      </c>
      <c r="BZ1152" s="11" t="n">
        <f>IF(ISNUMBER(BO1152),BO1152,"")</f>
        <v>1.5248287781391903</v>
      </c>
      <c r="CA1152" s="14" t="n">
        <f>IF(ISNUMBER(BS1152),BS1152,"")</f>
        <v>30</v>
      </c>
      <c r="CB1152" s="13" t="n">
        <f>IF(AND(COUNT(BV1152,BZ1152,CA1152)=3,MIN(BV1152,BZ1152,CA1152)&gt;=0),BV1152*BZ1152*CA1152,"")</f>
        <v>0.056712825713594636</v>
      </c>
      <c r="CC1152" s="11" t="n">
        <f>IF(ISNUMBER(BP1152),BP1152,"")</f>
        <v>1.2288250057360348</v>
      </c>
      <c r="CD1152" s="14" t="n">
        <f>IF(ISNUMBER(BT1152),BT1152,"")</f>
        <v>31</v>
      </c>
      <c r="CE1152" s="13" t="n">
        <f>IF(AND(COUNT(BV1152,CC1152,CD1152)=3,MIN(BV1152,CC1152,CD1152)&gt;=0),BV1152*CC1152*CD1152,"")</f>
        <v>0.047227035604256944</v>
      </c>
      <c r="CF1152" s="11" t="n">
        <f>IF(ISNUMBER(BQ1152),BQ1152,"")</f>
        <v>1.2825767786356366</v>
      </c>
      <c r="CG1152" s="14" t="n">
        <f>IF(ISNUMBER(BU1152),BU1152,"")</f>
        <v>17</v>
      </c>
      <c r="CH1152" s="13" t="n">
        <f>IF(AND(COUNT(BV1152,CF1152,CG1152)=3,MIN(BV1152,CF1152,CG1152)&gt;=0),BV1152*CF1152*CG1152,"")</f>
        <v>0.027031568484192886</v>
      </c>
      <c r="CI1152" s="13" t="n">
        <f>IF(COUNT(BY1152,CB1152,CE1152,CH1152)=4,SUM(BY1152,CB1152,CE1152,CH1152),"")</f>
        <v>0.14234898692715886</v>
      </c>
    </row>
    <row r="1153" ht="72" customHeight="1">
      <c r="A1153" s="16" t="str">
        <v>S02a-WT-41</v>
      </c>
      <c r="B1153" s="16" t="str">
        <v>3店-SANDIEX-US</v>
      </c>
      <c r="C1153" s="16" t="str">
        <v>陈晨</v>
      </c>
      <c r="D1153" s="26" t="n">
        <f>IF(NOT(ISNUMBER(E1153)),"",IF(OR(E1153&lt;=0,L1153=0),0,IF(OR(NOT(ISNUMBER(F1153)),F1153&lt;0),"",MIN(E1153,INT(F1153)))))</f>
        <v>0</v>
      </c>
      <c r="E1153" s="27" t="n">
        <f>IF(OR(NOT(ISNUMBER(L1153)),COUNT(M1153:O1153)&lt;&gt;3,MIN(M1153:O1153)&lt;0),"",ROUNDUP(ROUND(BI1153-SUM(M1153:O1153),10),0))</f>
        <v>-11</v>
      </c>
      <c r="F1153" s="28" t="n">
        <v>0</v>
      </c>
      <c r="G1153" s="28" t="n">
        <f>IF(AND(ISNUMBER(D1153),ISNUMBER(E1153)),IF(OR(E1153&lt;=0,L1153=0),0,E1153-D1153),"")</f>
        <v>0</v>
      </c>
      <c r="H1153" s="16" t="str">
        <f>IF(NOT(ISNUMBER(E1153)),"销量或海外库存待补",IF(OR(E1153&lt;=0,L1153=0),IF(L1153=0,"零日销，本批不发","本批无需补货"),IF(NOT(ISNUMBER(D1153)),"国内库存待补",IF(D1153=0,"国内无可用库存",IF(G1153&gt;0,"先发国内现货","按建议量发货")))))</f>
        <v>本批无需补货</v>
      </c>
      <c r="I1153" s="28" t="n">
        <f>IF(AND(COUNT(Z1153,AA1153,AB1153)=3,Z1153&gt;=AA1153,AA1153&gt;=0,AB1153=7),Z1153-AA1153,"")</f>
        <v>0</v>
      </c>
      <c r="J1153" s="28" t="n">
        <f>IF(AND(COUNT(AF1153,AG1153,AH1153)=3,AF1153&gt;=AG1153,AG1153&gt;=0,AH1153=14),AF1153-AG1153,"")</f>
        <v>0</v>
      </c>
      <c r="K1153" s="28" t="n">
        <f>IF(AND(COUNT(AL1153,AM1153,AN1153)=3,AL1153&gt;=AM1153,AM1153&gt;=0,AN1153=30),AL1153-AM1153,"")</f>
        <v>0</v>
      </c>
      <c r="L1153" s="29" t="n">
        <f>IF(ISNUMBER(BI1153),BI1153/90,"")</f>
        <v>0.0030754410755867664</v>
      </c>
      <c r="M1153" s="28" t="n">
        <v>11</v>
      </c>
      <c r="N1153" s="28" t="n">
        <v>0</v>
      </c>
      <c r="O1153" s="28" t="n">
        <v>0</v>
      </c>
      <c r="P1153" s="30" t="n">
        <f>IF(AND(ISNUMBER(L1153),L1153&gt;0,COUNT(M1153:O1153)=3,MIN(M1153:O1153)&gt;=0),SUM(M1153:O1153)/L1153,"")</f>
        <v>3576.7227300563054</v>
      </c>
      <c r="Q1153" s="16" t="str">
        <v>沿用原计划SKU店铺</v>
      </c>
      <c r="R1153" s="16" t="str">
        <v>已匹配</v>
      </c>
      <c r="S1153" s="16" t="str">
        <v>在售</v>
      </c>
      <c r="T1153" s="16" t="str">
        <v>S02a</v>
      </c>
      <c r="U1153" s="16" t="str">
        <v>白色PU</v>
      </c>
      <c r="V1153" s="16" t="n">
        <v>10</v>
      </c>
      <c r="W1153" s="8" t="str">
        <v>2026-10-11 至 2026-10-17</v>
      </c>
      <c r="X1153" s="8" t="str">
        <v>2026-10-11、2026-10-12、2026-10-13、2026-10-14、2026-10-15、2026-10-16、2026-10-17</v>
      </c>
      <c r="Y1153" s="8" t="str">
        <v>无</v>
      </c>
      <c r="Z1153" s="8" t="n">
        <v>0</v>
      </c>
      <c r="AA1153" s="8" t="n">
        <v>0</v>
      </c>
      <c r="AB1153" s="8" t="n">
        <v>7</v>
      </c>
      <c r="AC1153" s="8" t="str">
        <v>2026-10-02 至 2026-10-17</v>
      </c>
      <c r="AD1153" s="8" t="str">
        <v>2026-10-02、2026-10-03、2026-10-04、2026-10-05、2026-10-08、2026-10-09、2026-10-10、2026-10-11、2026-10-12、2026-10-13、2026-10-14、2026-10-15、2026-10-16、2026-10-17</v>
      </c>
      <c r="AE1153" s="8" t="str">
        <v>2026-10-06 大促；2026-10-07 大促</v>
      </c>
      <c r="AF1153" s="8" t="n">
        <v>0</v>
      </c>
      <c r="AG1153" s="8" t="n">
        <v>0</v>
      </c>
      <c r="AH1153" s="8" t="n">
        <v>14</v>
      </c>
      <c r="AI1153" s="8" t="str">
        <v>2026-09-16 至 2026-10-17</v>
      </c>
      <c r="AJ115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3" s="8" t="str">
        <v>2026-10-06 大促；2026-10-07 大促</v>
      </c>
      <c r="AL1153" s="8" t="n">
        <v>0</v>
      </c>
      <c r="AM1153" s="8" t="n">
        <v>0</v>
      </c>
      <c r="AN1153" s="8" t="n">
        <v>30</v>
      </c>
      <c r="AO1153" s="8" t="str">
        <v>S02a / 白色 / 6574</v>
      </c>
      <c r="AP1153" s="11" t="n">
        <v>0.7647664488148722</v>
      </c>
      <c r="AQ1153" s="11" t="n">
        <v>0.7647664488148722</v>
      </c>
      <c r="AR1153" s="11" t="n">
        <v>0.8066052567225582</v>
      </c>
      <c r="AS1153" s="11" t="n">
        <f>IF(AND(COUNT(I1153:K1153,AP1153:AR1153)=6,MIN(AP1153:AR1153)&gt;0),I1153/7/AP1153*0.5+J1153/14/AQ1153*0.3+K1153/30/AR1153*0.2,"")</f>
        <v>0</v>
      </c>
      <c r="AT1153" s="8" t="n">
        <v>2</v>
      </c>
      <c r="AU1153" s="8" t="n">
        <v>0</v>
      </c>
      <c r="AV1153" s="8" t="n">
        <v>88</v>
      </c>
      <c r="AW1153" s="11" t="n">
        <f>IF(AND(COUNT(AT1153:AV1153)=3,AT1153&gt;=AU1153,AU1153&gt;=0,AV1153&gt;0),(AT1153-AU1153)/AV1153,"")</f>
        <v>0.022727272727272728</v>
      </c>
      <c r="AX1153" s="8" t="n">
        <v>7</v>
      </c>
      <c r="AY1153" s="8" t="n">
        <v>0</v>
      </c>
      <c r="AZ1153" s="8" t="n">
        <v>178</v>
      </c>
      <c r="BA1153" s="11" t="n">
        <f>IF(AND(COUNT(AX1153:AZ1153)=3,AX1153&gt;=AY1153,AY1153&gt;=0,AZ1153&gt;0),(AX1153-AY1153)/AZ1153,"")</f>
        <v>0.03932584269662921</v>
      </c>
      <c r="BB1153" s="8" t="n">
        <f>IF(COUNT(AS1153,AW1153,BA1153)=3,1,0)</f>
        <v>1</v>
      </c>
      <c r="BC1153" s="11" t="n">
        <f>IF(SUMIF($AO$11:$AO$1309,AO1153,$BB$11:$BB$1309)=COUNTIF($AO$11:$AO$1309,AO1153),SUMIF($AO$11:$AO$1309,AO1153,$AS$11:$AS$1309),"")</f>
        <v>0.008265092015089294</v>
      </c>
      <c r="BD1153" s="11" t="n">
        <f>IF(SUMIF($AO$11:$AO$1309,AO1153,$BB$11:$BB$1309)=COUNTIF($AO$11:$AO$1309,AO1153),SUMIF($AO$11:$AO$1309,AO1153,$AW$11:$AW$1309),"")</f>
        <v>0.06818181818181818</v>
      </c>
      <c r="BE1153" s="11" t="n">
        <f>IF(SUMIF($AO$11:$AO$1309,AO1153,$BB$11:$BB$1309)=COUNTIF($AO$11:$AO$1309,AO1153),SUMIF($AO$11:$AO$1309,AO1153,$BA$11:$BA$1309),"")</f>
        <v>0.20224719101123595</v>
      </c>
      <c r="BF1153" s="12" t="n">
        <f>IF(COUNT(BD1153:BE1153)&lt;&gt;2,"",IF(AND(BD1153&gt;0,BE1153&gt;0),0.7*AW1153/BD1153+0.3*BA1153/BE1153,IF(BD1153&gt;0,AW1153/BD1153,IF(BE1153&gt;0,BA1153/BE1153,IF(AND(ISNUMBER(BH1153),BH1153=0),0,"")))))</f>
        <v>0.2916666666666667</v>
      </c>
      <c r="BG1153" s="11" t="n">
        <f>IF(AND(COUNT(BN1153:BU1153)=8,MIN(BN1153:BU1153)&gt;=0),SUMPRODUCT(BN1153:BQ1153,BR1153:BU1153),"")</f>
        <v>114.81944114457707</v>
      </c>
      <c r="BH1153" s="11" t="n">
        <f>IF(COUNT(BC1153,BG1153)=2,BC1153*BG1153,"")</f>
        <v>0.9489932461810591</v>
      </c>
      <c r="BI1153" s="11" t="n">
        <f>IF(ISNUMBER(CI1153),CI1153,"")</f>
        <v>0.27678969680280896</v>
      </c>
      <c r="BJ1153" s="8" t="str">
        <v>近180天本色销量41双（＜90），无有效新采购，请运营判断</v>
      </c>
      <c r="BK1153" s="8" t="str">
        <v>90天：2026-07-20 至 2026-10-17；180天：2026-04-21 至 2026-10-17</v>
      </c>
      <c r="BL1153" s="8" t="str">
        <v>90天：2026-10-06、2026-10-07；180天：2026-10-06、2026-10-07</v>
      </c>
      <c r="BM1153" s="8" t="str">
        <v>2026-10：12天 × 0.7647664488148722；2026-11：30天 × 1.5248287781391903；2026-12：31天 × 1.2288250057360348；2027-01：17天 × 1.2825767786356366</v>
      </c>
      <c r="BN1153" s="11" t="n">
        <v>0.7647664488148722</v>
      </c>
      <c r="BO1153" s="11" t="n">
        <v>1.5248287781391903</v>
      </c>
      <c r="BP1153" s="11" t="n">
        <v>1.2288250057360348</v>
      </c>
      <c r="BQ1153" s="11" t="n">
        <v>1.2825767786356366</v>
      </c>
      <c r="BR1153" s="8" t="n">
        <v>12</v>
      </c>
      <c r="BS1153" s="8" t="n">
        <v>30</v>
      </c>
      <c r="BT1153" s="8" t="n">
        <v>31</v>
      </c>
      <c r="BU1153" s="8" t="n">
        <v>17</v>
      </c>
      <c r="BV1153" s="11" t="n">
        <f>IF(COUNT(BC1153,BF1153)=2,BC1153*BF1153,"")</f>
        <v>0.0024106518377343777</v>
      </c>
      <c r="BW1153" s="11" t="n">
        <f>IF(ISNUMBER(BN1153),BN1153,"")</f>
        <v>0.7647664488148722</v>
      </c>
      <c r="BX1153" s="14" t="n">
        <f>IF(ISNUMBER(BR1153),BR1153,"")</f>
        <v>12</v>
      </c>
      <c r="BY1153" s="13" t="n">
        <f>IF(AND(COUNT(BV1153,BW1153,BX1153)=3,MIN(BV1153,BW1153,BX1153)&gt;=0),BV1153*BW1153*BX1153,"")</f>
        <v>0.022123027743277988</v>
      </c>
      <c r="BZ1153" s="11" t="n">
        <f>IF(ISNUMBER(BO1153),BO1153,"")</f>
        <v>1.5248287781391903</v>
      </c>
      <c r="CA1153" s="14" t="n">
        <f>IF(ISNUMBER(BS1153),BS1153,"")</f>
        <v>30</v>
      </c>
      <c r="CB1153" s="13" t="n">
        <f>IF(AND(COUNT(BV1153,BZ1153,CA1153)=3,MIN(BV1153,BZ1153,CA1153)&gt;=0),BV1153*BZ1153*CA1153,"")</f>
        <v>0.11027493888754514</v>
      </c>
      <c r="CC1153" s="11" t="n">
        <f>IF(ISNUMBER(BP1153),BP1153,"")</f>
        <v>1.2288250057360348</v>
      </c>
      <c r="CD1153" s="14" t="n">
        <f>IF(ISNUMBER(BT1153),BT1153,"")</f>
        <v>31</v>
      </c>
      <c r="CE1153" s="13" t="n">
        <f>IF(AND(COUNT(BV1153,CC1153,CD1153)=3,MIN(BV1153,CC1153,CD1153)&gt;=0),BV1153*CC1153*CD1153,"")</f>
        <v>0.09183034700827743</v>
      </c>
      <c r="CF1153" s="11" t="n">
        <f>IF(ISNUMBER(BQ1153),BQ1153,"")</f>
        <v>1.2825767786356366</v>
      </c>
      <c r="CG1153" s="14" t="n">
        <f>IF(ISNUMBER(BU1153),BU1153,"")</f>
        <v>17</v>
      </c>
      <c r="CH1153" s="13" t="n">
        <f>IF(AND(COUNT(BV1153,CF1153,CG1153)=3,MIN(BV1153,CF1153,CG1153)&gt;=0),BV1153*CF1153*CG1153,"")</f>
        <v>0.0525613831637084</v>
      </c>
      <c r="CI1153" s="13" t="n">
        <f>IF(COUNT(BY1153,CB1153,CE1153,CH1153)=4,SUM(BY1153,CB1153,CE1153,CH1153),"")</f>
        <v>0.27678969680280896</v>
      </c>
    </row>
    <row r="1154" ht="72" customHeight="1">
      <c r="A1154" s="16" t="str">
        <v>S02a-WT-42</v>
      </c>
      <c r="B1154" s="16" t="str">
        <v>3店-SANDIEX-US</v>
      </c>
      <c r="C1154" s="16" t="str">
        <v>陈晨</v>
      </c>
      <c r="D1154" s="26" t="n">
        <f>IF(NOT(ISNUMBER(E1154)),"",IF(OR(E1154&lt;=0,L1154=0),0,IF(OR(NOT(ISNUMBER(F1154)),F1154&lt;0),"",MIN(E1154,INT(F1154)))))</f>
        <v>0</v>
      </c>
      <c r="E1154" s="27" t="n">
        <f>IF(OR(NOT(ISNUMBER(L1154)),COUNT(M1154:O1154)&lt;&gt;3,MIN(M1154:O1154)&lt;0),"",ROUNDUP(ROUND(BI1154-SUM(M1154:O1154),10),0))</f>
        <v>-2</v>
      </c>
      <c r="F1154" s="28" t="n">
        <v>0</v>
      </c>
      <c r="G1154" s="28" t="n">
        <f>IF(AND(ISNUMBER(D1154),ISNUMBER(E1154)),IF(OR(E1154&lt;=0,L1154=0),0,E1154-D1154),"")</f>
        <v>0</v>
      </c>
      <c r="H1154" s="16" t="str">
        <f>IF(NOT(ISNUMBER(E1154)),"销量或海外库存待补",IF(OR(E1154&lt;=0,L1154=0),IF(L1154=0,"零日销，本批不发","本批无需补货"),IF(NOT(ISNUMBER(D1154)),"国内库存待补",IF(D1154=0,"国内无可用库存",IF(G1154&gt;0,"先发国内现货","按建议量发货")))))</f>
        <v>本批无需补货</v>
      </c>
      <c r="I1154" s="28" t="n">
        <f>IF(AND(COUNT(Z1154,AA1154,AB1154)=3,Z1154&gt;=AA1154,AA1154&gt;=0,AB1154=7),Z1154-AA1154,"")</f>
        <v>0</v>
      </c>
      <c r="J1154" s="28" t="n">
        <f>IF(AND(COUNT(AF1154,AG1154,AH1154)=3,AF1154&gt;=AG1154,AG1154&gt;=0,AH1154=14),AF1154-AG1154,"")</f>
        <v>0</v>
      </c>
      <c r="K1154" s="28" t="n">
        <f>IF(AND(COUNT(AL1154,AM1154,AN1154)=3,AL1154&gt;=AM1154,AM1154&gt;=0,AN1154=30),AL1154-AM1154,"")</f>
        <v>1</v>
      </c>
      <c r="L1154" s="29" t="n">
        <f>IF(ISNUMBER(BI1154),BI1154/90,"")</f>
        <v>0.0036026595456873545</v>
      </c>
      <c r="M1154" s="28" t="n">
        <v>2</v>
      </c>
      <c r="N1154" s="28" t="n">
        <v>0</v>
      </c>
      <c r="O1154" s="28" t="n">
        <v>0</v>
      </c>
      <c r="P1154" s="30" t="n">
        <f>IF(AND(ISNUMBER(L1154),L1154&gt;0,COUNT(M1154:O1154)=3,MIN(M1154:O1154)&gt;=0),SUM(M1154:O1154)/L1154,"")</f>
        <v>555.1454348202692</v>
      </c>
      <c r="Q1154" s="16" t="str">
        <v>沿用原计划SKU店铺</v>
      </c>
      <c r="R1154" s="16" t="str">
        <v>已匹配</v>
      </c>
      <c r="S1154" s="16" t="str">
        <v>在售</v>
      </c>
      <c r="T1154" s="16" t="str">
        <v>S02a</v>
      </c>
      <c r="U1154" s="16" t="str">
        <v>白色PU</v>
      </c>
      <c r="V1154" s="16" t="n">
        <v>11</v>
      </c>
      <c r="W1154" s="8" t="str">
        <v>2026-10-11 至 2026-10-17</v>
      </c>
      <c r="X1154" s="8" t="str">
        <v>2026-10-11、2026-10-12、2026-10-13、2026-10-14、2026-10-15、2026-10-16、2026-10-17</v>
      </c>
      <c r="Y1154" s="8" t="str">
        <v>无</v>
      </c>
      <c r="Z1154" s="8" t="n">
        <v>0</v>
      </c>
      <c r="AA1154" s="8" t="n">
        <v>0</v>
      </c>
      <c r="AB1154" s="8" t="n">
        <v>7</v>
      </c>
      <c r="AC1154" s="8" t="str">
        <v>2026-10-02 至 2026-10-17</v>
      </c>
      <c r="AD1154" s="8" t="str">
        <v>2026-10-02、2026-10-03、2026-10-04、2026-10-05、2026-10-08、2026-10-09、2026-10-10、2026-10-11、2026-10-12、2026-10-13、2026-10-14、2026-10-15、2026-10-16、2026-10-17</v>
      </c>
      <c r="AE1154" s="8" t="str">
        <v>2026-10-06 大促；2026-10-07 大促</v>
      </c>
      <c r="AF1154" s="8" t="n">
        <v>0</v>
      </c>
      <c r="AG1154" s="8" t="n">
        <v>0</v>
      </c>
      <c r="AH1154" s="8" t="n">
        <v>14</v>
      </c>
      <c r="AI1154" s="8" t="str">
        <v>2026-09-16 至 2026-10-17</v>
      </c>
      <c r="AJ115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4" s="8" t="str">
        <v>2026-10-06 大促；2026-10-07 大促</v>
      </c>
      <c r="AL1154" s="8" t="n">
        <v>1</v>
      </c>
      <c r="AM1154" s="8" t="n">
        <v>0</v>
      </c>
      <c r="AN1154" s="8" t="n">
        <v>30</v>
      </c>
      <c r="AO1154" s="8" t="str">
        <v>S02a / 白色 / 6574</v>
      </c>
      <c r="AP1154" s="11" t="n">
        <v>0.7647664488148722</v>
      </c>
      <c r="AQ1154" s="11" t="n">
        <v>0.7647664488148722</v>
      </c>
      <c r="AR1154" s="11" t="n">
        <v>0.8066052567225582</v>
      </c>
      <c r="AS1154" s="11" t="n">
        <f>IF(AND(COUNT(I1154:K1154,AP1154:AR1154)=6,MIN(AP1154:AR1154)&gt;0),I1154/7/AP1154*0.5+J1154/14/AQ1154*0.3+K1154/30/AR1154*0.2,"")</f>
        <v>0.008265092015089294</v>
      </c>
      <c r="AT1154" s="8" t="n">
        <v>2</v>
      </c>
      <c r="AU1154" s="8" t="n">
        <v>0</v>
      </c>
      <c r="AV1154" s="8" t="n">
        <v>88</v>
      </c>
      <c r="AW1154" s="11" t="n">
        <f>IF(AND(COUNT(AT1154:AV1154)=3,AT1154&gt;=AU1154,AU1154&gt;=0,AV1154&gt;0),(AT1154-AU1154)/AV1154,"")</f>
        <v>0.022727272727272728</v>
      </c>
      <c r="AX1154" s="8" t="n">
        <v>13</v>
      </c>
      <c r="AY1154" s="8" t="n">
        <v>0</v>
      </c>
      <c r="AZ1154" s="8" t="n">
        <v>178</v>
      </c>
      <c r="BA1154" s="11" t="n">
        <f>IF(AND(COUNT(AX1154:AZ1154)=3,AX1154&gt;=AY1154,AY1154&gt;=0,AZ1154&gt;0),(AX1154-AY1154)/AZ1154,"")</f>
        <v>0.07303370786516854</v>
      </c>
      <c r="BB1154" s="8" t="n">
        <f>IF(COUNT(AS1154,AW1154,BA1154)=3,1,0)</f>
        <v>1</v>
      </c>
      <c r="BC1154" s="11" t="n">
        <f>IF(SUMIF($AO$11:$AO$1309,AO1154,$BB$11:$BB$1309)=COUNTIF($AO$11:$AO$1309,AO1154),SUMIF($AO$11:$AO$1309,AO1154,$AS$11:$AS$1309),"")</f>
        <v>0.008265092015089294</v>
      </c>
      <c r="BD1154" s="11" t="n">
        <f>IF(SUMIF($AO$11:$AO$1309,AO1154,$BB$11:$BB$1309)=COUNTIF($AO$11:$AO$1309,AO1154),SUMIF($AO$11:$AO$1309,AO1154,$AW$11:$AW$1309),"")</f>
        <v>0.06818181818181818</v>
      </c>
      <c r="BE1154" s="11" t="n">
        <f>IF(SUMIF($AO$11:$AO$1309,AO1154,$BB$11:$BB$1309)=COUNTIF($AO$11:$AO$1309,AO1154),SUMIF($AO$11:$AO$1309,AO1154,$BA$11:$BA$1309),"")</f>
        <v>0.20224719101123595</v>
      </c>
      <c r="BF1154" s="12" t="n">
        <f>IF(COUNT(BD1154:BE1154)&lt;&gt;2,"",IF(AND(BD1154&gt;0,BE1154&gt;0),0.7*AW1154/BD1154+0.3*BA1154/BE1154,IF(BD1154&gt;0,AW1154/BD1154,IF(BE1154&gt;0,BA1154/BE1154,IF(AND(ISNUMBER(BH1154),BH1154=0),0,"")))))</f>
        <v>0.3416666666666667</v>
      </c>
      <c r="BG1154" s="11" t="n">
        <f>IF(AND(COUNT(BN1154:BU1154)=8,MIN(BN1154:BU1154)&gt;=0),SUMPRODUCT(BN1154:BQ1154,BR1154:BU1154),"")</f>
        <v>114.81944114457707</v>
      </c>
      <c r="BH1154" s="11" t="n">
        <f>IF(COUNT(BC1154,BG1154)=2,BC1154*BG1154,"")</f>
        <v>0.9489932461810591</v>
      </c>
      <c r="BI1154" s="11" t="n">
        <f>IF(ISNUMBER(CI1154),CI1154,"")</f>
        <v>0.3242393591118619</v>
      </c>
      <c r="BJ1154" s="8" t="str">
        <v>近180天本色销量41双（＜90），无有效新采购，请运营判断</v>
      </c>
      <c r="BK1154" s="8" t="str">
        <v>90天：2026-07-20 至 2026-10-17；180天：2026-04-21 至 2026-10-17</v>
      </c>
      <c r="BL1154" s="8" t="str">
        <v>90天：2026-10-06、2026-10-07；180天：2026-10-06、2026-10-07</v>
      </c>
      <c r="BM1154" s="8" t="str">
        <v>2026-10：12天 × 0.7647664488148722；2026-11：30天 × 1.5248287781391903；2026-12：31天 × 1.2288250057360348；2027-01：17天 × 1.2825767786356366</v>
      </c>
      <c r="BN1154" s="11" t="n">
        <v>0.7647664488148722</v>
      </c>
      <c r="BO1154" s="11" t="n">
        <v>1.5248287781391903</v>
      </c>
      <c r="BP1154" s="11" t="n">
        <v>1.2288250057360348</v>
      </c>
      <c r="BQ1154" s="11" t="n">
        <v>1.2825767786356366</v>
      </c>
      <c r="BR1154" s="8" t="n">
        <v>12</v>
      </c>
      <c r="BS1154" s="8" t="n">
        <v>30</v>
      </c>
      <c r="BT1154" s="8" t="n">
        <v>31</v>
      </c>
      <c r="BU1154" s="8" t="n">
        <v>17</v>
      </c>
      <c r="BV1154" s="11" t="n">
        <f>IF(COUNT(BC1154,BF1154)=2,BC1154*BF1154,"")</f>
        <v>0.002823906438488842</v>
      </c>
      <c r="BW1154" s="11" t="n">
        <f>IF(ISNUMBER(BN1154),BN1154,"")</f>
        <v>0.7647664488148722</v>
      </c>
      <c r="BX1154" s="14" t="n">
        <f>IF(ISNUMBER(BR1154),BR1154,"")</f>
        <v>12</v>
      </c>
      <c r="BY1154" s="13" t="n">
        <f>IF(AND(COUNT(BV1154,BW1154,BX1154)=3,MIN(BV1154,BW1154,BX1154)&gt;=0),BV1154*BW1154*BX1154,"")</f>
        <v>0.025915546784982785</v>
      </c>
      <c r="BZ1154" s="11" t="n">
        <f>IF(ISNUMBER(BO1154),BO1154,"")</f>
        <v>1.5248287781391903</v>
      </c>
      <c r="CA1154" s="14" t="n">
        <f>IF(ISNUMBER(BS1154),BS1154,"")</f>
        <v>30</v>
      </c>
      <c r="CB1154" s="13" t="n">
        <f>IF(AND(COUNT(BV1154,BZ1154,CA1154)=3,MIN(BV1154,BZ1154,CA1154)&gt;=0),BV1154*BZ1154*CA1154,"")</f>
        <v>0.12917921412541</v>
      </c>
      <c r="CC1154" s="11" t="n">
        <f>IF(ISNUMBER(BP1154),BP1154,"")</f>
        <v>1.2288250057360348</v>
      </c>
      <c r="CD1154" s="14" t="n">
        <f>IF(ISNUMBER(BT1154),BT1154,"")</f>
        <v>31</v>
      </c>
      <c r="CE1154" s="13" t="n">
        <f>IF(AND(COUNT(BV1154,CC1154,CD1154)=3,MIN(BV1154,CC1154,CD1154)&gt;=0),BV1154*CC1154*CD1154,"")</f>
        <v>0.1075726922096964</v>
      </c>
      <c r="CF1154" s="11" t="n">
        <f>IF(ISNUMBER(BQ1154),BQ1154,"")</f>
        <v>1.2825767786356366</v>
      </c>
      <c r="CG1154" s="14" t="n">
        <f>IF(ISNUMBER(BU1154),BU1154,"")</f>
        <v>17</v>
      </c>
      <c r="CH1154" s="13" t="n">
        <f>IF(AND(COUNT(BV1154,CF1154,CG1154)=3,MIN(BV1154,CF1154,CG1154)&gt;=0),BV1154*CF1154*CG1154,"")</f>
        <v>0.061571905991772695</v>
      </c>
      <c r="CI1154" s="13" t="n">
        <f>IF(COUNT(BY1154,CB1154,CE1154,CH1154)=4,SUM(BY1154,CB1154,CE1154,CH1154),"")</f>
        <v>0.3242393591118619</v>
      </c>
    </row>
    <row r="1155" ht="72" customHeight="1">
      <c r="A1155" s="16" t="str">
        <v>S02a-WT1-37</v>
      </c>
      <c r="B1155" s="16" t="str">
        <v>3店-SANDIEX-US</v>
      </c>
      <c r="C1155" s="16" t="str">
        <v>陈晨</v>
      </c>
      <c r="D1155" s="26" t="n">
        <f>IF(NOT(ISNUMBER(E1155)),"",IF(OR(E1155&lt;=0,L1155=0),0,IF(OR(NOT(ISNUMBER(F1155)),F1155&lt;0),"",MIN(E1155,INT(F1155)))))</f>
        <v>0</v>
      </c>
      <c r="E1155" s="27" t="n">
        <f>IF(OR(NOT(ISNUMBER(L1155)),COUNT(M1155:O1155)&lt;&gt;3,MIN(M1155:O1155)&lt;0),"",ROUNDUP(ROUND(BI1155-SUM(M1155:O1155),10),0))</f>
        <v>0</v>
      </c>
      <c r="F1155" s="28" t="n">
        <v>30</v>
      </c>
      <c r="G1155" s="28" t="n">
        <f>IF(AND(ISNUMBER(D1155),ISNUMBER(E1155)),IF(OR(E1155&lt;=0,L1155=0),0,E1155-D1155),"")</f>
        <v>0</v>
      </c>
      <c r="H1155" s="16" t="str">
        <f>IF(NOT(ISNUMBER(E1155)),"销量或海外库存待补",IF(OR(E1155&lt;=0,L1155=0),IF(L1155=0,"零日销，本批不发","本批无需补货"),IF(NOT(ISNUMBER(D1155)),"国内库存待补",IF(D1155=0,"国内无可用库存",IF(G1155&gt;0,"先发国内现货","按建议量发货")))))</f>
        <v>零日销，本批不发</v>
      </c>
      <c r="I1155" s="28" t="n">
        <f>IF(AND(COUNT(Z1155,AA1155,AB1155)=3,Z1155&gt;=AA1155,AA1155&gt;=0,AB1155=7),Z1155-AA1155,"")</f>
        <v>0</v>
      </c>
      <c r="J1155" s="28" t="n">
        <f>IF(AND(COUNT(AF1155,AG1155,AH1155)=3,AF1155&gt;=AG1155,AG1155&gt;=0,AH1155=14),AF1155-AG1155,"")</f>
        <v>0</v>
      </c>
      <c r="K1155" s="28" t="n">
        <f>IF(AND(COUNT(AL1155,AM1155,AN1155)=3,AL1155&gt;=AM1155,AM1155&gt;=0,AN1155=30),AL1155-AM1155,"")</f>
        <v>0</v>
      </c>
      <c r="L1155" s="29" t="n">
        <f>IF(ISNUMBER(BI1155),BI1155/90,"")</f>
        <v>0</v>
      </c>
      <c r="M1155" s="28" t="n">
        <v>0</v>
      </c>
      <c r="N1155" s="28" t="n">
        <v>0</v>
      </c>
      <c r="O1155" s="28" t="n">
        <v>0</v>
      </c>
      <c r="P1155" s="30" t="str">
        <f>IF(AND(ISNUMBER(L1155),L1155&gt;0,COUNT(M1155:O1155)=3,MIN(M1155:O1155)&gt;=0),SUM(M1155:O1155)/L1155,"")</f>
      </c>
      <c r="Q1155" s="16" t="str">
        <v>沿用同SPU原计划店铺</v>
      </c>
      <c r="R1155" s="16" t="str">
        <v>已匹配</v>
      </c>
      <c r="S1155" s="16" t="str">
        <v>在售</v>
      </c>
      <c r="T1155" s="16" t="str">
        <v>S02a</v>
      </c>
      <c r="U1155" s="16" t="str">
        <v>白色PU</v>
      </c>
      <c r="V1155" s="16" t="n">
        <v>6.5</v>
      </c>
      <c r="W1155" s="8" t="str">
        <v>2026-10-08 至 2026-10-17</v>
      </c>
      <c r="X1155" s="8" t="str">
        <v>2026-10-08、2026-10-09、2026-10-10、2026-10-11、2026-10-14、2026-10-15、2026-10-17</v>
      </c>
      <c r="Y1155" s="8" t="str">
        <v>2026-10-12 有记录的停售日；2026-10-13 有记录的停售日；2026-10-16 有记录的停售日</v>
      </c>
      <c r="Z1155" s="8" t="n">
        <v>0</v>
      </c>
      <c r="AA1155" s="8" t="n">
        <v>0</v>
      </c>
      <c r="AB1155" s="8" t="n">
        <v>7</v>
      </c>
      <c r="AC1155" s="8" t="str">
        <v>2026-09-29 至 2026-10-17</v>
      </c>
      <c r="AD1155" s="8" t="str">
        <v>2026-09-29、2026-09-30、2026-10-01、2026-10-02、2026-10-03、2026-10-04、2026-10-05、2026-10-08、2026-10-09、2026-10-10、2026-10-11、2026-10-14、2026-10-15、2026-10-17</v>
      </c>
      <c r="AE1155" s="8" t="str">
        <v>2026-10-06 大促；2026-10-07 大促；2026-10-12 有记录的停售日；2026-10-13 有记录的停售日；2026-10-16 有记录的停售日</v>
      </c>
      <c r="AF1155" s="8" t="n">
        <v>0</v>
      </c>
      <c r="AG1155" s="8" t="n">
        <v>0</v>
      </c>
      <c r="AH1155" s="8" t="n">
        <v>14</v>
      </c>
      <c r="AI1155" s="8" t="str">
        <v>2026-09-13 至 2026-10-17</v>
      </c>
      <c r="AJ115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55" s="8" t="str">
        <v>2026-10-06 大促；2026-10-07 大促；2026-10-12 有记录的停售日；2026-10-13 有记录的停售日；2026-10-16 有记录的停售日</v>
      </c>
      <c r="AL1155" s="8" t="n">
        <v>0</v>
      </c>
      <c r="AM1155" s="8" t="n">
        <v>0</v>
      </c>
      <c r="AN1155" s="8" t="n">
        <v>30</v>
      </c>
      <c r="AO1155" s="8" t="str">
        <v>S02a / 白色 / 6574</v>
      </c>
      <c r="AP1155" s="11" t="n">
        <v>0.7647664488148722</v>
      </c>
      <c r="AQ1155" s="11" t="n">
        <v>0.776720393931354</v>
      </c>
      <c r="AR1155" s="11" t="n">
        <v>0.8149730183040955</v>
      </c>
      <c r="AS1155" s="11" t="n">
        <f>IF(AND(COUNT(I1155:K1155,AP1155:AR1155)=6,MIN(AP1155:AR1155)&gt;0),I1155/7/AP1155*0.5+J1155/14/AQ1155*0.3+K1155/30/AR1155*0.2,"")</f>
        <v>0</v>
      </c>
      <c r="AT1155" s="8" t="n">
        <v>0</v>
      </c>
      <c r="AU1155" s="8" t="n">
        <v>0</v>
      </c>
      <c r="AV1155" s="8" t="n">
        <v>85</v>
      </c>
      <c r="AW1155" s="11" t="n">
        <f>IF(AND(COUNT(AT1155:AV1155)=3,AT1155&gt;=AU1155,AU1155&gt;=0,AV1155&gt;0),(AT1155-AU1155)/AV1155,"")</f>
        <v>0</v>
      </c>
      <c r="AX1155" s="8" t="n">
        <v>0</v>
      </c>
      <c r="AY1155" s="8" t="n">
        <v>0</v>
      </c>
      <c r="AZ1155" s="8" t="n">
        <v>175</v>
      </c>
      <c r="BA1155" s="11" t="n">
        <f>IF(AND(COUNT(AX1155:AZ1155)=3,AX1155&gt;=AY1155,AY1155&gt;=0,AZ1155&gt;0),(AX1155-AY1155)/AZ1155,"")</f>
        <v>0</v>
      </c>
      <c r="BB1155" s="8" t="n">
        <f>IF(COUNT(AS1155,AW1155,BA1155)=3,1,0)</f>
        <v>1</v>
      </c>
      <c r="BC1155" s="11" t="n">
        <f>IF(SUMIF($AO$11:$AO$1309,AO1155,$BB$11:$BB$1309)=COUNTIF($AO$11:$AO$1309,AO1155),SUMIF($AO$11:$AO$1309,AO1155,$AS$11:$AS$1309),"")</f>
        <v>0.008265092015089294</v>
      </c>
      <c r="BD1155" s="11" t="n">
        <f>IF(SUMIF($AO$11:$AO$1309,AO1155,$BB$11:$BB$1309)=COUNTIF($AO$11:$AO$1309,AO1155),SUMIF($AO$11:$AO$1309,AO1155,$AW$11:$AW$1309),"")</f>
        <v>0.06818181818181818</v>
      </c>
      <c r="BE1155" s="11" t="n">
        <f>IF(SUMIF($AO$11:$AO$1309,AO1155,$BB$11:$BB$1309)=COUNTIF($AO$11:$AO$1309,AO1155),SUMIF($AO$11:$AO$1309,AO1155,$BA$11:$BA$1309),"")</f>
        <v>0.20224719101123595</v>
      </c>
      <c r="BF1155" s="12" t="n">
        <f>IF(COUNT(BD1155:BE1155)&lt;&gt;2,"",IF(AND(BD1155&gt;0,BE1155&gt;0),0.7*AW1155/BD1155+0.3*BA1155/BE1155,IF(BD1155&gt;0,AW1155/BD1155,IF(BE1155&gt;0,BA1155/BE1155,IF(AND(ISNUMBER(BH1155),BH1155=0),0,"")))))</f>
        <v>0</v>
      </c>
      <c r="BG1155" s="11" t="n">
        <f>IF(AND(COUNT(BN1155:BU1155)=8,MIN(BN1155:BU1155)&gt;=0),SUMPRODUCT(BN1155:BQ1155,BR1155:BU1155),"")</f>
        <v>114.81944114457707</v>
      </c>
      <c r="BH1155" s="11" t="n">
        <f>IF(COUNT(BC1155,BG1155)=2,BC1155*BG1155,"")</f>
        <v>0.9489932461810591</v>
      </c>
      <c r="BI1155" s="11" t="n">
        <f>IF(ISNUMBER(CI1155),CI1155,"")</f>
        <v>0</v>
      </c>
      <c r="BJ1155" s="8" t="str">
        <v>近180天本色销量41双（＜90），无有效新采购，请运营判断</v>
      </c>
      <c r="BK1155" s="8" t="str">
        <v>90天：2026-07-20 至 2026-10-17；180天：2026-04-21 至 2026-10-17</v>
      </c>
      <c r="BL1155" s="8" t="str">
        <v>90天：2026-10-06、2026-10-07、2026-10-12、2026-10-13、2026-10-16；180天：2026-10-06、2026-10-07、2026-10-12、2026-10-13、2026-10-16</v>
      </c>
      <c r="BM1155" s="8" t="str">
        <v>2026-10：12天 × 0.7647664488148722；2026-11：30天 × 1.5248287781391903；2026-12：31天 × 1.2288250057360348；2027-01：17天 × 1.2825767786356366</v>
      </c>
      <c r="BN1155" s="11" t="n">
        <v>0.7647664488148722</v>
      </c>
      <c r="BO1155" s="11" t="n">
        <v>1.5248287781391903</v>
      </c>
      <c r="BP1155" s="11" t="n">
        <v>1.2288250057360348</v>
      </c>
      <c r="BQ1155" s="11" t="n">
        <v>1.2825767786356366</v>
      </c>
      <c r="BR1155" s="8" t="n">
        <v>12</v>
      </c>
      <c r="BS1155" s="8" t="n">
        <v>30</v>
      </c>
      <c r="BT1155" s="8" t="n">
        <v>31</v>
      </c>
      <c r="BU1155" s="8" t="n">
        <v>17</v>
      </c>
      <c r="BV1155" s="11" t="n">
        <f>IF(COUNT(BC1155,BF1155)=2,BC1155*BF1155,"")</f>
        <v>0</v>
      </c>
      <c r="BW1155" s="11" t="n">
        <f>IF(ISNUMBER(BN1155),BN1155,"")</f>
        <v>0.7647664488148722</v>
      </c>
      <c r="BX1155" s="14" t="n">
        <f>IF(ISNUMBER(BR1155),BR1155,"")</f>
        <v>12</v>
      </c>
      <c r="BY1155" s="13" t="n">
        <f>IF(AND(COUNT(BV1155,BW1155,BX1155)=3,MIN(BV1155,BW1155,BX1155)&gt;=0),BV1155*BW1155*BX1155,"")</f>
        <v>0</v>
      </c>
      <c r="BZ1155" s="11" t="n">
        <f>IF(ISNUMBER(BO1155),BO1155,"")</f>
        <v>1.5248287781391903</v>
      </c>
      <c r="CA1155" s="14" t="n">
        <f>IF(ISNUMBER(BS1155),BS1155,"")</f>
        <v>30</v>
      </c>
      <c r="CB1155" s="13" t="n">
        <f>IF(AND(COUNT(BV1155,BZ1155,CA1155)=3,MIN(BV1155,BZ1155,CA1155)&gt;=0),BV1155*BZ1155*CA1155,"")</f>
        <v>0</v>
      </c>
      <c r="CC1155" s="11" t="n">
        <f>IF(ISNUMBER(BP1155),BP1155,"")</f>
        <v>1.2288250057360348</v>
      </c>
      <c r="CD1155" s="14" t="n">
        <f>IF(ISNUMBER(BT1155),BT1155,"")</f>
        <v>31</v>
      </c>
      <c r="CE1155" s="13" t="n">
        <f>IF(AND(COUNT(BV1155,CC1155,CD1155)=3,MIN(BV1155,CC1155,CD1155)&gt;=0),BV1155*CC1155*CD1155,"")</f>
        <v>0</v>
      </c>
      <c r="CF1155" s="11" t="n">
        <f>IF(ISNUMBER(BQ1155),BQ1155,"")</f>
        <v>1.2825767786356366</v>
      </c>
      <c r="CG1155" s="14" t="n">
        <f>IF(ISNUMBER(BU1155),BU1155,"")</f>
        <v>17</v>
      </c>
      <c r="CH1155" s="13" t="n">
        <f>IF(AND(COUNT(BV1155,CF1155,CG1155)=3,MIN(BV1155,CF1155,CG1155)&gt;=0),BV1155*CF1155*CG1155,"")</f>
        <v>0</v>
      </c>
      <c r="CI1155" s="13" t="n">
        <f>IF(COUNT(BY1155,CB1155,CE1155,CH1155)=4,SUM(BY1155,CB1155,CE1155,CH1155),"")</f>
        <v>0</v>
      </c>
    </row>
    <row r="1156" ht="72" customHeight="1">
      <c r="A1156" s="16" t="str">
        <v>S02a-WT1-40</v>
      </c>
      <c r="B1156" s="16" t="str">
        <v>3店-SANDIEX-US</v>
      </c>
      <c r="C1156" s="16" t="str">
        <v>陈晨</v>
      </c>
      <c r="D1156" s="26" t="n">
        <f>IF(NOT(ISNUMBER(E1156)),"",IF(OR(E1156&lt;=0,L1156=0),0,IF(OR(NOT(ISNUMBER(F1156)),F1156&lt;0),"",MIN(E1156,INT(F1156)))))</f>
        <v>0</v>
      </c>
      <c r="E1156" s="27" t="n">
        <f>IF(OR(NOT(ISNUMBER(L1156)),COUNT(M1156:O1156)&lt;&gt;3,MIN(M1156:O1156)&lt;0),"",ROUNDUP(ROUND(BI1156-SUM(M1156:O1156),10),0))</f>
        <v>-16</v>
      </c>
      <c r="F1156" s="28" t="n">
        <v>8</v>
      </c>
      <c r="G1156" s="28" t="n">
        <f>IF(AND(ISNUMBER(D1156),ISNUMBER(E1156)),IF(OR(E1156&lt;=0,L1156=0),0,E1156-D1156),"")</f>
        <v>0</v>
      </c>
      <c r="H1156" s="16" t="str">
        <f>IF(NOT(ISNUMBER(E1156)),"销量或海外库存待补",IF(OR(E1156&lt;=0,L1156=0),IF(L1156=0,"零日销，本批不发","本批无需补货"),IF(NOT(ISNUMBER(D1156)),"国内库存待补",IF(D1156=0,"国内无可用库存",IF(G1156&gt;0,"先发国内现货","按建议量发货")))))</f>
        <v>本批无需补货</v>
      </c>
      <c r="I1156" s="28" t="n">
        <f>IF(AND(COUNT(Z1156,AA1156,AB1156)=3,Z1156&gt;=AA1156,AA1156&gt;=0,AB1156=7),Z1156-AA1156,"")</f>
        <v>0</v>
      </c>
      <c r="J1156" s="28" t="n">
        <f>IF(AND(COUNT(AF1156,AG1156,AH1156)=3,AF1156&gt;=AG1156,AG1156&gt;=0,AH1156=14),AF1156-AG1156,"")</f>
        <v>0</v>
      </c>
      <c r="K1156" s="28" t="n">
        <f>IF(AND(COUNT(AL1156,AM1156,AN1156)=3,AL1156&gt;=AM1156,AM1156&gt;=0,AN1156=30),AL1156-AM1156,"")</f>
        <v>0</v>
      </c>
      <c r="L1156" s="29" t="n">
        <f>IF(ISNUMBER(BI1156),BI1156/90,"")</f>
        <v>0.00043934872508382376</v>
      </c>
      <c r="M1156" s="28" t="n">
        <v>16</v>
      </c>
      <c r="N1156" s="28" t="n">
        <v>0</v>
      </c>
      <c r="O1156" s="28" t="n">
        <v>0</v>
      </c>
      <c r="P1156" s="30" t="n">
        <f>IF(AND(ISNUMBER(L1156),L1156&gt;0,COUNT(M1156:O1156)=3,MIN(M1156:O1156)&gt;=0),SUM(M1156:O1156)/L1156,"")</f>
        <v>36417.54052420966</v>
      </c>
      <c r="Q1156" s="16" t="str">
        <v>沿用同SPU原计划店铺</v>
      </c>
      <c r="R1156" s="16" t="str">
        <v>已匹配</v>
      </c>
      <c r="S1156" s="16" t="str">
        <v>在售</v>
      </c>
      <c r="T1156" s="16" t="str">
        <v>S02a</v>
      </c>
      <c r="U1156" s="16" t="str">
        <v>白色PU</v>
      </c>
      <c r="V1156" s="16" t="n">
        <v>8.5</v>
      </c>
      <c r="W1156" s="8" t="str">
        <v>2026-10-11 至 2026-10-17</v>
      </c>
      <c r="X1156" s="8" t="str">
        <v>2026-10-11、2026-10-12、2026-10-13、2026-10-14、2026-10-15、2026-10-16、2026-10-17</v>
      </c>
      <c r="Y1156" s="8" t="str">
        <v>无</v>
      </c>
      <c r="Z1156" s="8" t="n">
        <v>0</v>
      </c>
      <c r="AA1156" s="8" t="n">
        <v>0</v>
      </c>
      <c r="AB1156" s="8" t="n">
        <v>7</v>
      </c>
      <c r="AC1156" s="8" t="str">
        <v>2026-10-02 至 2026-10-17</v>
      </c>
      <c r="AD1156" s="8" t="str">
        <v>2026-10-02、2026-10-03、2026-10-04、2026-10-05、2026-10-08、2026-10-09、2026-10-10、2026-10-11、2026-10-12、2026-10-13、2026-10-14、2026-10-15、2026-10-16、2026-10-17</v>
      </c>
      <c r="AE1156" s="8" t="str">
        <v>2026-10-06 大促；2026-10-07 大促</v>
      </c>
      <c r="AF1156" s="8" t="n">
        <v>0</v>
      </c>
      <c r="AG1156" s="8" t="n">
        <v>0</v>
      </c>
      <c r="AH1156" s="8" t="n">
        <v>14</v>
      </c>
      <c r="AI1156" s="8" t="str">
        <v>2026-09-16 至 2026-10-17</v>
      </c>
      <c r="AJ115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6" s="8" t="str">
        <v>2026-10-06 大促；2026-10-07 大促</v>
      </c>
      <c r="AL1156" s="8" t="n">
        <v>0</v>
      </c>
      <c r="AM1156" s="8" t="n">
        <v>0</v>
      </c>
      <c r="AN1156" s="8" t="n">
        <v>30</v>
      </c>
      <c r="AO1156" s="8" t="str">
        <v>S02a / 白色 / 6574</v>
      </c>
      <c r="AP1156" s="11" t="n">
        <v>0.7647664488148722</v>
      </c>
      <c r="AQ1156" s="11" t="n">
        <v>0.7647664488148722</v>
      </c>
      <c r="AR1156" s="11" t="n">
        <v>0.8066052567225582</v>
      </c>
      <c r="AS1156" s="11" t="n">
        <f>IF(AND(COUNT(I1156:K1156,AP1156:AR1156)=6,MIN(AP1156:AR1156)&gt;0),I1156/7/AP1156*0.5+J1156/14/AQ1156*0.3+K1156/30/AR1156*0.2,"")</f>
        <v>0</v>
      </c>
      <c r="AT1156" s="8" t="n">
        <v>0</v>
      </c>
      <c r="AU1156" s="8" t="n">
        <v>0</v>
      </c>
      <c r="AV1156" s="8" t="n">
        <v>88</v>
      </c>
      <c r="AW1156" s="11" t="n">
        <f>IF(AND(COUNT(AT1156:AV1156)=3,AT1156&gt;=AU1156,AU1156&gt;=0,AV1156&gt;0),(AT1156-AU1156)/AV1156,"")</f>
        <v>0</v>
      </c>
      <c r="AX1156" s="8" t="n">
        <v>5</v>
      </c>
      <c r="AY1156" s="8" t="n">
        <v>0</v>
      </c>
      <c r="AZ1156" s="8" t="n">
        <v>178</v>
      </c>
      <c r="BA1156" s="11" t="n">
        <f>IF(AND(COUNT(AX1156:AZ1156)=3,AX1156&gt;=AY1156,AY1156&gt;=0,AZ1156&gt;0),(AX1156-AY1156)/AZ1156,"")</f>
        <v>0.028089887640449437</v>
      </c>
      <c r="BB1156" s="8" t="n">
        <f>IF(COUNT(AS1156,AW1156,BA1156)=3,1,0)</f>
        <v>1</v>
      </c>
      <c r="BC1156" s="11" t="n">
        <f>IF(SUMIF($AO$11:$AO$1309,AO1156,$BB$11:$BB$1309)=COUNTIF($AO$11:$AO$1309,AO1156),SUMIF($AO$11:$AO$1309,AO1156,$AS$11:$AS$1309),"")</f>
        <v>0.008265092015089294</v>
      </c>
      <c r="BD1156" s="11" t="n">
        <f>IF(SUMIF($AO$11:$AO$1309,AO1156,$BB$11:$BB$1309)=COUNTIF($AO$11:$AO$1309,AO1156),SUMIF($AO$11:$AO$1309,AO1156,$AW$11:$AW$1309),"")</f>
        <v>0.06818181818181818</v>
      </c>
      <c r="BE1156" s="11" t="n">
        <f>IF(SUMIF($AO$11:$AO$1309,AO1156,$BB$11:$BB$1309)=COUNTIF($AO$11:$AO$1309,AO1156),SUMIF($AO$11:$AO$1309,AO1156,$BA$11:$BA$1309),"")</f>
        <v>0.20224719101123595</v>
      </c>
      <c r="BF1156" s="12" t="n">
        <f>IF(COUNT(BD1156:BE1156)&lt;&gt;2,"",IF(AND(BD1156&gt;0,BE1156&gt;0),0.7*AW1156/BD1156+0.3*BA1156/BE1156,IF(BD1156&gt;0,AW1156/BD1156,IF(BE1156&gt;0,BA1156/BE1156,IF(AND(ISNUMBER(BH1156),BH1156=0),0,"")))))</f>
        <v>0.041666666666666664</v>
      </c>
      <c r="BG1156" s="11" t="n">
        <f>IF(AND(COUNT(BN1156:BU1156)=8,MIN(BN1156:BU1156)&gt;=0),SUMPRODUCT(BN1156:BQ1156,BR1156:BU1156),"")</f>
        <v>114.81944114457707</v>
      </c>
      <c r="BH1156" s="11" t="n">
        <f>IF(COUNT(BC1156,BG1156)=2,BC1156*BG1156,"")</f>
        <v>0.9489932461810591</v>
      </c>
      <c r="BI1156" s="11" t="n">
        <f>IF(ISNUMBER(CI1156),CI1156,"")</f>
        <v>0.03954138525754414</v>
      </c>
      <c r="BJ1156" s="8" t="str">
        <v>近180天本色销量41双（＜90），无有效新采购，请运营判断</v>
      </c>
      <c r="BK1156" s="8" t="str">
        <v>90天：2026-07-20 至 2026-10-17；180天：2026-04-21 至 2026-10-17</v>
      </c>
      <c r="BL1156" s="8" t="str">
        <v>90天：2026-10-06、2026-10-07；180天：2026-10-06、2026-10-07</v>
      </c>
      <c r="BM1156" s="8" t="str">
        <v>2026-10：12天 × 0.7647664488148722；2026-11：30天 × 1.5248287781391903；2026-12：31天 × 1.2288250057360348；2027-01：17天 × 1.2825767786356366</v>
      </c>
      <c r="BN1156" s="11" t="n">
        <v>0.7647664488148722</v>
      </c>
      <c r="BO1156" s="11" t="n">
        <v>1.5248287781391903</v>
      </c>
      <c r="BP1156" s="11" t="n">
        <v>1.2288250057360348</v>
      </c>
      <c r="BQ1156" s="11" t="n">
        <v>1.2825767786356366</v>
      </c>
      <c r="BR1156" s="8" t="n">
        <v>12</v>
      </c>
      <c r="BS1156" s="8" t="n">
        <v>30</v>
      </c>
      <c r="BT1156" s="8" t="n">
        <v>31</v>
      </c>
      <c r="BU1156" s="8" t="n">
        <v>17</v>
      </c>
      <c r="BV1156" s="11" t="n">
        <f>IF(COUNT(BC1156,BF1156)=2,BC1156*BF1156,"")</f>
        <v>0.00034437883396205393</v>
      </c>
      <c r="BW1156" s="11" t="n">
        <f>IF(ISNUMBER(BN1156),BN1156,"")</f>
        <v>0.7647664488148722</v>
      </c>
      <c r="BX1156" s="14" t="n">
        <f>IF(ISNUMBER(BR1156),BR1156,"")</f>
        <v>12</v>
      </c>
      <c r="BY1156" s="13" t="n">
        <f>IF(AND(COUNT(BV1156,BW1156,BX1156)=3,MIN(BV1156,BW1156,BX1156)&gt;=0),BV1156*BW1156*BX1156,"")</f>
        <v>0.0031604325347539984</v>
      </c>
      <c r="BZ1156" s="11" t="n">
        <f>IF(ISNUMBER(BO1156),BO1156,"")</f>
        <v>1.5248287781391903</v>
      </c>
      <c r="CA1156" s="14" t="n">
        <f>IF(ISNUMBER(BS1156),BS1156,"")</f>
        <v>30</v>
      </c>
      <c r="CB1156" s="13" t="n">
        <f>IF(AND(COUNT(BV1156,BZ1156,CA1156)=3,MIN(BV1156,BZ1156,CA1156)&gt;=0),BV1156*BZ1156*CA1156,"")</f>
        <v>0.015753562698220733</v>
      </c>
      <c r="CC1156" s="11" t="n">
        <f>IF(ISNUMBER(BP1156),BP1156,"")</f>
        <v>1.2288250057360348</v>
      </c>
      <c r="CD1156" s="14" t="n">
        <f>IF(ISNUMBER(BT1156),BT1156,"")</f>
        <v>31</v>
      </c>
      <c r="CE1156" s="13" t="n">
        <f>IF(AND(COUNT(BV1156,CC1156,CD1156)=3,MIN(BV1156,CC1156,CD1156)&gt;=0),BV1156*CC1156*CD1156,"")</f>
        <v>0.013118621001182487</v>
      </c>
      <c r="CF1156" s="11" t="n">
        <f>IF(ISNUMBER(BQ1156),BQ1156,"")</f>
        <v>1.2825767786356366</v>
      </c>
      <c r="CG1156" s="14" t="n">
        <f>IF(ISNUMBER(BU1156),BU1156,"")</f>
        <v>17</v>
      </c>
      <c r="CH1156" s="13" t="n">
        <f>IF(AND(COUNT(BV1156,CF1156,CG1156)=3,MIN(BV1156,CF1156,CG1156)&gt;=0),BV1156*CF1156*CG1156,"")</f>
        <v>0.007508769023386914</v>
      </c>
      <c r="CI1156" s="13" t="n">
        <f>IF(COUNT(BY1156,CB1156,CE1156,CH1156)=4,SUM(BY1156,CB1156,CE1156,CH1156),"")</f>
        <v>0.03954138525754414</v>
      </c>
    </row>
    <row r="1157" ht="72" customHeight="1">
      <c r="A1157" s="16" t="str">
        <v>S02a-WT1-42</v>
      </c>
      <c r="B1157" s="16" t="str">
        <v>3店-SANDIEX-US</v>
      </c>
      <c r="C1157" s="16" t="str">
        <v>陈晨</v>
      </c>
      <c r="D1157" s="26" t="n">
        <f>IF(NOT(ISNUMBER(E1157)),"",IF(OR(E1157&lt;=0,L1157=0),0,IF(OR(NOT(ISNUMBER(F1157)),F1157&lt;0),"",MIN(E1157,INT(F1157)))))</f>
        <v>0</v>
      </c>
      <c r="E1157" s="27" t="n">
        <f>IF(OR(NOT(ISNUMBER(L1157)),COUNT(M1157:O1157)&lt;&gt;3,MIN(M1157:O1157)&lt;0),"",ROUNDUP(ROUND(BI1157-SUM(M1157:O1157),10),0))</f>
        <v>-19</v>
      </c>
      <c r="F1157" s="28" t="n">
        <v>0</v>
      </c>
      <c r="G1157" s="28" t="n">
        <f>IF(AND(ISNUMBER(D1157),ISNUMBER(E1157)),IF(OR(E1157&lt;=0,L1157=0),0,E1157-D1157),"")</f>
        <v>0</v>
      </c>
      <c r="H1157" s="16" t="str">
        <f>IF(NOT(ISNUMBER(E1157)),"销量或海外库存待补",IF(OR(E1157&lt;=0,L1157=0),IF(L1157=0,"零日销，本批不发","本批无需补货"),IF(NOT(ISNUMBER(D1157)),"国内库存待补",IF(D1157=0,"国内无可用库存",IF(G1157&gt;0,"先发国内现货","按建议量发货")))))</f>
        <v>零日销，本批不发</v>
      </c>
      <c r="I1157" s="28" t="n">
        <f>IF(AND(COUNT(Z1157,AA1157,AB1157)=3,Z1157&gt;=AA1157,AA1157&gt;=0,AB1157=7),Z1157-AA1157,"")</f>
        <v>0</v>
      </c>
      <c r="J1157" s="28" t="n">
        <f>IF(AND(COUNT(AF1157,AG1157,AH1157)=3,AF1157&gt;=AG1157,AG1157&gt;=0,AH1157=14),AF1157-AG1157,"")</f>
        <v>0</v>
      </c>
      <c r="K1157" s="28" t="n">
        <f>IF(AND(COUNT(AL1157,AM1157,AN1157)=3,AL1157&gt;=AM1157,AM1157&gt;=0,AN1157=30),AL1157-AM1157,"")</f>
        <v>0</v>
      </c>
      <c r="L1157" s="29" t="n">
        <f>IF(ISNUMBER(BI1157),BI1157/90,"")</f>
        <v>0</v>
      </c>
      <c r="M1157" s="28" t="n">
        <v>19</v>
      </c>
      <c r="N1157" s="28" t="n">
        <v>0</v>
      </c>
      <c r="O1157" s="28" t="n">
        <v>0</v>
      </c>
      <c r="P1157" s="30" t="str">
        <f>IF(AND(ISNUMBER(L1157),L1157&gt;0,COUNT(M1157:O1157)=3,MIN(M1157:O1157)&gt;=0),SUM(M1157:O1157)/L1157,"")</f>
      </c>
      <c r="Q1157" s="16" t="str">
        <v>沿用同SPU原计划店铺</v>
      </c>
      <c r="R1157" s="16" t="str">
        <v>已匹配</v>
      </c>
      <c r="S1157" s="16" t="str">
        <v>在售</v>
      </c>
      <c r="T1157" s="16" t="str">
        <v>S02a</v>
      </c>
      <c r="U1157" s="16" t="str">
        <v>白色PU</v>
      </c>
      <c r="V1157" s="16" t="n">
        <v>10.5</v>
      </c>
      <c r="W1157" s="8" t="str">
        <v>2026-10-11 至 2026-10-17</v>
      </c>
      <c r="X1157" s="8" t="str">
        <v>2026-10-11、2026-10-12、2026-10-13、2026-10-14、2026-10-15、2026-10-16、2026-10-17</v>
      </c>
      <c r="Y1157" s="8" t="str">
        <v>无</v>
      </c>
      <c r="Z1157" s="8" t="n">
        <v>0</v>
      </c>
      <c r="AA1157" s="8" t="n">
        <v>0</v>
      </c>
      <c r="AB1157" s="8" t="n">
        <v>7</v>
      </c>
      <c r="AC1157" s="8" t="str">
        <v>2026-10-02 至 2026-10-17</v>
      </c>
      <c r="AD1157" s="8" t="str">
        <v>2026-10-02、2026-10-03、2026-10-04、2026-10-05、2026-10-08、2026-10-09、2026-10-10、2026-10-11、2026-10-12、2026-10-13、2026-10-14、2026-10-15、2026-10-16、2026-10-17</v>
      </c>
      <c r="AE1157" s="8" t="str">
        <v>2026-10-06 大促；2026-10-07 大促</v>
      </c>
      <c r="AF1157" s="8" t="n">
        <v>1</v>
      </c>
      <c r="AG1157" s="8" t="n">
        <v>1</v>
      </c>
      <c r="AH1157" s="8" t="n">
        <v>14</v>
      </c>
      <c r="AI1157" s="8" t="str">
        <v>2026-09-16 至 2026-10-17</v>
      </c>
      <c r="AJ115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7" s="8" t="str">
        <v>2026-10-06 大促；2026-10-07 大促</v>
      </c>
      <c r="AL1157" s="8" t="n">
        <v>1</v>
      </c>
      <c r="AM1157" s="8" t="n">
        <v>1</v>
      </c>
      <c r="AN1157" s="8" t="n">
        <v>30</v>
      </c>
      <c r="AO1157" s="8" t="str">
        <v>S02a / 白色 / 6574</v>
      </c>
      <c r="AP1157" s="11" t="n">
        <v>0.7647664488148722</v>
      </c>
      <c r="AQ1157" s="11" t="n">
        <v>0.7647664488148722</v>
      </c>
      <c r="AR1157" s="11" t="n">
        <v>0.8066052567225582</v>
      </c>
      <c r="AS1157" s="11" t="n">
        <f>IF(AND(COUNT(I1157:K1157,AP1157:AR1157)=6,MIN(AP1157:AR1157)&gt;0),I1157/7/AP1157*0.5+J1157/14/AQ1157*0.3+K1157/30/AR1157*0.2,"")</f>
        <v>0</v>
      </c>
      <c r="AT1157" s="8" t="n">
        <v>1</v>
      </c>
      <c r="AU1157" s="8" t="n">
        <v>1</v>
      </c>
      <c r="AV1157" s="8" t="n">
        <v>88</v>
      </c>
      <c r="AW1157" s="11" t="n">
        <f>IF(AND(COUNT(AT1157:AV1157)=3,AT1157&gt;=AU1157,AU1157&gt;=0,AV1157&gt;0),(AT1157-AU1157)/AV1157,"")</f>
        <v>0</v>
      </c>
      <c r="AX1157" s="8" t="n">
        <v>1</v>
      </c>
      <c r="AY1157" s="8" t="n">
        <v>1</v>
      </c>
      <c r="AZ1157" s="8" t="n">
        <v>178</v>
      </c>
      <c r="BA1157" s="11" t="n">
        <f>IF(AND(COUNT(AX1157:AZ1157)=3,AX1157&gt;=AY1157,AY1157&gt;=0,AZ1157&gt;0),(AX1157-AY1157)/AZ1157,"")</f>
        <v>0</v>
      </c>
      <c r="BB1157" s="8" t="n">
        <f>IF(COUNT(AS1157,AW1157,BA1157)=3,1,0)</f>
        <v>1</v>
      </c>
      <c r="BC1157" s="11" t="n">
        <f>IF(SUMIF($AO$11:$AO$1309,AO1157,$BB$11:$BB$1309)=COUNTIF($AO$11:$AO$1309,AO1157),SUMIF($AO$11:$AO$1309,AO1157,$AS$11:$AS$1309),"")</f>
        <v>0.008265092015089294</v>
      </c>
      <c r="BD1157" s="11" t="n">
        <f>IF(SUMIF($AO$11:$AO$1309,AO1157,$BB$11:$BB$1309)=COUNTIF($AO$11:$AO$1309,AO1157),SUMIF($AO$11:$AO$1309,AO1157,$AW$11:$AW$1309),"")</f>
        <v>0.06818181818181818</v>
      </c>
      <c r="BE1157" s="11" t="n">
        <f>IF(SUMIF($AO$11:$AO$1309,AO1157,$BB$11:$BB$1309)=COUNTIF($AO$11:$AO$1309,AO1157),SUMIF($AO$11:$AO$1309,AO1157,$BA$11:$BA$1309),"")</f>
        <v>0.20224719101123595</v>
      </c>
      <c r="BF1157" s="12" t="n">
        <f>IF(COUNT(BD1157:BE1157)&lt;&gt;2,"",IF(AND(BD1157&gt;0,BE1157&gt;0),0.7*AW1157/BD1157+0.3*BA1157/BE1157,IF(BD1157&gt;0,AW1157/BD1157,IF(BE1157&gt;0,BA1157/BE1157,IF(AND(ISNUMBER(BH1157),BH1157=0),0,"")))))</f>
        <v>0</v>
      </c>
      <c r="BG1157" s="11" t="n">
        <f>IF(AND(COUNT(BN1157:BU1157)=8,MIN(BN1157:BU1157)&gt;=0),SUMPRODUCT(BN1157:BQ1157,BR1157:BU1157),"")</f>
        <v>114.81944114457707</v>
      </c>
      <c r="BH1157" s="11" t="n">
        <f>IF(COUNT(BC1157,BG1157)=2,BC1157*BG1157,"")</f>
        <v>0.9489932461810591</v>
      </c>
      <c r="BI1157" s="11" t="n">
        <f>IF(ISNUMBER(CI1157),CI1157,"")</f>
        <v>0</v>
      </c>
      <c r="BJ1157" s="8" t="str">
        <v>近180天本色销量41双（＜90），无有效新采购，请运营判断</v>
      </c>
      <c r="BK1157" s="8" t="str">
        <v>90天：2026-07-20 至 2026-10-17；180天：2026-04-21 至 2026-10-17</v>
      </c>
      <c r="BL1157" s="8" t="str">
        <v>90天：2026-10-06、2026-10-07；180天：2026-10-06、2026-10-07</v>
      </c>
      <c r="BM1157" s="8" t="str">
        <v>2026-10：12天 × 0.7647664488148722；2026-11：30天 × 1.5248287781391903；2026-12：31天 × 1.2288250057360348；2027-01：17天 × 1.2825767786356366</v>
      </c>
      <c r="BN1157" s="11" t="n">
        <v>0.7647664488148722</v>
      </c>
      <c r="BO1157" s="11" t="n">
        <v>1.5248287781391903</v>
      </c>
      <c r="BP1157" s="11" t="n">
        <v>1.2288250057360348</v>
      </c>
      <c r="BQ1157" s="11" t="n">
        <v>1.2825767786356366</v>
      </c>
      <c r="BR1157" s="8" t="n">
        <v>12</v>
      </c>
      <c r="BS1157" s="8" t="n">
        <v>30</v>
      </c>
      <c r="BT1157" s="8" t="n">
        <v>31</v>
      </c>
      <c r="BU1157" s="8" t="n">
        <v>17</v>
      </c>
      <c r="BV1157" s="11" t="n">
        <f>IF(COUNT(BC1157,BF1157)=2,BC1157*BF1157,"")</f>
        <v>0</v>
      </c>
      <c r="BW1157" s="11" t="n">
        <f>IF(ISNUMBER(BN1157),BN1157,"")</f>
        <v>0.7647664488148722</v>
      </c>
      <c r="BX1157" s="14" t="n">
        <f>IF(ISNUMBER(BR1157),BR1157,"")</f>
        <v>12</v>
      </c>
      <c r="BY1157" s="13" t="n">
        <f>IF(AND(COUNT(BV1157,BW1157,BX1157)=3,MIN(BV1157,BW1157,BX1157)&gt;=0),BV1157*BW1157*BX1157,"")</f>
        <v>0</v>
      </c>
      <c r="BZ1157" s="11" t="n">
        <f>IF(ISNUMBER(BO1157),BO1157,"")</f>
        <v>1.5248287781391903</v>
      </c>
      <c r="CA1157" s="14" t="n">
        <f>IF(ISNUMBER(BS1157),BS1157,"")</f>
        <v>30</v>
      </c>
      <c r="CB1157" s="13" t="n">
        <f>IF(AND(COUNT(BV1157,BZ1157,CA1157)=3,MIN(BV1157,BZ1157,CA1157)&gt;=0),BV1157*BZ1157*CA1157,"")</f>
        <v>0</v>
      </c>
      <c r="CC1157" s="11" t="n">
        <f>IF(ISNUMBER(BP1157),BP1157,"")</f>
        <v>1.2288250057360348</v>
      </c>
      <c r="CD1157" s="14" t="n">
        <f>IF(ISNUMBER(BT1157),BT1157,"")</f>
        <v>31</v>
      </c>
      <c r="CE1157" s="13" t="n">
        <f>IF(AND(COUNT(BV1157,CC1157,CD1157)=3,MIN(BV1157,CC1157,CD1157)&gt;=0),BV1157*CC1157*CD1157,"")</f>
        <v>0</v>
      </c>
      <c r="CF1157" s="11" t="n">
        <f>IF(ISNUMBER(BQ1157),BQ1157,"")</f>
        <v>1.2825767786356366</v>
      </c>
      <c r="CG1157" s="14" t="n">
        <f>IF(ISNUMBER(BU1157),BU1157,"")</f>
        <v>17</v>
      </c>
      <c r="CH1157" s="13" t="n">
        <f>IF(AND(COUNT(BV1157,CF1157,CG1157)=3,MIN(BV1157,CF1157,CG1157)&gt;=0),BV1157*CF1157*CG1157,"")</f>
        <v>0</v>
      </c>
      <c r="CI1157" s="13" t="n">
        <f>IF(COUNT(BY1157,CB1157,CE1157,CH1157)=4,SUM(BY1157,CB1157,CE1157,CH1157),"")</f>
        <v>0</v>
      </c>
    </row>
    <row r="1158" ht="72" customHeight="1">
      <c r="A1158" s="16" t="str">
        <v>S02b-BK-37</v>
      </c>
      <c r="B1158" s="16" t="str">
        <v>3店-SANDIEX-US</v>
      </c>
      <c r="C1158" s="16" t="str">
        <v>陈晨</v>
      </c>
      <c r="D1158" s="26" t="n">
        <f>IF(NOT(ISNUMBER(E1158)),"",IF(OR(E1158&lt;=0,L1158=0),0,IF(OR(NOT(ISNUMBER(F1158)),F1158&lt;0),"",MIN(E1158,INT(F1158)))))</f>
        <v>0</v>
      </c>
      <c r="E1158" s="27" t="n">
        <f>IF(OR(NOT(ISNUMBER(L1158)),COUNT(M1158:O1158)&lt;&gt;3,MIN(M1158:O1158)&lt;0),"",ROUNDUP(ROUND(BI1158-SUM(M1158:O1158),10),0))</f>
        <v>-71</v>
      </c>
      <c r="F1158" s="28" t="n">
        <v>76</v>
      </c>
      <c r="G1158" s="28" t="n">
        <f>IF(AND(ISNUMBER(D1158),ISNUMBER(E1158)),IF(OR(E1158&lt;=0,L1158=0),0,E1158-D1158),"")</f>
        <v>0</v>
      </c>
      <c r="H1158" s="16" t="str">
        <f>IF(NOT(ISNUMBER(E1158)),"销量或海外库存待补",IF(OR(E1158&lt;=0,L1158=0),IF(L1158=0,"零日销，本批不发","本批无需补货"),IF(NOT(ISNUMBER(D1158)),"国内库存待补",IF(D1158=0,"国内无可用库存",IF(G1158&gt;0,"先发国内现货","按建议量发货")))))</f>
        <v>本批无需补货</v>
      </c>
      <c r="I1158" s="28" t="n">
        <f>IF(AND(COUNT(Z1158,AA1158,AB1158)=3,Z1158&gt;=AA1158,AA1158&gt;=0,AB1158=7),Z1158-AA1158,"")</f>
        <v>1</v>
      </c>
      <c r="J1158" s="28" t="n">
        <f>IF(AND(COUNT(AF1158,AG1158,AH1158)=3,AF1158&gt;=AG1158,AG1158&gt;=0,AH1158=14),AF1158-AG1158,"")</f>
        <v>2</v>
      </c>
      <c r="K1158" s="28" t="n">
        <f>IF(AND(COUNT(AL1158,AM1158,AN1158)=3,AL1158&gt;=AM1158,AM1158&gt;=0,AN1158=30),AL1158-AM1158,"")</f>
        <v>2</v>
      </c>
      <c r="L1158" s="29" t="n">
        <f>IF(ISNUMBER(BI1158),BI1158/90,"")</f>
        <v>0.13983872918000476</v>
      </c>
      <c r="M1158" s="28" t="n">
        <v>83</v>
      </c>
      <c r="N1158" s="28" t="n">
        <v>0</v>
      </c>
      <c r="O1158" s="28" t="n">
        <v>0</v>
      </c>
      <c r="P1158" s="30" t="n">
        <f>IF(AND(ISNUMBER(L1158),L1158&gt;0,COUNT(M1158:O1158)=3,MIN(M1158:O1158)&gt;=0),SUM(M1158:O1158)/L1158,"")</f>
        <v>593.5408630119902</v>
      </c>
      <c r="Q1158" s="16" t="str">
        <v>沿用原计划SKU店铺</v>
      </c>
      <c r="R1158" s="16" t="str">
        <v>已匹配</v>
      </c>
      <c r="S1158" s="16" t="str">
        <v>在售</v>
      </c>
      <c r="T1158" s="16" t="str">
        <v>S02b</v>
      </c>
      <c r="U1158" s="16" t="str">
        <v>黑色</v>
      </c>
      <c r="V1158" s="16" t="n">
        <v>6</v>
      </c>
      <c r="W1158" s="8" t="str">
        <v>2026-10-11 至 2026-10-17</v>
      </c>
      <c r="X1158" s="8" t="str">
        <v>2026-10-11、2026-10-12、2026-10-13、2026-10-14、2026-10-15、2026-10-16、2026-10-17</v>
      </c>
      <c r="Y1158" s="8" t="str">
        <v>无</v>
      </c>
      <c r="Z1158" s="8" t="n">
        <v>1</v>
      </c>
      <c r="AA1158" s="8" t="n">
        <v>0</v>
      </c>
      <c r="AB1158" s="8" t="n">
        <v>7</v>
      </c>
      <c r="AC1158" s="8" t="str">
        <v>2026-10-02 至 2026-10-17</v>
      </c>
      <c r="AD1158" s="8" t="str">
        <v>2026-10-02、2026-10-03、2026-10-04、2026-10-05、2026-10-08、2026-10-09、2026-10-10、2026-10-11、2026-10-12、2026-10-13、2026-10-14、2026-10-15、2026-10-16、2026-10-17</v>
      </c>
      <c r="AE1158" s="8" t="str">
        <v>2026-10-06 大促；2026-10-07 大促</v>
      </c>
      <c r="AF1158" s="8" t="n">
        <v>3</v>
      </c>
      <c r="AG1158" s="8" t="n">
        <v>1</v>
      </c>
      <c r="AH1158" s="8" t="n">
        <v>14</v>
      </c>
      <c r="AI1158" s="8" t="str">
        <v>2026-09-16 至 2026-10-17</v>
      </c>
      <c r="AJ115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8" s="8" t="str">
        <v>2026-10-06 大促；2026-10-07 大促</v>
      </c>
      <c r="AL1158" s="8" t="n">
        <v>3</v>
      </c>
      <c r="AM1158" s="8" t="n">
        <v>1</v>
      </c>
      <c r="AN1158" s="8" t="n">
        <v>30</v>
      </c>
      <c r="AO1158" s="8" t="str">
        <v>S02b / 黑色 / 6574</v>
      </c>
      <c r="AP1158" s="11" t="n">
        <v>0.9658602967882928</v>
      </c>
      <c r="AQ1158" s="11" t="n">
        <v>0.9658602967882928</v>
      </c>
      <c r="AR1158" s="11" t="n">
        <v>0.9166270540270348</v>
      </c>
      <c r="AS1158" s="11" t="n">
        <f>IF(AND(COUNT(I1158:K1158,AP1158:AR1158)=6,MIN(AP1158:AR1158)&gt;0),I1158/7/AP1158*0.5+J1158/14/AQ1158*0.3+K1158/30/AR1158*0.2,"")</f>
        <v>0.1328713882205242</v>
      </c>
      <c r="AT1158" s="8" t="n">
        <v>12</v>
      </c>
      <c r="AU1158" s="8" t="n">
        <v>1</v>
      </c>
      <c r="AV1158" s="8" t="n">
        <v>88</v>
      </c>
      <c r="AW1158" s="11" t="n">
        <f>IF(AND(COUNT(AT1158:AV1158)=3,AT1158&gt;=AU1158,AU1158&gt;=0,AV1158&gt;0),(AT1158-AU1158)/AV1158,"")</f>
        <v>0.125</v>
      </c>
      <c r="AX1158" s="8" t="n">
        <v>28</v>
      </c>
      <c r="AY1158" s="8" t="n">
        <v>1</v>
      </c>
      <c r="AZ1158" s="8" t="n">
        <v>178</v>
      </c>
      <c r="BA1158" s="11" t="n">
        <f>IF(AND(COUNT(AX1158:AZ1158)=3,AX1158&gt;=AY1158,AY1158&gt;=0,AZ1158&gt;0),(AX1158-AY1158)/AZ1158,"")</f>
        <v>0.15168539325842698</v>
      </c>
      <c r="BB1158" s="8" t="n">
        <f>IF(COUNT(AS1158,AW1158,BA1158)=3,1,0)</f>
        <v>1</v>
      </c>
      <c r="BC1158" s="11" t="n">
        <f>IF(SUMIF($AO$11:$AO$1309,AO1158,$BB$11:$BB$1309)=COUNTIF($AO$11:$AO$1309,AO1158),SUMIF($AO$11:$AO$1309,AO1158,$AS$11:$AS$1309),"")</f>
        <v>2.558720364044191</v>
      </c>
      <c r="BD1158" s="11" t="n">
        <f>IF(SUMIF($AO$11:$AO$1309,AO1158,$BB$11:$BB$1309)=COUNTIF($AO$11:$AO$1309,AO1158),SUMIF($AO$11:$AO$1309,AO1158,$AW$11:$AW$1309),"")</f>
        <v>2.465909090909091</v>
      </c>
      <c r="BE1158" s="11" t="n">
        <f>IF(SUMIF($AO$11:$AO$1309,AO1158,$BB$11:$BB$1309)=COUNTIF($AO$11:$AO$1309,AO1158),SUMIF($AO$11:$AO$1309,AO1158,$BA$11:$BA$1309),"")</f>
        <v>2.764044943820225</v>
      </c>
      <c r="BF1158" s="12" t="n">
        <f>IF(COUNT(BD1158:BE1158)&lt;&gt;2,"",IF(AND(BD1158&gt;0,BE1158&gt;0),0.7*AW1158/BD1158+0.3*BA1158/BE1158,IF(BD1158&gt;0,AW1158/BD1158,IF(BE1158&gt;0,BA1158/BE1158,IF(AND(ISNUMBER(BH1158),BH1158=0),0,"")))))</f>
        <v>0.05194728560188828</v>
      </c>
      <c r="BG1158" s="11" t="n">
        <f>IF(AND(COUNT(BN1158:BU1158)=8,MIN(BN1158:BU1158)&gt;=0),SUMPRODUCT(BN1158:BQ1158,BR1158:BU1158),"")</f>
        <v>94.68567795727022</v>
      </c>
      <c r="BH1158" s="11" t="n">
        <f>IF(COUNT(BC1158,BG1158)=2,BC1158*BG1158,"")</f>
        <v>242.27417237259746</v>
      </c>
      <c r="BI1158" s="11" t="n">
        <f>IF(ISNUMBER(CI1158),CI1158,"")</f>
        <v>12.585485626200429</v>
      </c>
      <c r="BJ1158" s="8" t="str"/>
      <c r="BK1158" s="8" t="str">
        <v>90天：2026-07-20 至 2026-10-17；180天：2026-04-21 至 2026-10-17</v>
      </c>
      <c r="BL1158" s="8" t="str">
        <v>90天：2026-10-06、2026-10-07；180天：2026-10-06、2026-10-07</v>
      </c>
      <c r="BM1158" s="8" t="str">
        <v>2026-10：12天 × 0.9658602967882928；2026-11：30天 × 1.1727174450092641；2026-12：31天 × 0.8763339075184018；2027-01：17天 × 1.2204399948507247</v>
      </c>
      <c r="BN1158" s="11" t="n">
        <v>0.9658602967882928</v>
      </c>
      <c r="BO1158" s="11" t="n">
        <v>1.1727174450092641</v>
      </c>
      <c r="BP1158" s="11" t="n">
        <v>0.8763339075184018</v>
      </c>
      <c r="BQ1158" s="11" t="n">
        <v>1.2204399948507247</v>
      </c>
      <c r="BR1158" s="8" t="n">
        <v>12</v>
      </c>
      <c r="BS1158" s="8" t="n">
        <v>30</v>
      </c>
      <c r="BT1158" s="8" t="n">
        <v>31</v>
      </c>
      <c r="BU1158" s="8" t="n">
        <v>17</v>
      </c>
      <c r="BV1158" s="11" t="n">
        <f>IF(COUNT(BC1158,BF1158)=2,BC1158*BF1158,"")</f>
        <v>0.13291857752637112</v>
      </c>
      <c r="BW1158" s="11" t="n">
        <f>IF(ISNUMBER(BN1158),BN1158,"")</f>
        <v>0.9658602967882928</v>
      </c>
      <c r="BX1158" s="14" t="n">
        <f>IF(ISNUMBER(BR1158),BR1158,"")</f>
        <v>12</v>
      </c>
      <c r="BY1158" s="13" t="n">
        <f>IF(AND(COUNT(BV1158,BW1158,BX1158)=3,MIN(BV1158,BW1158,BX1158)&gt;=0),BV1158*BW1158*BX1158,"")</f>
        <v>1.540569320859582</v>
      </c>
      <c r="BZ1158" s="11" t="n">
        <f>IF(ISNUMBER(BO1158),BO1158,"")</f>
        <v>1.1727174450092641</v>
      </c>
      <c r="CA1158" s="14" t="n">
        <f>IF(ISNUMBER(BS1158),BS1158,"")</f>
        <v>30</v>
      </c>
      <c r="CB1158" s="13" t="n">
        <f>IF(AND(COUNT(BV1158,BZ1158,CA1158)=3,MIN(BV1158,BZ1158,CA1158)&gt;=0),BV1158*BZ1158*CA1158,"")</f>
        <v>4.676278038929752</v>
      </c>
      <c r="CC1158" s="11" t="n">
        <f>IF(ISNUMBER(BP1158),BP1158,"")</f>
        <v>0.8763339075184018</v>
      </c>
      <c r="CD1158" s="14" t="n">
        <f>IF(ISNUMBER(BT1158),BT1158,"")</f>
        <v>31</v>
      </c>
      <c r="CE1158" s="13" t="n">
        <f>IF(AND(COUNT(BV1158,CC1158,CD1158)=3,MIN(BV1158,CC1158,CD1158)&gt;=0),BV1158*CC1158*CD1158,"")</f>
        <v>3.6109127491896453</v>
      </c>
      <c r="CF1158" s="11" t="n">
        <f>IF(ISNUMBER(BQ1158),BQ1158,"")</f>
        <v>1.2204399948507247</v>
      </c>
      <c r="CG1158" s="14" t="n">
        <f>IF(ISNUMBER(BU1158),BU1158,"")</f>
        <v>17</v>
      </c>
      <c r="CH1158" s="13" t="n">
        <f>IF(AND(COUNT(BV1158,CF1158,CG1158)=3,MIN(BV1158,CF1158,CG1158)&gt;=0),BV1158*CF1158*CG1158,"")</f>
        <v>2.7577255172214508</v>
      </c>
      <c r="CI1158" s="13" t="n">
        <f>IF(COUNT(BY1158,CB1158,CE1158,CH1158)=4,SUM(BY1158,CB1158,CE1158,CH1158),"")</f>
        <v>12.585485626200429</v>
      </c>
    </row>
    <row r="1159" ht="72" customHeight="1">
      <c r="A1159" s="16" t="str">
        <v>S02b-BK-38</v>
      </c>
      <c r="B1159" s="16" t="str">
        <v>3店-SANDIEX-US</v>
      </c>
      <c r="C1159" s="16" t="str">
        <v>陈晨</v>
      </c>
      <c r="D1159" s="26" t="n">
        <f>IF(NOT(ISNUMBER(E1159)),"",IF(OR(E1159&lt;=0,L1159=0),0,IF(OR(NOT(ISNUMBER(F1159)),F1159&lt;0),"",MIN(E1159,INT(F1159)))))</f>
        <v>0</v>
      </c>
      <c r="E1159" s="27" t="n">
        <f>IF(OR(NOT(ISNUMBER(L1159)),COUNT(M1159:O1159)&lt;&gt;3,MIN(M1159:O1159)&lt;0),"",ROUNDUP(ROUND(BI1159-SUM(M1159:O1159),10),0))</f>
        <v>-12</v>
      </c>
      <c r="F1159" s="28" t="n">
        <v>149</v>
      </c>
      <c r="G1159" s="28" t="n">
        <f>IF(AND(ISNUMBER(D1159),ISNUMBER(E1159)),IF(OR(E1159&lt;=0,L1159=0),0,E1159-D1159),"")</f>
        <v>0</v>
      </c>
      <c r="H1159" s="16" t="str">
        <f>IF(NOT(ISNUMBER(E1159)),"销量或海外库存待补",IF(OR(E1159&lt;=0,L1159=0),IF(L1159=0,"零日销，本批不发","本批无需补货"),IF(NOT(ISNUMBER(D1159)),"国内库存待补",IF(D1159=0,"国内无可用库存",IF(G1159&gt;0,"先发国内现货","按建议量发货")))))</f>
        <v>本批无需补货</v>
      </c>
      <c r="I1159" s="28" t="n">
        <f>IF(AND(COUNT(Z1159,AA1159,AB1159)=3,Z1159&gt;=AA1159,AA1159&gt;=0,AB1159=7),Z1159-AA1159,"")</f>
        <v>3</v>
      </c>
      <c r="J1159" s="28" t="n">
        <f>IF(AND(COUNT(AF1159,AG1159,AH1159)=3,AF1159&gt;=AG1159,AG1159&gt;=0,AH1159=14),AF1159-AG1159,"")</f>
        <v>6</v>
      </c>
      <c r="K1159" s="28" t="n">
        <f>IF(AND(COUNT(AL1159,AM1159,AN1159)=3,AL1159&gt;=AM1159,AM1159&gt;=0,AN1159=30),AL1159-AM1159,"")</f>
        <v>9</v>
      </c>
      <c r="L1159" s="29" t="n">
        <f>IF(ISNUMBER(BI1159),BI1159/90,"")</f>
        <v>0.3545475693257524</v>
      </c>
      <c r="M1159" s="28" t="n">
        <v>3</v>
      </c>
      <c r="N1159" s="28" t="n">
        <v>0</v>
      </c>
      <c r="O1159" s="28" t="n">
        <v>40</v>
      </c>
      <c r="P1159" s="30" t="n">
        <f>IF(AND(ISNUMBER(L1159),L1159&gt;0,COUNT(M1159:O1159)=3,MIN(M1159:O1159)&gt;=0),SUM(M1159:O1159)/L1159,"")</f>
        <v>121.28132786743862</v>
      </c>
      <c r="Q1159" s="16" t="str">
        <v>沿用原计划SKU店铺</v>
      </c>
      <c r="R1159" s="16" t="str">
        <v>已匹配</v>
      </c>
      <c r="S1159" s="16" t="str">
        <v>在售</v>
      </c>
      <c r="T1159" s="16" t="str">
        <v>S02b</v>
      </c>
      <c r="U1159" s="16" t="str">
        <v>黑色</v>
      </c>
      <c r="V1159" s="16" t="n">
        <v>7</v>
      </c>
      <c r="W1159" s="8" t="str">
        <v>2026-10-11 至 2026-10-17</v>
      </c>
      <c r="X1159" s="8" t="str">
        <v>2026-10-11、2026-10-12、2026-10-13、2026-10-14、2026-10-15、2026-10-16、2026-10-17</v>
      </c>
      <c r="Y1159" s="8" t="str">
        <v>无</v>
      </c>
      <c r="Z1159" s="8" t="n">
        <v>3</v>
      </c>
      <c r="AA1159" s="8" t="n">
        <v>0</v>
      </c>
      <c r="AB1159" s="8" t="n">
        <v>7</v>
      </c>
      <c r="AC1159" s="8" t="str">
        <v>2026-10-02 至 2026-10-17</v>
      </c>
      <c r="AD1159" s="8" t="str">
        <v>2026-10-02、2026-10-03、2026-10-04、2026-10-05、2026-10-08、2026-10-09、2026-10-10、2026-10-11、2026-10-12、2026-10-13、2026-10-14、2026-10-15、2026-10-16、2026-10-17</v>
      </c>
      <c r="AE1159" s="8" t="str">
        <v>2026-10-06 大促；2026-10-07 大促</v>
      </c>
      <c r="AF1159" s="8" t="n">
        <v>8</v>
      </c>
      <c r="AG1159" s="8" t="n">
        <v>2</v>
      </c>
      <c r="AH1159" s="8" t="n">
        <v>14</v>
      </c>
      <c r="AI1159" s="8" t="str">
        <v>2026-09-16 至 2026-10-17</v>
      </c>
      <c r="AJ115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59" s="8" t="str">
        <v>2026-10-06 大促；2026-10-07 大促</v>
      </c>
      <c r="AL1159" s="8" t="n">
        <v>11</v>
      </c>
      <c r="AM1159" s="8" t="n">
        <v>2</v>
      </c>
      <c r="AN1159" s="8" t="n">
        <v>30</v>
      </c>
      <c r="AO1159" s="8" t="str">
        <v>S02b / 黑色 / 6574</v>
      </c>
      <c r="AP1159" s="11" t="n">
        <v>0.9658602967882928</v>
      </c>
      <c r="AQ1159" s="11" t="n">
        <v>0.9658602967882928</v>
      </c>
      <c r="AR1159" s="11" t="n">
        <v>0.9166270540270348</v>
      </c>
      <c r="AS1159" s="11" t="n">
        <f>IF(AND(COUNT(I1159:K1159,AP1159:AR1159)=6,MIN(AP1159:AR1159)&gt;0),I1159/7/AP1159*0.5+J1159/14/AQ1159*0.3+K1159/30/AR1159*0.2,"")</f>
        <v>0.42043328936679886</v>
      </c>
      <c r="AT1159" s="8" t="n">
        <v>33</v>
      </c>
      <c r="AU1159" s="8" t="n">
        <v>2</v>
      </c>
      <c r="AV1159" s="8" t="n">
        <v>88</v>
      </c>
      <c r="AW1159" s="11" t="n">
        <f>IF(AND(COUNT(AT1159:AV1159)=3,AT1159&gt;=AU1159,AU1159&gt;=0,AV1159&gt;0),(AT1159-AU1159)/AV1159,"")</f>
        <v>0.3522727272727273</v>
      </c>
      <c r="AX1159" s="8" t="n">
        <v>54</v>
      </c>
      <c r="AY1159" s="8" t="n">
        <v>2</v>
      </c>
      <c r="AZ1159" s="8" t="n">
        <v>178</v>
      </c>
      <c r="BA1159" s="11" t="n">
        <f>IF(AND(COUNT(AX1159:AZ1159)=3,AX1159&gt;=AY1159,AY1159&gt;=0,AZ1159&gt;0),(AX1159-AY1159)/AZ1159,"")</f>
        <v>0.29213483146067415</v>
      </c>
      <c r="BB1159" s="8" t="n">
        <f>IF(COUNT(AS1159,AW1159,BA1159)=3,1,0)</f>
        <v>1</v>
      </c>
      <c r="BC1159" s="11" t="n">
        <f>IF(SUMIF($AO$11:$AO$1309,AO1159,$BB$11:$BB$1309)=COUNTIF($AO$11:$AO$1309,AO1159),SUMIF($AO$11:$AO$1309,AO1159,$AS$11:$AS$1309),"")</f>
        <v>2.558720364044191</v>
      </c>
      <c r="BD1159" s="11" t="n">
        <f>IF(SUMIF($AO$11:$AO$1309,AO1159,$BB$11:$BB$1309)=COUNTIF($AO$11:$AO$1309,AO1159),SUMIF($AO$11:$AO$1309,AO1159,$AW$11:$AW$1309),"")</f>
        <v>2.465909090909091</v>
      </c>
      <c r="BE1159" s="11" t="n">
        <f>IF(SUMIF($AO$11:$AO$1309,AO1159,$BB$11:$BB$1309)=COUNTIF($AO$11:$AO$1309,AO1159),SUMIF($AO$11:$AO$1309,AO1159,$BA$11:$BA$1309),"")</f>
        <v>2.764044943820225</v>
      </c>
      <c r="BF1159" s="12" t="n">
        <f>IF(COUNT(BD1159:BE1159)&lt;&gt;2,"",IF(AND(BD1159&gt;0,BE1159&gt;0),0.7*AW1159/BD1159+0.3*BA1159/BE1159,IF(BD1159&gt;0,AW1159/BD1159,IF(BE1159&gt;0,BA1159/BE1159,IF(AND(ISNUMBER(BH1159),BH1159=0),0,"")))))</f>
        <v>0.13170731707317074</v>
      </c>
      <c r="BG1159" s="11" t="n">
        <f>IF(AND(COUNT(BN1159:BU1159)=8,MIN(BN1159:BU1159)&gt;=0),SUMPRODUCT(BN1159:BQ1159,BR1159:BU1159),"")</f>
        <v>94.68567795727022</v>
      </c>
      <c r="BH1159" s="11" t="n">
        <f>IF(COUNT(BC1159,BG1159)=2,BC1159*BG1159,"")</f>
        <v>242.27417237259746</v>
      </c>
      <c r="BI1159" s="11" t="n">
        <f>IF(ISNUMBER(CI1159),CI1159,"")</f>
        <v>31.909281239317714</v>
      </c>
      <c r="BJ1159" s="8" t="str"/>
      <c r="BK1159" s="8" t="str">
        <v>90天：2026-07-20 至 2026-10-17；180天：2026-04-21 至 2026-10-17</v>
      </c>
      <c r="BL1159" s="8" t="str">
        <v>90天：2026-10-06、2026-10-07；180天：2026-10-06、2026-10-07</v>
      </c>
      <c r="BM1159" s="8" t="str">
        <v>2026-10：12天 × 0.9658602967882928；2026-11：30天 × 1.1727174450092641；2026-12：31天 × 0.8763339075184018；2027-01：17天 × 1.2204399948507247</v>
      </c>
      <c r="BN1159" s="11" t="n">
        <v>0.9658602967882928</v>
      </c>
      <c r="BO1159" s="11" t="n">
        <v>1.1727174450092641</v>
      </c>
      <c r="BP1159" s="11" t="n">
        <v>0.8763339075184018</v>
      </c>
      <c r="BQ1159" s="11" t="n">
        <v>1.2204399948507247</v>
      </c>
      <c r="BR1159" s="8" t="n">
        <v>12</v>
      </c>
      <c r="BS1159" s="8" t="n">
        <v>30</v>
      </c>
      <c r="BT1159" s="8" t="n">
        <v>31</v>
      </c>
      <c r="BU1159" s="8" t="n">
        <v>17</v>
      </c>
      <c r="BV1159" s="11" t="n">
        <f>IF(COUNT(BC1159,BF1159)=2,BC1159*BF1159,"")</f>
        <v>0.3370021942887471</v>
      </c>
      <c r="BW1159" s="11" t="n">
        <f>IF(ISNUMBER(BN1159),BN1159,"")</f>
        <v>0.9658602967882928</v>
      </c>
      <c r="BX1159" s="14" t="n">
        <f>IF(ISNUMBER(BR1159),BR1159,"")</f>
        <v>12</v>
      </c>
      <c r="BY1159" s="13" t="n">
        <f>IF(AND(COUNT(BV1159,BW1159,BX1159)=3,MIN(BV1159,BW1159,BX1159)&gt;=0),BV1159*BW1159*BX1159,"")</f>
        <v>3.905964472728422</v>
      </c>
      <c r="BZ1159" s="11" t="n">
        <f>IF(ISNUMBER(BO1159),BO1159,"")</f>
        <v>1.1727174450092641</v>
      </c>
      <c r="CA1159" s="14" t="n">
        <f>IF(ISNUMBER(BS1159),BS1159,"")</f>
        <v>30</v>
      </c>
      <c r="CB1159" s="13" t="n">
        <f>IF(AND(COUNT(BV1159,BZ1159,CA1159)=3,MIN(BV1159,BZ1159,CA1159)&gt;=0),BV1159*BZ1159*CA1159,"")</f>
        <v>11.856250567464453</v>
      </c>
      <c r="CC1159" s="11" t="n">
        <f>IF(ISNUMBER(BP1159),BP1159,"")</f>
        <v>0.8763339075184018</v>
      </c>
      <c r="CD1159" s="14" t="n">
        <f>IF(ISNUMBER(BT1159),BT1159,"")</f>
        <v>31</v>
      </c>
      <c r="CE1159" s="13" t="n">
        <f>IF(AND(COUNT(BV1159,CC1159,CD1159)=3,MIN(BV1159,CC1159,CD1159)&gt;=0),BV1159*CC1159*CD1159,"")</f>
        <v>9.155119942663335</v>
      </c>
      <c r="CF1159" s="11" t="n">
        <f>IF(ISNUMBER(BQ1159),BQ1159,"")</f>
        <v>1.2204399948507247</v>
      </c>
      <c r="CG1159" s="14" t="n">
        <f>IF(ISNUMBER(BU1159),BU1159,"")</f>
        <v>17</v>
      </c>
      <c r="CH1159" s="13" t="n">
        <f>IF(AND(COUNT(BV1159,CF1159,CG1159)=3,MIN(BV1159,CF1159,CG1159)&gt;=0),BV1159*CF1159*CG1159,"")</f>
        <v>6.991946256461505</v>
      </c>
      <c r="CI1159" s="13" t="n">
        <f>IF(COUNT(BY1159,CB1159,CE1159,CH1159)=4,SUM(BY1159,CB1159,CE1159,CH1159),"")</f>
        <v>31.909281239317714</v>
      </c>
    </row>
    <row r="1160" ht="72" customHeight="1">
      <c r="A1160" s="16" t="str">
        <v>S02b-BK-39</v>
      </c>
      <c r="B1160" s="16" t="str">
        <v>3店-SANDIEX-US</v>
      </c>
      <c r="C1160" s="16" t="str">
        <v>陈晨</v>
      </c>
      <c r="D1160" s="26" t="n">
        <f>IF(NOT(ISNUMBER(E1160)),"",IF(OR(E1160&lt;=0,L1160=0),0,IF(OR(NOT(ISNUMBER(F1160)),F1160&lt;0),"",MIN(E1160,INT(F1160)))))</f>
        <v>0</v>
      </c>
      <c r="E1160" s="27" t="n">
        <f>IF(OR(NOT(ISNUMBER(L1160)),COUNT(M1160:O1160)&lt;&gt;3,MIN(M1160:O1160)&lt;0),"",ROUNDUP(ROUND(BI1160-SUM(M1160:O1160),10),0))</f>
        <v>-21</v>
      </c>
      <c r="F1160" s="28" t="n">
        <v>173</v>
      </c>
      <c r="G1160" s="28" t="n">
        <f>IF(AND(ISNUMBER(D1160),ISNUMBER(E1160)),IF(OR(E1160&lt;=0,L1160=0),0,E1160-D1160),"")</f>
        <v>0</v>
      </c>
      <c r="H1160" s="16" t="str">
        <f>IF(NOT(ISNUMBER(E1160)),"销量或海外库存待补",IF(OR(E1160&lt;=0,L1160=0),IF(L1160=0,"零日销，本批不发","本批无需补货"),IF(NOT(ISNUMBER(D1160)),"国内库存待补",IF(D1160=0,"国内无可用库存",IF(G1160&gt;0,"先发国内现货","按建议量发货")))))</f>
        <v>本批无需补货</v>
      </c>
      <c r="I1160" s="28" t="n">
        <f>IF(AND(COUNT(Z1160,AA1160,AB1160)=3,Z1160&gt;=AA1160,AA1160&gt;=0,AB1160=7),Z1160-AA1160,"")</f>
        <v>4</v>
      </c>
      <c r="J1160" s="28" t="n">
        <f>IF(AND(COUNT(AF1160,AG1160,AH1160)=3,AF1160&gt;=AG1160,AG1160&gt;=0,AH1160=14),AF1160-AG1160,"")</f>
        <v>5</v>
      </c>
      <c r="K1160" s="28" t="n">
        <f>IF(AND(COUNT(AL1160,AM1160,AN1160)=3,AL1160&gt;=AM1160,AM1160&gt;=0,AN1160=30),AL1160-AM1160,"")</f>
        <v>18</v>
      </c>
      <c r="L1160" s="29" t="n">
        <f>IF(ISNUMBER(BI1160),BI1160/90,"")</f>
        <v>0.6656768281904657</v>
      </c>
      <c r="M1160" s="28" t="n">
        <v>80</v>
      </c>
      <c r="N1160" s="28" t="n">
        <v>0</v>
      </c>
      <c r="O1160" s="28" t="n">
        <v>0</v>
      </c>
      <c r="P1160" s="30" t="n">
        <f>IF(AND(ISNUMBER(L1160),L1160&gt;0,COUNT(M1160:O1160)=3,MIN(M1160:O1160)&gt;=0),SUM(M1160:O1160)/L1160,"")</f>
        <v>120.17843585973543</v>
      </c>
      <c r="Q1160" s="16" t="str">
        <v>沿用原计划SKU店铺</v>
      </c>
      <c r="R1160" s="16" t="str">
        <v>已匹配</v>
      </c>
      <c r="S1160" s="16" t="str">
        <v>在售</v>
      </c>
      <c r="T1160" s="16" t="str">
        <v>S02b</v>
      </c>
      <c r="U1160" s="16" t="str">
        <v>黑色</v>
      </c>
      <c r="V1160" s="16" t="n">
        <v>8</v>
      </c>
      <c r="W1160" s="8" t="str">
        <v>2026-10-11 至 2026-10-17</v>
      </c>
      <c r="X1160" s="8" t="str">
        <v>2026-10-11、2026-10-12、2026-10-13、2026-10-14、2026-10-15、2026-10-16、2026-10-17</v>
      </c>
      <c r="Y1160" s="8" t="str">
        <v>无</v>
      </c>
      <c r="Z1160" s="8" t="n">
        <v>4</v>
      </c>
      <c r="AA1160" s="8" t="n">
        <v>0</v>
      </c>
      <c r="AB1160" s="8" t="n">
        <v>7</v>
      </c>
      <c r="AC1160" s="8" t="str">
        <v>2026-10-02 至 2026-10-17</v>
      </c>
      <c r="AD1160" s="8" t="str">
        <v>2026-10-02、2026-10-03、2026-10-04、2026-10-05、2026-10-08、2026-10-09、2026-10-10、2026-10-11、2026-10-12、2026-10-13、2026-10-14、2026-10-15、2026-10-16、2026-10-17</v>
      </c>
      <c r="AE1160" s="8" t="str">
        <v>2026-10-06 大促；2026-10-07 大促</v>
      </c>
      <c r="AF1160" s="8" t="n">
        <v>13</v>
      </c>
      <c r="AG1160" s="8" t="n">
        <v>8</v>
      </c>
      <c r="AH1160" s="8" t="n">
        <v>14</v>
      </c>
      <c r="AI1160" s="8" t="str">
        <v>2026-09-16 至 2026-10-17</v>
      </c>
      <c r="AJ116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0" s="8" t="str">
        <v>2026-10-06 大促；2026-10-07 大促</v>
      </c>
      <c r="AL1160" s="8" t="n">
        <v>26</v>
      </c>
      <c r="AM1160" s="8" t="n">
        <v>8</v>
      </c>
      <c r="AN1160" s="8" t="n">
        <v>30</v>
      </c>
      <c r="AO1160" s="8" t="str">
        <v>S02b / 黑色 / 6574</v>
      </c>
      <c r="AP1160" s="11" t="n">
        <v>0.9658602967882928</v>
      </c>
      <c r="AQ1160" s="11" t="n">
        <v>0.9658602967882928</v>
      </c>
      <c r="AR1160" s="11" t="n">
        <v>0.9166270540270348</v>
      </c>
      <c r="AS1160" s="11" t="n">
        <f>IF(AND(COUNT(I1160:K1160,AP1160:AR1160)=6,MIN(AP1160:AR1160)&gt;0),I1160/7/AP1160*0.5+J1160/14/AQ1160*0.3+K1160/30/AR1160*0.2,"")</f>
        <v>0.5376579844565992</v>
      </c>
      <c r="AT1160" s="8" t="n">
        <v>65</v>
      </c>
      <c r="AU1160" s="8" t="n">
        <v>8</v>
      </c>
      <c r="AV1160" s="8" t="n">
        <v>88</v>
      </c>
      <c r="AW1160" s="11" t="n">
        <f>IF(AND(COUNT(AT1160:AV1160)=3,AT1160&gt;=AU1160,AU1160&gt;=0,AV1160&gt;0),(AT1160-AU1160)/AV1160,"")</f>
        <v>0.6477272727272727</v>
      </c>
      <c r="AX1160" s="8" t="n">
        <v>112</v>
      </c>
      <c r="AY1160" s="8" t="n">
        <v>8</v>
      </c>
      <c r="AZ1160" s="8" t="n">
        <v>178</v>
      </c>
      <c r="BA1160" s="11" t="n">
        <f>IF(AND(COUNT(AX1160:AZ1160)=3,AX1160&gt;=AY1160,AY1160&gt;=0,AZ1160&gt;0),(AX1160-AY1160)/AZ1160,"")</f>
        <v>0.5842696629213483</v>
      </c>
      <c r="BB1160" s="8" t="n">
        <f>IF(COUNT(AS1160,AW1160,BA1160)=3,1,0)</f>
        <v>1</v>
      </c>
      <c r="BC1160" s="11" t="n">
        <f>IF(SUMIF($AO$11:$AO$1309,AO1160,$BB$11:$BB$1309)=COUNTIF($AO$11:$AO$1309,AO1160),SUMIF($AO$11:$AO$1309,AO1160,$AS$11:$AS$1309),"")</f>
        <v>2.558720364044191</v>
      </c>
      <c r="BD1160" s="11" t="n">
        <f>IF(SUMIF($AO$11:$AO$1309,AO1160,$BB$11:$BB$1309)=COUNTIF($AO$11:$AO$1309,AO1160),SUMIF($AO$11:$AO$1309,AO1160,$AW$11:$AW$1309),"")</f>
        <v>2.465909090909091</v>
      </c>
      <c r="BE1160" s="11" t="n">
        <f>IF(SUMIF($AO$11:$AO$1309,AO1160,$BB$11:$BB$1309)=COUNTIF($AO$11:$AO$1309,AO1160),SUMIF($AO$11:$AO$1309,AO1160,$BA$11:$BA$1309),"")</f>
        <v>2.764044943820225</v>
      </c>
      <c r="BF1160" s="12" t="n">
        <f>IF(COUNT(BD1160:BE1160)&lt;&gt;2,"",IF(AND(BD1160&gt;0,BE1160&gt;0),0.7*AW1160/BD1160+0.3*BA1160/BE1160,IF(BD1160&gt;0,AW1160/BD1160,IF(BE1160&gt;0,BA1160/BE1160,IF(AND(ISNUMBER(BH1160),BH1160=0),0,"")))))</f>
        <v>0.24728560188827695</v>
      </c>
      <c r="BG1160" s="11" t="n">
        <f>IF(AND(COUNT(BN1160:BU1160)=8,MIN(BN1160:BU1160)&gt;=0),SUMPRODUCT(BN1160:BQ1160,BR1160:BU1160),"")</f>
        <v>94.68567795727022</v>
      </c>
      <c r="BH1160" s="11" t="n">
        <f>IF(COUNT(BC1160,BG1160)=2,BC1160*BG1160,"")</f>
        <v>242.27417237259746</v>
      </c>
      <c r="BI1160" s="11" t="n">
        <f>IF(ISNUMBER(CI1160),CI1160,"")</f>
        <v>59.91091453714191</v>
      </c>
      <c r="BJ1160" s="8" t="str"/>
      <c r="BK1160" s="8" t="str">
        <v>90天：2026-07-20 至 2026-10-17；180天：2026-04-21 至 2026-10-17</v>
      </c>
      <c r="BL1160" s="8" t="str">
        <v>90天：2026-10-06、2026-10-07；180天：2026-10-06、2026-10-07</v>
      </c>
      <c r="BM1160" s="8" t="str">
        <v>2026-10：12天 × 0.9658602967882928；2026-11：30天 × 1.1727174450092641；2026-12：31天 × 0.8763339075184018；2027-01：17天 × 1.2204399948507247</v>
      </c>
      <c r="BN1160" s="11" t="n">
        <v>0.9658602967882928</v>
      </c>
      <c r="BO1160" s="11" t="n">
        <v>1.1727174450092641</v>
      </c>
      <c r="BP1160" s="11" t="n">
        <v>0.8763339075184018</v>
      </c>
      <c r="BQ1160" s="11" t="n">
        <v>1.2204399948507247</v>
      </c>
      <c r="BR1160" s="8" t="n">
        <v>12</v>
      </c>
      <c r="BS1160" s="8" t="n">
        <v>30</v>
      </c>
      <c r="BT1160" s="8" t="n">
        <v>31</v>
      </c>
      <c r="BU1160" s="8" t="n">
        <v>17</v>
      </c>
      <c r="BV1160" s="11" t="n">
        <f>IF(COUNT(BC1160,BF1160)=2,BC1160*BF1160,"")</f>
        <v>0.6327347052864588</v>
      </c>
      <c r="BW1160" s="11" t="n">
        <f>IF(ISNUMBER(BN1160),BN1160,"")</f>
        <v>0.9658602967882928</v>
      </c>
      <c r="BX1160" s="14" t="n">
        <f>IF(ISNUMBER(BR1160),BR1160,"")</f>
        <v>12</v>
      </c>
      <c r="BY1160" s="13" t="n">
        <f>IF(AND(COUNT(BV1160,BW1160,BX1160)=3,MIN(BV1160,BW1160,BX1160)&gt;=0),BV1160*BW1160*BX1160,"")</f>
        <v>7.333599962834785</v>
      </c>
      <c r="BZ1160" s="11" t="n">
        <f>IF(ISNUMBER(BO1160),BO1160,"")</f>
        <v>1.1727174450092641</v>
      </c>
      <c r="CA1160" s="14" t="n">
        <f>IF(ISNUMBER(BS1160),BS1160,"")</f>
        <v>30</v>
      </c>
      <c r="CB1160" s="13" t="n">
        <f>IF(AND(COUNT(BV1160,BZ1160,CA1160)=3,MIN(BV1160,BZ1160,CA1160)&gt;=0),BV1160*BZ1160*CA1160,"")</f>
        <v>22.26057080856677</v>
      </c>
      <c r="CC1160" s="11" t="n">
        <f>IF(ISNUMBER(BP1160),BP1160,"")</f>
        <v>0.8763339075184018</v>
      </c>
      <c r="CD1160" s="14" t="n">
        <f>IF(ISNUMBER(BT1160),BT1160,"")</f>
        <v>31</v>
      </c>
      <c r="CE1160" s="13" t="n">
        <f>IF(AND(COUNT(BV1160,CC1160,CD1160)=3,MIN(BV1160,CC1160,CD1160)&gt;=0),BV1160*CC1160*CD1160,"")</f>
        <v>17.18909317789179</v>
      </c>
      <c r="CF1160" s="11" t="n">
        <f>IF(ISNUMBER(BQ1160),BQ1160,"")</f>
        <v>1.2204399948507247</v>
      </c>
      <c r="CG1160" s="14" t="n">
        <f>IF(ISNUMBER(BU1160),BU1160,"")</f>
        <v>17</v>
      </c>
      <c r="CH1160" s="13" t="n">
        <f>IF(AND(COUNT(BV1160,CF1160,CG1160)=3,MIN(BV1160,CF1160,CG1160)&gt;=0),BV1160*CF1160*CG1160,"")</f>
        <v>13.12765058784857</v>
      </c>
      <c r="CI1160" s="13" t="n">
        <f>IF(COUNT(BY1160,CB1160,CE1160,CH1160)=4,SUM(BY1160,CB1160,CE1160,CH1160),"")</f>
        <v>59.91091453714191</v>
      </c>
    </row>
    <row r="1161" ht="72" customHeight="1">
      <c r="A1161" s="16" t="str">
        <v>S02b-BK-40</v>
      </c>
      <c r="B1161" s="16" t="str">
        <v>3店-SANDIEX-US</v>
      </c>
      <c r="C1161" s="16" t="str">
        <v>陈晨</v>
      </c>
      <c r="D1161" s="26" t="n">
        <f>IF(NOT(ISNUMBER(E1161)),"",IF(OR(E1161&lt;=0,L1161=0),0,IF(OR(NOT(ISNUMBER(F1161)),F1161&lt;0),"",MIN(E1161,INT(F1161)))))</f>
        <v>0</v>
      </c>
      <c r="E1161" s="27" t="n">
        <f>IF(OR(NOT(ISNUMBER(L1161)),COUNT(M1161:O1161)&lt;&gt;3,MIN(M1161:O1161)&lt;0),"",ROUNDUP(ROUND(BI1161-SUM(M1161:O1161),10),0))</f>
        <v>-11</v>
      </c>
      <c r="F1161" s="28" t="n">
        <v>184</v>
      </c>
      <c r="G1161" s="28" t="n">
        <f>IF(AND(ISNUMBER(D1161),ISNUMBER(E1161)),IF(OR(E1161&lt;=0,L1161=0),0,E1161-D1161),"")</f>
        <v>0</v>
      </c>
      <c r="H1161" s="16" t="str">
        <f>IF(NOT(ISNUMBER(E1161)),"销量或海外库存待补",IF(OR(E1161&lt;=0,L1161=0),IF(L1161=0,"零日销，本批不发","本批无需补货"),IF(NOT(ISNUMBER(D1161)),"国内库存待补",IF(D1161=0,"国内无可用库存",IF(G1161&gt;0,"先发国内现货","按建议量发货")))))</f>
        <v>本批无需补货</v>
      </c>
      <c r="I1161" s="28" t="n">
        <f>IF(AND(COUNT(Z1161,AA1161,AB1161)=3,Z1161&gt;=AA1161,AA1161&gt;=0,AB1161=7),Z1161-AA1161,"")</f>
        <v>7</v>
      </c>
      <c r="J1161" s="28" t="n">
        <f>IF(AND(COUNT(AF1161,AG1161,AH1161)=3,AF1161&gt;=AG1161,AG1161&gt;=0,AH1161=14),AF1161-AG1161,"")</f>
        <v>9</v>
      </c>
      <c r="K1161" s="28" t="n">
        <f>IF(AND(COUNT(AL1161,AM1161,AN1161)=3,AL1161&gt;=AM1161,AM1161&gt;=0,AN1161=30),AL1161-AM1161,"")</f>
        <v>19</v>
      </c>
      <c r="L1161" s="29" t="n">
        <f>IF(ISNUMBER(BI1161),BI1161/90,"")</f>
        <v>0.6452384527783182</v>
      </c>
      <c r="M1161" s="28" t="n">
        <v>65</v>
      </c>
      <c r="N1161" s="28" t="n">
        <v>0</v>
      </c>
      <c r="O1161" s="28" t="n">
        <v>4</v>
      </c>
      <c r="P1161" s="30" t="n">
        <f>IF(AND(ISNUMBER(L1161),L1161&gt;0,COUNT(M1161:O1161)=3,MIN(M1161:O1161)&gt;=0),SUM(M1161:O1161)/L1161,"")</f>
        <v>106.93721011649943</v>
      </c>
      <c r="Q1161" s="16" t="str">
        <v>沿用原计划SKU店铺</v>
      </c>
      <c r="R1161" s="16" t="str">
        <v>已匹配</v>
      </c>
      <c r="S1161" s="16" t="str">
        <v>在售</v>
      </c>
      <c r="T1161" s="16" t="str">
        <v>S02b</v>
      </c>
      <c r="U1161" s="16" t="str">
        <v>黑色</v>
      </c>
      <c r="V1161" s="16" t="n">
        <v>9</v>
      </c>
      <c r="W1161" s="8" t="str">
        <v>2026-10-11 至 2026-10-17</v>
      </c>
      <c r="X1161" s="8" t="str">
        <v>2026-10-11、2026-10-12、2026-10-13、2026-10-14、2026-10-15、2026-10-16、2026-10-17</v>
      </c>
      <c r="Y1161" s="8" t="str">
        <v>无</v>
      </c>
      <c r="Z1161" s="8" t="n">
        <v>7</v>
      </c>
      <c r="AA1161" s="8" t="n">
        <v>0</v>
      </c>
      <c r="AB1161" s="8" t="n">
        <v>7</v>
      </c>
      <c r="AC1161" s="8" t="str">
        <v>2026-10-02 至 2026-10-17</v>
      </c>
      <c r="AD1161" s="8" t="str">
        <v>2026-10-02、2026-10-03、2026-10-04、2026-10-05、2026-10-08、2026-10-09、2026-10-10、2026-10-11、2026-10-12、2026-10-13、2026-10-14、2026-10-15、2026-10-16、2026-10-17</v>
      </c>
      <c r="AE1161" s="8" t="str">
        <v>2026-10-06 大促；2026-10-07 大促</v>
      </c>
      <c r="AF1161" s="8" t="n">
        <v>14</v>
      </c>
      <c r="AG1161" s="8" t="n">
        <v>5</v>
      </c>
      <c r="AH1161" s="8" t="n">
        <v>14</v>
      </c>
      <c r="AI1161" s="8" t="str">
        <v>2026-09-16 至 2026-10-17</v>
      </c>
      <c r="AJ116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1" s="8" t="str">
        <v>2026-10-06 大促；2026-10-07 大促</v>
      </c>
      <c r="AL1161" s="8" t="n">
        <v>24</v>
      </c>
      <c r="AM1161" s="8" t="n">
        <v>5</v>
      </c>
      <c r="AN1161" s="8" t="n">
        <v>30</v>
      </c>
      <c r="AO1161" s="8" t="str">
        <v>S02b / 黑色 / 6574</v>
      </c>
      <c r="AP1161" s="11" t="n">
        <v>0.9658602967882928</v>
      </c>
      <c r="AQ1161" s="11" t="n">
        <v>0.9658602967882928</v>
      </c>
      <c r="AR1161" s="11" t="n">
        <v>0.9166270540270348</v>
      </c>
      <c r="AS1161" s="11" t="n">
        <f>IF(AND(COUNT(I1161:K1161,AP1161:AR1161)=6,MIN(AP1161:AR1161)&gt;0),I1161/7/AP1161*0.5+J1161/14/AQ1161*0.3+K1161/30/AR1161*0.2,"")</f>
        <v>0.8555349518697382</v>
      </c>
      <c r="AT1161" s="8" t="n">
        <v>57</v>
      </c>
      <c r="AU1161" s="8" t="n">
        <v>5</v>
      </c>
      <c r="AV1161" s="8" t="n">
        <v>88</v>
      </c>
      <c r="AW1161" s="11" t="n">
        <f>IF(AND(COUNT(AT1161:AV1161)=3,AT1161&gt;=AU1161,AU1161&gt;=0,AV1161&gt;0),(AT1161-AU1161)/AV1161,"")</f>
        <v>0.5909090909090909</v>
      </c>
      <c r="AX1161" s="8" t="n">
        <v>123</v>
      </c>
      <c r="AY1161" s="8" t="n">
        <v>5</v>
      </c>
      <c r="AZ1161" s="8" t="n">
        <v>178</v>
      </c>
      <c r="BA1161" s="11" t="n">
        <f>IF(AND(COUNT(AX1161:AZ1161)=3,AX1161&gt;=AY1161,AY1161&gt;=0,AZ1161&gt;0),(AX1161-AY1161)/AZ1161,"")</f>
        <v>0.6629213483146067</v>
      </c>
      <c r="BB1161" s="8" t="n">
        <f>IF(COUNT(AS1161,AW1161,BA1161)=3,1,0)</f>
        <v>1</v>
      </c>
      <c r="BC1161" s="11" t="n">
        <f>IF(SUMIF($AO$11:$AO$1309,AO1161,$BB$11:$BB$1309)=COUNTIF($AO$11:$AO$1309,AO1161),SUMIF($AO$11:$AO$1309,AO1161,$AS$11:$AS$1309),"")</f>
        <v>2.558720364044191</v>
      </c>
      <c r="BD1161" s="11" t="n">
        <f>IF(SUMIF($AO$11:$AO$1309,AO1161,$BB$11:$BB$1309)=COUNTIF($AO$11:$AO$1309,AO1161),SUMIF($AO$11:$AO$1309,AO1161,$AW$11:$AW$1309),"")</f>
        <v>2.465909090909091</v>
      </c>
      <c r="BE1161" s="11" t="n">
        <f>IF(SUMIF($AO$11:$AO$1309,AO1161,$BB$11:$BB$1309)=COUNTIF($AO$11:$AO$1309,AO1161),SUMIF($AO$11:$AO$1309,AO1161,$BA$11:$BA$1309),"")</f>
        <v>2.764044943820225</v>
      </c>
      <c r="BF1161" s="12" t="n">
        <f>IF(COUNT(BD1161:BE1161)&lt;&gt;2,"",IF(AND(BD1161&gt;0,BE1161&gt;0),0.7*AW1161/BD1161+0.3*BA1161/BE1161,IF(BD1161&gt;0,AW1161/BD1161,IF(BE1161&gt;0,BA1161/BE1161,IF(AND(ISNUMBER(BH1161),BH1161=0),0,"")))))</f>
        <v>0.23969315499606608</v>
      </c>
      <c r="BG1161" s="11" t="n">
        <f>IF(AND(COUNT(BN1161:BU1161)=8,MIN(BN1161:BU1161)&gt;=0),SUMPRODUCT(BN1161:BQ1161,BR1161:BU1161),"")</f>
        <v>94.68567795727022</v>
      </c>
      <c r="BH1161" s="11" t="n">
        <f>IF(COUNT(BC1161,BG1161)=2,BC1161*BG1161,"")</f>
        <v>242.27417237259746</v>
      </c>
      <c r="BI1161" s="11" t="n">
        <f>IF(ISNUMBER(CI1161),CI1161,"")</f>
        <v>58.07146075004863</v>
      </c>
      <c r="BJ1161" s="8" t="str"/>
      <c r="BK1161" s="8" t="str">
        <v>90天：2026-07-20 至 2026-10-17；180天：2026-04-21 至 2026-10-17</v>
      </c>
      <c r="BL1161" s="8" t="str">
        <v>90天：2026-10-06、2026-10-07；180天：2026-10-06、2026-10-07</v>
      </c>
      <c r="BM1161" s="8" t="str">
        <v>2026-10：12天 × 0.9658602967882928；2026-11：30天 × 1.1727174450092641；2026-12：31天 × 0.8763339075184018；2027-01：17天 × 1.2204399948507247</v>
      </c>
      <c r="BN1161" s="11" t="n">
        <v>0.9658602967882928</v>
      </c>
      <c r="BO1161" s="11" t="n">
        <v>1.1727174450092641</v>
      </c>
      <c r="BP1161" s="11" t="n">
        <v>0.8763339075184018</v>
      </c>
      <c r="BQ1161" s="11" t="n">
        <v>1.2204399948507247</v>
      </c>
      <c r="BR1161" s="8" t="n">
        <v>12</v>
      </c>
      <c r="BS1161" s="8" t="n">
        <v>30</v>
      </c>
      <c r="BT1161" s="8" t="n">
        <v>31</v>
      </c>
      <c r="BU1161" s="8" t="n">
        <v>17</v>
      </c>
      <c r="BV1161" s="11" t="n">
        <f>IF(COUNT(BC1161,BF1161)=2,BC1161*BF1161,"")</f>
        <v>0.6133077568104349</v>
      </c>
      <c r="BW1161" s="11" t="n">
        <f>IF(ISNUMBER(BN1161),BN1161,"")</f>
        <v>0.9658602967882928</v>
      </c>
      <c r="BX1161" s="14" t="n">
        <f>IF(ISNUMBER(BR1161),BR1161,"")</f>
        <v>12</v>
      </c>
      <c r="BY1161" s="13" t="n">
        <f>IF(AND(COUNT(BV1161,BW1161,BX1161)=3,MIN(BV1161,BW1161,BX1161)&gt;=0),BV1161*BW1161*BX1161,"")</f>
        <v>7.108435344185866</v>
      </c>
      <c r="BZ1161" s="11" t="n">
        <f>IF(ISNUMBER(BO1161),BO1161,"")</f>
        <v>1.1727174450092641</v>
      </c>
      <c r="CA1161" s="14" t="n">
        <f>IF(ISNUMBER(BS1161),BS1161,"")</f>
        <v>30</v>
      </c>
      <c r="CB1161" s="13" t="n">
        <f>IF(AND(COUNT(BV1161,BZ1161,CA1161)=3,MIN(BV1161,BZ1161,CA1161)&gt;=0),BV1161*BZ1161*CA1161,"")</f>
        <v>21.577101167132888</v>
      </c>
      <c r="CC1161" s="11" t="n">
        <f>IF(ISNUMBER(BP1161),BP1161,"")</f>
        <v>0.8763339075184018</v>
      </c>
      <c r="CD1161" s="14" t="n">
        <f>IF(ISNUMBER(BT1161),BT1161,"")</f>
        <v>31</v>
      </c>
      <c r="CE1161" s="13" t="n">
        <f>IF(AND(COUNT(BV1161,CC1161,CD1161)=3,MIN(BV1161,CC1161,CD1161)&gt;=0),BV1161*CC1161*CD1161,"")</f>
        <v>16.661333874148056</v>
      </c>
      <c r="CF1161" s="11" t="n">
        <f>IF(ISNUMBER(BQ1161),BQ1161,"")</f>
        <v>1.2204399948507247</v>
      </c>
      <c r="CG1161" s="14" t="n">
        <f>IF(ISNUMBER(BU1161),BU1161,"")</f>
        <v>17</v>
      </c>
      <c r="CH1161" s="13" t="n">
        <f>IF(AND(COUNT(BV1161,CF1161,CG1161)=3,MIN(BV1161,CF1161,CG1161)&gt;=0),BV1161*CF1161*CG1161,"")</f>
        <v>12.724590364581825</v>
      </c>
      <c r="CI1161" s="13" t="n">
        <f>IF(COUNT(BY1161,CB1161,CE1161,CH1161)=4,SUM(BY1161,CB1161,CE1161,CH1161),"")</f>
        <v>58.07146075004863</v>
      </c>
    </row>
    <row r="1162" ht="72" customHeight="1">
      <c r="A1162" s="16" t="str">
        <v>S02b-BK-41</v>
      </c>
      <c r="B1162" s="16" t="str">
        <v>3店-SANDIEX-US</v>
      </c>
      <c r="C1162" s="16" t="str">
        <v>陈晨</v>
      </c>
      <c r="D1162" s="26" t="n">
        <f>IF(NOT(ISNUMBER(E1162)),"",IF(OR(E1162&lt;=0,L1162=0),0,IF(OR(NOT(ISNUMBER(F1162)),F1162&lt;0),"",MIN(E1162,INT(F1162)))))</f>
        <v>0</v>
      </c>
      <c r="E1162" s="27" t="n">
        <f>IF(OR(NOT(ISNUMBER(L1162)),COUNT(M1162:O1162)&lt;&gt;3,MIN(M1162:O1162)&lt;0),"",ROUNDUP(ROUND(BI1162-SUM(M1162:O1162),10),0))</f>
        <v>-16</v>
      </c>
      <c r="F1162" s="28" t="n">
        <v>110</v>
      </c>
      <c r="G1162" s="28" t="n">
        <f>IF(AND(ISNUMBER(D1162),ISNUMBER(E1162)),IF(OR(E1162&lt;=0,L1162=0),0,E1162-D1162),"")</f>
        <v>0</v>
      </c>
      <c r="H1162" s="16" t="str">
        <f>IF(NOT(ISNUMBER(E1162)),"销量或海外库存待补",IF(OR(E1162&lt;=0,L1162=0),IF(L1162=0,"零日销，本批不发","本批无需补货"),IF(NOT(ISNUMBER(D1162)),"国内库存待补",IF(D1162=0,"国内无可用库存",IF(G1162&gt;0,"先发国内现货","按建议量发货")))))</f>
        <v>本批无需补货</v>
      </c>
      <c r="I1162" s="28" t="n">
        <f>IF(AND(COUNT(Z1162,AA1162,AB1162)=3,Z1162&gt;=AA1162,AA1162&gt;=0,AB1162=7),Z1162-AA1162,"")</f>
        <v>1</v>
      </c>
      <c r="J1162" s="28" t="n">
        <f>IF(AND(COUNT(AF1162,AG1162,AH1162)=3,AF1162&gt;=AG1162,AG1162&gt;=0,AH1162=14),AF1162-AG1162,"")</f>
        <v>4</v>
      </c>
      <c r="K1162" s="28" t="n">
        <f>IF(AND(COUNT(AL1162,AM1162,AN1162)=3,AL1162&gt;=AM1162,AM1162&gt;=0,AN1162=30),AL1162-AM1162,"")</f>
        <v>5</v>
      </c>
      <c r="L1162" s="29" t="n">
        <f>IF(ISNUMBER(BI1162),BI1162/90,"")</f>
        <v>0.2932853922484084</v>
      </c>
      <c r="M1162" s="28" t="n">
        <v>2</v>
      </c>
      <c r="N1162" s="28" t="n">
        <v>0</v>
      </c>
      <c r="O1162" s="28" t="n">
        <v>40</v>
      </c>
      <c r="P1162" s="30" t="n">
        <f>IF(AND(ISNUMBER(L1162),L1162&gt;0,COUNT(M1162:O1162)=3,MIN(M1162:O1162)&gt;=0),SUM(M1162:O1162)/L1162,"")</f>
        <v>143.2052230014464</v>
      </c>
      <c r="Q1162" s="16" t="str">
        <v>沿用原计划SKU店铺</v>
      </c>
      <c r="R1162" s="16" t="str">
        <v>已匹配</v>
      </c>
      <c r="S1162" s="16" t="str">
        <v>在售</v>
      </c>
      <c r="T1162" s="16" t="str">
        <v>S02b</v>
      </c>
      <c r="U1162" s="16" t="str">
        <v>黑色</v>
      </c>
      <c r="V1162" s="16" t="n">
        <v>10</v>
      </c>
      <c r="W1162" s="8" t="str">
        <v>2026-10-11 至 2026-10-17</v>
      </c>
      <c r="X1162" s="8" t="str">
        <v>2026-10-11、2026-10-12、2026-10-13、2026-10-14、2026-10-15、2026-10-16、2026-10-17</v>
      </c>
      <c r="Y1162" s="8" t="str">
        <v>无</v>
      </c>
      <c r="Z1162" s="8" t="n">
        <v>1</v>
      </c>
      <c r="AA1162" s="8" t="n">
        <v>0</v>
      </c>
      <c r="AB1162" s="8" t="n">
        <v>7</v>
      </c>
      <c r="AC1162" s="8" t="str">
        <v>2026-10-02 至 2026-10-17</v>
      </c>
      <c r="AD1162" s="8" t="str">
        <v>2026-10-02、2026-10-03、2026-10-04、2026-10-05、2026-10-08、2026-10-09、2026-10-10、2026-10-11、2026-10-12、2026-10-13、2026-10-14、2026-10-15、2026-10-16、2026-10-17</v>
      </c>
      <c r="AE1162" s="8" t="str">
        <v>2026-10-06 大促；2026-10-07 大促</v>
      </c>
      <c r="AF1162" s="8" t="n">
        <v>4</v>
      </c>
      <c r="AG1162" s="8" t="n">
        <v>0</v>
      </c>
      <c r="AH1162" s="8" t="n">
        <v>14</v>
      </c>
      <c r="AI1162" s="8" t="str">
        <v>2026-09-16 至 2026-10-17</v>
      </c>
      <c r="AJ116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2" s="8" t="str">
        <v>2026-10-06 大促；2026-10-07 大促</v>
      </c>
      <c r="AL1162" s="8" t="n">
        <v>5</v>
      </c>
      <c r="AM1162" s="8" t="n">
        <v>0</v>
      </c>
      <c r="AN1162" s="8" t="n">
        <v>30</v>
      </c>
      <c r="AO1162" s="8" t="str">
        <v>S02b / 黑色 / 6574</v>
      </c>
      <c r="AP1162" s="11" t="n">
        <v>0.9658602967882928</v>
      </c>
      <c r="AQ1162" s="11" t="n">
        <v>0.9658602967882928</v>
      </c>
      <c r="AR1162" s="11" t="n">
        <v>0.9166270540270348</v>
      </c>
      <c r="AS1162" s="11" t="n">
        <f>IF(AND(COUNT(I1162:K1162,AP1162:AR1162)=6,MIN(AP1162:AR1162)&gt;0),I1162/7/AP1162*0.5+J1162/14/AQ1162*0.3+K1162/30/AR1162*0.2,"")</f>
        <v>0.19906250233214046</v>
      </c>
      <c r="AT1162" s="8" t="n">
        <v>23</v>
      </c>
      <c r="AU1162" s="8" t="n">
        <v>0</v>
      </c>
      <c r="AV1162" s="8" t="n">
        <v>88</v>
      </c>
      <c r="AW1162" s="11" t="n">
        <f>IF(AND(COUNT(AT1162:AV1162)=3,AT1162&gt;=AU1162,AU1162&gt;=0,AV1162&gt;0),(AT1162-AU1162)/AV1162,"")</f>
        <v>0.26136363636363635</v>
      </c>
      <c r="AX1162" s="8" t="n">
        <v>57</v>
      </c>
      <c r="AY1162" s="8" t="n">
        <v>0</v>
      </c>
      <c r="AZ1162" s="8" t="n">
        <v>178</v>
      </c>
      <c r="BA1162" s="11" t="n">
        <f>IF(AND(COUNT(AX1162:AZ1162)=3,AX1162&gt;=AY1162,AY1162&gt;=0,AZ1162&gt;0),(AX1162-AY1162)/AZ1162,"")</f>
        <v>0.3202247191011236</v>
      </c>
      <c r="BB1162" s="8" t="n">
        <f>IF(COUNT(AS1162,AW1162,BA1162)=3,1,0)</f>
        <v>1</v>
      </c>
      <c r="BC1162" s="11" t="n">
        <f>IF(SUMIF($AO$11:$AO$1309,AO1162,$BB$11:$BB$1309)=COUNTIF($AO$11:$AO$1309,AO1162),SUMIF($AO$11:$AO$1309,AO1162,$AS$11:$AS$1309),"")</f>
        <v>2.558720364044191</v>
      </c>
      <c r="BD1162" s="11" t="n">
        <f>IF(SUMIF($AO$11:$AO$1309,AO1162,$BB$11:$BB$1309)=COUNTIF($AO$11:$AO$1309,AO1162),SUMIF($AO$11:$AO$1309,AO1162,$AW$11:$AW$1309),"")</f>
        <v>2.465909090909091</v>
      </c>
      <c r="BE1162" s="11" t="n">
        <f>IF(SUMIF($AO$11:$AO$1309,AO1162,$BB$11:$BB$1309)=COUNTIF($AO$11:$AO$1309,AO1162),SUMIF($AO$11:$AO$1309,AO1162,$BA$11:$BA$1309),"")</f>
        <v>2.764044943820225</v>
      </c>
      <c r="BF1162" s="12" t="n">
        <f>IF(COUNT(BD1162:BE1162)&lt;&gt;2,"",IF(AND(BD1162&gt;0,BE1162&gt;0),0.7*AW1162/BD1162+0.3*BA1162/BE1162,IF(BD1162&gt;0,AW1162/BD1162,IF(BE1162&gt;0,BA1162/BE1162,IF(AND(ISNUMBER(BH1162),BH1162=0),0,"")))))</f>
        <v>0.10894964594807238</v>
      </c>
      <c r="BG1162" s="11" t="n">
        <f>IF(AND(COUNT(BN1162:BU1162)=8,MIN(BN1162:BU1162)&gt;=0),SUMPRODUCT(BN1162:BQ1162,BR1162:BU1162),"")</f>
        <v>94.68567795727022</v>
      </c>
      <c r="BH1162" s="11" t="n">
        <f>IF(COUNT(BC1162,BG1162)=2,BC1162*BG1162,"")</f>
        <v>242.27417237259746</v>
      </c>
      <c r="BI1162" s="11" t="n">
        <f>IF(ISNUMBER(CI1162),CI1162,"")</f>
        <v>26.395685302356753</v>
      </c>
      <c r="BJ1162" s="8" t="str"/>
      <c r="BK1162" s="8" t="str">
        <v>90天：2026-07-20 至 2026-10-17；180天：2026-04-21 至 2026-10-17</v>
      </c>
      <c r="BL1162" s="8" t="str">
        <v>90天：2026-10-06、2026-10-07；180天：2026-10-06、2026-10-07</v>
      </c>
      <c r="BM1162" s="8" t="str">
        <v>2026-10：12天 × 0.9658602967882928；2026-11：30天 × 1.1727174450092641；2026-12：31天 × 0.8763339075184018；2027-01：17天 × 1.2204399948507247</v>
      </c>
      <c r="BN1162" s="11" t="n">
        <v>0.9658602967882928</v>
      </c>
      <c r="BO1162" s="11" t="n">
        <v>1.1727174450092641</v>
      </c>
      <c r="BP1162" s="11" t="n">
        <v>0.8763339075184018</v>
      </c>
      <c r="BQ1162" s="11" t="n">
        <v>1.2204399948507247</v>
      </c>
      <c r="BR1162" s="8" t="n">
        <v>12</v>
      </c>
      <c r="BS1162" s="8" t="n">
        <v>30</v>
      </c>
      <c r="BT1162" s="8" t="n">
        <v>31</v>
      </c>
      <c r="BU1162" s="8" t="n">
        <v>17</v>
      </c>
      <c r="BV1162" s="11" t="n">
        <f>IF(COUNT(BC1162,BF1162)=2,BC1162*BF1162,"")</f>
        <v>0.2787716777427375</v>
      </c>
      <c r="BW1162" s="11" t="n">
        <f>IF(ISNUMBER(BN1162),BN1162,"")</f>
        <v>0.9658602967882928</v>
      </c>
      <c r="BX1162" s="14" t="n">
        <f>IF(ISNUMBER(BR1162),BR1162,"")</f>
        <v>12</v>
      </c>
      <c r="BY1162" s="13" t="n">
        <f>IF(AND(COUNT(BV1162,BW1162,BX1162)=3,MIN(BV1162,BW1162,BX1162)&gt;=0),BV1162*BW1162*BX1162,"")</f>
        <v>3.231053944809249</v>
      </c>
      <c r="BZ1162" s="11" t="n">
        <f>IF(ISNUMBER(BO1162),BO1162,"")</f>
        <v>1.1727174450092641</v>
      </c>
      <c r="CA1162" s="14" t="n">
        <f>IF(ISNUMBER(BS1162),BS1162,"")</f>
        <v>30</v>
      </c>
      <c r="CB1162" s="13" t="n">
        <f>IF(AND(COUNT(BV1162,BZ1162,CA1162)=3,MIN(BV1162,BZ1162,CA1162)&gt;=0),BV1162*BZ1162*CA1162,"")</f>
        <v>9.80761228990227</v>
      </c>
      <c r="CC1162" s="11" t="n">
        <f>IF(ISNUMBER(BP1162),BP1162,"")</f>
        <v>0.8763339075184018</v>
      </c>
      <c r="CD1162" s="14" t="n">
        <f>IF(ISNUMBER(BT1162),BT1162,"")</f>
        <v>31</v>
      </c>
      <c r="CE1162" s="13" t="n">
        <f>IF(AND(COUNT(BV1162,CC1162,CD1162)=3,MIN(BV1162,CC1162,CD1162)&gt;=0),BV1162*CC1162*CD1162,"")</f>
        <v>7.573209283514369</v>
      </c>
      <c r="CF1162" s="11" t="n">
        <f>IF(ISNUMBER(BQ1162),BQ1162,"")</f>
        <v>1.2204399948507247</v>
      </c>
      <c r="CG1162" s="14" t="n">
        <f>IF(ISNUMBER(BU1162),BU1162,"")</f>
        <v>17</v>
      </c>
      <c r="CH1162" s="13" t="n">
        <f>IF(AND(COUNT(BV1162,CF1162,CG1162)=3,MIN(BV1162,CF1162,CG1162)&gt;=0),BV1162*CF1162*CG1162,"")</f>
        <v>5.783809784130866</v>
      </c>
      <c r="CI1162" s="13" t="n">
        <f>IF(COUNT(BY1162,CB1162,CE1162,CH1162)=4,SUM(BY1162,CB1162,CE1162,CH1162),"")</f>
        <v>26.395685302356753</v>
      </c>
    </row>
    <row r="1163" ht="72" customHeight="1">
      <c r="A1163" s="16" t="str">
        <v>S02b-BK-42</v>
      </c>
      <c r="B1163" s="16" t="str">
        <v>3店-SANDIEX-US</v>
      </c>
      <c r="C1163" s="16" t="str">
        <v>陈晨</v>
      </c>
      <c r="D1163" s="26" t="n">
        <f>IF(NOT(ISNUMBER(E1163)),"",IF(OR(E1163&lt;=0,L1163=0),0,IF(OR(NOT(ISNUMBER(F1163)),F1163&lt;0),"",MIN(E1163,INT(F1163)))))</f>
        <v>0</v>
      </c>
      <c r="E1163" s="27" t="n">
        <f>IF(OR(NOT(ISNUMBER(L1163)),COUNT(M1163:O1163)&lt;&gt;3,MIN(M1163:O1163)&lt;0),"",ROUNDUP(ROUND(BI1163-SUM(M1163:O1163),10),0))</f>
        <v>-38</v>
      </c>
      <c r="F1163" s="28" t="n">
        <v>38</v>
      </c>
      <c r="G1163" s="28" t="n">
        <f>IF(AND(ISNUMBER(D1163),ISNUMBER(E1163)),IF(OR(E1163&lt;=0,L1163=0),0,E1163-D1163),"")</f>
        <v>0</v>
      </c>
      <c r="H1163" s="16" t="str">
        <f>IF(NOT(ISNUMBER(E1163)),"销量或海外库存待补",IF(OR(E1163&lt;=0,L1163=0),IF(L1163=0,"零日销，本批不发","本批无需补货"),IF(NOT(ISNUMBER(D1163)),"国内库存待补",IF(D1163=0,"国内无可用库存",IF(G1163&gt;0,"先发国内现货","按建议量发货")))))</f>
        <v>本批无需补货</v>
      </c>
      <c r="I1163" s="28" t="n">
        <f>IF(AND(COUNT(Z1163,AA1163,AB1163)=3,Z1163&gt;=AA1163,AA1163&gt;=0,AB1163=7),Z1163-AA1163,"")</f>
        <v>1</v>
      </c>
      <c r="J1163" s="28" t="n">
        <f>IF(AND(COUNT(AF1163,AG1163,AH1163)=3,AF1163&gt;=AG1163,AG1163&gt;=0,AH1163=14),AF1163-AG1163,"")</f>
        <v>4</v>
      </c>
      <c r="K1163" s="28" t="n">
        <f>IF(AND(COUNT(AL1163,AM1163,AN1163)=3,AL1163&gt;=AM1163,AM1163&gt;=0,AN1163=30),AL1163-AM1163,"")</f>
        <v>6</v>
      </c>
      <c r="L1163" s="29" t="n">
        <f>IF(ISNUMBER(BI1163),BI1163/90,"")</f>
        <v>0.28131888229207325</v>
      </c>
      <c r="M1163" s="28" t="n">
        <v>43</v>
      </c>
      <c r="N1163" s="28" t="n">
        <v>0</v>
      </c>
      <c r="O1163" s="28" t="n">
        <v>20</v>
      </c>
      <c r="P1163" s="30" t="n">
        <f>IF(AND(ISNUMBER(L1163),L1163&gt;0,COUNT(M1163:O1163)=3,MIN(M1163:O1163)&gt;=0),SUM(M1163:O1163)/L1163,"")</f>
        <v>223.9451525141196</v>
      </c>
      <c r="Q1163" s="16" t="str">
        <v>沿用原计划SKU店铺</v>
      </c>
      <c r="R1163" s="16" t="str">
        <v>已匹配</v>
      </c>
      <c r="S1163" s="16" t="str">
        <v>在售</v>
      </c>
      <c r="T1163" s="16" t="str">
        <v>S02b</v>
      </c>
      <c r="U1163" s="16" t="str">
        <v>黑色</v>
      </c>
      <c r="V1163" s="16" t="n">
        <v>11</v>
      </c>
      <c r="W1163" s="8" t="str">
        <v>2026-10-11 至 2026-10-17</v>
      </c>
      <c r="X1163" s="8" t="str">
        <v>2026-10-11、2026-10-12、2026-10-13、2026-10-14、2026-10-15、2026-10-16、2026-10-17</v>
      </c>
      <c r="Y1163" s="8" t="str">
        <v>无</v>
      </c>
      <c r="Z1163" s="8" t="n">
        <v>1</v>
      </c>
      <c r="AA1163" s="8" t="n">
        <v>0</v>
      </c>
      <c r="AB1163" s="8" t="n">
        <v>7</v>
      </c>
      <c r="AC1163" s="8" t="str">
        <v>2026-10-02 至 2026-10-17</v>
      </c>
      <c r="AD1163" s="8" t="str">
        <v>2026-10-02、2026-10-03、2026-10-04、2026-10-05、2026-10-08、2026-10-09、2026-10-10、2026-10-11、2026-10-12、2026-10-13、2026-10-14、2026-10-15、2026-10-16、2026-10-17</v>
      </c>
      <c r="AE1163" s="8" t="str">
        <v>2026-10-06 大促；2026-10-07 大促</v>
      </c>
      <c r="AF1163" s="8" t="n">
        <v>5</v>
      </c>
      <c r="AG1163" s="8" t="n">
        <v>1</v>
      </c>
      <c r="AH1163" s="8" t="n">
        <v>14</v>
      </c>
      <c r="AI1163" s="8" t="str">
        <v>2026-09-16 至 2026-10-17</v>
      </c>
      <c r="AJ116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3" s="8" t="str">
        <v>2026-10-06 大促；2026-10-07 大促</v>
      </c>
      <c r="AL1163" s="8" t="n">
        <v>7</v>
      </c>
      <c r="AM1163" s="8" t="n">
        <v>1</v>
      </c>
      <c r="AN1163" s="8" t="n">
        <v>30</v>
      </c>
      <c r="AO1163" s="8" t="str">
        <v>S02b / 黑色 / 6574</v>
      </c>
      <c r="AP1163" s="11" t="n">
        <v>0.9658602967882928</v>
      </c>
      <c r="AQ1163" s="11" t="n">
        <v>0.9658602967882928</v>
      </c>
      <c r="AR1163" s="11" t="n">
        <v>0.9166270540270348</v>
      </c>
      <c r="AS1163" s="11" t="n">
        <f>IF(AND(COUNT(I1163:K1163,AP1163:AR1163)=6,MIN(AP1163:AR1163)&gt;0),I1163/7/AP1163*0.5+J1163/14/AQ1163*0.3+K1163/30/AR1163*0.2,"")</f>
        <v>0.2063355439005492</v>
      </c>
      <c r="AT1163" s="8" t="n">
        <v>23</v>
      </c>
      <c r="AU1163" s="8" t="n">
        <v>1</v>
      </c>
      <c r="AV1163" s="8" t="n">
        <v>88</v>
      </c>
      <c r="AW1163" s="11" t="n">
        <f>IF(AND(COUNT(AT1163:AV1163)=3,AT1163&gt;=AU1163,AU1163&gt;=0,AV1163&gt;0),(AT1163-AU1163)/AV1163,"")</f>
        <v>0.25</v>
      </c>
      <c r="AX1163" s="8" t="n">
        <v>56</v>
      </c>
      <c r="AY1163" s="8" t="n">
        <v>1</v>
      </c>
      <c r="AZ1163" s="8" t="n">
        <v>178</v>
      </c>
      <c r="BA1163" s="11" t="n">
        <f>IF(AND(COUNT(AX1163:AZ1163)=3,AX1163&gt;=AY1163,AY1163&gt;=0,AZ1163&gt;0),(AX1163-AY1163)/AZ1163,"")</f>
        <v>0.3089887640449438</v>
      </c>
      <c r="BB1163" s="8" t="n">
        <f>IF(COUNT(AS1163,AW1163,BA1163)=3,1,0)</f>
        <v>1</v>
      </c>
      <c r="BC1163" s="11" t="n">
        <f>IF(SUMIF($AO$11:$AO$1309,AO1163,$BB$11:$BB$1309)=COUNTIF($AO$11:$AO$1309,AO1163),SUMIF($AO$11:$AO$1309,AO1163,$AS$11:$AS$1309),"")</f>
        <v>2.558720364044191</v>
      </c>
      <c r="BD1163" s="11" t="n">
        <f>IF(SUMIF($AO$11:$AO$1309,AO1163,$BB$11:$BB$1309)=COUNTIF($AO$11:$AO$1309,AO1163),SUMIF($AO$11:$AO$1309,AO1163,$AW$11:$AW$1309),"")</f>
        <v>2.465909090909091</v>
      </c>
      <c r="BE1163" s="11" t="n">
        <f>IF(SUMIF($AO$11:$AO$1309,AO1163,$BB$11:$BB$1309)=COUNTIF($AO$11:$AO$1309,AO1163),SUMIF($AO$11:$AO$1309,AO1163,$BA$11:$BA$1309),"")</f>
        <v>2.764044943820225</v>
      </c>
      <c r="BF1163" s="12" t="n">
        <f>IF(COUNT(BD1163:BE1163)&lt;&gt;2,"",IF(AND(BD1163&gt;0,BE1163&gt;0),0.7*AW1163/BD1163+0.3*BA1163/BE1163,IF(BD1163&gt;0,AW1163/BD1163,IF(BE1163&gt;0,BA1163/BE1163,IF(AND(ISNUMBER(BH1163),BH1163=0),0,"")))))</f>
        <v>0.10450432730133752</v>
      </c>
      <c r="BG1163" s="11" t="n">
        <f>IF(AND(COUNT(BN1163:BU1163)=8,MIN(BN1163:BU1163)&gt;=0),SUMPRODUCT(BN1163:BQ1163,BR1163:BU1163),"")</f>
        <v>94.68567795727022</v>
      </c>
      <c r="BH1163" s="11" t="n">
        <f>IF(COUNT(BC1163,BG1163)=2,BC1163*BG1163,"")</f>
        <v>242.27417237259746</v>
      </c>
      <c r="BI1163" s="11" t="n">
        <f>IF(ISNUMBER(CI1163),CI1163,"")</f>
        <v>25.31869940628659</v>
      </c>
      <c r="BJ1163" s="8" t="str"/>
      <c r="BK1163" s="8" t="str">
        <v>90天：2026-07-20 至 2026-10-17；180天：2026-04-21 至 2026-10-17</v>
      </c>
      <c r="BL1163" s="8" t="str">
        <v>90天：2026-10-06、2026-10-07；180天：2026-10-06、2026-10-07</v>
      </c>
      <c r="BM1163" s="8" t="str">
        <v>2026-10：12天 × 0.9658602967882928；2026-11：30天 × 1.1727174450092641；2026-12：31天 × 0.8763339075184018；2027-01：17天 × 1.2204399948507247</v>
      </c>
      <c r="BN1163" s="11" t="n">
        <v>0.9658602967882928</v>
      </c>
      <c r="BO1163" s="11" t="n">
        <v>1.1727174450092641</v>
      </c>
      <c r="BP1163" s="11" t="n">
        <v>0.8763339075184018</v>
      </c>
      <c r="BQ1163" s="11" t="n">
        <v>1.2204399948507247</v>
      </c>
      <c r="BR1163" s="8" t="n">
        <v>12</v>
      </c>
      <c r="BS1163" s="8" t="n">
        <v>30</v>
      </c>
      <c r="BT1163" s="8" t="n">
        <v>31</v>
      </c>
      <c r="BU1163" s="8" t="n">
        <v>17</v>
      </c>
      <c r="BV1163" s="11" t="n">
        <f>IF(COUNT(BC1163,BF1163)=2,BC1163*BF1163,"")</f>
        <v>0.2673973503966716</v>
      </c>
      <c r="BW1163" s="11" t="n">
        <f>IF(ISNUMBER(BN1163),BN1163,"")</f>
        <v>0.9658602967882928</v>
      </c>
      <c r="BX1163" s="14" t="n">
        <f>IF(ISNUMBER(BR1163),BR1163,"")</f>
        <v>12</v>
      </c>
      <c r="BY1163" s="13" t="n">
        <f>IF(AND(COUNT(BV1163,BW1163,BX1163)=3,MIN(BV1163,BW1163,BX1163)&gt;=0),BV1163*BW1163*BX1163,"")</f>
        <v>3.099221810574388</v>
      </c>
      <c r="BZ1163" s="11" t="n">
        <f>IF(ISNUMBER(BO1163),BO1163,"")</f>
        <v>1.1727174450092641</v>
      </c>
      <c r="CA1163" s="14" t="n">
        <f>IF(ISNUMBER(BS1163),BS1163,"")</f>
        <v>30</v>
      </c>
      <c r="CB1163" s="13" t="n">
        <f>IF(AND(COUNT(BV1163,BZ1163,CA1163)=3,MIN(BV1163,BZ1163,CA1163)&gt;=0),BV1163*BZ1163*CA1163,"")</f>
        <v>9.40744612678295</v>
      </c>
      <c r="CC1163" s="11" t="n">
        <f>IF(ISNUMBER(BP1163),BP1163,"")</f>
        <v>0.8763339075184018</v>
      </c>
      <c r="CD1163" s="14" t="n">
        <f>IF(ISNUMBER(BT1163),BT1163,"")</f>
        <v>31</v>
      </c>
      <c r="CE1163" s="13" t="n">
        <f>IF(AND(COUNT(BV1163,CC1163,CD1163)=3,MIN(BV1163,CC1163,CD1163)&gt;=0),BV1163*CC1163*CD1163,"")</f>
        <v>7.264210312928658</v>
      </c>
      <c r="CF1163" s="11" t="n">
        <f>IF(ISNUMBER(BQ1163),BQ1163,"")</f>
        <v>1.2204399948507247</v>
      </c>
      <c r="CG1163" s="14" t="n">
        <f>IF(ISNUMBER(BU1163),BU1163,"")</f>
        <v>17</v>
      </c>
      <c r="CH1163" s="13" t="n">
        <f>IF(AND(COUNT(BV1163,CF1163,CG1163)=3,MIN(BV1163,CF1163,CG1163)&gt;=0),BV1163*CF1163*CG1163,"")</f>
        <v>5.547821156000593</v>
      </c>
      <c r="CI1163" s="13" t="n">
        <f>IF(COUNT(BY1163,CB1163,CE1163,CH1163)=4,SUM(BY1163,CB1163,CE1163,CH1163),"")</f>
        <v>25.31869940628659</v>
      </c>
    </row>
    <row r="1164" ht="72" customHeight="1">
      <c r="A1164" s="16" t="str">
        <v>S02b-ND-37</v>
      </c>
      <c r="B1164" s="16" t="str">
        <v>3店-SANDIEX-US</v>
      </c>
      <c r="C1164" s="16" t="str">
        <v>陈晨</v>
      </c>
      <c r="D1164" s="26" t="n">
        <f>IF(NOT(ISNUMBER(E1164)),"",IF(OR(E1164&lt;=0,L1164=0),0,IF(OR(NOT(ISNUMBER(F1164)),F1164&lt;0),"",MIN(E1164,INT(F1164)))))</f>
        <v>0</v>
      </c>
      <c r="E1164" s="27" t="n">
        <f>IF(OR(NOT(ISNUMBER(L1164)),COUNT(M1164:O1164)&lt;&gt;3,MIN(M1164:O1164)&lt;0),"",ROUNDUP(ROUND(BI1164-SUM(M1164:O1164),10),0))</f>
        <v>-43</v>
      </c>
      <c r="F1164" s="28" t="n">
        <v>54</v>
      </c>
      <c r="G1164" s="28" t="n">
        <f>IF(AND(ISNUMBER(D1164),ISNUMBER(E1164)),IF(OR(E1164&lt;=0,L1164=0),0,E1164-D1164),"")</f>
        <v>0</v>
      </c>
      <c r="H1164" s="16" t="str">
        <f>IF(NOT(ISNUMBER(E1164)),"销量或海外库存待补",IF(OR(E1164&lt;=0,L1164=0),IF(L1164=0,"零日销，本批不发","本批无需补货"),IF(NOT(ISNUMBER(D1164)),"国内库存待补",IF(D1164=0,"国内无可用库存",IF(G1164&gt;0,"先发国内现货","按建议量发货")))))</f>
        <v>本批无需补货</v>
      </c>
      <c r="I1164" s="28" t="n">
        <f>IF(AND(COUNT(Z1164,AA1164,AB1164)=3,Z1164&gt;=AA1164,AA1164&gt;=0,AB1164=7),Z1164-AA1164,"")</f>
        <v>0</v>
      </c>
      <c r="J1164" s="28" t="n">
        <f>IF(AND(COUNT(AF1164,AG1164,AH1164)=3,AF1164&gt;=AG1164,AG1164&gt;=0,AH1164=14),AF1164-AG1164,"")</f>
        <v>0</v>
      </c>
      <c r="K1164" s="28" t="n">
        <f>IF(AND(COUNT(AL1164,AM1164,AN1164)=3,AL1164&gt;=AM1164,AM1164&gt;=0,AN1164=30),AL1164-AM1164,"")</f>
        <v>1</v>
      </c>
      <c r="L1164" s="29" t="n">
        <f>IF(ISNUMBER(BI1164),BI1164/90,"")</f>
        <v>0.03742018300263441</v>
      </c>
      <c r="M1164" s="28" t="n">
        <v>46</v>
      </c>
      <c r="N1164" s="28" t="n">
        <v>0</v>
      </c>
      <c r="O1164" s="28" t="n">
        <v>0</v>
      </c>
      <c r="P1164" s="30" t="n">
        <f>IF(AND(ISNUMBER(L1164),L1164&gt;0,COUNT(M1164:O1164)=3,MIN(M1164:O1164)&gt;=0),SUM(M1164:O1164)/L1164,"")</f>
        <v>1229.2831383737905</v>
      </c>
      <c r="Q1164" s="16" t="str">
        <v>沿用原计划SKU店铺</v>
      </c>
      <c r="R1164" s="16" t="str">
        <v>已匹配</v>
      </c>
      <c r="S1164" s="16" t="str">
        <v>在售</v>
      </c>
      <c r="T1164" s="16" t="str">
        <v>S02b</v>
      </c>
      <c r="U1164" s="16" t="str">
        <v>裸色</v>
      </c>
      <c r="V1164" s="16" t="n">
        <v>6</v>
      </c>
      <c r="W1164" s="8" t="str">
        <v>2026-10-11 至 2026-10-17</v>
      </c>
      <c r="X1164" s="8" t="str">
        <v>2026-10-11、2026-10-12、2026-10-13、2026-10-14、2026-10-15、2026-10-16、2026-10-17</v>
      </c>
      <c r="Y1164" s="8" t="str">
        <v>无</v>
      </c>
      <c r="Z1164" s="8" t="n">
        <v>0</v>
      </c>
      <c r="AA1164" s="8" t="n">
        <v>0</v>
      </c>
      <c r="AB1164" s="8" t="n">
        <v>7</v>
      </c>
      <c r="AC1164" s="8" t="str">
        <v>2026-10-02 至 2026-10-17</v>
      </c>
      <c r="AD1164" s="8" t="str">
        <v>2026-10-02、2026-10-03、2026-10-04、2026-10-05、2026-10-08、2026-10-09、2026-10-10、2026-10-11、2026-10-12、2026-10-13、2026-10-14、2026-10-15、2026-10-16、2026-10-17</v>
      </c>
      <c r="AE1164" s="8" t="str">
        <v>2026-10-06 大促；2026-10-07 大促</v>
      </c>
      <c r="AF1164" s="8" t="n">
        <v>0</v>
      </c>
      <c r="AG1164" s="8" t="n">
        <v>0</v>
      </c>
      <c r="AH1164" s="8" t="n">
        <v>14</v>
      </c>
      <c r="AI1164" s="8" t="str">
        <v>2026-09-16 至 2026-10-17</v>
      </c>
      <c r="AJ116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4" s="8" t="str">
        <v>2026-10-06 大促；2026-10-07 大促</v>
      </c>
      <c r="AL1164" s="8" t="n">
        <v>1</v>
      </c>
      <c r="AM1164" s="8" t="n">
        <v>0</v>
      </c>
      <c r="AN1164" s="8" t="n">
        <v>30</v>
      </c>
      <c r="AO1164" s="8" t="str">
        <v>S02b / 裸色 / 6574</v>
      </c>
      <c r="AP1164" s="11" t="n">
        <v>0.9658602967882928</v>
      </c>
      <c r="AQ1164" s="11" t="n">
        <v>0.9658602967882928</v>
      </c>
      <c r="AR1164" s="11" t="n">
        <v>0.9166270540270348</v>
      </c>
      <c r="AS1164" s="11" t="n">
        <f>IF(AND(COUNT(I1164:K1164,AP1164:AR1164)=6,MIN(AP1164:AR1164)&gt;0),I1164/7/AP1164*0.5+J1164/14/AQ1164*0.3+K1164/30/AR1164*0.2,"")</f>
        <v>0.007273041568408738</v>
      </c>
      <c r="AT1164" s="8" t="n">
        <v>2</v>
      </c>
      <c r="AU1164" s="8" t="n">
        <v>0</v>
      </c>
      <c r="AV1164" s="8" t="n">
        <v>88</v>
      </c>
      <c r="AW1164" s="11" t="n">
        <f>IF(AND(COUNT(AT1164:AV1164)=3,AT1164&gt;=AU1164,AU1164&gt;=0,AV1164&gt;0),(AT1164-AU1164)/AV1164,"")</f>
        <v>0.022727272727272728</v>
      </c>
      <c r="AX1164" s="8" t="n">
        <v>9</v>
      </c>
      <c r="AY1164" s="8" t="n">
        <v>0</v>
      </c>
      <c r="AZ1164" s="8" t="n">
        <v>178</v>
      </c>
      <c r="BA1164" s="11" t="n">
        <f>IF(AND(COUNT(AX1164:AZ1164)=3,AX1164&gt;=AY1164,AY1164&gt;=0,AZ1164&gt;0),(AX1164-AY1164)/AZ1164,"")</f>
        <v>0.05056179775280899</v>
      </c>
      <c r="BB1164" s="8" t="n">
        <f>IF(COUNT(AS1164,AW1164,BA1164)=3,1,0)</f>
        <v>1</v>
      </c>
      <c r="BC1164" s="11" t="n">
        <f>IF(SUMIF($AO$11:$AO$1309,AO1164,$BB$11:$BB$1309)=COUNTIF($AO$11:$AO$1309,AO1164),SUMIF($AO$11:$AO$1309,AO1164,$AS$11:$AS$1309),"")</f>
        <v>1.2832412828049458</v>
      </c>
      <c r="BD1164" s="11" t="n">
        <f>IF(SUMIF($AO$11:$AO$1309,AO1164,$BB$11:$BB$1309)=COUNTIF($AO$11:$AO$1309,AO1164),SUMIF($AO$11:$AO$1309,AO1164,$AW$11:$AW$1309),"")</f>
        <v>1.0795454545454544</v>
      </c>
      <c r="BE1164" s="11" t="n">
        <f>IF(SUMIF($AO$11:$AO$1309,AO1164,$BB$11:$BB$1309)=COUNTIF($AO$11:$AO$1309,AO1164),SUMIF($AO$11:$AO$1309,AO1164,$BA$11:$BA$1309),"")</f>
        <v>1.1685393258426966</v>
      </c>
      <c r="BF1164" s="12" t="n">
        <f>IF(COUNT(BD1164:BE1164)&lt;&gt;2,"",IF(AND(BD1164&gt;0,BE1164&gt;0),0.7*AW1164/BD1164+0.3*BA1164/BE1164,IF(BD1164&gt;0,AW1164/BD1164,IF(BE1164&gt;0,BA1164/BE1164,IF(AND(ISNUMBER(BH1164),BH1164=0),0,"")))))</f>
        <v>0.02771761133603239</v>
      </c>
      <c r="BG1164" s="11" t="n">
        <f>IF(AND(COUNT(BN1164:BU1164)=8,MIN(BN1164:BU1164)&gt;=0),SUMPRODUCT(BN1164:BQ1164,BR1164:BU1164),"")</f>
        <v>94.68567795727022</v>
      </c>
      <c r="BH1164" s="11" t="n">
        <f>IF(COUNT(BC1164,BG1164)=2,BC1164*BG1164,"")</f>
        <v>121.5045708451434</v>
      </c>
      <c r="BI1164" s="11" t="n">
        <f>IF(ISNUMBER(CI1164),CI1164,"")</f>
        <v>3.3678164702370967</v>
      </c>
      <c r="BJ1164" s="8" t="str"/>
      <c r="BK1164" s="8" t="str">
        <v>90天：2026-07-20 至 2026-10-17；180天：2026-04-21 至 2026-10-17</v>
      </c>
      <c r="BL1164" s="8" t="str">
        <v>90天：2026-10-06、2026-10-07；180天：2026-10-06、2026-10-07</v>
      </c>
      <c r="BM1164" s="8" t="str">
        <v>2026-10：12天 × 0.9658602967882928；2026-11：30天 × 1.1727174450092641；2026-12：31天 × 0.8763339075184018；2027-01：17天 × 1.2204399948507247</v>
      </c>
      <c r="BN1164" s="11" t="n">
        <v>0.9658602967882928</v>
      </c>
      <c r="BO1164" s="11" t="n">
        <v>1.1727174450092641</v>
      </c>
      <c r="BP1164" s="11" t="n">
        <v>0.8763339075184018</v>
      </c>
      <c r="BQ1164" s="11" t="n">
        <v>1.2204399948507247</v>
      </c>
      <c r="BR1164" s="8" t="n">
        <v>12</v>
      </c>
      <c r="BS1164" s="8" t="n">
        <v>30</v>
      </c>
      <c r="BT1164" s="8" t="n">
        <v>31</v>
      </c>
      <c r="BU1164" s="8" t="n">
        <v>17</v>
      </c>
      <c r="BV1164" s="11" t="n">
        <f>IF(COUNT(BC1164,BF1164)=2,BC1164*BF1164,"")</f>
        <v>0.03556838312713911</v>
      </c>
      <c r="BW1164" s="11" t="n">
        <f>IF(ISNUMBER(BN1164),BN1164,"")</f>
        <v>0.9658602967882928</v>
      </c>
      <c r="BX1164" s="14" t="n">
        <f>IF(ISNUMBER(BR1164),BR1164,"")</f>
        <v>12</v>
      </c>
      <c r="BY1164" s="13" t="n">
        <f>IF(AND(COUNT(BV1164,BW1164,BX1164)=3,MIN(BV1164,BW1164,BX1164)&gt;=0),BV1164*BW1164*BX1164,"")</f>
        <v>0.4122490690014994</v>
      </c>
      <c r="BZ1164" s="11" t="n">
        <f>IF(ISNUMBER(BO1164),BO1164,"")</f>
        <v>1.1727174450092641</v>
      </c>
      <c r="CA1164" s="14" t="n">
        <f>IF(ISNUMBER(BS1164),BS1164,"")</f>
        <v>30</v>
      </c>
      <c r="CB1164" s="13" t="n">
        <f>IF(AND(COUNT(BV1164,BZ1164,CA1164)=3,MIN(BV1164,BZ1164,CA1164)&gt;=0),BV1164*BZ1164*CA1164,"")</f>
        <v>1.2513499015190759</v>
      </c>
      <c r="CC1164" s="11" t="n">
        <f>IF(ISNUMBER(BP1164),BP1164,"")</f>
        <v>0.8763339075184018</v>
      </c>
      <c r="CD1164" s="14" t="n">
        <f>IF(ISNUMBER(BT1164),BT1164,"")</f>
        <v>31</v>
      </c>
      <c r="CE1164" s="13" t="n">
        <f>IF(AND(COUNT(BV1164,CC1164,CD1164)=3,MIN(BV1164,CC1164,CD1164)&gt;=0),BV1164*CC1164*CD1164,"")</f>
        <v>0.9662631852674395</v>
      </c>
      <c r="CF1164" s="11" t="n">
        <f>IF(ISNUMBER(BQ1164),BQ1164,"")</f>
        <v>1.2204399948507247</v>
      </c>
      <c r="CG1164" s="14" t="n">
        <f>IF(ISNUMBER(BU1164),BU1164,"")</f>
        <v>17</v>
      </c>
      <c r="CH1164" s="13" t="n">
        <f>IF(AND(COUNT(BV1164,CF1164,CG1164)=3,MIN(BV1164,CF1164,CG1164)&gt;=0),BV1164*CF1164*CG1164,"")</f>
        <v>0.7379543144490823</v>
      </c>
      <c r="CI1164" s="13" t="n">
        <f>IF(COUNT(BY1164,CB1164,CE1164,CH1164)=4,SUM(BY1164,CB1164,CE1164,CH1164),"")</f>
        <v>3.3678164702370967</v>
      </c>
    </row>
    <row r="1165" ht="72" customHeight="1">
      <c r="A1165" s="16" t="str">
        <v>S02b-ND-38</v>
      </c>
      <c r="B1165" s="16" t="str">
        <v>3店-SANDIEX-US</v>
      </c>
      <c r="C1165" s="16" t="str">
        <v>陈晨</v>
      </c>
      <c r="D1165" s="26" t="n">
        <f>IF(NOT(ISNUMBER(E1165)),"",IF(OR(E1165&lt;=0,L1165=0),0,IF(OR(NOT(ISNUMBER(F1165)),F1165&lt;0),"",MIN(E1165,INT(F1165)))))</f>
        <v>0</v>
      </c>
      <c r="E1165" s="27" t="n">
        <f>IF(OR(NOT(ISNUMBER(L1165)),COUNT(M1165:O1165)&lt;&gt;3,MIN(M1165:O1165)&lt;0),"",ROUNDUP(ROUND(BI1165-SUM(M1165:O1165),10),0))</f>
        <v>-39</v>
      </c>
      <c r="F1165" s="28" t="n">
        <v>46</v>
      </c>
      <c r="G1165" s="28" t="n">
        <f>IF(AND(ISNUMBER(D1165),ISNUMBER(E1165)),IF(OR(E1165&lt;=0,L1165=0),0,E1165-D1165),"")</f>
        <v>0</v>
      </c>
      <c r="H1165" s="16" t="str">
        <f>IF(NOT(ISNUMBER(E1165)),"销量或海外库存待补",IF(OR(E1165&lt;=0,L1165=0),IF(L1165=0,"零日销，本批不发","本批无需补货"),IF(NOT(ISNUMBER(D1165)),"国内库存待补",IF(D1165=0,"国内无可用库存",IF(G1165&gt;0,"先发国内现货","按建议量发货")))))</f>
        <v>本批无需补货</v>
      </c>
      <c r="I1165" s="28" t="n">
        <f>IF(AND(COUNT(Z1165,AA1165,AB1165)=3,Z1165&gt;=AA1165,AA1165&gt;=0,AB1165=7),Z1165-AA1165,"")</f>
        <v>2</v>
      </c>
      <c r="J1165" s="28" t="n">
        <f>IF(AND(COUNT(AF1165,AG1165,AH1165)=3,AF1165&gt;=AG1165,AG1165&gt;=0,AH1165=14),AF1165-AG1165,"")</f>
        <v>4</v>
      </c>
      <c r="K1165" s="28" t="n">
        <f>IF(AND(COUNT(AL1165,AM1165,AN1165)=3,AL1165&gt;=AM1165,AM1165&gt;=0,AN1165=30),AL1165-AM1165,"")</f>
        <v>7</v>
      </c>
      <c r="L1165" s="29" t="n">
        <f>IF(ISNUMBER(BI1165),BI1165/90,"")</f>
        <v>0.2649474669817711</v>
      </c>
      <c r="M1165" s="28" t="n">
        <v>22</v>
      </c>
      <c r="N1165" s="28" t="n">
        <v>0</v>
      </c>
      <c r="O1165" s="28" t="n">
        <v>40</v>
      </c>
      <c r="P1165" s="30" t="n">
        <f>IF(AND(ISNUMBER(L1165),L1165&gt;0,COUNT(M1165:O1165)=3,MIN(M1165:O1165)&gt;=0),SUM(M1165:O1165)/L1165,"")</f>
        <v>234.00865351268192</v>
      </c>
      <c r="Q1165" s="16" t="str">
        <v>沿用原计划SKU店铺</v>
      </c>
      <c r="R1165" s="16" t="str">
        <v>已匹配</v>
      </c>
      <c r="S1165" s="16" t="str">
        <v>在售</v>
      </c>
      <c r="T1165" s="16" t="str">
        <v>S02b</v>
      </c>
      <c r="U1165" s="16" t="str">
        <v>裸色</v>
      </c>
      <c r="V1165" s="16" t="n">
        <v>7</v>
      </c>
      <c r="W1165" s="8" t="str">
        <v>2026-10-11 至 2026-10-17</v>
      </c>
      <c r="X1165" s="8" t="str">
        <v>2026-10-11、2026-10-12、2026-10-13、2026-10-14、2026-10-15、2026-10-16、2026-10-17</v>
      </c>
      <c r="Y1165" s="8" t="str">
        <v>无</v>
      </c>
      <c r="Z1165" s="8" t="n">
        <v>2</v>
      </c>
      <c r="AA1165" s="8" t="n">
        <v>0</v>
      </c>
      <c r="AB1165" s="8" t="n">
        <v>7</v>
      </c>
      <c r="AC1165" s="8" t="str">
        <v>2026-10-02 至 2026-10-17</v>
      </c>
      <c r="AD1165" s="8" t="str">
        <v>2026-10-02、2026-10-03、2026-10-04、2026-10-05、2026-10-08、2026-10-09、2026-10-10、2026-10-11、2026-10-12、2026-10-13、2026-10-14、2026-10-15、2026-10-16、2026-10-17</v>
      </c>
      <c r="AE1165" s="8" t="str">
        <v>2026-10-06 大促；2026-10-07 大促</v>
      </c>
      <c r="AF1165" s="8" t="n">
        <v>5</v>
      </c>
      <c r="AG1165" s="8" t="n">
        <v>1</v>
      </c>
      <c r="AH1165" s="8" t="n">
        <v>14</v>
      </c>
      <c r="AI1165" s="8" t="str">
        <v>2026-09-16 至 2026-10-17</v>
      </c>
      <c r="AJ116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5" s="8" t="str">
        <v>2026-10-06 大促；2026-10-07 大促</v>
      </c>
      <c r="AL1165" s="8" t="n">
        <v>8</v>
      </c>
      <c r="AM1165" s="8" t="n">
        <v>1</v>
      </c>
      <c r="AN1165" s="8" t="n">
        <v>30</v>
      </c>
      <c r="AO1165" s="8" t="str">
        <v>S02b / 裸色 / 6574</v>
      </c>
      <c r="AP1165" s="11" t="n">
        <v>0.9658602967882928</v>
      </c>
      <c r="AQ1165" s="11" t="n">
        <v>0.9658602967882928</v>
      </c>
      <c r="AR1165" s="11" t="n">
        <v>0.9166270540270348</v>
      </c>
      <c r="AS1165" s="11" t="n">
        <f>IF(AND(COUNT(I1165:K1165,AP1165:AR1165)=6,MIN(AP1165:AR1165)&gt;0),I1165/7/AP1165*0.5+J1165/14/AQ1165*0.3+K1165/30/AR1165*0.2,"")</f>
        <v>0.2875619011462746</v>
      </c>
      <c r="AT1165" s="8" t="n">
        <v>20</v>
      </c>
      <c r="AU1165" s="8" t="n">
        <v>1</v>
      </c>
      <c r="AV1165" s="8" t="n">
        <v>88</v>
      </c>
      <c r="AW1165" s="11" t="n">
        <f>IF(AND(COUNT(AT1165:AV1165)=3,AT1165&gt;=AU1165,AU1165&gt;=0,AV1165&gt;0),(AT1165-AU1165)/AV1165,"")</f>
        <v>0.2159090909090909</v>
      </c>
      <c r="AX1165" s="8" t="n">
        <v>40</v>
      </c>
      <c r="AY1165" s="8" t="n">
        <v>1</v>
      </c>
      <c r="AZ1165" s="8" t="n">
        <v>178</v>
      </c>
      <c r="BA1165" s="11" t="n">
        <f>IF(AND(COUNT(AX1165:AZ1165)=3,AX1165&gt;=AY1165,AY1165&gt;=0,AZ1165&gt;0),(AX1165-AY1165)/AZ1165,"")</f>
        <v>0.21910112359550563</v>
      </c>
      <c r="BB1165" s="8" t="n">
        <f>IF(COUNT(AS1165,AW1165,BA1165)=3,1,0)</f>
        <v>1</v>
      </c>
      <c r="BC1165" s="11" t="n">
        <f>IF(SUMIF($AO$11:$AO$1309,AO1165,$BB$11:$BB$1309)=COUNTIF($AO$11:$AO$1309,AO1165),SUMIF($AO$11:$AO$1309,AO1165,$AS$11:$AS$1309),"")</f>
        <v>1.2832412828049458</v>
      </c>
      <c r="BD1165" s="11" t="n">
        <f>IF(SUMIF($AO$11:$AO$1309,AO1165,$BB$11:$BB$1309)=COUNTIF($AO$11:$AO$1309,AO1165),SUMIF($AO$11:$AO$1309,AO1165,$AW$11:$AW$1309),"")</f>
        <v>1.0795454545454544</v>
      </c>
      <c r="BE1165" s="11" t="n">
        <f>IF(SUMIF($AO$11:$AO$1309,AO1165,$BB$11:$BB$1309)=COUNTIF($AO$11:$AO$1309,AO1165),SUMIF($AO$11:$AO$1309,AO1165,$BA$11:$BA$1309),"")</f>
        <v>1.1685393258426966</v>
      </c>
      <c r="BF1165" s="12" t="n">
        <f>IF(COUNT(BD1165:BE1165)&lt;&gt;2,"",IF(AND(BD1165&gt;0,BE1165&gt;0),0.7*AW1165/BD1165+0.3*BA1165/BE1165,IF(BD1165&gt;0,AW1165/BD1165,IF(BE1165&gt;0,BA1165/BE1165,IF(AND(ISNUMBER(BH1165),BH1165=0),0,"")))))</f>
        <v>0.19625</v>
      </c>
      <c r="BG1165" s="11" t="n">
        <f>IF(AND(COUNT(BN1165:BU1165)=8,MIN(BN1165:BU1165)&gt;=0),SUMPRODUCT(BN1165:BQ1165,BR1165:BU1165),"")</f>
        <v>94.68567795727022</v>
      </c>
      <c r="BH1165" s="11" t="n">
        <f>IF(COUNT(BC1165,BG1165)=2,BC1165*BG1165,"")</f>
        <v>121.5045708451434</v>
      </c>
      <c r="BI1165" s="11" t="n">
        <f>IF(ISNUMBER(CI1165),CI1165,"")</f>
        <v>23.845272028359396</v>
      </c>
      <c r="BJ1165" s="8" t="str"/>
      <c r="BK1165" s="8" t="str">
        <v>90天：2026-07-20 至 2026-10-17；180天：2026-04-21 至 2026-10-17</v>
      </c>
      <c r="BL1165" s="8" t="str">
        <v>90天：2026-10-06、2026-10-07；180天：2026-10-06、2026-10-07</v>
      </c>
      <c r="BM1165" s="8" t="str">
        <v>2026-10：12天 × 0.9658602967882928；2026-11：30天 × 1.1727174450092641；2026-12：31天 × 0.8763339075184018；2027-01：17天 × 1.2204399948507247</v>
      </c>
      <c r="BN1165" s="11" t="n">
        <v>0.9658602967882928</v>
      </c>
      <c r="BO1165" s="11" t="n">
        <v>1.1727174450092641</v>
      </c>
      <c r="BP1165" s="11" t="n">
        <v>0.8763339075184018</v>
      </c>
      <c r="BQ1165" s="11" t="n">
        <v>1.2204399948507247</v>
      </c>
      <c r="BR1165" s="8" t="n">
        <v>12</v>
      </c>
      <c r="BS1165" s="8" t="n">
        <v>30</v>
      </c>
      <c r="BT1165" s="8" t="n">
        <v>31</v>
      </c>
      <c r="BU1165" s="8" t="n">
        <v>17</v>
      </c>
      <c r="BV1165" s="11" t="n">
        <f>IF(COUNT(BC1165,BF1165)=2,BC1165*BF1165,"")</f>
        <v>0.2518361017504706</v>
      </c>
      <c r="BW1165" s="11" t="n">
        <f>IF(ISNUMBER(BN1165),BN1165,"")</f>
        <v>0.9658602967882928</v>
      </c>
      <c r="BX1165" s="14" t="n">
        <f>IF(ISNUMBER(BR1165),BR1165,"")</f>
        <v>12</v>
      </c>
      <c r="BY1165" s="13" t="n">
        <f>IF(AND(COUNT(BV1165,BW1165,BX1165)=3,MIN(BV1165,BW1165,BX1165)&gt;=0),BV1165*BW1165*BX1165,"")</f>
        <v>2.918861903744595</v>
      </c>
      <c r="BZ1165" s="11" t="n">
        <f>IF(ISNUMBER(BO1165),BO1165,"")</f>
        <v>1.1727174450092641</v>
      </c>
      <c r="CA1165" s="14" t="n">
        <f>IF(ISNUMBER(BS1165),BS1165,"")</f>
        <v>30</v>
      </c>
      <c r="CB1165" s="13" t="n">
        <f>IF(AND(COUNT(BV1165,BZ1165,CA1165)=3,MIN(BV1165,BZ1165,CA1165)&gt;=0),BV1165*BZ1165*CA1165,"")</f>
        <v>8.859977694177148</v>
      </c>
      <c r="CC1165" s="11" t="n">
        <f>IF(ISNUMBER(BP1165),BP1165,"")</f>
        <v>0.8763339075184018</v>
      </c>
      <c r="CD1165" s="14" t="n">
        <f>IF(ISNUMBER(BT1165),BT1165,"")</f>
        <v>31</v>
      </c>
      <c r="CE1165" s="13" t="n">
        <f>IF(AND(COUNT(BV1165,CC1165,CD1165)=3,MIN(BV1165,CC1165,CD1165)&gt;=0),BV1165*CC1165*CD1165,"")</f>
        <v>6.841467968136944</v>
      </c>
      <c r="CF1165" s="11" t="n">
        <f>IF(ISNUMBER(BQ1165),BQ1165,"")</f>
        <v>1.2204399948507247</v>
      </c>
      <c r="CG1165" s="14" t="n">
        <f>IF(ISNUMBER(BU1165),BU1165,"")</f>
        <v>17</v>
      </c>
      <c r="CH1165" s="13" t="n">
        <f>IF(AND(COUNT(BV1165,CF1165,CG1165)=3,MIN(BV1165,CF1165,CG1165)&gt;=0),BV1165*CF1165*CG1165,"")</f>
        <v>5.224964462300706</v>
      </c>
      <c r="CI1165" s="13" t="n">
        <f>IF(COUNT(BY1165,CB1165,CE1165,CH1165)=4,SUM(BY1165,CB1165,CE1165,CH1165),"")</f>
        <v>23.845272028359396</v>
      </c>
    </row>
    <row r="1166" ht="72" customHeight="1">
      <c r="A1166" s="16" t="str">
        <v>S02b-ND-39</v>
      </c>
      <c r="B1166" s="16" t="str">
        <v>3店-SANDIEX-US</v>
      </c>
      <c r="C1166" s="16" t="str">
        <v>陈晨</v>
      </c>
      <c r="D1166" s="26" t="n">
        <f>IF(NOT(ISNUMBER(E1166)),"",IF(OR(E1166&lt;=0,L1166=0),0,IF(OR(NOT(ISNUMBER(F1166)),F1166&lt;0),"",MIN(E1166,INT(F1166)))))</f>
        <v>0</v>
      </c>
      <c r="E1166" s="27" t="n">
        <f>IF(OR(NOT(ISNUMBER(L1166)),COUNT(M1166:O1166)&lt;&gt;3,MIN(M1166:O1166)&lt;0),"",ROUNDUP(ROUND(BI1166-SUM(M1166:O1166),10),0))</f>
        <v>-52</v>
      </c>
      <c r="F1166" s="28" t="n">
        <v>98</v>
      </c>
      <c r="G1166" s="28" t="n">
        <f>IF(AND(ISNUMBER(D1166),ISNUMBER(E1166)),IF(OR(E1166&lt;=0,L1166=0),0,E1166-D1166),"")</f>
        <v>0</v>
      </c>
      <c r="H1166" s="16" t="str">
        <f>IF(NOT(ISNUMBER(E1166)),"销量或海外库存待补",IF(OR(E1166&lt;=0,L1166=0),IF(L1166=0,"零日销，本批不发","本批无需补货"),IF(NOT(ISNUMBER(D1166)),"国内库存待补",IF(D1166=0,"国内无可用库存",IF(G1166&gt;0,"先发国内现货","按建议量发货")))))</f>
        <v>本批无需补货</v>
      </c>
      <c r="I1166" s="28" t="n">
        <f>IF(AND(COUNT(Z1166,AA1166,AB1166)=3,Z1166&gt;=AA1166,AA1166&gt;=0,AB1166=7),Z1166-AA1166,"")</f>
        <v>3</v>
      </c>
      <c r="J1166" s="28" t="n">
        <f>IF(AND(COUNT(AF1166,AG1166,AH1166)=3,AF1166&gt;=AG1166,AG1166&gt;=0,AH1166=14),AF1166-AG1166,"")</f>
        <v>4</v>
      </c>
      <c r="K1166" s="28" t="n">
        <f>IF(AND(COUNT(AL1166,AM1166,AN1166)=3,AL1166&gt;=AM1166,AM1166&gt;=0,AN1166=30),AL1166-AM1166,"")</f>
        <v>10</v>
      </c>
      <c r="L1166" s="29" t="n">
        <f>IF(ISNUMBER(BI1166),BI1166/90,"")</f>
        <v>0.38584396839342266</v>
      </c>
      <c r="M1166" s="28" t="n">
        <v>25</v>
      </c>
      <c r="N1166" s="28" t="n">
        <v>0</v>
      </c>
      <c r="O1166" s="28" t="n">
        <v>61</v>
      </c>
      <c r="P1166" s="30" t="n">
        <f>IF(AND(ISNUMBER(L1166),L1166&gt;0,COUNT(M1166:O1166)=3,MIN(M1166:O1166)&gt;=0),SUM(M1166:O1166)/L1166,"")</f>
        <v>222.88802480983918</v>
      </c>
      <c r="Q1166" s="16" t="str">
        <v>沿用原计划SKU店铺</v>
      </c>
      <c r="R1166" s="16" t="str">
        <v>已匹配</v>
      </c>
      <c r="S1166" s="16" t="str">
        <v>在售</v>
      </c>
      <c r="T1166" s="16" t="str">
        <v>S02b</v>
      </c>
      <c r="U1166" s="16" t="str">
        <v>裸色</v>
      </c>
      <c r="V1166" s="16" t="n">
        <v>8</v>
      </c>
      <c r="W1166" s="8" t="str">
        <v>2026-10-11 至 2026-10-17</v>
      </c>
      <c r="X1166" s="8" t="str">
        <v>2026-10-11、2026-10-12、2026-10-13、2026-10-14、2026-10-15、2026-10-16、2026-10-17</v>
      </c>
      <c r="Y1166" s="8" t="str">
        <v>无</v>
      </c>
      <c r="Z1166" s="8" t="n">
        <v>3</v>
      </c>
      <c r="AA1166" s="8" t="n">
        <v>0</v>
      </c>
      <c r="AB1166" s="8" t="n">
        <v>7</v>
      </c>
      <c r="AC1166" s="8" t="str">
        <v>2026-10-02 至 2026-10-17</v>
      </c>
      <c r="AD1166" s="8" t="str">
        <v>2026-10-02、2026-10-03、2026-10-04、2026-10-05、2026-10-08、2026-10-09、2026-10-10、2026-10-11、2026-10-12、2026-10-13、2026-10-14、2026-10-15、2026-10-16、2026-10-17</v>
      </c>
      <c r="AE1166" s="8" t="str">
        <v>2026-10-06 大促；2026-10-07 大促</v>
      </c>
      <c r="AF1166" s="8" t="n">
        <v>5</v>
      </c>
      <c r="AG1166" s="8" t="n">
        <v>1</v>
      </c>
      <c r="AH1166" s="8" t="n">
        <v>14</v>
      </c>
      <c r="AI1166" s="8" t="str">
        <v>2026-09-16 至 2026-10-17</v>
      </c>
      <c r="AJ116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6" s="8" t="str">
        <v>2026-10-06 大促；2026-10-07 大促</v>
      </c>
      <c r="AL1166" s="8" t="n">
        <v>11</v>
      </c>
      <c r="AM1166" s="8" t="n">
        <v>1</v>
      </c>
      <c r="AN1166" s="8" t="n">
        <v>30</v>
      </c>
      <c r="AO1166" s="8" t="str">
        <v>S02b / 裸色 / 6574</v>
      </c>
      <c r="AP1166" s="11" t="n">
        <v>0.9658602967882928</v>
      </c>
      <c r="AQ1166" s="11" t="n">
        <v>0.9658602967882928</v>
      </c>
      <c r="AR1166" s="11" t="n">
        <v>0.9166270540270348</v>
      </c>
      <c r="AS1166" s="11" t="n">
        <f>IF(AND(COUNT(I1166:K1166,AP1166:AR1166)=6,MIN(AP1166:AR1166)&gt;0),I1166/7/AP1166*0.5+J1166/14/AQ1166*0.3+K1166/30/AR1166*0.2,"")</f>
        <v>0.38333434152881757</v>
      </c>
      <c r="AT1166" s="8" t="n">
        <v>30</v>
      </c>
      <c r="AU1166" s="8" t="n">
        <v>1</v>
      </c>
      <c r="AV1166" s="8" t="n">
        <v>88</v>
      </c>
      <c r="AW1166" s="11" t="n">
        <f>IF(AND(COUNT(AT1166:AV1166)=3,AT1166&gt;=AU1166,AU1166&gt;=0,AV1166&gt;0),(AT1166-AU1166)/AV1166,"")</f>
        <v>0.32954545454545453</v>
      </c>
      <c r="AX1166" s="8" t="n">
        <v>51</v>
      </c>
      <c r="AY1166" s="8" t="n">
        <v>1</v>
      </c>
      <c r="AZ1166" s="8" t="n">
        <v>178</v>
      </c>
      <c r="BA1166" s="11" t="n">
        <f>IF(AND(COUNT(AX1166:AZ1166)=3,AX1166&gt;=AY1166,AY1166&gt;=0,AZ1166&gt;0),(AX1166-AY1166)/AZ1166,"")</f>
        <v>0.2808988764044944</v>
      </c>
      <c r="BB1166" s="8" t="n">
        <f>IF(COUNT(AS1166,AW1166,BA1166)=3,1,0)</f>
        <v>1</v>
      </c>
      <c r="BC1166" s="11" t="n">
        <f>IF(SUMIF($AO$11:$AO$1309,AO1166,$BB$11:$BB$1309)=COUNTIF($AO$11:$AO$1309,AO1166),SUMIF($AO$11:$AO$1309,AO1166,$AS$11:$AS$1309),"")</f>
        <v>1.2832412828049458</v>
      </c>
      <c r="BD1166" s="11" t="n">
        <f>IF(SUMIF($AO$11:$AO$1309,AO1166,$BB$11:$BB$1309)=COUNTIF($AO$11:$AO$1309,AO1166),SUMIF($AO$11:$AO$1309,AO1166,$AW$11:$AW$1309),"")</f>
        <v>1.0795454545454544</v>
      </c>
      <c r="BE1166" s="11" t="n">
        <f>IF(SUMIF($AO$11:$AO$1309,AO1166,$BB$11:$BB$1309)=COUNTIF($AO$11:$AO$1309,AO1166),SUMIF($AO$11:$AO$1309,AO1166,$BA$11:$BA$1309),"")</f>
        <v>1.1685393258426966</v>
      </c>
      <c r="BF1166" s="12" t="n">
        <f>IF(COUNT(BD1166:BE1166)&lt;&gt;2,"",IF(AND(BD1166&gt;0,BE1166&gt;0),0.7*AW1166/BD1166+0.3*BA1166/BE1166,IF(BD1166&gt;0,AW1166/BD1166,IF(BE1166&gt;0,BA1166/BE1166,IF(AND(ISNUMBER(BH1166),BH1166=0),0,"")))))</f>
        <v>0.2857995951417004</v>
      </c>
      <c r="BG1166" s="11" t="n">
        <f>IF(AND(COUNT(BN1166:BU1166)=8,MIN(BN1166:BU1166)&gt;=0),SUMPRODUCT(BN1166:BQ1166,BR1166:BU1166),"")</f>
        <v>94.68567795727022</v>
      </c>
      <c r="BH1166" s="11" t="n">
        <f>IF(COUNT(BC1166,BG1166)=2,BC1166*BG1166,"")</f>
        <v>121.5045708451434</v>
      </c>
      <c r="BI1166" s="11" t="n">
        <f>IF(ISNUMBER(CI1166),CI1166,"")</f>
        <v>34.72595715540804</v>
      </c>
      <c r="BJ1166" s="8" t="str"/>
      <c r="BK1166" s="8" t="str">
        <v>90天：2026-07-20 至 2026-10-17；180天：2026-04-21 至 2026-10-17</v>
      </c>
      <c r="BL1166" s="8" t="str">
        <v>90天：2026-10-06、2026-10-07；180天：2026-10-06、2026-10-07</v>
      </c>
      <c r="BM1166" s="8" t="str">
        <v>2026-10：12天 × 0.9658602967882928；2026-11：30天 × 1.1727174450092641；2026-12：31天 × 0.8763339075184018；2027-01：17天 × 1.2204399948507247</v>
      </c>
      <c r="BN1166" s="11" t="n">
        <v>0.9658602967882928</v>
      </c>
      <c r="BO1166" s="11" t="n">
        <v>1.1727174450092641</v>
      </c>
      <c r="BP1166" s="11" t="n">
        <v>0.8763339075184018</v>
      </c>
      <c r="BQ1166" s="11" t="n">
        <v>1.2204399948507247</v>
      </c>
      <c r="BR1166" s="8" t="n">
        <v>12</v>
      </c>
      <c r="BS1166" s="8" t="n">
        <v>30</v>
      </c>
      <c r="BT1166" s="8" t="n">
        <v>31</v>
      </c>
      <c r="BU1166" s="8" t="n">
        <v>17</v>
      </c>
      <c r="BV1166" s="11" t="n">
        <f>IF(COUNT(BC1166,BF1166)=2,BC1166*BF1166,"")</f>
        <v>0.36674983909476977</v>
      </c>
      <c r="BW1166" s="11" t="n">
        <f>IF(ISNUMBER(BN1166),BN1166,"")</f>
        <v>0.9658602967882928</v>
      </c>
      <c r="BX1166" s="14" t="n">
        <f>IF(ISNUMBER(BR1166),BR1166,"")</f>
        <v>12</v>
      </c>
      <c r="BY1166" s="13" t="n">
        <f>IF(AND(COUNT(BV1166,BW1166,BX1166)=3,MIN(BV1166,BW1166,BX1166)&gt;=0),BV1166*BW1166*BX1166,"")</f>
        <v>4.250749301221595</v>
      </c>
      <c r="BZ1166" s="11" t="n">
        <f>IF(ISNUMBER(BO1166),BO1166,"")</f>
        <v>1.1727174450092641</v>
      </c>
      <c r="CA1166" s="14" t="n">
        <f>IF(ISNUMBER(BS1166),BS1166,"")</f>
        <v>30</v>
      </c>
      <c r="CB1166" s="13" t="n">
        <f>IF(AND(COUNT(BV1166,BZ1166,CA1166)=3,MIN(BV1166,BZ1166,CA1166)&gt;=0),BV1166*BZ1166*CA1166,"")</f>
        <v>12.902818027823313</v>
      </c>
      <c r="CC1166" s="11" t="n">
        <f>IF(ISNUMBER(BP1166),BP1166,"")</f>
        <v>0.8763339075184018</v>
      </c>
      <c r="CD1166" s="14" t="n">
        <f>IF(ISNUMBER(BT1166),BT1166,"")</f>
        <v>31</v>
      </c>
      <c r="CE1166" s="13" t="n">
        <f>IF(AND(COUNT(BV1166,CC1166,CD1166)=3,MIN(BV1166,CC1166,CD1166)&gt;=0),BV1166*CC1166*CD1166,"")</f>
        <v>9.963254906845606</v>
      </c>
      <c r="CF1166" s="11" t="n">
        <f>IF(ISNUMBER(BQ1166),BQ1166,"")</f>
        <v>1.2204399948507247</v>
      </c>
      <c r="CG1166" s="14" t="n">
        <f>IF(ISNUMBER(BU1166),BU1166,"")</f>
        <v>17</v>
      </c>
      <c r="CH1166" s="13" t="n">
        <f>IF(AND(COUNT(BV1166,CF1166,CG1166)=3,MIN(BV1166,CF1166,CG1166)&gt;=0),BV1166*CF1166*CG1166,"")</f>
        <v>7.6091349195175235</v>
      </c>
      <c r="CI1166" s="13" t="n">
        <f>IF(COUNT(BY1166,CB1166,CE1166,CH1166)=4,SUM(BY1166,CB1166,CE1166,CH1166),"")</f>
        <v>34.72595715540804</v>
      </c>
    </row>
    <row r="1167" ht="72" customHeight="1">
      <c r="A1167" s="16" t="str">
        <v>S02b-ND-40</v>
      </c>
      <c r="B1167" s="16" t="str">
        <v>3店-SANDIEX-US</v>
      </c>
      <c r="C1167" s="16" t="str">
        <v>陈晨</v>
      </c>
      <c r="D1167" s="26" t="n">
        <f>IF(NOT(ISNUMBER(E1167)),"",IF(OR(E1167&lt;=0,L1167=0),0,IF(OR(NOT(ISNUMBER(F1167)),F1167&lt;0),"",MIN(E1167,INT(F1167)))))</f>
        <v>0</v>
      </c>
      <c r="E1167" s="27" t="n">
        <f>IF(OR(NOT(ISNUMBER(L1167)),COUNT(M1167:O1167)&lt;&gt;3,MIN(M1167:O1167)&lt;0),"",ROUNDUP(ROUND(BI1167-SUM(M1167:O1167),10),0))</f>
        <v>-39</v>
      </c>
      <c r="F1167" s="28" t="n">
        <v>114</v>
      </c>
      <c r="G1167" s="28" t="n">
        <f>IF(AND(ISNUMBER(D1167),ISNUMBER(E1167)),IF(OR(E1167&lt;=0,L1167=0),0,E1167-D1167),"")</f>
        <v>0</v>
      </c>
      <c r="H1167" s="16" t="str">
        <f>IF(NOT(ISNUMBER(E1167)),"销量或海外库存待补",IF(OR(E1167&lt;=0,L1167=0),IF(L1167=0,"零日销，本批不发","本批无需补货"),IF(NOT(ISNUMBER(D1167)),"国内库存待补",IF(D1167=0,"国内无可用库存",IF(G1167&gt;0,"先发国内现货","按建议量发货")))))</f>
        <v>本批无需补货</v>
      </c>
      <c r="I1167" s="28" t="n">
        <f>IF(AND(COUNT(Z1167,AA1167,AB1167)=3,Z1167&gt;=AA1167,AA1167&gt;=0,AB1167=7),Z1167-AA1167,"")</f>
        <v>1</v>
      </c>
      <c r="J1167" s="28" t="n">
        <f>IF(AND(COUNT(AF1167,AG1167,AH1167)=3,AF1167&gt;=AG1167,AG1167&gt;=0,AH1167=14),AF1167-AG1167,"")</f>
        <v>3</v>
      </c>
      <c r="K1167" s="28" t="n">
        <f>IF(AND(COUNT(AL1167,AM1167,AN1167)=3,AL1167&gt;=AM1167,AM1167&gt;=0,AN1167=30),AL1167-AM1167,"")</f>
        <v>5</v>
      </c>
      <c r="L1167" s="29" t="n">
        <f>IF(ISNUMBER(BI1167),BI1167/90,"")</f>
        <v>0.4249995405657977</v>
      </c>
      <c r="M1167" s="28" t="n">
        <v>17</v>
      </c>
      <c r="N1167" s="28" t="n">
        <v>0</v>
      </c>
      <c r="O1167" s="28" t="n">
        <v>60</v>
      </c>
      <c r="P1167" s="30" t="n">
        <f>IF(AND(ISNUMBER(L1167),L1167&gt;0,COUNT(M1167:O1167)=3,MIN(M1167:O1167)&gt;=0),SUM(M1167:O1167)/L1167,"")</f>
        <v>181.17666644413464</v>
      </c>
      <c r="Q1167" s="16" t="str">
        <v>沿用原计划SKU店铺</v>
      </c>
      <c r="R1167" s="16" t="str">
        <v>已匹配</v>
      </c>
      <c r="S1167" s="16" t="str">
        <v>在售</v>
      </c>
      <c r="T1167" s="16" t="str">
        <v>S02b</v>
      </c>
      <c r="U1167" s="16" t="str">
        <v>裸色</v>
      </c>
      <c r="V1167" s="16" t="n">
        <v>9</v>
      </c>
      <c r="W1167" s="8" t="str">
        <v>2026-10-11 至 2026-10-17</v>
      </c>
      <c r="X1167" s="8" t="str">
        <v>2026-10-11、2026-10-12、2026-10-13、2026-10-14、2026-10-15、2026-10-16、2026-10-17</v>
      </c>
      <c r="Y1167" s="8" t="str">
        <v>无</v>
      </c>
      <c r="Z1167" s="8" t="n">
        <v>1</v>
      </c>
      <c r="AA1167" s="8" t="n">
        <v>0</v>
      </c>
      <c r="AB1167" s="8" t="n">
        <v>7</v>
      </c>
      <c r="AC1167" s="8" t="str">
        <v>2026-10-02 至 2026-10-17</v>
      </c>
      <c r="AD1167" s="8" t="str">
        <v>2026-10-02、2026-10-03、2026-10-04、2026-10-05、2026-10-08、2026-10-09、2026-10-10、2026-10-11、2026-10-12、2026-10-13、2026-10-14、2026-10-15、2026-10-16、2026-10-17</v>
      </c>
      <c r="AE1167" s="8" t="str">
        <v>2026-10-06 大促；2026-10-07 大促</v>
      </c>
      <c r="AF1167" s="8" t="n">
        <v>5</v>
      </c>
      <c r="AG1167" s="8" t="n">
        <v>2</v>
      </c>
      <c r="AH1167" s="8" t="n">
        <v>14</v>
      </c>
      <c r="AI1167" s="8" t="str">
        <v>2026-09-16 至 2026-10-17</v>
      </c>
      <c r="AJ116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7" s="8" t="str">
        <v>2026-10-06 大促；2026-10-07 大促</v>
      </c>
      <c r="AL1167" s="8" t="n">
        <v>7</v>
      </c>
      <c r="AM1167" s="8" t="n">
        <v>2</v>
      </c>
      <c r="AN1167" s="8" t="n">
        <v>30</v>
      </c>
      <c r="AO1167" s="8" t="str">
        <v>S02b / 裸色 / 6574</v>
      </c>
      <c r="AP1167" s="11" t="n">
        <v>0.9658602967882928</v>
      </c>
      <c r="AQ1167" s="11" t="n">
        <v>0.9658602967882928</v>
      </c>
      <c r="AR1167" s="11" t="n">
        <v>0.9166270540270348</v>
      </c>
      <c r="AS1167" s="11" t="n">
        <f>IF(AND(COUNT(I1167:K1167,AP1167:AR1167)=6,MIN(AP1167:AR1167)&gt;0),I1167/7/AP1167*0.5+J1167/14/AQ1167*0.3+K1167/30/AR1167*0.2,"")</f>
        <v>0.17687650762894544</v>
      </c>
      <c r="AT1167" s="8" t="n">
        <v>32</v>
      </c>
      <c r="AU1167" s="8" t="n">
        <v>2</v>
      </c>
      <c r="AV1167" s="8" t="n">
        <v>88</v>
      </c>
      <c r="AW1167" s="11" t="n">
        <f>IF(AND(COUNT(AT1167:AV1167)=3,AT1167&gt;=AU1167,AU1167&gt;=0,AV1167&gt;0),(AT1167-AU1167)/AV1167,"")</f>
        <v>0.3409090909090909</v>
      </c>
      <c r="AX1167" s="8" t="n">
        <v>67</v>
      </c>
      <c r="AY1167" s="8" t="n">
        <v>2</v>
      </c>
      <c r="AZ1167" s="8" t="n">
        <v>178</v>
      </c>
      <c r="BA1167" s="11" t="n">
        <f>IF(AND(COUNT(AX1167:AZ1167)=3,AX1167&gt;=AY1167,AY1167&gt;=0,AZ1167&gt;0),(AX1167-AY1167)/AZ1167,"")</f>
        <v>0.3651685393258427</v>
      </c>
      <c r="BB1167" s="8" t="n">
        <f>IF(COUNT(AS1167,AW1167,BA1167)=3,1,0)</f>
        <v>1</v>
      </c>
      <c r="BC1167" s="11" t="n">
        <f>IF(SUMIF($AO$11:$AO$1309,AO1167,$BB$11:$BB$1309)=COUNTIF($AO$11:$AO$1309,AO1167),SUMIF($AO$11:$AO$1309,AO1167,$AS$11:$AS$1309),"")</f>
        <v>1.2832412828049458</v>
      </c>
      <c r="BD1167" s="11" t="n">
        <f>IF(SUMIF($AO$11:$AO$1309,AO1167,$BB$11:$BB$1309)=COUNTIF($AO$11:$AO$1309,AO1167),SUMIF($AO$11:$AO$1309,AO1167,$AW$11:$AW$1309),"")</f>
        <v>1.0795454545454544</v>
      </c>
      <c r="BE1167" s="11" t="n">
        <f>IF(SUMIF($AO$11:$AO$1309,AO1167,$BB$11:$BB$1309)=COUNTIF($AO$11:$AO$1309,AO1167),SUMIF($AO$11:$AO$1309,AO1167,$BA$11:$BA$1309),"")</f>
        <v>1.1685393258426966</v>
      </c>
      <c r="BF1167" s="12" t="n">
        <f>IF(COUNT(BD1167:BE1167)&lt;&gt;2,"",IF(AND(BD1167&gt;0,BE1167&gt;0),0.7*AW1167/BD1167+0.3*BA1167/BE1167,IF(BD1167&gt;0,AW1167/BD1167,IF(BE1167&gt;0,BA1167/BE1167,IF(AND(ISNUMBER(BH1167),BH1167=0),0,"")))))</f>
        <v>0.3148026315789474</v>
      </c>
      <c r="BG1167" s="11" t="n">
        <f>IF(AND(COUNT(BN1167:BU1167)=8,MIN(BN1167:BU1167)&gt;=0),SUMPRODUCT(BN1167:BQ1167,BR1167:BU1167),"")</f>
        <v>94.68567795727022</v>
      </c>
      <c r="BH1167" s="11" t="n">
        <f>IF(COUNT(BC1167,BG1167)=2,BC1167*BG1167,"")</f>
        <v>121.5045708451434</v>
      </c>
      <c r="BI1167" s="11" t="n">
        <f>IF(ISNUMBER(CI1167),CI1167,"")</f>
        <v>38.24995865092179</v>
      </c>
      <c r="BJ1167" s="8" t="str"/>
      <c r="BK1167" s="8" t="str">
        <v>90天：2026-07-20 至 2026-10-17；180天：2026-04-21 至 2026-10-17</v>
      </c>
      <c r="BL1167" s="8" t="str">
        <v>90天：2026-10-06、2026-10-07；180天：2026-10-06、2026-10-07</v>
      </c>
      <c r="BM1167" s="8" t="str">
        <v>2026-10：12天 × 0.9658602967882928；2026-11：30天 × 1.1727174450092641；2026-12：31天 × 0.8763339075184018；2027-01：17天 × 1.2204399948507247</v>
      </c>
      <c r="BN1167" s="11" t="n">
        <v>0.9658602967882928</v>
      </c>
      <c r="BO1167" s="11" t="n">
        <v>1.1727174450092641</v>
      </c>
      <c r="BP1167" s="11" t="n">
        <v>0.8763339075184018</v>
      </c>
      <c r="BQ1167" s="11" t="n">
        <v>1.2204399948507247</v>
      </c>
      <c r="BR1167" s="8" t="n">
        <v>12</v>
      </c>
      <c r="BS1167" s="8" t="n">
        <v>30</v>
      </c>
      <c r="BT1167" s="8" t="n">
        <v>31</v>
      </c>
      <c r="BU1167" s="8" t="n">
        <v>17</v>
      </c>
      <c r="BV1167" s="11" t="n">
        <f>IF(COUNT(BC1167,BF1167)=2,BC1167*BF1167,"")</f>
        <v>0.4039677327777412</v>
      </c>
      <c r="BW1167" s="11" t="n">
        <f>IF(ISNUMBER(BN1167),BN1167,"")</f>
        <v>0.9658602967882928</v>
      </c>
      <c r="BX1167" s="14" t="n">
        <f>IF(ISNUMBER(BR1167),BR1167,"")</f>
        <v>12</v>
      </c>
      <c r="BY1167" s="13" t="n">
        <f>IF(AND(COUNT(BV1167,BW1167,BX1167)=3,MIN(BV1167,BW1167,BX1167)&gt;=0),BV1167*BW1167*BX1167,"")</f>
        <v>4.682116731283234</v>
      </c>
      <c r="BZ1167" s="11" t="n">
        <f>IF(ISNUMBER(BO1167),BO1167,"")</f>
        <v>1.1727174450092641</v>
      </c>
      <c r="CA1167" s="14" t="n">
        <f>IF(ISNUMBER(BS1167),BS1167,"")</f>
        <v>30</v>
      </c>
      <c r="CB1167" s="13" t="n">
        <f>IF(AND(COUNT(BV1167,BZ1167,CA1167)=3,MIN(BV1167,BZ1167,CA1167)&gt;=0),BV1167*BZ1167*CA1167,"")</f>
        <v>14.212200223478934</v>
      </c>
      <c r="CC1167" s="11" t="n">
        <f>IF(ISNUMBER(BP1167),BP1167,"")</f>
        <v>0.8763339075184018</v>
      </c>
      <c r="CD1167" s="14" t="n">
        <f>IF(ISNUMBER(BT1167),BT1167,"")</f>
        <v>31</v>
      </c>
      <c r="CE1167" s="13" t="n">
        <f>IF(AND(COUNT(BV1167,CC1167,CD1167)=3,MIN(BV1167,CC1167,CD1167)&gt;=0),BV1167*CC1167*CD1167,"")</f>
        <v>10.974329275070492</v>
      </c>
      <c r="CF1167" s="11" t="n">
        <f>IF(ISNUMBER(BQ1167),BQ1167,"")</f>
        <v>1.2204399948507247</v>
      </c>
      <c r="CG1167" s="14" t="n">
        <f>IF(ISNUMBER(BU1167),BU1167,"")</f>
        <v>17</v>
      </c>
      <c r="CH1167" s="13" t="n">
        <f>IF(AND(COUNT(BV1167,CF1167,CG1167)=3,MIN(BV1167,CF1167,CG1167)&gt;=0),BV1167*CF1167*CG1167,"")</f>
        <v>8.381312421089131</v>
      </c>
      <c r="CI1167" s="13" t="n">
        <f>IF(COUNT(BY1167,CB1167,CE1167,CH1167)=4,SUM(BY1167,CB1167,CE1167,CH1167),"")</f>
        <v>38.24995865092179</v>
      </c>
    </row>
    <row r="1168" ht="72" customHeight="1">
      <c r="A1168" s="16" t="str">
        <v>S02b-ND-41</v>
      </c>
      <c r="B1168" s="16" t="str">
        <v>3店-SANDIEX-US</v>
      </c>
      <c r="C1168" s="16" t="str">
        <v>陈晨</v>
      </c>
      <c r="D1168" s="26" t="n">
        <f>IF(NOT(ISNUMBER(E1168)),"",IF(OR(E1168&lt;=0,L1168=0),0,IF(OR(NOT(ISNUMBER(F1168)),F1168&lt;0),"",MIN(E1168,INT(F1168)))))</f>
        <v>0</v>
      </c>
      <c r="E1168" s="27" t="n">
        <f>IF(OR(NOT(ISNUMBER(L1168)),COUNT(M1168:O1168)&lt;&gt;3,MIN(M1168:O1168)&lt;0),"",ROUNDUP(ROUND(BI1168-SUM(M1168:O1168),10),0))</f>
        <v>-23</v>
      </c>
      <c r="F1168" s="28" t="n">
        <v>55</v>
      </c>
      <c r="G1168" s="28" t="n">
        <f>IF(AND(ISNUMBER(D1168),ISNUMBER(E1168)),IF(OR(E1168&lt;=0,L1168=0),0,E1168-D1168),"")</f>
        <v>0</v>
      </c>
      <c r="H1168" s="16" t="str">
        <f>IF(NOT(ISNUMBER(E1168)),"销量或海外库存待补",IF(OR(E1168&lt;=0,L1168=0),IF(L1168=0,"零日销，本批不发","本批无需补货"),IF(NOT(ISNUMBER(D1168)),"国内库存待补",IF(D1168=0,"国内无可用库存",IF(G1168&gt;0,"先发国内现货","按建议量发货")))))</f>
        <v>本批无需补货</v>
      </c>
      <c r="I1168" s="28" t="n">
        <f>IF(AND(COUNT(Z1168,AA1168,AB1168)=3,Z1168&gt;=AA1168,AA1168&gt;=0,AB1168=7),Z1168-AA1168,"")</f>
        <v>2</v>
      </c>
      <c r="J1168" s="28" t="n">
        <f>IF(AND(COUNT(AF1168,AG1168,AH1168)=3,AF1168&gt;=AG1168,AG1168&gt;=0,AH1168=14),AF1168-AG1168,"")</f>
        <v>2</v>
      </c>
      <c r="K1168" s="28" t="n">
        <f>IF(AND(COUNT(AL1168,AM1168,AN1168)=3,AL1168&gt;=AM1168,AM1168&gt;=0,AN1168=30),AL1168-AM1168,"")</f>
        <v>3</v>
      </c>
      <c r="L1168" s="29" t="n">
        <f>IF(ISNUMBER(BI1168),BI1168/90,"")</f>
        <v>0.16373465138910603</v>
      </c>
      <c r="M1168" s="28" t="n">
        <v>17</v>
      </c>
      <c r="N1168" s="28" t="n">
        <v>0</v>
      </c>
      <c r="O1168" s="28" t="n">
        <v>20</v>
      </c>
      <c r="P1168" s="30" t="n">
        <f>IF(AND(ISNUMBER(L1168),L1168&gt;0,COUNT(M1168:O1168)=3,MIN(M1168:O1168)&gt;=0),SUM(M1168:O1168)/L1168,"")</f>
        <v>225.975379591896</v>
      </c>
      <c r="Q1168" s="16" t="str">
        <v>沿用原计划SKU店铺</v>
      </c>
      <c r="R1168" s="16" t="str">
        <v>已匹配</v>
      </c>
      <c r="S1168" s="16" t="str">
        <v>在售</v>
      </c>
      <c r="T1168" s="16" t="str">
        <v>S02b</v>
      </c>
      <c r="U1168" s="16" t="str">
        <v>裸色</v>
      </c>
      <c r="V1168" s="16" t="n">
        <v>10</v>
      </c>
      <c r="W1168" s="8" t="str">
        <v>2026-10-11 至 2026-10-17</v>
      </c>
      <c r="X1168" s="8" t="str">
        <v>2026-10-11、2026-10-12、2026-10-13、2026-10-14、2026-10-15、2026-10-16、2026-10-17</v>
      </c>
      <c r="Y1168" s="8" t="str">
        <v>无</v>
      </c>
      <c r="Z1168" s="8" t="n">
        <v>2</v>
      </c>
      <c r="AA1168" s="8" t="n">
        <v>0</v>
      </c>
      <c r="AB1168" s="8" t="n">
        <v>7</v>
      </c>
      <c r="AC1168" s="8" t="str">
        <v>2026-10-02 至 2026-10-17</v>
      </c>
      <c r="AD1168" s="8" t="str">
        <v>2026-10-02、2026-10-03、2026-10-04、2026-10-05、2026-10-08、2026-10-09、2026-10-10、2026-10-11、2026-10-12、2026-10-13、2026-10-14、2026-10-15、2026-10-16、2026-10-17</v>
      </c>
      <c r="AE1168" s="8" t="str">
        <v>2026-10-06 大促；2026-10-07 大促</v>
      </c>
      <c r="AF1168" s="8" t="n">
        <v>2</v>
      </c>
      <c r="AG1168" s="8" t="n">
        <v>0</v>
      </c>
      <c r="AH1168" s="8" t="n">
        <v>14</v>
      </c>
      <c r="AI1168" s="8" t="str">
        <v>2026-09-16 至 2026-10-17</v>
      </c>
      <c r="AJ116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8" s="8" t="str">
        <v>2026-10-06 大促；2026-10-07 大促</v>
      </c>
      <c r="AL1168" s="8" t="n">
        <v>3</v>
      </c>
      <c r="AM1168" s="8" t="n">
        <v>0</v>
      </c>
      <c r="AN1168" s="8" t="n">
        <v>30</v>
      </c>
      <c r="AO1168" s="8" t="str">
        <v>S02b / 裸色 / 6574</v>
      </c>
      <c r="AP1168" s="11" t="n">
        <v>0.9658602967882928</v>
      </c>
      <c r="AQ1168" s="11" t="n">
        <v>0.9658602967882928</v>
      </c>
      <c r="AR1168" s="11" t="n">
        <v>0.9166270540270348</v>
      </c>
      <c r="AS1168" s="11" t="n">
        <f>IF(AND(COUNT(I1168:K1168,AP1168:AR1168)=6,MIN(AP1168:AR1168)&gt;0),I1168/7/AP1168*0.5+J1168/14/AQ1168*0.3+K1168/30/AR1168*0.2,"")</f>
        <v>0.21409774546624966</v>
      </c>
      <c r="AT1168" s="8" t="n">
        <v>10</v>
      </c>
      <c r="AU1168" s="8" t="n">
        <v>0</v>
      </c>
      <c r="AV1168" s="8" t="n">
        <v>88</v>
      </c>
      <c r="AW1168" s="11" t="n">
        <f>IF(AND(COUNT(AT1168:AV1168)=3,AT1168&gt;=AU1168,AU1168&gt;=0,AV1168&gt;0),(AT1168-AU1168)/AV1168,"")</f>
        <v>0.11363636363636363</v>
      </c>
      <c r="AX1168" s="8" t="n">
        <v>33</v>
      </c>
      <c r="AY1168" s="8" t="n">
        <v>0</v>
      </c>
      <c r="AZ1168" s="8" t="n">
        <v>178</v>
      </c>
      <c r="BA1168" s="11" t="n">
        <f>IF(AND(COUNT(AX1168:AZ1168)=3,AX1168&gt;=AY1168,AY1168&gt;=0,AZ1168&gt;0),(AX1168-AY1168)/AZ1168,"")</f>
        <v>0.1853932584269663</v>
      </c>
      <c r="BB1168" s="8" t="n">
        <f>IF(COUNT(AS1168,AW1168,BA1168)=3,1,0)</f>
        <v>1</v>
      </c>
      <c r="BC1168" s="11" t="n">
        <f>IF(SUMIF($AO$11:$AO$1309,AO1168,$BB$11:$BB$1309)=COUNTIF($AO$11:$AO$1309,AO1168),SUMIF($AO$11:$AO$1309,AO1168,$AS$11:$AS$1309),"")</f>
        <v>1.2832412828049458</v>
      </c>
      <c r="BD1168" s="11" t="n">
        <f>IF(SUMIF($AO$11:$AO$1309,AO1168,$BB$11:$BB$1309)=COUNTIF($AO$11:$AO$1309,AO1168),SUMIF($AO$11:$AO$1309,AO1168,$AW$11:$AW$1309),"")</f>
        <v>1.0795454545454544</v>
      </c>
      <c r="BE1168" s="11" t="n">
        <f>IF(SUMIF($AO$11:$AO$1309,AO1168,$BB$11:$BB$1309)=COUNTIF($AO$11:$AO$1309,AO1168),SUMIF($AO$11:$AO$1309,AO1168,$BA$11:$BA$1309),"")</f>
        <v>1.1685393258426966</v>
      </c>
      <c r="BF1168" s="12" t="n">
        <f>IF(COUNT(BD1168:BE1168)&lt;&gt;2,"",IF(AND(BD1168&gt;0,BE1168&gt;0),0.7*AW1168/BD1168+0.3*BA1168/BE1168,IF(BD1168&gt;0,AW1168/BD1168,IF(BE1168&gt;0,BA1168/BE1168,IF(AND(ISNUMBER(BH1168),BH1168=0),0,"")))))</f>
        <v>0.12128036437246964</v>
      </c>
      <c r="BG1168" s="11" t="n">
        <f>IF(AND(COUNT(BN1168:BU1168)=8,MIN(BN1168:BU1168)&gt;=0),SUMPRODUCT(BN1168:BQ1168,BR1168:BU1168),"")</f>
        <v>94.68567795727022</v>
      </c>
      <c r="BH1168" s="11" t="n">
        <f>IF(COUNT(BC1168,BG1168)=2,BC1168*BG1168,"")</f>
        <v>121.5045708451434</v>
      </c>
      <c r="BI1168" s="11" t="n">
        <f>IF(ISNUMBER(CI1168),CI1168,"")</f>
        <v>14.736118625019543</v>
      </c>
      <c r="BJ1168" s="8" t="str"/>
      <c r="BK1168" s="8" t="str">
        <v>90天：2026-07-20 至 2026-10-17；180天：2026-04-21 至 2026-10-17</v>
      </c>
      <c r="BL1168" s="8" t="str">
        <v>90天：2026-10-06、2026-10-07；180天：2026-10-06、2026-10-07</v>
      </c>
      <c r="BM1168" s="8" t="str">
        <v>2026-10：12天 × 0.9658602967882928；2026-11：30天 × 1.1727174450092641；2026-12：31天 × 0.8763339075184018；2027-01：17天 × 1.2204399948507247</v>
      </c>
      <c r="BN1168" s="11" t="n">
        <v>0.9658602967882928</v>
      </c>
      <c r="BO1168" s="11" t="n">
        <v>1.1727174450092641</v>
      </c>
      <c r="BP1168" s="11" t="n">
        <v>0.8763339075184018</v>
      </c>
      <c r="BQ1168" s="11" t="n">
        <v>1.2204399948507247</v>
      </c>
      <c r="BR1168" s="8" t="n">
        <v>12</v>
      </c>
      <c r="BS1168" s="8" t="n">
        <v>30</v>
      </c>
      <c r="BT1168" s="8" t="n">
        <v>31</v>
      </c>
      <c r="BU1168" s="8" t="n">
        <v>17</v>
      </c>
      <c r="BV1168" s="11" t="n">
        <f>IF(COUNT(BC1168,BF1168)=2,BC1168*BF1168,"")</f>
        <v>0.15563197035637918</v>
      </c>
      <c r="BW1168" s="11" t="n">
        <f>IF(ISNUMBER(BN1168),BN1168,"")</f>
        <v>0.9658602967882928</v>
      </c>
      <c r="BX1168" s="14" t="n">
        <f>IF(ISNUMBER(BR1168),BR1168,"")</f>
        <v>12</v>
      </c>
      <c r="BY1168" s="13" t="n">
        <f>IF(AND(COUNT(BV1168,BW1168,BX1168)=3,MIN(BV1168,BW1168,BX1168)&gt;=0),BV1168*BW1168*BX1168,"")</f>
        <v>1.8038248929379102</v>
      </c>
      <c r="BZ1168" s="11" t="n">
        <f>IF(ISNUMBER(BO1168),BO1168,"")</f>
        <v>1.1727174450092641</v>
      </c>
      <c r="CA1168" s="14" t="n">
        <f>IF(ISNUMBER(BS1168),BS1168,"")</f>
        <v>30</v>
      </c>
      <c r="CB1168" s="13" t="n">
        <f>IF(AND(COUNT(BV1168,BZ1168,CA1168)=3,MIN(BV1168,BZ1168,CA1168)&gt;=0),BV1168*BZ1168*CA1168,"")</f>
        <v>5.475369799142716</v>
      </c>
      <c r="CC1168" s="11" t="n">
        <f>IF(ISNUMBER(BP1168),BP1168,"")</f>
        <v>0.8763339075184018</v>
      </c>
      <c r="CD1168" s="14" t="n">
        <f>IF(ISNUMBER(BT1168),BT1168,"")</f>
        <v>31</v>
      </c>
      <c r="CE1168" s="13" t="n">
        <f>IF(AND(COUNT(BV1168,CC1168,CD1168)=3,MIN(BV1168,CC1168,CD1168)&gt;=0),BV1168*CC1168*CD1168,"")</f>
        <v>4.2279527542330095</v>
      </c>
      <c r="CF1168" s="11" t="n">
        <f>IF(ISNUMBER(BQ1168),BQ1168,"")</f>
        <v>1.2204399948507247</v>
      </c>
      <c r="CG1168" s="14" t="n">
        <f>IF(ISNUMBER(BU1168),BU1168,"")</f>
        <v>17</v>
      </c>
      <c r="CH1168" s="13" t="n">
        <f>IF(AND(COUNT(BV1168,CF1168,CG1168)=3,MIN(BV1168,CF1168,CG1168)&gt;=0),BV1168*CF1168*CG1168,"")</f>
        <v>3.2289711787059083</v>
      </c>
      <c r="CI1168" s="13" t="n">
        <f>IF(COUNT(BY1168,CB1168,CE1168,CH1168)=4,SUM(BY1168,CB1168,CE1168,CH1168),"")</f>
        <v>14.736118625019543</v>
      </c>
    </row>
    <row r="1169" ht="72" customHeight="1">
      <c r="A1169" s="16" t="str">
        <v>S02b-ND-42</v>
      </c>
      <c r="B1169" s="16" t="str">
        <v>3店-SANDIEX-US</v>
      </c>
      <c r="C1169" s="16" t="str">
        <v>陈晨</v>
      </c>
      <c r="D1169" s="26" t="n">
        <f>IF(NOT(ISNUMBER(E1169)),"",IF(OR(E1169&lt;=0,L1169=0),0,IF(OR(NOT(ISNUMBER(F1169)),F1169&lt;0),"",MIN(E1169,INT(F1169)))))</f>
        <v>0</v>
      </c>
      <c r="E1169" s="27" t="n">
        <f>IF(OR(NOT(ISNUMBER(L1169)),COUNT(M1169:O1169)&lt;&gt;3,MIN(M1169:O1169)&lt;0),"",ROUNDUP(ROUND(BI1169-SUM(M1169:O1169),10),0))</f>
        <v>-19</v>
      </c>
      <c r="F1169" s="28" t="n">
        <v>35</v>
      </c>
      <c r="G1169" s="28" t="n">
        <f>IF(AND(ISNUMBER(D1169),ISNUMBER(E1169)),IF(OR(E1169&lt;=0,L1169=0),0,E1169-D1169),"")</f>
        <v>0</v>
      </c>
      <c r="H1169" s="16" t="str">
        <f>IF(NOT(ISNUMBER(E1169)),"销量或海外库存待补",IF(OR(E1169&lt;=0,L1169=0),IF(L1169=0,"零日销，本批不发","本批无需补货"),IF(NOT(ISNUMBER(D1169)),"国内库存待补",IF(D1169=0,"国内无可用库存",IF(G1169&gt;0,"先发国内现货","按建议量发货")))))</f>
        <v>本批无需补货</v>
      </c>
      <c r="I1169" s="28" t="n">
        <f>IF(AND(COUNT(Z1169,AA1169,AB1169)=3,Z1169&gt;=AA1169,AA1169&gt;=0,AB1169=7),Z1169-AA1169,"")</f>
        <v>1</v>
      </c>
      <c r="J1169" s="28" t="n">
        <f>IF(AND(COUNT(AF1169,AG1169,AH1169)=3,AF1169&gt;=AG1169,AG1169&gt;=0,AH1169=14),AF1169-AG1169,"")</f>
        <v>1</v>
      </c>
      <c r="K1169" s="28" t="n">
        <f>IF(AND(COUNT(AL1169,AM1169,AN1169)=3,AL1169&gt;=AM1169,AM1169&gt;=0,AN1169=30),AL1169-AM1169,"")</f>
        <v>1</v>
      </c>
      <c r="L1169" s="29" t="n">
        <f>IF(ISNUMBER(BI1169),BI1169/90,"")</f>
        <v>0.01189493127763128</v>
      </c>
      <c r="M1169" s="28" t="n">
        <v>0</v>
      </c>
      <c r="N1169" s="28" t="n">
        <v>0</v>
      </c>
      <c r="O1169" s="28" t="n">
        <v>20</v>
      </c>
      <c r="P1169" s="30" t="n">
        <f>IF(AND(ISNUMBER(L1169),L1169&gt;0,COUNT(M1169:O1169)=3,MIN(M1169:O1169)&gt;=0),SUM(M1169:O1169)/L1169,"")</f>
        <v>1681.388444640324</v>
      </c>
      <c r="Q1169" s="16" t="str">
        <v>沿用原计划SKU店铺</v>
      </c>
      <c r="R1169" s="16" t="str">
        <v>已匹配</v>
      </c>
      <c r="S1169" s="16" t="str">
        <v>在售</v>
      </c>
      <c r="T1169" s="16" t="str">
        <v>S02b</v>
      </c>
      <c r="U1169" s="16" t="str">
        <v>裸色</v>
      </c>
      <c r="V1169" s="16" t="n">
        <v>11</v>
      </c>
      <c r="W1169" s="8" t="str">
        <v>2026-10-11 至 2026-10-17</v>
      </c>
      <c r="X1169" s="8" t="str">
        <v>2026-10-11、2026-10-12、2026-10-13、2026-10-14、2026-10-15、2026-10-16、2026-10-17</v>
      </c>
      <c r="Y1169" s="8" t="str">
        <v>无</v>
      </c>
      <c r="Z1169" s="8" t="n">
        <v>1</v>
      </c>
      <c r="AA1169" s="8" t="n">
        <v>0</v>
      </c>
      <c r="AB1169" s="8" t="n">
        <v>7</v>
      </c>
      <c r="AC1169" s="8" t="str">
        <v>2026-10-02 至 2026-10-17</v>
      </c>
      <c r="AD1169" s="8" t="str">
        <v>2026-10-02、2026-10-03、2026-10-04、2026-10-05、2026-10-08、2026-10-09、2026-10-10、2026-10-11、2026-10-12、2026-10-13、2026-10-14、2026-10-15、2026-10-16、2026-10-17</v>
      </c>
      <c r="AE1169" s="8" t="str">
        <v>2026-10-06 大促；2026-10-07 大促</v>
      </c>
      <c r="AF1169" s="8" t="n">
        <v>1</v>
      </c>
      <c r="AG1169" s="8" t="n">
        <v>0</v>
      </c>
      <c r="AH1169" s="8" t="n">
        <v>14</v>
      </c>
      <c r="AI1169" s="8" t="str">
        <v>2026-09-16 至 2026-10-17</v>
      </c>
      <c r="AJ11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69" s="8" t="str">
        <v>2026-10-06 大促；2026-10-07 大促</v>
      </c>
      <c r="AL1169" s="8" t="n">
        <v>1</v>
      </c>
      <c r="AM1169" s="8" t="n">
        <v>0</v>
      </c>
      <c r="AN1169" s="8" t="n">
        <v>30</v>
      </c>
      <c r="AO1169" s="8" t="str">
        <v>S02b / 裸色 / 6574</v>
      </c>
      <c r="AP1169" s="11" t="n">
        <v>0.9658602967882928</v>
      </c>
      <c r="AQ1169" s="11" t="n">
        <v>0.9658602967882928</v>
      </c>
      <c r="AR1169" s="11" t="n">
        <v>0.9166270540270348</v>
      </c>
      <c r="AS1169" s="11" t="n">
        <f>IF(AND(COUNT(I1169:K1169,AP1169:AR1169)=6,MIN(AP1169:AR1169)&gt;0),I1169/7/AP1169*0.5+J1169/14/AQ1169*0.3+K1169/30/AR1169*0.2,"")</f>
        <v>0.10341235194892046</v>
      </c>
      <c r="AT1169" s="8" t="n">
        <v>1</v>
      </c>
      <c r="AU1169" s="8" t="n">
        <v>0</v>
      </c>
      <c r="AV1169" s="8" t="n">
        <v>88</v>
      </c>
      <c r="AW1169" s="11" t="n">
        <f>IF(AND(COUNT(AT1169:AV1169)=3,AT1169&gt;=AU1169,AU1169&gt;=0,AV1169&gt;0),(AT1169-AU1169)/AV1169,"")</f>
        <v>0.011363636363636364</v>
      </c>
      <c r="AX1169" s="8" t="n">
        <v>1</v>
      </c>
      <c r="AY1169" s="8" t="n">
        <v>0</v>
      </c>
      <c r="AZ1169" s="8" t="n">
        <v>178</v>
      </c>
      <c r="BA1169" s="11" t="n">
        <f>IF(AND(COUNT(AX1169:AZ1169)=3,AX1169&gt;=AY1169,AY1169&gt;=0,AZ1169&gt;0),(AX1169-AY1169)/AZ1169,"")</f>
        <v>0.0056179775280898875</v>
      </c>
      <c r="BB1169" s="8" t="n">
        <f>IF(COUNT(AS1169,AW1169,BA1169)=3,1,0)</f>
        <v>1</v>
      </c>
      <c r="BC1169" s="11" t="n">
        <f>IF(SUMIF($AO$11:$AO$1309,AO1169,$BB$11:$BB$1309)=COUNTIF($AO$11:$AO$1309,AO1169),SUMIF($AO$11:$AO$1309,AO1169,$AS$11:$AS$1309),"")</f>
        <v>1.2832412828049458</v>
      </c>
      <c r="BD1169" s="11" t="n">
        <f>IF(SUMIF($AO$11:$AO$1309,AO1169,$BB$11:$BB$1309)=COUNTIF($AO$11:$AO$1309,AO1169),SUMIF($AO$11:$AO$1309,AO1169,$AW$11:$AW$1309),"")</f>
        <v>1.0795454545454544</v>
      </c>
      <c r="BE1169" s="11" t="n">
        <f>IF(SUMIF($AO$11:$AO$1309,AO1169,$BB$11:$BB$1309)=COUNTIF($AO$11:$AO$1309,AO1169),SUMIF($AO$11:$AO$1309,AO1169,$BA$11:$BA$1309),"")</f>
        <v>1.1685393258426966</v>
      </c>
      <c r="BF1169" s="12" t="n">
        <f>IF(COUNT(BD1169:BE1169)&lt;&gt;2,"",IF(AND(BD1169&gt;0,BE1169&gt;0),0.7*AW1169/BD1169+0.3*BA1169/BE1169,IF(BD1169&gt;0,AW1169/BD1169,IF(BE1169&gt;0,BA1169/BE1169,IF(AND(ISNUMBER(BH1169),BH1169=0),0,"")))))</f>
        <v>0.008810728744939272</v>
      </c>
      <c r="BG1169" s="11" t="n">
        <f>IF(AND(COUNT(BN1169:BU1169)=8,MIN(BN1169:BU1169)&gt;=0),SUMPRODUCT(BN1169:BQ1169,BR1169:BU1169),"")</f>
        <v>94.68567795727022</v>
      </c>
      <c r="BH1169" s="11" t="n">
        <f>IF(COUNT(BC1169,BG1169)=2,BC1169*BG1169,"")</f>
        <v>121.5045708451434</v>
      </c>
      <c r="BI1169" s="11" t="n">
        <f>IF(ISNUMBER(CI1169),CI1169,"")</f>
        <v>1.0705438149868152</v>
      </c>
      <c r="BJ1169" s="8" t="str"/>
      <c r="BK1169" s="8" t="str">
        <v>90天：2026-07-20 至 2026-10-17；180天：2026-04-21 至 2026-10-17</v>
      </c>
      <c r="BL1169" s="8" t="str">
        <v>90天：2026-10-06、2026-10-07；180天：2026-10-06、2026-10-07</v>
      </c>
      <c r="BM1169" s="8" t="str">
        <v>2026-10：12天 × 0.9658602967882928；2026-11：30天 × 1.1727174450092641；2026-12：31天 × 0.8763339075184018；2027-01：17天 × 1.2204399948507247</v>
      </c>
      <c r="BN1169" s="11" t="n">
        <v>0.9658602967882928</v>
      </c>
      <c r="BO1169" s="11" t="n">
        <v>1.1727174450092641</v>
      </c>
      <c r="BP1169" s="11" t="n">
        <v>0.8763339075184018</v>
      </c>
      <c r="BQ1169" s="11" t="n">
        <v>1.2204399948507247</v>
      </c>
      <c r="BR1169" s="8" t="n">
        <v>12</v>
      </c>
      <c r="BS1169" s="8" t="n">
        <v>30</v>
      </c>
      <c r="BT1169" s="8" t="n">
        <v>31</v>
      </c>
      <c r="BU1169" s="8" t="n">
        <v>17</v>
      </c>
      <c r="BV1169" s="11" t="n">
        <f>IF(COUNT(BC1169,BF1169)=2,BC1169*BF1169,"")</f>
        <v>0.011306290857102282</v>
      </c>
      <c r="BW1169" s="11" t="n">
        <f>IF(ISNUMBER(BN1169),BN1169,"")</f>
        <v>0.9658602967882928</v>
      </c>
      <c r="BX1169" s="14" t="n">
        <f>IF(ISNUMBER(BR1169),BR1169,"")</f>
        <v>12</v>
      </c>
      <c r="BY1169" s="13" t="n">
        <f>IF(AND(COUNT(BV1169,BW1169,BX1169)=3,MIN(BV1169,BW1169,BX1169)&gt;=0),BV1169*BW1169*BX1169,"")</f>
        <v>0.13104356931378686</v>
      </c>
      <c r="BZ1169" s="11" t="n">
        <f>IF(ISNUMBER(BO1169),BO1169,"")</f>
        <v>1.1727174450092641</v>
      </c>
      <c r="CA1169" s="14" t="n">
        <f>IF(ISNUMBER(BS1169),BS1169,"")</f>
        <v>30</v>
      </c>
      <c r="CB1169" s="13" t="n">
        <f>IF(AND(COUNT(BV1169,BZ1169,CA1169)=3,MIN(BV1169,BZ1169,CA1169)&gt;=0),BV1169*BZ1169*CA1169,"")</f>
        <v>0.3977725357941777</v>
      </c>
      <c r="CC1169" s="11" t="n">
        <f>IF(ISNUMBER(BP1169),BP1169,"")</f>
        <v>0.8763339075184018</v>
      </c>
      <c r="CD1169" s="14" t="n">
        <f>IF(ISNUMBER(BT1169),BT1169,"")</f>
        <v>31</v>
      </c>
      <c r="CE1169" s="13" t="n">
        <f>IF(AND(COUNT(BV1169,CC1169,CD1169)=3,MIN(BV1169,CC1169,CD1169)&gt;=0),BV1169*CC1169*CD1169,"")</f>
        <v>0.3071506674366647</v>
      </c>
      <c r="CF1169" s="11" t="n">
        <f>IF(ISNUMBER(BQ1169),BQ1169,"")</f>
        <v>1.2204399948507247</v>
      </c>
      <c r="CG1169" s="14" t="n">
        <f>IF(ISNUMBER(BU1169),BU1169,"")</f>
        <v>17</v>
      </c>
      <c r="CH1169" s="13" t="n">
        <f>IF(AND(COUNT(BV1169,CF1169,CG1169)=3,MIN(BV1169,CF1169,CG1169)&gt;=0),BV1169*CF1169*CG1169,"")</f>
        <v>0.23457704244218597</v>
      </c>
      <c r="CI1169" s="13" t="n">
        <f>IF(COUNT(BY1169,CB1169,CE1169,CH1169)=4,SUM(BY1169,CB1169,CE1169,CH1169),"")</f>
        <v>1.0705438149868152</v>
      </c>
    </row>
    <row r="1170" ht="72" customHeight="1">
      <c r="A1170" s="16" t="str">
        <v>S02b-NY-37</v>
      </c>
      <c r="B1170" s="16" t="str">
        <v>3店-SANDIEX-US</v>
      </c>
      <c r="C1170" s="16" t="str">
        <v>陈晨</v>
      </c>
      <c r="D1170" s="26" t="n">
        <f>IF(NOT(ISNUMBER(E1170)),"",IF(OR(E1170&lt;=0,L1170=0),0,IF(OR(NOT(ISNUMBER(F1170)),F1170&lt;0),"",MIN(E1170,INT(F1170)))))</f>
        <v>0</v>
      </c>
      <c r="E1170" s="27" t="n">
        <f>IF(OR(NOT(ISNUMBER(L1170)),COUNT(M1170:O1170)&lt;&gt;3,MIN(M1170:O1170)&lt;0),"",ROUNDUP(ROUND(BI1170-SUM(M1170:O1170),10),0))</f>
        <v>-5</v>
      </c>
      <c r="F1170" s="28" t="n">
        <v>37</v>
      </c>
      <c r="G1170" s="28" t="n">
        <f>IF(AND(ISNUMBER(D1170),ISNUMBER(E1170)),IF(OR(E1170&lt;=0,L1170=0),0,E1170-D1170),"")</f>
        <v>0</v>
      </c>
      <c r="H1170" s="16" t="str">
        <f>IF(NOT(ISNUMBER(E1170)),"销量或海外库存待补",IF(OR(E1170&lt;=0,L1170=0),IF(L1170=0,"零日销，本批不发","本批无需补货"),IF(NOT(ISNUMBER(D1170)),"国内库存待补",IF(D1170=0,"国内无可用库存",IF(G1170&gt;0,"先发国内现货","按建议量发货")))))</f>
        <v>本批无需补货</v>
      </c>
      <c r="I1170" s="28" t="n">
        <f>IF(AND(COUNT(Z1170,AA1170,AB1170)=3,Z1170&gt;=AA1170,AA1170&gt;=0,AB1170=7),Z1170-AA1170,"")</f>
        <v>2</v>
      </c>
      <c r="J1170" s="28" t="n">
        <f>IF(AND(COUNT(AF1170,AG1170,AH1170)=3,AF1170&gt;=AG1170,AG1170&gt;=0,AH1170=14),AF1170-AG1170,"")</f>
        <v>4</v>
      </c>
      <c r="K1170" s="28" t="n">
        <f>IF(AND(COUNT(AL1170,AM1170,AN1170)=3,AL1170&gt;=AM1170,AM1170&gt;=0,AN1170=30),AL1170-AM1170,"")</f>
        <v>6</v>
      </c>
      <c r="L1170" s="29" t="n">
        <f>IF(ISNUMBER(BI1170),BI1170/90,"")</f>
        <v>0.23433645105175363</v>
      </c>
      <c r="M1170" s="28" t="n">
        <v>6</v>
      </c>
      <c r="N1170" s="28" t="n">
        <v>0</v>
      </c>
      <c r="O1170" s="28" t="n">
        <v>20</v>
      </c>
      <c r="P1170" s="30" t="n">
        <f>IF(AND(ISNUMBER(L1170),L1170&gt;0,COUNT(M1170:O1170)=3,MIN(M1170:O1170)&gt;=0),SUM(M1170:O1170)/L1170,"")</f>
        <v>110.9515821516724</v>
      </c>
      <c r="Q1170" s="16" t="str">
        <v>沿用原计划SKU店铺</v>
      </c>
      <c r="R1170" s="16" t="str">
        <v>已匹配</v>
      </c>
      <c r="S1170" s="16" t="str">
        <v>在售</v>
      </c>
      <c r="T1170" s="16" t="str">
        <v>S02b</v>
      </c>
      <c r="U1170" s="16" t="str">
        <v>藏青色</v>
      </c>
      <c r="V1170" s="16" t="n">
        <v>6</v>
      </c>
      <c r="W1170" s="8" t="str">
        <v>2026-10-11 至 2026-10-17</v>
      </c>
      <c r="X1170" s="8" t="str">
        <v>2026-10-11、2026-10-12、2026-10-13、2026-10-14、2026-10-15、2026-10-16、2026-10-17</v>
      </c>
      <c r="Y1170" s="8" t="str">
        <v>无</v>
      </c>
      <c r="Z1170" s="8" t="n">
        <v>2</v>
      </c>
      <c r="AA1170" s="8" t="n">
        <v>0</v>
      </c>
      <c r="AB1170" s="8" t="n">
        <v>7</v>
      </c>
      <c r="AC1170" s="8" t="str">
        <v>2026-10-02 至 2026-10-17</v>
      </c>
      <c r="AD1170" s="8" t="str">
        <v>2026-10-02、2026-10-03、2026-10-04、2026-10-05、2026-10-08、2026-10-09、2026-10-10、2026-10-11、2026-10-12、2026-10-13、2026-10-14、2026-10-15、2026-10-16、2026-10-17</v>
      </c>
      <c r="AE1170" s="8" t="str">
        <v>2026-10-06 大促；2026-10-07 大促</v>
      </c>
      <c r="AF1170" s="8" t="n">
        <v>4</v>
      </c>
      <c r="AG1170" s="8" t="n">
        <v>0</v>
      </c>
      <c r="AH1170" s="8" t="n">
        <v>14</v>
      </c>
      <c r="AI1170" s="8" t="str">
        <v>2026-09-16 至 2026-10-17</v>
      </c>
      <c r="AJ117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0" s="8" t="str">
        <v>2026-10-06 大促；2026-10-07 大促</v>
      </c>
      <c r="AL1170" s="8" t="n">
        <v>6</v>
      </c>
      <c r="AM1170" s="8" t="n">
        <v>0</v>
      </c>
      <c r="AN1170" s="8" t="n">
        <v>30</v>
      </c>
      <c r="AO1170" s="8" t="str">
        <v>S02b / 藏青色 / 6574</v>
      </c>
      <c r="AP1170" s="11" t="n">
        <v>0.9658602967882928</v>
      </c>
      <c r="AQ1170" s="11" t="n">
        <v>0.9658602967882928</v>
      </c>
      <c r="AR1170" s="11" t="n">
        <v>0.9166270540270348</v>
      </c>
      <c r="AS1170" s="11" t="n">
        <f>IF(AND(COUNT(I1170:K1170,AP1170:AR1170)=6,MIN(AP1170:AR1170)&gt;0),I1170/7/AP1170*0.5+J1170/14/AQ1170*0.3+K1170/30/AR1170*0.2,"")</f>
        <v>0.28028885957786587</v>
      </c>
      <c r="AT1170" s="8" t="n">
        <v>11</v>
      </c>
      <c r="AU1170" s="8" t="n">
        <v>0</v>
      </c>
      <c r="AV1170" s="8" t="n">
        <v>88</v>
      </c>
      <c r="AW1170" s="11" t="n">
        <f>IF(AND(COUNT(AT1170:AV1170)=3,AT1170&gt;=AU1170,AU1170&gt;=0,AV1170&gt;0),(AT1170-AU1170)/AV1170,"")</f>
        <v>0.125</v>
      </c>
      <c r="AX1170" s="8" t="n">
        <v>26</v>
      </c>
      <c r="AY1170" s="8" t="n">
        <v>0</v>
      </c>
      <c r="AZ1170" s="8" t="n">
        <v>178</v>
      </c>
      <c r="BA1170" s="11" t="n">
        <f>IF(AND(COUNT(AX1170:AZ1170)=3,AX1170&gt;=AY1170,AY1170&gt;=0,AZ1170&gt;0),(AX1170-AY1170)/AZ1170,"")</f>
        <v>0.14606741573033707</v>
      </c>
      <c r="BB1170" s="8" t="n">
        <f>IF(COUNT(AS1170,AW1170,BA1170)=3,1,0)</f>
        <v>1</v>
      </c>
      <c r="BC1170" s="11" t="n">
        <f>IF(SUMIF($AO$11:$AO$1309,AO1170,$BB$11:$BB$1309)=COUNTIF($AO$11:$AO$1309,AO1170),SUMIF($AO$11:$AO$1309,AO1170,$AS$11:$AS$1309),"")</f>
        <v>3.229983476717252</v>
      </c>
      <c r="BD1170" s="11" t="n">
        <f>IF(SUMIF($AO$11:$AO$1309,AO1170,$BB$11:$BB$1309)=COUNTIF($AO$11:$AO$1309,AO1170),SUMIF($AO$11:$AO$1309,AO1170,$AW$11:$AW$1309),"")</f>
        <v>1.9659090909090908</v>
      </c>
      <c r="BE1170" s="11" t="n">
        <f>IF(SUMIF($AO$11:$AO$1309,AO1170,$BB$11:$BB$1309)=COUNTIF($AO$11:$AO$1309,AO1170),SUMIF($AO$11:$AO$1309,AO1170,$BA$11:$BA$1309),"")</f>
        <v>1.792134831460674</v>
      </c>
      <c r="BF1170" s="12" t="n">
        <f>IF(COUNT(BD1170:BE1170)&lt;&gt;2,"",IF(AND(BD1170&gt;0,BE1170&gt;0),0.7*AW1170/BD1170+0.3*BA1170/BE1170,IF(BD1170&gt;0,AW1170/BD1170,IF(BE1170&gt;0,BA1170/BE1170,IF(AND(ISNUMBER(BH1170),BH1170=0),0,"")))))</f>
        <v>0.06896008117853843</v>
      </c>
      <c r="BG1170" s="11" t="n">
        <f>IF(AND(COUNT(BN1170:BU1170)=8,MIN(BN1170:BU1170)&gt;=0),SUMPRODUCT(BN1170:BQ1170,BR1170:BU1170),"")</f>
        <v>94.68567795727022</v>
      </c>
      <c r="BH1170" s="11" t="n">
        <f>IF(COUNT(BC1170,BG1170)=2,BC1170*BG1170,"")</f>
        <v>305.83317528375375</v>
      </c>
      <c r="BI1170" s="11" t="n">
        <f>IF(ISNUMBER(CI1170),CI1170,"")</f>
        <v>21.090280594657827</v>
      </c>
      <c r="BJ1170" s="8" t="str"/>
      <c r="BK1170" s="8" t="str">
        <v>90天：2026-07-20 至 2026-10-17；180天：2026-04-21 至 2026-10-17</v>
      </c>
      <c r="BL1170" s="8" t="str">
        <v>90天：2026-10-06、2026-10-07；180天：2026-10-06、2026-10-07</v>
      </c>
      <c r="BM1170" s="8" t="str">
        <v>2026-10：12天 × 0.9658602967882928；2026-11：30天 × 1.1727174450092641；2026-12：31天 × 0.8763339075184018；2027-01：17天 × 1.2204399948507247</v>
      </c>
      <c r="BN1170" s="11" t="n">
        <v>0.9658602967882928</v>
      </c>
      <c r="BO1170" s="11" t="n">
        <v>1.1727174450092641</v>
      </c>
      <c r="BP1170" s="11" t="n">
        <v>0.8763339075184018</v>
      </c>
      <c r="BQ1170" s="11" t="n">
        <v>1.2204399948507247</v>
      </c>
      <c r="BR1170" s="8" t="n">
        <v>12</v>
      </c>
      <c r="BS1170" s="8" t="n">
        <v>30</v>
      </c>
      <c r="BT1170" s="8" t="n">
        <v>31</v>
      </c>
      <c r="BU1170" s="8" t="n">
        <v>17</v>
      </c>
      <c r="BV1170" s="11" t="n">
        <f>IF(COUNT(BC1170,BF1170)=2,BC1170*BF1170,"")</f>
        <v>0.22273992275975948</v>
      </c>
      <c r="BW1170" s="11" t="n">
        <f>IF(ISNUMBER(BN1170),BN1170,"")</f>
        <v>0.9658602967882928</v>
      </c>
      <c r="BX1170" s="14" t="n">
        <f>IF(ISNUMBER(BR1170),BR1170,"")</f>
        <v>12</v>
      </c>
      <c r="BY1170" s="13" t="n">
        <f>IF(AND(COUNT(BV1170,BW1170,BX1170)=3,MIN(BV1170,BW1170,BX1170)&gt;=0),BV1170*BW1170*BX1170,"")</f>
        <v>2.581627774840112</v>
      </c>
      <c r="BZ1170" s="11" t="n">
        <f>IF(ISNUMBER(BO1170),BO1170,"")</f>
        <v>1.1727174450092641</v>
      </c>
      <c r="CA1170" s="14" t="n">
        <f>IF(ISNUMBER(BS1170),BS1170,"")</f>
        <v>30</v>
      </c>
      <c r="CB1170" s="13" t="n">
        <f>IF(AND(COUNT(BV1170,BZ1170,CA1170)=3,MIN(BV1170,BZ1170,CA1170)&gt;=0),BV1170*BZ1170*CA1170,"")</f>
        <v>7.836329793611579</v>
      </c>
      <c r="CC1170" s="11" t="n">
        <f>IF(ISNUMBER(BP1170),BP1170,"")</f>
        <v>0.8763339075184018</v>
      </c>
      <c r="CD1170" s="14" t="n">
        <f>IF(ISNUMBER(BT1170),BT1170,"")</f>
        <v>31</v>
      </c>
      <c r="CE1170" s="13" t="n">
        <f>IF(AND(COUNT(BV1170,CC1170,CD1170)=3,MIN(BV1170,CC1170,CD1170)&gt;=0),BV1170*CC1170*CD1170,"")</f>
        <v>6.051030953044618</v>
      </c>
      <c r="CF1170" s="11" t="n">
        <f>IF(ISNUMBER(BQ1170),BQ1170,"")</f>
        <v>1.2204399948507247</v>
      </c>
      <c r="CG1170" s="14" t="n">
        <f>IF(ISNUMBER(BU1170),BU1170,"")</f>
        <v>17</v>
      </c>
      <c r="CH1170" s="13" t="n">
        <f>IF(AND(COUNT(BV1170,CF1170,CG1170)=3,MIN(BV1170,CF1170,CG1170)&gt;=0),BV1170*CF1170*CG1170,"")</f>
        <v>4.621292073161518</v>
      </c>
      <c r="CI1170" s="13" t="n">
        <f>IF(COUNT(BY1170,CB1170,CE1170,CH1170)=4,SUM(BY1170,CB1170,CE1170,CH1170),"")</f>
        <v>21.090280594657827</v>
      </c>
    </row>
    <row r="1171" ht="72" customHeight="1">
      <c r="A1171" s="16" t="str">
        <v>S02b-NY-38</v>
      </c>
      <c r="B1171" s="16" t="str">
        <v>3店-SANDIEX-US</v>
      </c>
      <c r="C1171" s="16" t="str">
        <v>陈晨</v>
      </c>
      <c r="D1171" s="26" t="n">
        <f>IF(NOT(ISNUMBER(E1171)),"",IF(OR(E1171&lt;=0,L1171=0),0,IF(OR(NOT(ISNUMBER(F1171)),F1171&lt;0),"",MIN(E1171,INT(F1171)))))</f>
        <v>0</v>
      </c>
      <c r="E1171" s="27" t="n">
        <f>IF(OR(NOT(ISNUMBER(L1171)),COUNT(M1171:O1171)&lt;&gt;3,MIN(M1171:O1171)&lt;0),"",ROUNDUP(ROUND(BI1171-SUM(M1171:O1171),10),0))</f>
        <v>-22</v>
      </c>
      <c r="F1171" s="28" t="n">
        <v>46</v>
      </c>
      <c r="G1171" s="28" t="n">
        <f>IF(AND(ISNUMBER(D1171),ISNUMBER(E1171)),IF(OR(E1171&lt;=0,L1171=0),0,E1171-D1171),"")</f>
        <v>0</v>
      </c>
      <c r="H1171" s="16" t="str">
        <f>IF(NOT(ISNUMBER(E1171)),"销量或海外库存待补",IF(OR(E1171&lt;=0,L1171=0),IF(L1171=0,"零日销，本批不发","本批无需补货"),IF(NOT(ISNUMBER(D1171)),"国内库存待补",IF(D1171=0,"国内无可用库存",IF(G1171&gt;0,"先发国内现货","按建议量发货")))))</f>
        <v>本批无需补货</v>
      </c>
      <c r="I1171" s="28" t="n">
        <f>IF(AND(COUNT(Z1171,AA1171,AB1171)=3,Z1171&gt;=AA1171,AA1171&gt;=0,AB1171=7),Z1171-AA1171,"")</f>
        <v>3</v>
      </c>
      <c r="J1171" s="28" t="n">
        <f>IF(AND(COUNT(AF1171,AG1171,AH1171)=3,AF1171&gt;=AG1171,AG1171&gt;=0,AH1171=14),AF1171-AG1171,"")</f>
        <v>5</v>
      </c>
      <c r="K1171" s="28" t="n">
        <f>IF(AND(COUNT(AL1171,AM1171,AN1171)=3,AL1171&gt;=AM1171,AM1171&gt;=0,AN1171=30),AL1171-AM1171,"")</f>
        <v>12</v>
      </c>
      <c r="L1171" s="29" t="n">
        <f>IF(ISNUMBER(BI1171),BI1171/90,"")</f>
        <v>0.44504036934641583</v>
      </c>
      <c r="M1171" s="28" t="n">
        <v>40</v>
      </c>
      <c r="N1171" s="28" t="n">
        <v>1</v>
      </c>
      <c r="O1171" s="28" t="n">
        <v>21</v>
      </c>
      <c r="P1171" s="30" t="n">
        <f>IF(AND(ISNUMBER(L1171),L1171&gt;0,COUNT(M1171:O1171)=3,MIN(M1171:O1171)&gt;=0),SUM(M1171:O1171)/L1171,"")</f>
        <v>139.31320453255265</v>
      </c>
      <c r="Q1171" s="16" t="str">
        <v>沿用原计划SKU店铺</v>
      </c>
      <c r="R1171" s="16" t="str">
        <v>已匹配</v>
      </c>
      <c r="S1171" s="16" t="str">
        <v>在售</v>
      </c>
      <c r="T1171" s="16" t="str">
        <v>S02b</v>
      </c>
      <c r="U1171" s="16" t="str">
        <v>藏青色</v>
      </c>
      <c r="V1171" s="16" t="n">
        <v>7</v>
      </c>
      <c r="W1171" s="8" t="str">
        <v>2026-10-11 至 2026-10-17</v>
      </c>
      <c r="X1171" s="8" t="str">
        <v>2026-10-11、2026-10-12、2026-10-13、2026-10-14、2026-10-15、2026-10-16、2026-10-17</v>
      </c>
      <c r="Y1171" s="8" t="str">
        <v>无</v>
      </c>
      <c r="Z1171" s="8" t="n">
        <v>3</v>
      </c>
      <c r="AA1171" s="8" t="n">
        <v>0</v>
      </c>
      <c r="AB1171" s="8" t="n">
        <v>7</v>
      </c>
      <c r="AC1171" s="8" t="str">
        <v>2026-10-02 至 2026-10-17</v>
      </c>
      <c r="AD1171" s="8" t="str">
        <v>2026-10-02、2026-10-03、2026-10-04、2026-10-05、2026-10-08、2026-10-09、2026-10-10、2026-10-11、2026-10-12、2026-10-13、2026-10-14、2026-10-15、2026-10-16、2026-10-17</v>
      </c>
      <c r="AE1171" s="8" t="str">
        <v>2026-10-06 大促；2026-10-07 大促</v>
      </c>
      <c r="AF1171" s="8" t="n">
        <v>9</v>
      </c>
      <c r="AG1171" s="8" t="n">
        <v>4</v>
      </c>
      <c r="AH1171" s="8" t="n">
        <v>14</v>
      </c>
      <c r="AI1171" s="8" t="str">
        <v>2026-09-16 至 2026-10-17</v>
      </c>
      <c r="AJ11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1" s="8" t="str">
        <v>2026-10-06 大促；2026-10-07 大促</v>
      </c>
      <c r="AL1171" s="8" t="n">
        <v>16</v>
      </c>
      <c r="AM1171" s="8" t="n">
        <v>4</v>
      </c>
      <c r="AN1171" s="8" t="n">
        <v>30</v>
      </c>
      <c r="AO1171" s="8" t="str">
        <v>S02b / 藏青色 / 6574</v>
      </c>
      <c r="AP1171" s="11" t="n">
        <v>0.9658602967882928</v>
      </c>
      <c r="AQ1171" s="11" t="n">
        <v>0.9658602967882928</v>
      </c>
      <c r="AR1171" s="11" t="n">
        <v>0.9166270540270348</v>
      </c>
      <c r="AS1171" s="11" t="n">
        <f>IF(AND(COUNT(I1171:K1171,AP1171:AR1171)=6,MIN(AP1171:AR1171)&gt;0),I1171/7/AP1171*0.5+J1171/14/AQ1171*0.3+K1171/30/AR1171*0.2,"")</f>
        <v>0.4200664193688301</v>
      </c>
      <c r="AT1171" s="8" t="n">
        <v>28</v>
      </c>
      <c r="AU1171" s="8" t="n">
        <v>4</v>
      </c>
      <c r="AV1171" s="8" t="n">
        <v>88</v>
      </c>
      <c r="AW1171" s="11" t="n">
        <f>IF(AND(COUNT(AT1171:AV1171)=3,AT1171&gt;=AU1171,AU1171&gt;=0,AV1171&gt;0),(AT1171-AU1171)/AV1171,"")</f>
        <v>0.2727272727272727</v>
      </c>
      <c r="AX1171" s="8" t="n">
        <v>40</v>
      </c>
      <c r="AY1171" s="8" t="n">
        <v>4</v>
      </c>
      <c r="AZ1171" s="8" t="n">
        <v>178</v>
      </c>
      <c r="BA1171" s="11" t="n">
        <f>IF(AND(COUNT(AX1171:AZ1171)=3,AX1171&gt;=AY1171,AY1171&gt;=0,AZ1171&gt;0),(AX1171-AY1171)/AZ1171,"")</f>
        <v>0.20224719101123595</v>
      </c>
      <c r="BB1171" s="8" t="n">
        <f>IF(COUNT(AS1171,AW1171,BA1171)=3,1,0)</f>
        <v>1</v>
      </c>
      <c r="BC1171" s="11" t="n">
        <f>IF(SUMIF($AO$11:$AO$1309,AO1171,$BB$11:$BB$1309)=COUNTIF($AO$11:$AO$1309,AO1171),SUMIF($AO$11:$AO$1309,AO1171,$AS$11:$AS$1309),"")</f>
        <v>3.229983476717252</v>
      </c>
      <c r="BD1171" s="11" t="n">
        <f>IF(SUMIF($AO$11:$AO$1309,AO1171,$BB$11:$BB$1309)=COUNTIF($AO$11:$AO$1309,AO1171),SUMIF($AO$11:$AO$1309,AO1171,$AW$11:$AW$1309),"")</f>
        <v>1.9659090909090908</v>
      </c>
      <c r="BE1171" s="11" t="n">
        <f>IF(SUMIF($AO$11:$AO$1309,AO1171,$BB$11:$BB$1309)=COUNTIF($AO$11:$AO$1309,AO1171),SUMIF($AO$11:$AO$1309,AO1171,$BA$11:$BA$1309),"")</f>
        <v>1.792134831460674</v>
      </c>
      <c r="BF1171" s="12" t="n">
        <f>IF(COUNT(BD1171:BE1171)&lt;&gt;2,"",IF(AND(BD1171&gt;0,BE1171&gt;0),0.7*AW1171/BD1171+0.3*BA1171/BE1171,IF(BD1171&gt;0,AW1171/BD1171,IF(BE1171&gt;0,BA1171/BE1171,IF(AND(ISNUMBER(BH1171),BH1171=0),0,"")))))</f>
        <v>0.1309656259626361</v>
      </c>
      <c r="BG1171" s="11" t="n">
        <f>IF(AND(COUNT(BN1171:BU1171)=8,MIN(BN1171:BU1171)&gt;=0),SUMPRODUCT(BN1171:BQ1171,BR1171:BU1171),"")</f>
        <v>94.68567795727022</v>
      </c>
      <c r="BH1171" s="11" t="n">
        <f>IF(COUNT(BC1171,BG1171)=2,BC1171*BG1171,"")</f>
        <v>305.83317528375375</v>
      </c>
      <c r="BI1171" s="11" t="n">
        <f>IF(ISNUMBER(CI1171),CI1171,"")</f>
        <v>40.05363324117742</v>
      </c>
      <c r="BJ1171" s="8" t="str"/>
      <c r="BK1171" s="8" t="str">
        <v>90天：2026-07-20 至 2026-10-17；180天：2026-04-21 至 2026-10-17</v>
      </c>
      <c r="BL1171" s="8" t="str">
        <v>90天：2026-10-06、2026-10-07；180天：2026-10-06、2026-10-07</v>
      </c>
      <c r="BM1171" s="8" t="str">
        <v>2026-10：12天 × 0.9658602967882928；2026-11：30天 × 1.1727174450092641；2026-12：31天 × 0.8763339075184018；2027-01：17天 × 1.2204399948507247</v>
      </c>
      <c r="BN1171" s="11" t="n">
        <v>0.9658602967882928</v>
      </c>
      <c r="BO1171" s="11" t="n">
        <v>1.1727174450092641</v>
      </c>
      <c r="BP1171" s="11" t="n">
        <v>0.8763339075184018</v>
      </c>
      <c r="BQ1171" s="11" t="n">
        <v>1.2204399948507247</v>
      </c>
      <c r="BR1171" s="8" t="n">
        <v>12</v>
      </c>
      <c r="BS1171" s="8" t="n">
        <v>30</v>
      </c>
      <c r="BT1171" s="8" t="n">
        <v>31</v>
      </c>
      <c r="BU1171" s="8" t="n">
        <v>17</v>
      </c>
      <c r="BV1171" s="11" t="n">
        <f>IF(COUNT(BC1171,BF1171)=2,BC1171*BF1171,"")</f>
        <v>0.4230168078772466</v>
      </c>
      <c r="BW1171" s="11" t="n">
        <f>IF(ISNUMBER(BN1171),BN1171,"")</f>
        <v>0.9658602967882928</v>
      </c>
      <c r="BX1171" s="14" t="n">
        <f>IF(ISNUMBER(BR1171),BR1171,"")</f>
        <v>12</v>
      </c>
      <c r="BY1171" s="13" t="n">
        <f>IF(AND(COUNT(BV1171,BW1171,BX1171)=3,MIN(BV1171,BW1171,BX1171)&gt;=0),BV1171*BW1171*BX1171,"")</f>
        <v>4.902901675233043</v>
      </c>
      <c r="BZ1171" s="11" t="n">
        <f>IF(ISNUMBER(BO1171),BO1171,"")</f>
        <v>1.1727174450092641</v>
      </c>
      <c r="CA1171" s="14" t="n">
        <f>IF(ISNUMBER(BS1171),BS1171,"")</f>
        <v>30</v>
      </c>
      <c r="CB1171" s="13" t="n">
        <f>IF(AND(COUNT(BV1171,BZ1171,CA1171)=3,MIN(BV1171,BZ1171,CA1171)&gt;=0),BV1171*BZ1171*CA1171,"")</f>
        <v>14.882375703893382</v>
      </c>
      <c r="CC1171" s="11" t="n">
        <f>IF(ISNUMBER(BP1171),BP1171,"")</f>
        <v>0.8763339075184018</v>
      </c>
      <c r="CD1171" s="14" t="n">
        <f>IF(ISNUMBER(BT1171),BT1171,"")</f>
        <v>31</v>
      </c>
      <c r="CE1171" s="13" t="n">
        <f>IF(AND(COUNT(BV1171,CC1171,CD1171)=3,MIN(BV1171,CC1171,CD1171)&gt;=0),BV1171*CC1171*CD1171,"")</f>
        <v>11.491823137983886</v>
      </c>
      <c r="CF1171" s="11" t="n">
        <f>IF(ISNUMBER(BQ1171),BQ1171,"")</f>
        <v>1.2204399948507247</v>
      </c>
      <c r="CG1171" s="14" t="n">
        <f>IF(ISNUMBER(BU1171),BU1171,"")</f>
        <v>17</v>
      </c>
      <c r="CH1171" s="13" t="n">
        <f>IF(AND(COUNT(BV1171,CF1171,CG1171)=3,MIN(BV1171,CF1171,CG1171)&gt;=0),BV1171*CF1171*CG1171,"")</f>
        <v>8.776532724067106</v>
      </c>
      <c r="CI1171" s="13" t="n">
        <f>IF(COUNT(BY1171,CB1171,CE1171,CH1171)=4,SUM(BY1171,CB1171,CE1171,CH1171),"")</f>
        <v>40.05363324117742</v>
      </c>
    </row>
    <row r="1172" ht="72" customHeight="1">
      <c r="A1172" s="16" t="str">
        <v>S02b-NY-42</v>
      </c>
      <c r="B1172" s="16" t="str">
        <v>3店-SANDIEX-US</v>
      </c>
      <c r="C1172" s="16" t="str">
        <v>陈晨</v>
      </c>
      <c r="D1172" s="26" t="n">
        <f>IF(NOT(ISNUMBER(E1172)),"",IF(OR(E1172&lt;=0,L1172=0),0,IF(OR(NOT(ISNUMBER(F1172)),F1172&lt;0),"",MIN(E1172,INT(F1172)))))</f>
        <v>0</v>
      </c>
      <c r="E1172" s="27" t="n">
        <f>IF(OR(NOT(ISNUMBER(L1172)),COUNT(M1172:O1172)&lt;&gt;3,MIN(M1172:O1172)&lt;0),"",ROUNDUP(ROUND(BI1172-SUM(M1172:O1172),10),0))</f>
        <v>-49</v>
      </c>
      <c r="F1172" s="28" t="n">
        <v>1</v>
      </c>
      <c r="G1172" s="28" t="n">
        <f>IF(AND(ISNUMBER(D1172),ISNUMBER(E1172)),IF(OR(E1172&lt;=0,L1172=0),0,E1172-D1172),"")</f>
        <v>0</v>
      </c>
      <c r="H1172" s="16" t="str">
        <f>IF(NOT(ISNUMBER(E1172)),"销量或海外库存待补",IF(OR(E1172&lt;=0,L1172=0),IF(L1172=0,"零日销，本批不发","本批无需补货"),IF(NOT(ISNUMBER(D1172)),"国内库存待补",IF(D1172=0,"国内无可用库存",IF(G1172&gt;0,"先发国内现货","按建议量发货")))))</f>
        <v>本批无需补货</v>
      </c>
      <c r="I1172" s="28" t="n">
        <f>IF(AND(COUNT(Z1172,AA1172,AB1172)=3,Z1172&gt;=AA1172,AA1172&gt;=0,AB1172=7),Z1172-AA1172,"")</f>
        <v>0</v>
      </c>
      <c r="J1172" s="28" t="n">
        <f>IF(AND(COUNT(AF1172,AG1172,AH1172)=3,AF1172&gt;=AG1172,AG1172&gt;=0,AH1172=14),AF1172-AG1172,"")</f>
        <v>1</v>
      </c>
      <c r="K1172" s="28" t="n">
        <f>IF(AND(COUNT(AL1172,AM1172,AN1172)=3,AL1172&gt;=AM1172,AM1172&gt;=0,AN1172=30),AL1172-AM1172,"")</f>
        <v>1</v>
      </c>
      <c r="L1172" s="29" t="n">
        <f>IF(ISNUMBER(BI1172),BI1172/90,"")</f>
        <v>0.01694547424375085</v>
      </c>
      <c r="M1172" s="28" t="n">
        <v>0</v>
      </c>
      <c r="N1172" s="28" t="n">
        <v>0</v>
      </c>
      <c r="O1172" s="28" t="n">
        <v>50</v>
      </c>
      <c r="P1172" s="30" t="n">
        <f>IF(AND(ISNUMBER(L1172),L1172&gt;0,COUNT(M1172:O1172)=3,MIN(M1172:O1172)&gt;=0),SUM(M1172:O1172)/L1172,"")</f>
        <v>2950.640346842992</v>
      </c>
      <c r="Q1172" s="16" t="str">
        <v>沿用原计划SKU店铺</v>
      </c>
      <c r="R1172" s="16" t="str">
        <v>已匹配</v>
      </c>
      <c r="S1172" s="16" t="str">
        <v>在售</v>
      </c>
      <c r="T1172" s="16" t="str">
        <v>S02b</v>
      </c>
      <c r="U1172" s="16" t="str">
        <v>藏青色</v>
      </c>
      <c r="V1172" s="16" t="n">
        <v>11</v>
      </c>
      <c r="W1172" s="8" t="str">
        <v>2026-10-11 至 2026-10-17</v>
      </c>
      <c r="X1172" s="8" t="str">
        <v>2026-10-11、2026-10-12、2026-10-13、2026-10-14、2026-10-15、2026-10-16、2026-10-17</v>
      </c>
      <c r="Y1172" s="8" t="str">
        <v>无</v>
      </c>
      <c r="Z1172" s="8" t="n">
        <v>0</v>
      </c>
      <c r="AA1172" s="8" t="n">
        <v>0</v>
      </c>
      <c r="AB1172" s="8" t="n">
        <v>7</v>
      </c>
      <c r="AC1172" s="8" t="str">
        <v>2026-10-02 至 2026-10-17</v>
      </c>
      <c r="AD1172" s="8" t="str">
        <v>2026-10-02、2026-10-03、2026-10-04、2026-10-05、2026-10-08、2026-10-09、2026-10-10、2026-10-11、2026-10-12、2026-10-13、2026-10-14、2026-10-15、2026-10-16、2026-10-17</v>
      </c>
      <c r="AE1172" s="8" t="str">
        <v>2026-10-06 大促；2026-10-07 大促</v>
      </c>
      <c r="AF1172" s="8" t="n">
        <v>1</v>
      </c>
      <c r="AG1172" s="8" t="n">
        <v>0</v>
      </c>
      <c r="AH1172" s="8" t="n">
        <v>14</v>
      </c>
      <c r="AI1172" s="8" t="str">
        <v>2026-09-16 至 2026-10-17</v>
      </c>
      <c r="AJ11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2" s="8" t="str">
        <v>2026-10-06 大促；2026-10-07 大促</v>
      </c>
      <c r="AL1172" s="8" t="n">
        <v>1</v>
      </c>
      <c r="AM1172" s="8" t="n">
        <v>0</v>
      </c>
      <c r="AN1172" s="8" t="n">
        <v>30</v>
      </c>
      <c r="AO1172" s="8" t="str">
        <v>S02b / 藏青色 / 6574</v>
      </c>
      <c r="AP1172" s="11" t="n">
        <v>0.9658602967882928</v>
      </c>
      <c r="AQ1172" s="11" t="n">
        <v>0.9658602967882928</v>
      </c>
      <c r="AR1172" s="11" t="n">
        <v>0.9166270540270348</v>
      </c>
      <c r="AS1172" s="11" t="n">
        <f>IF(AND(COUNT(I1172:K1172,AP1172:AR1172)=6,MIN(AP1172:AR1172)&gt;0),I1172/7/AP1172*0.5+J1172/14/AQ1172*0.3+K1172/30/AR1172*0.2,"")</f>
        <v>0.02945903627160375</v>
      </c>
      <c r="AT1172" s="8" t="n">
        <v>1</v>
      </c>
      <c r="AU1172" s="8" t="n">
        <v>0</v>
      </c>
      <c r="AV1172" s="8" t="n">
        <v>88</v>
      </c>
      <c r="AW1172" s="11" t="n">
        <f>IF(AND(COUNT(AT1172:AV1172)=3,AT1172&gt;=AU1172,AU1172&gt;=0,AV1172&gt;0),(AT1172-AU1172)/AV1172,"")</f>
        <v>0.011363636363636364</v>
      </c>
      <c r="AX1172" s="8" t="n">
        <v>1</v>
      </c>
      <c r="AY1172" s="8" t="n">
        <v>0</v>
      </c>
      <c r="AZ1172" s="8" t="n">
        <v>178</v>
      </c>
      <c r="BA1172" s="11" t="n">
        <f>IF(AND(COUNT(AX1172:AZ1172)=3,AX1172&gt;=AY1172,AY1172&gt;=0,AZ1172&gt;0),(AX1172-AY1172)/AZ1172,"")</f>
        <v>0.0056179775280898875</v>
      </c>
      <c r="BB1172" s="8" t="n">
        <f>IF(COUNT(AS1172,AW1172,BA1172)=3,1,0)</f>
        <v>1</v>
      </c>
      <c r="BC1172" s="11" t="n">
        <f>IF(SUMIF($AO$11:$AO$1309,AO1172,$BB$11:$BB$1309)=COUNTIF($AO$11:$AO$1309,AO1172),SUMIF($AO$11:$AO$1309,AO1172,$AS$11:$AS$1309),"")</f>
        <v>3.229983476717252</v>
      </c>
      <c r="BD1172" s="11" t="n">
        <f>IF(SUMIF($AO$11:$AO$1309,AO1172,$BB$11:$BB$1309)=COUNTIF($AO$11:$AO$1309,AO1172),SUMIF($AO$11:$AO$1309,AO1172,$AW$11:$AW$1309),"")</f>
        <v>1.9659090909090908</v>
      </c>
      <c r="BE1172" s="11" t="n">
        <f>IF(SUMIF($AO$11:$AO$1309,AO1172,$BB$11:$BB$1309)=COUNTIF($AO$11:$AO$1309,AO1172),SUMIF($AO$11:$AO$1309,AO1172,$BA$11:$BA$1309),"")</f>
        <v>1.792134831460674</v>
      </c>
      <c r="BF1172" s="12" t="n">
        <f>IF(COUNT(BD1172:BE1172)&lt;&gt;2,"",IF(AND(BD1172&gt;0,BE1172&gt;0),0.7*AW1172/BD1172+0.3*BA1172/BE1172,IF(BD1172&gt;0,AW1172/BD1172,IF(BE1172&gt;0,BA1172/BE1172,IF(AND(ISNUMBER(BH1172),BH1172=0),0,"")))))</f>
        <v>0.004986681646039828</v>
      </c>
      <c r="BG1172" s="11" t="n">
        <f>IF(AND(COUNT(BN1172:BU1172)=8,MIN(BN1172:BU1172)&gt;=0),SUMPRODUCT(BN1172:BQ1172,BR1172:BU1172),"")</f>
        <v>94.68567795727022</v>
      </c>
      <c r="BH1172" s="11" t="n">
        <f>IF(COUNT(BC1172,BG1172)=2,BC1172*BG1172,"")</f>
        <v>305.83317528375375</v>
      </c>
      <c r="BI1172" s="11" t="n">
        <f>IF(ISNUMBER(CI1172),CI1172,"")</f>
        <v>1.5250926819375765</v>
      </c>
      <c r="BJ1172" s="8" t="str"/>
      <c r="BK1172" s="8" t="str">
        <v>90天：2026-07-20 至 2026-10-17；180天：2026-04-21 至 2026-10-17</v>
      </c>
      <c r="BL1172" s="8" t="str">
        <v>90天：2026-10-06、2026-10-07；180天：2026-10-06、2026-10-07</v>
      </c>
      <c r="BM1172" s="8" t="str">
        <v>2026-10：12天 × 0.9658602967882928；2026-11：30天 × 1.1727174450092641；2026-12：31天 × 0.8763339075184018；2027-01：17天 × 1.2204399948507247</v>
      </c>
      <c r="BN1172" s="11" t="n">
        <v>0.9658602967882928</v>
      </c>
      <c r="BO1172" s="11" t="n">
        <v>1.1727174450092641</v>
      </c>
      <c r="BP1172" s="11" t="n">
        <v>0.8763339075184018</v>
      </c>
      <c r="BQ1172" s="11" t="n">
        <v>1.2204399948507247</v>
      </c>
      <c r="BR1172" s="8" t="n">
        <v>12</v>
      </c>
      <c r="BS1172" s="8" t="n">
        <v>30</v>
      </c>
      <c r="BT1172" s="8" t="n">
        <v>31</v>
      </c>
      <c r="BU1172" s="8" t="n">
        <v>17</v>
      </c>
      <c r="BV1172" s="11" t="n">
        <f>IF(COUNT(BC1172,BF1172)=2,BC1172*BF1172,"")</f>
        <v>0.016106899320357835</v>
      </c>
      <c r="BW1172" s="11" t="n">
        <f>IF(ISNUMBER(BN1172),BN1172,"")</f>
        <v>0.9658602967882928</v>
      </c>
      <c r="BX1172" s="14" t="n">
        <f>IF(ISNUMBER(BR1172),BR1172,"")</f>
        <v>12</v>
      </c>
      <c r="BY1172" s="13" t="n">
        <f>IF(AND(COUNT(BV1172,BW1172,BX1172)=3,MIN(BV1172,BW1172,BX1172)&gt;=0),BV1172*BW1172*BX1172,"")</f>
        <v>0.18668417469479964</v>
      </c>
      <c r="BZ1172" s="11" t="n">
        <f>IF(ISNUMBER(BO1172),BO1172,"")</f>
        <v>1.1727174450092641</v>
      </c>
      <c r="CA1172" s="14" t="n">
        <f>IF(ISNUMBER(BS1172),BS1172,"")</f>
        <v>30</v>
      </c>
      <c r="CB1172" s="13" t="n">
        <f>IF(AND(COUNT(BV1172,BZ1172,CA1172)=3,MIN(BV1172,BZ1172,CA1172)&gt;=0),BV1172*BZ1172*CA1172,"")</f>
        <v>0.5666652545397448</v>
      </c>
      <c r="CC1172" s="11" t="n">
        <f>IF(ISNUMBER(BP1172),BP1172,"")</f>
        <v>0.8763339075184018</v>
      </c>
      <c r="CD1172" s="14" t="n">
        <f>IF(ISNUMBER(BT1172),BT1172,"")</f>
        <v>31</v>
      </c>
      <c r="CE1172" s="13" t="n">
        <f>IF(AND(COUNT(BV1172,CC1172,CD1172)=3,MIN(BV1172,CC1172,CD1172)&gt;=0),BV1172*CC1172*CD1172,"")</f>
        <v>0.4375656826018548</v>
      </c>
      <c r="CF1172" s="11" t="n">
        <f>IF(ISNUMBER(BQ1172),BQ1172,"")</f>
        <v>1.2204399948507247</v>
      </c>
      <c r="CG1172" s="14" t="n">
        <f>IF(ISNUMBER(BU1172),BU1172,"")</f>
        <v>17</v>
      </c>
      <c r="CH1172" s="13" t="n">
        <f>IF(AND(COUNT(BV1172,CF1172,CG1172)=3,MIN(BV1172,CF1172,CG1172)&gt;=0),BV1172*CF1172*CG1172,"")</f>
        <v>0.3341775701011772</v>
      </c>
      <c r="CI1172" s="13" t="n">
        <f>IF(COUNT(BY1172,CB1172,CE1172,CH1172)=4,SUM(BY1172,CB1172,CE1172,CH1172),"")</f>
        <v>1.5250926819375765</v>
      </c>
    </row>
    <row r="1173" ht="72" customHeight="1">
      <c r="A1173" s="16" t="str">
        <v>2302153-RD-S-Z-9.5</v>
      </c>
      <c r="B1173" s="16" t="str">
        <v>3店-SANDIEX-US</v>
      </c>
      <c r="C1173" s="16" t="str">
        <v>徐新怡</v>
      </c>
      <c r="D1173" s="26" t="str">
        <f>IF(NOT(ISNUMBER(E1173)),"",IF(OR(E1173&lt;=0,L1173=0),0,IF(OR(NOT(ISNUMBER(F1173)),F1173&lt;0),"",MIN(E1173,INT(F1173)))))</f>
      </c>
      <c r="E1173" s="27" t="n">
        <f>IF(OR(NOT(ISNUMBER(L1173)),COUNT(M1173:O1173)&lt;&gt;3,MIN(M1173:O1173)&lt;0),"",ROUNDUP(ROUND(BI1173-SUM(M1173:O1173),10),0))</f>
        <v>15</v>
      </c>
      <c r="F1173" s="28"/>
      <c r="G1173" s="28" t="str">
        <f>IF(AND(ISNUMBER(D1173),ISNUMBER(E1173)),IF(OR(E1173&lt;=0,L1173=0),0,E1173-D1173),"")</f>
      </c>
      <c r="H1173" s="16" t="str">
        <f>IF(NOT(ISNUMBER(E1173)),"销量或海外库存待补",IF(OR(E1173&lt;=0,L1173=0),IF(L1173=0,"零日销，本批不发","本批无需补货"),IF(NOT(ISNUMBER(D1173)),"国内库存待补",IF(D1173=0,"国内无可用库存",IF(G1173&gt;0,"先发国内现货","按建议量发货")))))</f>
        <v>国内库存待补</v>
      </c>
      <c r="I1173" s="28" t="n">
        <f>IF(AND(COUNT(Z1173,AA1173,AB1173)=3,Z1173&gt;=AA1173,AA1173&gt;=0,AB1173=7),Z1173-AA1173,"")</f>
        <v>1</v>
      </c>
      <c r="J1173" s="28" t="n">
        <f>IF(AND(COUNT(AF1173,AG1173,AH1173)=3,AF1173&gt;=AG1173,AG1173&gt;=0,AH1173=14),AF1173-AG1173,"")</f>
        <v>3</v>
      </c>
      <c r="K1173" s="28" t="n">
        <f>IF(AND(COUNT(AL1173,AM1173,AN1173)=3,AL1173&gt;=AM1173,AM1173&gt;=0,AN1173=30),AL1173-AM1173,"")</f>
        <v>3</v>
      </c>
      <c r="L1173" s="29" t="n">
        <f>IF(ISNUMBER(BI1173),BI1173/90,"")</f>
        <v>0.1672060845399963</v>
      </c>
      <c r="M1173" s="28" t="n">
        <v>1</v>
      </c>
      <c r="N1173" s="28" t="n">
        <v>0</v>
      </c>
      <c r="O1173" s="28" t="n">
        <v>0</v>
      </c>
      <c r="P1173" s="30" t="n">
        <f>IF(AND(ISNUMBER(L1173),L1173&gt;0,COUNT(M1173:O1173)=3,MIN(M1173:O1173)&gt;=0),SUM(M1173:O1173)/L1173,"")</f>
        <v>5.980643603676972</v>
      </c>
      <c r="Q1173" s="16" t="str">
        <v>沿用原计划SKU店铺</v>
      </c>
      <c r="R1173" s="16" t="str">
        <v>未匹配</v>
      </c>
      <c r="S1173" s="16" t="str">
        <v>在售</v>
      </c>
      <c r="T1173" s="16" t="str">
        <v>2302153</v>
      </c>
      <c r="U1173" s="16" t="str">
        <v>红色</v>
      </c>
      <c r="V1173" s="16" t="n">
        <v>9.5</v>
      </c>
      <c r="W1173" s="8" t="str">
        <v>2026-10-11 至 2026-10-17</v>
      </c>
      <c r="X1173" s="8" t="str">
        <v>2026-10-11、2026-10-12、2026-10-13、2026-10-14、2026-10-15、2026-10-16、2026-10-17</v>
      </c>
      <c r="Y1173" s="8" t="str">
        <v>无</v>
      </c>
      <c r="Z1173" s="8" t="n">
        <v>1</v>
      </c>
      <c r="AA1173" s="8" t="n">
        <v>0</v>
      </c>
      <c r="AB1173" s="8" t="n">
        <v>7</v>
      </c>
      <c r="AC1173" s="8" t="str">
        <v>2026-10-02 至 2026-10-17</v>
      </c>
      <c r="AD1173" s="8" t="str">
        <v>2026-10-02、2026-10-03、2026-10-04、2026-10-05、2026-10-08、2026-10-09、2026-10-10、2026-10-11、2026-10-12、2026-10-13、2026-10-14、2026-10-15、2026-10-16、2026-10-17</v>
      </c>
      <c r="AE1173" s="8" t="str">
        <v>2026-10-06 大促；2026-10-07 大促</v>
      </c>
      <c r="AF1173" s="8" t="n">
        <v>3</v>
      </c>
      <c r="AG1173" s="8" t="n">
        <v>0</v>
      </c>
      <c r="AH1173" s="8" t="n">
        <v>14</v>
      </c>
      <c r="AI1173" s="8" t="str">
        <v>2026-09-16 至 2026-10-17</v>
      </c>
      <c r="AJ11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3" s="8" t="str">
        <v>2026-10-06 大促；2026-10-07 大促</v>
      </c>
      <c r="AL1173" s="8" t="n">
        <v>3</v>
      </c>
      <c r="AM1173" s="8" t="n">
        <v>0</v>
      </c>
      <c r="AN1173" s="8" t="n">
        <v>30</v>
      </c>
      <c r="AO1173" s="8" t="str">
        <v>2302153 / 红色羊京绒 / 6574</v>
      </c>
      <c r="AP1173" s="11" t="n">
        <v>1.7391279184229513</v>
      </c>
      <c r="AQ1173" s="11" t="n">
        <v>1.7391279184229513</v>
      </c>
      <c r="AR1173" s="11" t="n">
        <v>1.5731892896917212</v>
      </c>
      <c r="AS1173" s="11" t="n">
        <f>IF(AND(COUNT(I1173:K1173,AP1173:AR1173)=6,MIN(AP1173:AR1173)&gt;0),I1173/7/AP1173*0.5+J1173/14/AQ1173*0.3+K1173/30/AR1173*0.2,"")</f>
        <v>0.09074885552100544</v>
      </c>
      <c r="AT1173" s="8" t="n">
        <v>8</v>
      </c>
      <c r="AU1173" s="8" t="n">
        <v>0</v>
      </c>
      <c r="AV1173" s="8" t="n">
        <v>88</v>
      </c>
      <c r="AW1173" s="11" t="n">
        <f>IF(AND(COUNT(AT1173:AV1173)=3,AT1173&gt;=AU1173,AU1173&gt;=0,AV1173&gt;0),(AT1173-AU1173)/AV1173,"")</f>
        <v>0.09090909090909091</v>
      </c>
      <c r="AX1173" s="8" t="n">
        <v>14</v>
      </c>
      <c r="AY1173" s="8" t="n">
        <v>0</v>
      </c>
      <c r="AZ1173" s="8" t="n">
        <v>178</v>
      </c>
      <c r="BA1173" s="11" t="n">
        <f>IF(AND(COUNT(AX1173:AZ1173)=3,AX1173&gt;=AY1173,AY1173&gt;=0,AZ1173&gt;0),(AX1173-AY1173)/AZ1173,"")</f>
        <v>0.07865168539325842</v>
      </c>
      <c r="BB1173" s="8" t="n">
        <f>IF(COUNT(AS1173,AW1173,BA1173)=3,1,0)</f>
        <v>1</v>
      </c>
      <c r="BC1173" s="11" t="n">
        <f>IF(SUMIF($AO$11:$AO$1309,AO1173,$BB$11:$BB$1309)=COUNTIF($AO$11:$AO$1309,AO1173),SUMIF($AO$11:$AO$1309,AO1173,$AS$11:$AS$1309),"")</f>
        <v>0.5532040882147117</v>
      </c>
      <c r="BD1173" s="11" t="n">
        <f>IF(SUMIF($AO$11:$AO$1309,AO1173,$BB$11:$BB$1309)=COUNTIF($AO$11:$AO$1309,AO1173),SUMIF($AO$11:$AO$1309,AO1173,$AW$11:$AW$1309),"")</f>
        <v>0.3535973323498679</v>
      </c>
      <c r="BE1173" s="11" t="n">
        <f>IF(SUMIF($AO$11:$AO$1309,AO1173,$BB$11:$BB$1309)=COUNTIF($AO$11:$AO$1309,AO1173),SUMIF($AO$11:$AO$1309,AO1173,$BA$11:$BA$1309),"")</f>
        <v>0.34420255552230417</v>
      </c>
      <c r="BF1173" s="12" t="n">
        <f>IF(COUNT(BD1173:BE1173)&lt;&gt;2,"",IF(AND(BD1173&gt;0,BE1173&gt;0),0.7*AW1173/BD1173+0.3*BA1173/BE1173,IF(BD1173&gt;0,AW1173/BD1173,IF(BE1173&gt;0,BA1173/BE1173,IF(AND(ISNUMBER(BH1173),BH1173=0),0,"")))))</f>
        <v>0.24851967094158994</v>
      </c>
      <c r="BG1173" s="11" t="n">
        <f>IF(AND(COUNT(BN1173:BU1173)=8,MIN(BN1173:BU1173)&gt;=0),SUMPRODUCT(BN1173:BQ1173,BR1173:BU1173),"")</f>
        <v>109.4582336985339</v>
      </c>
      <c r="BH1173" s="11" t="n">
        <f>IF(COUNT(BC1173,BG1173)=2,BC1173*BG1173,"")</f>
        <v>60.55274237079028</v>
      </c>
      <c r="BI1173" s="11" t="n">
        <f>IF(ISNUMBER(CI1173),CI1173,"")</f>
        <v>15.048547608599668</v>
      </c>
      <c r="BJ1173" s="8" t="str">
        <v>近180天本色销量75双（＜90），无有效新采购，请运营判断</v>
      </c>
      <c r="BK1173" s="8" t="str">
        <v>90天：2026-07-20 至 2026-10-17；180天：2026-04-21 至 2026-10-17</v>
      </c>
      <c r="BL1173" s="8" t="str">
        <v>90天：2026-10-06、2026-10-07；180天：2026-10-06、2026-10-07</v>
      </c>
      <c r="BM1173" s="8" t="str">
        <v>2026-10：12天 × 1.7391279184229513；2026-11：30天 × 1.4002077845513243；2026-12：31天 × 1.079339935625147；2027-01：17天 × 0.7719368903846591</v>
      </c>
      <c r="BN1173" s="11" t="n">
        <v>1.7391279184229513</v>
      </c>
      <c r="BO1173" s="11" t="n">
        <v>1.4002077845513243</v>
      </c>
      <c r="BP1173" s="11" t="n">
        <v>1.079339935625147</v>
      </c>
      <c r="BQ1173" s="11" t="n">
        <v>0.7719368903846591</v>
      </c>
      <c r="BR1173" s="8" t="n">
        <v>12</v>
      </c>
      <c r="BS1173" s="8" t="n">
        <v>30</v>
      </c>
      <c r="BT1173" s="8" t="n">
        <v>31</v>
      </c>
      <c r="BU1173" s="8" t="n">
        <v>17</v>
      </c>
      <c r="BV1173" s="11" t="n">
        <f>IF(COUNT(BC1173,BF1173)=2,BC1173*BF1173,"")</f>
        <v>0.13748209796666244</v>
      </c>
      <c r="BW1173" s="11" t="n">
        <f>IF(ISNUMBER(BN1173),BN1173,"")</f>
        <v>1.7391279184229513</v>
      </c>
      <c r="BX1173" s="14" t="n">
        <f>IF(ISNUMBER(BR1173),BR1173,"")</f>
        <v>12</v>
      </c>
      <c r="BY1173" s="13" t="n">
        <f>IF(AND(COUNT(BV1173,BW1173,BX1173)=3,MIN(BV1173,BW1173,BX1173)&gt;=0),BV1173*BW1173*BX1173,"")</f>
        <v>2.869187458286183</v>
      </c>
      <c r="BZ1173" s="11" t="n">
        <f>IF(ISNUMBER(BO1173),BO1173,"")</f>
        <v>1.4002077845513243</v>
      </c>
      <c r="CA1173" s="14" t="n">
        <f>IF(ISNUMBER(BS1173),BS1173,"")</f>
        <v>30</v>
      </c>
      <c r="CB1173" s="13" t="n">
        <f>IF(AND(COUNT(BV1173,BZ1173,CA1173)=3,MIN(BV1173,BZ1173,CA1173)&gt;=0),BV1173*BZ1173*CA1173,"")</f>
        <v>5.775105114281056</v>
      </c>
      <c r="CC1173" s="11" t="n">
        <f>IF(ISNUMBER(BP1173),BP1173,"")</f>
        <v>1.079339935625147</v>
      </c>
      <c r="CD1173" s="14" t="n">
        <f>IF(ISNUMBER(BT1173),BT1173,"")</f>
        <v>31</v>
      </c>
      <c r="CE1173" s="13" t="n">
        <f>IF(AND(COUNT(BV1173,CC1173,CD1173)=3,MIN(BV1173,CC1173,CD1173)&gt;=0),BV1173*CC1173*CD1173,"")</f>
        <v>4.600087481837375</v>
      </c>
      <c r="CF1173" s="11" t="n">
        <f>IF(ISNUMBER(BQ1173),BQ1173,"")</f>
        <v>0.7719368903846591</v>
      </c>
      <c r="CG1173" s="14" t="n">
        <f>IF(ISNUMBER(BU1173),BU1173,"")</f>
        <v>17</v>
      </c>
      <c r="CH1173" s="13" t="n">
        <f>IF(AND(COUNT(BV1173,CF1173,CG1173)=3,MIN(BV1173,CF1173,CG1173)&gt;=0),BV1173*CF1173*CG1173,"")</f>
        <v>1.804167554195056</v>
      </c>
      <c r="CI1173" s="13" t="n">
        <f>IF(COUNT(BY1173,CB1173,CE1173,CH1173)=4,SUM(BY1173,CB1173,CE1173,CH1173),"")</f>
        <v>15.048547608599668</v>
      </c>
    </row>
    <row r="1174" ht="72" customHeight="1">
      <c r="A1174" s="16" t="str">
        <v>32582-LD-38</v>
      </c>
      <c r="B1174" s="16" t="str">
        <v>3店-SANDIEX-US</v>
      </c>
      <c r="C1174" s="16" t="str">
        <v>徐新怡</v>
      </c>
      <c r="D1174" s="26" t="str">
        <f>IF(NOT(ISNUMBER(E1174)),"",IF(OR(E1174&lt;=0,L1174=0),0,IF(OR(NOT(ISNUMBER(F1174)),F1174&lt;0),"",MIN(E1174,INT(F1174)))))</f>
      </c>
      <c r="E1174" s="27" t="n">
        <f>IF(OR(NOT(ISNUMBER(L1174)),COUNT(M1174:O1174)&lt;&gt;3,MIN(M1174:O1174)&lt;0),"",ROUNDUP(ROUND(BI1174-SUM(M1174:O1174),10),0))</f>
        <v>5</v>
      </c>
      <c r="F1174" s="28"/>
      <c r="G1174" s="28" t="str">
        <f>IF(AND(ISNUMBER(D1174),ISNUMBER(E1174)),IF(OR(E1174&lt;=0,L1174=0),0,E1174-D1174),"")</f>
      </c>
      <c r="H1174" s="16" t="str">
        <f>IF(NOT(ISNUMBER(E1174)),"销量或海外库存待补",IF(OR(E1174&lt;=0,L1174=0),IF(L1174=0,"零日销，本批不发","本批无需补货"),IF(NOT(ISNUMBER(D1174)),"国内库存待补",IF(D1174=0,"国内无可用库存",IF(G1174&gt;0,"先发国内现货","按建议量发货")))))</f>
        <v>国内库存待补</v>
      </c>
      <c r="I1174" s="28" t="n">
        <f>IF(AND(COUNT(Z1174,AA1174,AB1174)=3,Z1174&gt;=AA1174,AA1174&gt;=0,AB1174=7),Z1174-AA1174,"")</f>
        <v>0</v>
      </c>
      <c r="J1174" s="28" t="n">
        <f>IF(AND(COUNT(AF1174,AG1174,AH1174)=3,AF1174&gt;=AG1174,AG1174&gt;=0,AH1174=14),AF1174-AG1174,"")</f>
        <v>0</v>
      </c>
      <c r="K1174" s="28" t="n">
        <f>IF(AND(COUNT(AL1174,AM1174,AN1174)=3,AL1174&gt;=AM1174,AM1174&gt;=0,AN1174=30),AL1174-AM1174,"")</f>
        <v>0</v>
      </c>
      <c r="L1174" s="29" t="n">
        <f>IF(ISNUMBER(BI1174),BI1174/90,"")</f>
        <v>0.04466621671321095</v>
      </c>
      <c r="M1174" s="28" t="n">
        <v>0</v>
      </c>
      <c r="N1174" s="28" t="n">
        <v>0</v>
      </c>
      <c r="O1174" s="28" t="n">
        <v>0</v>
      </c>
      <c r="P1174" s="30" t="n">
        <f>IF(AND(ISNUMBER(L1174),L1174&gt;0,COUNT(M1174:O1174)=3,MIN(M1174:O1174)&gt;=0),SUM(M1174:O1174)/L1174,"")</f>
        <v>0</v>
      </c>
      <c r="Q1174" s="16" t="str">
        <v>沿用原计划SKU店铺</v>
      </c>
      <c r="R1174" s="16" t="str">
        <v>未匹配</v>
      </c>
      <c r="S1174" s="16" t="str">
        <v>停售</v>
      </c>
      <c r="T1174" s="16" t="str">
        <v>32582</v>
      </c>
      <c r="U1174" s="16" t="str">
        <v>豹纹</v>
      </c>
      <c r="V1174" s="16" t="n">
        <v>7</v>
      </c>
      <c r="W1174" s="8" t="str">
        <v>2026-10-08 至 2026-10-17</v>
      </c>
      <c r="X1174" s="8" t="str">
        <v>2026-10-08、2026-10-09、2026-10-10、2026-10-11、2026-10-14、2026-10-15、2026-10-17</v>
      </c>
      <c r="Y1174" s="8" t="str">
        <v>2026-10-12 有记录的停售日；2026-10-13 有记录的停售日；2026-10-16 有记录的停售日</v>
      </c>
      <c r="Z1174" s="8" t="n">
        <v>0</v>
      </c>
      <c r="AA1174" s="8" t="n">
        <v>0</v>
      </c>
      <c r="AB1174" s="8" t="n">
        <v>7</v>
      </c>
      <c r="AC1174" s="8" t="str">
        <v>2026-09-29 至 2026-10-17</v>
      </c>
      <c r="AD1174" s="8" t="str">
        <v>2026-09-29、2026-09-30、2026-10-01、2026-10-02、2026-10-03、2026-10-04、2026-10-05、2026-10-08、2026-10-09、2026-10-10、2026-10-11、2026-10-14、2026-10-15、2026-10-17</v>
      </c>
      <c r="AE1174" s="8" t="str">
        <v>2026-10-06 大促；2026-10-07 大促；2026-10-12 有记录的停售日；2026-10-13 有记录的停售日；2026-10-16 有记录的停售日</v>
      </c>
      <c r="AF1174" s="8" t="n">
        <v>0</v>
      </c>
      <c r="AG1174" s="8" t="n">
        <v>0</v>
      </c>
      <c r="AH1174" s="8" t="n">
        <v>14</v>
      </c>
      <c r="AI1174" s="8" t="str">
        <v>2026-09-13 至 2026-10-17</v>
      </c>
      <c r="AJ117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74" s="8" t="str">
        <v>2026-10-06 大促；2026-10-07 大促；2026-10-12 有记录的停售日；2026-10-13 有记录的停售日；2026-10-16 有记录的停售日</v>
      </c>
      <c r="AL1174" s="8" t="n">
        <v>0</v>
      </c>
      <c r="AM1174" s="8" t="n">
        <v>0</v>
      </c>
      <c r="AN1174" s="8" t="n">
        <v>30</v>
      </c>
      <c r="AO1174" s="8" t="str">
        <v>32582 / 豹纹羊京绒 / 6574</v>
      </c>
      <c r="AP1174" s="11" t="n">
        <v>1.0395067087630607</v>
      </c>
      <c r="AQ1174" s="11" t="n">
        <v>1.048428692110265</v>
      </c>
      <c r="AR1174" s="11" t="n">
        <v>1.076979038821319</v>
      </c>
      <c r="AS1174" s="11" t="n">
        <f>IF(AND(COUNT(I1174:K1174,AP1174:AR1174)=6,MIN(AP1174:AR1174)&gt;0),I1174/7/AP1174*0.5+J1174/14/AQ1174*0.3+K1174/30/AR1174*0.2,"")</f>
        <v>0</v>
      </c>
      <c r="AT1174" s="8" t="n">
        <v>2</v>
      </c>
      <c r="AU1174" s="8" t="n">
        <v>0</v>
      </c>
      <c r="AV1174" s="8" t="n">
        <v>85</v>
      </c>
      <c r="AW1174" s="11" t="n">
        <f>IF(AND(COUNT(AT1174:AV1174)=3,AT1174&gt;=AU1174,AU1174&gt;=0,AV1174&gt;0),(AT1174-AU1174)/AV1174,"")</f>
        <v>0.023529411764705882</v>
      </c>
      <c r="AX1174" s="8" t="n">
        <v>10</v>
      </c>
      <c r="AY1174" s="8" t="n">
        <v>0</v>
      </c>
      <c r="AZ1174" s="8" t="n">
        <v>175</v>
      </c>
      <c r="BA1174" s="11" t="n">
        <f>IF(AND(COUNT(AX1174:AZ1174)=3,AX1174&gt;=AY1174,AY1174&gt;=0,AZ1174&gt;0),(AX1174-AY1174)/AZ1174,"")</f>
        <v>0.05714285714285714</v>
      </c>
      <c r="BB1174" s="8" t="n">
        <f>IF(COUNT(AS1174,AW1174,BA1174)=3,1,0)</f>
        <v>1</v>
      </c>
      <c r="BC1174" s="11" t="n">
        <f>IF(SUMIF($AO$11:$AO$1309,AO1174,$BB$11:$BB$1309)=COUNTIF($AO$11:$AO$1309,AO1174),SUMIF($AO$11:$AO$1309,AO1174,$AS$11:$AS$1309),"")</f>
        <v>2.517644694108243</v>
      </c>
      <c r="BD1174" s="11" t="n">
        <f>IF(SUMIF($AO$11:$AO$1309,AO1174,$BB$11:$BB$1309)=COUNTIF($AO$11:$AO$1309,AO1174),SUMIF($AO$11:$AO$1309,AO1174,$AW$11:$AW$1309),"")</f>
        <v>2.0255347593582886</v>
      </c>
      <c r="BE1174" s="11" t="n">
        <f>IF(SUMIF($AO$11:$AO$1309,AO1174,$BB$11:$BB$1309)=COUNTIF($AO$11:$AO$1309,AO1174),SUMIF($AO$11:$AO$1309,AO1174,$BA$11:$BA$1309),"")</f>
        <v>1.721701444622793</v>
      </c>
      <c r="BF1174" s="12" t="n">
        <f>IF(COUNT(BD1174:BE1174)&lt;&gt;2,"",IF(AND(BD1174&gt;0,BE1174&gt;0),0.7*AW1174/BD1174+0.3*BA1174/BE1174,IF(BD1174&gt;0,AW1174/BD1174,IF(BE1174&gt;0,BA1174/BE1174,IF(AND(ISNUMBER(BH1174),BH1174=0),0,"")))))</f>
        <v>0.018088404366379436</v>
      </c>
      <c r="BG1174" s="11" t="n">
        <f>IF(AND(COUNT(BN1174:BU1174)=8,MIN(BN1174:BU1174)&gt;=0),SUMPRODUCT(BN1174:BQ1174,BR1174:BU1174),"")</f>
        <v>88.27281580841549</v>
      </c>
      <c r="BH1174" s="11" t="n">
        <f>IF(COUNT(BC1174,BG1174)=2,BC1174*BG1174,"")</f>
        <v>222.23958635405148</v>
      </c>
      <c r="BI1174" s="11" t="n">
        <f>IF(ISNUMBER(CI1174),CI1174,"")</f>
        <v>4.019959504188986</v>
      </c>
      <c r="BJ1174" s="8" t="str"/>
      <c r="BK1174" s="8" t="str">
        <v>90天：2026-07-20 至 2026-10-17；180天：2026-04-21 至 2026-10-17</v>
      </c>
      <c r="BL1174" s="8" t="str">
        <v>90天：2026-10-06、2026-10-07、2026-10-12、2026-10-13、2026-10-16；180天：2026-10-06、2026-10-07、2026-10-12、2026-10-13、2026-10-16</v>
      </c>
      <c r="BM1174" s="8" t="str">
        <v>2026-10：12天 × 1.0395067087630607；2026-11：30天 × 0.9890368360033146；2026-12：31天 × 0.7800796503018808；2027-01：17天 × 1.2908918272824135</v>
      </c>
      <c r="BN1174" s="11" t="n">
        <v>1.0395067087630607</v>
      </c>
      <c r="BO1174" s="11" t="n">
        <v>0.9890368360033146</v>
      </c>
      <c r="BP1174" s="11" t="n">
        <v>0.7800796503018808</v>
      </c>
      <c r="BQ1174" s="11" t="n">
        <v>1.2908918272824135</v>
      </c>
      <c r="BR1174" s="8" t="n">
        <v>12</v>
      </c>
      <c r="BS1174" s="8" t="n">
        <v>30</v>
      </c>
      <c r="BT1174" s="8" t="n">
        <v>31</v>
      </c>
      <c r="BU1174" s="8" t="n">
        <v>17</v>
      </c>
      <c r="BV1174" s="11" t="n">
        <f>IF(COUNT(BC1174,BF1174)=2,BC1174*BF1174,"")</f>
        <v>0.04554017527789957</v>
      </c>
      <c r="BW1174" s="11" t="n">
        <f>IF(ISNUMBER(BN1174),BN1174,"")</f>
        <v>1.0395067087630607</v>
      </c>
      <c r="BX1174" s="14" t="n">
        <f>IF(ISNUMBER(BR1174),BR1174,"")</f>
        <v>12</v>
      </c>
      <c r="BY1174" s="13" t="n">
        <f>IF(AND(COUNT(BV1174,BW1174,BX1174)=3,MIN(BV1174,BW1174,BX1174)&gt;=0),BV1174*BW1174*BX1174,"")</f>
        <v>0.5680718126354674</v>
      </c>
      <c r="BZ1174" s="11" t="n">
        <f>IF(ISNUMBER(BO1174),BO1174,"")</f>
        <v>0.9890368360033146</v>
      </c>
      <c r="CA1174" s="14" t="n">
        <f>IF(ISNUMBER(BS1174),BS1174,"")</f>
        <v>30</v>
      </c>
      <c r="CB1174" s="13" t="n">
        <f>IF(AND(COUNT(BV1174,BZ1174,CA1174)=3,MIN(BV1174,BZ1174,CA1174)&gt;=0),BV1174*BZ1174*CA1174,"")</f>
        <v>1.3512273260367047</v>
      </c>
      <c r="CC1174" s="11" t="n">
        <f>IF(ISNUMBER(BP1174),BP1174,"")</f>
        <v>0.7800796503018808</v>
      </c>
      <c r="CD1174" s="14" t="n">
        <f>IF(ISNUMBER(BT1174),BT1174,"")</f>
        <v>31</v>
      </c>
      <c r="CE1174" s="13" t="n">
        <f>IF(AND(COUNT(BV1174,CC1174,CD1174)=3,MIN(BV1174,CC1174,CD1174)&gt;=0),BV1174*CC1174*CD1174,"")</f>
        <v>1.1012738841695777</v>
      </c>
      <c r="CF1174" s="11" t="n">
        <f>IF(ISNUMBER(BQ1174),BQ1174,"")</f>
        <v>1.2908918272824135</v>
      </c>
      <c r="CG1174" s="14" t="n">
        <f>IF(ISNUMBER(BU1174),BU1174,"")</f>
        <v>17</v>
      </c>
      <c r="CH1174" s="13" t="n">
        <f>IF(AND(COUNT(BV1174,CF1174,CG1174)=3,MIN(BV1174,CF1174,CG1174)&gt;=0),BV1174*CF1174*CG1174,"")</f>
        <v>0.9993864813472358</v>
      </c>
      <c r="CI1174" s="13" t="n">
        <f>IF(COUNT(BY1174,CB1174,CE1174,CH1174)=4,SUM(BY1174,CB1174,CE1174,CH1174),"")</f>
        <v>4.019959504188986</v>
      </c>
    </row>
    <row r="1175" ht="72" customHeight="1">
      <c r="A1175" s="16" t="str">
        <v>B07-GY-39-New</v>
      </c>
      <c r="B1175" s="16" t="str">
        <v>4店-彬郁-US</v>
      </c>
      <c r="C1175" s="16" t="str">
        <v>艾年</v>
      </c>
      <c r="D1175" s="26" t="str">
        <f>IF(NOT(ISNUMBER(E1175)),"",IF(OR(E1175&lt;=0,L1175=0),0,IF(OR(NOT(ISNUMBER(F1175)),F1175&lt;0),"",MIN(E1175,INT(F1175)))))</f>
      </c>
      <c r="E1175" s="27" t="n">
        <f>IF(OR(NOT(ISNUMBER(L1175)),COUNT(M1175:O1175)&lt;&gt;3,MIN(M1175:O1175)&lt;0),"",ROUNDUP(ROUND(BI1175-SUM(M1175:O1175),10),0))</f>
        <v>5</v>
      </c>
      <c r="F1175" s="28"/>
      <c r="G1175" s="28" t="str">
        <f>IF(AND(ISNUMBER(D1175),ISNUMBER(E1175)),IF(OR(E1175&lt;=0,L1175=0),0,E1175-D1175),"")</f>
      </c>
      <c r="H1175" s="16" t="str">
        <f>IF(NOT(ISNUMBER(E1175)),"销量或海外库存待补",IF(OR(E1175&lt;=0,L1175=0),IF(L1175=0,"零日销，本批不发","本批无需补货"),IF(NOT(ISNUMBER(D1175)),"国内库存待补",IF(D1175=0,"国内无可用库存",IF(G1175&gt;0,"先发国内现货","按建议量发货")))))</f>
        <v>国内库存待补</v>
      </c>
      <c r="I1175" s="28" t="n">
        <f>IF(AND(COUNT(Z1175,AA1175,AB1175)=3,Z1175&gt;=AA1175,AA1175&gt;=0,AB1175=7),Z1175-AA1175,"")</f>
        <v>0</v>
      </c>
      <c r="J1175" s="28" t="n">
        <f>IF(AND(COUNT(AF1175,AG1175,AH1175)=3,AF1175&gt;=AG1175,AG1175&gt;=0,AH1175=14),AF1175-AG1175,"")</f>
        <v>0</v>
      </c>
      <c r="K1175" s="28" t="n">
        <f>IF(AND(COUNT(AL1175,AM1175,AN1175)=3,AL1175&gt;=AM1175,AM1175&gt;=0,AN1175=30),AL1175-AM1175,"")</f>
        <v>0</v>
      </c>
      <c r="L1175" s="29" t="n">
        <f>IF(ISNUMBER(BI1175),BI1175/90,"")</f>
        <v>0.054143440415581306</v>
      </c>
      <c r="M1175" s="28" t="n">
        <v>0</v>
      </c>
      <c r="N1175" s="28" t="n">
        <v>0</v>
      </c>
      <c r="O1175" s="28" t="n">
        <v>0</v>
      </c>
      <c r="P1175" s="30" t="n">
        <f>IF(AND(ISNUMBER(L1175),L1175&gt;0,COUNT(M1175:O1175)=3,MIN(M1175:O1175)&gt;=0),SUM(M1175:O1175)/L1175,"")</f>
        <v>0</v>
      </c>
      <c r="Q1175" s="16" t="str">
        <v>沿用原计划SKU店铺</v>
      </c>
      <c r="R1175" s="16" t="str">
        <v>未匹配</v>
      </c>
      <c r="S1175" s="16" t="str">
        <v>停售</v>
      </c>
      <c r="T1175" s="16" t="str">
        <v>B07</v>
      </c>
      <c r="U1175" s="16" t="str">
        <v>灰色羊京绒</v>
      </c>
      <c r="V1175" s="16" t="n">
        <v>8</v>
      </c>
      <c r="W1175" s="8" t="str">
        <v>2026-10-08 至 2026-10-17</v>
      </c>
      <c r="X1175" s="8" t="str">
        <v>2026-10-08、2026-10-09、2026-10-10、2026-10-11、2026-10-14、2026-10-15、2026-10-17</v>
      </c>
      <c r="Y1175" s="8" t="str">
        <v>2026-10-12 有记录的停售日；2026-10-13 有记录的停售日；2026-10-16 有记录的停售日</v>
      </c>
      <c r="Z1175" s="8" t="n">
        <v>0</v>
      </c>
      <c r="AA1175" s="8" t="n">
        <v>0</v>
      </c>
      <c r="AB1175" s="8" t="n">
        <v>7</v>
      </c>
      <c r="AC1175" s="8" t="str">
        <v>2026-09-29 至 2026-10-17</v>
      </c>
      <c r="AD1175" s="8" t="str">
        <v>2026-09-29、2026-09-30、2026-10-01、2026-10-02、2026-10-03、2026-10-04、2026-10-05、2026-10-08、2026-10-09、2026-10-10、2026-10-11、2026-10-14、2026-10-15、2026-10-17</v>
      </c>
      <c r="AE1175" s="8" t="str">
        <v>2026-10-06 大促；2026-10-07 大促；2026-10-12 有记录的停售日；2026-10-13 有记录的停售日；2026-10-16 有记录的停售日</v>
      </c>
      <c r="AF1175" s="8" t="n">
        <v>0</v>
      </c>
      <c r="AG1175" s="8" t="n">
        <v>0</v>
      </c>
      <c r="AH1175" s="8" t="n">
        <v>14</v>
      </c>
      <c r="AI1175" s="8" t="str">
        <v>2026-09-13 至 2026-10-17</v>
      </c>
      <c r="AJ117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75" s="8" t="str">
        <v>2026-10-06 大促；2026-10-07 大促；2026-10-12 有记录的停售日；2026-10-13 有记录的停售日；2026-10-16 有记录的停售日</v>
      </c>
      <c r="AL1175" s="8" t="n">
        <v>0</v>
      </c>
      <c r="AM1175" s="8" t="n">
        <v>0</v>
      </c>
      <c r="AN1175" s="8" t="n">
        <v>30</v>
      </c>
      <c r="AO1175" s="8" t="str">
        <v>B07 / 灰色羊京绒 / 13306</v>
      </c>
      <c r="AP1175" s="11" t="n">
        <v>0.7307750238224848</v>
      </c>
      <c r="AQ1175" s="11" t="n">
        <v>0.7348338471341894</v>
      </c>
      <c r="AR1175" s="11" t="n">
        <v>0.7478220817316438</v>
      </c>
      <c r="AS1175" s="11" t="n">
        <f>IF(AND(COUNT(I1175:K1175,AP1175:AR1175)=6,MIN(AP1175:AR1175)&gt;0),I1175/7/AP1175*0.5+J1175/14/AQ1175*0.3+K1175/30/AR1175*0.2,"")</f>
        <v>0</v>
      </c>
      <c r="AT1175" s="8" t="n">
        <v>1</v>
      </c>
      <c r="AU1175" s="8" t="n">
        <v>0</v>
      </c>
      <c r="AV1175" s="8" t="n">
        <v>85</v>
      </c>
      <c r="AW1175" s="11" t="n">
        <f>IF(AND(COUNT(AT1175:AV1175)=3,AT1175&gt;=AU1175,AU1175&gt;=0,AV1175&gt;0),(AT1175-AU1175)/AV1175,"")</f>
        <v>0.011764705882352941</v>
      </c>
      <c r="AX1175" s="8" t="n">
        <v>1</v>
      </c>
      <c r="AY1175" s="8" t="n">
        <v>0</v>
      </c>
      <c r="AZ1175" s="8" t="n">
        <v>175</v>
      </c>
      <c r="BA1175" s="11" t="n">
        <f>IF(AND(COUNT(AX1175:AZ1175)=3,AX1175&gt;=AY1175,AY1175&gt;=0,AZ1175&gt;0),(AX1175-AY1175)/AZ1175,"")</f>
        <v>0.005714285714285714</v>
      </c>
      <c r="BB1175" s="8" t="n">
        <f>IF(COUNT(AS1175,AW1175,BA1175)=3,1,0)</f>
        <v>1</v>
      </c>
      <c r="BC1175" s="11" t="n">
        <f>IF(SUMIF($AO$11:$AO$1309,AO1175,$BB$11:$BB$1309)=COUNTIF($AO$11:$AO$1309,AO1175),SUMIF($AO$11:$AO$1309,AO1175,$AS$11:$AS$1309),"")</f>
        <v>0.13601543709405306</v>
      </c>
      <c r="BD1175" s="11" t="n">
        <f>IF(SUMIF($AO$11:$AO$1309,AO1175,$BB$11:$BB$1309)=COUNTIF($AO$11:$AO$1309,AO1175),SUMIF($AO$11:$AO$1309,AO1175,$AW$11:$AW$1309),"")</f>
        <v>0.023128342245989305</v>
      </c>
      <c r="BE1175" s="11" t="n">
        <f>IF(SUMIF($AO$11:$AO$1309,AO1175,$BB$11:$BB$1309)=COUNTIF($AO$11:$AO$1309,AO1175),SUMIF($AO$11:$AO$1309,AO1175,$BA$11:$BA$1309),"")</f>
        <v>0.01695024077046549</v>
      </c>
      <c r="BF1175" s="12" t="n">
        <f>IF(COUNT(BD1175:BE1175)&lt;&gt;2,"",IF(AND(BD1175&gt;0,BE1175&gt;0),0.7*AW1175/BD1175+0.3*BA1175/BE1175,IF(BD1175&gt;0,AW1175/BD1175,IF(BE1175&gt;0,BA1175/BE1175,IF(AND(ISNUMBER(BH1175),BH1175=0),0,"")))))</f>
        <v>0.4572057277982133</v>
      </c>
      <c r="BG1175" s="11" t="n">
        <f>IF(AND(COUNT(BN1175:BU1175)=8,MIN(BN1175:BU1175)&gt;=0),SUMPRODUCT(BN1175:BQ1175,BR1175:BU1175),"")</f>
        <v>78.35892944347341</v>
      </c>
      <c r="BH1175" s="11" t="n">
        <f>IF(COUNT(BC1175,BG1175)=2,BC1175*BG1175,"")</f>
        <v>10.6580240384761</v>
      </c>
      <c r="BI1175" s="11" t="n">
        <f>IF(ISNUMBER(CI1175),CI1175,"")</f>
        <v>4.8729096374023175</v>
      </c>
      <c r="BJ1175" s="8" t="str"/>
      <c r="BK1175" s="8" t="str">
        <v>90天：2026-07-20 至 2026-10-17；180天：2026-04-21 至 2026-10-17</v>
      </c>
      <c r="BL1175" s="8" t="str">
        <v>90天：2026-10-06、2026-10-07、2026-10-12、2026-10-13、2026-10-16；180天：2026-10-06、2026-10-07、2026-10-12、2026-10-13、2026-10-16</v>
      </c>
      <c r="BM1175" s="8" t="str">
        <v>2026-10：12天 × 0.7307750238224848；2026-11：30天 × 0.9523018155490097；2026-12：31天 × 0.5958545198749097；2027-01：17天 × 1.3264167397065354</v>
      </c>
      <c r="BN1175" s="11" t="n">
        <v>0.7307750238224848</v>
      </c>
      <c r="BO1175" s="11" t="n">
        <v>0.9523018155490097</v>
      </c>
      <c r="BP1175" s="11" t="n">
        <v>0.5958545198749097</v>
      </c>
      <c r="BQ1175" s="11" t="n">
        <v>1.3264167397065354</v>
      </c>
      <c r="BR1175" s="8" t="n">
        <v>12</v>
      </c>
      <c r="BS1175" s="8" t="n">
        <v>30</v>
      </c>
      <c r="BT1175" s="8" t="n">
        <v>31</v>
      </c>
      <c r="BU1175" s="8" t="n">
        <v>17</v>
      </c>
      <c r="BV1175" s="11" t="n">
        <f>IF(COUNT(BC1175,BF1175)=2,BC1175*BF1175,"")</f>
        <v>0.06218703690837862</v>
      </c>
      <c r="BW1175" s="11" t="n">
        <f>IF(ISNUMBER(BN1175),BN1175,"")</f>
        <v>0.7307750238224848</v>
      </c>
      <c r="BX1175" s="14" t="n">
        <f>IF(ISNUMBER(BR1175),BR1175,"")</f>
        <v>12</v>
      </c>
      <c r="BY1175" s="13" t="n">
        <f>IF(AND(COUNT(BV1175,BW1175,BX1175)=3,MIN(BV1175,BW1175,BX1175)&gt;=0),BV1175*BW1175*BX1175,"")</f>
        <v>0.5453368005380416</v>
      </c>
      <c r="BZ1175" s="11" t="n">
        <f>IF(ISNUMBER(BO1175),BO1175,"")</f>
        <v>0.9523018155490097</v>
      </c>
      <c r="CA1175" s="14" t="n">
        <f>IF(ISNUMBER(BS1175),BS1175,"")</f>
        <v>30</v>
      </c>
      <c r="CB1175" s="13" t="n">
        <f>IF(AND(COUNT(BV1175,BZ1175,CA1175)=3,MIN(BV1175,BZ1175,CA1175)&gt;=0),BV1175*BZ1175*CA1175,"")</f>
        <v>1.7766248445438673</v>
      </c>
      <c r="CC1175" s="11" t="n">
        <f>IF(ISNUMBER(BP1175),BP1175,"")</f>
        <v>0.5958545198749097</v>
      </c>
      <c r="CD1175" s="14" t="n">
        <f>IF(ISNUMBER(BT1175),BT1175,"")</f>
        <v>31</v>
      </c>
      <c r="CE1175" s="13" t="n">
        <f>IF(AND(COUNT(BV1175,CC1175,CD1175)=3,MIN(BV1175,CC1175,CD1175)&gt;=0),BV1175*CC1175*CD1175,"")</f>
        <v>1.1486872376040422</v>
      </c>
      <c r="CF1175" s="11" t="n">
        <f>IF(ISNUMBER(BQ1175),BQ1175,"")</f>
        <v>1.3264167397065354</v>
      </c>
      <c r="CG1175" s="14" t="n">
        <f>IF(ISNUMBER(BU1175),BU1175,"")</f>
        <v>17</v>
      </c>
      <c r="CH1175" s="13" t="n">
        <f>IF(AND(COUNT(BV1175,CF1175,CG1175)=3,MIN(BV1175,CF1175,CG1175)&gt;=0),BV1175*CF1175*CG1175,"")</f>
        <v>1.4022607547163666</v>
      </c>
      <c r="CI1175" s="13" t="n">
        <f>IF(COUNT(BY1175,CB1175,CE1175,CH1175)=4,SUM(BY1175,CB1175,CE1175,CH1175),"")</f>
        <v>4.8729096374023175</v>
      </c>
    </row>
    <row r="1176" ht="72" customHeight="1">
      <c r="A1176" s="16" t="str">
        <v>B07-ND-I-0-37.5</v>
      </c>
      <c r="B1176" s="16" t="str">
        <v>4店-彬郁-US</v>
      </c>
      <c r="C1176" s="16" t="str">
        <v>艾年</v>
      </c>
      <c r="D1176" s="26" t="str">
        <f>IF(NOT(ISNUMBER(E1176)),"",IF(OR(E1176&lt;=0,L1176=0),0,IF(OR(NOT(ISNUMBER(F1176)),F1176&lt;0),"",MIN(E1176,INT(F1176)))))</f>
      </c>
      <c r="E1176" s="27" t="n">
        <f>IF(OR(NOT(ISNUMBER(L1176)),COUNT(M1176:O1176)&lt;&gt;3,MIN(M1176:O1176)&lt;0),"",ROUNDUP(ROUND(BI1176-SUM(M1176:O1176),10),0))</f>
        <v>5</v>
      </c>
      <c r="F1176" s="28"/>
      <c r="G1176" s="28" t="str">
        <f>IF(AND(ISNUMBER(D1176),ISNUMBER(E1176)),IF(OR(E1176&lt;=0,L1176=0),0,E1176-D1176),"")</f>
      </c>
      <c r="H1176" s="16" t="str">
        <f>IF(NOT(ISNUMBER(E1176)),"销量或海外库存待补",IF(OR(E1176&lt;=0,L1176=0),IF(L1176=0,"零日销，本批不发","本批无需补货"),IF(NOT(ISNUMBER(D1176)),"国内库存待补",IF(D1176=0,"国内无可用库存",IF(G1176&gt;0,"先发国内现货","按建议量发货")))))</f>
        <v>国内库存待补</v>
      </c>
      <c r="I1176" s="28" t="n">
        <f>IF(AND(COUNT(Z1176,AA1176,AB1176)=3,Z1176&gt;=AA1176,AA1176&gt;=0,AB1176=7),Z1176-AA1176,"")</f>
        <v>0</v>
      </c>
      <c r="J1176" s="28" t="n">
        <f>IF(AND(COUNT(AF1176,AG1176,AH1176)=3,AF1176&gt;=AG1176,AG1176&gt;=0,AH1176=14),AF1176-AG1176,"")</f>
        <v>0</v>
      </c>
      <c r="K1176" s="28" t="n">
        <f>IF(AND(COUNT(AL1176,AM1176,AN1176)=3,AL1176&gt;=AM1176,AM1176&gt;=0,AN1176=30),AL1176-AM1176,"")</f>
        <v>1</v>
      </c>
      <c r="L1176" s="29" t="n">
        <f>IF(ISNUMBER(BI1176),BI1176/90,"")</f>
        <v>0.048729876799880695</v>
      </c>
      <c r="M1176" s="28" t="n">
        <v>0</v>
      </c>
      <c r="N1176" s="28" t="n">
        <v>0</v>
      </c>
      <c r="O1176" s="28" t="n">
        <v>0</v>
      </c>
      <c r="P1176" s="30" t="n">
        <f>IF(AND(ISNUMBER(L1176),L1176&gt;0,COUNT(M1176:O1176)=3,MIN(M1176:O1176)&gt;=0),SUM(M1176:O1176)/L1176,"")</f>
        <v>0</v>
      </c>
      <c r="Q1176" s="16" t="str">
        <v>沿用原计划SKU店铺</v>
      </c>
      <c r="R1176" s="16" t="str">
        <v>未匹配</v>
      </c>
      <c r="S1176" s="16" t="str">
        <v>停售</v>
      </c>
      <c r="T1176" s="16" t="str">
        <v>B07</v>
      </c>
      <c r="U1176" s="16" t="str">
        <v>裸色色织提花</v>
      </c>
      <c r="V1176" s="16" t="n">
        <v>6.5</v>
      </c>
      <c r="W1176" s="8" t="str">
        <v>2026-10-08 至 2026-10-17</v>
      </c>
      <c r="X1176" s="8" t="str">
        <v>2026-10-08、2026-10-09、2026-10-10、2026-10-11、2026-10-14、2026-10-15、2026-10-17</v>
      </c>
      <c r="Y1176" s="8" t="str">
        <v>2026-10-12 有记录的停售日；2026-10-13 有记录的停售日；2026-10-16 有记录的停售日</v>
      </c>
      <c r="Z1176" s="8" t="n">
        <v>0</v>
      </c>
      <c r="AA1176" s="8" t="n">
        <v>0</v>
      </c>
      <c r="AB1176" s="8" t="n">
        <v>7</v>
      </c>
      <c r="AC1176" s="8" t="str">
        <v>2026-09-29 至 2026-10-17</v>
      </c>
      <c r="AD1176" s="8" t="str">
        <v>2026-09-29、2026-09-30、2026-10-01、2026-10-02、2026-10-03、2026-10-04、2026-10-05、2026-10-08、2026-10-09、2026-10-10、2026-10-11、2026-10-14、2026-10-15、2026-10-17</v>
      </c>
      <c r="AE1176" s="8" t="str">
        <v>2026-10-06 大促；2026-10-07 大促；2026-10-12 有记录的停售日；2026-10-13 有记录的停售日；2026-10-16 有记录的停售日</v>
      </c>
      <c r="AF1176" s="8" t="n">
        <v>0</v>
      </c>
      <c r="AG1176" s="8" t="n">
        <v>0</v>
      </c>
      <c r="AH1176" s="8" t="n">
        <v>14</v>
      </c>
      <c r="AI1176" s="8" t="str">
        <v>2026-09-13 至 2026-10-17</v>
      </c>
      <c r="AJ117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76" s="8" t="str">
        <v>2026-10-06 大促；2026-10-07 大促；2026-10-12 有记录的停售日；2026-10-13 有记录的停售日；2026-10-16 有记录的停售日</v>
      </c>
      <c r="AL1176" s="8" t="n">
        <v>1</v>
      </c>
      <c r="AM1176" s="8" t="n">
        <v>0</v>
      </c>
      <c r="AN1176" s="8" t="n">
        <v>30</v>
      </c>
      <c r="AO1176" s="8" t="str">
        <v>B07 / 裸色镜面PU / 13306</v>
      </c>
      <c r="AP1176" s="11" t="n">
        <v>0.7307750238224848</v>
      </c>
      <c r="AQ1176" s="11" t="n">
        <v>0.7348338471341894</v>
      </c>
      <c r="AR1176" s="11" t="n">
        <v>0.7478220817316438</v>
      </c>
      <c r="AS1176" s="11" t="n">
        <f>IF(AND(COUNT(I1176:K1176,AP1176:AR1176)=6,MIN(AP1176:AR1176)&gt;0),I1176/7/AP1176*0.5+J1176/14/AQ1176*0.3+K1176/30/AR1176*0.2,"")</f>
        <v>0.008914776428143777</v>
      </c>
      <c r="AT1176" s="8" t="n">
        <v>3</v>
      </c>
      <c r="AU1176" s="8" t="n">
        <v>0</v>
      </c>
      <c r="AV1176" s="8" t="n">
        <v>85</v>
      </c>
      <c r="AW1176" s="11" t="n">
        <f>IF(AND(COUNT(AT1176:AV1176)=3,AT1176&gt;=AU1176,AU1176&gt;=0,AV1176&gt;0),(AT1176-AU1176)/AV1176,"")</f>
        <v>0.03529411764705882</v>
      </c>
      <c r="AX1176" s="8" t="n">
        <v>4</v>
      </c>
      <c r="AY1176" s="8" t="n">
        <v>0</v>
      </c>
      <c r="AZ1176" s="8" t="n">
        <v>175</v>
      </c>
      <c r="BA1176" s="11" t="n">
        <f>IF(AND(COUNT(AX1176:AZ1176)=3,AX1176&gt;=AY1176,AY1176&gt;=0,AZ1176&gt;0),(AX1176-AY1176)/AZ1176,"")</f>
        <v>0.022857142857142857</v>
      </c>
      <c r="BB1176" s="8" t="n">
        <f>IF(COUNT(AS1176,AW1176,BA1176)=3,1,0)</f>
        <v>1</v>
      </c>
      <c r="BC1176" s="11" t="n">
        <f>IF(SUMIF($AO$11:$AO$1309,AO1176,$BB$11:$BB$1309)=COUNTIF($AO$11:$AO$1309,AO1176),SUMIF($AO$11:$AO$1309,AO1176,$AS$11:$AS$1309),"")</f>
        <v>0.683212878207941</v>
      </c>
      <c r="BD1176" s="11" t="n">
        <f>IF(SUMIF($AO$11:$AO$1309,AO1176,$BB$11:$BB$1309)=COUNTIF($AO$11:$AO$1309,AO1176),SUMIF($AO$11:$AO$1309,AO1176,$AW$11:$AW$1309),"")</f>
        <v>0.3772696182066906</v>
      </c>
      <c r="BE1176" s="11" t="n">
        <f>IF(SUMIF($AO$11:$AO$1309,AO1176,$BB$11:$BB$1309)=COUNTIF($AO$11:$AO$1309,AO1176),SUMIF($AO$11:$AO$1309,AO1176,$BA$11:$BA$1309),"")</f>
        <v>0.41723770611411054</v>
      </c>
      <c r="BF1176" s="12" t="n">
        <f>IF(COUNT(BD1176:BE1176)&lt;&gt;2,"",IF(AND(BD1176&gt;0,BE1176&gt;0),0.7*AW1176/BD1176+0.3*BA1176/BE1176,IF(BD1176&gt;0,AW1176/BD1176,IF(BE1176&gt;0,BA1176/BE1176,IF(AND(ISNUMBER(BH1176),BH1176=0),0,"")))))</f>
        <v>0.08192063025941126</v>
      </c>
      <c r="BG1176" s="11" t="n">
        <f>IF(AND(COUNT(BN1176:BU1176)=8,MIN(BN1176:BU1176)&gt;=0),SUMPRODUCT(BN1176:BQ1176,BR1176:BU1176),"")</f>
        <v>78.35892944347341</v>
      </c>
      <c r="BH1176" s="11" t="n">
        <f>IF(COUNT(BC1176,BG1176)=2,BC1176*BG1176,"")</f>
        <v>53.53582971836844</v>
      </c>
      <c r="BI1176" s="11" t="n">
        <f>IF(ISNUMBER(CI1176),CI1176,"")</f>
        <v>4.385688911989263</v>
      </c>
      <c r="BJ1176" s="8" t="str"/>
      <c r="BK1176" s="8" t="str">
        <v>90天：2026-07-20 至 2026-10-17；180天：2026-04-21 至 2026-10-17</v>
      </c>
      <c r="BL1176" s="8" t="str">
        <v>90天：2026-10-06、2026-10-07、2026-10-12、2026-10-13、2026-10-16；180天：2026-10-06、2026-10-07、2026-10-12、2026-10-13、2026-10-16</v>
      </c>
      <c r="BM1176" s="8" t="str">
        <v>2026-10：12天 × 0.7307750238224848；2026-11：30天 × 0.9523018155490097；2026-12：31天 × 0.5958545198749097；2027-01：17天 × 1.3264167397065354</v>
      </c>
      <c r="BN1176" s="11" t="n">
        <v>0.7307750238224848</v>
      </c>
      <c r="BO1176" s="11" t="n">
        <v>0.9523018155490097</v>
      </c>
      <c r="BP1176" s="11" t="n">
        <v>0.5958545198749097</v>
      </c>
      <c r="BQ1176" s="11" t="n">
        <v>1.3264167397065354</v>
      </c>
      <c r="BR1176" s="8" t="n">
        <v>12</v>
      </c>
      <c r="BS1176" s="8" t="n">
        <v>30</v>
      </c>
      <c r="BT1176" s="8" t="n">
        <v>31</v>
      </c>
      <c r="BU1176" s="8" t="n">
        <v>17</v>
      </c>
      <c r="BV1176" s="11" t="n">
        <f>IF(COUNT(BC1176,BF1176)=2,BC1176*BF1176,"")</f>
        <v>0.05596922958414091</v>
      </c>
      <c r="BW1176" s="11" t="n">
        <f>IF(ISNUMBER(BN1176),BN1176,"")</f>
        <v>0.7307750238224848</v>
      </c>
      <c r="BX1176" s="14" t="n">
        <f>IF(ISNUMBER(BR1176),BR1176,"")</f>
        <v>12</v>
      </c>
      <c r="BY1176" s="13" t="n">
        <f>IF(AND(COUNT(BV1176,BW1176,BX1176)=3,MIN(BV1176,BW1176,BX1176)&gt;=0),BV1176*BW1176*BX1176,"")</f>
        <v>0.49081098099212034</v>
      </c>
      <c r="BZ1176" s="11" t="n">
        <f>IF(ISNUMBER(BO1176),BO1176,"")</f>
        <v>0.9523018155490097</v>
      </c>
      <c r="CA1176" s="14" t="n">
        <f>IF(ISNUMBER(BS1176),BS1176,"")</f>
        <v>30</v>
      </c>
      <c r="CB1176" s="13" t="n">
        <f>IF(AND(COUNT(BV1176,BZ1176,CA1176)=3,MIN(BV1176,BZ1176,CA1176)&gt;=0),BV1176*BZ1176*CA1176,"")</f>
        <v>1.598987968435702</v>
      </c>
      <c r="CC1176" s="11" t="n">
        <f>IF(ISNUMBER(BP1176),BP1176,"")</f>
        <v>0.5958545198749097</v>
      </c>
      <c r="CD1176" s="14" t="n">
        <f>IF(ISNUMBER(BT1176),BT1176,"")</f>
        <v>31</v>
      </c>
      <c r="CE1176" s="13" t="n">
        <f>IF(AND(COUNT(BV1176,CC1176,CD1176)=3,MIN(BV1176,CC1176,CD1176)&gt;=0),BV1176*CC1176*CD1176,"")</f>
        <v>1.0338350710704332</v>
      </c>
      <c r="CF1176" s="11" t="n">
        <f>IF(ISNUMBER(BQ1176),BQ1176,"")</f>
        <v>1.3264167397065354</v>
      </c>
      <c r="CG1176" s="14" t="n">
        <f>IF(ISNUMBER(BU1176),BU1176,"")</f>
        <v>17</v>
      </c>
      <c r="CH1176" s="13" t="n">
        <f>IF(AND(COUNT(BV1176,CF1176,CG1176)=3,MIN(BV1176,CF1176,CG1176)&gt;=0),BV1176*CF1176*CG1176,"")</f>
        <v>1.2620548914910068</v>
      </c>
      <c r="CI1176" s="13" t="n">
        <f>IF(COUNT(BY1176,CB1176,CE1176,CH1176)=4,SUM(BY1176,CB1176,CE1176,CH1176),"")</f>
        <v>4.385688911989263</v>
      </c>
    </row>
    <row r="1177" ht="72" customHeight="1">
      <c r="A1177" s="16" t="str">
        <v>B07-PK-37.5</v>
      </c>
      <c r="B1177" s="16" t="str">
        <v>4店-彬郁-US</v>
      </c>
      <c r="C1177" s="16" t="str">
        <v>艾年</v>
      </c>
      <c r="D1177" s="26" t="str">
        <f>IF(NOT(ISNUMBER(E1177)),"",IF(OR(E1177&lt;=0,L1177=0),0,IF(OR(NOT(ISNUMBER(F1177)),F1177&lt;0),"",MIN(E1177,INT(F1177)))))</f>
      </c>
      <c r="E1177" s="27" t="n">
        <f>IF(OR(NOT(ISNUMBER(L1177)),COUNT(M1177:O1177)&lt;&gt;3,MIN(M1177:O1177)&lt;0),"",ROUNDUP(ROUND(BI1177-SUM(M1177:O1177),10),0))</f>
        <v>4</v>
      </c>
      <c r="F1177" s="28"/>
      <c r="G1177" s="28" t="str">
        <f>IF(AND(ISNUMBER(D1177),ISNUMBER(E1177)),IF(OR(E1177&lt;=0,L1177=0),0,E1177-D1177),"")</f>
      </c>
      <c r="H1177" s="16" t="str">
        <f>IF(NOT(ISNUMBER(E1177)),"销量或海外库存待补",IF(OR(E1177&lt;=0,L1177=0),IF(L1177=0,"零日销，本批不发","本批无需补货"),IF(NOT(ISNUMBER(D1177)),"国内库存待补",IF(D1177=0,"国内无可用库存",IF(G1177&gt;0,"先发国内现货","按建议量发货")))))</f>
        <v>国内库存待补</v>
      </c>
      <c r="I1177" s="28" t="n">
        <f>IF(AND(COUNT(Z1177,AA1177,AB1177)=3,Z1177&gt;=AA1177,AA1177&gt;=0,AB1177=7),Z1177-AA1177,"")</f>
        <v>1</v>
      </c>
      <c r="J1177" s="28" t="n">
        <f>IF(AND(COUNT(AF1177,AG1177,AH1177)=3,AF1177&gt;=AG1177,AG1177&gt;=0,AH1177=14),AF1177-AG1177,"")</f>
        <v>2</v>
      </c>
      <c r="K1177" s="28" t="n">
        <f>IF(AND(COUNT(AL1177,AM1177,AN1177)=3,AL1177&gt;=AM1177,AM1177&gt;=0,AN1177=30),AL1177-AM1177,"")</f>
        <v>2</v>
      </c>
      <c r="L1177" s="29" t="n">
        <f>IF(ISNUMBER(BI1177),BI1177/90,"")</f>
        <v>0.07047845509949234</v>
      </c>
      <c r="M1177" s="28" t="n">
        <v>3</v>
      </c>
      <c r="N1177" s="28" t="n">
        <v>0</v>
      </c>
      <c r="O1177" s="28" t="n">
        <v>0</v>
      </c>
      <c r="P1177" s="30" t="n">
        <f>IF(AND(ISNUMBER(L1177),L1177&gt;0,COUNT(M1177:O1177)=3,MIN(M1177:O1177)&gt;=0),SUM(M1177:O1177)/L1177,"")</f>
        <v>42.56619978069878</v>
      </c>
      <c r="Q1177" s="16" t="str">
        <v>沿用原计划SKU店铺</v>
      </c>
      <c r="R1177" s="16" t="str">
        <v>未匹配</v>
      </c>
      <c r="S1177" s="16" t="str">
        <v>在售</v>
      </c>
      <c r="T1177" s="16" t="str">
        <v>B07</v>
      </c>
      <c r="U1177" s="16" t="str">
        <v>粉色羊京绒</v>
      </c>
      <c r="V1177" s="16" t="n">
        <v>6.5</v>
      </c>
      <c r="W1177" s="8" t="str">
        <v>2026-10-11 至 2026-10-17</v>
      </c>
      <c r="X1177" s="8" t="str">
        <v>2026-10-11、2026-10-12、2026-10-13、2026-10-14、2026-10-15、2026-10-16、2026-10-17</v>
      </c>
      <c r="Y1177" s="8" t="str">
        <v>无</v>
      </c>
      <c r="Z1177" s="8" t="n">
        <v>1</v>
      </c>
      <c r="AA1177" s="8" t="n">
        <v>0</v>
      </c>
      <c r="AB1177" s="8" t="n">
        <v>7</v>
      </c>
      <c r="AC1177" s="8" t="str">
        <v>2026-10-02 至 2026-10-17</v>
      </c>
      <c r="AD1177" s="8" t="str">
        <v>2026-10-02、2026-10-03、2026-10-04、2026-10-05、2026-10-08、2026-10-09、2026-10-10、2026-10-11、2026-10-12、2026-10-13、2026-10-14、2026-10-15、2026-10-16、2026-10-17</v>
      </c>
      <c r="AE1177" s="8" t="str">
        <v>2026-10-06 大促；2026-10-07 大促</v>
      </c>
      <c r="AF1177" s="8" t="n">
        <v>3</v>
      </c>
      <c r="AG1177" s="8" t="n">
        <v>1</v>
      </c>
      <c r="AH1177" s="8" t="n">
        <v>14</v>
      </c>
      <c r="AI1177" s="8" t="str">
        <v>2026-09-16 至 2026-10-17</v>
      </c>
      <c r="AJ11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77" s="8" t="str">
        <v>2026-10-06 大促；2026-10-07 大促</v>
      </c>
      <c r="AL1177" s="8" t="n">
        <v>3</v>
      </c>
      <c r="AM1177" s="8" t="n">
        <v>1</v>
      </c>
      <c r="AN1177" s="8" t="n">
        <v>30</v>
      </c>
      <c r="AO1177" s="8" t="str">
        <v>B07 / 粉色羊京绒 / 13306</v>
      </c>
      <c r="AP1177" s="11" t="n">
        <v>0.7307750238224848</v>
      </c>
      <c r="AQ1177" s="11" t="n">
        <v>0.7307750238224848</v>
      </c>
      <c r="AR1177" s="11" t="n">
        <v>0.7449809054134506</v>
      </c>
      <c r="AS1177" s="11" t="n">
        <f>IF(AND(COUNT(I1177:K1177,AP1177:AR1177)=6,MIN(AP1177:AR1177)&gt;0),I1177/7/AP1177*0.5+J1177/14/AQ1177*0.3+K1177/30/AR1177*0.2,"")</f>
        <v>0.1742872881321021</v>
      </c>
      <c r="AT1177" s="8" t="n">
        <v>5</v>
      </c>
      <c r="AU1177" s="8" t="n">
        <v>1</v>
      </c>
      <c r="AV1177" s="8" t="n">
        <v>88</v>
      </c>
      <c r="AW1177" s="11" t="n">
        <f>IF(AND(COUNT(AT1177:AV1177)=3,AT1177&gt;=AU1177,AU1177&gt;=0,AV1177&gt;0),(AT1177-AU1177)/AV1177,"")</f>
        <v>0.045454545454545456</v>
      </c>
      <c r="AX1177" s="8" t="n">
        <v>8</v>
      </c>
      <c r="AY1177" s="8" t="n">
        <v>1</v>
      </c>
      <c r="AZ1177" s="8" t="n">
        <v>178</v>
      </c>
      <c r="BA1177" s="11" t="n">
        <f>IF(AND(COUNT(AX1177:AZ1177)=3,AX1177&gt;=AY1177,AY1177&gt;=0,AZ1177&gt;0),(AX1177-AY1177)/AZ1177,"")</f>
        <v>0.03932584269662921</v>
      </c>
      <c r="BB1177" s="8" t="n">
        <f>IF(COUNT(AS1177,AW1177,BA1177)=3,1,0)</f>
        <v>1</v>
      </c>
      <c r="BC1177" s="11" t="n">
        <f>IF(SUMIF($AO$11:$AO$1309,AO1177,$BB$11:$BB$1309)=COUNTIF($AO$11:$AO$1309,AO1177),SUMIF($AO$11:$AO$1309,AO1177,$AS$11:$AS$1309),"")</f>
        <v>0.4047439777447489</v>
      </c>
      <c r="BD1177" s="11" t="n">
        <f>IF(SUMIF($AO$11:$AO$1309,AO1177,$BB$11:$BB$1309)=COUNTIF($AO$11:$AO$1309,AO1177),SUMIF($AO$11:$AO$1309,AO1177,$AW$11:$AW$1309),"")</f>
        <v>0.22727272727272724</v>
      </c>
      <c r="BE1177" s="11" t="n">
        <f>IF(SUMIF($AO$11:$AO$1309,AO1177,$BB$11:$BB$1309)=COUNTIF($AO$11:$AO$1309,AO1177),SUMIF($AO$11:$AO$1309,AO1177,$BA$11:$BA$1309),"")</f>
        <v>0.19662921348314605</v>
      </c>
      <c r="BF1177" s="12" t="n">
        <f>IF(COUNT(BD1177:BE1177)&lt;&gt;2,"",IF(AND(BD1177&gt;0,BE1177&gt;0),0.7*AW1177/BD1177+0.3*BA1177/BE1177,IF(BD1177&gt;0,AW1177/BD1177,IF(BE1177&gt;0,BA1177/BE1177,IF(AND(ISNUMBER(BH1177),BH1177=0),0,"")))))</f>
        <v>0.2</v>
      </c>
      <c r="BG1177" s="11" t="n">
        <f>IF(AND(COUNT(BN1177:BU1177)=8,MIN(BN1177:BU1177)&gt;=0),SUMPRODUCT(BN1177:BQ1177,BR1177:BU1177),"")</f>
        <v>78.35892944347341</v>
      </c>
      <c r="BH1177" s="11" t="n">
        <f>IF(COUNT(BC1177,BG1177)=2,BC1177*BG1177,"")</f>
        <v>31.715304794771555</v>
      </c>
      <c r="BI1177" s="11" t="n">
        <f>IF(ISNUMBER(CI1177),CI1177,"")</f>
        <v>6.343060958954311</v>
      </c>
      <c r="BJ1177" s="8" t="str">
        <v>近180天本色销量36双（＜90），无有效新采购，请运营判断</v>
      </c>
      <c r="BK1177" s="8" t="str">
        <v>90天：2026-07-20 至 2026-10-17；180天：2026-04-21 至 2026-10-17</v>
      </c>
      <c r="BL1177" s="8" t="str">
        <v>90天：2026-10-06、2026-10-07；180天：2026-10-06、2026-10-07</v>
      </c>
      <c r="BM1177" s="8" t="str">
        <v>2026-10：12天 × 0.7307750238224848；2026-11：30天 × 0.9523018155490097；2026-12：31天 × 0.5958545198749097；2027-01：17天 × 1.3264167397065354</v>
      </c>
      <c r="BN1177" s="11" t="n">
        <v>0.7307750238224848</v>
      </c>
      <c r="BO1177" s="11" t="n">
        <v>0.9523018155490097</v>
      </c>
      <c r="BP1177" s="11" t="n">
        <v>0.5958545198749097</v>
      </c>
      <c r="BQ1177" s="11" t="n">
        <v>1.3264167397065354</v>
      </c>
      <c r="BR1177" s="8" t="n">
        <v>12</v>
      </c>
      <c r="BS1177" s="8" t="n">
        <v>30</v>
      </c>
      <c r="BT1177" s="8" t="n">
        <v>31</v>
      </c>
      <c r="BU1177" s="8" t="n">
        <v>17</v>
      </c>
      <c r="BV1177" s="11" t="n">
        <f>IF(COUNT(BC1177,BF1177)=2,BC1177*BF1177,"")</f>
        <v>0.08094879554894979</v>
      </c>
      <c r="BW1177" s="11" t="n">
        <f>IF(ISNUMBER(BN1177),BN1177,"")</f>
        <v>0.7307750238224848</v>
      </c>
      <c r="BX1177" s="14" t="n">
        <f>IF(ISNUMBER(BR1177),BR1177,"")</f>
        <v>12</v>
      </c>
      <c r="BY1177" s="13" t="n">
        <f>IF(AND(COUNT(BV1177,BW1177,BX1177)=3,MIN(BV1177,BW1177,BX1177)&gt;=0),BV1177*BW1177*BX1177,"")</f>
        <v>0.7098642959482229</v>
      </c>
      <c r="BZ1177" s="11" t="n">
        <f>IF(ISNUMBER(BO1177),BO1177,"")</f>
        <v>0.9523018155490097</v>
      </c>
      <c r="CA1177" s="14" t="n">
        <f>IF(ISNUMBER(BS1177),BS1177,"")</f>
        <v>30</v>
      </c>
      <c r="CB1177" s="13" t="n">
        <f>IF(AND(COUNT(BV1177,BZ1177,CA1177)=3,MIN(BV1177,BZ1177,CA1177)&gt;=0),BV1177*BZ1177*CA1177,"")</f>
        <v>2.3126305490331145</v>
      </c>
      <c r="CC1177" s="11" t="n">
        <f>IF(ISNUMBER(BP1177),BP1177,"")</f>
        <v>0.5958545198749097</v>
      </c>
      <c r="CD1177" s="14" t="n">
        <f>IF(ISNUMBER(BT1177),BT1177,"")</f>
        <v>31</v>
      </c>
      <c r="CE1177" s="13" t="n">
        <f>IF(AND(COUNT(BV1177,CC1177,CD1177)=3,MIN(BV1177,CC1177,CD1177)&gt;=0),BV1177*CC1177*CD1177,"")</f>
        <v>1.4952448768944229</v>
      </c>
      <c r="CF1177" s="11" t="n">
        <f>IF(ISNUMBER(BQ1177),BQ1177,"")</f>
        <v>1.3264167397065354</v>
      </c>
      <c r="CG1177" s="14" t="n">
        <f>IF(ISNUMBER(BU1177),BU1177,"")</f>
        <v>17</v>
      </c>
      <c r="CH1177" s="13" t="n">
        <f>IF(AND(COUNT(BV1177,CF1177,CG1177)=3,MIN(BV1177,CF1177,CG1177)&gt;=0),BV1177*CF1177*CG1177,"")</f>
        <v>1.825321237078551</v>
      </c>
      <c r="CI1177" s="13" t="n">
        <f>IF(COUNT(BY1177,CB1177,CE1177,CH1177)=4,SUM(BY1177,CB1177,CE1177,CH1177),"")</f>
        <v>6.343060958954311</v>
      </c>
    </row>
    <row r="1178" ht="72" customHeight="1">
      <c r="A1178" s="16" t="str">
        <v>B06-MT-37-N</v>
      </c>
      <c r="B1178" s="16" t="str">
        <v>1店-MUSSHOE-US</v>
      </c>
      <c r="C1178" s="16" t="str">
        <v>艾年</v>
      </c>
      <c r="D1178" s="26" t="str">
        <f>IF(NOT(ISNUMBER(E1178)),"",IF(OR(E1178&lt;=0,L1178=0),0,IF(OR(NOT(ISNUMBER(F1178)),F1178&lt;0),"",MIN(E1178,INT(F1178)))))</f>
      </c>
      <c r="E1178" s="27" t="n">
        <f>IF(OR(NOT(ISNUMBER(L1178)),COUNT(M1178:O1178)&lt;&gt;3,MIN(M1178:O1178)&lt;0),"",ROUNDUP(ROUND(BI1178-SUM(M1178:O1178),10),0))</f>
        <v>3</v>
      </c>
      <c r="F1178" s="28"/>
      <c r="G1178" s="28" t="str">
        <f>IF(AND(ISNUMBER(D1178),ISNUMBER(E1178)),IF(OR(E1178&lt;=0,L1178=0),0,E1178-D1178),"")</f>
      </c>
      <c r="H1178" s="16" t="str">
        <f>IF(NOT(ISNUMBER(E1178)),"销量或海外库存待补",IF(OR(E1178&lt;=0,L1178=0),IF(L1178=0,"零日销，本批不发","本批无需补货"),IF(NOT(ISNUMBER(D1178)),"国内库存待补",IF(D1178=0,"国内无可用库存",IF(G1178&gt;0,"先发国内现货","按建议量发货")))))</f>
        <v>国内库存待补</v>
      </c>
      <c r="I1178" s="28" t="n">
        <f>IF(AND(COUNT(Z1178,AA1178,AB1178)=3,Z1178&gt;=AA1178,AA1178&gt;=0,AB1178=7),Z1178-AA1178,"")</f>
        <v>0</v>
      </c>
      <c r="J1178" s="28" t="n">
        <f>IF(AND(COUNT(AF1178,AG1178,AH1178)=3,AF1178&gt;=AG1178,AG1178&gt;=0,AH1178=14),AF1178-AG1178,"")</f>
        <v>0</v>
      </c>
      <c r="K1178" s="28" t="n">
        <f>IF(AND(COUNT(AL1178,AM1178,AN1178)=3,AL1178&gt;=AM1178,AM1178&gt;=0,AN1178=30),AL1178-AM1178,"")</f>
        <v>0</v>
      </c>
      <c r="L1178" s="29" t="n">
        <f>IF(ISNUMBER(BI1178),BI1178/90,"")</f>
        <v>0.02620515416332509</v>
      </c>
      <c r="M1178" s="28" t="n">
        <v>0</v>
      </c>
      <c r="N1178" s="28" t="n">
        <v>0</v>
      </c>
      <c r="O1178" s="28" t="n">
        <v>0</v>
      </c>
      <c r="P1178" s="30" t="n">
        <f>IF(AND(ISNUMBER(L1178),L1178&gt;0,COUNT(M1178:O1178)=3,MIN(M1178:O1178)&gt;=0),SUM(M1178:O1178)/L1178,"")</f>
        <v>0</v>
      </c>
      <c r="Q1178" s="16" t="str">
        <v>沿用原计划SKU店铺</v>
      </c>
      <c r="R1178" s="16" t="str">
        <v>未匹配</v>
      </c>
      <c r="S1178" s="16" t="str">
        <v>停售</v>
      </c>
      <c r="T1178" s="16" t="str">
        <v>B06</v>
      </c>
      <c r="U1178" s="16" t="str">
        <v>黄色羊京绒</v>
      </c>
      <c r="V1178" s="16" t="n">
        <v>6</v>
      </c>
      <c r="W1178" s="8" t="str">
        <v>2026-10-08 至 2026-10-17</v>
      </c>
      <c r="X1178" s="8" t="str">
        <v>2026-10-08、2026-10-09、2026-10-10、2026-10-11、2026-10-14、2026-10-15、2026-10-17</v>
      </c>
      <c r="Y1178" s="8" t="str">
        <v>2026-10-12 有记录的停售日；2026-10-13 有记录的停售日；2026-10-16 有记录的停售日</v>
      </c>
      <c r="Z1178" s="8" t="n">
        <v>0</v>
      </c>
      <c r="AA1178" s="8" t="n">
        <v>0</v>
      </c>
      <c r="AB1178" s="8" t="n">
        <v>7</v>
      </c>
      <c r="AC1178" s="8" t="str">
        <v>2026-09-29 至 2026-10-17</v>
      </c>
      <c r="AD1178" s="8" t="str">
        <v>2026-09-29、2026-09-30、2026-10-01、2026-10-02、2026-10-03、2026-10-04、2026-10-05、2026-10-08、2026-10-09、2026-10-10、2026-10-11、2026-10-14、2026-10-15、2026-10-17</v>
      </c>
      <c r="AE1178" s="8" t="str">
        <v>2026-10-06 大促；2026-10-07 大促；2026-10-12 有记录的停售日；2026-10-13 有记录的停售日；2026-10-16 有记录的停售日</v>
      </c>
      <c r="AF1178" s="8" t="n">
        <v>0</v>
      </c>
      <c r="AG1178" s="8" t="n">
        <v>0</v>
      </c>
      <c r="AH1178" s="8" t="n">
        <v>14</v>
      </c>
      <c r="AI1178" s="8" t="str">
        <v>2026-09-13 至 2026-10-17</v>
      </c>
      <c r="AJ117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78" s="8" t="str">
        <v>2026-10-06 大促；2026-10-07 大促；2026-10-12 有记录的停售日；2026-10-13 有记录的停售日；2026-10-16 有记录的停售日</v>
      </c>
      <c r="AL1178" s="8" t="n">
        <v>0</v>
      </c>
      <c r="AM1178" s="8" t="n">
        <v>0</v>
      </c>
      <c r="AN1178" s="8" t="n">
        <v>30</v>
      </c>
      <c r="AO1178" s="8" t="str">
        <v>B06 / 黄色羊京绒 / 13120</v>
      </c>
      <c r="AP1178" s="11" t="n">
        <v>1.2247029157699902</v>
      </c>
      <c r="AQ1178" s="11" t="n">
        <v>1.1929861014741694</v>
      </c>
      <c r="AR1178" s="11" t="n">
        <v>1.0914922957275428</v>
      </c>
      <c r="AS1178" s="11" t="n">
        <f>IF(AND(COUNT(I1178:K1178,AP1178:AR1178)=6,MIN(AP1178:AR1178)&gt;0),I1178/7/AP1178*0.5+J1178/14/AQ1178*0.3+K1178/30/AR1178*0.2,"")</f>
        <v>0</v>
      </c>
      <c r="AT1178" s="8" t="n">
        <v>1</v>
      </c>
      <c r="AU1178" s="8" t="n">
        <v>0</v>
      </c>
      <c r="AV1178" s="8" t="n">
        <v>85</v>
      </c>
      <c r="AW1178" s="11" t="n">
        <f>IF(AND(COUNT(AT1178:AV1178)=3,AT1178&gt;=AU1178,AU1178&gt;=0,AV1178&gt;0),(AT1178-AU1178)/AV1178,"")</f>
        <v>0.011764705882352941</v>
      </c>
      <c r="AX1178" s="8" t="n">
        <v>3</v>
      </c>
      <c r="AY1178" s="8" t="n">
        <v>0</v>
      </c>
      <c r="AZ1178" s="8" t="n">
        <v>175</v>
      </c>
      <c r="BA1178" s="11" t="n">
        <f>IF(AND(COUNT(AX1178:AZ1178)=3,AX1178&gt;=AY1178,AY1178&gt;=0,AZ1178&gt;0),(AX1178-AY1178)/AZ1178,"")</f>
        <v>0.017142857142857144</v>
      </c>
      <c r="BB1178" s="8" t="n">
        <f>IF(COUNT(AS1178,AW1178,BA1178)=3,1,0)</f>
        <v>1</v>
      </c>
      <c r="BC1178" s="11" t="n">
        <f>IF(SUMIF($AO$11:$AO$1309,AO1178,$BB$11:$BB$1309)=COUNTIF($AO$11:$AO$1309,AO1178),SUMIF($AO$11:$AO$1309,AO1178,$AS$11:$AS$1309),"")</f>
        <v>0.18709548187300423</v>
      </c>
      <c r="BD1178" s="11" t="n">
        <f>IF(SUMIF($AO$11:$AO$1309,AO1178,$BB$11:$BB$1309)=COUNTIF($AO$11:$AO$1309,AO1178),SUMIF($AO$11:$AO$1309,AO1178,$AW$11:$AW$1309),"")</f>
        <v>0.06858288770053475</v>
      </c>
      <c r="BE1178" s="11" t="n">
        <f>IF(SUMIF($AO$11:$AO$1309,AO1178,$BB$11:$BB$1309)=COUNTIF($AO$11:$AO$1309,AO1178),SUMIF($AO$11:$AO$1309,AO1178,$BA$11:$BA$1309),"")</f>
        <v>0.10141252006420545</v>
      </c>
      <c r="BF1178" s="12" t="n">
        <f>IF(COUNT(BD1178:BE1178)&lt;&gt;2,"",IF(AND(BD1178&gt;0,BE1178&gt;0),0.7*AW1178/BD1178+0.3*BA1178/BE1178,IF(BD1178&gt;0,AW1178/BD1178,IF(BE1178&gt;0,BA1178/BE1178,IF(AND(ISNUMBER(BH1178),BH1178=0),0,"")))))</f>
        <v>0.17079022342180236</v>
      </c>
      <c r="BG1178" s="11" t="n">
        <f>IF(AND(COUNT(BN1178:BU1178)=8,MIN(BN1178:BU1178)&gt;=0),SUMPRODUCT(BN1178:BQ1178,BR1178:BU1178),"")</f>
        <v>73.80791239847399</v>
      </c>
      <c r="BH1178" s="11" t="n">
        <f>IF(COUNT(BC1178,BG1178)=2,BC1178*BG1178,"")</f>
        <v>13.809126936232975</v>
      </c>
      <c r="BI1178" s="11" t="n">
        <f>IF(ISNUMBER(CI1178),CI1178,"")</f>
        <v>2.3584638746992583</v>
      </c>
      <c r="BJ1178" s="8" t="str">
        <v>低销提醒依据不完整</v>
      </c>
      <c r="BK1178" s="8" t="str">
        <v>90天：2026-07-20 至 2026-10-17；180天：2026-04-21 至 2026-10-17</v>
      </c>
      <c r="BL1178" s="8" t="str">
        <v>90天：2026-10-06、2026-10-07、2026-10-12、2026-10-13、2026-10-16；180天：2026-10-06、2026-10-07、2026-10-12、2026-10-13、2026-10-16</v>
      </c>
      <c r="BM1178" s="8" t="str">
        <v>2026-10：12天 × 1.2247029157699902；2026-11：30天 × 0.8332682139098497；2026-12：31天 × 0.5511018253564084；2027-01：17天 × 1.0017220238758797</v>
      </c>
      <c r="BN1178" s="11" t="n">
        <v>1.2247029157699902</v>
      </c>
      <c r="BO1178" s="11" t="n">
        <v>0.8332682139098497</v>
      </c>
      <c r="BP1178" s="11" t="n">
        <v>0.5511018253564084</v>
      </c>
      <c r="BQ1178" s="11" t="n">
        <v>1.0017220238758797</v>
      </c>
      <c r="BR1178" s="8" t="n">
        <v>12</v>
      </c>
      <c r="BS1178" s="8" t="n">
        <v>30</v>
      </c>
      <c r="BT1178" s="8" t="n">
        <v>31</v>
      </c>
      <c r="BU1178" s="8" t="n">
        <v>17</v>
      </c>
      <c r="BV1178" s="11" t="n">
        <f>IF(COUNT(BC1178,BF1178)=2,BC1178*BF1178,"")</f>
        <v>0.031954079150300164</v>
      </c>
      <c r="BW1178" s="11" t="n">
        <f>IF(ISNUMBER(BN1178),BN1178,"")</f>
        <v>1.2247029157699902</v>
      </c>
      <c r="BX1178" s="14" t="n">
        <f>IF(ISNUMBER(BR1178),BR1178,"")</f>
        <v>12</v>
      </c>
      <c r="BY1178" s="13" t="n">
        <f>IF(AND(COUNT(BV1178,BW1178,BX1178)=3,MIN(BV1178,BW1178,BX1178)&gt;=0),BV1178*BW1178*BX1178,"")</f>
        <v>0.46961104687341193</v>
      </c>
      <c r="BZ1178" s="11" t="n">
        <f>IF(ISNUMBER(BO1178),BO1178,"")</f>
        <v>0.8332682139098497</v>
      </c>
      <c r="CA1178" s="14" t="n">
        <f>IF(ISNUMBER(BS1178),BS1178,"")</f>
        <v>30</v>
      </c>
      <c r="CB1178" s="13" t="n">
        <f>IF(AND(COUNT(BV1178,BZ1178,CA1178)=3,MIN(BV1178,BZ1178,CA1178)&gt;=0),BV1178*BZ1178*CA1178,"")</f>
        <v>0.7987895538211376</v>
      </c>
      <c r="CC1178" s="11" t="n">
        <f>IF(ISNUMBER(BP1178),BP1178,"")</f>
        <v>0.5511018253564084</v>
      </c>
      <c r="CD1178" s="14" t="n">
        <f>IF(ISNUMBER(BT1178),BT1178,"")</f>
        <v>31</v>
      </c>
      <c r="CE1178" s="13" t="n">
        <f>IF(AND(COUNT(BV1178,CC1178,CD1178)=3,MIN(BV1178,CC1178,CD1178)&gt;=0),BV1178*CC1178*CD1178,"")</f>
        <v>0.5459084917667207</v>
      </c>
      <c r="CF1178" s="11" t="n">
        <f>IF(ISNUMBER(BQ1178),BQ1178,"")</f>
        <v>1.0017220238758797</v>
      </c>
      <c r="CG1178" s="14" t="n">
        <f>IF(ISNUMBER(BU1178),BU1178,"")</f>
        <v>17</v>
      </c>
      <c r="CH1178" s="13" t="n">
        <f>IF(AND(COUNT(BV1178,CF1178,CG1178)=3,MIN(BV1178,CF1178,CG1178)&gt;=0),BV1178*CF1178*CG1178,"")</f>
        <v>0.5441547822379884</v>
      </c>
      <c r="CI1178" s="13" t="n">
        <f>IF(COUNT(BY1178,CB1178,CE1178,CH1178)=4,SUM(BY1178,CB1178,CE1178,CH1178),"")</f>
        <v>2.3584638746992583</v>
      </c>
    </row>
    <row r="1179" ht="72" customHeight="1">
      <c r="A1179" s="16" t="str">
        <v>1S01-BKP-41.5</v>
      </c>
      <c r="B1179" s="16" t="str">
        <v>3店-SANDIEX-US</v>
      </c>
      <c r="C1179" s="16" t="str">
        <v>徐新怡</v>
      </c>
      <c r="D1179" s="26" t="str">
        <f>IF(NOT(ISNUMBER(E1179)),"",IF(OR(E1179&lt;=0,L1179=0),0,IF(OR(NOT(ISNUMBER(F1179)),F1179&lt;0),"",MIN(E1179,INT(F1179)))))</f>
      </c>
      <c r="E1179" s="27" t="n">
        <f>IF(OR(NOT(ISNUMBER(L1179)),COUNT(M1179:O1179)&lt;&gt;3,MIN(M1179:O1179)&lt;0),"",ROUNDUP(ROUND(BI1179-SUM(M1179:O1179),10),0))</f>
        <v>2</v>
      </c>
      <c r="F1179" s="28"/>
      <c r="G1179" s="28" t="str">
        <f>IF(AND(ISNUMBER(D1179),ISNUMBER(E1179)),IF(OR(E1179&lt;=0,L1179=0),0,E1179-D1179),"")</f>
      </c>
      <c r="H1179" s="16" t="str">
        <f>IF(NOT(ISNUMBER(E1179)),"销量或海外库存待补",IF(OR(E1179&lt;=0,L1179=0),IF(L1179=0,"零日销，本批不发","本批无需补货"),IF(NOT(ISNUMBER(D1179)),"国内库存待补",IF(D1179=0,"国内无可用库存",IF(G1179&gt;0,"先发国内现货","按建议量发货")))))</f>
        <v>国内库存待补</v>
      </c>
      <c r="I1179" s="28" t="n">
        <f>IF(AND(COUNT(Z1179,AA1179,AB1179)=3,Z1179&gt;=AA1179,AA1179&gt;=0,AB1179=7),Z1179-AA1179,"")</f>
        <v>0</v>
      </c>
      <c r="J1179" s="28" t="n">
        <f>IF(AND(COUNT(AF1179,AG1179,AH1179)=3,AF1179&gt;=AG1179,AG1179&gt;=0,AH1179=14),AF1179-AG1179,"")</f>
        <v>0</v>
      </c>
      <c r="K1179" s="28" t="n">
        <f>IF(AND(COUNT(AL1179,AM1179,AN1179)=3,AL1179&gt;=AM1179,AM1179&gt;=0,AN1179=30),AL1179-AM1179,"")</f>
        <v>0</v>
      </c>
      <c r="L1179" s="29" t="n">
        <f>IF(ISNUMBER(BI1179),BI1179/90,"")</f>
        <v>0.012933870123121204</v>
      </c>
      <c r="M1179" s="28" t="n">
        <v>0</v>
      </c>
      <c r="N1179" s="28" t="n">
        <v>0</v>
      </c>
      <c r="O1179" s="28" t="n">
        <v>0</v>
      </c>
      <c r="P1179" s="30" t="n">
        <f>IF(AND(ISNUMBER(L1179),L1179&gt;0,COUNT(M1179:O1179)=3,MIN(M1179:O1179)&gt;=0),SUM(M1179:O1179)/L1179,"")</f>
        <v>0</v>
      </c>
      <c r="Q1179" s="16" t="str">
        <v>沿用同SPU原计划店铺</v>
      </c>
      <c r="R1179" s="16" t="str">
        <v>未匹配</v>
      </c>
      <c r="S1179" s="16" t="str">
        <v>停售</v>
      </c>
      <c r="T1179" s="16" t="str">
        <v>1S01</v>
      </c>
      <c r="U1179" s="16" t="str">
        <v>黑色</v>
      </c>
      <c r="V1179" s="16" t="n">
        <v>10.5</v>
      </c>
      <c r="W1179" s="8" t="str">
        <v>2026-10-08 至 2026-10-17</v>
      </c>
      <c r="X1179" s="8" t="str">
        <v>2026-10-08、2026-10-09、2026-10-10、2026-10-11、2026-10-14、2026-10-15、2026-10-17</v>
      </c>
      <c r="Y1179" s="8" t="str">
        <v>2026-10-12 有记录的停售日；2026-10-13 有记录的停售日；2026-10-16 有记录的停售日</v>
      </c>
      <c r="Z1179" s="8" t="n">
        <v>0</v>
      </c>
      <c r="AA1179" s="8" t="n">
        <v>0</v>
      </c>
      <c r="AB1179" s="8" t="n">
        <v>7</v>
      </c>
      <c r="AC1179" s="8" t="str">
        <v>2026-09-29 至 2026-10-17</v>
      </c>
      <c r="AD1179" s="8" t="str">
        <v>2026-09-29、2026-09-30、2026-10-01、2026-10-02、2026-10-03、2026-10-04、2026-10-05、2026-10-08、2026-10-09、2026-10-10、2026-10-11、2026-10-14、2026-10-15、2026-10-17</v>
      </c>
      <c r="AE1179" s="8" t="str">
        <v>2026-10-06 大促；2026-10-07 大促；2026-10-12 有记录的停售日；2026-10-13 有记录的停售日；2026-10-16 有记录的停售日</v>
      </c>
      <c r="AF1179" s="8" t="n">
        <v>0</v>
      </c>
      <c r="AG1179" s="8" t="n">
        <v>0</v>
      </c>
      <c r="AH1179" s="8" t="n">
        <v>14</v>
      </c>
      <c r="AI1179" s="8" t="str">
        <v>2026-09-13 至 2026-10-17</v>
      </c>
      <c r="AJ117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79" s="8" t="str">
        <v>2026-10-06 大促；2026-10-07 大促；2026-10-12 有记录的停售日；2026-10-13 有记录的停售日；2026-10-16 有记录的停售日</v>
      </c>
      <c r="AL1179" s="8" t="n">
        <v>0</v>
      </c>
      <c r="AM1179" s="8" t="n">
        <v>0</v>
      </c>
      <c r="AN1179" s="8" t="n">
        <v>30</v>
      </c>
      <c r="AO1179" s="8" t="str">
        <v>1S01 / 黑色PU / 6574</v>
      </c>
      <c r="AP1179" s="11" t="n">
        <v>0.8729500662042875</v>
      </c>
      <c r="AQ1179" s="11" t="n">
        <v>0.9355747145678367</v>
      </c>
      <c r="AR1179" s="11" t="n">
        <v>1.135973589331194</v>
      </c>
      <c r="AS1179" s="11" t="n">
        <f>IF(AND(COUNT(I1179:K1179,AP1179:AR1179)=6,MIN(AP1179:AR1179)&gt;0),I1179/7/AP1179*0.5+J1179/14/AQ1179*0.3+K1179/30/AR1179*0.2,"")</f>
        <v>0</v>
      </c>
      <c r="AT1179" s="8" t="n">
        <v>0</v>
      </c>
      <c r="AU1179" s="8" t="n">
        <v>0</v>
      </c>
      <c r="AV1179" s="8" t="n">
        <v>85</v>
      </c>
      <c r="AW1179" s="11" t="n">
        <f>IF(AND(COUNT(AT1179:AV1179)=3,AT1179&gt;=AU1179,AU1179&gt;=0,AV1179&gt;0),(AT1179-AU1179)/AV1179,"")</f>
        <v>0</v>
      </c>
      <c r="AX1179" s="8" t="n">
        <v>10</v>
      </c>
      <c r="AY1179" s="8" t="n">
        <v>0</v>
      </c>
      <c r="AZ1179" s="8" t="n">
        <v>175</v>
      </c>
      <c r="BA1179" s="11" t="n">
        <f>IF(AND(COUNT(AX1179:AZ1179)=3,AX1179&gt;=AY1179,AY1179&gt;=0,AZ1179&gt;0),(AX1179-AY1179)/AZ1179,"")</f>
        <v>0.05714285714285714</v>
      </c>
      <c r="BB1179" s="8" t="n">
        <f>IF(COUNT(AS1179,AW1179,BA1179)=3,1,0)</f>
        <v>1</v>
      </c>
      <c r="BC1179" s="11" t="n">
        <f>IF(SUMIF($AO$11:$AO$1309,AO1179,$BB$11:$BB$1309)=COUNTIF($AO$11:$AO$1309,AO1179),SUMIF($AO$11:$AO$1309,AO1179,$AS$11:$AS$1309),"")</f>
        <v>0.35366223656175183</v>
      </c>
      <c r="BD1179" s="11" t="n">
        <f>IF(SUMIF($AO$11:$AO$1309,AO1179,$BB$11:$BB$1309)=COUNTIF($AO$11:$AO$1309,AO1179),SUMIF($AO$11:$AO$1309,AO1179,$AW$11:$AW$1309),"")</f>
        <v>0.25</v>
      </c>
      <c r="BE1179" s="11" t="n">
        <f>IF(SUMIF($AO$11:$AO$1309,AO1179,$BB$11:$BB$1309)=COUNTIF($AO$11:$AO$1309,AO1179),SUMIF($AO$11:$AO$1309,AO1179,$BA$11:$BA$1309),"")</f>
        <v>0.3330016051364366</v>
      </c>
      <c r="BF1179" s="12" t="n">
        <f>IF(COUNT(BD1179:BE1179)&lt;&gt;2,"",IF(AND(BD1179&gt;0,BE1179&gt;0),0.7*AW1179/BD1179+0.3*BA1179/BE1179,IF(BD1179&gt;0,AW1179/BD1179,IF(BE1179&gt;0,BA1179/BE1179,IF(AND(ISNUMBER(BH1179),BH1179=0),0,"")))))</f>
        <v>0.051479803335582754</v>
      </c>
      <c r="BG1179" s="11" t="n">
        <f>IF(AND(COUNT(BN1179:BU1179)=8,MIN(BN1179:BU1179)&gt;=0),SUMPRODUCT(BN1179:BQ1179,BR1179:BU1179),"")</f>
        <v>63.935996265425516</v>
      </c>
      <c r="BH1179" s="11" t="n">
        <f>IF(COUNT(BC1179,BG1179)=2,BC1179*BG1179,"")</f>
        <v>22.6117474360342</v>
      </c>
      <c r="BI1179" s="11" t="n">
        <f>IF(ISNUMBER(CI1179),CI1179,"")</f>
        <v>1.1640483110809083</v>
      </c>
      <c r="BJ1179" s="8" t="str"/>
      <c r="BK1179" s="8" t="str">
        <v>90天：2026-07-20 至 2026-10-17；180天：2026-04-21 至 2026-10-17</v>
      </c>
      <c r="BL1179" s="8" t="str">
        <v>90天：2026-10-06、2026-10-07、2026-10-12、2026-10-13、2026-10-16；180天：2026-10-06、2026-10-07、2026-10-12、2026-10-13、2026-10-16</v>
      </c>
      <c r="BM1179" s="8" t="str">
        <v>2026-10：12天 × 0.8729500662042875；2026-11：30天 × 0.8057375774163482；2026-12：31天 × 0.532550303142279；2027-01：17天 × 0.7517299265337036</v>
      </c>
      <c r="BN1179" s="11" t="n">
        <v>0.8729500662042875</v>
      </c>
      <c r="BO1179" s="11" t="n">
        <v>0.8057375774163482</v>
      </c>
      <c r="BP1179" s="11" t="n">
        <v>0.532550303142279</v>
      </c>
      <c r="BQ1179" s="11" t="n">
        <v>0.7517299265337036</v>
      </c>
      <c r="BR1179" s="8" t="n">
        <v>12</v>
      </c>
      <c r="BS1179" s="8" t="n">
        <v>30</v>
      </c>
      <c r="BT1179" s="8" t="n">
        <v>31</v>
      </c>
      <c r="BU1179" s="8" t="n">
        <v>17</v>
      </c>
      <c r="BV1179" s="11" t="n">
        <f>IF(COUNT(BC1179,BF1179)=2,BC1179*BF1179,"")</f>
        <v>0.01820646238542133</v>
      </c>
      <c r="BW1179" s="11" t="n">
        <f>IF(ISNUMBER(BN1179),BN1179,"")</f>
        <v>0.8729500662042875</v>
      </c>
      <c r="BX1179" s="14" t="n">
        <f>IF(ISNUMBER(BR1179),BR1179,"")</f>
        <v>12</v>
      </c>
      <c r="BY1179" s="13" t="n">
        <f>IF(AND(COUNT(BV1179,BW1179,BX1179)=3,MIN(BV1179,BW1179,BX1179)&gt;=0),BV1179*BW1179*BX1179,"")</f>
        <v>0.19071999053639305</v>
      </c>
      <c r="BZ1179" s="11" t="n">
        <f>IF(ISNUMBER(BO1179),BO1179,"")</f>
        <v>0.8057375774163482</v>
      </c>
      <c r="CA1179" s="14" t="n">
        <f>IF(ISNUMBER(BS1179),BS1179,"")</f>
        <v>30</v>
      </c>
      <c r="CB1179" s="13" t="n">
        <f>IF(AND(COUNT(BV1179,BZ1179,CA1179)=3,MIN(BV1179,BZ1179,CA1179)&gt;=0),BV1179*BZ1179*CA1179,"")</f>
        <v>0.44008892687253753</v>
      </c>
      <c r="CC1179" s="11" t="n">
        <f>IF(ISNUMBER(BP1179),BP1179,"")</f>
        <v>0.532550303142279</v>
      </c>
      <c r="CD1179" s="14" t="n">
        <f>IF(ISNUMBER(BT1179),BT1179,"")</f>
        <v>31</v>
      </c>
      <c r="CE1179" s="13" t="n">
        <f>IF(AND(COUNT(BV1179,CC1179,CD1179)=3,MIN(BV1179,CC1179,CD1179)&gt;=0),BV1179*CC1179*CD1179,"")</f>
        <v>0.30057156893764353</v>
      </c>
      <c r="CF1179" s="11" t="n">
        <f>IF(ISNUMBER(BQ1179),BQ1179,"")</f>
        <v>0.7517299265337036</v>
      </c>
      <c r="CG1179" s="14" t="n">
        <f>IF(ISNUMBER(BU1179),BU1179,"")</f>
        <v>17</v>
      </c>
      <c r="CH1179" s="13" t="n">
        <f>IF(AND(COUNT(BV1179,CF1179,CG1179)=3,MIN(BV1179,CF1179,CG1179)&gt;=0),BV1179*CF1179*CG1179,"")</f>
        <v>0.23266782473433406</v>
      </c>
      <c r="CI1179" s="13" t="n">
        <f>IF(COUNT(BY1179,CB1179,CE1179,CH1179)=4,SUM(BY1179,CB1179,CE1179,CH1179),"")</f>
        <v>1.1640483110809083</v>
      </c>
    </row>
    <row r="1180" ht="72" customHeight="1">
      <c r="A1180" s="16" t="str">
        <v>2302153-RD-S-Z-7.5</v>
      </c>
      <c r="B1180" s="16" t="str">
        <v>3店-SANDIEX-US</v>
      </c>
      <c r="C1180" s="16" t="str">
        <v>徐新怡</v>
      </c>
      <c r="D1180" s="26" t="str">
        <f>IF(NOT(ISNUMBER(E1180)),"",IF(OR(E1180&lt;=0,L1180=0),0,IF(OR(NOT(ISNUMBER(F1180)),F1180&lt;0),"",MIN(E1180,INT(F1180)))))</f>
      </c>
      <c r="E1180" s="27" t="n">
        <f>IF(OR(NOT(ISNUMBER(L1180)),COUNT(M1180:O1180)&lt;&gt;3,MIN(M1180:O1180)&lt;0),"",ROUNDUP(ROUND(BI1180-SUM(M1180:O1180),10),0))</f>
        <v>2</v>
      </c>
      <c r="F1180" s="28"/>
      <c r="G1180" s="28" t="str">
        <f>IF(AND(ISNUMBER(D1180),ISNUMBER(E1180)),IF(OR(E1180&lt;=0,L1180=0),0,E1180-D1180),"")</f>
      </c>
      <c r="H1180" s="16" t="str">
        <f>IF(NOT(ISNUMBER(E1180)),"销量或海外库存待补",IF(OR(E1180&lt;=0,L1180=0),IF(L1180=0,"零日销，本批不发","本批无需补货"),IF(NOT(ISNUMBER(D1180)),"国内库存待补",IF(D1180=0,"国内无可用库存",IF(G1180&gt;0,"先发国内现货","按建议量发货")))))</f>
        <v>国内库存待补</v>
      </c>
      <c r="I1180" s="28" t="n">
        <f>IF(AND(COUNT(Z1180,AA1180,AB1180)=3,Z1180&gt;=AA1180,AA1180&gt;=0,AB1180=7),Z1180-AA1180,"")</f>
        <v>0</v>
      </c>
      <c r="J1180" s="28" t="n">
        <f>IF(AND(COUNT(AF1180,AG1180,AH1180)=3,AF1180&gt;=AG1180,AG1180&gt;=0,AH1180=14),AF1180-AG1180,"")</f>
        <v>0</v>
      </c>
      <c r="K1180" s="28" t="n">
        <f>IF(AND(COUNT(AL1180,AM1180,AN1180)=3,AL1180&gt;=AM1180,AM1180&gt;=0,AN1180=30),AL1180-AM1180,"")</f>
        <v>0</v>
      </c>
      <c r="L1180" s="29" t="n">
        <f>IF(ISNUMBER(BI1180),BI1180/90,"")</f>
        <v>0.02010535163896007</v>
      </c>
      <c r="M1180" s="28" t="n">
        <v>0</v>
      </c>
      <c r="N1180" s="28" t="n">
        <v>0</v>
      </c>
      <c r="O1180" s="28" t="n">
        <v>0</v>
      </c>
      <c r="P1180" s="30" t="n">
        <f>IF(AND(ISNUMBER(L1180),L1180&gt;0,COUNT(M1180:O1180)=3,MIN(M1180:O1180)&gt;=0),SUM(M1180:O1180)/L1180,"")</f>
        <v>0</v>
      </c>
      <c r="Q1180" s="16" t="str">
        <v>沿用原计划SKU店铺</v>
      </c>
      <c r="R1180" s="16" t="str">
        <v>未匹配</v>
      </c>
      <c r="S1180" s="16" t="str">
        <v>停售</v>
      </c>
      <c r="T1180" s="16" t="str">
        <v>2302153</v>
      </c>
      <c r="U1180" s="16" t="str">
        <v>红色</v>
      </c>
      <c r="V1180" s="16" t="n">
        <v>7.5</v>
      </c>
      <c r="W1180" s="8" t="str">
        <v>2026-10-08 至 2026-10-17</v>
      </c>
      <c r="X1180" s="8" t="str">
        <v>2026-10-08、2026-10-09、2026-10-10、2026-10-11、2026-10-14、2026-10-15、2026-10-17</v>
      </c>
      <c r="Y1180" s="8" t="str">
        <v>2026-10-12 有记录的停售日；2026-10-13 有记录的停售日；2026-10-16 有记录的停售日</v>
      </c>
      <c r="Z1180" s="8" t="n">
        <v>0</v>
      </c>
      <c r="AA1180" s="8" t="n">
        <v>0</v>
      </c>
      <c r="AB1180" s="8" t="n">
        <v>7</v>
      </c>
      <c r="AC1180" s="8" t="str">
        <v>2026-09-29 至 2026-10-17</v>
      </c>
      <c r="AD1180" s="8" t="str">
        <v>2026-09-29、2026-09-30、2026-10-01、2026-10-02、2026-10-03、2026-10-04、2026-10-05、2026-10-08、2026-10-09、2026-10-10、2026-10-11、2026-10-14、2026-10-15、2026-10-17</v>
      </c>
      <c r="AE1180" s="8" t="str">
        <v>2026-10-06 大促；2026-10-07 大促；2026-10-12 有记录的停售日；2026-10-13 有记录的停售日；2026-10-16 有记录的停售日</v>
      </c>
      <c r="AF1180" s="8" t="n">
        <v>0</v>
      </c>
      <c r="AG1180" s="8" t="n">
        <v>0</v>
      </c>
      <c r="AH1180" s="8" t="n">
        <v>14</v>
      </c>
      <c r="AI1180" s="8" t="str">
        <v>2026-09-13 至 2026-10-17</v>
      </c>
      <c r="AJ118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0" s="8" t="str">
        <v>2026-10-06 大促；2026-10-07 大促；2026-10-12 有记录的停售日；2026-10-13 有记录的停售日；2026-10-16 有记录的停售日</v>
      </c>
      <c r="AL1180" s="8" t="n">
        <v>0</v>
      </c>
      <c r="AM1180" s="8" t="n">
        <v>0</v>
      </c>
      <c r="AN1180" s="8" t="n">
        <v>30</v>
      </c>
      <c r="AO1180" s="8" t="str">
        <v>2302153 / 红色羊京绒 / 6574</v>
      </c>
      <c r="AP1180" s="11" t="n">
        <v>1.7391279184229513</v>
      </c>
      <c r="AQ1180" s="11" t="n">
        <v>1.6917168816426</v>
      </c>
      <c r="AR1180" s="11" t="n">
        <v>1.5400015639454752</v>
      </c>
      <c r="AS1180" s="11" t="n">
        <f>IF(AND(COUNT(I1180:K1180,AP1180:AR1180)=6,MIN(AP1180:AR1180)&gt;0),I1180/7/AP1180*0.5+J1180/14/AQ1180*0.3+K1180/30/AR1180*0.2,"")</f>
        <v>0</v>
      </c>
      <c r="AT1180" s="8" t="n">
        <v>0</v>
      </c>
      <c r="AU1180" s="8" t="n">
        <v>0</v>
      </c>
      <c r="AV1180" s="8" t="n">
        <v>85</v>
      </c>
      <c r="AW1180" s="11" t="n">
        <f>IF(AND(COUNT(AT1180:AV1180)=3,AT1180&gt;=AU1180,AU1180&gt;=0,AV1180&gt;0),(AT1180-AU1180)/AV1180,"")</f>
        <v>0</v>
      </c>
      <c r="AX1180" s="8" t="n">
        <v>6</v>
      </c>
      <c r="AY1180" s="8" t="n">
        <v>0</v>
      </c>
      <c r="AZ1180" s="8" t="n">
        <v>175</v>
      </c>
      <c r="BA1180" s="11" t="n">
        <f>IF(AND(COUNT(AX1180:AZ1180)=3,AX1180&gt;=AY1180,AY1180&gt;=0,AZ1180&gt;0),(AX1180-AY1180)/AZ1180,"")</f>
        <v>0.03428571428571429</v>
      </c>
      <c r="BB1180" s="8" t="n">
        <f>IF(COUNT(AS1180,AW1180,BA1180)=3,1,0)</f>
        <v>1</v>
      </c>
      <c r="BC1180" s="11" t="n">
        <f>IF(SUMIF($AO$11:$AO$1309,AO1180,$BB$11:$BB$1309)=COUNTIF($AO$11:$AO$1309,AO1180),SUMIF($AO$11:$AO$1309,AO1180,$AS$11:$AS$1309),"")</f>
        <v>0.5532040882147117</v>
      </c>
      <c r="BD1180" s="11" t="n">
        <f>IF(SUMIF($AO$11:$AO$1309,AO1180,$BB$11:$BB$1309)=COUNTIF($AO$11:$AO$1309,AO1180),SUMIF($AO$11:$AO$1309,AO1180,$AW$11:$AW$1309),"")</f>
        <v>0.3535973323498679</v>
      </c>
      <c r="BE1180" s="11" t="n">
        <f>IF(SUMIF($AO$11:$AO$1309,AO1180,$BB$11:$BB$1309)=COUNTIF($AO$11:$AO$1309,AO1180),SUMIF($AO$11:$AO$1309,AO1180,$BA$11:$BA$1309),"")</f>
        <v>0.34420255552230417</v>
      </c>
      <c r="BF1180" s="12" t="n">
        <f>IF(COUNT(BD1180:BE1180)&lt;&gt;2,"",IF(AND(BD1180&gt;0,BE1180&gt;0),0.7*AW1180/BD1180+0.3*BA1180/BE1180,IF(BD1180&gt;0,AW1180/BD1180,IF(BE1180&gt;0,BA1180/BE1180,IF(AND(ISNUMBER(BH1180),BH1180=0),0,"")))))</f>
        <v>0.029882736547688925</v>
      </c>
      <c r="BG1180" s="11" t="n">
        <f>IF(AND(COUNT(BN1180:BU1180)=8,MIN(BN1180:BU1180)&gt;=0),SUMPRODUCT(BN1180:BQ1180,BR1180:BU1180),"")</f>
        <v>109.4582336985339</v>
      </c>
      <c r="BH1180" s="11" t="n">
        <f>IF(COUNT(BC1180,BG1180)=2,BC1180*BG1180,"")</f>
        <v>60.55274237079028</v>
      </c>
      <c r="BI1180" s="11" t="n">
        <f>IF(ISNUMBER(CI1180),CI1180,"")</f>
        <v>1.8094816475064064</v>
      </c>
      <c r="BJ1180" s="8" t="str">
        <v>近180天本色销量75双（＜90），无有效新采购，请运营判断</v>
      </c>
      <c r="BK1180" s="8" t="str">
        <v>90天：2026-07-20 至 2026-10-17；180天：2026-04-21 至 2026-10-17</v>
      </c>
      <c r="BL1180" s="8" t="str">
        <v>90天：2026-10-06、2026-10-07、2026-10-12、2026-10-13、2026-10-16；180天：2026-10-06、2026-10-07、2026-10-12、2026-10-13、2026-10-16</v>
      </c>
      <c r="BM1180" s="8" t="str">
        <v>2026-10：12天 × 1.7391279184229513；2026-11：30天 × 1.4002077845513243；2026-12：31天 × 1.079339935625147；2027-01：17天 × 0.7719368903846591</v>
      </c>
      <c r="BN1180" s="11" t="n">
        <v>1.7391279184229513</v>
      </c>
      <c r="BO1180" s="11" t="n">
        <v>1.4002077845513243</v>
      </c>
      <c r="BP1180" s="11" t="n">
        <v>1.079339935625147</v>
      </c>
      <c r="BQ1180" s="11" t="n">
        <v>0.7719368903846591</v>
      </c>
      <c r="BR1180" s="8" t="n">
        <v>12</v>
      </c>
      <c r="BS1180" s="8" t="n">
        <v>30</v>
      </c>
      <c r="BT1180" s="8" t="n">
        <v>31</v>
      </c>
      <c r="BU1180" s="8" t="n">
        <v>17</v>
      </c>
      <c r="BV1180" s="11" t="n">
        <f>IF(COUNT(BC1180,BF1180)=2,BC1180*BF1180,"")</f>
        <v>0.016531252025224694</v>
      </c>
      <c r="BW1180" s="11" t="n">
        <f>IF(ISNUMBER(BN1180),BN1180,"")</f>
        <v>1.7391279184229513</v>
      </c>
      <c r="BX1180" s="14" t="n">
        <f>IF(ISNUMBER(BR1180),BR1180,"")</f>
        <v>12</v>
      </c>
      <c r="BY1180" s="13" t="n">
        <f>IF(AND(COUNT(BV1180,BW1180,BX1180)=3,MIN(BV1180,BW1180,BX1180)&gt;=0),BV1180*BW1180*BX1180,"")</f>
        <v>0.34499954308265063</v>
      </c>
      <c r="BZ1180" s="11" t="n">
        <f>IF(ISNUMBER(BO1180),BO1180,"")</f>
        <v>1.4002077845513243</v>
      </c>
      <c r="CA1180" s="14" t="n">
        <f>IF(ISNUMBER(BS1180),BS1180,"")</f>
        <v>30</v>
      </c>
      <c r="CB1180" s="13" t="n">
        <f>IF(AND(COUNT(BV1180,BZ1180,CA1180)=3,MIN(BV1180,BZ1180,CA1180)&gt;=0),BV1180*BZ1180*CA1180,"")</f>
        <v>0.6944156332229838</v>
      </c>
      <c r="CC1180" s="11" t="n">
        <f>IF(ISNUMBER(BP1180),BP1180,"")</f>
        <v>1.079339935625147</v>
      </c>
      <c r="CD1180" s="14" t="n">
        <f>IF(ISNUMBER(BT1180),BT1180,"")</f>
        <v>31</v>
      </c>
      <c r="CE1180" s="13" t="n">
        <f>IF(AND(COUNT(BV1180,CC1180,CD1180)=3,MIN(BV1180,CC1180,CD1180)&gt;=0),BV1180*CC1180*CD1180,"")</f>
        <v>0.553128055397982</v>
      </c>
      <c r="CF1180" s="11" t="n">
        <f>IF(ISNUMBER(BQ1180),BQ1180,"")</f>
        <v>0.7719368903846591</v>
      </c>
      <c r="CG1180" s="14" t="n">
        <f>IF(ISNUMBER(BU1180),BU1180,"")</f>
        <v>17</v>
      </c>
      <c r="CH1180" s="13" t="n">
        <f>IF(AND(COUNT(BV1180,CF1180,CG1180)=3,MIN(BV1180,CF1180,CG1180)&gt;=0),BV1180*CF1180*CG1180,"")</f>
        <v>0.2169384158027898</v>
      </c>
      <c r="CI1180" s="13" t="n">
        <f>IF(COUNT(BY1180,CB1180,CE1180,CH1180)=4,SUM(BY1180,CB1180,CE1180,CH1180),"")</f>
        <v>1.8094816475064064</v>
      </c>
    </row>
    <row r="1181" ht="72" customHeight="1">
      <c r="A1181" s="16" t="str">
        <v>B06-HP-41</v>
      </c>
      <c r="B1181" s="16" t="str">
        <v>1店-MUSSHOE-US</v>
      </c>
      <c r="C1181" s="16" t="str">
        <v>艾年</v>
      </c>
      <c r="D1181" s="26" t="str">
        <f>IF(NOT(ISNUMBER(E1181)),"",IF(OR(E1181&lt;=0,L1181=0),0,IF(OR(NOT(ISNUMBER(F1181)),F1181&lt;0),"",MIN(E1181,INT(F1181)))))</f>
      </c>
      <c r="E1181" s="27" t="n">
        <f>IF(OR(NOT(ISNUMBER(L1181)),COUNT(M1181:O1181)&lt;&gt;3,MIN(M1181:O1181)&lt;0),"",ROUNDUP(ROUND(BI1181-SUM(M1181:O1181),10),0))</f>
        <v>2</v>
      </c>
      <c r="F1181" s="28"/>
      <c r="G1181" s="28" t="str">
        <f>IF(AND(ISNUMBER(D1181),ISNUMBER(E1181)),IF(OR(E1181&lt;=0,L1181=0),0,E1181-D1181),"")</f>
      </c>
      <c r="H1181" s="16" t="str">
        <f>IF(NOT(ISNUMBER(E1181)),"销量或海外库存待补",IF(OR(E1181&lt;=0,L1181=0),IF(L1181=0,"零日销，本批不发","本批无需补货"),IF(NOT(ISNUMBER(D1181)),"国内库存待补",IF(D1181=0,"国内无可用库存",IF(G1181&gt;0,"先发国内现货","按建议量发货")))))</f>
        <v>国内库存待补</v>
      </c>
      <c r="I1181" s="28" t="n">
        <f>IF(AND(COUNT(Z1181,AA1181,AB1181)=3,Z1181&gt;=AA1181,AA1181&gt;=0,AB1181=7),Z1181-AA1181,"")</f>
        <v>0</v>
      </c>
      <c r="J1181" s="28" t="n">
        <f>IF(AND(COUNT(AF1181,AG1181,AH1181)=3,AF1181&gt;=AG1181,AG1181&gt;=0,AH1181=14),AF1181-AG1181,"")</f>
        <v>0</v>
      </c>
      <c r="K1181" s="28" t="n">
        <f>IF(AND(COUNT(AL1181,AM1181,AN1181)=3,AL1181&gt;=AM1181,AM1181&gt;=0,AN1181=30),AL1181-AM1181,"")</f>
        <v>1</v>
      </c>
      <c r="L1181" s="29" t="n">
        <f>IF(ISNUMBER(BI1181),BI1181/90,"")</f>
        <v>0.040627109394513805</v>
      </c>
      <c r="M1181" s="28" t="n">
        <v>2</v>
      </c>
      <c r="N1181" s="28" t="n">
        <v>0</v>
      </c>
      <c r="O1181" s="28" t="n">
        <v>0</v>
      </c>
      <c r="P1181" s="30" t="n">
        <f>IF(AND(ISNUMBER(L1181),L1181&gt;0,COUNT(M1181:O1181)=3,MIN(M1181:O1181)&gt;=0),SUM(M1181:O1181)/L1181,"")</f>
        <v>49.22821312682599</v>
      </c>
      <c r="Q1181" s="16" t="str">
        <v>按本SKU唯一未删除Listing店铺核实</v>
      </c>
      <c r="R1181" s="16" t="str">
        <v>未匹配</v>
      </c>
      <c r="S1181" s="16" t="str">
        <v>在售</v>
      </c>
      <c r="T1181" s="16" t="str">
        <v>B06</v>
      </c>
      <c r="U1181" s="16" t="str">
        <v>芭比粉羊京绒</v>
      </c>
      <c r="V1181" s="16" t="n">
        <v>10</v>
      </c>
      <c r="W1181" s="8" t="str">
        <v>2026-10-11 至 2026-10-17</v>
      </c>
      <c r="X1181" s="8" t="str">
        <v>2026-10-11、2026-10-12、2026-10-13、2026-10-14、2026-10-15、2026-10-16、2026-10-17</v>
      </c>
      <c r="Y1181" s="8" t="str">
        <v>无</v>
      </c>
      <c r="Z1181" s="8" t="n">
        <v>0</v>
      </c>
      <c r="AA1181" s="8" t="n">
        <v>0</v>
      </c>
      <c r="AB1181" s="8" t="n">
        <v>7</v>
      </c>
      <c r="AC1181" s="8" t="str">
        <v>2026-10-02 至 2026-10-17</v>
      </c>
      <c r="AD1181" s="8" t="str">
        <v>2026-10-02、2026-10-03、2026-10-04、2026-10-05、2026-10-08、2026-10-09、2026-10-10、2026-10-11、2026-10-12、2026-10-13、2026-10-14、2026-10-15、2026-10-16、2026-10-17</v>
      </c>
      <c r="AE1181" s="8" t="str">
        <v>2026-10-06 大促；2026-10-07 大促</v>
      </c>
      <c r="AF1181" s="8" t="n">
        <v>0</v>
      </c>
      <c r="AG1181" s="8" t="n">
        <v>0</v>
      </c>
      <c r="AH1181" s="8" t="n">
        <v>14</v>
      </c>
      <c r="AI1181" s="8" t="str">
        <v>2026-09-16 至 2026-10-17</v>
      </c>
      <c r="AJ11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81" s="8" t="str">
        <v>2026-10-06 大促；2026-10-07 大促</v>
      </c>
      <c r="AL1181" s="8" t="n">
        <v>1</v>
      </c>
      <c r="AM1181" s="8" t="n">
        <v>0</v>
      </c>
      <c r="AN1181" s="8" t="n">
        <v>30</v>
      </c>
      <c r="AO1181" s="8" t="str">
        <v>B06 / 芭比粉羊京绒 / 13120</v>
      </c>
      <c r="AP1181" s="11" t="n">
        <v>1.2247029157699902</v>
      </c>
      <c r="AQ1181" s="11" t="n">
        <v>1.2247029157699902</v>
      </c>
      <c r="AR1181" s="11" t="n">
        <v>1.1136940657346173</v>
      </c>
      <c r="AS1181" s="11" t="n">
        <f>IF(AND(COUNT(I1181:K1181,AP1181:AR1181)=6,MIN(AP1181:AR1181)&gt;0),I1181/7/AP1181*0.5+J1181/14/AQ1181*0.3+K1181/30/AR1181*0.2,"")</f>
        <v>0.0059860843940738664</v>
      </c>
      <c r="AT1181" s="8" t="n">
        <v>2</v>
      </c>
      <c r="AU1181" s="8" t="n">
        <v>0</v>
      </c>
      <c r="AV1181" s="8" t="n">
        <v>88</v>
      </c>
      <c r="AW1181" s="11" t="n">
        <f>IF(AND(COUNT(AT1181:AV1181)=3,AT1181&gt;=AU1181,AU1181&gt;=0,AV1181&gt;0),(AT1181-AU1181)/AV1181,"")</f>
        <v>0.022727272727272728</v>
      </c>
      <c r="AX1181" s="8" t="n">
        <v>10</v>
      </c>
      <c r="AY1181" s="8" t="n">
        <v>0</v>
      </c>
      <c r="AZ1181" s="8" t="n">
        <v>178</v>
      </c>
      <c r="BA1181" s="11" t="n">
        <f>IF(AND(COUNT(AX1181:AZ1181)=3,AX1181&gt;=AY1181,AY1181&gt;=0,AZ1181&gt;0),(AX1181-AY1181)/AZ1181,"")</f>
        <v>0.056179775280898875</v>
      </c>
      <c r="BB1181" s="8" t="n">
        <f>IF(COUNT(AS1181,AW1181,BA1181)=3,1,0)</f>
        <v>1</v>
      </c>
      <c r="BC1181" s="11" t="n">
        <f>IF(SUMIF($AO$11:$AO$1309,AO1181,$BB$11:$BB$1309)=COUNTIF($AO$11:$AO$1309,AO1181),SUMIF($AO$11:$AO$1309,AO1181,$AS$11:$AS$1309),"")</f>
        <v>0.08779230578746408</v>
      </c>
      <c r="BD1181" s="11" t="n">
        <f>IF(SUMIF($AO$11:$AO$1309,AO1181,$BB$11:$BB$1309)=COUNTIF($AO$11:$AO$1309,AO1181),SUMIF($AO$11:$AO$1309,AO1181,$AW$11:$AW$1309),"")</f>
        <v>0.045454545454545456</v>
      </c>
      <c r="BE1181" s="11" t="n">
        <f>IF(SUMIF($AO$11:$AO$1309,AO1181,$BB$11:$BB$1309)=COUNTIF($AO$11:$AO$1309,AO1181),SUMIF($AO$11:$AO$1309,AO1181,$BA$11:$BA$1309),"")</f>
        <v>0.07865168539325842</v>
      </c>
      <c r="BF1181" s="12" t="n">
        <f>IF(COUNT(BD1181:BE1181)&lt;&gt;2,"",IF(AND(BD1181&gt;0,BE1181&gt;0),0.7*AW1181/BD1181+0.3*BA1181/BE1181,IF(BD1181&gt;0,AW1181/BD1181,IF(BE1181&gt;0,BA1181/BE1181,IF(AND(ISNUMBER(BH1181),BH1181=0),0,"")))))</f>
        <v>0.5642857142857143</v>
      </c>
      <c r="BG1181" s="11" t="n">
        <f>IF(AND(COUNT(BN1181:BU1181)=8,MIN(BN1181:BU1181)&gt;=0),SUMPRODUCT(BN1181:BQ1181,BR1181:BU1181),"")</f>
        <v>73.80791239847399</v>
      </c>
      <c r="BH1181" s="11" t="n">
        <f>IF(COUNT(BC1181,BG1181)=2,BC1181*BG1181,"")</f>
        <v>6.47976681482119</v>
      </c>
      <c r="BI1181" s="11" t="n">
        <f>IF(ISNUMBER(CI1181),CI1181,"")</f>
        <v>3.6564398455062426</v>
      </c>
      <c r="BJ1181" s="8" t="str">
        <v>近180天本色销量14双（＜90），无有效新采购，请运营判断</v>
      </c>
      <c r="BK1181" s="8" t="str">
        <v>90天：2026-07-20 至 2026-10-17；180天：2026-04-21 至 2026-10-17</v>
      </c>
      <c r="BL1181" s="8" t="str">
        <v>90天：2026-10-06、2026-10-07；180天：2026-10-06、2026-10-07</v>
      </c>
      <c r="BM1181" s="8" t="str">
        <v>2026-10：12天 × 1.2247029157699902；2026-11：30天 × 0.8332682139098497；2026-12：31天 × 0.5511018253564084；2027-01：17天 × 1.0017220238758797</v>
      </c>
      <c r="BN1181" s="11" t="n">
        <v>1.2247029157699902</v>
      </c>
      <c r="BO1181" s="11" t="n">
        <v>0.8332682139098497</v>
      </c>
      <c r="BP1181" s="11" t="n">
        <v>0.5511018253564084</v>
      </c>
      <c r="BQ1181" s="11" t="n">
        <v>1.0017220238758797</v>
      </c>
      <c r="BR1181" s="8" t="n">
        <v>12</v>
      </c>
      <c r="BS1181" s="8" t="n">
        <v>30</v>
      </c>
      <c r="BT1181" s="8" t="n">
        <v>31</v>
      </c>
      <c r="BU1181" s="8" t="n">
        <v>17</v>
      </c>
      <c r="BV1181" s="11" t="n">
        <f>IF(COUNT(BC1181,BF1181)=2,BC1181*BF1181,"")</f>
        <v>0.049539943980069015</v>
      </c>
      <c r="BW1181" s="11" t="n">
        <f>IF(ISNUMBER(BN1181),BN1181,"")</f>
        <v>1.2247029157699902</v>
      </c>
      <c r="BX1181" s="14" t="n">
        <f>IF(ISNUMBER(BR1181),BR1181,"")</f>
        <v>12</v>
      </c>
      <c r="BY1181" s="13" t="n">
        <f>IF(AND(COUNT(BV1181,BW1181,BX1181)=3,MIN(BV1181,BW1181,BX1181)&gt;=0),BV1181*BW1181*BX1181,"")</f>
        <v>0.72806056607367</v>
      </c>
      <c r="BZ1181" s="11" t="n">
        <f>IF(ISNUMBER(BO1181),BO1181,"")</f>
        <v>0.8332682139098497</v>
      </c>
      <c r="CA1181" s="14" t="n">
        <f>IF(ISNUMBER(BS1181),BS1181,"")</f>
        <v>30</v>
      </c>
      <c r="CB1181" s="13" t="n">
        <f>IF(AND(COUNT(BV1181,BZ1181,CA1181)=3,MIN(BV1181,BZ1181,CA1181)&gt;=0),BV1181*BZ1181*CA1181,"")</f>
        <v>1.2384018191239836</v>
      </c>
      <c r="CC1181" s="11" t="n">
        <f>IF(ISNUMBER(BP1181),BP1181,"")</f>
        <v>0.5511018253564084</v>
      </c>
      <c r="CD1181" s="14" t="n">
        <f>IF(ISNUMBER(BT1181),BT1181,"")</f>
        <v>31</v>
      </c>
      <c r="CE1181" s="13" t="n">
        <f>IF(AND(COUNT(BV1181,CC1181,CD1181)=3,MIN(BV1181,CC1181,CD1181)&gt;=0),BV1181*CC1181*CD1181,"")</f>
        <v>0.8463481602195777</v>
      </c>
      <c r="CF1181" s="11" t="n">
        <f>IF(ISNUMBER(BQ1181),BQ1181,"")</f>
        <v>1.0017220238758797</v>
      </c>
      <c r="CG1181" s="14" t="n">
        <f>IF(ISNUMBER(BU1181),BU1181,"")</f>
        <v>17</v>
      </c>
      <c r="CH1181" s="13" t="n">
        <f>IF(AND(COUNT(BV1181,CF1181,CG1181)=3,MIN(BV1181,CF1181,CG1181)&gt;=0),BV1181*CF1181*CG1181,"")</f>
        <v>0.8436293000890114</v>
      </c>
      <c r="CI1181" s="13" t="n">
        <f>IF(COUNT(BY1181,CB1181,CE1181,CH1181)=4,SUM(BY1181,CB1181,CE1181,CH1181),"")</f>
        <v>3.6564398455062426</v>
      </c>
    </row>
    <row r="1182" ht="72" customHeight="1">
      <c r="A1182" s="16" t="str">
        <v>1S01-DPB-38.5</v>
      </c>
      <c r="B1182" s="16" t="str">
        <v>3店-SANDIEX-US</v>
      </c>
      <c r="C1182" s="16" t="str">
        <v>徐新怡</v>
      </c>
      <c r="D1182" s="26" t="str">
        <f>IF(NOT(ISNUMBER(E1182)),"",IF(OR(E1182&lt;=0,L1182=0),0,IF(OR(NOT(ISNUMBER(F1182)),F1182&lt;0),"",MIN(E1182,INT(F1182)))))</f>
      </c>
      <c r="E1182" s="27" t="n">
        <f>IF(OR(NOT(ISNUMBER(L1182)),COUNT(M1182:O1182)&lt;&gt;3,MIN(M1182:O1182)&lt;0),"",ROUNDUP(ROUND(BI1182-SUM(M1182:O1182),10),0))</f>
        <v>1</v>
      </c>
      <c r="F1182" s="28"/>
      <c r="G1182" s="28" t="str">
        <f>IF(AND(ISNUMBER(D1182),ISNUMBER(E1182)),IF(OR(E1182&lt;=0,L1182=0),0,E1182-D1182),"")</f>
      </c>
      <c r="H1182" s="16" t="str">
        <f>IF(NOT(ISNUMBER(E1182)),"销量或海外库存待补",IF(OR(E1182&lt;=0,L1182=0),IF(L1182=0,"零日销，本批不发","本批无需补货"),IF(NOT(ISNUMBER(D1182)),"国内库存待补",IF(D1182=0,"国内无可用库存",IF(G1182&gt;0,"先发国内现货","按建议量发货")))))</f>
        <v>国内库存待补</v>
      </c>
      <c r="I1182" s="28" t="n">
        <f>IF(AND(COUNT(Z1182,AA1182,AB1182)=3,Z1182&gt;=AA1182,AA1182&gt;=0,AB1182=7),Z1182-AA1182,"")</f>
        <v>0</v>
      </c>
      <c r="J1182" s="28" t="n">
        <f>IF(AND(COUNT(AF1182,AG1182,AH1182)=3,AF1182&gt;=AG1182,AG1182&gt;=0,AH1182=14),AF1182-AG1182,"")</f>
        <v>0</v>
      </c>
      <c r="K1182" s="28" t="n">
        <f>IF(AND(COUNT(AL1182,AM1182,AN1182)=3,AL1182&gt;=AM1182,AM1182&gt;=0,AN1182=30),AL1182-AM1182,"")</f>
        <v>0</v>
      </c>
      <c r="L1182" s="29" t="n">
        <f>IF(ISNUMBER(BI1182),BI1182/90,"")</f>
        <v>0.003525415923903218</v>
      </c>
      <c r="M1182" s="28" t="n">
        <v>0</v>
      </c>
      <c r="N1182" s="28" t="n">
        <v>0</v>
      </c>
      <c r="O1182" s="28" t="n">
        <v>0</v>
      </c>
      <c r="P1182" s="30" t="n">
        <f>IF(AND(ISNUMBER(L1182),L1182&gt;0,COUNT(M1182:O1182)=3,MIN(M1182:O1182)&gt;=0),SUM(M1182:O1182)/L1182,"")</f>
        <v>0</v>
      </c>
      <c r="Q1182" s="16" t="str">
        <v>沿用同SPU原计划店铺</v>
      </c>
      <c r="R1182" s="16" t="str">
        <v>未匹配</v>
      </c>
      <c r="S1182" s="16" t="str">
        <v>停售</v>
      </c>
      <c r="T1182" s="16" t="str">
        <v>1S01</v>
      </c>
      <c r="U1182" s="16" t="str">
        <v>米色</v>
      </c>
      <c r="V1182" s="16" t="n">
        <v>7.5</v>
      </c>
      <c r="W1182" s="8" t="str">
        <v>2026-10-08 至 2026-10-17</v>
      </c>
      <c r="X1182" s="8" t="str">
        <v>2026-10-08、2026-10-09、2026-10-10、2026-10-11、2026-10-14、2026-10-15、2026-10-17</v>
      </c>
      <c r="Y1182" s="8" t="str">
        <v>2026-10-12 有记录的停售日；2026-10-13 有记录的停售日；2026-10-16 有记录的停售日</v>
      </c>
      <c r="Z1182" s="8" t="n">
        <v>0</v>
      </c>
      <c r="AA1182" s="8" t="n">
        <v>0</v>
      </c>
      <c r="AB1182" s="8" t="n">
        <v>7</v>
      </c>
      <c r="AC1182" s="8" t="str">
        <v>2026-09-29 至 2026-10-17</v>
      </c>
      <c r="AD1182" s="8" t="str">
        <v>2026-09-29、2026-09-30、2026-10-01、2026-10-02、2026-10-03、2026-10-04、2026-10-05、2026-10-08、2026-10-09、2026-10-10、2026-10-11、2026-10-14、2026-10-15、2026-10-17</v>
      </c>
      <c r="AE1182" s="8" t="str">
        <v>2026-10-06 大促；2026-10-07 大促；2026-10-12 有记录的停售日；2026-10-13 有记录的停售日；2026-10-16 有记录的停售日</v>
      </c>
      <c r="AF1182" s="8" t="n">
        <v>0</v>
      </c>
      <c r="AG1182" s="8" t="n">
        <v>0</v>
      </c>
      <c r="AH1182" s="8" t="n">
        <v>14</v>
      </c>
      <c r="AI1182" s="8" t="str">
        <v>2026-09-13 至 2026-10-17</v>
      </c>
      <c r="AJ118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2" s="8" t="str">
        <v>2026-10-06 大促；2026-10-07 大促；2026-10-12 有记录的停售日；2026-10-13 有记录的停售日；2026-10-16 有记录的停售日</v>
      </c>
      <c r="AL1182" s="8" t="n">
        <v>0</v>
      </c>
      <c r="AM1182" s="8" t="n">
        <v>0</v>
      </c>
      <c r="AN1182" s="8" t="n">
        <v>30</v>
      </c>
      <c r="AO1182" s="8" t="str">
        <v>1S01 / 米色PU / 6574</v>
      </c>
      <c r="AP1182" s="11" t="n">
        <v>0.8729500662042875</v>
      </c>
      <c r="AQ1182" s="11" t="n">
        <v>0.9355747145678367</v>
      </c>
      <c r="AR1182" s="11" t="n">
        <v>1.135973589331194</v>
      </c>
      <c r="AS1182" s="11" t="n">
        <f>IF(AND(COUNT(I1182:K1182,AP1182:AR1182)=6,MIN(AP1182:AR1182)&gt;0),I1182/7/AP1182*0.5+J1182/14/AQ1182*0.3+K1182/30/AR1182*0.2,"")</f>
        <v>0</v>
      </c>
      <c r="AT1182" s="8" t="n">
        <v>0</v>
      </c>
      <c r="AU1182" s="8" t="n">
        <v>0</v>
      </c>
      <c r="AV1182" s="8" t="n">
        <v>85</v>
      </c>
      <c r="AW1182" s="11" t="n">
        <f>IF(AND(COUNT(AT1182:AV1182)=3,AT1182&gt;=AU1182,AU1182&gt;=0,AV1182&gt;0),(AT1182-AU1182)/AV1182,"")</f>
        <v>0</v>
      </c>
      <c r="AX1182" s="8" t="n">
        <v>2</v>
      </c>
      <c r="AY1182" s="8" t="n">
        <v>0</v>
      </c>
      <c r="AZ1182" s="8" t="n">
        <v>175</v>
      </c>
      <c r="BA1182" s="11" t="n">
        <f>IF(AND(COUNT(AX1182:AZ1182)=3,AX1182&gt;=AY1182,AY1182&gt;=0,AZ1182&gt;0),(AX1182-AY1182)/AZ1182,"")</f>
        <v>0.011428571428571429</v>
      </c>
      <c r="BB1182" s="8" t="n">
        <f>IF(COUNT(AS1182,AW1182,BA1182)=3,1,0)</f>
        <v>1</v>
      </c>
      <c r="BC1182" s="11" t="n">
        <f>IF(SUMIF($AO$11:$AO$1309,AO1182,$BB$11:$BB$1309)=COUNTIF($AO$11:$AO$1309,AO1182),SUMIF($AO$11:$AO$1309,AO1182,$AS$11:$AS$1309),"")</f>
        <v>0.8134354698195524</v>
      </c>
      <c r="BD1182" s="11" t="n">
        <f>IF(SUMIF($AO$11:$AO$1309,AO1182,$BB$11:$BB$1309)=COUNTIF($AO$11:$AO$1309,AO1182),SUMIF($AO$11:$AO$1309,AO1182,$AW$11:$AW$1309),"")</f>
        <v>0.6022727272727273</v>
      </c>
      <c r="BE1182" s="11" t="n">
        <f>IF(SUMIF($AO$11:$AO$1309,AO1182,$BB$11:$BB$1309)=COUNTIF($AO$11:$AO$1309,AO1182),SUMIF($AO$11:$AO$1309,AO1182,$BA$11:$BA$1309),"")</f>
        <v>0.5619903691813805</v>
      </c>
      <c r="BF1182" s="12" t="n">
        <f>IF(COUNT(BD1182:BE1182)&lt;&gt;2,"",IF(AND(BD1182&gt;0,BE1182&gt;0),0.7*AW1182/BD1182+0.3*BA1182/BE1182,IF(BD1182&gt;0,AW1182/BD1182,IF(BE1182&gt;0,BA1182/BE1182,IF(AND(ISNUMBER(BH1182),BH1182=0),0,"")))))</f>
        <v>0.006100765451845081</v>
      </c>
      <c r="BG1182" s="11" t="n">
        <f>IF(AND(COUNT(BN1182:BU1182)=8,MIN(BN1182:BU1182)&gt;=0),SUMPRODUCT(BN1182:BQ1182,BR1182:BU1182),"")</f>
        <v>63.935996265425516</v>
      </c>
      <c r="BH1182" s="11" t="n">
        <f>IF(COUNT(BC1182,BG1182)=2,BC1182*BG1182,"")</f>
        <v>52.00780716054755</v>
      </c>
      <c r="BI1182" s="11" t="n">
        <f>IF(ISNUMBER(CI1182),CI1182,"")</f>
        <v>0.3172874331512896</v>
      </c>
      <c r="BJ1182" s="8" t="str"/>
      <c r="BK1182" s="8" t="str">
        <v>90天：2026-07-20 至 2026-10-17；180天：2026-04-21 至 2026-10-17</v>
      </c>
      <c r="BL1182" s="8" t="str">
        <v>90天：2026-10-06、2026-10-07、2026-10-12、2026-10-13、2026-10-16；180天：2026-10-06、2026-10-07、2026-10-12、2026-10-13、2026-10-16</v>
      </c>
      <c r="BM1182" s="8" t="str">
        <v>2026-10：12天 × 0.8729500662042875；2026-11：30天 × 0.8057375774163482；2026-12：31天 × 0.532550303142279；2027-01：17天 × 0.7517299265337036</v>
      </c>
      <c r="BN1182" s="11" t="n">
        <v>0.8729500662042875</v>
      </c>
      <c r="BO1182" s="11" t="n">
        <v>0.8057375774163482</v>
      </c>
      <c r="BP1182" s="11" t="n">
        <v>0.532550303142279</v>
      </c>
      <c r="BQ1182" s="11" t="n">
        <v>0.7517299265337036</v>
      </c>
      <c r="BR1182" s="8" t="n">
        <v>12</v>
      </c>
      <c r="BS1182" s="8" t="n">
        <v>30</v>
      </c>
      <c r="BT1182" s="8" t="n">
        <v>31</v>
      </c>
      <c r="BU1182" s="8" t="n">
        <v>17</v>
      </c>
      <c r="BV1182" s="11" t="n">
        <f>IF(COUNT(BC1182,BF1182)=2,BC1182*BF1182,"")</f>
        <v>0.004962579011580497</v>
      </c>
      <c r="BW1182" s="11" t="n">
        <f>IF(ISNUMBER(BN1182),BN1182,"")</f>
        <v>0.8729500662042875</v>
      </c>
      <c r="BX1182" s="14" t="n">
        <f>IF(ISNUMBER(BR1182),BR1182,"")</f>
        <v>12</v>
      </c>
      <c r="BY1182" s="13" t="n">
        <f>IF(AND(COUNT(BV1182,BW1182,BX1182)=3,MIN(BV1182,BW1182,BX1182)&gt;=0),BV1182*BW1182*BX1182,"")</f>
        <v>0.05198500412043843</v>
      </c>
      <c r="BZ1182" s="11" t="n">
        <f>IF(ISNUMBER(BO1182),BO1182,"")</f>
        <v>0.8057375774163482</v>
      </c>
      <c r="CA1182" s="14" t="n">
        <f>IF(ISNUMBER(BS1182),BS1182,"")</f>
        <v>30</v>
      </c>
      <c r="CB1182" s="13" t="n">
        <f>IF(AND(COUNT(BV1182,BZ1182,CA1182)=3,MIN(BV1182,BZ1182,CA1182)&gt;=0),BV1182*BZ1182*CA1182,"")</f>
        <v>0.11995609171584255</v>
      </c>
      <c r="CC1182" s="11" t="n">
        <f>IF(ISNUMBER(BP1182),BP1182,"")</f>
        <v>0.532550303142279</v>
      </c>
      <c r="CD1182" s="14" t="n">
        <f>IF(ISNUMBER(BT1182),BT1182,"")</f>
        <v>31</v>
      </c>
      <c r="CE1182" s="13" t="n">
        <f>IF(AND(COUNT(BV1182,CC1182,CD1182)=3,MIN(BV1182,CC1182,CD1182)&gt;=0),BV1182*CC1182*CD1182,"")</f>
        <v>0.08192751166652586</v>
      </c>
      <c r="CF1182" s="11" t="n">
        <f>IF(ISNUMBER(BQ1182),BQ1182,"")</f>
        <v>0.7517299265337036</v>
      </c>
      <c r="CG1182" s="14" t="n">
        <f>IF(ISNUMBER(BU1182),BU1182,"")</f>
        <v>17</v>
      </c>
      <c r="CH1182" s="13" t="n">
        <f>IF(AND(COUNT(BV1182,CF1182,CG1182)=3,MIN(BV1182,CF1182,CG1182)&gt;=0),BV1182*CF1182*CG1182,"")</f>
        <v>0.06341882564848281</v>
      </c>
      <c r="CI1182" s="13" t="n">
        <f>IF(COUNT(BY1182,CB1182,CE1182,CH1182)=4,SUM(BY1182,CB1182,CE1182,CH1182),"")</f>
        <v>0.3172874331512896</v>
      </c>
    </row>
    <row r="1183" ht="72" customHeight="1">
      <c r="A1183" s="16" t="str">
        <v>2302153-RD-S-Z-6.5</v>
      </c>
      <c r="B1183" s="16" t="str">
        <v>3店-SANDIEX-US</v>
      </c>
      <c r="C1183" s="16" t="str">
        <v>徐新怡</v>
      </c>
      <c r="D1183" s="26" t="str">
        <f>IF(NOT(ISNUMBER(E1183)),"",IF(OR(E1183&lt;=0,L1183=0),0,IF(OR(NOT(ISNUMBER(F1183)),F1183&lt;0),"",MIN(E1183,INT(F1183)))))</f>
      </c>
      <c r="E1183" s="27" t="n">
        <f>IF(OR(NOT(ISNUMBER(L1183)),COUNT(M1183:O1183)&lt;&gt;3,MIN(M1183:O1183)&lt;0),"",ROUNDUP(ROUND(BI1183-SUM(M1183:O1183),10),0))</f>
        <v>1</v>
      </c>
      <c r="F1183" s="28"/>
      <c r="G1183" s="28" t="str">
        <f>IF(AND(ISNUMBER(D1183),ISNUMBER(E1183)),IF(OR(E1183&lt;=0,L1183=0),0,E1183-D1183),"")</f>
      </c>
      <c r="H1183" s="16" t="str">
        <f>IF(NOT(ISNUMBER(E1183)),"销量或海外库存待补",IF(OR(E1183&lt;=0,L1183=0),IF(L1183=0,"零日销，本批不发","本批无需补货"),IF(NOT(ISNUMBER(D1183)),"国内库存待补",IF(D1183=0,"国内无可用库存",IF(G1183&gt;0,"先发国内现货","按建议量发货")))))</f>
        <v>国内库存待补</v>
      </c>
      <c r="I1183" s="28" t="n">
        <f>IF(AND(COUNT(Z1183,AA1183,AB1183)=3,Z1183&gt;=AA1183,AA1183&gt;=0,AB1183=7),Z1183-AA1183,"")</f>
        <v>0</v>
      </c>
      <c r="J1183" s="28" t="n">
        <f>IF(AND(COUNT(AF1183,AG1183,AH1183)=3,AF1183&gt;=AG1183,AG1183&gt;=0,AH1183=14),AF1183-AG1183,"")</f>
        <v>0</v>
      </c>
      <c r="K1183" s="28" t="n">
        <f>IF(AND(COUNT(AL1183,AM1183,AN1183)=3,AL1183&gt;=AM1183,AM1183&gt;=0,AN1183=30),AL1183-AM1183,"")</f>
        <v>0</v>
      </c>
      <c r="L1183" s="29" t="n">
        <f>IF(ISNUMBER(BI1183),BI1183/90,"")</f>
        <v>0.003350891939826679</v>
      </c>
      <c r="M1183" s="28" t="n">
        <v>0</v>
      </c>
      <c r="N1183" s="28" t="n">
        <v>0</v>
      </c>
      <c r="O1183" s="28" t="n">
        <v>0</v>
      </c>
      <c r="P1183" s="30" t="n">
        <f>IF(AND(ISNUMBER(L1183),L1183&gt;0,COUNT(M1183:O1183)=3,MIN(M1183:O1183)&gt;=0),SUM(M1183:O1183)/L1183,"")</f>
        <v>0</v>
      </c>
      <c r="Q1183" s="16" t="str">
        <v>沿用原计划SKU店铺</v>
      </c>
      <c r="R1183" s="16" t="str">
        <v>未匹配</v>
      </c>
      <c r="S1183" s="16" t="str">
        <v>停售</v>
      </c>
      <c r="T1183" s="16" t="str">
        <v>2302153</v>
      </c>
      <c r="U1183" s="16" t="str">
        <v>红色</v>
      </c>
      <c r="V1183" s="16" t="n">
        <v>6.5</v>
      </c>
      <c r="W1183" s="8" t="str">
        <v>2026-10-08 至 2026-10-17</v>
      </c>
      <c r="X1183" s="8" t="str">
        <v>2026-10-08、2026-10-09、2026-10-10、2026-10-11、2026-10-14、2026-10-15、2026-10-17</v>
      </c>
      <c r="Y1183" s="8" t="str">
        <v>2026-10-12 有记录的停售日；2026-10-13 有记录的停售日；2026-10-16 有记录的停售日</v>
      </c>
      <c r="Z1183" s="8" t="n">
        <v>0</v>
      </c>
      <c r="AA1183" s="8" t="n">
        <v>0</v>
      </c>
      <c r="AB1183" s="8" t="n">
        <v>7</v>
      </c>
      <c r="AC1183" s="8" t="str">
        <v>2026-09-29 至 2026-10-17</v>
      </c>
      <c r="AD1183" s="8" t="str">
        <v>2026-09-29、2026-09-30、2026-10-01、2026-10-02、2026-10-03、2026-10-04、2026-10-05、2026-10-08、2026-10-09、2026-10-10、2026-10-11、2026-10-14、2026-10-15、2026-10-17</v>
      </c>
      <c r="AE1183" s="8" t="str">
        <v>2026-10-06 大促；2026-10-07 大促；2026-10-12 有记录的停售日；2026-10-13 有记录的停售日；2026-10-16 有记录的停售日</v>
      </c>
      <c r="AF1183" s="8" t="n">
        <v>0</v>
      </c>
      <c r="AG1183" s="8" t="n">
        <v>0</v>
      </c>
      <c r="AH1183" s="8" t="n">
        <v>14</v>
      </c>
      <c r="AI1183" s="8" t="str">
        <v>2026-09-13 至 2026-10-17</v>
      </c>
      <c r="AJ118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3" s="8" t="str">
        <v>2026-10-06 大促；2026-10-07 大促；2026-10-12 有记录的停售日；2026-10-13 有记录的停售日；2026-10-16 有记录的停售日</v>
      </c>
      <c r="AL1183" s="8" t="n">
        <v>0</v>
      </c>
      <c r="AM1183" s="8" t="n">
        <v>0</v>
      </c>
      <c r="AN1183" s="8" t="n">
        <v>30</v>
      </c>
      <c r="AO1183" s="8" t="str">
        <v>2302153 / 红色羊京绒 / 6574</v>
      </c>
      <c r="AP1183" s="11" t="n">
        <v>1.7391279184229513</v>
      </c>
      <c r="AQ1183" s="11" t="n">
        <v>1.6917168816426</v>
      </c>
      <c r="AR1183" s="11" t="n">
        <v>1.5400015639454752</v>
      </c>
      <c r="AS1183" s="11" t="n">
        <f>IF(AND(COUNT(I1183:K1183,AP1183:AR1183)=6,MIN(AP1183:AR1183)&gt;0),I1183/7/AP1183*0.5+J1183/14/AQ1183*0.3+K1183/30/AR1183*0.2,"")</f>
        <v>0</v>
      </c>
      <c r="AT1183" s="8" t="n">
        <v>0</v>
      </c>
      <c r="AU1183" s="8" t="n">
        <v>0</v>
      </c>
      <c r="AV1183" s="8" t="n">
        <v>85</v>
      </c>
      <c r="AW1183" s="11" t="n">
        <f>IF(AND(COUNT(AT1183:AV1183)=3,AT1183&gt;=AU1183,AU1183&gt;=0,AV1183&gt;0),(AT1183-AU1183)/AV1183,"")</f>
        <v>0</v>
      </c>
      <c r="AX1183" s="8" t="n">
        <v>1</v>
      </c>
      <c r="AY1183" s="8" t="n">
        <v>0</v>
      </c>
      <c r="AZ1183" s="8" t="n">
        <v>175</v>
      </c>
      <c r="BA1183" s="11" t="n">
        <f>IF(AND(COUNT(AX1183:AZ1183)=3,AX1183&gt;=AY1183,AY1183&gt;=0,AZ1183&gt;0),(AX1183-AY1183)/AZ1183,"")</f>
        <v>0.005714285714285714</v>
      </c>
      <c r="BB1183" s="8" t="n">
        <f>IF(COUNT(AS1183,AW1183,BA1183)=3,1,0)</f>
        <v>1</v>
      </c>
      <c r="BC1183" s="11" t="n">
        <f>IF(SUMIF($AO$11:$AO$1309,AO1183,$BB$11:$BB$1309)=COUNTIF($AO$11:$AO$1309,AO1183),SUMIF($AO$11:$AO$1309,AO1183,$AS$11:$AS$1309),"")</f>
        <v>0.5532040882147117</v>
      </c>
      <c r="BD1183" s="11" t="n">
        <f>IF(SUMIF($AO$11:$AO$1309,AO1183,$BB$11:$BB$1309)=COUNTIF($AO$11:$AO$1309,AO1183),SUMIF($AO$11:$AO$1309,AO1183,$AW$11:$AW$1309),"")</f>
        <v>0.3535973323498679</v>
      </c>
      <c r="BE1183" s="11" t="n">
        <f>IF(SUMIF($AO$11:$AO$1309,AO1183,$BB$11:$BB$1309)=COUNTIF($AO$11:$AO$1309,AO1183),SUMIF($AO$11:$AO$1309,AO1183,$BA$11:$BA$1309),"")</f>
        <v>0.34420255552230417</v>
      </c>
      <c r="BF1183" s="12" t="n">
        <f>IF(COUNT(BD1183:BE1183)&lt;&gt;2,"",IF(AND(BD1183&gt;0,BE1183&gt;0),0.7*AW1183/BD1183+0.3*BA1183/BE1183,IF(BD1183&gt;0,AW1183/BD1183,IF(BE1183&gt;0,BA1183/BE1183,IF(AND(ISNUMBER(BH1183),BH1183=0),0,"")))))</f>
        <v>0.004980456091281488</v>
      </c>
      <c r="BG1183" s="11" t="n">
        <f>IF(AND(COUNT(BN1183:BU1183)=8,MIN(BN1183:BU1183)&gt;=0),SUMPRODUCT(BN1183:BQ1183,BR1183:BU1183),"")</f>
        <v>109.4582336985339</v>
      </c>
      <c r="BH1183" s="11" t="n">
        <f>IF(COUNT(BC1183,BG1183)=2,BC1183*BG1183,"")</f>
        <v>60.55274237079028</v>
      </c>
      <c r="BI1183" s="11" t="n">
        <f>IF(ISNUMBER(CI1183),CI1183,"")</f>
        <v>0.3015802745844011</v>
      </c>
      <c r="BJ1183" s="8" t="str">
        <v>近180天本色销量75双（＜90），无有效新采购，请运营判断</v>
      </c>
      <c r="BK1183" s="8" t="str">
        <v>90天：2026-07-20 至 2026-10-17；180天：2026-04-21 至 2026-10-17</v>
      </c>
      <c r="BL1183" s="8" t="str">
        <v>90天：2026-10-06、2026-10-07、2026-10-12、2026-10-13、2026-10-16；180天：2026-10-06、2026-10-07、2026-10-12、2026-10-13、2026-10-16</v>
      </c>
      <c r="BM1183" s="8" t="str">
        <v>2026-10：12天 × 1.7391279184229513；2026-11：30天 × 1.4002077845513243；2026-12：31天 × 1.079339935625147；2027-01：17天 × 0.7719368903846591</v>
      </c>
      <c r="BN1183" s="11" t="n">
        <v>1.7391279184229513</v>
      </c>
      <c r="BO1183" s="11" t="n">
        <v>1.4002077845513243</v>
      </c>
      <c r="BP1183" s="11" t="n">
        <v>1.079339935625147</v>
      </c>
      <c r="BQ1183" s="11" t="n">
        <v>0.7719368903846591</v>
      </c>
      <c r="BR1183" s="8" t="n">
        <v>12</v>
      </c>
      <c r="BS1183" s="8" t="n">
        <v>30</v>
      </c>
      <c r="BT1183" s="8" t="n">
        <v>31</v>
      </c>
      <c r="BU1183" s="8" t="n">
        <v>17</v>
      </c>
      <c r="BV1183" s="11" t="n">
        <f>IF(COUNT(BC1183,BF1183)=2,BC1183*BF1183,"")</f>
        <v>0.0027552086708707824</v>
      </c>
      <c r="BW1183" s="11" t="n">
        <f>IF(ISNUMBER(BN1183),BN1183,"")</f>
        <v>1.7391279184229513</v>
      </c>
      <c r="BX1183" s="14" t="n">
        <f>IF(ISNUMBER(BR1183),BR1183,"")</f>
        <v>12</v>
      </c>
      <c r="BY1183" s="13" t="n">
        <f>IF(AND(COUNT(BV1183,BW1183,BX1183)=3,MIN(BV1183,BW1183,BX1183)&gt;=0),BV1183*BW1183*BX1183,"")</f>
        <v>0.05749992384710844</v>
      </c>
      <c r="BZ1183" s="11" t="n">
        <f>IF(ISNUMBER(BO1183),BO1183,"")</f>
        <v>1.4002077845513243</v>
      </c>
      <c r="CA1183" s="14" t="n">
        <f>IF(ISNUMBER(BS1183),BS1183,"")</f>
        <v>30</v>
      </c>
      <c r="CB1183" s="13" t="n">
        <f>IF(AND(COUNT(BV1183,BZ1183,CA1183)=3,MIN(BV1183,BZ1183,CA1183)&gt;=0),BV1183*BZ1183*CA1183,"")</f>
        <v>0.11573593887049731</v>
      </c>
      <c r="CC1183" s="11" t="n">
        <f>IF(ISNUMBER(BP1183),BP1183,"")</f>
        <v>1.079339935625147</v>
      </c>
      <c r="CD1183" s="14" t="n">
        <f>IF(ISNUMBER(BT1183),BT1183,"")</f>
        <v>31</v>
      </c>
      <c r="CE1183" s="13" t="n">
        <f>IF(AND(COUNT(BV1183,CC1183,CD1183)=3,MIN(BV1183,CC1183,CD1183)&gt;=0),BV1183*CC1183*CD1183,"")</f>
        <v>0.09218800923299703</v>
      </c>
      <c r="CF1183" s="11" t="n">
        <f>IF(ISNUMBER(BQ1183),BQ1183,"")</f>
        <v>0.7719368903846591</v>
      </c>
      <c r="CG1183" s="14" t="n">
        <f>IF(ISNUMBER(BU1183),BU1183,"")</f>
        <v>17</v>
      </c>
      <c r="CH1183" s="13" t="n">
        <f>IF(AND(COUNT(BV1183,CF1183,CG1183)=3,MIN(BV1183,CF1183,CG1183)&gt;=0),BV1183*CF1183*CG1183,"")</f>
        <v>0.0361564026337983</v>
      </c>
      <c r="CI1183" s="13" t="n">
        <f>IF(COUNT(BY1183,CB1183,CE1183,CH1183)=4,SUM(BY1183,CB1183,CE1183,CH1183),"")</f>
        <v>0.3015802745844011</v>
      </c>
    </row>
    <row r="1184" ht="72" customHeight="1">
      <c r="A1184" s="16" t="str">
        <v>32582-BKW-41.5</v>
      </c>
      <c r="B1184" s="16" t="str">
        <v>3店-SANDIEX-US</v>
      </c>
      <c r="C1184" s="16" t="str">
        <v>徐新怡</v>
      </c>
      <c r="D1184" s="26" t="str">
        <f>IF(NOT(ISNUMBER(E1184)),"",IF(OR(E1184&lt;=0,L1184=0),0,IF(OR(NOT(ISNUMBER(F1184)),F1184&lt;0),"",MIN(E1184,INT(F1184)))))</f>
      </c>
      <c r="E1184" s="27" t="n">
        <f>IF(OR(NOT(ISNUMBER(L1184)),COUNT(M1184:O1184)&lt;&gt;3,MIN(M1184:O1184)&lt;0),"",ROUNDUP(ROUND(BI1184-SUM(M1184:O1184),10),0))</f>
        <v>1</v>
      </c>
      <c r="F1184" s="28"/>
      <c r="G1184" s="28" t="str">
        <f>IF(AND(ISNUMBER(D1184),ISNUMBER(E1184)),IF(OR(E1184&lt;=0,L1184=0),0,E1184-D1184),"")</f>
      </c>
      <c r="H1184" s="16" t="str">
        <f>IF(NOT(ISNUMBER(E1184)),"销量或海外库存待补",IF(OR(E1184&lt;=0,L1184=0),IF(L1184=0,"零日销，本批不发","本批无需补货"),IF(NOT(ISNUMBER(D1184)),"国内库存待补",IF(D1184=0,"国内无可用库存",IF(G1184&gt;0,"先发国内现货","按建议量发货")))))</f>
        <v>国内库存待补</v>
      </c>
      <c r="I1184" s="28" t="n">
        <f>IF(AND(COUNT(Z1184,AA1184,AB1184)=3,Z1184&gt;=AA1184,AA1184&gt;=0,AB1184=7),Z1184-AA1184,"")</f>
        <v>0</v>
      </c>
      <c r="J1184" s="28" t="n">
        <f>IF(AND(COUNT(AF1184,AG1184,AH1184)=3,AF1184&gt;=AG1184,AG1184&gt;=0,AH1184=14),AF1184-AG1184,"")</f>
        <v>0</v>
      </c>
      <c r="K1184" s="28" t="n">
        <f>IF(AND(COUNT(AL1184,AM1184,AN1184)=3,AL1184&gt;=AM1184,AM1184&gt;=0,AN1184=30),AL1184-AM1184,"")</f>
        <v>1</v>
      </c>
      <c r="L1184" s="29" t="n">
        <f>IF(ISNUMBER(BI1184),BI1184/90,"")</f>
        <v>0.012347157952083071</v>
      </c>
      <c r="M1184" s="28" t="n">
        <v>1</v>
      </c>
      <c r="N1184" s="28" t="n">
        <v>0</v>
      </c>
      <c r="O1184" s="28" t="n">
        <v>0</v>
      </c>
      <c r="P1184" s="30" t="n">
        <f>IF(AND(ISNUMBER(L1184),L1184&gt;0,COUNT(M1184:O1184)=3,MIN(M1184:O1184)&gt;=0),SUM(M1184:O1184)/L1184,"")</f>
        <v>80.99029783864484</v>
      </c>
      <c r="Q1184" s="16" t="str">
        <v>沿用原计划SKU店铺</v>
      </c>
      <c r="R1184" s="16" t="str">
        <v>未匹配</v>
      </c>
      <c r="S1184" s="16" t="str">
        <v>在售</v>
      </c>
      <c r="T1184" s="16" t="str">
        <v>32582</v>
      </c>
      <c r="U1184" s="16" t="str">
        <v>黑色白色内里</v>
      </c>
      <c r="V1184" s="16" t="n">
        <v>10.5</v>
      </c>
      <c r="W1184" s="8" t="str">
        <v>2026-10-11 至 2026-10-17</v>
      </c>
      <c r="X1184" s="8" t="str">
        <v>2026-10-11、2026-10-12、2026-10-13、2026-10-14、2026-10-15、2026-10-16、2026-10-17</v>
      </c>
      <c r="Y1184" s="8" t="str">
        <v>无</v>
      </c>
      <c r="Z1184" s="8" t="n">
        <v>0</v>
      </c>
      <c r="AA1184" s="8" t="n">
        <v>0</v>
      </c>
      <c r="AB1184" s="8" t="n">
        <v>7</v>
      </c>
      <c r="AC1184" s="8" t="str">
        <v>2026-10-02 至 2026-10-17</v>
      </c>
      <c r="AD1184" s="8" t="str">
        <v>2026-10-02、2026-10-03、2026-10-04、2026-10-05、2026-10-08、2026-10-09、2026-10-10、2026-10-11、2026-10-12、2026-10-13、2026-10-14、2026-10-15、2026-10-16、2026-10-17</v>
      </c>
      <c r="AE1184" s="8" t="str">
        <v>2026-10-06 大促；2026-10-07 大促</v>
      </c>
      <c r="AF1184" s="8" t="n">
        <v>0</v>
      </c>
      <c r="AG1184" s="8" t="n">
        <v>0</v>
      </c>
      <c r="AH1184" s="8" t="n">
        <v>14</v>
      </c>
      <c r="AI1184" s="8" t="str">
        <v>2026-09-16 至 2026-10-17</v>
      </c>
      <c r="AJ11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84" s="8" t="str">
        <v>2026-10-06 大促；2026-10-07 大促</v>
      </c>
      <c r="AL1184" s="8" t="n">
        <v>1</v>
      </c>
      <c r="AM1184" s="8" t="n">
        <v>0</v>
      </c>
      <c r="AN1184" s="8" t="n">
        <v>30</v>
      </c>
      <c r="AO1184" s="8" t="str">
        <v>32582 / 黑色白色内里羊京绒 / 6574</v>
      </c>
      <c r="AP1184" s="11" t="n">
        <v>1.0395067087630607</v>
      </c>
      <c r="AQ1184" s="11" t="n">
        <v>1.0395067087630607</v>
      </c>
      <c r="AR1184" s="11" t="n">
        <v>1.0707336504782758</v>
      </c>
      <c r="AS1184" s="11" t="n">
        <f>IF(AND(COUNT(I1184:K1184,AP1184:AR1184)=6,MIN(AP1184:AR1184)&gt;0),I1184/7/AP1184*0.5+J1184/14/AQ1184*0.3+K1184/30/AR1184*0.2,"")</f>
        <v>0.006226260530514565</v>
      </c>
      <c r="AT1184" s="8" t="n">
        <v>1</v>
      </c>
      <c r="AU1184" s="8" t="n">
        <v>0</v>
      </c>
      <c r="AV1184" s="8" t="n">
        <v>88</v>
      </c>
      <c r="AW1184" s="11" t="n">
        <f>IF(AND(COUNT(AT1184:AV1184)=3,AT1184&gt;=AU1184,AU1184&gt;=0,AV1184&gt;0),(AT1184-AU1184)/AV1184,"")</f>
        <v>0.011363636363636364</v>
      </c>
      <c r="AX1184" s="8" t="n">
        <v>2</v>
      </c>
      <c r="AY1184" s="8" t="n">
        <v>0</v>
      </c>
      <c r="AZ1184" s="8" t="n">
        <v>178</v>
      </c>
      <c r="BA1184" s="11" t="n">
        <f>IF(AND(COUNT(AX1184:AZ1184)=3,AX1184&gt;=AY1184,AY1184&gt;=0,AZ1184&gt;0),(AX1184-AY1184)/AZ1184,"")</f>
        <v>0.011235955056179775</v>
      </c>
      <c r="BB1184" s="8" t="n">
        <f>IF(COUNT(AS1184,AW1184,BA1184)=3,1,0)</f>
        <v>1</v>
      </c>
      <c r="BC1184" s="11" t="n">
        <f>IF(SUMIF($AO$11:$AO$1309,AO1184,$BB$11:$BB$1309)=COUNTIF($AO$11:$AO$1309,AO1184),SUMIF($AO$11:$AO$1309,AO1184,$AS$11:$AS$1309),"")</f>
        <v>1.7016895050610588</v>
      </c>
      <c r="BD1184" s="11" t="n">
        <f>IF(SUMIF($AO$11:$AO$1309,AO1184,$BB$11:$BB$1309)=COUNTIF($AO$11:$AO$1309,AO1184),SUMIF($AO$11:$AO$1309,AO1184,$AW$11:$AW$1309),"")</f>
        <v>1.522727272727273</v>
      </c>
      <c r="BE1184" s="11" t="n">
        <f>IF(SUMIF($AO$11:$AO$1309,AO1184,$BB$11:$BB$1309)=COUNTIF($AO$11:$AO$1309,AO1184),SUMIF($AO$11:$AO$1309,AO1184,$BA$11:$BA$1309),"")</f>
        <v>1.5505617977528092</v>
      </c>
      <c r="BF1184" s="12" t="n">
        <f>IF(COUNT(BD1184:BE1184)&lt;&gt;2,"",IF(AND(BD1184&gt;0,BE1184&gt;0),0.7*AW1184/BD1184+0.3*BA1184/BE1184,IF(BD1184&gt;0,AW1184/BD1184,IF(BE1184&gt;0,BA1184/BE1184,IF(AND(ISNUMBER(BH1184),BH1184=0),0,"")))))</f>
        <v>0.007397793640493184</v>
      </c>
      <c r="BG1184" s="11" t="n">
        <f>IF(AND(COUNT(BN1184:BU1184)=8,MIN(BN1184:BU1184)&gt;=0),SUMPRODUCT(BN1184:BQ1184,BR1184:BU1184),"")</f>
        <v>88.27281580841549</v>
      </c>
      <c r="BH1184" s="11" t="n">
        <f>IF(COUNT(BC1184,BG1184)=2,BC1184*BG1184,"")</f>
        <v>150.21292424336855</v>
      </c>
      <c r="BI1184" s="11" t="n">
        <f>IF(ISNUMBER(CI1184),CI1184,"")</f>
        <v>1.1112442156874764</v>
      </c>
      <c r="BJ1184" s="8" t="str">
        <v>低销提醒依据不完整</v>
      </c>
      <c r="BK1184" s="8" t="str">
        <v>90天：2026-07-20 至 2026-10-17；180天：2026-04-21 至 2026-10-17</v>
      </c>
      <c r="BL1184" s="8" t="str">
        <v>90天：2026-10-06、2026-10-07；180天：2026-10-06、2026-10-07</v>
      </c>
      <c r="BM1184" s="8" t="str">
        <v>2026-10：12天 × 1.0395067087630607；2026-11：30天 × 0.9890368360033146；2026-12：31天 × 0.7800796503018808；2027-01：17天 × 1.2908918272824135</v>
      </c>
      <c r="BN1184" s="11" t="n">
        <v>1.0395067087630607</v>
      </c>
      <c r="BO1184" s="11" t="n">
        <v>0.9890368360033146</v>
      </c>
      <c r="BP1184" s="11" t="n">
        <v>0.7800796503018808</v>
      </c>
      <c r="BQ1184" s="11" t="n">
        <v>1.2908918272824135</v>
      </c>
      <c r="BR1184" s="8" t="n">
        <v>12</v>
      </c>
      <c r="BS1184" s="8" t="n">
        <v>30</v>
      </c>
      <c r="BT1184" s="8" t="n">
        <v>31</v>
      </c>
      <c r="BU1184" s="8" t="n">
        <v>17</v>
      </c>
      <c r="BV1184" s="11" t="n">
        <f>IF(COUNT(BC1184,BF1184)=2,BC1184*BF1184,"")</f>
        <v>0.012588747798634694</v>
      </c>
      <c r="BW1184" s="11" t="n">
        <f>IF(ISNUMBER(BN1184),BN1184,"")</f>
        <v>1.0395067087630607</v>
      </c>
      <c r="BX1184" s="14" t="n">
        <f>IF(ISNUMBER(BR1184),BR1184,"")</f>
        <v>12</v>
      </c>
      <c r="BY1184" s="13" t="n">
        <f>IF(AND(COUNT(BV1184,BW1184,BX1184)=3,MIN(BV1184,BW1184,BX1184)&gt;=0),BV1184*BW1184*BX1184,"")</f>
        <v>0.1570330534992837</v>
      </c>
      <c r="BZ1184" s="11" t="n">
        <f>IF(ISNUMBER(BO1184),BO1184,"")</f>
        <v>0.9890368360033146</v>
      </c>
      <c r="CA1184" s="14" t="n">
        <f>IF(ISNUMBER(BS1184),BS1184,"")</f>
        <v>30</v>
      </c>
      <c r="CB1184" s="13" t="n">
        <f>IF(AND(COUNT(BV1184,BZ1184,CA1184)=3,MIN(BV1184,BZ1184,CA1184)&gt;=0),BV1184*BZ1184*CA1184,"")</f>
        <v>0.3735220587601605</v>
      </c>
      <c r="CC1184" s="11" t="n">
        <f>IF(ISNUMBER(BP1184),BP1184,"")</f>
        <v>0.7800796503018808</v>
      </c>
      <c r="CD1184" s="14" t="n">
        <f>IF(ISNUMBER(BT1184),BT1184,"")</f>
        <v>31</v>
      </c>
      <c r="CE1184" s="13" t="n">
        <f>IF(AND(COUNT(BV1184,CC1184,CD1184)=3,MIN(BV1184,CC1184,CD1184)&gt;=0),BV1184*CC1184*CD1184,"")</f>
        <v>0.3044270053954232</v>
      </c>
      <c r="CF1184" s="11" t="n">
        <f>IF(ISNUMBER(BQ1184),BQ1184,"")</f>
        <v>1.2908918272824135</v>
      </c>
      <c r="CG1184" s="14" t="n">
        <f>IF(ISNUMBER(BU1184),BU1184,"")</f>
        <v>17</v>
      </c>
      <c r="CH1184" s="13" t="n">
        <f>IF(AND(COUNT(BV1184,CF1184,CG1184)=3,MIN(BV1184,CF1184,CG1184)&gt;=0),BV1184*CF1184*CG1184,"")</f>
        <v>0.27626209803260904</v>
      </c>
      <c r="CI1184" s="13" t="n">
        <f>IF(COUNT(BY1184,CB1184,CE1184,CH1184)=4,SUM(BY1184,CB1184,CE1184,CH1184),"")</f>
        <v>1.1112442156874764</v>
      </c>
    </row>
    <row r="1185" ht="72" customHeight="1">
      <c r="A1185" s="16" t="str">
        <v>B06-BK-V-0-41</v>
      </c>
      <c r="B1185" s="16" t="str">
        <v>1店-MUSSHOE-US</v>
      </c>
      <c r="C1185" s="16" t="str">
        <v>艾年</v>
      </c>
      <c r="D1185" s="26" t="str">
        <f>IF(NOT(ISNUMBER(E1185)),"",IF(OR(E1185&lt;=0,L1185=0),0,IF(OR(NOT(ISNUMBER(F1185)),F1185&lt;0),"",MIN(E1185,INT(F1185)))))</f>
      </c>
      <c r="E1185" s="27" t="n">
        <f>IF(OR(NOT(ISNUMBER(L1185)),COUNT(M1185:O1185)&lt;&gt;3,MIN(M1185:O1185)&lt;0),"",ROUNDUP(ROUND(BI1185-SUM(M1185:O1185),10),0))</f>
        <v>1</v>
      </c>
      <c r="F1185" s="28"/>
      <c r="G1185" s="28" t="str">
        <f>IF(AND(ISNUMBER(D1185),ISNUMBER(E1185)),IF(OR(E1185&lt;=0,L1185=0),0,E1185-D1185),"")</f>
      </c>
      <c r="H1185" s="16" t="str">
        <f>IF(NOT(ISNUMBER(E1185)),"销量或海外库存待补",IF(OR(E1185&lt;=0,L1185=0),IF(L1185=0,"零日销，本批不发","本批无需补货"),IF(NOT(ISNUMBER(D1185)),"国内库存待补",IF(D1185=0,"国内无可用库存",IF(G1185&gt;0,"先发国内现货","按建议量发货")))))</f>
        <v>国内库存待补</v>
      </c>
      <c r="I1185" s="28" t="n">
        <f>IF(AND(COUNT(Z1185,AA1185,AB1185)=3,Z1185&gt;=AA1185,AA1185&gt;=0,AB1185=7),Z1185-AA1185,"")</f>
        <v>0</v>
      </c>
      <c r="J1185" s="28" t="n">
        <f>IF(AND(COUNT(AF1185,AG1185,AH1185)=3,AF1185&gt;=AG1185,AG1185&gt;=0,AH1185=14),AF1185-AG1185,"")</f>
        <v>0</v>
      </c>
      <c r="K1185" s="28" t="n">
        <f>IF(AND(COUNT(AL1185,AM1185,AN1185)=3,AL1185&gt;=AM1185,AM1185&gt;=0,AN1185=30),AL1185-AM1185,"")</f>
        <v>0</v>
      </c>
      <c r="L1185" s="29" t="n">
        <f>IF(ISNUMBER(BI1185),BI1185/90,"")</f>
        <v>0.009544725062096653</v>
      </c>
      <c r="M1185" s="28" t="n">
        <v>0</v>
      </c>
      <c r="N1185" s="28" t="n">
        <v>0</v>
      </c>
      <c r="O1185" s="28" t="n">
        <v>0</v>
      </c>
      <c r="P1185" s="30" t="n">
        <f>IF(AND(ISNUMBER(L1185),L1185&gt;0,COUNT(M1185:O1185)=3,MIN(M1185:O1185)&gt;=0),SUM(M1185:O1185)/L1185,"")</f>
        <v>0</v>
      </c>
      <c r="Q1185" s="16" t="str">
        <v>沿用原计划SKU店铺</v>
      </c>
      <c r="R1185" s="16" t="str">
        <v>未匹配</v>
      </c>
      <c r="S1185" s="16" t="str">
        <v>停售</v>
      </c>
      <c r="T1185" s="16" t="str">
        <v>B06</v>
      </c>
      <c r="U1185" s="16" t="str">
        <v>黑色天鹅绒</v>
      </c>
      <c r="V1185" s="16" t="n">
        <v>10.5</v>
      </c>
      <c r="W1185" s="8" t="str">
        <v>2026-10-08 至 2026-10-17</v>
      </c>
      <c r="X1185" s="8" t="str">
        <v>2026-10-08、2026-10-09、2026-10-10、2026-10-11、2026-10-14、2026-10-15、2026-10-17</v>
      </c>
      <c r="Y1185" s="8" t="str">
        <v>2026-10-12 有记录的停售日；2026-10-13 有记录的停售日；2026-10-16 有记录的停售日</v>
      </c>
      <c r="Z1185" s="8" t="n">
        <v>0</v>
      </c>
      <c r="AA1185" s="8" t="n">
        <v>0</v>
      </c>
      <c r="AB1185" s="8" t="n">
        <v>7</v>
      </c>
      <c r="AC1185" s="8" t="str">
        <v>2026-09-29 至 2026-10-17</v>
      </c>
      <c r="AD1185" s="8" t="str">
        <v>2026-09-29、2026-09-30、2026-10-01、2026-10-02、2026-10-03、2026-10-04、2026-10-05、2026-10-08、2026-10-09、2026-10-10、2026-10-11、2026-10-14、2026-10-15、2026-10-17</v>
      </c>
      <c r="AE1185" s="8" t="str">
        <v>2026-10-06 大促；2026-10-07 大促；2026-10-12 有记录的停售日；2026-10-13 有记录的停售日；2026-10-16 有记录的停售日</v>
      </c>
      <c r="AF1185" s="8" t="n">
        <v>0</v>
      </c>
      <c r="AG1185" s="8" t="n">
        <v>0</v>
      </c>
      <c r="AH1185" s="8" t="n">
        <v>14</v>
      </c>
      <c r="AI1185" s="8" t="str">
        <v>2026-09-13 至 2026-10-17</v>
      </c>
      <c r="AJ118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5" s="8" t="str">
        <v>2026-10-06 大促；2026-10-07 大促；2026-10-12 有记录的停售日；2026-10-13 有记录的停售日；2026-10-16 有记录的停售日</v>
      </c>
      <c r="AL1185" s="8" t="n">
        <v>0</v>
      </c>
      <c r="AM1185" s="8" t="n">
        <v>0</v>
      </c>
      <c r="AN1185" s="8" t="n">
        <v>30</v>
      </c>
      <c r="AO1185" s="8" t="str">
        <v>B06 / 黑色羊京绒 / 13120</v>
      </c>
      <c r="AP1185" s="11" t="n">
        <v>1.2247029157699902</v>
      </c>
      <c r="AQ1185" s="11" t="n">
        <v>1.1929861014741694</v>
      </c>
      <c r="AR1185" s="11" t="n">
        <v>1.0914922957275428</v>
      </c>
      <c r="AS1185" s="11" t="n">
        <f>IF(AND(COUNT(I1185:K1185,AP1185:AR1185)=6,MIN(AP1185:AR1185)&gt;0),I1185/7/AP1185*0.5+J1185/14/AQ1185*0.3+K1185/30/AR1185*0.2,"")</f>
        <v>0</v>
      </c>
      <c r="AT1185" s="8" t="n">
        <v>1</v>
      </c>
      <c r="AU1185" s="8" t="n">
        <v>0</v>
      </c>
      <c r="AV1185" s="8" t="n">
        <v>85</v>
      </c>
      <c r="AW1185" s="11" t="n">
        <f>IF(AND(COUNT(AT1185:AV1185)=3,AT1185&gt;=AU1185,AU1185&gt;=0,AV1185&gt;0),(AT1185-AU1185)/AV1185,"")</f>
        <v>0.011764705882352941</v>
      </c>
      <c r="AX1185" s="8" t="n">
        <v>2</v>
      </c>
      <c r="AY1185" s="8" t="n">
        <v>0</v>
      </c>
      <c r="AZ1185" s="8" t="n">
        <v>175</v>
      </c>
      <c r="BA1185" s="11" t="n">
        <f>IF(AND(COUNT(AX1185:AZ1185)=3,AX1185&gt;=AY1185,AY1185&gt;=0,AZ1185&gt;0),(AX1185-AY1185)/AZ1185,"")</f>
        <v>0.011428571428571429</v>
      </c>
      <c r="BB1185" s="8" t="n">
        <f>IF(COUNT(AS1185,AW1185,BA1185)=3,1,0)</f>
        <v>1</v>
      </c>
      <c r="BC1185" s="11" t="n">
        <f>IF(SUMIF($AO$11:$AO$1309,AO1185,$BB$11:$BB$1309)=COUNTIF($AO$11:$AO$1309,AO1185),SUMIF($AO$11:$AO$1309,AO1185,$AS$11:$AS$1309),"")</f>
        <v>11.479673646705146</v>
      </c>
      <c r="BD1185" s="11" t="n">
        <f>IF(SUMIF($AO$11:$AO$1309,AO1185,$BB$11:$BB$1309)=COUNTIF($AO$11:$AO$1309,AO1185),SUMIF($AO$11:$AO$1309,AO1185,$AW$11:$AW$1309),"")</f>
        <v>12.119251336898396</v>
      </c>
      <c r="BE1185" s="11" t="n">
        <f>IF(SUMIF($AO$11:$AO$1309,AO1185,$BB$11:$BB$1309)=COUNTIF($AO$11:$AO$1309,AO1185),SUMIF($AO$11:$AO$1309,AO1185,$BA$11:$BA$1309),"")</f>
        <v>10.255120385232745</v>
      </c>
      <c r="BF1185" s="12" t="n">
        <f>IF(COUNT(BD1185:BE1185)&lt;&gt;2,"",IF(AND(BD1185&gt;0,BE1185&gt;0),0.7*AW1185/BD1185+0.3*BA1185/BE1185,IF(BD1185&gt;0,AW1185/BD1185,IF(BE1185&gt;0,BA1185/BE1185,IF(AND(ISNUMBER(BH1185),BH1185=0),0,"")))))</f>
        <v>0.0010138494474923015</v>
      </c>
      <c r="BG1185" s="11" t="n">
        <f>IF(AND(COUNT(BN1185:BU1185)=8,MIN(BN1185:BU1185)&gt;=0),SUMPRODUCT(BN1185:BQ1185,BR1185:BU1185),"")</f>
        <v>73.80791239847399</v>
      </c>
      <c r="BH1185" s="11" t="n">
        <f>IF(COUNT(BC1185,BG1185)=2,BC1185*BG1185,"")</f>
        <v>847.2907468790838</v>
      </c>
      <c r="BI1185" s="11" t="n">
        <f>IF(ISNUMBER(CI1185),CI1185,"")</f>
        <v>0.8590252555886987</v>
      </c>
      <c r="BJ1185" s="8" t="str">
        <v>低销提醒依据不完整</v>
      </c>
      <c r="BK1185" s="8" t="str">
        <v>90天：2026-07-20 至 2026-10-17；180天：2026-04-21 至 2026-10-17</v>
      </c>
      <c r="BL1185" s="8" t="str">
        <v>90天：2026-10-06、2026-10-07、2026-10-12、2026-10-13、2026-10-16；180天：2026-10-06、2026-10-07、2026-10-12、2026-10-13、2026-10-16</v>
      </c>
      <c r="BM1185" s="8" t="str">
        <v>2026-10：12天 × 1.2247029157699902；2026-11：30天 × 0.8332682139098497；2026-12：31天 × 0.5511018253564084；2027-01：17天 × 1.0017220238758797</v>
      </c>
      <c r="BN1185" s="11" t="n">
        <v>1.2247029157699902</v>
      </c>
      <c r="BO1185" s="11" t="n">
        <v>0.8332682139098497</v>
      </c>
      <c r="BP1185" s="11" t="n">
        <v>0.5511018253564084</v>
      </c>
      <c r="BQ1185" s="11" t="n">
        <v>1.0017220238758797</v>
      </c>
      <c r="BR1185" s="8" t="n">
        <v>12</v>
      </c>
      <c r="BS1185" s="8" t="n">
        <v>30</v>
      </c>
      <c r="BT1185" s="8" t="n">
        <v>31</v>
      </c>
      <c r="BU1185" s="8" t="n">
        <v>17</v>
      </c>
      <c r="BV1185" s="11" t="n">
        <f>IF(COUNT(BC1185,BF1185)=2,BC1185*BF1185,"")</f>
        <v>0.011638660784103947</v>
      </c>
      <c r="BW1185" s="11" t="n">
        <f>IF(ISNUMBER(BN1185),BN1185,"")</f>
        <v>1.2247029157699902</v>
      </c>
      <c r="BX1185" s="14" t="n">
        <f>IF(ISNUMBER(BR1185),BR1185,"")</f>
        <v>12</v>
      </c>
      <c r="BY1185" s="13" t="n">
        <f>IF(AND(COUNT(BV1185,BW1185,BX1185)=3,MIN(BV1185,BW1185,BX1185)&gt;=0),BV1185*BW1185*BX1185,"")</f>
        <v>0.17104682157539935</v>
      </c>
      <c r="BZ1185" s="11" t="n">
        <f>IF(ISNUMBER(BO1185),BO1185,"")</f>
        <v>0.8332682139098497</v>
      </c>
      <c r="CA1185" s="14" t="n">
        <f>IF(ISNUMBER(BS1185),BS1185,"")</f>
        <v>30</v>
      </c>
      <c r="CB1185" s="13" t="n">
        <f>IF(AND(COUNT(BV1185,BZ1185,CA1185)=3,MIN(BV1185,BZ1185,CA1185)&gt;=0),BV1185*BZ1185*CA1185,"")</f>
        <v>0.2909437825161872</v>
      </c>
      <c r="CC1185" s="11" t="n">
        <f>IF(ISNUMBER(BP1185),BP1185,"")</f>
        <v>0.5511018253564084</v>
      </c>
      <c r="CD1185" s="14" t="n">
        <f>IF(ISNUMBER(BT1185),BT1185,"")</f>
        <v>31</v>
      </c>
      <c r="CE1185" s="13" t="n">
        <f>IF(AND(COUNT(BV1185,CC1185,CD1185)=3,MIN(BV1185,CC1185,CD1185)&gt;=0),BV1185*CC1185*CD1185,"")</f>
        <v>0.1988367032875357</v>
      </c>
      <c r="CF1185" s="11" t="n">
        <f>IF(ISNUMBER(BQ1185),BQ1185,"")</f>
        <v>1.0017220238758797</v>
      </c>
      <c r="CG1185" s="14" t="n">
        <f>IF(ISNUMBER(BU1185),BU1185,"")</f>
        <v>17</v>
      </c>
      <c r="CH1185" s="13" t="n">
        <f>IF(AND(COUNT(BV1185,CF1185,CG1185)=3,MIN(BV1185,CF1185,CG1185)&gt;=0),BV1185*CF1185*CG1185,"")</f>
        <v>0.19819794820957645</v>
      </c>
      <c r="CI1185" s="13" t="n">
        <f>IF(COUNT(BY1185,CB1185,CE1185,CH1185)=4,SUM(BY1185,CB1185,CE1185,CH1185),"")</f>
        <v>0.8590252555886987</v>
      </c>
    </row>
    <row r="1186" ht="72" customHeight="1">
      <c r="A1186" s="16" t="str">
        <v>B06-BP-38.5</v>
      </c>
      <c r="B1186" s="16" t="str">
        <v>1店-MUSSHOE-US</v>
      </c>
      <c r="C1186" s="16" t="str">
        <v>艾年</v>
      </c>
      <c r="D1186" s="26" t="str">
        <f>IF(NOT(ISNUMBER(E1186)),"",IF(OR(E1186&lt;=0,L1186=0),0,IF(OR(NOT(ISNUMBER(F1186)),F1186&lt;0),"",MIN(E1186,INT(F1186)))))</f>
      </c>
      <c r="E1186" s="27" t="n">
        <f>IF(OR(NOT(ISNUMBER(L1186)),COUNT(M1186:O1186)&lt;&gt;3,MIN(M1186:O1186)&lt;0),"",ROUNDUP(ROUND(BI1186-SUM(M1186:O1186),10),0))</f>
        <v>1</v>
      </c>
      <c r="F1186" s="28"/>
      <c r="G1186" s="28" t="str">
        <f>IF(AND(ISNUMBER(D1186),ISNUMBER(E1186)),IF(OR(E1186&lt;=0,L1186=0),0,E1186-D1186),"")</f>
      </c>
      <c r="H1186" s="16" t="str">
        <f>IF(NOT(ISNUMBER(E1186)),"销量或海外库存待补",IF(OR(E1186&lt;=0,L1186=0),IF(L1186=0,"零日销，本批不发","本批无需补货"),IF(NOT(ISNUMBER(D1186)),"国内库存待补",IF(D1186=0,"国内无可用库存",IF(G1186&gt;0,"先发国内现货","按建议量发货")))))</f>
        <v>国内库存待补</v>
      </c>
      <c r="I1186" s="28" t="n">
        <f>IF(AND(COUNT(Z1186,AA1186,AB1186)=3,Z1186&gt;=AA1186,AA1186&gt;=0,AB1186=7),Z1186-AA1186,"")</f>
        <v>0</v>
      </c>
      <c r="J1186" s="28" t="n">
        <f>IF(AND(COUNT(AF1186,AG1186,AH1186)=3,AF1186&gt;=AG1186,AG1186&gt;=0,AH1186=14),AF1186-AG1186,"")</f>
        <v>0</v>
      </c>
      <c r="K1186" s="28" t="n">
        <f>IF(AND(COUNT(AL1186,AM1186,AN1186)=3,AL1186&gt;=AM1186,AM1186&gt;=0,AN1186=30),AL1186-AM1186,"")</f>
        <v>0</v>
      </c>
      <c r="L1186" s="29" t="n">
        <f>IF(ISNUMBER(BI1186),BI1186/90,"")</f>
        <v>0.004095024557684238</v>
      </c>
      <c r="M1186" s="28" t="n">
        <v>0</v>
      </c>
      <c r="N1186" s="28" t="n">
        <v>0</v>
      </c>
      <c r="O1186" s="28" t="n">
        <v>0</v>
      </c>
      <c r="P1186" s="30" t="n">
        <f>IF(AND(ISNUMBER(L1186),L1186&gt;0,COUNT(M1186:O1186)=3,MIN(M1186:O1186)&gt;=0),SUM(M1186:O1186)/L1186,"")</f>
        <v>0</v>
      </c>
      <c r="Q1186" s="16" t="str">
        <v>沿用原计划SKU店铺</v>
      </c>
      <c r="R1186" s="16" t="str">
        <v>未匹配</v>
      </c>
      <c r="S1186" s="16" t="str">
        <v>停售</v>
      </c>
      <c r="T1186" s="16" t="str">
        <v>B06</v>
      </c>
      <c r="U1186" s="16" t="str">
        <v>黑色镜面PU</v>
      </c>
      <c r="V1186" s="16" t="n">
        <v>7.5</v>
      </c>
      <c r="W1186" s="8" t="str">
        <v>2026-10-08 至 2026-10-17</v>
      </c>
      <c r="X1186" s="8" t="str">
        <v>2026-10-08、2026-10-09、2026-10-10、2026-10-11、2026-10-14、2026-10-15、2026-10-17</v>
      </c>
      <c r="Y1186" s="8" t="str">
        <v>2026-10-12 有记录的停售日；2026-10-13 有记录的停售日；2026-10-16 有记录的停售日</v>
      </c>
      <c r="Z1186" s="8" t="n">
        <v>0</v>
      </c>
      <c r="AA1186" s="8" t="n">
        <v>0</v>
      </c>
      <c r="AB1186" s="8" t="n">
        <v>7</v>
      </c>
      <c r="AC1186" s="8" t="str">
        <v>2026-09-29 至 2026-10-17</v>
      </c>
      <c r="AD1186" s="8" t="str">
        <v>2026-09-29、2026-09-30、2026-10-01、2026-10-02、2026-10-03、2026-10-04、2026-10-05、2026-10-08、2026-10-09、2026-10-10、2026-10-11、2026-10-14、2026-10-15、2026-10-17</v>
      </c>
      <c r="AE1186" s="8" t="str">
        <v>2026-10-06 大促；2026-10-07 大促；2026-10-12 有记录的停售日；2026-10-13 有记录的停售日；2026-10-16 有记录的停售日</v>
      </c>
      <c r="AF1186" s="8" t="n">
        <v>0</v>
      </c>
      <c r="AG1186" s="8" t="n">
        <v>0</v>
      </c>
      <c r="AH1186" s="8" t="n">
        <v>14</v>
      </c>
      <c r="AI1186" s="8" t="str">
        <v>2026-09-13 至 2026-10-17</v>
      </c>
      <c r="AJ118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6" s="8" t="str">
        <v>2026-10-06 大促；2026-10-07 大促；2026-10-12 有记录的停售日；2026-10-13 有记录的停售日；2026-10-16 有记录的停售日</v>
      </c>
      <c r="AL1186" s="8" t="n">
        <v>0</v>
      </c>
      <c r="AM1186" s="8" t="n">
        <v>0</v>
      </c>
      <c r="AN1186" s="8" t="n">
        <v>30</v>
      </c>
      <c r="AO1186" s="8" t="str">
        <v>B06 / 黑色镜面 / 13120</v>
      </c>
      <c r="AP1186" s="11" t="n">
        <v>1.2247029157699902</v>
      </c>
      <c r="AQ1186" s="11" t="n">
        <v>1.1929861014741694</v>
      </c>
      <c r="AR1186" s="11" t="n">
        <v>1.0914922957275428</v>
      </c>
      <c r="AS1186" s="11" t="n">
        <f>IF(AND(COUNT(I1186:K1186,AP1186:AR1186)=6,MIN(AP1186:AR1186)&gt;0),I1186/7/AP1186*0.5+J1186/14/AQ1186*0.3+K1186/30/AR1186*0.2,"")</f>
        <v>0</v>
      </c>
      <c r="AT1186" s="8" t="n">
        <v>0</v>
      </c>
      <c r="AU1186" s="8" t="n">
        <v>0</v>
      </c>
      <c r="AV1186" s="8" t="n">
        <v>85</v>
      </c>
      <c r="AW1186" s="11" t="n">
        <f>IF(AND(COUNT(AT1186:AV1186)=3,AT1186&gt;=AU1186,AU1186&gt;=0,AV1186&gt;0),(AT1186-AU1186)/AV1186,"")</f>
        <v>0</v>
      </c>
      <c r="AX1186" s="8" t="n">
        <v>4</v>
      </c>
      <c r="AY1186" s="8" t="n">
        <v>0</v>
      </c>
      <c r="AZ1186" s="8" t="n">
        <v>175</v>
      </c>
      <c r="BA1186" s="11" t="n">
        <f>IF(AND(COUNT(AX1186:AZ1186)=3,AX1186&gt;=AY1186,AY1186&gt;=0,AZ1186&gt;0),(AX1186-AY1186)/AZ1186,"")</f>
        <v>0.022857142857142857</v>
      </c>
      <c r="BB1186" s="8" t="n">
        <f>IF(COUNT(AS1186,AW1186,BA1186)=3,1,0)</f>
        <v>1</v>
      </c>
      <c r="BC1186" s="11" t="n">
        <f>IF(SUMIF($AO$11:$AO$1309,AO1186,$BB$11:$BB$1309)=COUNTIF($AO$11:$AO$1309,AO1186),SUMIF($AO$11:$AO$1309,AO1186,$AS$11:$AS$1309),"")</f>
        <v>0.3114994469321209</v>
      </c>
      <c r="BD1186" s="11" t="n">
        <f>IF(SUMIF($AO$11:$AO$1309,AO1186,$BB$11:$BB$1309)=COUNTIF($AO$11:$AO$1309,AO1186),SUMIF($AO$11:$AO$1309,AO1186,$AW$11:$AW$1309),"")</f>
        <v>0.535135841170324</v>
      </c>
      <c r="BE1186" s="11" t="n">
        <f>IF(SUMIF($AO$11:$AO$1309,AO1186,$BB$11:$BB$1309)=COUNTIF($AO$11:$AO$1309,AO1186),SUMIF($AO$11:$AO$1309,AO1186,$BA$11:$BA$1309),"")</f>
        <v>0.427764144698062</v>
      </c>
      <c r="BF1186" s="12" t="n">
        <f>IF(COUNT(BD1186:BE1186)&lt;&gt;2,"",IF(AND(BD1186&gt;0,BE1186&gt;0),0.7*AW1186/BD1186+0.3*BA1186/BE1186,IF(BD1186&gt;0,AW1186/BD1186,IF(BE1186&gt;0,BA1186/BE1186,IF(AND(ISNUMBER(BH1186),BH1186=0),0,"")))))</f>
        <v>0.016030195476020977</v>
      </c>
      <c r="BG1186" s="11" t="n">
        <f>IF(AND(COUNT(BN1186:BU1186)=8,MIN(BN1186:BU1186)&gt;=0),SUMPRODUCT(BN1186:BQ1186,BR1186:BU1186),"")</f>
        <v>73.80791239847399</v>
      </c>
      <c r="BH1186" s="11" t="n">
        <f>IF(COUNT(BC1186,BG1186)=2,BC1186*BG1186,"")</f>
        <v>22.991123891339075</v>
      </c>
      <c r="BI1186" s="11" t="n">
        <f>IF(ISNUMBER(CI1186),CI1186,"")</f>
        <v>0.36855221019158146</v>
      </c>
      <c r="BJ1186" s="8" t="str">
        <v>低销提醒依据不完整</v>
      </c>
      <c r="BK1186" s="8" t="str">
        <v>90天：2026-07-20 至 2026-10-17；180天：2026-04-21 至 2026-10-17</v>
      </c>
      <c r="BL1186" s="8" t="str">
        <v>90天：2026-10-06、2026-10-07、2026-10-12、2026-10-13、2026-10-16；180天：2026-10-06、2026-10-07、2026-10-12、2026-10-13、2026-10-16</v>
      </c>
      <c r="BM1186" s="8" t="str">
        <v>2026-10：12天 × 1.2247029157699902；2026-11：30天 × 0.8332682139098497；2026-12：31天 × 0.5511018253564084；2027-01：17天 × 1.0017220238758797</v>
      </c>
      <c r="BN1186" s="11" t="n">
        <v>1.2247029157699902</v>
      </c>
      <c r="BO1186" s="11" t="n">
        <v>0.8332682139098497</v>
      </c>
      <c r="BP1186" s="11" t="n">
        <v>0.5511018253564084</v>
      </c>
      <c r="BQ1186" s="11" t="n">
        <v>1.0017220238758797</v>
      </c>
      <c r="BR1186" s="8" t="n">
        <v>12</v>
      </c>
      <c r="BS1186" s="8" t="n">
        <v>30</v>
      </c>
      <c r="BT1186" s="8" t="n">
        <v>31</v>
      </c>
      <c r="BU1186" s="8" t="n">
        <v>17</v>
      </c>
      <c r="BV1186" s="11" t="n">
        <f>IF(COUNT(BC1186,BF1186)=2,BC1186*BF1186,"")</f>
        <v>0.004993397024994321</v>
      </c>
      <c r="BW1186" s="11" t="n">
        <f>IF(ISNUMBER(BN1186),BN1186,"")</f>
        <v>1.2247029157699902</v>
      </c>
      <c r="BX1186" s="14" t="n">
        <f>IF(ISNUMBER(BR1186),BR1186,"")</f>
        <v>12</v>
      </c>
      <c r="BY1186" s="13" t="n">
        <f>IF(AND(COUNT(BV1186,BW1186,BX1186)=3,MIN(BV1186,BW1186,BX1186)&gt;=0),BV1186*BW1186*BX1186,"")</f>
        <v>0.07338513475329288</v>
      </c>
      <c r="BZ1186" s="11" t="n">
        <f>IF(ISNUMBER(BO1186),BO1186,"")</f>
        <v>0.8332682139098497</v>
      </c>
      <c r="CA1186" s="14" t="n">
        <f>IF(ISNUMBER(BS1186),BS1186,"")</f>
        <v>30</v>
      </c>
      <c r="CB1186" s="13" t="n">
        <f>IF(AND(COUNT(BV1186,BZ1186,CA1186)=3,MIN(BV1186,BZ1186,CA1186)&gt;=0),BV1186*BZ1186*CA1186,"")</f>
        <v>0.12482517061079325</v>
      </c>
      <c r="CC1186" s="11" t="n">
        <f>IF(ISNUMBER(BP1186),BP1186,"")</f>
        <v>0.5511018253564084</v>
      </c>
      <c r="CD1186" s="14" t="n">
        <f>IF(ISNUMBER(BT1186),BT1186,"")</f>
        <v>31</v>
      </c>
      <c r="CE1186" s="13" t="n">
        <f>IF(AND(COUNT(BV1186,CC1186,CD1186)=3,MIN(BV1186,CC1186,CD1186)&gt;=0),BV1186*CC1186*CD1186,"")</f>
        <v>0.08530797667131251</v>
      </c>
      <c r="CF1186" s="11" t="n">
        <f>IF(ISNUMBER(BQ1186),BQ1186,"")</f>
        <v>1.0017220238758797</v>
      </c>
      <c r="CG1186" s="14" t="n">
        <f>IF(ISNUMBER(BU1186),BU1186,"")</f>
        <v>17</v>
      </c>
      <c r="CH1186" s="13" t="n">
        <f>IF(AND(COUNT(BV1186,CF1186,CG1186)=3,MIN(BV1186,CF1186,CG1186)&gt;=0),BV1186*CF1186*CG1186,"")</f>
        <v>0.08503392815618284</v>
      </c>
      <c r="CI1186" s="13" t="n">
        <f>IF(COUNT(BY1186,CB1186,CE1186,CH1186)=4,SUM(BY1186,CB1186,CE1186,CH1186),"")</f>
        <v>0.36855221019158146</v>
      </c>
    </row>
    <row r="1187" ht="72" customHeight="1">
      <c r="A1187" s="16" t="str">
        <v>B06-ND-I-0-37</v>
      </c>
      <c r="B1187" s="16" t="str">
        <v>1店-MUSSHOE-US</v>
      </c>
      <c r="C1187" s="16" t="str">
        <v>艾年</v>
      </c>
      <c r="D1187" s="26" t="str">
        <f>IF(NOT(ISNUMBER(E1187)),"",IF(OR(E1187&lt;=0,L1187=0),0,IF(OR(NOT(ISNUMBER(F1187)),F1187&lt;0),"",MIN(E1187,INT(F1187)))))</f>
      </c>
      <c r="E1187" s="27" t="n">
        <f>IF(OR(NOT(ISNUMBER(L1187)),COUNT(M1187:O1187)&lt;&gt;3,MIN(M1187:O1187)&lt;0),"",ROUNDUP(ROUND(BI1187-SUM(M1187:O1187),10),0))</f>
        <v>1</v>
      </c>
      <c r="F1187" s="28"/>
      <c r="G1187" s="28" t="str">
        <f>IF(AND(ISNUMBER(D1187),ISNUMBER(E1187)),IF(OR(E1187&lt;=0,L1187=0),0,E1187-D1187),"")</f>
      </c>
      <c r="H1187" s="16" t="str">
        <f>IF(NOT(ISNUMBER(E1187)),"销量或海外库存待补",IF(OR(E1187&lt;=0,L1187=0),IF(L1187=0,"零日销，本批不发","本批无需补货"),IF(NOT(ISNUMBER(D1187)),"国内库存待补",IF(D1187=0,"国内无可用库存",IF(G1187&gt;0,"先发国内现货","按建议量发货")))))</f>
        <v>国内库存待补</v>
      </c>
      <c r="I1187" s="28" t="n">
        <f>IF(AND(COUNT(Z1187,AA1187,AB1187)=3,Z1187&gt;=AA1187,AA1187&gt;=0,AB1187=7),Z1187-AA1187,"")</f>
        <v>0</v>
      </c>
      <c r="J1187" s="28" t="n">
        <f>IF(AND(COUNT(AF1187,AG1187,AH1187)=3,AF1187&gt;=AG1187,AG1187&gt;=0,AH1187=14),AF1187-AG1187,"")</f>
        <v>0</v>
      </c>
      <c r="K1187" s="28" t="n">
        <f>IF(AND(COUNT(AL1187,AM1187,AN1187)=3,AL1187&gt;=AM1187,AM1187&gt;=0,AN1187=30),AL1187-AM1187,"")</f>
        <v>0</v>
      </c>
      <c r="L1187" s="29" t="n">
        <f>IF(ISNUMBER(BI1187),BI1187/90,"")</f>
        <v>0.0010776423920338893</v>
      </c>
      <c r="M1187" s="28" t="n">
        <v>0</v>
      </c>
      <c r="N1187" s="28" t="n">
        <v>0</v>
      </c>
      <c r="O1187" s="28" t="n">
        <v>0</v>
      </c>
      <c r="P1187" s="30" t="n">
        <f>IF(AND(ISNUMBER(L1187),L1187&gt;0,COUNT(M1187:O1187)=3,MIN(M1187:O1187)&gt;=0),SUM(M1187:O1187)/L1187,"")</f>
        <v>0</v>
      </c>
      <c r="Q1187" s="16" t="str">
        <v>沿用原计划SKU店铺</v>
      </c>
      <c r="R1187" s="16" t="str">
        <v>未匹配</v>
      </c>
      <c r="S1187" s="16" t="str">
        <v>停售</v>
      </c>
      <c r="T1187" s="16" t="str">
        <v>B06</v>
      </c>
      <c r="U1187" s="16" t="str">
        <v>裸色色织提花</v>
      </c>
      <c r="V1187" s="16" t="n">
        <v>6</v>
      </c>
      <c r="W1187" s="8" t="str">
        <v>2026-10-08 至 2026-10-17</v>
      </c>
      <c r="X1187" s="8" t="str">
        <v>2026-10-08、2026-10-09、2026-10-10、2026-10-11、2026-10-14、2026-10-15、2026-10-17</v>
      </c>
      <c r="Y1187" s="8" t="str">
        <v>2026-10-12 有记录的停售日；2026-10-13 有记录的停售日；2026-10-16 有记录的停售日</v>
      </c>
      <c r="Z1187" s="8" t="n">
        <v>0</v>
      </c>
      <c r="AA1187" s="8" t="n">
        <v>0</v>
      </c>
      <c r="AB1187" s="8" t="n">
        <v>7</v>
      </c>
      <c r="AC1187" s="8" t="str">
        <v>2026-09-29 至 2026-10-17</v>
      </c>
      <c r="AD1187" s="8" t="str">
        <v>2026-09-29、2026-09-30、2026-10-01、2026-10-02、2026-10-03、2026-10-04、2026-10-05、2026-10-08、2026-10-09、2026-10-10、2026-10-11、2026-10-14、2026-10-15、2026-10-17</v>
      </c>
      <c r="AE1187" s="8" t="str">
        <v>2026-10-06 大促；2026-10-07 大促；2026-10-12 有记录的停售日；2026-10-13 有记录的停售日；2026-10-16 有记录的停售日</v>
      </c>
      <c r="AF1187" s="8" t="n">
        <v>0</v>
      </c>
      <c r="AG1187" s="8" t="n">
        <v>0</v>
      </c>
      <c r="AH1187" s="8" t="n">
        <v>14</v>
      </c>
      <c r="AI1187" s="8" t="str">
        <v>2026-09-13 至 2026-10-17</v>
      </c>
      <c r="AJ118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7" s="8" t="str">
        <v>2026-10-06 大促；2026-10-07 大促；2026-10-12 有记录的停售日；2026-10-13 有记录的停售日；2026-10-16 有记录的停售日</v>
      </c>
      <c r="AL1187" s="8" t="n">
        <v>0</v>
      </c>
      <c r="AM1187" s="8" t="n">
        <v>0</v>
      </c>
      <c r="AN1187" s="8" t="n">
        <v>30</v>
      </c>
      <c r="AO1187" s="8" t="str">
        <v>B06 / 裸色羊京绒 / 13120</v>
      </c>
      <c r="AP1187" s="11" t="n">
        <v>1.2247029157699902</v>
      </c>
      <c r="AQ1187" s="11" t="n">
        <v>1.1929861014741694</v>
      </c>
      <c r="AR1187" s="11" t="n">
        <v>1.0914922957275428</v>
      </c>
      <c r="AS1187" s="11" t="n">
        <f>IF(AND(COUNT(I1187:K1187,AP1187:AR1187)=6,MIN(AP1187:AR1187)&gt;0),I1187/7/AP1187*0.5+J1187/14/AQ1187*0.3+K1187/30/AR1187*0.2,"")</f>
        <v>0</v>
      </c>
      <c r="AT1187" s="8" t="n">
        <v>0</v>
      </c>
      <c r="AU1187" s="8" t="n">
        <v>0</v>
      </c>
      <c r="AV1187" s="8" t="n">
        <v>85</v>
      </c>
      <c r="AW1187" s="11" t="n">
        <f>IF(AND(COUNT(AT1187:AV1187)=3,AT1187&gt;=AU1187,AU1187&gt;=0,AV1187&gt;0),(AT1187-AU1187)/AV1187,"")</f>
        <v>0</v>
      </c>
      <c r="AX1187" s="8" t="n">
        <v>1</v>
      </c>
      <c r="AY1187" s="8" t="n">
        <v>0</v>
      </c>
      <c r="AZ1187" s="8" t="n">
        <v>175</v>
      </c>
      <c r="BA1187" s="11" t="n">
        <f>IF(AND(COUNT(AX1187:AZ1187)=3,AX1187&gt;=AY1187,AY1187&gt;=0,AZ1187&gt;0),(AX1187-AY1187)/AZ1187,"")</f>
        <v>0.005714285714285714</v>
      </c>
      <c r="BB1187" s="8" t="n">
        <f>IF(COUNT(AS1187,AW1187,BA1187)=3,1,0)</f>
        <v>1</v>
      </c>
      <c r="BC1187" s="11" t="n">
        <f>IF(SUMIF($AO$11:$AO$1309,AO1187,$BB$11:$BB$1309)=COUNTIF($AO$11:$AO$1309,AO1187),SUMIF($AO$11:$AO$1309,AO1187,$AS$11:$AS$1309),"")</f>
        <v>10.520823885219587</v>
      </c>
      <c r="BD1187" s="11" t="n">
        <f>IF(SUMIF($AO$11:$AO$1309,AO1187,$BB$11:$BB$1309)=COUNTIF($AO$11:$AO$1309,AO1187),SUMIF($AO$11:$AO$1309,AO1187,$AW$11:$AW$1309),"")</f>
        <v>15.750802139037434</v>
      </c>
      <c r="BE1187" s="11" t="n">
        <f>IF(SUMIF($AO$11:$AO$1309,AO1187,$BB$11:$BB$1309)=COUNTIF($AO$11:$AO$1309,AO1187),SUMIF($AO$11:$AO$1309,AO1187,$BA$11:$BA$1309),"")</f>
        <v>13.725200642054572</v>
      </c>
      <c r="BF1187" s="12" t="n">
        <f>IF(COUNT(BD1187:BE1187)&lt;&gt;2,"",IF(AND(BD1187&gt;0,BE1187&gt;0),0.7*AW1187/BD1187+0.3*BA1187/BE1187,IF(BD1187&gt;0,AW1187/BD1187,IF(BE1187&gt;0,BA1187/BE1187,IF(AND(ISNUMBER(BH1187),BH1187=0),0,"")))))</f>
        <v>0.00012490059409645882</v>
      </c>
      <c r="BG1187" s="11" t="n">
        <f>IF(AND(COUNT(BN1187:BU1187)=8,MIN(BN1187:BU1187)&gt;=0),SUMPRODUCT(BN1187:BQ1187,BR1187:BU1187),"")</f>
        <v>73.80791239847399</v>
      </c>
      <c r="BH1187" s="11" t="n">
        <f>IF(COUNT(BC1187,BG1187)=2,BC1187*BG1187,"")</f>
        <v>776.52004768006</v>
      </c>
      <c r="BI1187" s="11" t="n">
        <f>IF(ISNUMBER(CI1187),CI1187,"")</f>
        <v>0.09698781528305003</v>
      </c>
      <c r="BJ1187" s="8" t="str">
        <v>低销提醒依据不完整</v>
      </c>
      <c r="BK1187" s="8" t="str">
        <v>90天：2026-07-20 至 2026-10-17；180天：2026-04-21 至 2026-10-17</v>
      </c>
      <c r="BL1187" s="8" t="str">
        <v>90天：2026-10-06、2026-10-07、2026-10-12、2026-10-13、2026-10-16；180天：2026-10-06、2026-10-07、2026-10-12、2026-10-13、2026-10-16</v>
      </c>
      <c r="BM1187" s="8" t="str">
        <v>2026-10：12天 × 1.2247029157699902；2026-11：30天 × 0.8332682139098497；2026-12：31天 × 0.5511018253564084；2027-01：17天 × 1.0017220238758797</v>
      </c>
      <c r="BN1187" s="11" t="n">
        <v>1.2247029157699902</v>
      </c>
      <c r="BO1187" s="11" t="n">
        <v>0.8332682139098497</v>
      </c>
      <c r="BP1187" s="11" t="n">
        <v>0.5511018253564084</v>
      </c>
      <c r="BQ1187" s="11" t="n">
        <v>1.0017220238758797</v>
      </c>
      <c r="BR1187" s="8" t="n">
        <v>12</v>
      </c>
      <c r="BS1187" s="8" t="n">
        <v>30</v>
      </c>
      <c r="BT1187" s="8" t="n">
        <v>31</v>
      </c>
      <c r="BU1187" s="8" t="n">
        <v>17</v>
      </c>
      <c r="BV1187" s="11" t="n">
        <f>IF(COUNT(BC1187,BF1187)=2,BC1187*BF1187,"")</f>
        <v>0.0013140571536481404</v>
      </c>
      <c r="BW1187" s="11" t="n">
        <f>IF(ISNUMBER(BN1187),BN1187,"")</f>
        <v>1.2247029157699902</v>
      </c>
      <c r="BX1187" s="14" t="n">
        <f>IF(ISNUMBER(BR1187),BR1187,"")</f>
        <v>12</v>
      </c>
      <c r="BY1187" s="13" t="n">
        <f>IF(AND(COUNT(BV1187,BW1187,BX1187)=3,MIN(BV1187,BW1187,BX1187)&gt;=0),BV1187*BW1187*BX1187,"")</f>
        <v>0.0193119555307355</v>
      </c>
      <c r="BZ1187" s="11" t="n">
        <f>IF(ISNUMBER(BO1187),BO1187,"")</f>
        <v>0.8332682139098497</v>
      </c>
      <c r="CA1187" s="14" t="n">
        <f>IF(ISNUMBER(BS1187),BS1187,"")</f>
        <v>30</v>
      </c>
      <c r="CB1187" s="13" t="n">
        <f>IF(AND(COUNT(BV1187,BZ1187,CA1187)=3,MIN(BV1187,BZ1187,CA1187)&gt;=0),BV1187*BZ1187*CA1187,"")</f>
        <v>0.03284886172187541</v>
      </c>
      <c r="CC1187" s="11" t="n">
        <f>IF(ISNUMBER(BP1187),BP1187,"")</f>
        <v>0.5511018253564084</v>
      </c>
      <c r="CD1187" s="14" t="n">
        <f>IF(ISNUMBER(BT1187),BT1187,"")</f>
        <v>31</v>
      </c>
      <c r="CE1187" s="13" t="n">
        <f>IF(AND(COUNT(BV1187,CC1187,CD1187)=3,MIN(BV1187,CC1187,CD1187)&gt;=0),BV1187*CC1187*CD1187,"")</f>
        <v>0.022449558175942234</v>
      </c>
      <c r="CF1187" s="11" t="n">
        <f>IF(ISNUMBER(BQ1187),BQ1187,"")</f>
        <v>1.0017220238758797</v>
      </c>
      <c r="CG1187" s="14" t="n">
        <f>IF(ISNUMBER(BU1187),BU1187,"")</f>
        <v>17</v>
      </c>
      <c r="CH1187" s="13" t="n">
        <f>IF(AND(COUNT(BV1187,CF1187,CG1187)=3,MIN(BV1187,CF1187,CG1187)&gt;=0),BV1187*CF1187*CG1187,"")</f>
        <v>0.022377439854496882</v>
      </c>
      <c r="CI1187" s="13" t="n">
        <f>IF(COUNT(BY1187,CB1187,CE1187,CH1187)=4,SUM(BY1187,CB1187,CE1187,CH1187),"")</f>
        <v>0.09698781528305003</v>
      </c>
    </row>
    <row r="1188" ht="72" customHeight="1">
      <c r="A1188" s="16" t="str">
        <v>B06-ND-I-0-37.5</v>
      </c>
      <c r="B1188" s="16" t="str">
        <v>1店-MUSSHOE-US</v>
      </c>
      <c r="C1188" s="16" t="str">
        <v>艾年</v>
      </c>
      <c r="D1188" s="26" t="str">
        <f>IF(NOT(ISNUMBER(E1188)),"",IF(OR(E1188&lt;=0,L1188=0),0,IF(OR(NOT(ISNUMBER(F1188)),F1188&lt;0),"",MIN(E1188,INT(F1188)))))</f>
      </c>
      <c r="E1188" s="27" t="n">
        <f>IF(OR(NOT(ISNUMBER(L1188)),COUNT(M1188:O1188)&lt;&gt;3,MIN(M1188:O1188)&lt;0),"",ROUNDUP(ROUND(BI1188-SUM(M1188:O1188),10),0))</f>
        <v>1</v>
      </c>
      <c r="F1188" s="28"/>
      <c r="G1188" s="28" t="str">
        <f>IF(AND(ISNUMBER(D1188),ISNUMBER(E1188)),IF(OR(E1188&lt;=0,L1188=0),0,E1188-D1188),"")</f>
      </c>
      <c r="H1188" s="16" t="str">
        <f>IF(NOT(ISNUMBER(E1188)),"销量或海外库存待补",IF(OR(E1188&lt;=0,L1188=0),IF(L1188=0,"零日销，本批不发","本批无需补货"),IF(NOT(ISNUMBER(D1188)),"国内库存待补",IF(D1188=0,"国内无可用库存",IF(G1188&gt;0,"先发国内现货","按建议量发货")))))</f>
        <v>国内库存待补</v>
      </c>
      <c r="I1188" s="28" t="n">
        <f>IF(AND(COUNT(Z1188,AA1188,AB1188)=3,Z1188&gt;=AA1188,AA1188&gt;=0,AB1188=7),Z1188-AA1188,"")</f>
        <v>0</v>
      </c>
      <c r="J1188" s="28" t="n">
        <f>IF(AND(COUNT(AF1188,AG1188,AH1188)=3,AF1188&gt;=AG1188,AG1188&gt;=0,AH1188=14),AF1188-AG1188,"")</f>
        <v>0</v>
      </c>
      <c r="K1188" s="28" t="n">
        <f>IF(AND(COUNT(AL1188,AM1188,AN1188)=3,AL1188&gt;=AM1188,AM1188&gt;=0,AN1188=30),AL1188-AM1188,"")</f>
        <v>0</v>
      </c>
      <c r="L1188" s="29" t="n">
        <f>IF(ISNUMBER(BI1188),BI1188/90,"")</f>
        <v>0.005588785467968839</v>
      </c>
      <c r="M1188" s="28" t="n">
        <v>0</v>
      </c>
      <c r="N1188" s="28" t="n">
        <v>0</v>
      </c>
      <c r="O1188" s="28" t="n">
        <v>0</v>
      </c>
      <c r="P1188" s="30" t="n">
        <f>IF(AND(ISNUMBER(L1188),L1188&gt;0,COUNT(M1188:O1188)=3,MIN(M1188:O1188)&gt;=0),SUM(M1188:O1188)/L1188,"")</f>
        <v>0</v>
      </c>
      <c r="Q1188" s="16" t="str">
        <v>沿用原计划SKU店铺</v>
      </c>
      <c r="R1188" s="16" t="str">
        <v>未匹配</v>
      </c>
      <c r="S1188" s="16" t="str">
        <v>停售</v>
      </c>
      <c r="T1188" s="16" t="str">
        <v>B06</v>
      </c>
      <c r="U1188" s="16" t="str">
        <v>裸色色织提花</v>
      </c>
      <c r="V1188" s="16" t="n">
        <v>6.5</v>
      </c>
      <c r="W1188" s="8" t="str">
        <v>2026-10-08 至 2026-10-17</v>
      </c>
      <c r="X1188" s="8" t="str">
        <v>2026-10-08、2026-10-09、2026-10-10、2026-10-11、2026-10-14、2026-10-15、2026-10-17</v>
      </c>
      <c r="Y1188" s="8" t="str">
        <v>2026-10-12 有记录的停售日；2026-10-13 有记录的停售日；2026-10-16 有记录的停售日</v>
      </c>
      <c r="Z1188" s="8" t="n">
        <v>0</v>
      </c>
      <c r="AA1188" s="8" t="n">
        <v>0</v>
      </c>
      <c r="AB1188" s="8" t="n">
        <v>7</v>
      </c>
      <c r="AC1188" s="8" t="str">
        <v>2026-09-29 至 2026-10-17</v>
      </c>
      <c r="AD1188" s="8" t="str">
        <v>2026-09-29、2026-09-30、2026-10-01、2026-10-02、2026-10-03、2026-10-04、2026-10-05、2026-10-08、2026-10-09、2026-10-10、2026-10-11、2026-10-14、2026-10-15、2026-10-17</v>
      </c>
      <c r="AE1188" s="8" t="str">
        <v>2026-10-06 大促；2026-10-07 大促；2026-10-12 有记录的停售日；2026-10-13 有记录的停售日；2026-10-16 有记录的停售日</v>
      </c>
      <c r="AF1188" s="8" t="n">
        <v>0</v>
      </c>
      <c r="AG1188" s="8" t="n">
        <v>0</v>
      </c>
      <c r="AH1188" s="8" t="n">
        <v>14</v>
      </c>
      <c r="AI1188" s="8" t="str">
        <v>2026-09-13 至 2026-10-17</v>
      </c>
      <c r="AJ118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8" s="8" t="str">
        <v>2026-10-06 大促；2026-10-07 大促；2026-10-12 有记录的停售日；2026-10-13 有记录的停售日；2026-10-16 有记录的停售日</v>
      </c>
      <c r="AL1188" s="8" t="n">
        <v>0</v>
      </c>
      <c r="AM1188" s="8" t="n">
        <v>0</v>
      </c>
      <c r="AN1188" s="8" t="n">
        <v>30</v>
      </c>
      <c r="AO1188" s="8" t="str">
        <v>B06 / 裸色羊京绒 / 13120</v>
      </c>
      <c r="AP1188" s="11" t="n">
        <v>1.2247029157699902</v>
      </c>
      <c r="AQ1188" s="11" t="n">
        <v>1.1929861014741694</v>
      </c>
      <c r="AR1188" s="11" t="n">
        <v>1.0914922957275428</v>
      </c>
      <c r="AS1188" s="11" t="n">
        <f>IF(AND(COUNT(I1188:K1188,AP1188:AR1188)=6,MIN(AP1188:AR1188)&gt;0),I1188/7/AP1188*0.5+J1188/14/AQ1188*0.3+K1188/30/AR1188*0.2,"")</f>
        <v>0</v>
      </c>
      <c r="AT1188" s="8" t="n">
        <v>1</v>
      </c>
      <c r="AU1188" s="8" t="n">
        <v>0</v>
      </c>
      <c r="AV1188" s="8" t="n">
        <v>85</v>
      </c>
      <c r="AW1188" s="11" t="n">
        <f>IF(AND(COUNT(AT1188:AV1188)=3,AT1188&gt;=AU1188,AU1188&gt;=0,AV1188&gt;0),(AT1188-AU1188)/AV1188,"")</f>
        <v>0.011764705882352941</v>
      </c>
      <c r="AX1188" s="8" t="n">
        <v>1</v>
      </c>
      <c r="AY1188" s="8" t="n">
        <v>0</v>
      </c>
      <c r="AZ1188" s="8" t="n">
        <v>175</v>
      </c>
      <c r="BA1188" s="11" t="n">
        <f>IF(AND(COUNT(AX1188:AZ1188)=3,AX1188&gt;=AY1188,AY1188&gt;=0,AZ1188&gt;0),(AX1188-AY1188)/AZ1188,"")</f>
        <v>0.005714285714285714</v>
      </c>
      <c r="BB1188" s="8" t="n">
        <f>IF(COUNT(AS1188,AW1188,BA1188)=3,1,0)</f>
        <v>1</v>
      </c>
      <c r="BC1188" s="11" t="n">
        <f>IF(SUMIF($AO$11:$AO$1309,AO1188,$BB$11:$BB$1309)=COUNTIF($AO$11:$AO$1309,AO1188),SUMIF($AO$11:$AO$1309,AO1188,$AS$11:$AS$1309),"")</f>
        <v>10.520823885219587</v>
      </c>
      <c r="BD1188" s="11" t="n">
        <f>IF(SUMIF($AO$11:$AO$1309,AO1188,$BB$11:$BB$1309)=COUNTIF($AO$11:$AO$1309,AO1188),SUMIF($AO$11:$AO$1309,AO1188,$AW$11:$AW$1309),"")</f>
        <v>15.750802139037434</v>
      </c>
      <c r="BE1188" s="11" t="n">
        <f>IF(SUMIF($AO$11:$AO$1309,AO1188,$BB$11:$BB$1309)=COUNTIF($AO$11:$AO$1309,AO1188),SUMIF($AO$11:$AO$1309,AO1188,$BA$11:$BA$1309),"")</f>
        <v>13.725200642054572</v>
      </c>
      <c r="BF1188" s="12" t="n">
        <f>IF(COUNT(BD1188:BE1188)&lt;&gt;2,"",IF(AND(BD1188&gt;0,BE1188&gt;0),0.7*AW1188/BD1188+0.3*BA1188/BE1188,IF(BD1188&gt;0,AW1188/BD1188,IF(BE1188&gt;0,BA1188/BE1188,IF(AND(ISNUMBER(BH1188),BH1188=0),0,"")))))</f>
        <v>0.000647749782661679</v>
      </c>
      <c r="BG1188" s="11" t="n">
        <f>IF(AND(COUNT(BN1188:BU1188)=8,MIN(BN1188:BU1188)&gt;=0),SUMPRODUCT(BN1188:BQ1188,BR1188:BU1188),"")</f>
        <v>73.80791239847399</v>
      </c>
      <c r="BH1188" s="11" t="n">
        <f>IF(COUNT(BC1188,BG1188)=2,BC1188*BG1188,"")</f>
        <v>776.52004768006</v>
      </c>
      <c r="BI1188" s="11" t="n">
        <f>IF(ISNUMBER(CI1188),CI1188,"")</f>
        <v>0.5029906921171955</v>
      </c>
      <c r="BJ1188" s="8" t="str">
        <v>低销提醒依据不完整</v>
      </c>
      <c r="BK1188" s="8" t="str">
        <v>90天：2026-07-20 至 2026-10-17；180天：2026-04-21 至 2026-10-17</v>
      </c>
      <c r="BL1188" s="8" t="str">
        <v>90天：2026-10-06、2026-10-07、2026-10-12、2026-10-13、2026-10-16；180天：2026-10-06、2026-10-07、2026-10-12、2026-10-13、2026-10-16</v>
      </c>
      <c r="BM1188" s="8" t="str">
        <v>2026-10：12天 × 1.2247029157699902；2026-11：30天 × 0.8332682139098497；2026-12：31天 × 0.5511018253564084；2027-01：17天 × 1.0017220238758797</v>
      </c>
      <c r="BN1188" s="11" t="n">
        <v>1.2247029157699902</v>
      </c>
      <c r="BO1188" s="11" t="n">
        <v>0.8332682139098497</v>
      </c>
      <c r="BP1188" s="11" t="n">
        <v>0.5511018253564084</v>
      </c>
      <c r="BQ1188" s="11" t="n">
        <v>1.0017220238758797</v>
      </c>
      <c r="BR1188" s="8" t="n">
        <v>12</v>
      </c>
      <c r="BS1188" s="8" t="n">
        <v>30</v>
      </c>
      <c r="BT1188" s="8" t="n">
        <v>31</v>
      </c>
      <c r="BU1188" s="8" t="n">
        <v>17</v>
      </c>
      <c r="BV1188" s="11" t="n">
        <f>IF(COUNT(BC1188,BF1188)=2,BC1188*BF1188,"")</f>
        <v>0.006814861385072789</v>
      </c>
      <c r="BW1188" s="11" t="n">
        <f>IF(ISNUMBER(BN1188),BN1188,"")</f>
        <v>1.2247029157699902</v>
      </c>
      <c r="BX1188" s="14" t="n">
        <f>IF(ISNUMBER(BR1188),BR1188,"")</f>
        <v>12</v>
      </c>
      <c r="BY1188" s="13" t="n">
        <f>IF(AND(COUNT(BV1188,BW1188,BX1188)=3,MIN(BV1188,BW1188,BX1188)&gt;=0),BV1188*BW1188*BX1188,"")</f>
        <v>0.1001541673064035</v>
      </c>
      <c r="BZ1188" s="11" t="n">
        <f>IF(ISNUMBER(BO1188),BO1188,"")</f>
        <v>0.8332682139098497</v>
      </c>
      <c r="CA1188" s="14" t="n">
        <f>IF(ISNUMBER(BS1188),BS1188,"")</f>
        <v>30</v>
      </c>
      <c r="CB1188" s="13" t="n">
        <f>IF(AND(COUNT(BV1188,BZ1188,CA1188)=3,MIN(BV1188,BZ1188,CA1188)&gt;=0),BV1188*BZ1188*CA1188,"")</f>
        <v>0.17035822123148422</v>
      </c>
      <c r="CC1188" s="11" t="n">
        <f>IF(ISNUMBER(BP1188),BP1188,"")</f>
        <v>0.5511018253564084</v>
      </c>
      <c r="CD1188" s="14" t="n">
        <f>IF(ISNUMBER(BT1188),BT1188,"")</f>
        <v>31</v>
      </c>
      <c r="CE1188" s="13" t="n">
        <f>IF(AND(COUNT(BV1188,CC1188,CD1188)=3,MIN(BV1188,CC1188,CD1188)&gt;=0),BV1188*CC1188*CD1188,"")</f>
        <v>0.11642615901479998</v>
      </c>
      <c r="CF1188" s="11" t="n">
        <f>IF(ISNUMBER(BQ1188),BQ1188,"")</f>
        <v>1.0017220238758797</v>
      </c>
      <c r="CG1188" s="14" t="n">
        <f>IF(ISNUMBER(BU1188),BU1188,"")</f>
        <v>17</v>
      </c>
      <c r="CH1188" s="13" t="n">
        <f>IF(AND(COUNT(BV1188,CF1188,CG1188)=3,MIN(BV1188,CF1188,CG1188)&gt;=0),BV1188*CF1188*CG1188,"")</f>
        <v>0.11605214456450781</v>
      </c>
      <c r="CI1188" s="13" t="n">
        <f>IF(COUNT(BY1188,CB1188,CE1188,CH1188)=4,SUM(BY1188,CB1188,CE1188,CH1188),"")</f>
        <v>0.5029906921171955</v>
      </c>
    </row>
    <row r="1189" ht="72" customHeight="1">
      <c r="A1189" s="16" t="str">
        <v>B06-ND-Z-0-37</v>
      </c>
      <c r="B1189" s="16" t="str">
        <v>1店-MUSSHOE-US</v>
      </c>
      <c r="C1189" s="16" t="str">
        <v>艾年</v>
      </c>
      <c r="D1189" s="26" t="str">
        <f>IF(NOT(ISNUMBER(E1189)),"",IF(OR(E1189&lt;=0,L1189=0),0,IF(OR(NOT(ISNUMBER(F1189)),F1189&lt;0),"",MIN(E1189,INT(F1189)))))</f>
      </c>
      <c r="E1189" s="27" t="n">
        <f>IF(OR(NOT(ISNUMBER(L1189)),COUNT(M1189:O1189)&lt;&gt;3,MIN(M1189:O1189)&lt;0),"",ROUNDUP(ROUND(BI1189-SUM(M1189:O1189),10),0))</f>
        <v>1</v>
      </c>
      <c r="F1189" s="28"/>
      <c r="G1189" s="28" t="str">
        <f>IF(AND(ISNUMBER(D1189),ISNUMBER(E1189)),IF(OR(E1189&lt;=0,L1189=0),0,E1189-D1189),"")</f>
      </c>
      <c r="H1189" s="16" t="str">
        <f>IF(NOT(ISNUMBER(E1189)),"销量或海外库存待补",IF(OR(E1189&lt;=0,L1189=0),IF(L1189=0,"零日销，本批不发","本批无需补货"),IF(NOT(ISNUMBER(D1189)),"国内库存待补",IF(D1189=0,"国内无可用库存",IF(G1189&gt;0,"先发国内现货","按建议量发货")))))</f>
        <v>国内库存待补</v>
      </c>
      <c r="I1189" s="28" t="n">
        <f>IF(AND(COUNT(Z1189,AA1189,AB1189)=3,Z1189&gt;=AA1189,AA1189&gt;=0,AB1189=7),Z1189-AA1189,"")</f>
        <v>0</v>
      </c>
      <c r="J1189" s="28" t="n">
        <f>IF(AND(COUNT(AF1189,AG1189,AH1189)=3,AF1189&gt;=AG1189,AG1189&gt;=0,AH1189=14),AF1189-AG1189,"")</f>
        <v>1</v>
      </c>
      <c r="K1189" s="28" t="n">
        <f>IF(AND(COUNT(AL1189,AM1189,AN1189)=3,AL1189&gt;=AM1189,AM1189&gt;=0,AN1189=30),AL1189-AM1189,"")</f>
        <v>1</v>
      </c>
      <c r="L1189" s="29" t="n">
        <f>IF(ISNUMBER(BI1189),BI1189/90,"")</f>
        <v>0.006666427860002728</v>
      </c>
      <c r="M1189" s="28" t="n">
        <v>0</v>
      </c>
      <c r="N1189" s="28" t="n">
        <v>0</v>
      </c>
      <c r="O1189" s="28" t="n">
        <v>0</v>
      </c>
      <c r="P1189" s="30" t="n">
        <f>IF(AND(ISNUMBER(L1189),L1189&gt;0,COUNT(M1189:O1189)=3,MIN(M1189:O1189)&gt;=0),SUM(M1189:O1189)/L1189,"")</f>
        <v>0</v>
      </c>
      <c r="Q1189" s="16" t="str">
        <v>沿用原计划SKU店铺</v>
      </c>
      <c r="R1189" s="16" t="str">
        <v>未匹配</v>
      </c>
      <c r="S1189" s="16" t="str">
        <v>停售</v>
      </c>
      <c r="T1189" s="16" t="str">
        <v>B06</v>
      </c>
      <c r="U1189" s="16" t="str">
        <v>裸色镜面PU</v>
      </c>
      <c r="V1189" s="16" t="n">
        <v>6</v>
      </c>
      <c r="W1189" s="8" t="str">
        <v>2026-10-08 至 2026-10-17</v>
      </c>
      <c r="X1189" s="8" t="str">
        <v>2026-10-08、2026-10-09、2026-10-10、2026-10-11、2026-10-14、2026-10-15、2026-10-17</v>
      </c>
      <c r="Y1189" s="8" t="str">
        <v>2026-10-12 有记录的停售日；2026-10-13 有记录的停售日；2026-10-16 有记录的停售日</v>
      </c>
      <c r="Z1189" s="8" t="n">
        <v>0</v>
      </c>
      <c r="AA1189" s="8" t="n">
        <v>0</v>
      </c>
      <c r="AB1189" s="8" t="n">
        <v>7</v>
      </c>
      <c r="AC1189" s="8" t="str">
        <v>2026-09-29 至 2026-10-17</v>
      </c>
      <c r="AD1189" s="8" t="str">
        <v>2026-09-29、2026-09-30、2026-10-01、2026-10-02、2026-10-03、2026-10-04、2026-10-05、2026-10-08、2026-10-09、2026-10-10、2026-10-11、2026-10-14、2026-10-15、2026-10-17</v>
      </c>
      <c r="AE1189" s="8" t="str">
        <v>2026-10-06 大促；2026-10-07 大促；2026-10-12 有记录的停售日；2026-10-13 有记录的停售日；2026-10-16 有记录的停售日</v>
      </c>
      <c r="AF1189" s="8" t="n">
        <v>1</v>
      </c>
      <c r="AG1189" s="8" t="n">
        <v>0</v>
      </c>
      <c r="AH1189" s="8" t="n">
        <v>14</v>
      </c>
      <c r="AI1189" s="8" t="str">
        <v>2026-09-13 至 2026-10-17</v>
      </c>
      <c r="AJ118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89" s="8" t="str">
        <v>2026-10-06 大促；2026-10-07 大促；2026-10-12 有记录的停售日；2026-10-13 有记录的停售日；2026-10-16 有记录的停售日</v>
      </c>
      <c r="AL1189" s="8" t="n">
        <v>1</v>
      </c>
      <c r="AM1189" s="8" t="n">
        <v>0</v>
      </c>
      <c r="AN1189" s="8" t="n">
        <v>30</v>
      </c>
      <c r="AO1189" s="8" t="str">
        <v>B06 / 裸色羊京绒 / 13120</v>
      </c>
      <c r="AP1189" s="11" t="n">
        <v>1.2247029157699902</v>
      </c>
      <c r="AQ1189" s="11" t="n">
        <v>1.1929861014741694</v>
      </c>
      <c r="AR1189" s="11" t="n">
        <v>1.0914922957275428</v>
      </c>
      <c r="AS1189" s="11" t="n">
        <f>IF(AND(COUNT(I1189:K1189,AP1189:AR1189)=6,MIN(AP1189:AR1189)&gt;0),I1189/7/AP1189*0.5+J1189/14/AQ1189*0.3+K1189/30/AR1189*0.2,"")</f>
        <v>0.0240699758177653</v>
      </c>
      <c r="AT1189" s="8" t="n">
        <v>1</v>
      </c>
      <c r="AU1189" s="8" t="n">
        <v>0</v>
      </c>
      <c r="AV1189" s="8" t="n">
        <v>85</v>
      </c>
      <c r="AW1189" s="11" t="n">
        <f>IF(AND(COUNT(AT1189:AV1189)=3,AT1189&gt;=AU1189,AU1189&gt;=0,AV1189&gt;0),(AT1189-AU1189)/AV1189,"")</f>
        <v>0.011764705882352941</v>
      </c>
      <c r="AX1189" s="8" t="n">
        <v>2</v>
      </c>
      <c r="AY1189" s="8" t="n">
        <v>0</v>
      </c>
      <c r="AZ1189" s="8" t="n">
        <v>175</v>
      </c>
      <c r="BA1189" s="11" t="n">
        <f>IF(AND(COUNT(AX1189:AZ1189)=3,AX1189&gt;=AY1189,AY1189&gt;=0,AZ1189&gt;0),(AX1189-AY1189)/AZ1189,"")</f>
        <v>0.011428571428571429</v>
      </c>
      <c r="BB1189" s="8" t="n">
        <f>IF(COUNT(AS1189,AW1189,BA1189)=3,1,0)</f>
        <v>1</v>
      </c>
      <c r="BC1189" s="11" t="n">
        <f>IF(SUMIF($AO$11:$AO$1309,AO1189,$BB$11:$BB$1309)=COUNTIF($AO$11:$AO$1309,AO1189),SUMIF($AO$11:$AO$1309,AO1189,$AS$11:$AS$1309),"")</f>
        <v>10.520823885219587</v>
      </c>
      <c r="BD1189" s="11" t="n">
        <f>IF(SUMIF($AO$11:$AO$1309,AO1189,$BB$11:$BB$1309)=COUNTIF($AO$11:$AO$1309,AO1189),SUMIF($AO$11:$AO$1309,AO1189,$AW$11:$AW$1309),"")</f>
        <v>15.750802139037434</v>
      </c>
      <c r="BE1189" s="11" t="n">
        <f>IF(SUMIF($AO$11:$AO$1309,AO1189,$BB$11:$BB$1309)=COUNTIF($AO$11:$AO$1309,AO1189),SUMIF($AO$11:$AO$1309,AO1189,$BA$11:$BA$1309),"")</f>
        <v>13.725200642054572</v>
      </c>
      <c r="BF1189" s="12" t="n">
        <f>IF(COUNT(BD1189:BE1189)&lt;&gt;2,"",IF(AND(BD1189&gt;0,BE1189&gt;0),0.7*AW1189/BD1189+0.3*BA1189/BE1189,IF(BD1189&gt;0,AW1189/BD1189,IF(BE1189&gt;0,BA1189/BE1189,IF(AND(ISNUMBER(BH1189),BH1189=0),0,"")))))</f>
        <v>0.0007726503767581379</v>
      </c>
      <c r="BG1189" s="11" t="n">
        <f>IF(AND(COUNT(BN1189:BU1189)=8,MIN(BN1189:BU1189)&gt;=0),SUMPRODUCT(BN1189:BQ1189,BR1189:BU1189),"")</f>
        <v>73.80791239847399</v>
      </c>
      <c r="BH1189" s="11" t="n">
        <f>IF(COUNT(BC1189,BG1189)=2,BC1189*BG1189,"")</f>
        <v>776.52004768006</v>
      </c>
      <c r="BI1189" s="11" t="n">
        <f>IF(ISNUMBER(CI1189),CI1189,"")</f>
        <v>0.5999785074002455</v>
      </c>
      <c r="BJ1189" s="8" t="str">
        <v>低销提醒依据不完整</v>
      </c>
      <c r="BK1189" s="8" t="str">
        <v>90天：2026-07-20 至 2026-10-17；180天：2026-04-21 至 2026-10-17</v>
      </c>
      <c r="BL1189" s="8" t="str">
        <v>90天：2026-10-06、2026-10-07、2026-10-12、2026-10-13、2026-10-16；180天：2026-10-06、2026-10-07、2026-10-12、2026-10-13、2026-10-16</v>
      </c>
      <c r="BM1189" s="8" t="str">
        <v>2026-10：12天 × 1.2247029157699902；2026-11：30天 × 0.8332682139098497；2026-12：31天 × 0.5511018253564084；2027-01：17天 × 1.0017220238758797</v>
      </c>
      <c r="BN1189" s="11" t="n">
        <v>1.2247029157699902</v>
      </c>
      <c r="BO1189" s="11" t="n">
        <v>0.8332682139098497</v>
      </c>
      <c r="BP1189" s="11" t="n">
        <v>0.5511018253564084</v>
      </c>
      <c r="BQ1189" s="11" t="n">
        <v>1.0017220238758797</v>
      </c>
      <c r="BR1189" s="8" t="n">
        <v>12</v>
      </c>
      <c r="BS1189" s="8" t="n">
        <v>30</v>
      </c>
      <c r="BT1189" s="8" t="n">
        <v>31</v>
      </c>
      <c r="BU1189" s="8" t="n">
        <v>17</v>
      </c>
      <c r="BV1189" s="11" t="n">
        <f>IF(COUNT(BC1189,BF1189)=2,BC1189*BF1189,"")</f>
        <v>0.00812891853872093</v>
      </c>
      <c r="BW1189" s="11" t="n">
        <f>IF(ISNUMBER(BN1189),BN1189,"")</f>
        <v>1.2247029157699902</v>
      </c>
      <c r="BX1189" s="14" t="n">
        <f>IF(ISNUMBER(BR1189),BR1189,"")</f>
        <v>12</v>
      </c>
      <c r="BY1189" s="13" t="n">
        <f>IF(AND(COUNT(BV1189,BW1189,BX1189)=3,MIN(BV1189,BW1189,BX1189)&gt;=0),BV1189*BW1189*BX1189,"")</f>
        <v>0.119466122837139</v>
      </c>
      <c r="BZ1189" s="11" t="n">
        <f>IF(ISNUMBER(BO1189),BO1189,"")</f>
        <v>0.8332682139098497</v>
      </c>
      <c r="CA1189" s="14" t="n">
        <f>IF(ISNUMBER(BS1189),BS1189,"")</f>
        <v>30</v>
      </c>
      <c r="CB1189" s="13" t="n">
        <f>IF(AND(COUNT(BV1189,BZ1189,CA1189)=3,MIN(BV1189,BZ1189,CA1189)&gt;=0),BV1189*BZ1189*CA1189,"")</f>
        <v>0.20320708295335965</v>
      </c>
      <c r="CC1189" s="11" t="n">
        <f>IF(ISNUMBER(BP1189),BP1189,"")</f>
        <v>0.5511018253564084</v>
      </c>
      <c r="CD1189" s="14" t="n">
        <f>IF(ISNUMBER(BT1189),BT1189,"")</f>
        <v>31</v>
      </c>
      <c r="CE1189" s="13" t="n">
        <f>IF(AND(COUNT(BV1189,CC1189,CD1189)=3,MIN(BV1189,CC1189,CD1189)&gt;=0),BV1189*CC1189*CD1189,"")</f>
        <v>0.1388757171907422</v>
      </c>
      <c r="CF1189" s="11" t="n">
        <f>IF(ISNUMBER(BQ1189),BQ1189,"")</f>
        <v>1.0017220238758797</v>
      </c>
      <c r="CG1189" s="14" t="n">
        <f>IF(ISNUMBER(BU1189),BU1189,"")</f>
        <v>17</v>
      </c>
      <c r="CH1189" s="13" t="n">
        <f>IF(AND(COUNT(BV1189,CF1189,CG1189)=3,MIN(BV1189,CF1189,CG1189)&gt;=0),BV1189*CF1189*CG1189,"")</f>
        <v>0.13842958441900471</v>
      </c>
      <c r="CI1189" s="13" t="n">
        <f>IF(COUNT(BY1189,CB1189,CE1189,CH1189)=4,SUM(BY1189,CB1189,CE1189,CH1189),"")</f>
        <v>0.5999785074002455</v>
      </c>
    </row>
    <row r="1190" ht="72" customHeight="1">
      <c r="A1190" s="16" t="str">
        <v>B06-RD-I-0-38</v>
      </c>
      <c r="B1190" s="16" t="str">
        <v>1店-MUSSHOE-US</v>
      </c>
      <c r="C1190" s="16" t="str">
        <v>艾年</v>
      </c>
      <c r="D1190" s="26" t="str">
        <f>IF(NOT(ISNUMBER(E1190)),"",IF(OR(E1190&lt;=0,L1190=0),0,IF(OR(NOT(ISNUMBER(F1190)),F1190&lt;0),"",MIN(E1190,INT(F1190)))))</f>
      </c>
      <c r="E1190" s="27" t="n">
        <f>IF(OR(NOT(ISNUMBER(L1190)),COUNT(M1190:O1190)&lt;&gt;3,MIN(M1190:O1190)&lt;0),"",ROUNDUP(ROUND(BI1190-SUM(M1190:O1190),10),0))</f>
        <v>1</v>
      </c>
      <c r="F1190" s="28"/>
      <c r="G1190" s="28" t="str">
        <f>IF(AND(ISNUMBER(D1190),ISNUMBER(E1190)),IF(OR(E1190&lt;=0,L1190=0),0,E1190-D1190),"")</f>
      </c>
      <c r="H1190" s="16" t="str">
        <f>IF(NOT(ISNUMBER(E1190)),"销量或海外库存待补",IF(OR(E1190&lt;=0,L1190=0),IF(L1190=0,"零日销，本批不发","本批无需补货"),IF(NOT(ISNUMBER(D1190)),"国内库存待补",IF(D1190=0,"国内无可用库存",IF(G1190&gt;0,"先发国内现货","按建议量发货")))))</f>
        <v>国内库存待补</v>
      </c>
      <c r="I1190" s="28" t="n">
        <f>IF(AND(COUNT(Z1190,AA1190,AB1190)=3,Z1190&gt;=AA1190,AA1190&gt;=0,AB1190=7),Z1190-AA1190,"")</f>
        <v>0</v>
      </c>
      <c r="J1190" s="28" t="n">
        <f>IF(AND(COUNT(AF1190,AG1190,AH1190)=3,AF1190&gt;=AG1190,AG1190&gt;=0,AH1190=14),AF1190-AG1190,"")</f>
        <v>0</v>
      </c>
      <c r="K1190" s="28" t="n">
        <f>IF(AND(COUNT(AL1190,AM1190,AN1190)=3,AL1190&gt;=AM1190,AM1190&gt;=0,AN1190=30),AL1190-AM1190,"")</f>
        <v>0</v>
      </c>
      <c r="L1190" s="29" t="n">
        <f>IF(ISNUMBER(BI1190),BI1190/90,"")</f>
        <v>0.001968074978167188</v>
      </c>
      <c r="M1190" s="28" t="n">
        <v>0</v>
      </c>
      <c r="N1190" s="28" t="n">
        <v>0</v>
      </c>
      <c r="O1190" s="28" t="n">
        <v>0</v>
      </c>
      <c r="P1190" s="30" t="n">
        <f>IF(AND(ISNUMBER(L1190),L1190&gt;0,COUNT(M1190:O1190)=3,MIN(M1190:O1190)&gt;=0),SUM(M1190:O1190)/L1190,"")</f>
        <v>0</v>
      </c>
      <c r="Q1190" s="16" t="str">
        <v>沿用原计划SKU店铺</v>
      </c>
      <c r="R1190" s="16" t="str">
        <v>未匹配</v>
      </c>
      <c r="S1190" s="16" t="str">
        <v>停售</v>
      </c>
      <c r="T1190" s="16" t="str">
        <v>B06</v>
      </c>
      <c r="U1190" s="16" t="str">
        <v>红色色织提花</v>
      </c>
      <c r="V1190" s="16" t="n">
        <v>7</v>
      </c>
      <c r="W1190" s="8" t="str">
        <v>2026-10-08 至 2026-10-17</v>
      </c>
      <c r="X1190" s="8" t="str">
        <v>2026-10-08、2026-10-09、2026-10-10、2026-10-11、2026-10-14、2026-10-15、2026-10-17</v>
      </c>
      <c r="Y1190" s="8" t="str">
        <v>2026-10-12 有记录的停售日；2026-10-13 有记录的停售日；2026-10-16 有记录的停售日</v>
      </c>
      <c r="Z1190" s="8" t="n">
        <v>0</v>
      </c>
      <c r="AA1190" s="8" t="n">
        <v>0</v>
      </c>
      <c r="AB1190" s="8" t="n">
        <v>7</v>
      </c>
      <c r="AC1190" s="8" t="str">
        <v>2026-09-29 至 2026-10-17</v>
      </c>
      <c r="AD1190" s="8" t="str">
        <v>2026-09-29、2026-09-30、2026-10-01、2026-10-02、2026-10-03、2026-10-04、2026-10-05、2026-10-08、2026-10-09、2026-10-10、2026-10-11、2026-10-14、2026-10-15、2026-10-17</v>
      </c>
      <c r="AE1190" s="8" t="str">
        <v>2026-10-06 大促；2026-10-07 大促；2026-10-12 有记录的停售日；2026-10-13 有记录的停售日；2026-10-16 有记录的停售日</v>
      </c>
      <c r="AF1190" s="8" t="n">
        <v>0</v>
      </c>
      <c r="AG1190" s="8" t="n">
        <v>0</v>
      </c>
      <c r="AH1190" s="8" t="n">
        <v>14</v>
      </c>
      <c r="AI1190" s="8" t="str">
        <v>2026-09-13 至 2026-10-17</v>
      </c>
      <c r="AJ119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0" s="8" t="str">
        <v>2026-10-06 大促；2026-10-07 大促；2026-10-12 有记录的停售日；2026-10-13 有记录的停售日；2026-10-16 有记录的停售日</v>
      </c>
      <c r="AL1190" s="8" t="n">
        <v>0</v>
      </c>
      <c r="AM1190" s="8" t="n">
        <v>0</v>
      </c>
      <c r="AN1190" s="8" t="n">
        <v>30</v>
      </c>
      <c r="AO1190" s="8" t="str">
        <v>B06 / 红色羊京绒 / 13120</v>
      </c>
      <c r="AP1190" s="11" t="n">
        <v>1.2247029157699902</v>
      </c>
      <c r="AQ1190" s="11" t="n">
        <v>1.1929861014741694</v>
      </c>
      <c r="AR1190" s="11" t="n">
        <v>1.0914922957275428</v>
      </c>
      <c r="AS1190" s="11" t="n">
        <f>IF(AND(COUNT(I1190:K1190,AP1190:AR1190)=6,MIN(AP1190:AR1190)&gt;0),I1190/7/AP1190*0.5+J1190/14/AQ1190*0.3+K1190/30/AR1190*0.2,"")</f>
        <v>0</v>
      </c>
      <c r="AT1190" s="8" t="n">
        <v>0</v>
      </c>
      <c r="AU1190" s="8" t="n">
        <v>0</v>
      </c>
      <c r="AV1190" s="8" t="n">
        <v>85</v>
      </c>
      <c r="AW1190" s="11" t="n">
        <f>IF(AND(COUNT(AT1190:AV1190)=3,AT1190&gt;=AU1190,AU1190&gt;=0,AV1190&gt;0),(AT1190-AU1190)/AV1190,"")</f>
        <v>0</v>
      </c>
      <c r="AX1190" s="8" t="n">
        <v>2</v>
      </c>
      <c r="AY1190" s="8" t="n">
        <v>0</v>
      </c>
      <c r="AZ1190" s="8" t="n">
        <v>175</v>
      </c>
      <c r="BA1190" s="11" t="n">
        <f>IF(AND(COUNT(AX1190:AZ1190)=3,AX1190&gt;=AY1190,AY1190&gt;=0,AZ1190&gt;0),(AX1190-AY1190)/AZ1190,"")</f>
        <v>0.011428571428571429</v>
      </c>
      <c r="BB1190" s="8" t="n">
        <f>IF(COUNT(AS1190,AW1190,BA1190)=3,1,0)</f>
        <v>1</v>
      </c>
      <c r="BC1190" s="11" t="n">
        <f>IF(SUMIF($AO$11:$AO$1309,AO1190,$BB$11:$BB$1309)=COUNTIF($AO$11:$AO$1309,AO1190),SUMIF($AO$11:$AO$1309,AO1190,$AS$11:$AS$1309),"")</f>
        <v>0.8439809959730303</v>
      </c>
      <c r="BD1190" s="11" t="n">
        <f>IF(SUMIF($AO$11:$AO$1309,AO1190,$BB$11:$BB$1309)=COUNTIF($AO$11:$AO$1309,AO1190),SUMIF($AO$11:$AO$1309,AO1190,$AW$11:$AW$1309),"")</f>
        <v>0.8696244248227831</v>
      </c>
      <c r="BE1190" s="11" t="n">
        <f>IF(SUMIF($AO$11:$AO$1309,AO1190,$BB$11:$BB$1309)=COUNTIF($AO$11:$AO$1309,AO1190),SUMIF($AO$11:$AO$1309,AO1190,$BA$11:$BA$1309),"")</f>
        <v>1.2057704654895667</v>
      </c>
      <c r="BF1190" s="12" t="n">
        <f>IF(COUNT(BD1190:BE1190)&lt;&gt;2,"",IF(AND(BD1190&gt;0,BE1190&gt;0),0.7*AW1190/BD1190+0.3*BA1190/BE1190,IF(BD1190&gt;0,AW1190/BD1190,IF(BE1190&gt;0,BA1190/BE1190,IF(AND(ISNUMBER(BH1190),BH1190=0),0,"")))))</f>
        <v>0.00284346940541404</v>
      </c>
      <c r="BG1190" s="11" t="n">
        <f>IF(AND(COUNT(BN1190:BU1190)=8,MIN(BN1190:BU1190)&gt;=0),SUMPRODUCT(BN1190:BQ1190,BR1190:BU1190),"")</f>
        <v>73.80791239847399</v>
      </c>
      <c r="BH1190" s="11" t="n">
        <f>IF(COUNT(BC1190,BG1190)=2,BC1190*BG1190,"")</f>
        <v>62.29247541675425</v>
      </c>
      <c r="BI1190" s="11" t="n">
        <f>IF(ISNUMBER(CI1190),CI1190,"")</f>
        <v>0.17712674803504694</v>
      </c>
      <c r="BJ1190" s="8" t="str">
        <v>低销提醒依据不完整</v>
      </c>
      <c r="BK1190" s="8" t="str">
        <v>90天：2026-07-20 至 2026-10-17；180天：2026-04-21 至 2026-10-17</v>
      </c>
      <c r="BL1190" s="8" t="str">
        <v>90天：2026-10-06、2026-10-07、2026-10-12、2026-10-13、2026-10-16；180天：2026-10-06、2026-10-07、2026-10-12、2026-10-13、2026-10-16</v>
      </c>
      <c r="BM1190" s="8" t="str">
        <v>2026-10：12天 × 1.2247029157699902；2026-11：30天 × 0.8332682139098497；2026-12：31天 × 0.5511018253564084；2027-01：17天 × 1.0017220238758797</v>
      </c>
      <c r="BN1190" s="11" t="n">
        <v>1.2247029157699902</v>
      </c>
      <c r="BO1190" s="11" t="n">
        <v>0.8332682139098497</v>
      </c>
      <c r="BP1190" s="11" t="n">
        <v>0.5511018253564084</v>
      </c>
      <c r="BQ1190" s="11" t="n">
        <v>1.0017220238758797</v>
      </c>
      <c r="BR1190" s="8" t="n">
        <v>12</v>
      </c>
      <c r="BS1190" s="8" t="n">
        <v>30</v>
      </c>
      <c r="BT1190" s="8" t="n">
        <v>31</v>
      </c>
      <c r="BU1190" s="8" t="n">
        <v>17</v>
      </c>
      <c r="BV1190" s="11" t="n">
        <f>IF(COUNT(BC1190,BF1190)=2,BC1190*BF1190,"")</f>
        <v>0.002399834140800182</v>
      </c>
      <c r="BW1190" s="11" t="n">
        <f>IF(ISNUMBER(BN1190),BN1190,"")</f>
        <v>1.2247029157699902</v>
      </c>
      <c r="BX1190" s="14" t="n">
        <f>IF(ISNUMBER(BR1190),BR1190,"")</f>
        <v>12</v>
      </c>
      <c r="BY1190" s="13" t="n">
        <f>IF(AND(COUNT(BV1190,BW1190,BX1190)=3,MIN(BV1190,BW1190,BX1190)&gt;=0),BV1190*BW1190*BX1190,"")</f>
        <v>0.03526900643522822</v>
      </c>
      <c r="BZ1190" s="11" t="n">
        <f>IF(ISNUMBER(BO1190),BO1190,"")</f>
        <v>0.8332682139098497</v>
      </c>
      <c r="CA1190" s="14" t="n">
        <f>IF(ISNUMBER(BS1190),BS1190,"")</f>
        <v>30</v>
      </c>
      <c r="CB1190" s="13" t="n">
        <f>IF(AND(COUNT(BV1190,BZ1190,CA1190)=3,MIN(BV1190,BZ1190,CA1190)&gt;=0),BV1190*BZ1190*CA1190,"")</f>
        <v>0.05999116524553339</v>
      </c>
      <c r="CC1190" s="11" t="n">
        <f>IF(ISNUMBER(BP1190),BP1190,"")</f>
        <v>0.5511018253564084</v>
      </c>
      <c r="CD1190" s="14" t="n">
        <f>IF(ISNUMBER(BT1190),BT1190,"")</f>
        <v>31</v>
      </c>
      <c r="CE1190" s="13" t="n">
        <f>IF(AND(COUNT(BV1190,CC1190,CD1190)=3,MIN(BV1190,CC1190,CD1190)&gt;=0),BV1190*CC1190*CD1190,"")</f>
        <v>0.04099914224197586</v>
      </c>
      <c r="CF1190" s="11" t="n">
        <f>IF(ISNUMBER(BQ1190),BQ1190,"")</f>
        <v>1.0017220238758797</v>
      </c>
      <c r="CG1190" s="14" t="n">
        <f>IF(ISNUMBER(BU1190),BU1190,"")</f>
        <v>17</v>
      </c>
      <c r="CH1190" s="13" t="n">
        <f>IF(AND(COUNT(BV1190,CF1190,CG1190)=3,MIN(BV1190,CF1190,CG1190)&gt;=0),BV1190*CF1190*CG1190,"")</f>
        <v>0.04086743411230945</v>
      </c>
      <c r="CI1190" s="13" t="n">
        <f>IF(COUNT(BY1190,CB1190,CE1190,CH1190)=4,SUM(BY1190,CB1190,CE1190,CH1190),"")</f>
        <v>0.17712674803504694</v>
      </c>
    </row>
    <row r="1191" ht="72" customHeight="1">
      <c r="A1191" s="16" t="str">
        <v>B06-RD-I-0-41</v>
      </c>
      <c r="B1191" s="16" t="str">
        <v>1店-MUSSHOE-US</v>
      </c>
      <c r="C1191" s="16" t="str">
        <v>艾年</v>
      </c>
      <c r="D1191" s="26" t="str">
        <f>IF(NOT(ISNUMBER(E1191)),"",IF(OR(E1191&lt;=0,L1191=0),0,IF(OR(NOT(ISNUMBER(F1191)),F1191&lt;0),"",MIN(E1191,INT(F1191)))))</f>
      </c>
      <c r="E1191" s="27" t="n">
        <f>IF(OR(NOT(ISNUMBER(L1191)),COUNT(M1191:O1191)&lt;&gt;3,MIN(M1191:O1191)&lt;0),"",ROUNDUP(ROUND(BI1191-SUM(M1191:O1191),10),0))</f>
        <v>1</v>
      </c>
      <c r="F1191" s="28"/>
      <c r="G1191" s="28" t="str">
        <f>IF(AND(ISNUMBER(D1191),ISNUMBER(E1191)),IF(OR(E1191&lt;=0,L1191=0),0,E1191-D1191),"")</f>
      </c>
      <c r="H1191" s="16" t="str">
        <f>IF(NOT(ISNUMBER(E1191)),"销量或海外库存待补",IF(OR(E1191&lt;=0,L1191=0),IF(L1191=0,"零日销，本批不发","本批无需补货"),IF(NOT(ISNUMBER(D1191)),"国内库存待补",IF(D1191=0,"国内无可用库存",IF(G1191&gt;0,"先发国内现货","按建议量发货")))))</f>
        <v>国内库存待补</v>
      </c>
      <c r="I1191" s="28" t="n">
        <f>IF(AND(COUNT(Z1191,AA1191,AB1191)=3,Z1191&gt;=AA1191,AA1191&gt;=0,AB1191=7),Z1191-AA1191,"")</f>
        <v>0</v>
      </c>
      <c r="J1191" s="28" t="n">
        <f>IF(AND(COUNT(AF1191,AG1191,AH1191)=3,AF1191&gt;=AG1191,AG1191&gt;=0,AH1191=14),AF1191-AG1191,"")</f>
        <v>0</v>
      </c>
      <c r="K1191" s="28" t="n">
        <f>IF(AND(COUNT(AL1191,AM1191,AN1191)=3,AL1191&gt;=AM1191,AM1191&gt;=0,AN1191=30),AL1191-AM1191,"")</f>
        <v>0</v>
      </c>
      <c r="L1191" s="29" t="n">
        <f>IF(ISNUMBER(BI1191),BI1191/90,"")</f>
        <v>0.007538551033221552</v>
      </c>
      <c r="M1191" s="28" t="n">
        <v>0</v>
      </c>
      <c r="N1191" s="28" t="n">
        <v>0</v>
      </c>
      <c r="O1191" s="28" t="n">
        <v>0</v>
      </c>
      <c r="P1191" s="30" t="n">
        <f>IF(AND(ISNUMBER(L1191),L1191&gt;0,COUNT(M1191:O1191)=3,MIN(M1191:O1191)&gt;=0),SUM(M1191:O1191)/L1191,"")</f>
        <v>0</v>
      </c>
      <c r="Q1191" s="16" t="str">
        <v>沿用原计划SKU店铺</v>
      </c>
      <c r="R1191" s="16" t="str">
        <v>未匹配</v>
      </c>
      <c r="S1191" s="16" t="str">
        <v>停售</v>
      </c>
      <c r="T1191" s="16" t="str">
        <v>B06</v>
      </c>
      <c r="U1191" s="16" t="str">
        <v>红色色织提花</v>
      </c>
      <c r="V1191" s="16" t="n">
        <v>10</v>
      </c>
      <c r="W1191" s="8" t="str">
        <v>2026-10-08 至 2026-10-17</v>
      </c>
      <c r="X1191" s="8" t="str">
        <v>2026-10-08、2026-10-09、2026-10-10、2026-10-11、2026-10-14、2026-10-15、2026-10-17</v>
      </c>
      <c r="Y1191" s="8" t="str">
        <v>2026-10-12 有记录的停售日；2026-10-13 有记录的停售日；2026-10-16 有记录的停售日</v>
      </c>
      <c r="Z1191" s="8" t="n">
        <v>0</v>
      </c>
      <c r="AA1191" s="8" t="n">
        <v>0</v>
      </c>
      <c r="AB1191" s="8" t="n">
        <v>7</v>
      </c>
      <c r="AC1191" s="8" t="str">
        <v>2026-09-29 至 2026-10-17</v>
      </c>
      <c r="AD1191" s="8" t="str">
        <v>2026-09-29、2026-09-30、2026-10-01、2026-10-02、2026-10-03、2026-10-04、2026-10-05、2026-10-08、2026-10-09、2026-10-10、2026-10-11、2026-10-14、2026-10-15、2026-10-17</v>
      </c>
      <c r="AE1191" s="8" t="str">
        <v>2026-10-06 大促；2026-10-07 大促；2026-10-12 有记录的停售日；2026-10-13 有记录的停售日；2026-10-16 有记录的停售日</v>
      </c>
      <c r="AF1191" s="8" t="n">
        <v>0</v>
      </c>
      <c r="AG1191" s="8" t="n">
        <v>0</v>
      </c>
      <c r="AH1191" s="8" t="n">
        <v>14</v>
      </c>
      <c r="AI1191" s="8" t="str">
        <v>2026-09-13 至 2026-10-17</v>
      </c>
      <c r="AJ119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1" s="8" t="str">
        <v>2026-10-06 大促；2026-10-07 大促；2026-10-12 有记录的停售日；2026-10-13 有记录的停售日；2026-10-16 有记录的停售日</v>
      </c>
      <c r="AL1191" s="8" t="n">
        <v>0</v>
      </c>
      <c r="AM1191" s="8" t="n">
        <v>0</v>
      </c>
      <c r="AN1191" s="8" t="n">
        <v>30</v>
      </c>
      <c r="AO1191" s="8" t="str">
        <v>B06 / 红色羊京绒 / 13120</v>
      </c>
      <c r="AP1191" s="11" t="n">
        <v>1.2247029157699902</v>
      </c>
      <c r="AQ1191" s="11" t="n">
        <v>1.1929861014741694</v>
      </c>
      <c r="AR1191" s="11" t="n">
        <v>1.0914922957275428</v>
      </c>
      <c r="AS1191" s="11" t="n">
        <f>IF(AND(COUNT(I1191:K1191,AP1191:AR1191)=6,MIN(AP1191:AR1191)&gt;0),I1191/7/AP1191*0.5+J1191/14/AQ1191*0.3+K1191/30/AR1191*0.2,"")</f>
        <v>0</v>
      </c>
      <c r="AT1191" s="8" t="n">
        <v>1</v>
      </c>
      <c r="AU1191" s="8" t="n">
        <v>0</v>
      </c>
      <c r="AV1191" s="8" t="n">
        <v>85</v>
      </c>
      <c r="AW1191" s="11" t="n">
        <f>IF(AND(COUNT(AT1191:AV1191)=3,AT1191&gt;=AU1191,AU1191&gt;=0,AV1191&gt;0),(AT1191-AU1191)/AV1191,"")</f>
        <v>0.011764705882352941</v>
      </c>
      <c r="AX1191" s="8" t="n">
        <v>1</v>
      </c>
      <c r="AY1191" s="8" t="n">
        <v>0</v>
      </c>
      <c r="AZ1191" s="8" t="n">
        <v>175</v>
      </c>
      <c r="BA1191" s="11" t="n">
        <f>IF(AND(COUNT(AX1191:AZ1191)=3,AX1191&gt;=AY1191,AY1191&gt;=0,AZ1191&gt;0),(AX1191-AY1191)/AZ1191,"")</f>
        <v>0.005714285714285714</v>
      </c>
      <c r="BB1191" s="8" t="n">
        <f>IF(COUNT(AS1191,AW1191,BA1191)=3,1,0)</f>
        <v>1</v>
      </c>
      <c r="BC1191" s="11" t="n">
        <f>IF(SUMIF($AO$11:$AO$1309,AO1191,$BB$11:$BB$1309)=COUNTIF($AO$11:$AO$1309,AO1191),SUMIF($AO$11:$AO$1309,AO1191,$AS$11:$AS$1309),"")</f>
        <v>0.8439809959730303</v>
      </c>
      <c r="BD1191" s="11" t="n">
        <f>IF(SUMIF($AO$11:$AO$1309,AO1191,$BB$11:$BB$1309)=COUNTIF($AO$11:$AO$1309,AO1191),SUMIF($AO$11:$AO$1309,AO1191,$AW$11:$AW$1309),"")</f>
        <v>0.8696244248227831</v>
      </c>
      <c r="BE1191" s="11" t="n">
        <f>IF(SUMIF($AO$11:$AO$1309,AO1191,$BB$11:$BB$1309)=COUNTIF($AO$11:$AO$1309,AO1191),SUMIF($AO$11:$AO$1309,AO1191,$BA$11:$BA$1309),"")</f>
        <v>1.2057704654895667</v>
      </c>
      <c r="BF1191" s="12" t="n">
        <f>IF(COUNT(BD1191:BE1191)&lt;&gt;2,"",IF(AND(BD1191&gt;0,BE1191&gt;0),0.7*AW1191/BD1191+0.3*BA1191/BE1191,IF(BD1191&gt;0,AW1191/BD1191,IF(BE1191&gt;0,BA1191/BE1191,IF(AND(ISNUMBER(BH1191),BH1191=0),0,"")))))</f>
        <v>0.010891678143319664</v>
      </c>
      <c r="BG1191" s="11" t="n">
        <f>IF(AND(COUNT(BN1191:BU1191)=8,MIN(BN1191:BU1191)&gt;=0),SUMPRODUCT(BN1191:BQ1191,BR1191:BU1191),"")</f>
        <v>73.80791239847399</v>
      </c>
      <c r="BH1191" s="11" t="n">
        <f>IF(COUNT(BC1191,BG1191)=2,BC1191*BG1191,"")</f>
        <v>62.29247541675425</v>
      </c>
      <c r="BI1191" s="11" t="n">
        <f>IF(ISNUMBER(CI1191),CI1191,"")</f>
        <v>0.6784695929899397</v>
      </c>
      <c r="BJ1191" s="8" t="str">
        <v>低销提醒依据不完整</v>
      </c>
      <c r="BK1191" s="8" t="str">
        <v>90天：2026-07-20 至 2026-10-17；180天：2026-04-21 至 2026-10-17</v>
      </c>
      <c r="BL1191" s="8" t="str">
        <v>90天：2026-10-06、2026-10-07、2026-10-12、2026-10-13、2026-10-16；180天：2026-10-06、2026-10-07、2026-10-12、2026-10-13、2026-10-16</v>
      </c>
      <c r="BM1191" s="8" t="str">
        <v>2026-10：12天 × 1.2247029157699902；2026-11：30天 × 0.8332682139098497；2026-12：31天 × 0.5511018253564084；2027-01：17天 × 1.0017220238758797</v>
      </c>
      <c r="BN1191" s="11" t="n">
        <v>1.2247029157699902</v>
      </c>
      <c r="BO1191" s="11" t="n">
        <v>0.8332682139098497</v>
      </c>
      <c r="BP1191" s="11" t="n">
        <v>0.5511018253564084</v>
      </c>
      <c r="BQ1191" s="11" t="n">
        <v>1.0017220238758797</v>
      </c>
      <c r="BR1191" s="8" t="n">
        <v>12</v>
      </c>
      <c r="BS1191" s="8" t="n">
        <v>30</v>
      </c>
      <c r="BT1191" s="8" t="n">
        <v>31</v>
      </c>
      <c r="BU1191" s="8" t="n">
        <v>17</v>
      </c>
      <c r="BV1191" s="11" t="n">
        <f>IF(COUNT(BC1191,BF1191)=2,BC1191*BF1191,"")</f>
        <v>0.009192369367216615</v>
      </c>
      <c r="BW1191" s="11" t="n">
        <f>IF(ISNUMBER(BN1191),BN1191,"")</f>
        <v>1.2247029157699902</v>
      </c>
      <c r="BX1191" s="14" t="n">
        <f>IF(ISNUMBER(BR1191),BR1191,"")</f>
        <v>12</v>
      </c>
      <c r="BY1191" s="13" t="n">
        <f>IF(AND(COUNT(BV1191,BW1191,BX1191)=3,MIN(BV1191,BW1191,BX1191)&gt;=0),BV1191*BW1191*BX1191,"")</f>
        <v>0.13509505880237915</v>
      </c>
      <c r="BZ1191" s="11" t="n">
        <f>IF(ISNUMBER(BO1191),BO1191,"")</f>
        <v>0.8332682139098497</v>
      </c>
      <c r="CA1191" s="14" t="n">
        <f>IF(ISNUMBER(BS1191),BS1191,"")</f>
        <v>30</v>
      </c>
      <c r="CB1191" s="13" t="n">
        <f>IF(AND(COUNT(BV1191,BZ1191,CA1191)=3,MIN(BV1191,BZ1191,CA1191)&gt;=0),BV1191*BZ1191*CA1191,"")</f>
        <v>0.22979127612660613</v>
      </c>
      <c r="CC1191" s="11" t="n">
        <f>IF(ISNUMBER(BP1191),BP1191,"")</f>
        <v>0.5511018253564084</v>
      </c>
      <c r="CD1191" s="14" t="n">
        <f>IF(ISNUMBER(BT1191),BT1191,"")</f>
        <v>31</v>
      </c>
      <c r="CE1191" s="13" t="n">
        <f>IF(AND(COUNT(BV1191,CC1191,CD1191)=3,MIN(BV1191,CC1191,CD1191)&gt;=0),BV1191*CC1191*CD1191,"")</f>
        <v>0.1570438776663257</v>
      </c>
      <c r="CF1191" s="11" t="n">
        <f>IF(ISNUMBER(BQ1191),BQ1191,"")</f>
        <v>1.0017220238758797</v>
      </c>
      <c r="CG1191" s="14" t="n">
        <f>IF(ISNUMBER(BU1191),BU1191,"")</f>
        <v>17</v>
      </c>
      <c r="CH1191" s="13" t="n">
        <f>IF(AND(COUNT(BV1191,CF1191,CG1191)=3,MIN(BV1191,CF1191,CG1191)&gt;=0),BV1191*CF1191*CG1191,"")</f>
        <v>0.15653938039462875</v>
      </c>
      <c r="CI1191" s="13" t="n">
        <f>IF(COUNT(BY1191,CB1191,CE1191,CH1191)=4,SUM(BY1191,CB1191,CE1191,CH1191),"")</f>
        <v>0.6784695929899397</v>
      </c>
    </row>
    <row r="1192" ht="72" customHeight="1">
      <c r="A1192" s="16" t="str">
        <v>B06-RG-37.5</v>
      </c>
      <c r="B1192" s="16" t="str">
        <v>1店-MUSSHOE-US</v>
      </c>
      <c r="C1192" s="16" t="str">
        <v>艾年</v>
      </c>
      <c r="D1192" s="26" t="str">
        <f>IF(NOT(ISNUMBER(E1192)),"",IF(OR(E1192&lt;=0,L1192=0),0,IF(OR(NOT(ISNUMBER(F1192)),F1192&lt;0),"",MIN(E1192,INT(F1192)))))</f>
      </c>
      <c r="E1192" s="27" t="n">
        <f>IF(OR(NOT(ISNUMBER(L1192)),COUNT(M1192:O1192)&lt;&gt;3,MIN(M1192:O1192)&lt;0),"",ROUNDUP(ROUND(BI1192-SUM(M1192:O1192),10),0))</f>
        <v>1</v>
      </c>
      <c r="F1192" s="28"/>
      <c r="G1192" s="28" t="str">
        <f>IF(AND(ISNUMBER(D1192),ISNUMBER(E1192)),IF(OR(E1192&lt;=0,L1192=0),0,E1192-D1192),"")</f>
      </c>
      <c r="H1192" s="16" t="str">
        <f>IF(NOT(ISNUMBER(E1192)),"销量或海外库存待补",IF(OR(E1192&lt;=0,L1192=0),IF(L1192=0,"零日销，本批不发","本批无需补货"),IF(NOT(ISNUMBER(D1192)),"国内库存待补",IF(D1192=0,"国内无可用库存",IF(G1192&gt;0,"先发国内现货","按建议量发货")))))</f>
        <v>国内库存待补</v>
      </c>
      <c r="I1192" s="28" t="n">
        <f>IF(AND(COUNT(Z1192,AA1192,AB1192)=3,Z1192&gt;=AA1192,AA1192&gt;=0,AB1192=7),Z1192-AA1192,"")</f>
        <v>0</v>
      </c>
      <c r="J1192" s="28" t="n">
        <f>IF(AND(COUNT(AF1192,AG1192,AH1192)=3,AF1192&gt;=AG1192,AG1192&gt;=0,AH1192=14),AF1192-AG1192,"")</f>
        <v>0</v>
      </c>
      <c r="K1192" s="28" t="n">
        <f>IF(AND(COUNT(AL1192,AM1192,AN1192)=3,AL1192&gt;=AM1192,AM1192&gt;=0,AN1192=30),AL1192-AM1192,"")</f>
        <v>0</v>
      </c>
      <c r="L1192" s="29" t="n">
        <f>IF(ISNUMBER(BI1192),BI1192/90,"")</f>
        <v>0.0015764228451264919</v>
      </c>
      <c r="M1192" s="28" t="n">
        <v>0</v>
      </c>
      <c r="N1192" s="28" t="n">
        <v>0</v>
      </c>
      <c r="O1192" s="28" t="n">
        <v>0</v>
      </c>
      <c r="P1192" s="30" t="n">
        <f>IF(AND(ISNUMBER(L1192),L1192&gt;0,COUNT(M1192:O1192)=3,MIN(M1192:O1192)&gt;=0),SUM(M1192:O1192)/L1192,"")</f>
        <v>0</v>
      </c>
      <c r="Q1192" s="16" t="str">
        <v>沿用原计划SKU店铺</v>
      </c>
      <c r="R1192" s="16" t="str">
        <v>未匹配</v>
      </c>
      <c r="S1192" s="16" t="str">
        <v>停售</v>
      </c>
      <c r="T1192" s="16" t="str">
        <v>B06</v>
      </c>
      <c r="U1192" s="16" t="str">
        <v>玫瑰金PU</v>
      </c>
      <c r="V1192" s="16" t="n">
        <v>6.5</v>
      </c>
      <c r="W1192" s="8" t="str">
        <v>2026-10-08 至 2026-10-17</v>
      </c>
      <c r="X1192" s="8" t="str">
        <v>2026-10-08、2026-10-09、2026-10-10、2026-10-11、2026-10-14、2026-10-15、2026-10-17</v>
      </c>
      <c r="Y1192" s="8" t="str">
        <v>2026-10-12 有记录的停售日；2026-10-13 有记录的停售日；2026-10-16 有记录的停售日</v>
      </c>
      <c r="Z1192" s="8" t="n">
        <v>0</v>
      </c>
      <c r="AA1192" s="8" t="n">
        <v>0</v>
      </c>
      <c r="AB1192" s="8" t="n">
        <v>7</v>
      </c>
      <c r="AC1192" s="8" t="str">
        <v>2026-09-29 至 2026-10-17</v>
      </c>
      <c r="AD1192" s="8" t="str">
        <v>2026-09-29、2026-09-30、2026-10-01、2026-10-02、2026-10-03、2026-10-04、2026-10-05、2026-10-08、2026-10-09、2026-10-10、2026-10-11、2026-10-14、2026-10-15、2026-10-17</v>
      </c>
      <c r="AE1192" s="8" t="str">
        <v>2026-10-06 大促；2026-10-07 大促；2026-10-12 有记录的停售日；2026-10-13 有记录的停售日；2026-10-16 有记录的停售日</v>
      </c>
      <c r="AF1192" s="8" t="n">
        <v>0</v>
      </c>
      <c r="AG1192" s="8" t="n">
        <v>0</v>
      </c>
      <c r="AH1192" s="8" t="n">
        <v>14</v>
      </c>
      <c r="AI1192" s="8" t="str">
        <v>2026-09-13 至 2026-10-17</v>
      </c>
      <c r="AJ119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2" s="8" t="str">
        <v>2026-10-06 大促；2026-10-07 大促；2026-10-12 有记录的停售日；2026-10-13 有记录的停售日；2026-10-16 有记录的停售日</v>
      </c>
      <c r="AL1192" s="8" t="n">
        <v>0</v>
      </c>
      <c r="AM1192" s="8" t="n">
        <v>0</v>
      </c>
      <c r="AN1192" s="8" t="n">
        <v>30</v>
      </c>
      <c r="AO1192" s="8" t="str">
        <v>B06 / 玫瑰金PU / 13120</v>
      </c>
      <c r="AP1192" s="11" t="n">
        <v>1.2247029157699902</v>
      </c>
      <c r="AQ1192" s="11" t="n">
        <v>1.1929861014741694</v>
      </c>
      <c r="AR1192" s="11" t="n">
        <v>1.0914922957275428</v>
      </c>
      <c r="AS1192" s="11" t="n">
        <f>IF(AND(COUNT(I1192:K1192,AP1192:AR1192)=6,MIN(AP1192:AR1192)&gt;0),I1192/7/AP1192*0.5+J1192/14/AQ1192*0.3+K1192/30/AR1192*0.2,"")</f>
        <v>0</v>
      </c>
      <c r="AT1192" s="8" t="n">
        <v>0</v>
      </c>
      <c r="AU1192" s="8" t="n">
        <v>0</v>
      </c>
      <c r="AV1192" s="8" t="n">
        <v>85</v>
      </c>
      <c r="AW1192" s="11" t="n">
        <f>IF(AND(COUNT(AT1192:AV1192)=3,AT1192&gt;=AU1192,AU1192&gt;=0,AV1192&gt;0),(AT1192-AU1192)/AV1192,"")</f>
        <v>0</v>
      </c>
      <c r="AX1192" s="8" t="n">
        <v>2</v>
      </c>
      <c r="AY1192" s="8" t="n">
        <v>0</v>
      </c>
      <c r="AZ1192" s="8" t="n">
        <v>175</v>
      </c>
      <c r="BA1192" s="11" t="n">
        <f>IF(AND(COUNT(AX1192:AZ1192)=3,AX1192&gt;=AY1192,AY1192&gt;=0,AZ1192&gt;0),(AX1192-AY1192)/AZ1192,"")</f>
        <v>0.011428571428571429</v>
      </c>
      <c r="BB1192" s="8" t="n">
        <f>IF(COUNT(AS1192,AW1192,BA1192)=3,1,0)</f>
        <v>1</v>
      </c>
      <c r="BC1192" s="11" t="n">
        <f>IF(SUMIF($AO$11:$AO$1309,AO1192,$BB$11:$BB$1309)=COUNTIF($AO$11:$AO$1309,AO1192),SUMIF($AO$11:$AO$1309,AO1192,$AS$11:$AS$1309),"")</f>
        <v>0.17138358849157517</v>
      </c>
      <c r="BD1192" s="11" t="n">
        <f>IF(SUMIF($AO$11:$AO$1309,AO1192,$BB$11:$BB$1309)=COUNTIF($AO$11:$AO$1309,AO1192),SUMIF($AO$11:$AO$1309,AO1192,$AW$11:$AW$1309),"")</f>
        <v>0.24064171122994651</v>
      </c>
      <c r="BE1192" s="11" t="n">
        <f>IF(SUMIF($AO$11:$AO$1309,AO1192,$BB$11:$BB$1309)=COUNTIF($AO$11:$AO$1309,AO1192),SUMIF($AO$11:$AO$1309,AO1192,$BA$11:$BA$1309),"")</f>
        <v>0.30568218298555383</v>
      </c>
      <c r="BF1192" s="12" t="n">
        <f>IF(COUNT(BD1192:BE1192)&lt;&gt;2,"",IF(AND(BD1192&gt;0,BE1192&gt;0),0.7*AW1192/BD1192+0.3*BA1192/BE1192,IF(BD1192&gt;0,AW1192/BD1192,IF(BE1192&gt;0,BA1192/BE1192,IF(AND(ISNUMBER(BH1192),BH1192=0),0,"")))))</f>
        <v>0.011216131064902329</v>
      </c>
      <c r="BG1192" s="11" t="n">
        <f>IF(AND(COUNT(BN1192:BU1192)=8,MIN(BN1192:BU1192)&gt;=0),SUMPRODUCT(BN1192:BQ1192,BR1192:BU1192),"")</f>
        <v>73.80791239847399</v>
      </c>
      <c r="BH1192" s="11" t="n">
        <f>IF(COUNT(BC1192,BG1192)=2,BC1192*BG1192,"")</f>
        <v>12.649464885922296</v>
      </c>
      <c r="BI1192" s="11" t="n">
        <f>IF(ISNUMBER(CI1192),CI1192,"")</f>
        <v>0.14187805606138426</v>
      </c>
      <c r="BJ1192" s="8" t="str">
        <v>低销提醒依据不完整</v>
      </c>
      <c r="BK1192" s="8" t="str">
        <v>90天：2026-07-20 至 2026-10-17；180天：2026-04-21 至 2026-10-17</v>
      </c>
      <c r="BL1192" s="8" t="str">
        <v>90天：2026-10-06、2026-10-07、2026-10-12、2026-10-13、2026-10-16；180天：2026-10-06、2026-10-07、2026-10-12、2026-10-13、2026-10-16</v>
      </c>
      <c r="BM1192" s="8" t="str">
        <v>2026-10：12天 × 1.2247029157699902；2026-11：30天 × 0.8332682139098497；2026-12：31天 × 0.5511018253564084；2027-01：17天 × 1.0017220238758797</v>
      </c>
      <c r="BN1192" s="11" t="n">
        <v>1.2247029157699902</v>
      </c>
      <c r="BO1192" s="11" t="n">
        <v>0.8332682139098497</v>
      </c>
      <c r="BP1192" s="11" t="n">
        <v>0.5511018253564084</v>
      </c>
      <c r="BQ1192" s="11" t="n">
        <v>1.0017220238758797</v>
      </c>
      <c r="BR1192" s="8" t="n">
        <v>12</v>
      </c>
      <c r="BS1192" s="8" t="n">
        <v>30</v>
      </c>
      <c r="BT1192" s="8" t="n">
        <v>31</v>
      </c>
      <c r="BU1192" s="8" t="n">
        <v>17</v>
      </c>
      <c r="BV1192" s="11" t="n">
        <f>IF(COUNT(BC1192,BF1192)=2,BC1192*BF1192,"")</f>
        <v>0.0019222607908947935</v>
      </c>
      <c r="BW1192" s="11" t="n">
        <f>IF(ISNUMBER(BN1192),BN1192,"")</f>
        <v>1.2247029157699902</v>
      </c>
      <c r="BX1192" s="14" t="n">
        <f>IF(ISNUMBER(BR1192),BR1192,"")</f>
        <v>12</v>
      </c>
      <c r="BY1192" s="13" t="n">
        <f>IF(AND(COUNT(BV1192,BW1192,BX1192)=3,MIN(BV1192,BW1192,BX1192)&gt;=0),BV1192*BW1192*BX1192,"")</f>
        <v>0.028250380745750175</v>
      </c>
      <c r="BZ1192" s="11" t="n">
        <f>IF(ISNUMBER(BO1192),BO1192,"")</f>
        <v>0.8332682139098497</v>
      </c>
      <c r="CA1192" s="14" t="n">
        <f>IF(ISNUMBER(BS1192),BS1192,"")</f>
        <v>30</v>
      </c>
      <c r="CB1192" s="13" t="n">
        <f>IF(AND(COUNT(BV1192,BZ1192,CA1192)=3,MIN(BV1192,BZ1192,CA1192)&gt;=0),BV1192*BZ1192*CA1192,"")</f>
        <v>0.04805276447693519</v>
      </c>
      <c r="CC1192" s="11" t="n">
        <f>IF(ISNUMBER(BP1192),BP1192,"")</f>
        <v>0.5511018253564084</v>
      </c>
      <c r="CD1192" s="14" t="n">
        <f>IF(ISNUMBER(BT1192),BT1192,"")</f>
        <v>31</v>
      </c>
      <c r="CE1192" s="13" t="n">
        <f>IF(AND(COUNT(BV1192,CC1192,CD1192)=3,MIN(BV1192,CC1192,CD1192)&gt;=0),BV1192*CC1192*CD1192,"")</f>
        <v>0.032840204350868395</v>
      </c>
      <c r="CF1192" s="11" t="n">
        <f>IF(ISNUMBER(BQ1192),BQ1192,"")</f>
        <v>1.0017220238758797</v>
      </c>
      <c r="CG1192" s="14" t="n">
        <f>IF(ISNUMBER(BU1192),BU1192,"")</f>
        <v>17</v>
      </c>
      <c r="CH1192" s="13" t="n">
        <f>IF(AND(COUNT(BV1192,CF1192,CG1192)=3,MIN(BV1192,CF1192,CG1192)&gt;=0),BV1192*CF1192*CG1192,"")</f>
        <v>0.03273470648783049</v>
      </c>
      <c r="CI1192" s="13" t="n">
        <f>IF(COUNT(BY1192,CB1192,CE1192,CH1192)=4,SUM(BY1192,CB1192,CE1192,CH1192),"")</f>
        <v>0.14187805606138426</v>
      </c>
    </row>
    <row r="1193" ht="72" customHeight="1">
      <c r="A1193" s="16" t="str">
        <v>B06-RG-39.5</v>
      </c>
      <c r="B1193" s="16" t="str">
        <v>1店-MUSSHOE-US</v>
      </c>
      <c r="C1193" s="16" t="str">
        <v>艾年</v>
      </c>
      <c r="D1193" s="26" t="str">
        <f>IF(NOT(ISNUMBER(E1193)),"",IF(OR(E1193&lt;=0,L1193=0),0,IF(OR(NOT(ISNUMBER(F1193)),F1193&lt;0),"",MIN(E1193,INT(F1193)))))</f>
      </c>
      <c r="E1193" s="27" t="n">
        <f>IF(OR(NOT(ISNUMBER(L1193)),COUNT(M1193:O1193)&lt;&gt;3,MIN(M1193:O1193)&lt;0),"",ROUNDUP(ROUND(BI1193-SUM(M1193:O1193),10),0))</f>
        <v>1</v>
      </c>
      <c r="F1193" s="28"/>
      <c r="G1193" s="28" t="str">
        <f>IF(AND(ISNUMBER(D1193),ISNUMBER(E1193)),IF(OR(E1193&lt;=0,L1193=0),0,E1193-D1193),"")</f>
      </c>
      <c r="H1193" s="16" t="str">
        <f>IF(NOT(ISNUMBER(E1193)),"销量或海外库存待补",IF(OR(E1193&lt;=0,L1193=0),IF(L1193=0,"零日销，本批不发","本批无需补货"),IF(NOT(ISNUMBER(D1193)),"国内库存待补",IF(D1193=0,"国内无可用库存",IF(G1193&gt;0,"先发国内现货","按建议量发货")))))</f>
        <v>国内库存待补</v>
      </c>
      <c r="I1193" s="28" t="n">
        <f>IF(AND(COUNT(Z1193,AA1193,AB1193)=3,Z1193&gt;=AA1193,AA1193&gt;=0,AB1193=7),Z1193-AA1193,"")</f>
        <v>0</v>
      </c>
      <c r="J1193" s="28" t="n">
        <f>IF(AND(COUNT(AF1193,AG1193,AH1193)=3,AF1193&gt;=AG1193,AG1193&gt;=0,AH1193=14),AF1193-AG1193,"")</f>
        <v>0</v>
      </c>
      <c r="K1193" s="28" t="n">
        <f>IF(AND(COUNT(AL1193,AM1193,AN1193)=3,AL1193&gt;=AM1193,AM1193&gt;=0,AN1193=30),AL1193-AM1193,"")</f>
        <v>1</v>
      </c>
      <c r="L1193" s="29" t="n">
        <f>IF(ISNUMBER(BI1193),BI1193/90,"")</f>
        <v>0.018587398071799738</v>
      </c>
      <c r="M1193" s="28" t="n">
        <v>1</v>
      </c>
      <c r="N1193" s="28" t="n">
        <v>0</v>
      </c>
      <c r="O1193" s="28" t="n">
        <v>0</v>
      </c>
      <c r="P1193" s="30" t="n">
        <f>IF(AND(ISNUMBER(L1193),L1193&gt;0,COUNT(M1193:O1193)=3,MIN(M1193:O1193)&gt;=0),SUM(M1193:O1193)/L1193,"")</f>
        <v>53.79989152527868</v>
      </c>
      <c r="Q1193" s="16" t="str">
        <v>沿用原计划SKU店铺</v>
      </c>
      <c r="R1193" s="16" t="str">
        <v>未匹配</v>
      </c>
      <c r="S1193" s="16" t="str">
        <v>在售</v>
      </c>
      <c r="T1193" s="16" t="str">
        <v>B06</v>
      </c>
      <c r="U1193" s="16" t="str">
        <v>玫瑰金PU</v>
      </c>
      <c r="V1193" s="16" t="n">
        <v>8.5</v>
      </c>
      <c r="W1193" s="8" t="str">
        <v>2026-10-11 至 2026-10-17</v>
      </c>
      <c r="X1193" s="8" t="str">
        <v>2026-10-11、2026-10-12、2026-10-13、2026-10-14、2026-10-15、2026-10-16、2026-10-17</v>
      </c>
      <c r="Y1193" s="8" t="str">
        <v>无</v>
      </c>
      <c r="Z1193" s="8" t="n">
        <v>0</v>
      </c>
      <c r="AA1193" s="8" t="n">
        <v>0</v>
      </c>
      <c r="AB1193" s="8" t="n">
        <v>7</v>
      </c>
      <c r="AC1193" s="8" t="str">
        <v>2026-10-02 至 2026-10-17</v>
      </c>
      <c r="AD1193" s="8" t="str">
        <v>2026-10-02、2026-10-03、2026-10-04、2026-10-05、2026-10-08、2026-10-09、2026-10-10、2026-10-11、2026-10-12、2026-10-13、2026-10-14、2026-10-15、2026-10-16、2026-10-17</v>
      </c>
      <c r="AE1193" s="8" t="str">
        <v>2026-10-06 大促；2026-10-07 大促</v>
      </c>
      <c r="AF1193" s="8" t="n">
        <v>0</v>
      </c>
      <c r="AG1193" s="8" t="n">
        <v>0</v>
      </c>
      <c r="AH1193" s="8" t="n">
        <v>14</v>
      </c>
      <c r="AI1193" s="8" t="str">
        <v>2026-09-16 至 2026-10-17</v>
      </c>
      <c r="AJ11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93" s="8" t="str">
        <v>2026-10-06 大促；2026-10-07 大促</v>
      </c>
      <c r="AL1193" s="8" t="n">
        <v>1</v>
      </c>
      <c r="AM1193" s="8" t="n">
        <v>0</v>
      </c>
      <c r="AN1193" s="8" t="n">
        <v>30</v>
      </c>
      <c r="AO1193" s="8" t="str">
        <v>B06 / 玫瑰金PU / 13120</v>
      </c>
      <c r="AP1193" s="11" t="n">
        <v>1.2247029157699902</v>
      </c>
      <c r="AQ1193" s="11" t="n">
        <v>1.2247029157699902</v>
      </c>
      <c r="AR1193" s="11" t="n">
        <v>1.1136940657346173</v>
      </c>
      <c r="AS1193" s="11" t="n">
        <f>IF(AND(COUNT(I1193:K1193,AP1193:AR1193)=6,MIN(AP1193:AR1193)&gt;0),I1193/7/AP1193*0.5+J1193/14/AQ1193*0.3+K1193/30/AR1193*0.2,"")</f>
        <v>0.0059860843940738664</v>
      </c>
      <c r="AT1193" s="8" t="n">
        <v>3</v>
      </c>
      <c r="AU1193" s="8" t="n">
        <v>0</v>
      </c>
      <c r="AV1193" s="8" t="n">
        <v>88</v>
      </c>
      <c r="AW1193" s="11" t="n">
        <f>IF(AND(COUNT(AT1193:AV1193)=3,AT1193&gt;=AU1193,AU1193&gt;=0,AV1193&gt;0),(AT1193-AU1193)/AV1193,"")</f>
        <v>0.03409090909090909</v>
      </c>
      <c r="AX1193" s="8" t="n">
        <v>6</v>
      </c>
      <c r="AY1193" s="8" t="n">
        <v>0</v>
      </c>
      <c r="AZ1193" s="8" t="n">
        <v>178</v>
      </c>
      <c r="BA1193" s="11" t="n">
        <f>IF(AND(COUNT(AX1193:AZ1193)=3,AX1193&gt;=AY1193,AY1193&gt;=0,AZ1193&gt;0),(AX1193-AY1193)/AZ1193,"")</f>
        <v>0.033707865168539325</v>
      </c>
      <c r="BB1193" s="8" t="n">
        <f>IF(COUNT(AS1193,AW1193,BA1193)=3,1,0)</f>
        <v>1</v>
      </c>
      <c r="BC1193" s="11" t="n">
        <f>IF(SUMIF($AO$11:$AO$1309,AO1193,$BB$11:$BB$1309)=COUNTIF($AO$11:$AO$1309,AO1193),SUMIF($AO$11:$AO$1309,AO1193,$AS$11:$AS$1309),"")</f>
        <v>0.17138358849157517</v>
      </c>
      <c r="BD1193" s="11" t="n">
        <f>IF(SUMIF($AO$11:$AO$1309,AO1193,$BB$11:$BB$1309)=COUNTIF($AO$11:$AO$1309,AO1193),SUMIF($AO$11:$AO$1309,AO1193,$AW$11:$AW$1309),"")</f>
        <v>0.24064171122994651</v>
      </c>
      <c r="BE1193" s="11" t="n">
        <f>IF(SUMIF($AO$11:$AO$1309,AO1193,$BB$11:$BB$1309)=COUNTIF($AO$11:$AO$1309,AO1193),SUMIF($AO$11:$AO$1309,AO1193,$BA$11:$BA$1309),"")</f>
        <v>0.30568218298555383</v>
      </c>
      <c r="BF1193" s="12" t="n">
        <f>IF(COUNT(BD1193:BE1193)&lt;&gt;2,"",IF(AND(BD1193&gt;0,BE1193&gt;0),0.7*AW1193/BD1193+0.3*BA1193/BE1193,IF(BD1193&gt;0,AW1193/BD1193,IF(BE1193&gt;0,BA1193/BE1193,IF(AND(ISNUMBER(BH1193),BH1193=0),0,"")))))</f>
        <v>0.13224795211090107</v>
      </c>
      <c r="BG1193" s="11" t="n">
        <f>IF(AND(COUNT(BN1193:BU1193)=8,MIN(BN1193:BU1193)&gt;=0),SUMPRODUCT(BN1193:BQ1193,BR1193:BU1193),"")</f>
        <v>73.80791239847399</v>
      </c>
      <c r="BH1193" s="11" t="n">
        <f>IF(COUNT(BC1193,BG1193)=2,BC1193*BG1193,"")</f>
        <v>12.649464885922296</v>
      </c>
      <c r="BI1193" s="11" t="n">
        <f>IF(ISNUMBER(CI1193),CI1193,"")</f>
        <v>1.6728658264619765</v>
      </c>
      <c r="BJ1193" s="8" t="str">
        <v>低销提醒依据不完整</v>
      </c>
      <c r="BK1193" s="8" t="str">
        <v>90天：2026-07-20 至 2026-10-17；180天：2026-04-21 至 2026-10-17</v>
      </c>
      <c r="BL1193" s="8" t="str">
        <v>90天：2026-10-06、2026-10-07；180天：2026-10-06、2026-10-07</v>
      </c>
      <c r="BM1193" s="8" t="str">
        <v>2026-10：12天 × 1.2247029157699902；2026-11：30天 × 0.8332682139098497；2026-12：31天 × 0.5511018253564084；2027-01：17天 × 1.0017220238758797</v>
      </c>
      <c r="BN1193" s="11" t="n">
        <v>1.2247029157699902</v>
      </c>
      <c r="BO1193" s="11" t="n">
        <v>0.8332682139098497</v>
      </c>
      <c r="BP1193" s="11" t="n">
        <v>0.5511018253564084</v>
      </c>
      <c r="BQ1193" s="11" t="n">
        <v>1.0017220238758797</v>
      </c>
      <c r="BR1193" s="8" t="n">
        <v>12</v>
      </c>
      <c r="BS1193" s="8" t="n">
        <v>30</v>
      </c>
      <c r="BT1193" s="8" t="n">
        <v>31</v>
      </c>
      <c r="BU1193" s="8" t="n">
        <v>17</v>
      </c>
      <c r="BV1193" s="11" t="n">
        <f>IF(COUNT(BC1193,BF1193)=2,BC1193*BF1193,"")</f>
        <v>0.02266512860342821</v>
      </c>
      <c r="BW1193" s="11" t="n">
        <f>IF(ISNUMBER(BN1193),BN1193,"")</f>
        <v>1.2247029157699902</v>
      </c>
      <c r="BX1193" s="14" t="n">
        <f>IF(ISNUMBER(BR1193),BR1193,"")</f>
        <v>12</v>
      </c>
      <c r="BY1193" s="13" t="n">
        <f>IF(AND(COUNT(BV1193,BW1193,BX1193)=3,MIN(BV1193,BW1193,BX1193)&gt;=0),BV1193*BW1193*BX1193,"")</f>
        <v>0.333096589043044</v>
      </c>
      <c r="BZ1193" s="11" t="n">
        <f>IF(ISNUMBER(BO1193),BO1193,"")</f>
        <v>0.8332682139098497</v>
      </c>
      <c r="CA1193" s="14" t="n">
        <f>IF(ISNUMBER(BS1193),BS1193,"")</f>
        <v>30</v>
      </c>
      <c r="CB1193" s="13" t="n">
        <f>IF(AND(COUNT(BV1193,BZ1193,CA1193)=3,MIN(BV1193,BZ1193,CA1193)&gt;=0),BV1193*BZ1193*CA1193,"")</f>
        <v>0.5665839368824701</v>
      </c>
      <c r="CC1193" s="11" t="n">
        <f>IF(ISNUMBER(BP1193),BP1193,"")</f>
        <v>0.5511018253564084</v>
      </c>
      <c r="CD1193" s="14" t="n">
        <f>IF(ISNUMBER(BT1193),BT1193,"")</f>
        <v>31</v>
      </c>
      <c r="CE1193" s="13" t="n">
        <f>IF(AND(COUNT(BV1193,CC1193,CD1193)=3,MIN(BV1193,CC1193,CD1193)&gt;=0),BV1193*CC1193*CD1193,"")</f>
        <v>0.3872146061038979</v>
      </c>
      <c r="CF1193" s="11" t="n">
        <f>IF(ISNUMBER(BQ1193),BQ1193,"")</f>
        <v>1.0017220238758797</v>
      </c>
      <c r="CG1193" s="14" t="n">
        <f>IF(ISNUMBER(BU1193),BU1193,"")</f>
        <v>17</v>
      </c>
      <c r="CH1193" s="13" t="n">
        <f>IF(AND(COUNT(BV1193,CF1193,CG1193)=3,MIN(BV1193,CF1193,CG1193)&gt;=0),BV1193*CF1193*CG1193,"")</f>
        <v>0.3859706944325644</v>
      </c>
      <c r="CI1193" s="13" t="n">
        <f>IF(COUNT(BY1193,CB1193,CE1193,CH1193)=4,SUM(BY1193,CB1193,CE1193,CH1193),"")</f>
        <v>1.6728658264619765</v>
      </c>
    </row>
    <row r="1194" ht="72" customHeight="1">
      <c r="A1194" s="16" t="str">
        <v>B06b-BKP-41.5</v>
      </c>
      <c r="B1194" s="16" t="str">
        <v>1店-MUSSHOE-US</v>
      </c>
      <c r="C1194" s="16" t="str">
        <v>艾年</v>
      </c>
      <c r="D1194" s="26" t="str">
        <f>IF(NOT(ISNUMBER(E1194)),"",IF(OR(E1194&lt;=0,L1194=0),0,IF(OR(NOT(ISNUMBER(F1194)),F1194&lt;0),"",MIN(E1194,INT(F1194)))))</f>
      </c>
      <c r="E1194" s="27" t="n">
        <f>IF(OR(NOT(ISNUMBER(L1194)),COUNT(M1194:O1194)&lt;&gt;3,MIN(M1194:O1194)&lt;0),"",ROUNDUP(ROUND(BI1194-SUM(M1194:O1194),10),0))</f>
        <v>1</v>
      </c>
      <c r="F1194" s="28"/>
      <c r="G1194" s="28" t="str">
        <f>IF(AND(ISNUMBER(D1194),ISNUMBER(E1194)),IF(OR(E1194&lt;=0,L1194=0),0,E1194-D1194),"")</f>
      </c>
      <c r="H1194" s="16" t="str">
        <f>IF(NOT(ISNUMBER(E1194)),"销量或海外库存待补",IF(OR(E1194&lt;=0,L1194=0),IF(L1194=0,"零日销，本批不发","本批无需补货"),IF(NOT(ISNUMBER(D1194)),"国内库存待补",IF(D1194=0,"国内无可用库存",IF(G1194&gt;0,"先发国内现货","按建议量发货")))))</f>
        <v>国内库存待补</v>
      </c>
      <c r="I1194" s="28" t="n">
        <f>IF(AND(COUNT(Z1194,AA1194,AB1194)=3,Z1194&gt;=AA1194,AA1194&gt;=0,AB1194=7),Z1194-AA1194,"")</f>
        <v>0</v>
      </c>
      <c r="J1194" s="28" t="n">
        <f>IF(AND(COUNT(AF1194,AG1194,AH1194)=3,AF1194&gt;=AG1194,AG1194&gt;=0,AH1194=14),AF1194-AG1194,"")</f>
        <v>0</v>
      </c>
      <c r="K1194" s="28" t="n">
        <f>IF(AND(COUNT(AL1194,AM1194,AN1194)=3,AL1194&gt;=AM1194,AM1194&gt;=0,AN1194=30),AL1194-AM1194,"")</f>
        <v>0</v>
      </c>
      <c r="L1194" s="29" t="n">
        <f>IF(ISNUMBER(BI1194),BI1194/90,"")</f>
        <v>0.008119622709273768</v>
      </c>
      <c r="M1194" s="28" t="n">
        <v>0</v>
      </c>
      <c r="N1194" s="28" t="n">
        <v>0</v>
      </c>
      <c r="O1194" s="28" t="n">
        <v>0</v>
      </c>
      <c r="P1194" s="30" t="n">
        <f>IF(AND(ISNUMBER(L1194),L1194&gt;0,COUNT(M1194:O1194)=3,MIN(M1194:O1194)&gt;=0),SUM(M1194:O1194)/L1194,"")</f>
        <v>0</v>
      </c>
      <c r="Q1194" s="16" t="str">
        <v>沿用原计划SKU店铺</v>
      </c>
      <c r="R1194" s="16" t="str">
        <v>未匹配</v>
      </c>
      <c r="S1194" s="16" t="str">
        <v>停售</v>
      </c>
      <c r="T1194" s="16" t="str">
        <v>B06b</v>
      </c>
      <c r="U1194" s="16" t="str">
        <v>黑色PU</v>
      </c>
      <c r="V1194" s="16" t="n">
        <v>10.5</v>
      </c>
      <c r="W1194" s="8" t="str">
        <v>2026-10-08 至 2026-10-17</v>
      </c>
      <c r="X1194" s="8" t="str">
        <v>2026-10-08、2026-10-09、2026-10-10、2026-10-11、2026-10-14、2026-10-15、2026-10-17</v>
      </c>
      <c r="Y1194" s="8" t="str">
        <v>2026-10-12 有记录的停售日；2026-10-13 有记录的停售日；2026-10-16 有记录的停售日</v>
      </c>
      <c r="Z1194" s="8" t="n">
        <v>0</v>
      </c>
      <c r="AA1194" s="8" t="n">
        <v>0</v>
      </c>
      <c r="AB1194" s="8" t="n">
        <v>7</v>
      </c>
      <c r="AC1194" s="8" t="str">
        <v>2026-09-29 至 2026-10-17</v>
      </c>
      <c r="AD1194" s="8" t="str">
        <v>2026-09-29、2026-09-30、2026-10-01、2026-10-02、2026-10-03、2026-10-04、2026-10-05、2026-10-08、2026-10-09、2026-10-10、2026-10-11、2026-10-14、2026-10-15、2026-10-17</v>
      </c>
      <c r="AE1194" s="8" t="str">
        <v>2026-10-06 大促；2026-10-07 大促；2026-10-12 有记录的停售日；2026-10-13 有记录的停售日；2026-10-16 有记录的停售日</v>
      </c>
      <c r="AF1194" s="8" t="n">
        <v>0</v>
      </c>
      <c r="AG1194" s="8" t="n">
        <v>0</v>
      </c>
      <c r="AH1194" s="8" t="n">
        <v>14</v>
      </c>
      <c r="AI1194" s="8" t="str">
        <v>2026-09-13 至 2026-10-17</v>
      </c>
      <c r="AJ119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4" s="8" t="str">
        <v>2026-10-06 大促；2026-10-07 大促；2026-10-12 有记录的停售日；2026-10-13 有记录的停售日；2026-10-16 有记录的停售日</v>
      </c>
      <c r="AL1194" s="8" t="n">
        <v>0</v>
      </c>
      <c r="AM1194" s="8" t="n">
        <v>0</v>
      </c>
      <c r="AN1194" s="8" t="n">
        <v>30</v>
      </c>
      <c r="AO1194" s="8" t="str">
        <v>B06b / 黑色PU / 13120</v>
      </c>
      <c r="AP1194" s="11" t="n">
        <v>1.1090677182221615</v>
      </c>
      <c r="AQ1194" s="11" t="n">
        <v>1.0637680334742425</v>
      </c>
      <c r="AR1194" s="11" t="n">
        <v>0.9188090422809019</v>
      </c>
      <c r="AS1194" s="11" t="n">
        <f>IF(AND(COUNT(I1194:K1194,AP1194:AR1194)=6,MIN(AP1194:AR1194)&gt;0),I1194/7/AP1194*0.5+J1194/14/AQ1194*0.3+K1194/30/AR1194*0.2,"")</f>
        <v>0</v>
      </c>
      <c r="AT1194" s="8" t="n">
        <v>0</v>
      </c>
      <c r="AU1194" s="8" t="n">
        <v>0</v>
      </c>
      <c r="AV1194" s="8" t="n">
        <v>85</v>
      </c>
      <c r="AW1194" s="11" t="n">
        <f>IF(AND(COUNT(AT1194:AV1194)=3,AT1194&gt;=AU1194,AU1194&gt;=0,AV1194&gt;0),(AT1194-AU1194)/AV1194,"")</f>
        <v>0</v>
      </c>
      <c r="AX1194" s="8" t="n">
        <v>4</v>
      </c>
      <c r="AY1194" s="8" t="n">
        <v>0</v>
      </c>
      <c r="AZ1194" s="8" t="n">
        <v>175</v>
      </c>
      <c r="BA1194" s="11" t="n">
        <f>IF(AND(COUNT(AX1194:AZ1194)=3,AX1194&gt;=AY1194,AY1194&gt;=0,AZ1194&gt;0),(AX1194-AY1194)/AZ1194,"")</f>
        <v>0.022857142857142857</v>
      </c>
      <c r="BB1194" s="8" t="n">
        <f>IF(COUNT(AS1194,AW1194,BA1194)=3,1,0)</f>
        <v>1</v>
      </c>
      <c r="BC1194" s="11" t="n">
        <f>IF(SUMIF($AO$11:$AO$1309,AO1194,$BB$11:$BB$1309)=COUNTIF($AO$11:$AO$1309,AO1194),SUMIF($AO$11:$AO$1309,AO1194,$AS$11:$AS$1309),"")</f>
        <v>2.196839072529989</v>
      </c>
      <c r="BD1194" s="11" t="n">
        <f>IF(SUMIF($AO$11:$AO$1309,AO1194,$BB$11:$BB$1309)=COUNTIF($AO$11:$AO$1309,AO1194),SUMIF($AO$11:$AO$1309,AO1194,$AW$11:$AW$1309),"")</f>
        <v>2.461979838957527</v>
      </c>
      <c r="BE1194" s="11" t="n">
        <f>IF(SUMIF($AO$11:$AO$1309,AO1194,$BB$11:$BB$1309)=COUNTIF($AO$11:$AO$1309,AO1194),SUMIF($AO$11:$AO$1309,AO1194,$BA$11:$BA$1309),"")</f>
        <v>1.9475686263840901</v>
      </c>
      <c r="BF1194" s="12" t="n">
        <f>IF(COUNT(BD1194:BE1194)&lt;&gt;2,"",IF(AND(BD1194&gt;0,BE1194&gt;0),0.7*AW1194/BD1194+0.3*BA1194/BE1194,IF(BD1194&gt;0,AW1194/BD1194,IF(BE1194&gt;0,BA1194/BE1194,IF(AND(ISNUMBER(BH1194),BH1194=0),0,"")))))</f>
        <v>0.0035208735467638017</v>
      </c>
      <c r="BG1194" s="11" t="n">
        <f>IF(AND(COUNT(BN1194:BU1194)=8,MIN(BN1194:BU1194)&gt;=0),SUMPRODUCT(BN1194:BQ1194,BR1194:BU1194),"")</f>
        <v>94.47778160343367</v>
      </c>
      <c r="BH1194" s="11" t="n">
        <f>IF(COUNT(BC1194,BG1194)=2,BC1194*BG1194,"")</f>
        <v>207.55248211237807</v>
      </c>
      <c r="BI1194" s="11" t="n">
        <f>IF(ISNUMBER(CI1194),CI1194,"")</f>
        <v>0.7307660438346391</v>
      </c>
      <c r="BJ1194" s="8" t="str"/>
      <c r="BK1194" s="8" t="str">
        <v>90天：2026-07-20 至 2026-10-17；180天：2026-04-21 至 2026-10-17</v>
      </c>
      <c r="BL1194" s="8" t="str">
        <v>90天：2026-10-06、2026-10-07、2026-10-12、2026-10-13、2026-10-16；180天：2026-10-06、2026-10-07、2026-10-12、2026-10-13、2026-10-16</v>
      </c>
      <c r="BM1194" s="8" t="str">
        <v>2026-10：12天 × 1.1090677182221615；2026-11：30天 × 1.0372741535934282；2026-12：31天 × 0.979949351738161；2027-01：17天 × 1.1571949690048173</v>
      </c>
      <c r="BN1194" s="11" t="n">
        <v>1.1090677182221615</v>
      </c>
      <c r="BO1194" s="11" t="n">
        <v>1.0372741535934282</v>
      </c>
      <c r="BP1194" s="11" t="n">
        <v>0.979949351738161</v>
      </c>
      <c r="BQ1194" s="11" t="n">
        <v>1.1571949690048173</v>
      </c>
      <c r="BR1194" s="8" t="n">
        <v>12</v>
      </c>
      <c r="BS1194" s="8" t="n">
        <v>30</v>
      </c>
      <c r="BT1194" s="8" t="n">
        <v>31</v>
      </c>
      <c r="BU1194" s="8" t="n">
        <v>17</v>
      </c>
      <c r="BV1194" s="11" t="n">
        <f>IF(COUNT(BC1194,BF1194)=2,BC1194*BF1194,"")</f>
        <v>0.007734792576967963</v>
      </c>
      <c r="BW1194" s="11" t="n">
        <f>IF(ISNUMBER(BN1194),BN1194,"")</f>
        <v>1.1090677182221615</v>
      </c>
      <c r="BX1194" s="14" t="n">
        <f>IF(ISNUMBER(BR1194),BR1194,"")</f>
        <v>12</v>
      </c>
      <c r="BY1194" s="13" t="n">
        <f>IF(AND(COUNT(BV1194,BW1194,BX1194)=3,MIN(BV1194,BW1194,BX1194)&gt;=0),BV1194*BW1194*BX1194,"")</f>
        <v>0.10294090505111485</v>
      </c>
      <c r="BZ1194" s="11" t="n">
        <f>IF(ISNUMBER(BO1194),BO1194,"")</f>
        <v>1.0372741535934282</v>
      </c>
      <c r="CA1194" s="14" t="n">
        <f>IF(ISNUMBER(BS1194),BS1194,"")</f>
        <v>30</v>
      </c>
      <c r="CB1194" s="13" t="n">
        <f>IF(AND(COUNT(BV1194,BZ1194,CA1194)=3,MIN(BV1194,BZ1194,CA1194)&gt;=0),BV1194*BZ1194*CA1194,"")</f>
        <v>0.24069301270485524</v>
      </c>
      <c r="CC1194" s="11" t="n">
        <f>IF(ISNUMBER(BP1194),BP1194,"")</f>
        <v>0.979949351738161</v>
      </c>
      <c r="CD1194" s="14" t="n">
        <f>IF(ISNUMBER(BT1194),BT1194,"")</f>
        <v>31</v>
      </c>
      <c r="CE1194" s="13" t="n">
        <f>IF(AND(COUNT(BV1194,CC1194,CD1194)=3,MIN(BV1194,CC1194,CD1194)&gt;=0),BV1194*CC1194*CD1194,"")</f>
        <v>0.23497085412049573</v>
      </c>
      <c r="CF1194" s="11" t="n">
        <f>IF(ISNUMBER(BQ1194),BQ1194,"")</f>
        <v>1.1571949690048173</v>
      </c>
      <c r="CG1194" s="14" t="n">
        <f>IF(ISNUMBER(BU1194),BU1194,"")</f>
        <v>17</v>
      </c>
      <c r="CH1194" s="13" t="n">
        <f>IF(AND(COUNT(BV1194,CF1194,CG1194)=3,MIN(BV1194,CF1194,CG1194)&gt;=0),BV1194*CF1194*CG1194,"")</f>
        <v>0.15216127195817325</v>
      </c>
      <c r="CI1194" s="13" t="n">
        <f>IF(COUNT(BY1194,CB1194,CE1194,CH1194)=4,SUM(BY1194,CB1194,CE1194,CH1194),"")</f>
        <v>0.7307660438346391</v>
      </c>
    </row>
    <row r="1195" ht="72" customHeight="1">
      <c r="A1195" s="16" t="str">
        <v>B06b-CCP0-10.5</v>
      </c>
      <c r="B1195" s="16" t="str">
        <v>1店-MUSSHOE-US</v>
      </c>
      <c r="C1195" s="16" t="str">
        <v>艾年</v>
      </c>
      <c r="D1195" s="26" t="str">
        <f>IF(NOT(ISNUMBER(E1195)),"",IF(OR(E1195&lt;=0,L1195=0),0,IF(OR(NOT(ISNUMBER(F1195)),F1195&lt;0),"",MIN(E1195,INT(F1195)))))</f>
      </c>
      <c r="E1195" s="27" t="n">
        <f>IF(OR(NOT(ISNUMBER(L1195)),COUNT(M1195:O1195)&lt;&gt;3,MIN(M1195:O1195)&lt;0),"",ROUNDUP(ROUND(BI1195-SUM(M1195:O1195),10),0))</f>
        <v>1</v>
      </c>
      <c r="F1195" s="28"/>
      <c r="G1195" s="28" t="str">
        <f>IF(AND(ISNUMBER(D1195),ISNUMBER(E1195)),IF(OR(E1195&lt;=0,L1195=0),0,E1195-D1195),"")</f>
      </c>
      <c r="H1195" s="16" t="str">
        <f>IF(NOT(ISNUMBER(E1195)),"销量或海外库存待补",IF(OR(E1195&lt;=0,L1195=0),IF(L1195=0,"零日销，本批不发","本批无需补货"),IF(NOT(ISNUMBER(D1195)),"国内库存待补",IF(D1195=0,"国内无可用库存",IF(G1195&gt;0,"先发国内现货","按建议量发货")))))</f>
        <v>国内库存待补</v>
      </c>
      <c r="I1195" s="28" t="n">
        <f>IF(AND(COUNT(Z1195,AA1195,AB1195)=3,Z1195&gt;=AA1195,AA1195&gt;=0,AB1195=7),Z1195-AA1195,"")</f>
        <v>0</v>
      </c>
      <c r="J1195" s="28" t="n">
        <f>IF(AND(COUNT(AF1195,AG1195,AH1195)=3,AF1195&gt;=AG1195,AG1195&gt;=0,AH1195=14),AF1195-AG1195,"")</f>
        <v>0</v>
      </c>
      <c r="K1195" s="28" t="n">
        <f>IF(AND(COUNT(AL1195,AM1195,AN1195)=3,AL1195&gt;=AM1195,AM1195&gt;=0,AN1195=30),AL1195-AM1195,"")</f>
        <v>0</v>
      </c>
      <c r="L1195" s="29" t="n">
        <f>IF(ISNUMBER(BI1195),BI1195/90,"")</f>
        <v>0.0024041822834512763</v>
      </c>
      <c r="M1195" s="28" t="n">
        <v>0</v>
      </c>
      <c r="N1195" s="28" t="n">
        <v>0</v>
      </c>
      <c r="O1195" s="28" t="n">
        <v>0</v>
      </c>
      <c r="P1195" s="30" t="n">
        <f>IF(AND(ISNUMBER(L1195),L1195&gt;0,COUNT(M1195:O1195)=3,MIN(M1195:O1195)&gt;=0),SUM(M1195:O1195)/L1195,"")</f>
        <v>0</v>
      </c>
      <c r="Q1195" s="16" t="str">
        <v>沿用原计划SKU店铺</v>
      </c>
      <c r="R1195" s="16" t="str">
        <v>未匹配</v>
      </c>
      <c r="S1195" s="16" t="str">
        <v>停售</v>
      </c>
      <c r="T1195" s="16" t="str">
        <v>B06b</v>
      </c>
      <c r="U1195" s="16" t="str">
        <v>咖色PU</v>
      </c>
      <c r="V1195" s="16" t="n">
        <v>10.5</v>
      </c>
      <c r="W1195" s="8" t="str">
        <v>2026-10-08 至 2026-10-17</v>
      </c>
      <c r="X1195" s="8" t="str">
        <v>2026-10-08、2026-10-09、2026-10-10、2026-10-11、2026-10-14、2026-10-15、2026-10-17</v>
      </c>
      <c r="Y1195" s="8" t="str">
        <v>2026-10-12 有记录的停售日；2026-10-13 有记录的停售日；2026-10-16 有记录的停售日</v>
      </c>
      <c r="Z1195" s="8" t="n">
        <v>0</v>
      </c>
      <c r="AA1195" s="8" t="n">
        <v>0</v>
      </c>
      <c r="AB1195" s="8" t="n">
        <v>7</v>
      </c>
      <c r="AC1195" s="8" t="str">
        <v>2026-09-29 至 2026-10-17</v>
      </c>
      <c r="AD1195" s="8" t="str">
        <v>2026-09-29、2026-09-30、2026-10-01、2026-10-02、2026-10-03、2026-10-04、2026-10-05、2026-10-08、2026-10-09、2026-10-10、2026-10-11、2026-10-14、2026-10-15、2026-10-17</v>
      </c>
      <c r="AE1195" s="8" t="str">
        <v>2026-10-06 大促；2026-10-07 大促；2026-10-12 有记录的停售日；2026-10-13 有记录的停售日；2026-10-16 有记录的停售日</v>
      </c>
      <c r="AF1195" s="8" t="n">
        <v>0</v>
      </c>
      <c r="AG1195" s="8" t="n">
        <v>0</v>
      </c>
      <c r="AH1195" s="8" t="n">
        <v>14</v>
      </c>
      <c r="AI1195" s="8" t="str">
        <v>2026-09-13 至 2026-10-17</v>
      </c>
      <c r="AJ119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5" s="8" t="str">
        <v>2026-10-06 大促；2026-10-07 大促；2026-10-12 有记录的停售日；2026-10-13 有记录的停售日；2026-10-16 有记录的停售日</v>
      </c>
      <c r="AL1195" s="8" t="n">
        <v>0</v>
      </c>
      <c r="AM1195" s="8" t="n">
        <v>0</v>
      </c>
      <c r="AN1195" s="8" t="n">
        <v>30</v>
      </c>
      <c r="AO1195" s="8" t="str">
        <v>B06b / 咖色PU / 13120</v>
      </c>
      <c r="AP1195" s="11" t="n">
        <v>1.1090677182221615</v>
      </c>
      <c r="AQ1195" s="11" t="n">
        <v>1.0637680334742425</v>
      </c>
      <c r="AR1195" s="11" t="n">
        <v>0.9188090422809019</v>
      </c>
      <c r="AS1195" s="11" t="n">
        <f>IF(AND(COUNT(I1195:K1195,AP1195:AR1195)=6,MIN(AP1195:AR1195)&gt;0),I1195/7/AP1195*0.5+J1195/14/AQ1195*0.3+K1195/30/AR1195*0.2,"")</f>
        <v>0</v>
      </c>
      <c r="AT1195" s="8" t="n">
        <v>0</v>
      </c>
      <c r="AU1195" s="8" t="n">
        <v>0</v>
      </c>
      <c r="AV1195" s="8" t="n">
        <v>85</v>
      </c>
      <c r="AW1195" s="11" t="n">
        <f>IF(AND(COUNT(AT1195:AV1195)=3,AT1195&gt;=AU1195,AU1195&gt;=0,AV1195&gt;0),(AT1195-AU1195)/AV1195,"")</f>
        <v>0</v>
      </c>
      <c r="AX1195" s="8" t="n">
        <v>1</v>
      </c>
      <c r="AY1195" s="8" t="n">
        <v>0</v>
      </c>
      <c r="AZ1195" s="8" t="n">
        <v>175</v>
      </c>
      <c r="BA1195" s="11" t="n">
        <f>IF(AND(COUNT(AX1195:AZ1195)=3,AX1195&gt;=AY1195,AY1195&gt;=0,AZ1195&gt;0),(AX1195-AY1195)/AZ1195,"")</f>
        <v>0.005714285714285714</v>
      </c>
      <c r="BB1195" s="8" t="n">
        <f>IF(COUNT(AS1195,AW1195,BA1195)=3,1,0)</f>
        <v>1</v>
      </c>
      <c r="BC1195" s="11" t="n">
        <f>IF(SUMIF($AO$11:$AO$1309,AO1195,$BB$11:$BB$1309)=COUNTIF($AO$11:$AO$1309,AO1195),SUMIF($AO$11:$AO$1309,AO1195,$AS$11:$AS$1309),"")</f>
        <v>2.1842159740642213</v>
      </c>
      <c r="BD1195" s="11" t="n">
        <f>IF(SUMIF($AO$11:$AO$1309,AO1195,$BB$11:$BB$1309)=COUNTIF($AO$11:$AO$1309,AO1195),SUMIF($AO$11:$AO$1309,AO1195,$AW$11:$AW$1309),"")</f>
        <v>2.1590909090909087</v>
      </c>
      <c r="BE1195" s="11" t="n">
        <f>IF(SUMIF($AO$11:$AO$1309,AO1195,$BB$11:$BB$1309)=COUNTIF($AO$11:$AO$1309,AO1195),SUMIF($AO$11:$AO$1309,AO1195,$BA$11:$BA$1309),"")</f>
        <v>1.6349277688603532</v>
      </c>
      <c r="BF1195" s="12" t="n">
        <f>IF(COUNT(BD1195:BE1195)&lt;&gt;2,"",IF(AND(BD1195&gt;0,BE1195&gt;0),0.7*AW1195/BD1195+0.3*BA1195/BE1195,IF(BD1195&gt;0,AW1195/BD1195,IF(BE1195&gt;0,BA1195/BE1195,IF(AND(ISNUMBER(BH1195),BH1195=0),0,"")))))</f>
        <v>0.0010485391140433553</v>
      </c>
      <c r="BG1195" s="11" t="n">
        <f>IF(AND(COUNT(BN1195:BU1195)=8,MIN(BN1195:BU1195)&gt;=0),SUMPRODUCT(BN1195:BQ1195,BR1195:BU1195),"")</f>
        <v>94.47778160343367</v>
      </c>
      <c r="BH1195" s="11" t="n">
        <f>IF(COUNT(BC1195,BG1195)=2,BC1195*BG1195,"")</f>
        <v>206.35987977237065</v>
      </c>
      <c r="BI1195" s="11" t="n">
        <f>IF(ISNUMBER(CI1195),CI1195,"")</f>
        <v>0.21637640551061485</v>
      </c>
      <c r="BJ1195" s="8" t="str"/>
      <c r="BK1195" s="8" t="str">
        <v>90天：2026-07-20 至 2026-10-17；180天：2026-04-21 至 2026-10-17</v>
      </c>
      <c r="BL1195" s="8" t="str">
        <v>90天：2026-10-06、2026-10-07、2026-10-12、2026-10-13、2026-10-16；180天：2026-10-06、2026-10-07、2026-10-12、2026-10-13、2026-10-16</v>
      </c>
      <c r="BM1195" s="8" t="str">
        <v>2026-10：12天 × 1.1090677182221615；2026-11：30天 × 1.0372741535934282；2026-12：31天 × 0.979949351738161；2027-01：17天 × 1.1571949690048173</v>
      </c>
      <c r="BN1195" s="11" t="n">
        <v>1.1090677182221615</v>
      </c>
      <c r="BO1195" s="11" t="n">
        <v>1.0372741535934282</v>
      </c>
      <c r="BP1195" s="11" t="n">
        <v>0.979949351738161</v>
      </c>
      <c r="BQ1195" s="11" t="n">
        <v>1.1571949690048173</v>
      </c>
      <c r="BR1195" s="8" t="n">
        <v>12</v>
      </c>
      <c r="BS1195" s="8" t="n">
        <v>30</v>
      </c>
      <c r="BT1195" s="8" t="n">
        <v>31</v>
      </c>
      <c r="BU1195" s="8" t="n">
        <v>17</v>
      </c>
      <c r="BV1195" s="11" t="n">
        <f>IF(COUNT(BC1195,BF1195)=2,BC1195*BF1195,"")</f>
        <v>0.002290235882324643</v>
      </c>
      <c r="BW1195" s="11" t="n">
        <f>IF(ISNUMBER(BN1195),BN1195,"")</f>
        <v>1.1090677182221615</v>
      </c>
      <c r="BX1195" s="14" t="n">
        <f>IF(ISNUMBER(BR1195),BR1195,"")</f>
        <v>12</v>
      </c>
      <c r="BY1195" s="13" t="n">
        <f>IF(AND(COUNT(BV1195,BW1195,BX1195)=3,MIN(BV1195,BW1195,BX1195)&gt;=0),BV1195*BW1195*BX1195,"")</f>
        <v>0.030480320210403727</v>
      </c>
      <c r="BZ1195" s="11" t="n">
        <f>IF(ISNUMBER(BO1195),BO1195,"")</f>
        <v>1.0372741535934282</v>
      </c>
      <c r="CA1195" s="14" t="n">
        <f>IF(ISNUMBER(BS1195),BS1195,"")</f>
        <v>30</v>
      </c>
      <c r="CB1195" s="13" t="n">
        <f>IF(AND(COUNT(BV1195,BZ1195,CA1195)=3,MIN(BV1195,BZ1195,CA1195)&gt;=0),BV1195*BZ1195*CA1195,"")</f>
        <v>0.07126807459102777</v>
      </c>
      <c r="CC1195" s="11" t="n">
        <f>IF(ISNUMBER(BP1195),BP1195,"")</f>
        <v>0.979949351738161</v>
      </c>
      <c r="CD1195" s="14" t="n">
        <f>IF(ISNUMBER(BT1195),BT1195,"")</f>
        <v>31</v>
      </c>
      <c r="CE1195" s="13" t="n">
        <f>IF(AND(COUNT(BV1195,CC1195,CD1195)=3,MIN(BV1195,CC1195,CD1195)&gt;=0),BV1195*CC1195*CD1195,"")</f>
        <v>0.06957377021455678</v>
      </c>
      <c r="CF1195" s="11" t="n">
        <f>IF(ISNUMBER(BQ1195),BQ1195,"")</f>
        <v>1.1571949690048173</v>
      </c>
      <c r="CG1195" s="14" t="n">
        <f>IF(ISNUMBER(BU1195),BU1195,"")</f>
        <v>17</v>
      </c>
      <c r="CH1195" s="13" t="n">
        <f>IF(AND(COUNT(BV1195,CF1195,CG1195)=3,MIN(BV1195,CF1195,CG1195)&gt;=0),BV1195*CF1195*CG1195,"")</f>
        <v>0.04505424049462655</v>
      </c>
      <c r="CI1195" s="13" t="n">
        <f>IF(COUNT(BY1195,CB1195,CE1195,CH1195)=4,SUM(BY1195,CB1195,CE1195,CH1195),"")</f>
        <v>0.21637640551061485</v>
      </c>
    </row>
    <row r="1196" ht="72" customHeight="1">
      <c r="A1196" s="16" t="str">
        <v>B07-MT-42-by</v>
      </c>
      <c r="B1196" s="16" t="str">
        <v>4店-彬郁-US</v>
      </c>
      <c r="C1196" s="16" t="str">
        <v>艾年</v>
      </c>
      <c r="D1196" s="26" t="str">
        <f>IF(NOT(ISNUMBER(E1196)),"",IF(OR(E1196&lt;=0,L1196=0),0,IF(OR(NOT(ISNUMBER(F1196)),F1196&lt;0),"",MIN(E1196,INT(F1196)))))</f>
      </c>
      <c r="E1196" s="27" t="n">
        <f>IF(OR(NOT(ISNUMBER(L1196)),COUNT(M1196:O1196)&lt;&gt;3,MIN(M1196:O1196)&lt;0),"",ROUNDUP(ROUND(BI1196-SUM(M1196:O1196),10),0))</f>
        <v>1</v>
      </c>
      <c r="F1196" s="28"/>
      <c r="G1196" s="28" t="str">
        <f>IF(AND(ISNUMBER(D1196),ISNUMBER(E1196)),IF(OR(E1196&lt;=0,L1196=0),0,E1196-D1196),"")</f>
      </c>
      <c r="H1196" s="16" t="str">
        <f>IF(NOT(ISNUMBER(E1196)),"销量或海外库存待补",IF(OR(E1196&lt;=0,L1196=0),IF(L1196=0,"零日销，本批不发","本批无需补货"),IF(NOT(ISNUMBER(D1196)),"国内库存待补",IF(D1196=0,"国内无可用库存",IF(G1196&gt;0,"先发国内现货","按建议量发货")))))</f>
        <v>国内库存待补</v>
      </c>
      <c r="I1196" s="28" t="n">
        <f>IF(AND(COUNT(Z1196,AA1196,AB1196)=3,Z1196&gt;=AA1196,AA1196&gt;=0,AB1196=7),Z1196-AA1196,"")</f>
        <v>0</v>
      </c>
      <c r="J1196" s="28" t="n">
        <f>IF(AND(COUNT(AF1196,AG1196,AH1196)=3,AF1196&gt;=AG1196,AG1196&gt;=0,AH1196=14),AF1196-AG1196,"")</f>
        <v>0</v>
      </c>
      <c r="K1196" s="28" t="n">
        <f>IF(AND(COUNT(AL1196,AM1196,AN1196)=3,AL1196&gt;=AM1196,AM1196&gt;=0,AN1196=30),AL1196-AM1196,"")</f>
        <v>0</v>
      </c>
      <c r="L1196" s="29" t="n">
        <f>IF(ISNUMBER(BI1196),BI1196/90,"")</f>
        <v>0.007566590786201017</v>
      </c>
      <c r="M1196" s="28" t="n">
        <v>0</v>
      </c>
      <c r="N1196" s="28" t="n">
        <v>0</v>
      </c>
      <c r="O1196" s="28" t="n">
        <v>0</v>
      </c>
      <c r="P1196" s="30" t="n">
        <f>IF(AND(ISNUMBER(L1196),L1196&gt;0,COUNT(M1196:O1196)=3,MIN(M1196:O1196)&gt;=0),SUM(M1196:O1196)/L1196,"")</f>
        <v>0</v>
      </c>
      <c r="Q1196" s="16" t="str">
        <v>沿用原计划SKU店铺</v>
      </c>
      <c r="R1196" s="16" t="str">
        <v>未匹配</v>
      </c>
      <c r="S1196" s="16" t="str">
        <v>停售</v>
      </c>
      <c r="T1196" s="16" t="str">
        <v>B07</v>
      </c>
      <c r="U1196" s="16" t="str">
        <v>黄色羊京绒</v>
      </c>
      <c r="V1196" s="16" t="n">
        <v>11</v>
      </c>
      <c r="W1196" s="8" t="str">
        <v>2026-10-08 至 2026-10-17</v>
      </c>
      <c r="X1196" s="8" t="str">
        <v>2026-10-08、2026-10-09、2026-10-10、2026-10-11、2026-10-14、2026-10-15、2026-10-17</v>
      </c>
      <c r="Y1196" s="8" t="str">
        <v>2026-10-12 有记录的停售日；2026-10-13 有记录的停售日；2026-10-16 有记录的停售日</v>
      </c>
      <c r="Z1196" s="8" t="n">
        <v>0</v>
      </c>
      <c r="AA1196" s="8" t="n">
        <v>0</v>
      </c>
      <c r="AB1196" s="8" t="n">
        <v>7</v>
      </c>
      <c r="AC1196" s="8" t="str">
        <v>2026-09-29 至 2026-10-17</v>
      </c>
      <c r="AD1196" s="8" t="str">
        <v>2026-09-29、2026-09-30、2026-10-01、2026-10-02、2026-10-03、2026-10-04、2026-10-05、2026-10-08、2026-10-09、2026-10-10、2026-10-11、2026-10-14、2026-10-15、2026-10-17</v>
      </c>
      <c r="AE1196" s="8" t="str">
        <v>2026-10-06 大促；2026-10-07 大促；2026-10-12 有记录的停售日；2026-10-13 有记录的停售日；2026-10-16 有记录的停售日</v>
      </c>
      <c r="AF1196" s="8" t="n">
        <v>0</v>
      </c>
      <c r="AG1196" s="8" t="n">
        <v>0</v>
      </c>
      <c r="AH1196" s="8" t="n">
        <v>14</v>
      </c>
      <c r="AI1196" s="8" t="str">
        <v>2026-09-13 至 2026-10-17</v>
      </c>
      <c r="AJ119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196" s="8" t="str">
        <v>2026-10-06 大促；2026-10-07 大促；2026-10-12 有记录的停售日；2026-10-13 有记录的停售日；2026-10-16 有记录的停售日</v>
      </c>
      <c r="AL1196" s="8" t="n">
        <v>0</v>
      </c>
      <c r="AM1196" s="8" t="n">
        <v>0</v>
      </c>
      <c r="AN1196" s="8" t="n">
        <v>30</v>
      </c>
      <c r="AO1196" s="8" t="str">
        <v>B07 / 黄色羊京绒 / 13306</v>
      </c>
      <c r="AP1196" s="11" t="n">
        <v>0.7307750238224848</v>
      </c>
      <c r="AQ1196" s="11" t="n">
        <v>0.7348338471341894</v>
      </c>
      <c r="AR1196" s="11" t="n">
        <v>0.7478220817316438</v>
      </c>
      <c r="AS1196" s="11" t="n">
        <f>IF(AND(COUNT(I1196:K1196,AP1196:AR1196)=6,MIN(AP1196:AR1196)&gt;0),I1196/7/AP1196*0.5+J1196/14/AQ1196*0.3+K1196/30/AR1196*0.2,"")</f>
        <v>0</v>
      </c>
      <c r="AT1196" s="8" t="n">
        <v>0</v>
      </c>
      <c r="AU1196" s="8" t="n">
        <v>0</v>
      </c>
      <c r="AV1196" s="8" t="n">
        <v>85</v>
      </c>
      <c r="AW1196" s="11" t="n">
        <f>IF(AND(COUNT(AT1196:AV1196)=3,AT1196&gt;=AU1196,AU1196&gt;=0,AV1196&gt;0),(AT1196-AU1196)/AV1196,"")</f>
        <v>0</v>
      </c>
      <c r="AX1196" s="8" t="n">
        <v>4</v>
      </c>
      <c r="AY1196" s="8" t="n">
        <v>0</v>
      </c>
      <c r="AZ1196" s="8" t="n">
        <v>175</v>
      </c>
      <c r="BA1196" s="11" t="n">
        <f>IF(AND(COUNT(AX1196:AZ1196)=3,AX1196&gt;=AY1196,AY1196&gt;=0,AZ1196&gt;0),(AX1196-AY1196)/AZ1196,"")</f>
        <v>0.022857142857142857</v>
      </c>
      <c r="BB1196" s="8" t="n">
        <f>IF(COUNT(AS1196,AW1196,BA1196)=3,1,0)</f>
        <v>1</v>
      </c>
      <c r="BC1196" s="11" t="n">
        <f>IF(SUMIF($AO$11:$AO$1309,AO1196,$BB$11:$BB$1309)=COUNTIF($AO$11:$AO$1309,AO1196),SUMIF($AO$11:$AO$1309,AO1196,$AS$11:$AS$1309),"")</f>
        <v>0.2573030152763903</v>
      </c>
      <c r="BD1196" s="11" t="n">
        <f>IF(SUMIF($AO$11:$AO$1309,AO1196,$BB$11:$BB$1309)=COUNTIF($AO$11:$AO$1309,AO1196),SUMIF($AO$11:$AO$1309,AO1196,$AW$11:$AW$1309),"")</f>
        <v>0.15909090909090912</v>
      </c>
      <c r="BE1196" s="11" t="n">
        <f>IF(SUMIF($AO$11:$AO$1309,AO1196,$BB$11:$BB$1309)=COUNTIF($AO$11:$AO$1309,AO1196),SUMIF($AO$11:$AO$1309,AO1196,$BA$11:$BA$1309),"")</f>
        <v>0.20301765650080256</v>
      </c>
      <c r="BF1196" s="12" t="n">
        <f>IF(COUNT(BD1196:BE1196)&lt;&gt;2,"",IF(AND(BD1196&gt;0,BE1196&gt;0),0.7*AW1196/BD1196+0.3*BA1196/BE1196,IF(BD1196&gt;0,AW1196/BD1196,IF(BE1196&gt;0,BA1196/BE1196,IF(AND(ISNUMBER(BH1196),BH1196=0),0,"")))))</f>
        <v>0.03377609108159393</v>
      </c>
      <c r="BG1196" s="11" t="n">
        <f>IF(AND(COUNT(BN1196:BU1196)=8,MIN(BN1196:BU1196)&gt;=0),SUMPRODUCT(BN1196:BQ1196,BR1196:BU1196),"")</f>
        <v>78.35892944347341</v>
      </c>
      <c r="BH1196" s="11" t="n">
        <f>IF(COUNT(BC1196,BG1196)=2,BC1196*BG1196,"")</f>
        <v>20.16198881963563</v>
      </c>
      <c r="BI1196" s="11" t="n">
        <f>IF(ISNUMBER(CI1196),CI1196,"")</f>
        <v>0.6809931707580915</v>
      </c>
      <c r="BJ1196" s="8" t="str">
        <v>近180天本色销量50双（＜90），无有效新采购，请运营判断</v>
      </c>
      <c r="BK1196" s="8" t="str">
        <v>90天：2026-07-20 至 2026-10-17；180天：2026-04-21 至 2026-10-17</v>
      </c>
      <c r="BL1196" s="8" t="str">
        <v>90天：2026-10-06、2026-10-07、2026-10-12、2026-10-13、2026-10-16；180天：2026-10-06、2026-10-07、2026-10-12、2026-10-13、2026-10-16</v>
      </c>
      <c r="BM1196" s="8" t="str">
        <v>2026-10：12天 × 0.7307750238224848；2026-11：30天 × 0.9523018155490097；2026-12：31天 × 0.5958545198749097；2027-01：17天 × 1.3264167397065354</v>
      </c>
      <c r="BN1196" s="11" t="n">
        <v>0.7307750238224848</v>
      </c>
      <c r="BO1196" s="11" t="n">
        <v>0.9523018155490097</v>
      </c>
      <c r="BP1196" s="11" t="n">
        <v>0.5958545198749097</v>
      </c>
      <c r="BQ1196" s="11" t="n">
        <v>1.3264167397065354</v>
      </c>
      <c r="BR1196" s="8" t="n">
        <v>12</v>
      </c>
      <c r="BS1196" s="8" t="n">
        <v>30</v>
      </c>
      <c r="BT1196" s="8" t="n">
        <v>31</v>
      </c>
      <c r="BU1196" s="8" t="n">
        <v>17</v>
      </c>
      <c r="BV1196" s="11" t="n">
        <f>IF(COUNT(BC1196,BF1196)=2,BC1196*BF1196,"")</f>
        <v>0.008690690079544114</v>
      </c>
      <c r="BW1196" s="11" t="n">
        <f>IF(ISNUMBER(BN1196),BN1196,"")</f>
        <v>0.7307750238224848</v>
      </c>
      <c r="BX1196" s="14" t="n">
        <f>IF(ISNUMBER(BR1196),BR1196,"")</f>
        <v>12</v>
      </c>
      <c r="BY1196" s="13" t="n">
        <f>IF(AND(COUNT(BV1196,BW1196,BX1196)=3,MIN(BV1196,BW1196,BX1196)&gt;=0),BV1196*BW1196*BX1196,"")</f>
        <v>0.0762112709989522</v>
      </c>
      <c r="BZ1196" s="11" t="n">
        <f>IF(ISNUMBER(BO1196),BO1196,"")</f>
        <v>0.9523018155490097</v>
      </c>
      <c r="CA1196" s="14" t="n">
        <f>IF(ISNUMBER(BS1196),BS1196,"")</f>
        <v>30</v>
      </c>
      <c r="CB1196" s="13" t="n">
        <f>IF(AND(COUNT(BV1196,BZ1196,CA1196)=3,MIN(BV1196,BZ1196,CA1196)&gt;=0),BV1196*BZ1196*CA1196,"")</f>
        <v>0.2482847982337088</v>
      </c>
      <c r="CC1196" s="11" t="n">
        <f>IF(ISNUMBER(BP1196),BP1196,"")</f>
        <v>0.5958545198749097</v>
      </c>
      <c r="CD1196" s="14" t="n">
        <f>IF(ISNUMBER(BT1196),BT1196,"")</f>
        <v>31</v>
      </c>
      <c r="CE1196" s="13" t="n">
        <f>IF(AND(COUNT(BV1196,CC1196,CD1196)=3,MIN(BV1196,CC1196,CD1196)&gt;=0),BV1196*CC1196*CD1196,"")</f>
        <v>0.16052999590658035</v>
      </c>
      <c r="CF1196" s="11" t="n">
        <f>IF(ISNUMBER(BQ1196),BQ1196,"")</f>
        <v>1.3264167397065354</v>
      </c>
      <c r="CG1196" s="14" t="n">
        <f>IF(ISNUMBER(BU1196),BU1196,"")</f>
        <v>17</v>
      </c>
      <c r="CH1196" s="13" t="n">
        <f>IF(AND(COUNT(BV1196,CF1196,CG1196)=3,MIN(BV1196,CF1196,CG1196)&gt;=0),BV1196*CF1196*CG1196,"")</f>
        <v>0.19596710561885017</v>
      </c>
      <c r="CI1196" s="13" t="n">
        <f>IF(COUNT(BY1196,CB1196,CE1196,CH1196)=4,SUM(BY1196,CB1196,CE1196,CH1196),"")</f>
        <v>0.6809931707580915</v>
      </c>
    </row>
    <row r="1197" ht="72" customHeight="1">
      <c r="A1197" s="16" t="str">
        <v>1S01-BKX-37</v>
      </c>
      <c r="B1197" s="16" t="str">
        <v>3店-SANDIEX-US</v>
      </c>
      <c r="C1197" s="16" t="str">
        <v>徐新怡</v>
      </c>
      <c r="D1197" s="26" t="str">
        <f>IF(NOT(ISNUMBER(E1197)),"",IF(OR(E1197&lt;=0,L1197=0),0,IF(OR(NOT(ISNUMBER(F1197)),F1197&lt;0),"",MIN(E1197,INT(F1197)))))</f>
      </c>
      <c r="E1197" s="27" t="str">
        <f>IF(OR(NOT(ISNUMBER(L1197)),COUNT(M1197:O1197)&lt;&gt;3,MIN(M1197:O1197)&lt;0),"",ROUNDUP(ROUND(BI1197-SUM(M1197:O1197),10),0))</f>
      </c>
      <c r="F1197" s="28" t="n">
        <v>0</v>
      </c>
      <c r="G1197" s="28" t="str">
        <f>IF(AND(ISNUMBER(D1197),ISNUMBER(E1197)),IF(OR(E1197&lt;=0,L1197=0),0,E1197-D1197),"")</f>
      </c>
      <c r="H1197" s="16" t="str">
        <f>IF(NOT(ISNUMBER(E1197)),"销量或海外库存待补",IF(OR(E1197&lt;=0,L1197=0),IF(L1197=0,"零日销，本批不发","本批无需补货"),IF(NOT(ISNUMBER(D1197)),"国内库存待补",IF(D1197=0,"国内无可用库存",IF(G1197&gt;0,"先发国内现货","按建议量发货")))))</f>
        <v>销量或海外库存待补</v>
      </c>
      <c r="I1197" s="28" t="n">
        <f>IF(AND(COUNT(Z1197,AA1197,AB1197)=3,Z1197&gt;=AA1197,AA1197&gt;=0,AB1197=7),Z1197-AA1197,"")</f>
        <v>0</v>
      </c>
      <c r="J1197" s="28" t="n">
        <f>IF(AND(COUNT(AF1197,AG1197,AH1197)=3,AF1197&gt;=AG1197,AG1197&gt;=0,AH1197=14),AF1197-AG1197,"")</f>
        <v>0</v>
      </c>
      <c r="K1197" s="28" t="n">
        <f>IF(AND(COUNT(AL1197,AM1197,AN1197)=3,AL1197&gt;=AM1197,AM1197&gt;=0,AN1197=30),AL1197-AM1197,"")</f>
        <v>0</v>
      </c>
      <c r="L1197" s="29" t="n">
        <f>IF(ISNUMBER(BI1197),BI1197/90,"")</f>
        <v>0</v>
      </c>
      <c r="M1197" s="28"/>
      <c r="N1197" s="28"/>
      <c r="O1197" s="28"/>
      <c r="P1197" s="30" t="str">
        <f>IF(AND(ISNUMBER(L1197),L1197&gt;0,COUNT(M1197:O1197)=3,MIN(M1197:O1197)&gt;=0),SUM(M1197:O1197)/L1197,"")</f>
      </c>
      <c r="Q1197" s="16" t="str">
        <v>沿用同SPU原计划店铺</v>
      </c>
      <c r="R1197" s="16" t="str">
        <v>已匹配</v>
      </c>
      <c r="S1197" s="16" t="str">
        <v>未匹配Listing</v>
      </c>
      <c r="T1197" s="16" t="str">
        <v>1S01</v>
      </c>
      <c r="U1197" s="16" t="str">
        <v>黑色石头纹</v>
      </c>
      <c r="V1197" s="16" t="n">
        <v>6</v>
      </c>
      <c r="W1197" s="8" t="str">
        <v>2026-10-11 至 2026-10-17</v>
      </c>
      <c r="X1197" s="8" t="str">
        <v>2026-10-11、2026-10-12、2026-10-13、2026-10-14、2026-10-15、2026-10-16、2026-10-17</v>
      </c>
      <c r="Y1197" s="8" t="str">
        <v>无</v>
      </c>
      <c r="Z1197" s="8" t="n">
        <v>0</v>
      </c>
      <c r="AA1197" s="8" t="n">
        <v>0</v>
      </c>
      <c r="AB1197" s="8" t="n">
        <v>7</v>
      </c>
      <c r="AC1197" s="8" t="str">
        <v>2026-10-02 至 2026-10-17</v>
      </c>
      <c r="AD1197" s="8" t="str">
        <v>2026-10-02、2026-10-03、2026-10-04、2026-10-05、2026-10-08、2026-10-09、2026-10-10、2026-10-11、2026-10-12、2026-10-13、2026-10-14、2026-10-15、2026-10-16、2026-10-17</v>
      </c>
      <c r="AE1197" s="8" t="str">
        <v>2026-10-06 大促；2026-10-07 大促</v>
      </c>
      <c r="AF1197" s="8" t="n">
        <v>0</v>
      </c>
      <c r="AG1197" s="8" t="n">
        <v>0</v>
      </c>
      <c r="AH1197" s="8" t="n">
        <v>14</v>
      </c>
      <c r="AI1197" s="8" t="str">
        <v>2026-09-16 至 2026-10-17</v>
      </c>
      <c r="AJ11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97" s="8" t="str">
        <v>2026-10-06 大促；2026-10-07 大促</v>
      </c>
      <c r="AL1197" s="8" t="n">
        <v>0</v>
      </c>
      <c r="AM1197" s="8" t="n">
        <v>0</v>
      </c>
      <c r="AN1197" s="8" t="n">
        <v>30</v>
      </c>
      <c r="AO1197" s="8" t="str">
        <v>1S01 / 黑色石头纹PU / 6574</v>
      </c>
      <c r="AP1197" s="11" t="n">
        <v>0.8729500662042875</v>
      </c>
      <c r="AQ1197" s="11" t="n">
        <v>0.8729500662042875</v>
      </c>
      <c r="AR1197" s="11" t="n">
        <v>1.0921363354767095</v>
      </c>
      <c r="AS1197" s="11" t="n">
        <f>IF(AND(COUNT(I1197:K1197,AP1197:AR1197)=6,MIN(AP1197:AR1197)&gt;0),I1197/7/AP1197*0.5+J1197/14/AQ1197*0.3+K1197/30/AR1197*0.2,"")</f>
        <v>0</v>
      </c>
      <c r="AT1197" s="8" t="n">
        <v>0</v>
      </c>
      <c r="AU1197" s="8" t="n">
        <v>0</v>
      </c>
      <c r="AV1197" s="8" t="n">
        <v>88</v>
      </c>
      <c r="AW1197" s="11" t="n">
        <f>IF(AND(COUNT(AT1197:AV1197)=3,AT1197&gt;=AU1197,AU1197&gt;=0,AV1197&gt;0),(AT1197-AU1197)/AV1197,"")</f>
        <v>0</v>
      </c>
      <c r="AX1197" s="8" t="n">
        <v>0</v>
      </c>
      <c r="AY1197" s="8" t="n">
        <v>0</v>
      </c>
      <c r="AZ1197" s="8" t="n">
        <v>178</v>
      </c>
      <c r="BA1197" s="11" t="n">
        <f>IF(AND(COUNT(AX1197:AZ1197)=3,AX1197&gt;=AY1197,AY1197&gt;=0,AZ1197&gt;0),(AX1197-AY1197)/AZ1197,"")</f>
        <v>0</v>
      </c>
      <c r="BB1197" s="8" t="n">
        <f>IF(COUNT(AS1197,AW1197,BA1197)=3,1,0)</f>
        <v>1</v>
      </c>
      <c r="BC1197" s="11" t="n">
        <f>IF(SUMIF($AO$11:$AO$1309,AO1197,$BB$11:$BB$1309)=COUNTIF($AO$11:$AO$1309,AO1197),SUMIF($AO$11:$AO$1309,AO1197,$AS$11:$AS$1309),"")</f>
        <v>0</v>
      </c>
      <c r="BD1197" s="11" t="n">
        <f>IF(SUMIF($AO$11:$AO$1309,AO1197,$BB$11:$BB$1309)=COUNTIF($AO$11:$AO$1309,AO1197),SUMIF($AO$11:$AO$1309,AO1197,$AW$11:$AW$1309),"")</f>
        <v>0</v>
      </c>
      <c r="BE1197" s="11" t="n">
        <f>IF(SUMIF($AO$11:$AO$1309,AO1197,$BB$11:$BB$1309)=COUNTIF($AO$11:$AO$1309,AO1197),SUMIF($AO$11:$AO$1309,AO1197,$BA$11:$BA$1309),"")</f>
        <v>0</v>
      </c>
      <c r="BF1197" s="12" t="n">
        <f>IF(COUNT(BD1197:BE1197)&lt;&gt;2,"",IF(AND(BD1197&gt;0,BE1197&gt;0),0.7*AW1197/BD1197+0.3*BA1197/BE1197,IF(BD1197&gt;0,AW1197/BD1197,IF(BE1197&gt;0,BA1197/BE1197,IF(AND(ISNUMBER(BH1197),BH1197=0),0,"")))))</f>
        <v>0</v>
      </c>
      <c r="BG1197" s="11" t="n">
        <f>IF(AND(COUNT(BN1197:BU1197)=8,MIN(BN1197:BU1197)&gt;=0),SUMPRODUCT(BN1197:BQ1197,BR1197:BU1197),"")</f>
        <v>63.935996265425516</v>
      </c>
      <c r="BH1197" s="11" t="n">
        <f>IF(COUNT(BC1197,BG1197)=2,BC1197*BG1197,"")</f>
        <v>0</v>
      </c>
      <c r="BI1197" s="11" t="n">
        <f>IF(ISNUMBER(CI1197),CI1197,"")</f>
        <v>0</v>
      </c>
      <c r="BJ1197" s="8" t="str"/>
      <c r="BK1197" s="8" t="str">
        <v>90天：2026-07-20 至 2026-10-17；180天：2026-04-21 至 2026-10-17</v>
      </c>
      <c r="BL1197" s="8" t="str">
        <v>90天：2026-10-06、2026-10-07；180天：2026-10-06、2026-10-07</v>
      </c>
      <c r="BM1197" s="8" t="str">
        <v>2026-10：12天 × 0.8729500662042875；2026-11：30天 × 0.8057375774163482；2026-12：31天 × 0.532550303142279；2027-01：17天 × 0.7517299265337036</v>
      </c>
      <c r="BN1197" s="11" t="n">
        <v>0.8729500662042875</v>
      </c>
      <c r="BO1197" s="11" t="n">
        <v>0.8057375774163482</v>
      </c>
      <c r="BP1197" s="11" t="n">
        <v>0.532550303142279</v>
      </c>
      <c r="BQ1197" s="11" t="n">
        <v>0.7517299265337036</v>
      </c>
      <c r="BR1197" s="8" t="n">
        <v>12</v>
      </c>
      <c r="BS1197" s="8" t="n">
        <v>30</v>
      </c>
      <c r="BT1197" s="8" t="n">
        <v>31</v>
      </c>
      <c r="BU1197" s="8" t="n">
        <v>17</v>
      </c>
      <c r="BV1197" s="11" t="n">
        <f>IF(COUNT(BC1197,BF1197)=2,BC1197*BF1197,"")</f>
        <v>0</v>
      </c>
      <c r="BW1197" s="11" t="n">
        <f>IF(ISNUMBER(BN1197),BN1197,"")</f>
        <v>0.8729500662042875</v>
      </c>
      <c r="BX1197" s="14" t="n">
        <f>IF(ISNUMBER(BR1197),BR1197,"")</f>
        <v>12</v>
      </c>
      <c r="BY1197" s="13" t="n">
        <f>IF(AND(COUNT(BV1197,BW1197,BX1197)=3,MIN(BV1197,BW1197,BX1197)&gt;=0),BV1197*BW1197*BX1197,"")</f>
        <v>0</v>
      </c>
      <c r="BZ1197" s="11" t="n">
        <f>IF(ISNUMBER(BO1197),BO1197,"")</f>
        <v>0.8057375774163482</v>
      </c>
      <c r="CA1197" s="14" t="n">
        <f>IF(ISNUMBER(BS1197),BS1197,"")</f>
        <v>30</v>
      </c>
      <c r="CB1197" s="13" t="n">
        <f>IF(AND(COUNT(BV1197,BZ1197,CA1197)=3,MIN(BV1197,BZ1197,CA1197)&gt;=0),BV1197*BZ1197*CA1197,"")</f>
        <v>0</v>
      </c>
      <c r="CC1197" s="11" t="n">
        <f>IF(ISNUMBER(BP1197),BP1197,"")</f>
        <v>0.532550303142279</v>
      </c>
      <c r="CD1197" s="14" t="n">
        <f>IF(ISNUMBER(BT1197),BT1197,"")</f>
        <v>31</v>
      </c>
      <c r="CE1197" s="13" t="n">
        <f>IF(AND(COUNT(BV1197,CC1197,CD1197)=3,MIN(BV1197,CC1197,CD1197)&gt;=0),BV1197*CC1197*CD1197,"")</f>
        <v>0</v>
      </c>
      <c r="CF1197" s="11" t="n">
        <f>IF(ISNUMBER(BQ1197),BQ1197,"")</f>
        <v>0.7517299265337036</v>
      </c>
      <c r="CG1197" s="14" t="n">
        <f>IF(ISNUMBER(BU1197),BU1197,"")</f>
        <v>17</v>
      </c>
      <c r="CH1197" s="13" t="n">
        <f>IF(AND(COUNT(BV1197,CF1197,CG1197)=3,MIN(BV1197,CF1197,CG1197)&gt;=0),BV1197*CF1197*CG1197,"")</f>
        <v>0</v>
      </c>
      <c r="CI1197" s="13" t="n">
        <f>IF(COUNT(BY1197,CB1197,CE1197,CH1197)=4,SUM(BY1197,CB1197,CE1197,CH1197),"")</f>
        <v>0</v>
      </c>
    </row>
    <row r="1198" ht="72" customHeight="1">
      <c r="A1198" s="16" t="str">
        <v>1S01-BKX-37.5</v>
      </c>
      <c r="B1198" s="16" t="str">
        <v>3店-SANDIEX-US</v>
      </c>
      <c r="C1198" s="16" t="str">
        <v>徐新怡</v>
      </c>
      <c r="D1198" s="26" t="str">
        <f>IF(NOT(ISNUMBER(E1198)),"",IF(OR(E1198&lt;=0,L1198=0),0,IF(OR(NOT(ISNUMBER(F1198)),F1198&lt;0),"",MIN(E1198,INT(F1198)))))</f>
      </c>
      <c r="E1198" s="27" t="str">
        <f>IF(OR(NOT(ISNUMBER(L1198)),COUNT(M1198:O1198)&lt;&gt;3,MIN(M1198:O1198)&lt;0),"",ROUNDUP(ROUND(BI1198-SUM(M1198:O1198),10),0))</f>
      </c>
      <c r="F1198" s="28"/>
      <c r="G1198" s="28" t="str">
        <f>IF(AND(ISNUMBER(D1198),ISNUMBER(E1198)),IF(OR(E1198&lt;=0,L1198=0),0,E1198-D1198),"")</f>
      </c>
      <c r="H1198" s="16" t="str">
        <f>IF(NOT(ISNUMBER(E1198)),"销量或海外库存待补",IF(OR(E1198&lt;=0,L1198=0),IF(L1198=0,"零日销，本批不发","本批无需补货"),IF(NOT(ISNUMBER(D1198)),"国内库存待补",IF(D1198=0,"国内无可用库存",IF(G1198&gt;0,"先发国内现货","按建议量发货")))))</f>
        <v>销量或海外库存待补</v>
      </c>
      <c r="I1198" s="28" t="n">
        <f>IF(AND(COUNT(Z1198,AA1198,AB1198)=3,Z1198&gt;=AA1198,AA1198&gt;=0,AB1198=7),Z1198-AA1198,"")</f>
        <v>0</v>
      </c>
      <c r="J1198" s="28" t="n">
        <f>IF(AND(COUNT(AF1198,AG1198,AH1198)=3,AF1198&gt;=AG1198,AG1198&gt;=0,AH1198=14),AF1198-AG1198,"")</f>
        <v>0</v>
      </c>
      <c r="K1198" s="28" t="n">
        <f>IF(AND(COUNT(AL1198,AM1198,AN1198)=3,AL1198&gt;=AM1198,AM1198&gt;=0,AN1198=30),AL1198-AM1198,"")</f>
        <v>0</v>
      </c>
      <c r="L1198" s="29" t="n">
        <f>IF(ISNUMBER(BI1198),BI1198/90,"")</f>
        <v>0</v>
      </c>
      <c r="M1198" s="28"/>
      <c r="N1198" s="28"/>
      <c r="O1198" s="28"/>
      <c r="P1198" s="30" t="str">
        <f>IF(AND(ISNUMBER(L1198),L1198&gt;0,COUNT(M1198:O1198)=3,MIN(M1198:O1198)&gt;=0),SUM(M1198:O1198)/L1198,"")</f>
      </c>
      <c r="Q1198" s="16" t="str">
        <v>沿用同SPU原计划店铺</v>
      </c>
      <c r="R1198" s="16" t="str">
        <v>未匹配</v>
      </c>
      <c r="S1198" s="16" t="str">
        <v>未匹配Listing</v>
      </c>
      <c r="T1198" s="16" t="str">
        <v>1S01</v>
      </c>
      <c r="U1198" s="16" t="str">
        <v>黑色石头纹</v>
      </c>
      <c r="V1198" s="16" t="n">
        <v>6.5</v>
      </c>
      <c r="W1198" s="8" t="str">
        <v>2026-10-11 至 2026-10-17</v>
      </c>
      <c r="X1198" s="8" t="str">
        <v>2026-10-11、2026-10-12、2026-10-13、2026-10-14、2026-10-15、2026-10-16、2026-10-17</v>
      </c>
      <c r="Y1198" s="8" t="str">
        <v>无</v>
      </c>
      <c r="Z1198" s="8" t="n">
        <v>0</v>
      </c>
      <c r="AA1198" s="8" t="n">
        <v>0</v>
      </c>
      <c r="AB1198" s="8" t="n">
        <v>7</v>
      </c>
      <c r="AC1198" s="8" t="str">
        <v>2026-10-02 至 2026-10-17</v>
      </c>
      <c r="AD1198" s="8" t="str">
        <v>2026-10-02、2026-10-03、2026-10-04、2026-10-05、2026-10-08、2026-10-09、2026-10-10、2026-10-11、2026-10-12、2026-10-13、2026-10-14、2026-10-15、2026-10-16、2026-10-17</v>
      </c>
      <c r="AE1198" s="8" t="str">
        <v>2026-10-06 大促；2026-10-07 大促</v>
      </c>
      <c r="AF1198" s="8" t="n">
        <v>0</v>
      </c>
      <c r="AG1198" s="8" t="n">
        <v>0</v>
      </c>
      <c r="AH1198" s="8" t="n">
        <v>14</v>
      </c>
      <c r="AI1198" s="8" t="str">
        <v>2026-09-16 至 2026-10-17</v>
      </c>
      <c r="AJ11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98" s="8" t="str">
        <v>2026-10-06 大促；2026-10-07 大促</v>
      </c>
      <c r="AL1198" s="8" t="n">
        <v>0</v>
      </c>
      <c r="AM1198" s="8" t="n">
        <v>0</v>
      </c>
      <c r="AN1198" s="8" t="n">
        <v>30</v>
      </c>
      <c r="AO1198" s="8" t="str">
        <v>1S01 / 黑色石头纹PU / 6574</v>
      </c>
      <c r="AP1198" s="11" t="n">
        <v>0.8729500662042875</v>
      </c>
      <c r="AQ1198" s="11" t="n">
        <v>0.8729500662042875</v>
      </c>
      <c r="AR1198" s="11" t="n">
        <v>1.0921363354767095</v>
      </c>
      <c r="AS1198" s="11" t="n">
        <f>IF(AND(COUNT(I1198:K1198,AP1198:AR1198)=6,MIN(AP1198:AR1198)&gt;0),I1198/7/AP1198*0.5+J1198/14/AQ1198*0.3+K1198/30/AR1198*0.2,"")</f>
        <v>0</v>
      </c>
      <c r="AT1198" s="8" t="n">
        <v>0</v>
      </c>
      <c r="AU1198" s="8" t="n">
        <v>0</v>
      </c>
      <c r="AV1198" s="8" t="n">
        <v>88</v>
      </c>
      <c r="AW1198" s="11" t="n">
        <f>IF(AND(COUNT(AT1198:AV1198)=3,AT1198&gt;=AU1198,AU1198&gt;=0,AV1198&gt;0),(AT1198-AU1198)/AV1198,"")</f>
        <v>0</v>
      </c>
      <c r="AX1198" s="8" t="n">
        <v>0</v>
      </c>
      <c r="AY1198" s="8" t="n">
        <v>0</v>
      </c>
      <c r="AZ1198" s="8" t="n">
        <v>178</v>
      </c>
      <c r="BA1198" s="11" t="n">
        <f>IF(AND(COUNT(AX1198:AZ1198)=3,AX1198&gt;=AY1198,AY1198&gt;=0,AZ1198&gt;0),(AX1198-AY1198)/AZ1198,"")</f>
        <v>0</v>
      </c>
      <c r="BB1198" s="8" t="n">
        <f>IF(COUNT(AS1198,AW1198,BA1198)=3,1,0)</f>
        <v>1</v>
      </c>
      <c r="BC1198" s="11" t="n">
        <f>IF(SUMIF($AO$11:$AO$1309,AO1198,$BB$11:$BB$1309)=COUNTIF($AO$11:$AO$1309,AO1198),SUMIF($AO$11:$AO$1309,AO1198,$AS$11:$AS$1309),"")</f>
        <v>0</v>
      </c>
      <c r="BD1198" s="11" t="n">
        <f>IF(SUMIF($AO$11:$AO$1309,AO1198,$BB$11:$BB$1309)=COUNTIF($AO$11:$AO$1309,AO1198),SUMIF($AO$11:$AO$1309,AO1198,$AW$11:$AW$1309),"")</f>
        <v>0</v>
      </c>
      <c r="BE1198" s="11" t="n">
        <f>IF(SUMIF($AO$11:$AO$1309,AO1198,$BB$11:$BB$1309)=COUNTIF($AO$11:$AO$1309,AO1198),SUMIF($AO$11:$AO$1309,AO1198,$BA$11:$BA$1309),"")</f>
        <v>0</v>
      </c>
      <c r="BF1198" s="12" t="n">
        <f>IF(COUNT(BD1198:BE1198)&lt;&gt;2,"",IF(AND(BD1198&gt;0,BE1198&gt;0),0.7*AW1198/BD1198+0.3*BA1198/BE1198,IF(BD1198&gt;0,AW1198/BD1198,IF(BE1198&gt;0,BA1198/BE1198,IF(AND(ISNUMBER(BH1198),BH1198=0),0,"")))))</f>
        <v>0</v>
      </c>
      <c r="BG1198" s="11" t="n">
        <f>IF(AND(COUNT(BN1198:BU1198)=8,MIN(BN1198:BU1198)&gt;=0),SUMPRODUCT(BN1198:BQ1198,BR1198:BU1198),"")</f>
        <v>63.935996265425516</v>
      </c>
      <c r="BH1198" s="11" t="n">
        <f>IF(COUNT(BC1198,BG1198)=2,BC1198*BG1198,"")</f>
        <v>0</v>
      </c>
      <c r="BI1198" s="11" t="n">
        <f>IF(ISNUMBER(CI1198),CI1198,"")</f>
        <v>0</v>
      </c>
      <c r="BJ1198" s="8" t="str"/>
      <c r="BK1198" s="8" t="str">
        <v>90天：2026-07-20 至 2026-10-17；180天：2026-04-21 至 2026-10-17</v>
      </c>
      <c r="BL1198" s="8" t="str">
        <v>90天：2026-10-06、2026-10-07；180天：2026-10-06、2026-10-07</v>
      </c>
      <c r="BM1198" s="8" t="str">
        <v>2026-10：12天 × 0.8729500662042875；2026-11：30天 × 0.8057375774163482；2026-12：31天 × 0.532550303142279；2027-01：17天 × 0.7517299265337036</v>
      </c>
      <c r="BN1198" s="11" t="n">
        <v>0.8729500662042875</v>
      </c>
      <c r="BO1198" s="11" t="n">
        <v>0.8057375774163482</v>
      </c>
      <c r="BP1198" s="11" t="n">
        <v>0.532550303142279</v>
      </c>
      <c r="BQ1198" s="11" t="n">
        <v>0.7517299265337036</v>
      </c>
      <c r="BR1198" s="8" t="n">
        <v>12</v>
      </c>
      <c r="BS1198" s="8" t="n">
        <v>30</v>
      </c>
      <c r="BT1198" s="8" t="n">
        <v>31</v>
      </c>
      <c r="BU1198" s="8" t="n">
        <v>17</v>
      </c>
      <c r="BV1198" s="11" t="n">
        <f>IF(COUNT(BC1198,BF1198)=2,BC1198*BF1198,"")</f>
        <v>0</v>
      </c>
      <c r="BW1198" s="11" t="n">
        <f>IF(ISNUMBER(BN1198),BN1198,"")</f>
        <v>0.8729500662042875</v>
      </c>
      <c r="BX1198" s="14" t="n">
        <f>IF(ISNUMBER(BR1198),BR1198,"")</f>
        <v>12</v>
      </c>
      <c r="BY1198" s="13" t="n">
        <f>IF(AND(COUNT(BV1198,BW1198,BX1198)=3,MIN(BV1198,BW1198,BX1198)&gt;=0),BV1198*BW1198*BX1198,"")</f>
        <v>0</v>
      </c>
      <c r="BZ1198" s="11" t="n">
        <f>IF(ISNUMBER(BO1198),BO1198,"")</f>
        <v>0.8057375774163482</v>
      </c>
      <c r="CA1198" s="14" t="n">
        <f>IF(ISNUMBER(BS1198),BS1198,"")</f>
        <v>30</v>
      </c>
      <c r="CB1198" s="13" t="n">
        <f>IF(AND(COUNT(BV1198,BZ1198,CA1198)=3,MIN(BV1198,BZ1198,CA1198)&gt;=0),BV1198*BZ1198*CA1198,"")</f>
        <v>0</v>
      </c>
      <c r="CC1198" s="11" t="n">
        <f>IF(ISNUMBER(BP1198),BP1198,"")</f>
        <v>0.532550303142279</v>
      </c>
      <c r="CD1198" s="14" t="n">
        <f>IF(ISNUMBER(BT1198),BT1198,"")</f>
        <v>31</v>
      </c>
      <c r="CE1198" s="13" t="n">
        <f>IF(AND(COUNT(BV1198,CC1198,CD1198)=3,MIN(BV1198,CC1198,CD1198)&gt;=0),BV1198*CC1198*CD1198,"")</f>
        <v>0</v>
      </c>
      <c r="CF1198" s="11" t="n">
        <f>IF(ISNUMBER(BQ1198),BQ1198,"")</f>
        <v>0.7517299265337036</v>
      </c>
      <c r="CG1198" s="14" t="n">
        <f>IF(ISNUMBER(BU1198),BU1198,"")</f>
        <v>17</v>
      </c>
      <c r="CH1198" s="13" t="n">
        <f>IF(AND(COUNT(BV1198,CF1198,CG1198)=3,MIN(BV1198,CF1198,CG1198)&gt;=0),BV1198*CF1198*CG1198,"")</f>
        <v>0</v>
      </c>
      <c r="CI1198" s="13" t="n">
        <f>IF(COUNT(BY1198,CB1198,CE1198,CH1198)=4,SUM(BY1198,CB1198,CE1198,CH1198),"")</f>
        <v>0</v>
      </c>
    </row>
    <row r="1199" ht="72" customHeight="1">
      <c r="A1199" s="16" t="str">
        <v>1S01-BKX-38</v>
      </c>
      <c r="B1199" s="16" t="str">
        <v>3店-SANDIEX-US</v>
      </c>
      <c r="C1199" s="16" t="str">
        <v>徐新怡</v>
      </c>
      <c r="D1199" s="26" t="str">
        <f>IF(NOT(ISNUMBER(E1199)),"",IF(OR(E1199&lt;=0,L1199=0),0,IF(OR(NOT(ISNUMBER(F1199)),F1199&lt;0),"",MIN(E1199,INT(F1199)))))</f>
      </c>
      <c r="E1199" s="27" t="str">
        <f>IF(OR(NOT(ISNUMBER(L1199)),COUNT(M1199:O1199)&lt;&gt;3,MIN(M1199:O1199)&lt;0),"",ROUNDUP(ROUND(BI1199-SUM(M1199:O1199),10),0))</f>
      </c>
      <c r="F1199" s="28"/>
      <c r="G1199" s="28" t="str">
        <f>IF(AND(ISNUMBER(D1199),ISNUMBER(E1199)),IF(OR(E1199&lt;=0,L1199=0),0,E1199-D1199),"")</f>
      </c>
      <c r="H1199" s="16" t="str">
        <f>IF(NOT(ISNUMBER(E1199)),"销量或海外库存待补",IF(OR(E1199&lt;=0,L1199=0),IF(L1199=0,"零日销，本批不发","本批无需补货"),IF(NOT(ISNUMBER(D1199)),"国内库存待补",IF(D1199=0,"国内无可用库存",IF(G1199&gt;0,"先发国内现货","按建议量发货")))))</f>
        <v>销量或海外库存待补</v>
      </c>
      <c r="I1199" s="28" t="n">
        <f>IF(AND(COUNT(Z1199,AA1199,AB1199)=3,Z1199&gt;=AA1199,AA1199&gt;=0,AB1199=7),Z1199-AA1199,"")</f>
        <v>0</v>
      </c>
      <c r="J1199" s="28" t="n">
        <f>IF(AND(COUNT(AF1199,AG1199,AH1199)=3,AF1199&gt;=AG1199,AG1199&gt;=0,AH1199=14),AF1199-AG1199,"")</f>
        <v>0</v>
      </c>
      <c r="K1199" s="28" t="n">
        <f>IF(AND(COUNT(AL1199,AM1199,AN1199)=3,AL1199&gt;=AM1199,AM1199&gt;=0,AN1199=30),AL1199-AM1199,"")</f>
        <v>0</v>
      </c>
      <c r="L1199" s="29" t="n">
        <f>IF(ISNUMBER(BI1199),BI1199/90,"")</f>
        <v>0</v>
      </c>
      <c r="M1199" s="28"/>
      <c r="N1199" s="28"/>
      <c r="O1199" s="28"/>
      <c r="P1199" s="30" t="str">
        <f>IF(AND(ISNUMBER(L1199),L1199&gt;0,COUNT(M1199:O1199)=3,MIN(M1199:O1199)&gt;=0),SUM(M1199:O1199)/L1199,"")</f>
      </c>
      <c r="Q1199" s="16" t="str">
        <v>沿用同SPU原计划店铺</v>
      </c>
      <c r="R1199" s="16" t="str">
        <v>未匹配</v>
      </c>
      <c r="S1199" s="16" t="str">
        <v>未匹配Listing</v>
      </c>
      <c r="T1199" s="16" t="str">
        <v>1S01</v>
      </c>
      <c r="U1199" s="16" t="str">
        <v>黑色石头纹</v>
      </c>
      <c r="V1199" s="16" t="n">
        <v>7</v>
      </c>
      <c r="W1199" s="8" t="str">
        <v>2026-10-11 至 2026-10-17</v>
      </c>
      <c r="X1199" s="8" t="str">
        <v>2026-10-11、2026-10-12、2026-10-13、2026-10-14、2026-10-15、2026-10-16、2026-10-17</v>
      </c>
      <c r="Y1199" s="8" t="str">
        <v>无</v>
      </c>
      <c r="Z1199" s="8" t="n">
        <v>0</v>
      </c>
      <c r="AA1199" s="8" t="n">
        <v>0</v>
      </c>
      <c r="AB1199" s="8" t="n">
        <v>7</v>
      </c>
      <c r="AC1199" s="8" t="str">
        <v>2026-10-02 至 2026-10-17</v>
      </c>
      <c r="AD1199" s="8" t="str">
        <v>2026-10-02、2026-10-03、2026-10-04、2026-10-05、2026-10-08、2026-10-09、2026-10-10、2026-10-11、2026-10-12、2026-10-13、2026-10-14、2026-10-15、2026-10-16、2026-10-17</v>
      </c>
      <c r="AE1199" s="8" t="str">
        <v>2026-10-06 大促；2026-10-07 大促</v>
      </c>
      <c r="AF1199" s="8" t="n">
        <v>0</v>
      </c>
      <c r="AG1199" s="8" t="n">
        <v>0</v>
      </c>
      <c r="AH1199" s="8" t="n">
        <v>14</v>
      </c>
      <c r="AI1199" s="8" t="str">
        <v>2026-09-16 至 2026-10-17</v>
      </c>
      <c r="AJ11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199" s="8" t="str">
        <v>2026-10-06 大促；2026-10-07 大促</v>
      </c>
      <c r="AL1199" s="8" t="n">
        <v>0</v>
      </c>
      <c r="AM1199" s="8" t="n">
        <v>0</v>
      </c>
      <c r="AN1199" s="8" t="n">
        <v>30</v>
      </c>
      <c r="AO1199" s="8" t="str">
        <v>1S01 / 黑色石头纹PU / 6574</v>
      </c>
      <c r="AP1199" s="11" t="n">
        <v>0.8729500662042875</v>
      </c>
      <c r="AQ1199" s="11" t="n">
        <v>0.8729500662042875</v>
      </c>
      <c r="AR1199" s="11" t="n">
        <v>1.0921363354767095</v>
      </c>
      <c r="AS1199" s="11" t="n">
        <f>IF(AND(COUNT(I1199:K1199,AP1199:AR1199)=6,MIN(AP1199:AR1199)&gt;0),I1199/7/AP1199*0.5+J1199/14/AQ1199*0.3+K1199/30/AR1199*0.2,"")</f>
        <v>0</v>
      </c>
      <c r="AT1199" s="8" t="n">
        <v>0</v>
      </c>
      <c r="AU1199" s="8" t="n">
        <v>0</v>
      </c>
      <c r="AV1199" s="8" t="n">
        <v>88</v>
      </c>
      <c r="AW1199" s="11" t="n">
        <f>IF(AND(COUNT(AT1199:AV1199)=3,AT1199&gt;=AU1199,AU1199&gt;=0,AV1199&gt;0),(AT1199-AU1199)/AV1199,"")</f>
        <v>0</v>
      </c>
      <c r="AX1199" s="8" t="n">
        <v>0</v>
      </c>
      <c r="AY1199" s="8" t="n">
        <v>0</v>
      </c>
      <c r="AZ1199" s="8" t="n">
        <v>178</v>
      </c>
      <c r="BA1199" s="11" t="n">
        <f>IF(AND(COUNT(AX1199:AZ1199)=3,AX1199&gt;=AY1199,AY1199&gt;=0,AZ1199&gt;0),(AX1199-AY1199)/AZ1199,"")</f>
        <v>0</v>
      </c>
      <c r="BB1199" s="8" t="n">
        <f>IF(COUNT(AS1199,AW1199,BA1199)=3,1,0)</f>
        <v>1</v>
      </c>
      <c r="BC1199" s="11" t="n">
        <f>IF(SUMIF($AO$11:$AO$1309,AO1199,$BB$11:$BB$1309)=COUNTIF($AO$11:$AO$1309,AO1199),SUMIF($AO$11:$AO$1309,AO1199,$AS$11:$AS$1309),"")</f>
        <v>0</v>
      </c>
      <c r="BD1199" s="11" t="n">
        <f>IF(SUMIF($AO$11:$AO$1309,AO1199,$BB$11:$BB$1309)=COUNTIF($AO$11:$AO$1309,AO1199),SUMIF($AO$11:$AO$1309,AO1199,$AW$11:$AW$1309),"")</f>
        <v>0</v>
      </c>
      <c r="BE1199" s="11" t="n">
        <f>IF(SUMIF($AO$11:$AO$1309,AO1199,$BB$11:$BB$1309)=COUNTIF($AO$11:$AO$1309,AO1199),SUMIF($AO$11:$AO$1309,AO1199,$BA$11:$BA$1309),"")</f>
        <v>0</v>
      </c>
      <c r="BF1199" s="12" t="n">
        <f>IF(COUNT(BD1199:BE1199)&lt;&gt;2,"",IF(AND(BD1199&gt;0,BE1199&gt;0),0.7*AW1199/BD1199+0.3*BA1199/BE1199,IF(BD1199&gt;0,AW1199/BD1199,IF(BE1199&gt;0,BA1199/BE1199,IF(AND(ISNUMBER(BH1199),BH1199=0),0,"")))))</f>
        <v>0</v>
      </c>
      <c r="BG1199" s="11" t="n">
        <f>IF(AND(COUNT(BN1199:BU1199)=8,MIN(BN1199:BU1199)&gt;=0),SUMPRODUCT(BN1199:BQ1199,BR1199:BU1199),"")</f>
        <v>63.935996265425516</v>
      </c>
      <c r="BH1199" s="11" t="n">
        <f>IF(COUNT(BC1199,BG1199)=2,BC1199*BG1199,"")</f>
        <v>0</v>
      </c>
      <c r="BI1199" s="11" t="n">
        <f>IF(ISNUMBER(CI1199),CI1199,"")</f>
        <v>0</v>
      </c>
      <c r="BJ1199" s="8" t="str"/>
      <c r="BK1199" s="8" t="str">
        <v>90天：2026-07-20 至 2026-10-17；180天：2026-04-21 至 2026-10-17</v>
      </c>
      <c r="BL1199" s="8" t="str">
        <v>90天：2026-10-06、2026-10-07；180天：2026-10-06、2026-10-07</v>
      </c>
      <c r="BM1199" s="8" t="str">
        <v>2026-10：12天 × 0.8729500662042875；2026-11：30天 × 0.8057375774163482；2026-12：31天 × 0.532550303142279；2027-01：17天 × 0.7517299265337036</v>
      </c>
      <c r="BN1199" s="11" t="n">
        <v>0.8729500662042875</v>
      </c>
      <c r="BO1199" s="11" t="n">
        <v>0.8057375774163482</v>
      </c>
      <c r="BP1199" s="11" t="n">
        <v>0.532550303142279</v>
      </c>
      <c r="BQ1199" s="11" t="n">
        <v>0.7517299265337036</v>
      </c>
      <c r="BR1199" s="8" t="n">
        <v>12</v>
      </c>
      <c r="BS1199" s="8" t="n">
        <v>30</v>
      </c>
      <c r="BT1199" s="8" t="n">
        <v>31</v>
      </c>
      <c r="BU1199" s="8" t="n">
        <v>17</v>
      </c>
      <c r="BV1199" s="11" t="n">
        <f>IF(COUNT(BC1199,BF1199)=2,BC1199*BF1199,"")</f>
        <v>0</v>
      </c>
      <c r="BW1199" s="11" t="n">
        <f>IF(ISNUMBER(BN1199),BN1199,"")</f>
        <v>0.8729500662042875</v>
      </c>
      <c r="BX1199" s="14" t="n">
        <f>IF(ISNUMBER(BR1199),BR1199,"")</f>
        <v>12</v>
      </c>
      <c r="BY1199" s="13" t="n">
        <f>IF(AND(COUNT(BV1199,BW1199,BX1199)=3,MIN(BV1199,BW1199,BX1199)&gt;=0),BV1199*BW1199*BX1199,"")</f>
        <v>0</v>
      </c>
      <c r="BZ1199" s="11" t="n">
        <f>IF(ISNUMBER(BO1199),BO1199,"")</f>
        <v>0.8057375774163482</v>
      </c>
      <c r="CA1199" s="14" t="n">
        <f>IF(ISNUMBER(BS1199),BS1199,"")</f>
        <v>30</v>
      </c>
      <c r="CB1199" s="13" t="n">
        <f>IF(AND(COUNT(BV1199,BZ1199,CA1199)=3,MIN(BV1199,BZ1199,CA1199)&gt;=0),BV1199*BZ1199*CA1199,"")</f>
        <v>0</v>
      </c>
      <c r="CC1199" s="11" t="n">
        <f>IF(ISNUMBER(BP1199),BP1199,"")</f>
        <v>0.532550303142279</v>
      </c>
      <c r="CD1199" s="14" t="n">
        <f>IF(ISNUMBER(BT1199),BT1199,"")</f>
        <v>31</v>
      </c>
      <c r="CE1199" s="13" t="n">
        <f>IF(AND(COUNT(BV1199,CC1199,CD1199)=3,MIN(BV1199,CC1199,CD1199)&gt;=0),BV1199*CC1199*CD1199,"")</f>
        <v>0</v>
      </c>
      <c r="CF1199" s="11" t="n">
        <f>IF(ISNUMBER(BQ1199),BQ1199,"")</f>
        <v>0.7517299265337036</v>
      </c>
      <c r="CG1199" s="14" t="n">
        <f>IF(ISNUMBER(BU1199),BU1199,"")</f>
        <v>17</v>
      </c>
      <c r="CH1199" s="13" t="n">
        <f>IF(AND(COUNT(BV1199,CF1199,CG1199)=3,MIN(BV1199,CF1199,CG1199)&gt;=0),BV1199*CF1199*CG1199,"")</f>
        <v>0</v>
      </c>
      <c r="CI1199" s="13" t="n">
        <f>IF(COUNT(BY1199,CB1199,CE1199,CH1199)=4,SUM(BY1199,CB1199,CE1199,CH1199),"")</f>
        <v>0</v>
      </c>
    </row>
    <row r="1200" ht="72" customHeight="1">
      <c r="A1200" s="16" t="str">
        <v>1S01-BKX-38.5</v>
      </c>
      <c r="B1200" s="16" t="str">
        <v>3店-SANDIEX-US</v>
      </c>
      <c r="C1200" s="16" t="str">
        <v>徐新怡</v>
      </c>
      <c r="D1200" s="26" t="str">
        <f>IF(NOT(ISNUMBER(E1200)),"",IF(OR(E1200&lt;=0,L1200=0),0,IF(OR(NOT(ISNUMBER(F1200)),F1200&lt;0),"",MIN(E1200,INT(F1200)))))</f>
      </c>
      <c r="E1200" s="27" t="str">
        <f>IF(OR(NOT(ISNUMBER(L1200)),COUNT(M1200:O1200)&lt;&gt;3,MIN(M1200:O1200)&lt;0),"",ROUNDUP(ROUND(BI1200-SUM(M1200:O1200),10),0))</f>
      </c>
      <c r="F1200" s="28" t="n">
        <v>0</v>
      </c>
      <c r="G1200" s="28" t="str">
        <f>IF(AND(ISNUMBER(D1200),ISNUMBER(E1200)),IF(OR(E1200&lt;=0,L1200=0),0,E1200-D1200),"")</f>
      </c>
      <c r="H1200" s="16" t="str">
        <f>IF(NOT(ISNUMBER(E1200)),"销量或海外库存待补",IF(OR(E1200&lt;=0,L1200=0),IF(L1200=0,"零日销，本批不发","本批无需补货"),IF(NOT(ISNUMBER(D1200)),"国内库存待补",IF(D1200=0,"国内无可用库存",IF(G1200&gt;0,"先发国内现货","按建议量发货")))))</f>
        <v>销量或海外库存待补</v>
      </c>
      <c r="I1200" s="28" t="n">
        <f>IF(AND(COUNT(Z1200,AA1200,AB1200)=3,Z1200&gt;=AA1200,AA1200&gt;=0,AB1200=7),Z1200-AA1200,"")</f>
        <v>0</v>
      </c>
      <c r="J1200" s="28" t="n">
        <f>IF(AND(COUNT(AF1200,AG1200,AH1200)=3,AF1200&gt;=AG1200,AG1200&gt;=0,AH1200=14),AF1200-AG1200,"")</f>
        <v>0</v>
      </c>
      <c r="K1200" s="28" t="n">
        <f>IF(AND(COUNT(AL1200,AM1200,AN1200)=3,AL1200&gt;=AM1200,AM1200&gt;=0,AN1200=30),AL1200-AM1200,"")</f>
        <v>0</v>
      </c>
      <c r="L1200" s="29" t="n">
        <f>IF(ISNUMBER(BI1200),BI1200/90,"")</f>
        <v>0</v>
      </c>
      <c r="M1200" s="28"/>
      <c r="N1200" s="28"/>
      <c r="O1200" s="28"/>
      <c r="P1200" s="30" t="str">
        <f>IF(AND(ISNUMBER(L1200),L1200&gt;0,COUNT(M1200:O1200)=3,MIN(M1200:O1200)&gt;=0),SUM(M1200:O1200)/L1200,"")</f>
      </c>
      <c r="Q1200" s="16" t="str">
        <v>沿用同SPU原计划店铺</v>
      </c>
      <c r="R1200" s="16" t="str">
        <v>已匹配</v>
      </c>
      <c r="S1200" s="16" t="str">
        <v>未匹配Listing</v>
      </c>
      <c r="T1200" s="16" t="str">
        <v>1S01</v>
      </c>
      <c r="U1200" s="16" t="str">
        <v>黑色石头纹</v>
      </c>
      <c r="V1200" s="16" t="n">
        <v>7.5</v>
      </c>
      <c r="W1200" s="8" t="str">
        <v>2026-10-11 至 2026-10-17</v>
      </c>
      <c r="X1200" s="8" t="str">
        <v>2026-10-11、2026-10-12、2026-10-13、2026-10-14、2026-10-15、2026-10-16、2026-10-17</v>
      </c>
      <c r="Y1200" s="8" t="str">
        <v>无</v>
      </c>
      <c r="Z1200" s="8" t="n">
        <v>0</v>
      </c>
      <c r="AA1200" s="8" t="n">
        <v>0</v>
      </c>
      <c r="AB1200" s="8" t="n">
        <v>7</v>
      </c>
      <c r="AC1200" s="8" t="str">
        <v>2026-10-02 至 2026-10-17</v>
      </c>
      <c r="AD1200" s="8" t="str">
        <v>2026-10-02、2026-10-03、2026-10-04、2026-10-05、2026-10-08、2026-10-09、2026-10-10、2026-10-11、2026-10-12、2026-10-13、2026-10-14、2026-10-15、2026-10-16、2026-10-17</v>
      </c>
      <c r="AE1200" s="8" t="str">
        <v>2026-10-06 大促；2026-10-07 大促</v>
      </c>
      <c r="AF1200" s="8" t="n">
        <v>0</v>
      </c>
      <c r="AG1200" s="8" t="n">
        <v>0</v>
      </c>
      <c r="AH1200" s="8" t="n">
        <v>14</v>
      </c>
      <c r="AI1200" s="8" t="str">
        <v>2026-09-16 至 2026-10-17</v>
      </c>
      <c r="AJ12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0" s="8" t="str">
        <v>2026-10-06 大促；2026-10-07 大促</v>
      </c>
      <c r="AL1200" s="8" t="n">
        <v>0</v>
      </c>
      <c r="AM1200" s="8" t="n">
        <v>0</v>
      </c>
      <c r="AN1200" s="8" t="n">
        <v>30</v>
      </c>
      <c r="AO1200" s="8" t="str">
        <v>1S01 / 黑色石头纹PU / 6574</v>
      </c>
      <c r="AP1200" s="11" t="n">
        <v>0.8729500662042875</v>
      </c>
      <c r="AQ1200" s="11" t="n">
        <v>0.8729500662042875</v>
      </c>
      <c r="AR1200" s="11" t="n">
        <v>1.0921363354767095</v>
      </c>
      <c r="AS1200" s="11" t="n">
        <f>IF(AND(COUNT(I1200:K1200,AP1200:AR1200)=6,MIN(AP1200:AR1200)&gt;0),I1200/7/AP1200*0.5+J1200/14/AQ1200*0.3+K1200/30/AR1200*0.2,"")</f>
        <v>0</v>
      </c>
      <c r="AT1200" s="8" t="n">
        <v>0</v>
      </c>
      <c r="AU1200" s="8" t="n">
        <v>0</v>
      </c>
      <c r="AV1200" s="8" t="n">
        <v>88</v>
      </c>
      <c r="AW1200" s="11" t="n">
        <f>IF(AND(COUNT(AT1200:AV1200)=3,AT1200&gt;=AU1200,AU1200&gt;=0,AV1200&gt;0),(AT1200-AU1200)/AV1200,"")</f>
        <v>0</v>
      </c>
      <c r="AX1200" s="8" t="n">
        <v>0</v>
      </c>
      <c r="AY1200" s="8" t="n">
        <v>0</v>
      </c>
      <c r="AZ1200" s="8" t="n">
        <v>178</v>
      </c>
      <c r="BA1200" s="11" t="n">
        <f>IF(AND(COUNT(AX1200:AZ1200)=3,AX1200&gt;=AY1200,AY1200&gt;=0,AZ1200&gt;0),(AX1200-AY1200)/AZ1200,"")</f>
        <v>0</v>
      </c>
      <c r="BB1200" s="8" t="n">
        <f>IF(COUNT(AS1200,AW1200,BA1200)=3,1,0)</f>
        <v>1</v>
      </c>
      <c r="BC1200" s="11" t="n">
        <f>IF(SUMIF($AO$11:$AO$1309,AO1200,$BB$11:$BB$1309)=COUNTIF($AO$11:$AO$1309,AO1200),SUMIF($AO$11:$AO$1309,AO1200,$AS$11:$AS$1309),"")</f>
        <v>0</v>
      </c>
      <c r="BD1200" s="11" t="n">
        <f>IF(SUMIF($AO$11:$AO$1309,AO1200,$BB$11:$BB$1309)=COUNTIF($AO$11:$AO$1309,AO1200),SUMIF($AO$11:$AO$1309,AO1200,$AW$11:$AW$1309),"")</f>
        <v>0</v>
      </c>
      <c r="BE1200" s="11" t="n">
        <f>IF(SUMIF($AO$11:$AO$1309,AO1200,$BB$11:$BB$1309)=COUNTIF($AO$11:$AO$1309,AO1200),SUMIF($AO$11:$AO$1309,AO1200,$BA$11:$BA$1309),"")</f>
        <v>0</v>
      </c>
      <c r="BF1200" s="12" t="n">
        <f>IF(COUNT(BD1200:BE1200)&lt;&gt;2,"",IF(AND(BD1200&gt;0,BE1200&gt;0),0.7*AW1200/BD1200+0.3*BA1200/BE1200,IF(BD1200&gt;0,AW1200/BD1200,IF(BE1200&gt;0,BA1200/BE1200,IF(AND(ISNUMBER(BH1200),BH1200=0),0,"")))))</f>
        <v>0</v>
      </c>
      <c r="BG1200" s="11" t="n">
        <f>IF(AND(COUNT(BN1200:BU1200)=8,MIN(BN1200:BU1200)&gt;=0),SUMPRODUCT(BN1200:BQ1200,BR1200:BU1200),"")</f>
        <v>63.935996265425516</v>
      </c>
      <c r="BH1200" s="11" t="n">
        <f>IF(COUNT(BC1200,BG1200)=2,BC1200*BG1200,"")</f>
        <v>0</v>
      </c>
      <c r="BI1200" s="11" t="n">
        <f>IF(ISNUMBER(CI1200),CI1200,"")</f>
        <v>0</v>
      </c>
      <c r="BJ1200" s="8" t="str"/>
      <c r="BK1200" s="8" t="str">
        <v>90天：2026-07-20 至 2026-10-17；180天：2026-04-21 至 2026-10-17</v>
      </c>
      <c r="BL1200" s="8" t="str">
        <v>90天：2026-10-06、2026-10-07；180天：2026-10-06、2026-10-07</v>
      </c>
      <c r="BM1200" s="8" t="str">
        <v>2026-10：12天 × 0.8729500662042875；2026-11：30天 × 0.8057375774163482；2026-12：31天 × 0.532550303142279；2027-01：17天 × 0.7517299265337036</v>
      </c>
      <c r="BN1200" s="11" t="n">
        <v>0.8729500662042875</v>
      </c>
      <c r="BO1200" s="11" t="n">
        <v>0.8057375774163482</v>
      </c>
      <c r="BP1200" s="11" t="n">
        <v>0.532550303142279</v>
      </c>
      <c r="BQ1200" s="11" t="n">
        <v>0.7517299265337036</v>
      </c>
      <c r="BR1200" s="8" t="n">
        <v>12</v>
      </c>
      <c r="BS1200" s="8" t="n">
        <v>30</v>
      </c>
      <c r="BT1200" s="8" t="n">
        <v>31</v>
      </c>
      <c r="BU1200" s="8" t="n">
        <v>17</v>
      </c>
      <c r="BV1200" s="11" t="n">
        <f>IF(COUNT(BC1200,BF1200)=2,BC1200*BF1200,"")</f>
        <v>0</v>
      </c>
      <c r="BW1200" s="11" t="n">
        <f>IF(ISNUMBER(BN1200),BN1200,"")</f>
        <v>0.8729500662042875</v>
      </c>
      <c r="BX1200" s="14" t="n">
        <f>IF(ISNUMBER(BR1200),BR1200,"")</f>
        <v>12</v>
      </c>
      <c r="BY1200" s="13" t="n">
        <f>IF(AND(COUNT(BV1200,BW1200,BX1200)=3,MIN(BV1200,BW1200,BX1200)&gt;=0),BV1200*BW1200*BX1200,"")</f>
        <v>0</v>
      </c>
      <c r="BZ1200" s="11" t="n">
        <f>IF(ISNUMBER(BO1200),BO1200,"")</f>
        <v>0.8057375774163482</v>
      </c>
      <c r="CA1200" s="14" t="n">
        <f>IF(ISNUMBER(BS1200),BS1200,"")</f>
        <v>30</v>
      </c>
      <c r="CB1200" s="13" t="n">
        <f>IF(AND(COUNT(BV1200,BZ1200,CA1200)=3,MIN(BV1200,BZ1200,CA1200)&gt;=0),BV1200*BZ1200*CA1200,"")</f>
        <v>0</v>
      </c>
      <c r="CC1200" s="11" t="n">
        <f>IF(ISNUMBER(BP1200),BP1200,"")</f>
        <v>0.532550303142279</v>
      </c>
      <c r="CD1200" s="14" t="n">
        <f>IF(ISNUMBER(BT1200),BT1200,"")</f>
        <v>31</v>
      </c>
      <c r="CE1200" s="13" t="n">
        <f>IF(AND(COUNT(BV1200,CC1200,CD1200)=3,MIN(BV1200,CC1200,CD1200)&gt;=0),BV1200*CC1200*CD1200,"")</f>
        <v>0</v>
      </c>
      <c r="CF1200" s="11" t="n">
        <f>IF(ISNUMBER(BQ1200),BQ1200,"")</f>
        <v>0.7517299265337036</v>
      </c>
      <c r="CG1200" s="14" t="n">
        <f>IF(ISNUMBER(BU1200),BU1200,"")</f>
        <v>17</v>
      </c>
      <c r="CH1200" s="13" t="n">
        <f>IF(AND(COUNT(BV1200,CF1200,CG1200)=3,MIN(BV1200,CF1200,CG1200)&gt;=0),BV1200*CF1200*CG1200,"")</f>
        <v>0</v>
      </c>
      <c r="CI1200" s="13" t="n">
        <f>IF(COUNT(BY1200,CB1200,CE1200,CH1200)=4,SUM(BY1200,CB1200,CE1200,CH1200),"")</f>
        <v>0</v>
      </c>
    </row>
    <row r="1201" ht="72" customHeight="1">
      <c r="A1201" s="16" t="str">
        <v>1S01-BKX-39</v>
      </c>
      <c r="B1201" s="16" t="str">
        <v>3店-SANDIEX-US</v>
      </c>
      <c r="C1201" s="16" t="str">
        <v>徐新怡</v>
      </c>
      <c r="D1201" s="26" t="str">
        <f>IF(NOT(ISNUMBER(E1201)),"",IF(OR(E1201&lt;=0,L1201=0),0,IF(OR(NOT(ISNUMBER(F1201)),F1201&lt;0),"",MIN(E1201,INT(F1201)))))</f>
      </c>
      <c r="E1201" s="27" t="str">
        <f>IF(OR(NOT(ISNUMBER(L1201)),COUNT(M1201:O1201)&lt;&gt;3,MIN(M1201:O1201)&lt;0),"",ROUNDUP(ROUND(BI1201-SUM(M1201:O1201),10),0))</f>
      </c>
      <c r="F1201" s="28" t="n">
        <v>0</v>
      </c>
      <c r="G1201" s="28" t="str">
        <f>IF(AND(ISNUMBER(D1201),ISNUMBER(E1201)),IF(OR(E1201&lt;=0,L1201=0),0,E1201-D1201),"")</f>
      </c>
      <c r="H1201" s="16" t="str">
        <f>IF(NOT(ISNUMBER(E1201)),"销量或海外库存待补",IF(OR(E1201&lt;=0,L1201=0),IF(L1201=0,"零日销，本批不发","本批无需补货"),IF(NOT(ISNUMBER(D1201)),"国内库存待补",IF(D1201=0,"国内无可用库存",IF(G1201&gt;0,"先发国内现货","按建议量发货")))))</f>
        <v>销量或海外库存待补</v>
      </c>
      <c r="I1201" s="28" t="n">
        <f>IF(AND(COUNT(Z1201,AA1201,AB1201)=3,Z1201&gt;=AA1201,AA1201&gt;=0,AB1201=7),Z1201-AA1201,"")</f>
        <v>0</v>
      </c>
      <c r="J1201" s="28" t="n">
        <f>IF(AND(COUNT(AF1201,AG1201,AH1201)=3,AF1201&gt;=AG1201,AG1201&gt;=0,AH1201=14),AF1201-AG1201,"")</f>
        <v>0</v>
      </c>
      <c r="K1201" s="28" t="n">
        <f>IF(AND(COUNT(AL1201,AM1201,AN1201)=3,AL1201&gt;=AM1201,AM1201&gt;=0,AN1201=30),AL1201-AM1201,"")</f>
        <v>0</v>
      </c>
      <c r="L1201" s="29" t="n">
        <f>IF(ISNUMBER(BI1201),BI1201/90,"")</f>
        <v>0</v>
      </c>
      <c r="M1201" s="28"/>
      <c r="N1201" s="28"/>
      <c r="O1201" s="28"/>
      <c r="P1201" s="30" t="str">
        <f>IF(AND(ISNUMBER(L1201),L1201&gt;0,COUNT(M1201:O1201)=3,MIN(M1201:O1201)&gt;=0),SUM(M1201:O1201)/L1201,"")</f>
      </c>
      <c r="Q1201" s="16" t="str">
        <v>沿用同SPU原计划店铺</v>
      </c>
      <c r="R1201" s="16" t="str">
        <v>已匹配</v>
      </c>
      <c r="S1201" s="16" t="str">
        <v>未匹配Listing</v>
      </c>
      <c r="T1201" s="16" t="str">
        <v>1S01</v>
      </c>
      <c r="U1201" s="16" t="str">
        <v>黑色石头纹</v>
      </c>
      <c r="V1201" s="16" t="n">
        <v>8</v>
      </c>
      <c r="W1201" s="8" t="str">
        <v>2026-10-11 至 2026-10-17</v>
      </c>
      <c r="X1201" s="8" t="str">
        <v>2026-10-11、2026-10-12、2026-10-13、2026-10-14、2026-10-15、2026-10-16、2026-10-17</v>
      </c>
      <c r="Y1201" s="8" t="str">
        <v>无</v>
      </c>
      <c r="Z1201" s="8" t="n">
        <v>0</v>
      </c>
      <c r="AA1201" s="8" t="n">
        <v>0</v>
      </c>
      <c r="AB1201" s="8" t="n">
        <v>7</v>
      </c>
      <c r="AC1201" s="8" t="str">
        <v>2026-10-02 至 2026-10-17</v>
      </c>
      <c r="AD1201" s="8" t="str">
        <v>2026-10-02、2026-10-03、2026-10-04、2026-10-05、2026-10-08、2026-10-09、2026-10-10、2026-10-11、2026-10-12、2026-10-13、2026-10-14、2026-10-15、2026-10-16、2026-10-17</v>
      </c>
      <c r="AE1201" s="8" t="str">
        <v>2026-10-06 大促；2026-10-07 大促</v>
      </c>
      <c r="AF1201" s="8" t="n">
        <v>0</v>
      </c>
      <c r="AG1201" s="8" t="n">
        <v>0</v>
      </c>
      <c r="AH1201" s="8" t="n">
        <v>14</v>
      </c>
      <c r="AI1201" s="8" t="str">
        <v>2026-09-16 至 2026-10-17</v>
      </c>
      <c r="AJ12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1" s="8" t="str">
        <v>2026-10-06 大促；2026-10-07 大促</v>
      </c>
      <c r="AL1201" s="8" t="n">
        <v>0</v>
      </c>
      <c r="AM1201" s="8" t="n">
        <v>0</v>
      </c>
      <c r="AN1201" s="8" t="n">
        <v>30</v>
      </c>
      <c r="AO1201" s="8" t="str">
        <v>1S01 / 黑色石头纹PU / 6574</v>
      </c>
      <c r="AP1201" s="11" t="n">
        <v>0.8729500662042875</v>
      </c>
      <c r="AQ1201" s="11" t="n">
        <v>0.8729500662042875</v>
      </c>
      <c r="AR1201" s="11" t="n">
        <v>1.0921363354767095</v>
      </c>
      <c r="AS1201" s="11" t="n">
        <f>IF(AND(COUNT(I1201:K1201,AP1201:AR1201)=6,MIN(AP1201:AR1201)&gt;0),I1201/7/AP1201*0.5+J1201/14/AQ1201*0.3+K1201/30/AR1201*0.2,"")</f>
        <v>0</v>
      </c>
      <c r="AT1201" s="8" t="n">
        <v>0</v>
      </c>
      <c r="AU1201" s="8" t="n">
        <v>0</v>
      </c>
      <c r="AV1201" s="8" t="n">
        <v>88</v>
      </c>
      <c r="AW1201" s="11" t="n">
        <f>IF(AND(COUNT(AT1201:AV1201)=3,AT1201&gt;=AU1201,AU1201&gt;=0,AV1201&gt;0),(AT1201-AU1201)/AV1201,"")</f>
        <v>0</v>
      </c>
      <c r="AX1201" s="8" t="n">
        <v>0</v>
      </c>
      <c r="AY1201" s="8" t="n">
        <v>0</v>
      </c>
      <c r="AZ1201" s="8" t="n">
        <v>178</v>
      </c>
      <c r="BA1201" s="11" t="n">
        <f>IF(AND(COUNT(AX1201:AZ1201)=3,AX1201&gt;=AY1201,AY1201&gt;=0,AZ1201&gt;0),(AX1201-AY1201)/AZ1201,"")</f>
        <v>0</v>
      </c>
      <c r="BB1201" s="8" t="n">
        <f>IF(COUNT(AS1201,AW1201,BA1201)=3,1,0)</f>
        <v>1</v>
      </c>
      <c r="BC1201" s="11" t="n">
        <f>IF(SUMIF($AO$11:$AO$1309,AO1201,$BB$11:$BB$1309)=COUNTIF($AO$11:$AO$1309,AO1201),SUMIF($AO$11:$AO$1309,AO1201,$AS$11:$AS$1309),"")</f>
        <v>0</v>
      </c>
      <c r="BD1201" s="11" t="n">
        <f>IF(SUMIF($AO$11:$AO$1309,AO1201,$BB$11:$BB$1309)=COUNTIF($AO$11:$AO$1309,AO1201),SUMIF($AO$11:$AO$1309,AO1201,$AW$11:$AW$1309),"")</f>
        <v>0</v>
      </c>
      <c r="BE1201" s="11" t="n">
        <f>IF(SUMIF($AO$11:$AO$1309,AO1201,$BB$11:$BB$1309)=COUNTIF($AO$11:$AO$1309,AO1201),SUMIF($AO$11:$AO$1309,AO1201,$BA$11:$BA$1309),"")</f>
        <v>0</v>
      </c>
      <c r="BF1201" s="12" t="n">
        <f>IF(COUNT(BD1201:BE1201)&lt;&gt;2,"",IF(AND(BD1201&gt;0,BE1201&gt;0),0.7*AW1201/BD1201+0.3*BA1201/BE1201,IF(BD1201&gt;0,AW1201/BD1201,IF(BE1201&gt;0,BA1201/BE1201,IF(AND(ISNUMBER(BH1201),BH1201=0),0,"")))))</f>
        <v>0</v>
      </c>
      <c r="BG1201" s="11" t="n">
        <f>IF(AND(COUNT(BN1201:BU1201)=8,MIN(BN1201:BU1201)&gt;=0),SUMPRODUCT(BN1201:BQ1201,BR1201:BU1201),"")</f>
        <v>63.935996265425516</v>
      </c>
      <c r="BH1201" s="11" t="n">
        <f>IF(COUNT(BC1201,BG1201)=2,BC1201*BG1201,"")</f>
        <v>0</v>
      </c>
      <c r="BI1201" s="11" t="n">
        <f>IF(ISNUMBER(CI1201),CI1201,"")</f>
        <v>0</v>
      </c>
      <c r="BJ1201" s="8" t="str"/>
      <c r="BK1201" s="8" t="str">
        <v>90天：2026-07-20 至 2026-10-17；180天：2026-04-21 至 2026-10-17</v>
      </c>
      <c r="BL1201" s="8" t="str">
        <v>90天：2026-10-06、2026-10-07；180天：2026-10-06、2026-10-07</v>
      </c>
      <c r="BM1201" s="8" t="str">
        <v>2026-10：12天 × 0.8729500662042875；2026-11：30天 × 0.8057375774163482；2026-12：31天 × 0.532550303142279；2027-01：17天 × 0.7517299265337036</v>
      </c>
      <c r="BN1201" s="11" t="n">
        <v>0.8729500662042875</v>
      </c>
      <c r="BO1201" s="11" t="n">
        <v>0.8057375774163482</v>
      </c>
      <c r="BP1201" s="11" t="n">
        <v>0.532550303142279</v>
      </c>
      <c r="BQ1201" s="11" t="n">
        <v>0.7517299265337036</v>
      </c>
      <c r="BR1201" s="8" t="n">
        <v>12</v>
      </c>
      <c r="BS1201" s="8" t="n">
        <v>30</v>
      </c>
      <c r="BT1201" s="8" t="n">
        <v>31</v>
      </c>
      <c r="BU1201" s="8" t="n">
        <v>17</v>
      </c>
      <c r="BV1201" s="11" t="n">
        <f>IF(COUNT(BC1201,BF1201)=2,BC1201*BF1201,"")</f>
        <v>0</v>
      </c>
      <c r="BW1201" s="11" t="n">
        <f>IF(ISNUMBER(BN1201),BN1201,"")</f>
        <v>0.8729500662042875</v>
      </c>
      <c r="BX1201" s="14" t="n">
        <f>IF(ISNUMBER(BR1201),BR1201,"")</f>
        <v>12</v>
      </c>
      <c r="BY1201" s="13" t="n">
        <f>IF(AND(COUNT(BV1201,BW1201,BX1201)=3,MIN(BV1201,BW1201,BX1201)&gt;=0),BV1201*BW1201*BX1201,"")</f>
        <v>0</v>
      </c>
      <c r="BZ1201" s="11" t="n">
        <f>IF(ISNUMBER(BO1201),BO1201,"")</f>
        <v>0.8057375774163482</v>
      </c>
      <c r="CA1201" s="14" t="n">
        <f>IF(ISNUMBER(BS1201),BS1201,"")</f>
        <v>30</v>
      </c>
      <c r="CB1201" s="13" t="n">
        <f>IF(AND(COUNT(BV1201,BZ1201,CA1201)=3,MIN(BV1201,BZ1201,CA1201)&gt;=0),BV1201*BZ1201*CA1201,"")</f>
        <v>0</v>
      </c>
      <c r="CC1201" s="11" t="n">
        <f>IF(ISNUMBER(BP1201),BP1201,"")</f>
        <v>0.532550303142279</v>
      </c>
      <c r="CD1201" s="14" t="n">
        <f>IF(ISNUMBER(BT1201),BT1201,"")</f>
        <v>31</v>
      </c>
      <c r="CE1201" s="13" t="n">
        <f>IF(AND(COUNT(BV1201,CC1201,CD1201)=3,MIN(BV1201,CC1201,CD1201)&gt;=0),BV1201*CC1201*CD1201,"")</f>
        <v>0</v>
      </c>
      <c r="CF1201" s="11" t="n">
        <f>IF(ISNUMBER(BQ1201),BQ1201,"")</f>
        <v>0.7517299265337036</v>
      </c>
      <c r="CG1201" s="14" t="n">
        <f>IF(ISNUMBER(BU1201),BU1201,"")</f>
        <v>17</v>
      </c>
      <c r="CH1201" s="13" t="n">
        <f>IF(AND(COUNT(BV1201,CF1201,CG1201)=3,MIN(BV1201,CF1201,CG1201)&gt;=0),BV1201*CF1201*CG1201,"")</f>
        <v>0</v>
      </c>
      <c r="CI1201" s="13" t="n">
        <f>IF(COUNT(BY1201,CB1201,CE1201,CH1201)=4,SUM(BY1201,CB1201,CE1201,CH1201),"")</f>
        <v>0</v>
      </c>
    </row>
    <row r="1202" ht="72" customHeight="1">
      <c r="A1202" s="16" t="str">
        <v>1S01-BKX-39.5</v>
      </c>
      <c r="B1202" s="16" t="str">
        <v>3店-SANDIEX-US</v>
      </c>
      <c r="C1202" s="16" t="str">
        <v>徐新怡</v>
      </c>
      <c r="D1202" s="26" t="str">
        <f>IF(NOT(ISNUMBER(E1202)),"",IF(OR(E1202&lt;=0,L1202=0),0,IF(OR(NOT(ISNUMBER(F1202)),F1202&lt;0),"",MIN(E1202,INT(F1202)))))</f>
      </c>
      <c r="E1202" s="27" t="str">
        <f>IF(OR(NOT(ISNUMBER(L1202)),COUNT(M1202:O1202)&lt;&gt;3,MIN(M1202:O1202)&lt;0),"",ROUNDUP(ROUND(BI1202-SUM(M1202:O1202),10),0))</f>
      </c>
      <c r="F1202" s="28"/>
      <c r="G1202" s="28" t="str">
        <f>IF(AND(ISNUMBER(D1202),ISNUMBER(E1202)),IF(OR(E1202&lt;=0,L1202=0),0,E1202-D1202),"")</f>
      </c>
      <c r="H1202" s="16" t="str">
        <f>IF(NOT(ISNUMBER(E1202)),"销量或海外库存待补",IF(OR(E1202&lt;=0,L1202=0),IF(L1202=0,"零日销，本批不发","本批无需补货"),IF(NOT(ISNUMBER(D1202)),"国内库存待补",IF(D1202=0,"国内无可用库存",IF(G1202&gt;0,"先发国内现货","按建议量发货")))))</f>
        <v>销量或海外库存待补</v>
      </c>
      <c r="I1202" s="28" t="n">
        <f>IF(AND(COUNT(Z1202,AA1202,AB1202)=3,Z1202&gt;=AA1202,AA1202&gt;=0,AB1202=7),Z1202-AA1202,"")</f>
        <v>0</v>
      </c>
      <c r="J1202" s="28" t="n">
        <f>IF(AND(COUNT(AF1202,AG1202,AH1202)=3,AF1202&gt;=AG1202,AG1202&gt;=0,AH1202=14),AF1202-AG1202,"")</f>
        <v>0</v>
      </c>
      <c r="K1202" s="28" t="n">
        <f>IF(AND(COUNT(AL1202,AM1202,AN1202)=3,AL1202&gt;=AM1202,AM1202&gt;=0,AN1202=30),AL1202-AM1202,"")</f>
        <v>0</v>
      </c>
      <c r="L1202" s="29" t="n">
        <f>IF(ISNUMBER(BI1202),BI1202/90,"")</f>
        <v>0</v>
      </c>
      <c r="M1202" s="28"/>
      <c r="N1202" s="28"/>
      <c r="O1202" s="28"/>
      <c r="P1202" s="30" t="str">
        <f>IF(AND(ISNUMBER(L1202),L1202&gt;0,COUNT(M1202:O1202)=3,MIN(M1202:O1202)&gt;=0),SUM(M1202:O1202)/L1202,"")</f>
      </c>
      <c r="Q1202" s="16" t="str">
        <v>沿用同SPU原计划店铺</v>
      </c>
      <c r="R1202" s="16" t="str">
        <v>未匹配</v>
      </c>
      <c r="S1202" s="16" t="str">
        <v>未匹配Listing</v>
      </c>
      <c r="T1202" s="16" t="str">
        <v>1S01</v>
      </c>
      <c r="U1202" s="16" t="str">
        <v>黑色石头纹</v>
      </c>
      <c r="V1202" s="16" t="n">
        <v>8.5</v>
      </c>
      <c r="W1202" s="8" t="str">
        <v>2026-10-11 至 2026-10-17</v>
      </c>
      <c r="X1202" s="8" t="str">
        <v>2026-10-11、2026-10-12、2026-10-13、2026-10-14、2026-10-15、2026-10-16、2026-10-17</v>
      </c>
      <c r="Y1202" s="8" t="str">
        <v>无</v>
      </c>
      <c r="Z1202" s="8" t="n">
        <v>0</v>
      </c>
      <c r="AA1202" s="8" t="n">
        <v>0</v>
      </c>
      <c r="AB1202" s="8" t="n">
        <v>7</v>
      </c>
      <c r="AC1202" s="8" t="str">
        <v>2026-10-02 至 2026-10-17</v>
      </c>
      <c r="AD1202" s="8" t="str">
        <v>2026-10-02、2026-10-03、2026-10-04、2026-10-05、2026-10-08、2026-10-09、2026-10-10、2026-10-11、2026-10-12、2026-10-13、2026-10-14、2026-10-15、2026-10-16、2026-10-17</v>
      </c>
      <c r="AE1202" s="8" t="str">
        <v>2026-10-06 大促；2026-10-07 大促</v>
      </c>
      <c r="AF1202" s="8" t="n">
        <v>0</v>
      </c>
      <c r="AG1202" s="8" t="n">
        <v>0</v>
      </c>
      <c r="AH1202" s="8" t="n">
        <v>14</v>
      </c>
      <c r="AI1202" s="8" t="str">
        <v>2026-09-16 至 2026-10-17</v>
      </c>
      <c r="AJ12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2" s="8" t="str">
        <v>2026-10-06 大促；2026-10-07 大促</v>
      </c>
      <c r="AL1202" s="8" t="n">
        <v>0</v>
      </c>
      <c r="AM1202" s="8" t="n">
        <v>0</v>
      </c>
      <c r="AN1202" s="8" t="n">
        <v>30</v>
      </c>
      <c r="AO1202" s="8" t="str">
        <v>1S01 / 黑色石头纹PU / 6574</v>
      </c>
      <c r="AP1202" s="11" t="n">
        <v>0.8729500662042875</v>
      </c>
      <c r="AQ1202" s="11" t="n">
        <v>0.8729500662042875</v>
      </c>
      <c r="AR1202" s="11" t="n">
        <v>1.0921363354767095</v>
      </c>
      <c r="AS1202" s="11" t="n">
        <f>IF(AND(COUNT(I1202:K1202,AP1202:AR1202)=6,MIN(AP1202:AR1202)&gt;0),I1202/7/AP1202*0.5+J1202/14/AQ1202*0.3+K1202/30/AR1202*0.2,"")</f>
        <v>0</v>
      </c>
      <c r="AT1202" s="8" t="n">
        <v>0</v>
      </c>
      <c r="AU1202" s="8" t="n">
        <v>0</v>
      </c>
      <c r="AV1202" s="8" t="n">
        <v>88</v>
      </c>
      <c r="AW1202" s="11" t="n">
        <f>IF(AND(COUNT(AT1202:AV1202)=3,AT1202&gt;=AU1202,AU1202&gt;=0,AV1202&gt;0),(AT1202-AU1202)/AV1202,"")</f>
        <v>0</v>
      </c>
      <c r="AX1202" s="8" t="n">
        <v>0</v>
      </c>
      <c r="AY1202" s="8" t="n">
        <v>0</v>
      </c>
      <c r="AZ1202" s="8" t="n">
        <v>178</v>
      </c>
      <c r="BA1202" s="11" t="n">
        <f>IF(AND(COUNT(AX1202:AZ1202)=3,AX1202&gt;=AY1202,AY1202&gt;=0,AZ1202&gt;0),(AX1202-AY1202)/AZ1202,"")</f>
        <v>0</v>
      </c>
      <c r="BB1202" s="8" t="n">
        <f>IF(COUNT(AS1202,AW1202,BA1202)=3,1,0)</f>
        <v>1</v>
      </c>
      <c r="BC1202" s="11" t="n">
        <f>IF(SUMIF($AO$11:$AO$1309,AO1202,$BB$11:$BB$1309)=COUNTIF($AO$11:$AO$1309,AO1202),SUMIF($AO$11:$AO$1309,AO1202,$AS$11:$AS$1309),"")</f>
        <v>0</v>
      </c>
      <c r="BD1202" s="11" t="n">
        <f>IF(SUMIF($AO$11:$AO$1309,AO1202,$BB$11:$BB$1309)=COUNTIF($AO$11:$AO$1309,AO1202),SUMIF($AO$11:$AO$1309,AO1202,$AW$11:$AW$1309),"")</f>
        <v>0</v>
      </c>
      <c r="BE1202" s="11" t="n">
        <f>IF(SUMIF($AO$11:$AO$1309,AO1202,$BB$11:$BB$1309)=COUNTIF($AO$11:$AO$1309,AO1202),SUMIF($AO$11:$AO$1309,AO1202,$BA$11:$BA$1309),"")</f>
        <v>0</v>
      </c>
      <c r="BF1202" s="12" t="n">
        <f>IF(COUNT(BD1202:BE1202)&lt;&gt;2,"",IF(AND(BD1202&gt;0,BE1202&gt;0),0.7*AW1202/BD1202+0.3*BA1202/BE1202,IF(BD1202&gt;0,AW1202/BD1202,IF(BE1202&gt;0,BA1202/BE1202,IF(AND(ISNUMBER(BH1202),BH1202=0),0,"")))))</f>
        <v>0</v>
      </c>
      <c r="BG1202" s="11" t="n">
        <f>IF(AND(COUNT(BN1202:BU1202)=8,MIN(BN1202:BU1202)&gt;=0),SUMPRODUCT(BN1202:BQ1202,BR1202:BU1202),"")</f>
        <v>63.935996265425516</v>
      </c>
      <c r="BH1202" s="11" t="n">
        <f>IF(COUNT(BC1202,BG1202)=2,BC1202*BG1202,"")</f>
        <v>0</v>
      </c>
      <c r="BI1202" s="11" t="n">
        <f>IF(ISNUMBER(CI1202),CI1202,"")</f>
        <v>0</v>
      </c>
      <c r="BJ1202" s="8" t="str"/>
      <c r="BK1202" s="8" t="str">
        <v>90天：2026-07-20 至 2026-10-17；180天：2026-04-21 至 2026-10-17</v>
      </c>
      <c r="BL1202" s="8" t="str">
        <v>90天：2026-10-06、2026-10-07；180天：2026-10-06、2026-10-07</v>
      </c>
      <c r="BM1202" s="8" t="str">
        <v>2026-10：12天 × 0.8729500662042875；2026-11：30天 × 0.8057375774163482；2026-12：31天 × 0.532550303142279；2027-01：17天 × 0.7517299265337036</v>
      </c>
      <c r="BN1202" s="11" t="n">
        <v>0.8729500662042875</v>
      </c>
      <c r="BO1202" s="11" t="n">
        <v>0.8057375774163482</v>
      </c>
      <c r="BP1202" s="11" t="n">
        <v>0.532550303142279</v>
      </c>
      <c r="BQ1202" s="11" t="n">
        <v>0.7517299265337036</v>
      </c>
      <c r="BR1202" s="8" t="n">
        <v>12</v>
      </c>
      <c r="BS1202" s="8" t="n">
        <v>30</v>
      </c>
      <c r="BT1202" s="8" t="n">
        <v>31</v>
      </c>
      <c r="BU1202" s="8" t="n">
        <v>17</v>
      </c>
      <c r="BV1202" s="11" t="n">
        <f>IF(COUNT(BC1202,BF1202)=2,BC1202*BF1202,"")</f>
        <v>0</v>
      </c>
      <c r="BW1202" s="11" t="n">
        <f>IF(ISNUMBER(BN1202),BN1202,"")</f>
        <v>0.8729500662042875</v>
      </c>
      <c r="BX1202" s="14" t="n">
        <f>IF(ISNUMBER(BR1202),BR1202,"")</f>
        <v>12</v>
      </c>
      <c r="BY1202" s="13" t="n">
        <f>IF(AND(COUNT(BV1202,BW1202,BX1202)=3,MIN(BV1202,BW1202,BX1202)&gt;=0),BV1202*BW1202*BX1202,"")</f>
        <v>0</v>
      </c>
      <c r="BZ1202" s="11" t="n">
        <f>IF(ISNUMBER(BO1202),BO1202,"")</f>
        <v>0.8057375774163482</v>
      </c>
      <c r="CA1202" s="14" t="n">
        <f>IF(ISNUMBER(BS1202),BS1202,"")</f>
        <v>30</v>
      </c>
      <c r="CB1202" s="13" t="n">
        <f>IF(AND(COUNT(BV1202,BZ1202,CA1202)=3,MIN(BV1202,BZ1202,CA1202)&gt;=0),BV1202*BZ1202*CA1202,"")</f>
        <v>0</v>
      </c>
      <c r="CC1202" s="11" t="n">
        <f>IF(ISNUMBER(BP1202),BP1202,"")</f>
        <v>0.532550303142279</v>
      </c>
      <c r="CD1202" s="14" t="n">
        <f>IF(ISNUMBER(BT1202),BT1202,"")</f>
        <v>31</v>
      </c>
      <c r="CE1202" s="13" t="n">
        <f>IF(AND(COUNT(BV1202,CC1202,CD1202)=3,MIN(BV1202,CC1202,CD1202)&gt;=0),BV1202*CC1202*CD1202,"")</f>
        <v>0</v>
      </c>
      <c r="CF1202" s="11" t="n">
        <f>IF(ISNUMBER(BQ1202),BQ1202,"")</f>
        <v>0.7517299265337036</v>
      </c>
      <c r="CG1202" s="14" t="n">
        <f>IF(ISNUMBER(BU1202),BU1202,"")</f>
        <v>17</v>
      </c>
      <c r="CH1202" s="13" t="n">
        <f>IF(AND(COUNT(BV1202,CF1202,CG1202)=3,MIN(BV1202,CF1202,CG1202)&gt;=0),BV1202*CF1202*CG1202,"")</f>
        <v>0</v>
      </c>
      <c r="CI1202" s="13" t="n">
        <f>IF(COUNT(BY1202,CB1202,CE1202,CH1202)=4,SUM(BY1202,CB1202,CE1202,CH1202),"")</f>
        <v>0</v>
      </c>
    </row>
    <row r="1203" ht="72" customHeight="1">
      <c r="A1203" s="16" t="str">
        <v>1S01-BKX-40</v>
      </c>
      <c r="B1203" s="16" t="str">
        <v>3店-SANDIEX-US</v>
      </c>
      <c r="C1203" s="16" t="str">
        <v>徐新怡</v>
      </c>
      <c r="D1203" s="26" t="str">
        <f>IF(NOT(ISNUMBER(E1203)),"",IF(OR(E1203&lt;=0,L1203=0),0,IF(OR(NOT(ISNUMBER(F1203)),F1203&lt;0),"",MIN(E1203,INT(F1203)))))</f>
      </c>
      <c r="E1203" s="27" t="str">
        <f>IF(OR(NOT(ISNUMBER(L1203)),COUNT(M1203:O1203)&lt;&gt;3,MIN(M1203:O1203)&lt;0),"",ROUNDUP(ROUND(BI1203-SUM(M1203:O1203),10),0))</f>
      </c>
      <c r="F1203" s="28" t="n">
        <v>0</v>
      </c>
      <c r="G1203" s="28" t="str">
        <f>IF(AND(ISNUMBER(D1203),ISNUMBER(E1203)),IF(OR(E1203&lt;=0,L1203=0),0,E1203-D1203),"")</f>
      </c>
      <c r="H1203" s="16" t="str">
        <f>IF(NOT(ISNUMBER(E1203)),"销量或海外库存待补",IF(OR(E1203&lt;=0,L1203=0),IF(L1203=0,"零日销，本批不发","本批无需补货"),IF(NOT(ISNUMBER(D1203)),"国内库存待补",IF(D1203=0,"国内无可用库存",IF(G1203&gt;0,"先发国内现货","按建议量发货")))))</f>
        <v>销量或海外库存待补</v>
      </c>
      <c r="I1203" s="28" t="n">
        <f>IF(AND(COUNT(Z1203,AA1203,AB1203)=3,Z1203&gt;=AA1203,AA1203&gt;=0,AB1203=7),Z1203-AA1203,"")</f>
        <v>0</v>
      </c>
      <c r="J1203" s="28" t="n">
        <f>IF(AND(COUNT(AF1203,AG1203,AH1203)=3,AF1203&gt;=AG1203,AG1203&gt;=0,AH1203=14),AF1203-AG1203,"")</f>
        <v>0</v>
      </c>
      <c r="K1203" s="28" t="n">
        <f>IF(AND(COUNT(AL1203,AM1203,AN1203)=3,AL1203&gt;=AM1203,AM1203&gt;=0,AN1203=30),AL1203-AM1203,"")</f>
        <v>0</v>
      </c>
      <c r="L1203" s="29" t="n">
        <f>IF(ISNUMBER(BI1203),BI1203/90,"")</f>
        <v>0</v>
      </c>
      <c r="M1203" s="28"/>
      <c r="N1203" s="28"/>
      <c r="O1203" s="28"/>
      <c r="P1203" s="30" t="str">
        <f>IF(AND(ISNUMBER(L1203),L1203&gt;0,COUNT(M1203:O1203)=3,MIN(M1203:O1203)&gt;=0),SUM(M1203:O1203)/L1203,"")</f>
      </c>
      <c r="Q1203" s="16" t="str">
        <v>沿用同SPU原计划店铺</v>
      </c>
      <c r="R1203" s="16" t="str">
        <v>已匹配</v>
      </c>
      <c r="S1203" s="16" t="str">
        <v>未匹配Listing</v>
      </c>
      <c r="T1203" s="16" t="str">
        <v>1S01</v>
      </c>
      <c r="U1203" s="16" t="str">
        <v>黑色石头纹</v>
      </c>
      <c r="V1203" s="16" t="n">
        <v>9</v>
      </c>
      <c r="W1203" s="8" t="str">
        <v>2026-10-11 至 2026-10-17</v>
      </c>
      <c r="X1203" s="8" t="str">
        <v>2026-10-11、2026-10-12、2026-10-13、2026-10-14、2026-10-15、2026-10-16、2026-10-17</v>
      </c>
      <c r="Y1203" s="8" t="str">
        <v>无</v>
      </c>
      <c r="Z1203" s="8" t="n">
        <v>0</v>
      </c>
      <c r="AA1203" s="8" t="n">
        <v>0</v>
      </c>
      <c r="AB1203" s="8" t="n">
        <v>7</v>
      </c>
      <c r="AC1203" s="8" t="str">
        <v>2026-10-02 至 2026-10-17</v>
      </c>
      <c r="AD1203" s="8" t="str">
        <v>2026-10-02、2026-10-03、2026-10-04、2026-10-05、2026-10-08、2026-10-09、2026-10-10、2026-10-11、2026-10-12、2026-10-13、2026-10-14、2026-10-15、2026-10-16、2026-10-17</v>
      </c>
      <c r="AE1203" s="8" t="str">
        <v>2026-10-06 大促；2026-10-07 大促</v>
      </c>
      <c r="AF1203" s="8" t="n">
        <v>0</v>
      </c>
      <c r="AG1203" s="8" t="n">
        <v>0</v>
      </c>
      <c r="AH1203" s="8" t="n">
        <v>14</v>
      </c>
      <c r="AI1203" s="8" t="str">
        <v>2026-09-16 至 2026-10-17</v>
      </c>
      <c r="AJ12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3" s="8" t="str">
        <v>2026-10-06 大促；2026-10-07 大促</v>
      </c>
      <c r="AL1203" s="8" t="n">
        <v>0</v>
      </c>
      <c r="AM1203" s="8" t="n">
        <v>0</v>
      </c>
      <c r="AN1203" s="8" t="n">
        <v>30</v>
      </c>
      <c r="AO1203" s="8" t="str">
        <v>1S01 / 黑色石头纹PU / 6574</v>
      </c>
      <c r="AP1203" s="11" t="n">
        <v>0.8729500662042875</v>
      </c>
      <c r="AQ1203" s="11" t="n">
        <v>0.8729500662042875</v>
      </c>
      <c r="AR1203" s="11" t="n">
        <v>1.0921363354767095</v>
      </c>
      <c r="AS1203" s="11" t="n">
        <f>IF(AND(COUNT(I1203:K1203,AP1203:AR1203)=6,MIN(AP1203:AR1203)&gt;0),I1203/7/AP1203*0.5+J1203/14/AQ1203*0.3+K1203/30/AR1203*0.2,"")</f>
        <v>0</v>
      </c>
      <c r="AT1203" s="8" t="n">
        <v>0</v>
      </c>
      <c r="AU1203" s="8" t="n">
        <v>0</v>
      </c>
      <c r="AV1203" s="8" t="n">
        <v>88</v>
      </c>
      <c r="AW1203" s="11" t="n">
        <f>IF(AND(COUNT(AT1203:AV1203)=3,AT1203&gt;=AU1203,AU1203&gt;=0,AV1203&gt;0),(AT1203-AU1203)/AV1203,"")</f>
        <v>0</v>
      </c>
      <c r="AX1203" s="8" t="n">
        <v>0</v>
      </c>
      <c r="AY1203" s="8" t="n">
        <v>0</v>
      </c>
      <c r="AZ1203" s="8" t="n">
        <v>178</v>
      </c>
      <c r="BA1203" s="11" t="n">
        <f>IF(AND(COUNT(AX1203:AZ1203)=3,AX1203&gt;=AY1203,AY1203&gt;=0,AZ1203&gt;0),(AX1203-AY1203)/AZ1203,"")</f>
        <v>0</v>
      </c>
      <c r="BB1203" s="8" t="n">
        <f>IF(COUNT(AS1203,AW1203,BA1203)=3,1,0)</f>
        <v>1</v>
      </c>
      <c r="BC1203" s="11" t="n">
        <f>IF(SUMIF($AO$11:$AO$1309,AO1203,$BB$11:$BB$1309)=COUNTIF($AO$11:$AO$1309,AO1203),SUMIF($AO$11:$AO$1309,AO1203,$AS$11:$AS$1309),"")</f>
        <v>0</v>
      </c>
      <c r="BD1203" s="11" t="n">
        <f>IF(SUMIF($AO$11:$AO$1309,AO1203,$BB$11:$BB$1309)=COUNTIF($AO$11:$AO$1309,AO1203),SUMIF($AO$11:$AO$1309,AO1203,$AW$11:$AW$1309),"")</f>
        <v>0</v>
      </c>
      <c r="BE1203" s="11" t="n">
        <f>IF(SUMIF($AO$11:$AO$1309,AO1203,$BB$11:$BB$1309)=COUNTIF($AO$11:$AO$1309,AO1203),SUMIF($AO$11:$AO$1309,AO1203,$BA$11:$BA$1309),"")</f>
        <v>0</v>
      </c>
      <c r="BF1203" s="12" t="n">
        <f>IF(COUNT(BD1203:BE1203)&lt;&gt;2,"",IF(AND(BD1203&gt;0,BE1203&gt;0),0.7*AW1203/BD1203+0.3*BA1203/BE1203,IF(BD1203&gt;0,AW1203/BD1203,IF(BE1203&gt;0,BA1203/BE1203,IF(AND(ISNUMBER(BH1203),BH1203=0),0,"")))))</f>
        <v>0</v>
      </c>
      <c r="BG1203" s="11" t="n">
        <f>IF(AND(COUNT(BN1203:BU1203)=8,MIN(BN1203:BU1203)&gt;=0),SUMPRODUCT(BN1203:BQ1203,BR1203:BU1203),"")</f>
        <v>63.935996265425516</v>
      </c>
      <c r="BH1203" s="11" t="n">
        <f>IF(COUNT(BC1203,BG1203)=2,BC1203*BG1203,"")</f>
        <v>0</v>
      </c>
      <c r="BI1203" s="11" t="n">
        <f>IF(ISNUMBER(CI1203),CI1203,"")</f>
        <v>0</v>
      </c>
      <c r="BJ1203" s="8" t="str"/>
      <c r="BK1203" s="8" t="str">
        <v>90天：2026-07-20 至 2026-10-17；180天：2026-04-21 至 2026-10-17</v>
      </c>
      <c r="BL1203" s="8" t="str">
        <v>90天：2026-10-06、2026-10-07；180天：2026-10-06、2026-10-07</v>
      </c>
      <c r="BM1203" s="8" t="str">
        <v>2026-10：12天 × 0.8729500662042875；2026-11：30天 × 0.8057375774163482；2026-12：31天 × 0.532550303142279；2027-01：17天 × 0.7517299265337036</v>
      </c>
      <c r="BN1203" s="11" t="n">
        <v>0.8729500662042875</v>
      </c>
      <c r="BO1203" s="11" t="n">
        <v>0.8057375774163482</v>
      </c>
      <c r="BP1203" s="11" t="n">
        <v>0.532550303142279</v>
      </c>
      <c r="BQ1203" s="11" t="n">
        <v>0.7517299265337036</v>
      </c>
      <c r="BR1203" s="8" t="n">
        <v>12</v>
      </c>
      <c r="BS1203" s="8" t="n">
        <v>30</v>
      </c>
      <c r="BT1203" s="8" t="n">
        <v>31</v>
      </c>
      <c r="BU1203" s="8" t="n">
        <v>17</v>
      </c>
      <c r="BV1203" s="11" t="n">
        <f>IF(COUNT(BC1203,BF1203)=2,BC1203*BF1203,"")</f>
        <v>0</v>
      </c>
      <c r="BW1203" s="11" t="n">
        <f>IF(ISNUMBER(BN1203),BN1203,"")</f>
        <v>0.8729500662042875</v>
      </c>
      <c r="BX1203" s="14" t="n">
        <f>IF(ISNUMBER(BR1203),BR1203,"")</f>
        <v>12</v>
      </c>
      <c r="BY1203" s="13" t="n">
        <f>IF(AND(COUNT(BV1203,BW1203,BX1203)=3,MIN(BV1203,BW1203,BX1203)&gt;=0),BV1203*BW1203*BX1203,"")</f>
        <v>0</v>
      </c>
      <c r="BZ1203" s="11" t="n">
        <f>IF(ISNUMBER(BO1203),BO1203,"")</f>
        <v>0.8057375774163482</v>
      </c>
      <c r="CA1203" s="14" t="n">
        <f>IF(ISNUMBER(BS1203),BS1203,"")</f>
        <v>30</v>
      </c>
      <c r="CB1203" s="13" t="n">
        <f>IF(AND(COUNT(BV1203,BZ1203,CA1203)=3,MIN(BV1203,BZ1203,CA1203)&gt;=0),BV1203*BZ1203*CA1203,"")</f>
        <v>0</v>
      </c>
      <c r="CC1203" s="11" t="n">
        <f>IF(ISNUMBER(BP1203),BP1203,"")</f>
        <v>0.532550303142279</v>
      </c>
      <c r="CD1203" s="14" t="n">
        <f>IF(ISNUMBER(BT1203),BT1203,"")</f>
        <v>31</v>
      </c>
      <c r="CE1203" s="13" t="n">
        <f>IF(AND(COUNT(BV1203,CC1203,CD1203)=3,MIN(BV1203,CC1203,CD1203)&gt;=0),BV1203*CC1203*CD1203,"")</f>
        <v>0</v>
      </c>
      <c r="CF1203" s="11" t="n">
        <f>IF(ISNUMBER(BQ1203),BQ1203,"")</f>
        <v>0.7517299265337036</v>
      </c>
      <c r="CG1203" s="14" t="n">
        <f>IF(ISNUMBER(BU1203),BU1203,"")</f>
        <v>17</v>
      </c>
      <c r="CH1203" s="13" t="n">
        <f>IF(AND(COUNT(BV1203,CF1203,CG1203)=3,MIN(BV1203,CF1203,CG1203)&gt;=0),BV1203*CF1203*CG1203,"")</f>
        <v>0</v>
      </c>
      <c r="CI1203" s="13" t="n">
        <f>IF(COUNT(BY1203,CB1203,CE1203,CH1203)=4,SUM(BY1203,CB1203,CE1203,CH1203),"")</f>
        <v>0</v>
      </c>
    </row>
    <row r="1204" ht="72" customHeight="1">
      <c r="A1204" s="16" t="str">
        <v>1S01-BKX-40.5</v>
      </c>
      <c r="B1204" s="16" t="str">
        <v>3店-SANDIEX-US</v>
      </c>
      <c r="C1204" s="16" t="str">
        <v>徐新怡</v>
      </c>
      <c r="D1204" s="26" t="str">
        <f>IF(NOT(ISNUMBER(E1204)),"",IF(OR(E1204&lt;=0,L1204=0),0,IF(OR(NOT(ISNUMBER(F1204)),F1204&lt;0),"",MIN(E1204,INT(F1204)))))</f>
      </c>
      <c r="E1204" s="27" t="str">
        <f>IF(OR(NOT(ISNUMBER(L1204)),COUNT(M1204:O1204)&lt;&gt;3,MIN(M1204:O1204)&lt;0),"",ROUNDUP(ROUND(BI1204-SUM(M1204:O1204),10),0))</f>
      </c>
      <c r="F1204" s="28"/>
      <c r="G1204" s="28" t="str">
        <f>IF(AND(ISNUMBER(D1204),ISNUMBER(E1204)),IF(OR(E1204&lt;=0,L1204=0),0,E1204-D1204),"")</f>
      </c>
      <c r="H1204" s="16" t="str">
        <f>IF(NOT(ISNUMBER(E1204)),"销量或海外库存待补",IF(OR(E1204&lt;=0,L1204=0),IF(L1204=0,"零日销，本批不发","本批无需补货"),IF(NOT(ISNUMBER(D1204)),"国内库存待补",IF(D1204=0,"国内无可用库存",IF(G1204&gt;0,"先发国内现货","按建议量发货")))))</f>
        <v>销量或海外库存待补</v>
      </c>
      <c r="I1204" s="28" t="n">
        <f>IF(AND(COUNT(Z1204,AA1204,AB1204)=3,Z1204&gt;=AA1204,AA1204&gt;=0,AB1204=7),Z1204-AA1204,"")</f>
        <v>0</v>
      </c>
      <c r="J1204" s="28" t="n">
        <f>IF(AND(COUNT(AF1204,AG1204,AH1204)=3,AF1204&gt;=AG1204,AG1204&gt;=0,AH1204=14),AF1204-AG1204,"")</f>
        <v>0</v>
      </c>
      <c r="K1204" s="28" t="n">
        <f>IF(AND(COUNT(AL1204,AM1204,AN1204)=3,AL1204&gt;=AM1204,AM1204&gt;=0,AN1204=30),AL1204-AM1204,"")</f>
        <v>0</v>
      </c>
      <c r="L1204" s="29" t="n">
        <f>IF(ISNUMBER(BI1204),BI1204/90,"")</f>
        <v>0</v>
      </c>
      <c r="M1204" s="28"/>
      <c r="N1204" s="28"/>
      <c r="O1204" s="28"/>
      <c r="P1204" s="30" t="str">
        <f>IF(AND(ISNUMBER(L1204),L1204&gt;0,COUNT(M1204:O1204)=3,MIN(M1204:O1204)&gt;=0),SUM(M1204:O1204)/L1204,"")</f>
      </c>
      <c r="Q1204" s="16" t="str">
        <v>沿用同SPU原计划店铺</v>
      </c>
      <c r="R1204" s="16" t="str">
        <v>未匹配</v>
      </c>
      <c r="S1204" s="16" t="str">
        <v>未匹配Listing</v>
      </c>
      <c r="T1204" s="16" t="str">
        <v>1S01</v>
      </c>
      <c r="U1204" s="16" t="str">
        <v>黑色石头纹</v>
      </c>
      <c r="V1204" s="16" t="n">
        <v>9.5</v>
      </c>
      <c r="W1204" s="8" t="str">
        <v>2026-10-11 至 2026-10-17</v>
      </c>
      <c r="X1204" s="8" t="str">
        <v>2026-10-11、2026-10-12、2026-10-13、2026-10-14、2026-10-15、2026-10-16、2026-10-17</v>
      </c>
      <c r="Y1204" s="8" t="str">
        <v>无</v>
      </c>
      <c r="Z1204" s="8" t="n">
        <v>0</v>
      </c>
      <c r="AA1204" s="8" t="n">
        <v>0</v>
      </c>
      <c r="AB1204" s="8" t="n">
        <v>7</v>
      </c>
      <c r="AC1204" s="8" t="str">
        <v>2026-10-02 至 2026-10-17</v>
      </c>
      <c r="AD1204" s="8" t="str">
        <v>2026-10-02、2026-10-03、2026-10-04、2026-10-05、2026-10-08、2026-10-09、2026-10-10、2026-10-11、2026-10-12、2026-10-13、2026-10-14、2026-10-15、2026-10-16、2026-10-17</v>
      </c>
      <c r="AE1204" s="8" t="str">
        <v>2026-10-06 大促；2026-10-07 大促</v>
      </c>
      <c r="AF1204" s="8" t="n">
        <v>0</v>
      </c>
      <c r="AG1204" s="8" t="n">
        <v>0</v>
      </c>
      <c r="AH1204" s="8" t="n">
        <v>14</v>
      </c>
      <c r="AI1204" s="8" t="str">
        <v>2026-09-16 至 2026-10-17</v>
      </c>
      <c r="AJ12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4" s="8" t="str">
        <v>2026-10-06 大促；2026-10-07 大促</v>
      </c>
      <c r="AL1204" s="8" t="n">
        <v>0</v>
      </c>
      <c r="AM1204" s="8" t="n">
        <v>0</v>
      </c>
      <c r="AN1204" s="8" t="n">
        <v>30</v>
      </c>
      <c r="AO1204" s="8" t="str">
        <v>1S01 / 黑色石头纹PU / 6574</v>
      </c>
      <c r="AP1204" s="11" t="n">
        <v>0.8729500662042875</v>
      </c>
      <c r="AQ1204" s="11" t="n">
        <v>0.8729500662042875</v>
      </c>
      <c r="AR1204" s="11" t="n">
        <v>1.0921363354767095</v>
      </c>
      <c r="AS1204" s="11" t="n">
        <f>IF(AND(COUNT(I1204:K1204,AP1204:AR1204)=6,MIN(AP1204:AR1204)&gt;0),I1204/7/AP1204*0.5+J1204/14/AQ1204*0.3+K1204/30/AR1204*0.2,"")</f>
        <v>0</v>
      </c>
      <c r="AT1204" s="8" t="n">
        <v>0</v>
      </c>
      <c r="AU1204" s="8" t="n">
        <v>0</v>
      </c>
      <c r="AV1204" s="8" t="n">
        <v>88</v>
      </c>
      <c r="AW1204" s="11" t="n">
        <f>IF(AND(COUNT(AT1204:AV1204)=3,AT1204&gt;=AU1204,AU1204&gt;=0,AV1204&gt;0),(AT1204-AU1204)/AV1204,"")</f>
        <v>0</v>
      </c>
      <c r="AX1204" s="8" t="n">
        <v>0</v>
      </c>
      <c r="AY1204" s="8" t="n">
        <v>0</v>
      </c>
      <c r="AZ1204" s="8" t="n">
        <v>178</v>
      </c>
      <c r="BA1204" s="11" t="n">
        <f>IF(AND(COUNT(AX1204:AZ1204)=3,AX1204&gt;=AY1204,AY1204&gt;=0,AZ1204&gt;0),(AX1204-AY1204)/AZ1204,"")</f>
        <v>0</v>
      </c>
      <c r="BB1204" s="8" t="n">
        <f>IF(COUNT(AS1204,AW1204,BA1204)=3,1,0)</f>
        <v>1</v>
      </c>
      <c r="BC1204" s="11" t="n">
        <f>IF(SUMIF($AO$11:$AO$1309,AO1204,$BB$11:$BB$1309)=COUNTIF($AO$11:$AO$1309,AO1204),SUMIF($AO$11:$AO$1309,AO1204,$AS$11:$AS$1309),"")</f>
        <v>0</v>
      </c>
      <c r="BD1204" s="11" t="n">
        <f>IF(SUMIF($AO$11:$AO$1309,AO1204,$BB$11:$BB$1309)=COUNTIF($AO$11:$AO$1309,AO1204),SUMIF($AO$11:$AO$1309,AO1204,$AW$11:$AW$1309),"")</f>
        <v>0</v>
      </c>
      <c r="BE1204" s="11" t="n">
        <f>IF(SUMIF($AO$11:$AO$1309,AO1204,$BB$11:$BB$1309)=COUNTIF($AO$11:$AO$1309,AO1204),SUMIF($AO$11:$AO$1309,AO1204,$BA$11:$BA$1309),"")</f>
        <v>0</v>
      </c>
      <c r="BF1204" s="12" t="n">
        <f>IF(COUNT(BD1204:BE1204)&lt;&gt;2,"",IF(AND(BD1204&gt;0,BE1204&gt;0),0.7*AW1204/BD1204+0.3*BA1204/BE1204,IF(BD1204&gt;0,AW1204/BD1204,IF(BE1204&gt;0,BA1204/BE1204,IF(AND(ISNUMBER(BH1204),BH1204=0),0,"")))))</f>
        <v>0</v>
      </c>
      <c r="BG1204" s="11" t="n">
        <f>IF(AND(COUNT(BN1204:BU1204)=8,MIN(BN1204:BU1204)&gt;=0),SUMPRODUCT(BN1204:BQ1204,BR1204:BU1204),"")</f>
        <v>63.935996265425516</v>
      </c>
      <c r="BH1204" s="11" t="n">
        <f>IF(COUNT(BC1204,BG1204)=2,BC1204*BG1204,"")</f>
        <v>0</v>
      </c>
      <c r="BI1204" s="11" t="n">
        <f>IF(ISNUMBER(CI1204),CI1204,"")</f>
        <v>0</v>
      </c>
      <c r="BJ1204" s="8" t="str"/>
      <c r="BK1204" s="8" t="str">
        <v>90天：2026-07-20 至 2026-10-17；180天：2026-04-21 至 2026-10-17</v>
      </c>
      <c r="BL1204" s="8" t="str">
        <v>90天：2026-10-06、2026-10-07；180天：2026-10-06、2026-10-07</v>
      </c>
      <c r="BM1204" s="8" t="str">
        <v>2026-10：12天 × 0.8729500662042875；2026-11：30天 × 0.8057375774163482；2026-12：31天 × 0.532550303142279；2027-01：17天 × 0.7517299265337036</v>
      </c>
      <c r="BN1204" s="11" t="n">
        <v>0.8729500662042875</v>
      </c>
      <c r="BO1204" s="11" t="n">
        <v>0.8057375774163482</v>
      </c>
      <c r="BP1204" s="11" t="n">
        <v>0.532550303142279</v>
      </c>
      <c r="BQ1204" s="11" t="n">
        <v>0.7517299265337036</v>
      </c>
      <c r="BR1204" s="8" t="n">
        <v>12</v>
      </c>
      <c r="BS1204" s="8" t="n">
        <v>30</v>
      </c>
      <c r="BT1204" s="8" t="n">
        <v>31</v>
      </c>
      <c r="BU1204" s="8" t="n">
        <v>17</v>
      </c>
      <c r="BV1204" s="11" t="n">
        <f>IF(COUNT(BC1204,BF1204)=2,BC1204*BF1204,"")</f>
        <v>0</v>
      </c>
      <c r="BW1204" s="11" t="n">
        <f>IF(ISNUMBER(BN1204),BN1204,"")</f>
        <v>0.8729500662042875</v>
      </c>
      <c r="BX1204" s="14" t="n">
        <f>IF(ISNUMBER(BR1204),BR1204,"")</f>
        <v>12</v>
      </c>
      <c r="BY1204" s="13" t="n">
        <f>IF(AND(COUNT(BV1204,BW1204,BX1204)=3,MIN(BV1204,BW1204,BX1204)&gt;=0),BV1204*BW1204*BX1204,"")</f>
        <v>0</v>
      </c>
      <c r="BZ1204" s="11" t="n">
        <f>IF(ISNUMBER(BO1204),BO1204,"")</f>
        <v>0.8057375774163482</v>
      </c>
      <c r="CA1204" s="14" t="n">
        <f>IF(ISNUMBER(BS1204),BS1204,"")</f>
        <v>30</v>
      </c>
      <c r="CB1204" s="13" t="n">
        <f>IF(AND(COUNT(BV1204,BZ1204,CA1204)=3,MIN(BV1204,BZ1204,CA1204)&gt;=0),BV1204*BZ1204*CA1204,"")</f>
        <v>0</v>
      </c>
      <c r="CC1204" s="11" t="n">
        <f>IF(ISNUMBER(BP1204),BP1204,"")</f>
        <v>0.532550303142279</v>
      </c>
      <c r="CD1204" s="14" t="n">
        <f>IF(ISNUMBER(BT1204),BT1204,"")</f>
        <v>31</v>
      </c>
      <c r="CE1204" s="13" t="n">
        <f>IF(AND(COUNT(BV1204,CC1204,CD1204)=3,MIN(BV1204,CC1204,CD1204)&gt;=0),BV1204*CC1204*CD1204,"")</f>
        <v>0</v>
      </c>
      <c r="CF1204" s="11" t="n">
        <f>IF(ISNUMBER(BQ1204),BQ1204,"")</f>
        <v>0.7517299265337036</v>
      </c>
      <c r="CG1204" s="14" t="n">
        <f>IF(ISNUMBER(BU1204),BU1204,"")</f>
        <v>17</v>
      </c>
      <c r="CH1204" s="13" t="n">
        <f>IF(AND(COUNT(BV1204,CF1204,CG1204)=3,MIN(BV1204,CF1204,CG1204)&gt;=0),BV1204*CF1204*CG1204,"")</f>
        <v>0</v>
      </c>
      <c r="CI1204" s="13" t="n">
        <f>IF(COUNT(BY1204,CB1204,CE1204,CH1204)=4,SUM(BY1204,CB1204,CE1204,CH1204),"")</f>
        <v>0</v>
      </c>
    </row>
    <row r="1205" ht="72" customHeight="1">
      <c r="A1205" s="16" t="str">
        <v>1S01-BKX-41</v>
      </c>
      <c r="B1205" s="16" t="str">
        <v>3店-SANDIEX-US</v>
      </c>
      <c r="C1205" s="16" t="str">
        <v>徐新怡</v>
      </c>
      <c r="D1205" s="26" t="str">
        <f>IF(NOT(ISNUMBER(E1205)),"",IF(OR(E1205&lt;=0,L1205=0),0,IF(OR(NOT(ISNUMBER(F1205)),F1205&lt;0),"",MIN(E1205,INT(F1205)))))</f>
      </c>
      <c r="E1205" s="27" t="str">
        <f>IF(OR(NOT(ISNUMBER(L1205)),COUNT(M1205:O1205)&lt;&gt;3,MIN(M1205:O1205)&lt;0),"",ROUNDUP(ROUND(BI1205-SUM(M1205:O1205),10),0))</f>
      </c>
      <c r="F1205" s="28" t="n">
        <v>0</v>
      </c>
      <c r="G1205" s="28" t="str">
        <f>IF(AND(ISNUMBER(D1205),ISNUMBER(E1205)),IF(OR(E1205&lt;=0,L1205=0),0,E1205-D1205),"")</f>
      </c>
      <c r="H1205" s="16" t="str">
        <f>IF(NOT(ISNUMBER(E1205)),"销量或海外库存待补",IF(OR(E1205&lt;=0,L1205=0),IF(L1205=0,"零日销，本批不发","本批无需补货"),IF(NOT(ISNUMBER(D1205)),"国内库存待补",IF(D1205=0,"国内无可用库存",IF(G1205&gt;0,"先发国内现货","按建议量发货")))))</f>
        <v>销量或海外库存待补</v>
      </c>
      <c r="I1205" s="28" t="n">
        <f>IF(AND(COUNT(Z1205,AA1205,AB1205)=3,Z1205&gt;=AA1205,AA1205&gt;=0,AB1205=7),Z1205-AA1205,"")</f>
        <v>0</v>
      </c>
      <c r="J1205" s="28" t="n">
        <f>IF(AND(COUNT(AF1205,AG1205,AH1205)=3,AF1205&gt;=AG1205,AG1205&gt;=0,AH1205=14),AF1205-AG1205,"")</f>
        <v>0</v>
      </c>
      <c r="K1205" s="28" t="n">
        <f>IF(AND(COUNT(AL1205,AM1205,AN1205)=3,AL1205&gt;=AM1205,AM1205&gt;=0,AN1205=30),AL1205-AM1205,"")</f>
        <v>0</v>
      </c>
      <c r="L1205" s="29" t="n">
        <f>IF(ISNUMBER(BI1205),BI1205/90,"")</f>
        <v>0</v>
      </c>
      <c r="M1205" s="28"/>
      <c r="N1205" s="28"/>
      <c r="O1205" s="28"/>
      <c r="P1205" s="30" t="str">
        <f>IF(AND(ISNUMBER(L1205),L1205&gt;0,COUNT(M1205:O1205)=3,MIN(M1205:O1205)&gt;=0),SUM(M1205:O1205)/L1205,"")</f>
      </c>
      <c r="Q1205" s="16" t="str">
        <v>沿用同SPU原计划店铺</v>
      </c>
      <c r="R1205" s="16" t="str">
        <v>已匹配</v>
      </c>
      <c r="S1205" s="16" t="str">
        <v>未匹配Listing</v>
      </c>
      <c r="T1205" s="16" t="str">
        <v>1S01</v>
      </c>
      <c r="U1205" s="16" t="str">
        <v>黑色石头纹</v>
      </c>
      <c r="V1205" s="16" t="n">
        <v>10</v>
      </c>
      <c r="W1205" s="8" t="str">
        <v>2026-10-11 至 2026-10-17</v>
      </c>
      <c r="X1205" s="8" t="str">
        <v>2026-10-11、2026-10-12、2026-10-13、2026-10-14、2026-10-15、2026-10-16、2026-10-17</v>
      </c>
      <c r="Y1205" s="8" t="str">
        <v>无</v>
      </c>
      <c r="Z1205" s="8" t="n">
        <v>0</v>
      </c>
      <c r="AA1205" s="8" t="n">
        <v>0</v>
      </c>
      <c r="AB1205" s="8" t="n">
        <v>7</v>
      </c>
      <c r="AC1205" s="8" t="str">
        <v>2026-10-02 至 2026-10-17</v>
      </c>
      <c r="AD1205" s="8" t="str">
        <v>2026-10-02、2026-10-03、2026-10-04、2026-10-05、2026-10-08、2026-10-09、2026-10-10、2026-10-11、2026-10-12、2026-10-13、2026-10-14、2026-10-15、2026-10-16、2026-10-17</v>
      </c>
      <c r="AE1205" s="8" t="str">
        <v>2026-10-06 大促；2026-10-07 大促</v>
      </c>
      <c r="AF1205" s="8" t="n">
        <v>0</v>
      </c>
      <c r="AG1205" s="8" t="n">
        <v>0</v>
      </c>
      <c r="AH1205" s="8" t="n">
        <v>14</v>
      </c>
      <c r="AI1205" s="8" t="str">
        <v>2026-09-16 至 2026-10-17</v>
      </c>
      <c r="AJ12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5" s="8" t="str">
        <v>2026-10-06 大促；2026-10-07 大促</v>
      </c>
      <c r="AL1205" s="8" t="n">
        <v>0</v>
      </c>
      <c r="AM1205" s="8" t="n">
        <v>0</v>
      </c>
      <c r="AN1205" s="8" t="n">
        <v>30</v>
      </c>
      <c r="AO1205" s="8" t="str">
        <v>1S01 / 黑色石头纹PU / 6574</v>
      </c>
      <c r="AP1205" s="11" t="n">
        <v>0.8729500662042875</v>
      </c>
      <c r="AQ1205" s="11" t="n">
        <v>0.8729500662042875</v>
      </c>
      <c r="AR1205" s="11" t="n">
        <v>1.0921363354767095</v>
      </c>
      <c r="AS1205" s="11" t="n">
        <f>IF(AND(COUNT(I1205:K1205,AP1205:AR1205)=6,MIN(AP1205:AR1205)&gt;0),I1205/7/AP1205*0.5+J1205/14/AQ1205*0.3+K1205/30/AR1205*0.2,"")</f>
        <v>0</v>
      </c>
      <c r="AT1205" s="8" t="n">
        <v>0</v>
      </c>
      <c r="AU1205" s="8" t="n">
        <v>0</v>
      </c>
      <c r="AV1205" s="8" t="n">
        <v>88</v>
      </c>
      <c r="AW1205" s="11" t="n">
        <f>IF(AND(COUNT(AT1205:AV1205)=3,AT1205&gt;=AU1205,AU1205&gt;=0,AV1205&gt;0),(AT1205-AU1205)/AV1205,"")</f>
        <v>0</v>
      </c>
      <c r="AX1205" s="8" t="n">
        <v>0</v>
      </c>
      <c r="AY1205" s="8" t="n">
        <v>0</v>
      </c>
      <c r="AZ1205" s="8" t="n">
        <v>178</v>
      </c>
      <c r="BA1205" s="11" t="n">
        <f>IF(AND(COUNT(AX1205:AZ1205)=3,AX1205&gt;=AY1205,AY1205&gt;=0,AZ1205&gt;0),(AX1205-AY1205)/AZ1205,"")</f>
        <v>0</v>
      </c>
      <c r="BB1205" s="8" t="n">
        <f>IF(COUNT(AS1205,AW1205,BA1205)=3,1,0)</f>
        <v>1</v>
      </c>
      <c r="BC1205" s="11" t="n">
        <f>IF(SUMIF($AO$11:$AO$1309,AO1205,$BB$11:$BB$1309)=COUNTIF($AO$11:$AO$1309,AO1205),SUMIF($AO$11:$AO$1309,AO1205,$AS$11:$AS$1309),"")</f>
        <v>0</v>
      </c>
      <c r="BD1205" s="11" t="n">
        <f>IF(SUMIF($AO$11:$AO$1309,AO1205,$BB$11:$BB$1309)=COUNTIF($AO$11:$AO$1309,AO1205),SUMIF($AO$11:$AO$1309,AO1205,$AW$11:$AW$1309),"")</f>
        <v>0</v>
      </c>
      <c r="BE1205" s="11" t="n">
        <f>IF(SUMIF($AO$11:$AO$1309,AO1205,$BB$11:$BB$1309)=COUNTIF($AO$11:$AO$1309,AO1205),SUMIF($AO$11:$AO$1309,AO1205,$BA$11:$BA$1309),"")</f>
        <v>0</v>
      </c>
      <c r="BF1205" s="12" t="n">
        <f>IF(COUNT(BD1205:BE1205)&lt;&gt;2,"",IF(AND(BD1205&gt;0,BE1205&gt;0),0.7*AW1205/BD1205+0.3*BA1205/BE1205,IF(BD1205&gt;0,AW1205/BD1205,IF(BE1205&gt;0,BA1205/BE1205,IF(AND(ISNUMBER(BH1205),BH1205=0),0,"")))))</f>
        <v>0</v>
      </c>
      <c r="BG1205" s="11" t="n">
        <f>IF(AND(COUNT(BN1205:BU1205)=8,MIN(BN1205:BU1205)&gt;=0),SUMPRODUCT(BN1205:BQ1205,BR1205:BU1205),"")</f>
        <v>63.935996265425516</v>
      </c>
      <c r="BH1205" s="11" t="n">
        <f>IF(COUNT(BC1205,BG1205)=2,BC1205*BG1205,"")</f>
        <v>0</v>
      </c>
      <c r="BI1205" s="11" t="n">
        <f>IF(ISNUMBER(CI1205),CI1205,"")</f>
        <v>0</v>
      </c>
      <c r="BJ1205" s="8" t="str"/>
      <c r="BK1205" s="8" t="str">
        <v>90天：2026-07-20 至 2026-10-17；180天：2026-04-21 至 2026-10-17</v>
      </c>
      <c r="BL1205" s="8" t="str">
        <v>90天：2026-10-06、2026-10-07；180天：2026-10-06、2026-10-07</v>
      </c>
      <c r="BM1205" s="8" t="str">
        <v>2026-10：12天 × 0.8729500662042875；2026-11：30天 × 0.8057375774163482；2026-12：31天 × 0.532550303142279；2027-01：17天 × 0.7517299265337036</v>
      </c>
      <c r="BN1205" s="11" t="n">
        <v>0.8729500662042875</v>
      </c>
      <c r="BO1205" s="11" t="n">
        <v>0.8057375774163482</v>
      </c>
      <c r="BP1205" s="11" t="n">
        <v>0.532550303142279</v>
      </c>
      <c r="BQ1205" s="11" t="n">
        <v>0.7517299265337036</v>
      </c>
      <c r="BR1205" s="8" t="n">
        <v>12</v>
      </c>
      <c r="BS1205" s="8" t="n">
        <v>30</v>
      </c>
      <c r="BT1205" s="8" t="n">
        <v>31</v>
      </c>
      <c r="BU1205" s="8" t="n">
        <v>17</v>
      </c>
      <c r="BV1205" s="11" t="n">
        <f>IF(COUNT(BC1205,BF1205)=2,BC1205*BF1205,"")</f>
        <v>0</v>
      </c>
      <c r="BW1205" s="11" t="n">
        <f>IF(ISNUMBER(BN1205),BN1205,"")</f>
        <v>0.8729500662042875</v>
      </c>
      <c r="BX1205" s="14" t="n">
        <f>IF(ISNUMBER(BR1205),BR1205,"")</f>
        <v>12</v>
      </c>
      <c r="BY1205" s="13" t="n">
        <f>IF(AND(COUNT(BV1205,BW1205,BX1205)=3,MIN(BV1205,BW1205,BX1205)&gt;=0),BV1205*BW1205*BX1205,"")</f>
        <v>0</v>
      </c>
      <c r="BZ1205" s="11" t="n">
        <f>IF(ISNUMBER(BO1205),BO1205,"")</f>
        <v>0.8057375774163482</v>
      </c>
      <c r="CA1205" s="14" t="n">
        <f>IF(ISNUMBER(BS1205),BS1205,"")</f>
        <v>30</v>
      </c>
      <c r="CB1205" s="13" t="n">
        <f>IF(AND(COUNT(BV1205,BZ1205,CA1205)=3,MIN(BV1205,BZ1205,CA1205)&gt;=0),BV1205*BZ1205*CA1205,"")</f>
        <v>0</v>
      </c>
      <c r="CC1205" s="11" t="n">
        <f>IF(ISNUMBER(BP1205),BP1205,"")</f>
        <v>0.532550303142279</v>
      </c>
      <c r="CD1205" s="14" t="n">
        <f>IF(ISNUMBER(BT1205),BT1205,"")</f>
        <v>31</v>
      </c>
      <c r="CE1205" s="13" t="n">
        <f>IF(AND(COUNT(BV1205,CC1205,CD1205)=3,MIN(BV1205,CC1205,CD1205)&gt;=0),BV1205*CC1205*CD1205,"")</f>
        <v>0</v>
      </c>
      <c r="CF1205" s="11" t="n">
        <f>IF(ISNUMBER(BQ1205),BQ1205,"")</f>
        <v>0.7517299265337036</v>
      </c>
      <c r="CG1205" s="14" t="n">
        <f>IF(ISNUMBER(BU1205),BU1205,"")</f>
        <v>17</v>
      </c>
      <c r="CH1205" s="13" t="n">
        <f>IF(AND(COUNT(BV1205,CF1205,CG1205)=3,MIN(BV1205,CF1205,CG1205)&gt;=0),BV1205*CF1205*CG1205,"")</f>
        <v>0</v>
      </c>
      <c r="CI1205" s="13" t="n">
        <f>IF(COUNT(BY1205,CB1205,CE1205,CH1205)=4,SUM(BY1205,CB1205,CE1205,CH1205),"")</f>
        <v>0</v>
      </c>
    </row>
    <row r="1206" ht="72" customHeight="1">
      <c r="A1206" s="16" t="str">
        <v>1S01-BKX-41.5</v>
      </c>
      <c r="B1206" s="16" t="str">
        <v>3店-SANDIEX-US</v>
      </c>
      <c r="C1206" s="16" t="str">
        <v>徐新怡</v>
      </c>
      <c r="D1206" s="26" t="str">
        <f>IF(NOT(ISNUMBER(E1206)),"",IF(OR(E1206&lt;=0,L1206=0),0,IF(OR(NOT(ISNUMBER(F1206)),F1206&lt;0),"",MIN(E1206,INT(F1206)))))</f>
      </c>
      <c r="E1206" s="27" t="str">
        <f>IF(OR(NOT(ISNUMBER(L1206)),COUNT(M1206:O1206)&lt;&gt;3,MIN(M1206:O1206)&lt;0),"",ROUNDUP(ROUND(BI1206-SUM(M1206:O1206),10),0))</f>
      </c>
      <c r="F1206" s="28"/>
      <c r="G1206" s="28" t="str">
        <f>IF(AND(ISNUMBER(D1206),ISNUMBER(E1206)),IF(OR(E1206&lt;=0,L1206=0),0,E1206-D1206),"")</f>
      </c>
      <c r="H1206" s="16" t="str">
        <f>IF(NOT(ISNUMBER(E1206)),"销量或海外库存待补",IF(OR(E1206&lt;=0,L1206=0),IF(L1206=0,"零日销，本批不发","本批无需补货"),IF(NOT(ISNUMBER(D1206)),"国内库存待补",IF(D1206=0,"国内无可用库存",IF(G1206&gt;0,"先发国内现货","按建议量发货")))))</f>
        <v>销量或海外库存待补</v>
      </c>
      <c r="I1206" s="28" t="n">
        <f>IF(AND(COUNT(Z1206,AA1206,AB1206)=3,Z1206&gt;=AA1206,AA1206&gt;=0,AB1206=7),Z1206-AA1206,"")</f>
        <v>0</v>
      </c>
      <c r="J1206" s="28" t="n">
        <f>IF(AND(COUNT(AF1206,AG1206,AH1206)=3,AF1206&gt;=AG1206,AG1206&gt;=0,AH1206=14),AF1206-AG1206,"")</f>
        <v>0</v>
      </c>
      <c r="K1206" s="28" t="n">
        <f>IF(AND(COUNT(AL1206,AM1206,AN1206)=3,AL1206&gt;=AM1206,AM1206&gt;=0,AN1206=30),AL1206-AM1206,"")</f>
        <v>0</v>
      </c>
      <c r="L1206" s="29" t="n">
        <f>IF(ISNUMBER(BI1206),BI1206/90,"")</f>
        <v>0</v>
      </c>
      <c r="M1206" s="28"/>
      <c r="N1206" s="28"/>
      <c r="O1206" s="28"/>
      <c r="P1206" s="30" t="str">
        <f>IF(AND(ISNUMBER(L1206),L1206&gt;0,COUNT(M1206:O1206)=3,MIN(M1206:O1206)&gt;=0),SUM(M1206:O1206)/L1206,"")</f>
      </c>
      <c r="Q1206" s="16" t="str">
        <v>沿用同SPU原计划店铺</v>
      </c>
      <c r="R1206" s="16" t="str">
        <v>未匹配</v>
      </c>
      <c r="S1206" s="16" t="str">
        <v>未匹配Listing</v>
      </c>
      <c r="T1206" s="16" t="str">
        <v>1S01</v>
      </c>
      <c r="U1206" s="16" t="str">
        <v>黑色石头纹</v>
      </c>
      <c r="V1206" s="16" t="n">
        <v>10.5</v>
      </c>
      <c r="W1206" s="8" t="str">
        <v>2026-10-11 至 2026-10-17</v>
      </c>
      <c r="X1206" s="8" t="str">
        <v>2026-10-11、2026-10-12、2026-10-13、2026-10-14、2026-10-15、2026-10-16、2026-10-17</v>
      </c>
      <c r="Y1206" s="8" t="str">
        <v>无</v>
      </c>
      <c r="Z1206" s="8" t="n">
        <v>0</v>
      </c>
      <c r="AA1206" s="8" t="n">
        <v>0</v>
      </c>
      <c r="AB1206" s="8" t="n">
        <v>7</v>
      </c>
      <c r="AC1206" s="8" t="str">
        <v>2026-10-02 至 2026-10-17</v>
      </c>
      <c r="AD1206" s="8" t="str">
        <v>2026-10-02、2026-10-03、2026-10-04、2026-10-05、2026-10-08、2026-10-09、2026-10-10、2026-10-11、2026-10-12、2026-10-13、2026-10-14、2026-10-15、2026-10-16、2026-10-17</v>
      </c>
      <c r="AE1206" s="8" t="str">
        <v>2026-10-06 大促；2026-10-07 大促</v>
      </c>
      <c r="AF1206" s="8" t="n">
        <v>0</v>
      </c>
      <c r="AG1206" s="8" t="n">
        <v>0</v>
      </c>
      <c r="AH1206" s="8" t="n">
        <v>14</v>
      </c>
      <c r="AI1206" s="8" t="str">
        <v>2026-09-16 至 2026-10-17</v>
      </c>
      <c r="AJ12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6" s="8" t="str">
        <v>2026-10-06 大促；2026-10-07 大促</v>
      </c>
      <c r="AL1206" s="8" t="n">
        <v>0</v>
      </c>
      <c r="AM1206" s="8" t="n">
        <v>0</v>
      </c>
      <c r="AN1206" s="8" t="n">
        <v>30</v>
      </c>
      <c r="AO1206" s="8" t="str">
        <v>1S01 / 黑色石头纹PU / 6574</v>
      </c>
      <c r="AP1206" s="11" t="n">
        <v>0.8729500662042875</v>
      </c>
      <c r="AQ1206" s="11" t="n">
        <v>0.8729500662042875</v>
      </c>
      <c r="AR1206" s="11" t="n">
        <v>1.0921363354767095</v>
      </c>
      <c r="AS1206" s="11" t="n">
        <f>IF(AND(COUNT(I1206:K1206,AP1206:AR1206)=6,MIN(AP1206:AR1206)&gt;0),I1206/7/AP1206*0.5+J1206/14/AQ1206*0.3+K1206/30/AR1206*0.2,"")</f>
        <v>0</v>
      </c>
      <c r="AT1206" s="8" t="n">
        <v>0</v>
      </c>
      <c r="AU1206" s="8" t="n">
        <v>0</v>
      </c>
      <c r="AV1206" s="8" t="n">
        <v>88</v>
      </c>
      <c r="AW1206" s="11" t="n">
        <f>IF(AND(COUNT(AT1206:AV1206)=3,AT1206&gt;=AU1206,AU1206&gt;=0,AV1206&gt;0),(AT1206-AU1206)/AV1206,"")</f>
        <v>0</v>
      </c>
      <c r="AX1206" s="8" t="n">
        <v>0</v>
      </c>
      <c r="AY1206" s="8" t="n">
        <v>0</v>
      </c>
      <c r="AZ1206" s="8" t="n">
        <v>178</v>
      </c>
      <c r="BA1206" s="11" t="n">
        <f>IF(AND(COUNT(AX1206:AZ1206)=3,AX1206&gt;=AY1206,AY1206&gt;=0,AZ1206&gt;0),(AX1206-AY1206)/AZ1206,"")</f>
        <v>0</v>
      </c>
      <c r="BB1206" s="8" t="n">
        <f>IF(COUNT(AS1206,AW1206,BA1206)=3,1,0)</f>
        <v>1</v>
      </c>
      <c r="BC1206" s="11" t="n">
        <f>IF(SUMIF($AO$11:$AO$1309,AO1206,$BB$11:$BB$1309)=COUNTIF($AO$11:$AO$1309,AO1206),SUMIF($AO$11:$AO$1309,AO1206,$AS$11:$AS$1309),"")</f>
        <v>0</v>
      </c>
      <c r="BD1206" s="11" t="n">
        <f>IF(SUMIF($AO$11:$AO$1309,AO1206,$BB$11:$BB$1309)=COUNTIF($AO$11:$AO$1309,AO1206),SUMIF($AO$11:$AO$1309,AO1206,$AW$11:$AW$1309),"")</f>
        <v>0</v>
      </c>
      <c r="BE1206" s="11" t="n">
        <f>IF(SUMIF($AO$11:$AO$1309,AO1206,$BB$11:$BB$1309)=COUNTIF($AO$11:$AO$1309,AO1206),SUMIF($AO$11:$AO$1309,AO1206,$BA$11:$BA$1309),"")</f>
        <v>0</v>
      </c>
      <c r="BF1206" s="12" t="n">
        <f>IF(COUNT(BD1206:BE1206)&lt;&gt;2,"",IF(AND(BD1206&gt;0,BE1206&gt;0),0.7*AW1206/BD1206+0.3*BA1206/BE1206,IF(BD1206&gt;0,AW1206/BD1206,IF(BE1206&gt;0,BA1206/BE1206,IF(AND(ISNUMBER(BH1206),BH1206=0),0,"")))))</f>
        <v>0</v>
      </c>
      <c r="BG1206" s="11" t="n">
        <f>IF(AND(COUNT(BN1206:BU1206)=8,MIN(BN1206:BU1206)&gt;=0),SUMPRODUCT(BN1206:BQ1206,BR1206:BU1206),"")</f>
        <v>63.935996265425516</v>
      </c>
      <c r="BH1206" s="11" t="n">
        <f>IF(COUNT(BC1206,BG1206)=2,BC1206*BG1206,"")</f>
        <v>0</v>
      </c>
      <c r="BI1206" s="11" t="n">
        <f>IF(ISNUMBER(CI1206),CI1206,"")</f>
        <v>0</v>
      </c>
      <c r="BJ1206" s="8" t="str"/>
      <c r="BK1206" s="8" t="str">
        <v>90天：2026-07-20 至 2026-10-17；180天：2026-04-21 至 2026-10-17</v>
      </c>
      <c r="BL1206" s="8" t="str">
        <v>90天：2026-10-06、2026-10-07；180天：2026-10-06、2026-10-07</v>
      </c>
      <c r="BM1206" s="8" t="str">
        <v>2026-10：12天 × 0.8729500662042875；2026-11：30天 × 0.8057375774163482；2026-12：31天 × 0.532550303142279；2027-01：17天 × 0.7517299265337036</v>
      </c>
      <c r="BN1206" s="11" t="n">
        <v>0.8729500662042875</v>
      </c>
      <c r="BO1206" s="11" t="n">
        <v>0.8057375774163482</v>
      </c>
      <c r="BP1206" s="11" t="n">
        <v>0.532550303142279</v>
      </c>
      <c r="BQ1206" s="11" t="n">
        <v>0.7517299265337036</v>
      </c>
      <c r="BR1206" s="8" t="n">
        <v>12</v>
      </c>
      <c r="BS1206" s="8" t="n">
        <v>30</v>
      </c>
      <c r="BT1206" s="8" t="n">
        <v>31</v>
      </c>
      <c r="BU1206" s="8" t="n">
        <v>17</v>
      </c>
      <c r="BV1206" s="11" t="n">
        <f>IF(COUNT(BC1206,BF1206)=2,BC1206*BF1206,"")</f>
        <v>0</v>
      </c>
      <c r="BW1206" s="11" t="n">
        <f>IF(ISNUMBER(BN1206),BN1206,"")</f>
        <v>0.8729500662042875</v>
      </c>
      <c r="BX1206" s="14" t="n">
        <f>IF(ISNUMBER(BR1206),BR1206,"")</f>
        <v>12</v>
      </c>
      <c r="BY1206" s="13" t="n">
        <f>IF(AND(COUNT(BV1206,BW1206,BX1206)=3,MIN(BV1206,BW1206,BX1206)&gt;=0),BV1206*BW1206*BX1206,"")</f>
        <v>0</v>
      </c>
      <c r="BZ1206" s="11" t="n">
        <f>IF(ISNUMBER(BO1206),BO1206,"")</f>
        <v>0.8057375774163482</v>
      </c>
      <c r="CA1206" s="14" t="n">
        <f>IF(ISNUMBER(BS1206),BS1206,"")</f>
        <v>30</v>
      </c>
      <c r="CB1206" s="13" t="n">
        <f>IF(AND(COUNT(BV1206,BZ1206,CA1206)=3,MIN(BV1206,BZ1206,CA1206)&gt;=0),BV1206*BZ1206*CA1206,"")</f>
        <v>0</v>
      </c>
      <c r="CC1206" s="11" t="n">
        <f>IF(ISNUMBER(BP1206),BP1206,"")</f>
        <v>0.532550303142279</v>
      </c>
      <c r="CD1206" s="14" t="n">
        <f>IF(ISNUMBER(BT1206),BT1206,"")</f>
        <v>31</v>
      </c>
      <c r="CE1206" s="13" t="n">
        <f>IF(AND(COUNT(BV1206,CC1206,CD1206)=3,MIN(BV1206,CC1206,CD1206)&gt;=0),BV1206*CC1206*CD1206,"")</f>
        <v>0</v>
      </c>
      <c r="CF1206" s="11" t="n">
        <f>IF(ISNUMBER(BQ1206),BQ1206,"")</f>
        <v>0.7517299265337036</v>
      </c>
      <c r="CG1206" s="14" t="n">
        <f>IF(ISNUMBER(BU1206),BU1206,"")</f>
        <v>17</v>
      </c>
      <c r="CH1206" s="13" t="n">
        <f>IF(AND(COUNT(BV1206,CF1206,CG1206)=3,MIN(BV1206,CF1206,CG1206)&gt;=0),BV1206*CF1206*CG1206,"")</f>
        <v>0</v>
      </c>
      <c r="CI1206" s="13" t="n">
        <f>IF(COUNT(BY1206,CB1206,CE1206,CH1206)=4,SUM(BY1206,CB1206,CE1206,CH1206),"")</f>
        <v>0</v>
      </c>
    </row>
    <row r="1207" ht="72" customHeight="1">
      <c r="A1207" s="16" t="str">
        <v>1S01-BKX-42</v>
      </c>
      <c r="B1207" s="16" t="str">
        <v>3店-SANDIEX-US</v>
      </c>
      <c r="C1207" s="16" t="str">
        <v>徐新怡</v>
      </c>
      <c r="D1207" s="26" t="str">
        <f>IF(NOT(ISNUMBER(E1207)),"",IF(OR(E1207&lt;=0,L1207=0),0,IF(OR(NOT(ISNUMBER(F1207)),F1207&lt;0),"",MIN(E1207,INT(F1207)))))</f>
      </c>
      <c r="E1207" s="27" t="str">
        <f>IF(OR(NOT(ISNUMBER(L1207)),COUNT(M1207:O1207)&lt;&gt;3,MIN(M1207:O1207)&lt;0),"",ROUNDUP(ROUND(BI1207-SUM(M1207:O1207),10),0))</f>
      </c>
      <c r="F1207" s="28" t="n">
        <v>0</v>
      </c>
      <c r="G1207" s="28" t="str">
        <f>IF(AND(ISNUMBER(D1207),ISNUMBER(E1207)),IF(OR(E1207&lt;=0,L1207=0),0,E1207-D1207),"")</f>
      </c>
      <c r="H1207" s="16" t="str">
        <f>IF(NOT(ISNUMBER(E1207)),"销量或海外库存待补",IF(OR(E1207&lt;=0,L1207=0),IF(L1207=0,"零日销，本批不发","本批无需补货"),IF(NOT(ISNUMBER(D1207)),"国内库存待补",IF(D1207=0,"国内无可用库存",IF(G1207&gt;0,"先发国内现货","按建议量发货")))))</f>
        <v>销量或海外库存待补</v>
      </c>
      <c r="I1207" s="28" t="n">
        <f>IF(AND(COUNT(Z1207,AA1207,AB1207)=3,Z1207&gt;=AA1207,AA1207&gt;=0,AB1207=7),Z1207-AA1207,"")</f>
        <v>0</v>
      </c>
      <c r="J1207" s="28" t="n">
        <f>IF(AND(COUNT(AF1207,AG1207,AH1207)=3,AF1207&gt;=AG1207,AG1207&gt;=0,AH1207=14),AF1207-AG1207,"")</f>
        <v>0</v>
      </c>
      <c r="K1207" s="28" t="n">
        <f>IF(AND(COUNT(AL1207,AM1207,AN1207)=3,AL1207&gt;=AM1207,AM1207&gt;=0,AN1207=30),AL1207-AM1207,"")</f>
        <v>0</v>
      </c>
      <c r="L1207" s="29" t="n">
        <f>IF(ISNUMBER(BI1207),BI1207/90,"")</f>
        <v>0</v>
      </c>
      <c r="M1207" s="28"/>
      <c r="N1207" s="28"/>
      <c r="O1207" s="28"/>
      <c r="P1207" s="30" t="str">
        <f>IF(AND(ISNUMBER(L1207),L1207&gt;0,COUNT(M1207:O1207)=3,MIN(M1207:O1207)&gt;=0),SUM(M1207:O1207)/L1207,"")</f>
      </c>
      <c r="Q1207" s="16" t="str">
        <v>沿用同SPU原计划店铺</v>
      </c>
      <c r="R1207" s="16" t="str">
        <v>已匹配</v>
      </c>
      <c r="S1207" s="16" t="str">
        <v>未匹配Listing</v>
      </c>
      <c r="T1207" s="16" t="str">
        <v>1S01</v>
      </c>
      <c r="U1207" s="16" t="str">
        <v>黑色石头纹</v>
      </c>
      <c r="V1207" s="16" t="n">
        <v>11</v>
      </c>
      <c r="W1207" s="8" t="str">
        <v>2026-10-11 至 2026-10-17</v>
      </c>
      <c r="X1207" s="8" t="str">
        <v>2026-10-11、2026-10-12、2026-10-13、2026-10-14、2026-10-15、2026-10-16、2026-10-17</v>
      </c>
      <c r="Y1207" s="8" t="str">
        <v>无</v>
      </c>
      <c r="Z1207" s="8" t="n">
        <v>0</v>
      </c>
      <c r="AA1207" s="8" t="n">
        <v>0</v>
      </c>
      <c r="AB1207" s="8" t="n">
        <v>7</v>
      </c>
      <c r="AC1207" s="8" t="str">
        <v>2026-10-02 至 2026-10-17</v>
      </c>
      <c r="AD1207" s="8" t="str">
        <v>2026-10-02、2026-10-03、2026-10-04、2026-10-05、2026-10-08、2026-10-09、2026-10-10、2026-10-11、2026-10-12、2026-10-13、2026-10-14、2026-10-15、2026-10-16、2026-10-17</v>
      </c>
      <c r="AE1207" s="8" t="str">
        <v>2026-10-06 大促；2026-10-07 大促</v>
      </c>
      <c r="AF1207" s="8" t="n">
        <v>0</v>
      </c>
      <c r="AG1207" s="8" t="n">
        <v>0</v>
      </c>
      <c r="AH1207" s="8" t="n">
        <v>14</v>
      </c>
      <c r="AI1207" s="8" t="str">
        <v>2026-09-16 至 2026-10-17</v>
      </c>
      <c r="AJ12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07" s="8" t="str">
        <v>2026-10-06 大促；2026-10-07 大促</v>
      </c>
      <c r="AL1207" s="8" t="n">
        <v>0</v>
      </c>
      <c r="AM1207" s="8" t="n">
        <v>0</v>
      </c>
      <c r="AN1207" s="8" t="n">
        <v>30</v>
      </c>
      <c r="AO1207" s="8" t="str">
        <v>1S01 / 黑色石头纹PU / 6574</v>
      </c>
      <c r="AP1207" s="11" t="n">
        <v>0.8729500662042875</v>
      </c>
      <c r="AQ1207" s="11" t="n">
        <v>0.8729500662042875</v>
      </c>
      <c r="AR1207" s="11" t="n">
        <v>1.0921363354767095</v>
      </c>
      <c r="AS1207" s="11" t="n">
        <f>IF(AND(COUNT(I1207:K1207,AP1207:AR1207)=6,MIN(AP1207:AR1207)&gt;0),I1207/7/AP1207*0.5+J1207/14/AQ1207*0.3+K1207/30/AR1207*0.2,"")</f>
        <v>0</v>
      </c>
      <c r="AT1207" s="8" t="n">
        <v>0</v>
      </c>
      <c r="AU1207" s="8" t="n">
        <v>0</v>
      </c>
      <c r="AV1207" s="8" t="n">
        <v>88</v>
      </c>
      <c r="AW1207" s="11" t="n">
        <f>IF(AND(COUNT(AT1207:AV1207)=3,AT1207&gt;=AU1207,AU1207&gt;=0,AV1207&gt;0),(AT1207-AU1207)/AV1207,"")</f>
        <v>0</v>
      </c>
      <c r="AX1207" s="8" t="n">
        <v>0</v>
      </c>
      <c r="AY1207" s="8" t="n">
        <v>0</v>
      </c>
      <c r="AZ1207" s="8" t="n">
        <v>178</v>
      </c>
      <c r="BA1207" s="11" t="n">
        <f>IF(AND(COUNT(AX1207:AZ1207)=3,AX1207&gt;=AY1207,AY1207&gt;=0,AZ1207&gt;0),(AX1207-AY1207)/AZ1207,"")</f>
        <v>0</v>
      </c>
      <c r="BB1207" s="8" t="n">
        <f>IF(COUNT(AS1207,AW1207,BA1207)=3,1,0)</f>
        <v>1</v>
      </c>
      <c r="BC1207" s="11" t="n">
        <f>IF(SUMIF($AO$11:$AO$1309,AO1207,$BB$11:$BB$1309)=COUNTIF($AO$11:$AO$1309,AO1207),SUMIF($AO$11:$AO$1309,AO1207,$AS$11:$AS$1309),"")</f>
        <v>0</v>
      </c>
      <c r="BD1207" s="11" t="n">
        <f>IF(SUMIF($AO$11:$AO$1309,AO1207,$BB$11:$BB$1309)=COUNTIF($AO$11:$AO$1309,AO1207),SUMIF($AO$11:$AO$1309,AO1207,$AW$11:$AW$1309),"")</f>
        <v>0</v>
      </c>
      <c r="BE1207" s="11" t="n">
        <f>IF(SUMIF($AO$11:$AO$1309,AO1207,$BB$11:$BB$1309)=COUNTIF($AO$11:$AO$1309,AO1207),SUMIF($AO$11:$AO$1309,AO1207,$BA$11:$BA$1309),"")</f>
        <v>0</v>
      </c>
      <c r="BF1207" s="12" t="n">
        <f>IF(COUNT(BD1207:BE1207)&lt;&gt;2,"",IF(AND(BD1207&gt;0,BE1207&gt;0),0.7*AW1207/BD1207+0.3*BA1207/BE1207,IF(BD1207&gt;0,AW1207/BD1207,IF(BE1207&gt;0,BA1207/BE1207,IF(AND(ISNUMBER(BH1207),BH1207=0),0,"")))))</f>
        <v>0</v>
      </c>
      <c r="BG1207" s="11" t="n">
        <f>IF(AND(COUNT(BN1207:BU1207)=8,MIN(BN1207:BU1207)&gt;=0),SUMPRODUCT(BN1207:BQ1207,BR1207:BU1207),"")</f>
        <v>63.935996265425516</v>
      </c>
      <c r="BH1207" s="11" t="n">
        <f>IF(COUNT(BC1207,BG1207)=2,BC1207*BG1207,"")</f>
        <v>0</v>
      </c>
      <c r="BI1207" s="11" t="n">
        <f>IF(ISNUMBER(CI1207),CI1207,"")</f>
        <v>0</v>
      </c>
      <c r="BJ1207" s="8" t="str"/>
      <c r="BK1207" s="8" t="str">
        <v>90天：2026-07-20 至 2026-10-17；180天：2026-04-21 至 2026-10-17</v>
      </c>
      <c r="BL1207" s="8" t="str">
        <v>90天：2026-10-06、2026-10-07；180天：2026-10-06、2026-10-07</v>
      </c>
      <c r="BM1207" s="8" t="str">
        <v>2026-10：12天 × 0.8729500662042875；2026-11：30天 × 0.8057375774163482；2026-12：31天 × 0.532550303142279；2027-01：17天 × 0.7517299265337036</v>
      </c>
      <c r="BN1207" s="11" t="n">
        <v>0.8729500662042875</v>
      </c>
      <c r="BO1207" s="11" t="n">
        <v>0.8057375774163482</v>
      </c>
      <c r="BP1207" s="11" t="n">
        <v>0.532550303142279</v>
      </c>
      <c r="BQ1207" s="11" t="n">
        <v>0.7517299265337036</v>
      </c>
      <c r="BR1207" s="8" t="n">
        <v>12</v>
      </c>
      <c r="BS1207" s="8" t="n">
        <v>30</v>
      </c>
      <c r="BT1207" s="8" t="n">
        <v>31</v>
      </c>
      <c r="BU1207" s="8" t="n">
        <v>17</v>
      </c>
      <c r="BV1207" s="11" t="n">
        <f>IF(COUNT(BC1207,BF1207)=2,BC1207*BF1207,"")</f>
        <v>0</v>
      </c>
      <c r="BW1207" s="11" t="n">
        <f>IF(ISNUMBER(BN1207),BN1207,"")</f>
        <v>0.8729500662042875</v>
      </c>
      <c r="BX1207" s="14" t="n">
        <f>IF(ISNUMBER(BR1207),BR1207,"")</f>
        <v>12</v>
      </c>
      <c r="BY1207" s="13" t="n">
        <f>IF(AND(COUNT(BV1207,BW1207,BX1207)=3,MIN(BV1207,BW1207,BX1207)&gt;=0),BV1207*BW1207*BX1207,"")</f>
        <v>0</v>
      </c>
      <c r="BZ1207" s="11" t="n">
        <f>IF(ISNUMBER(BO1207),BO1207,"")</f>
        <v>0.8057375774163482</v>
      </c>
      <c r="CA1207" s="14" t="n">
        <f>IF(ISNUMBER(BS1207),BS1207,"")</f>
        <v>30</v>
      </c>
      <c r="CB1207" s="13" t="n">
        <f>IF(AND(COUNT(BV1207,BZ1207,CA1207)=3,MIN(BV1207,BZ1207,CA1207)&gt;=0),BV1207*BZ1207*CA1207,"")</f>
        <v>0</v>
      </c>
      <c r="CC1207" s="11" t="n">
        <f>IF(ISNUMBER(BP1207),BP1207,"")</f>
        <v>0.532550303142279</v>
      </c>
      <c r="CD1207" s="14" t="n">
        <f>IF(ISNUMBER(BT1207),BT1207,"")</f>
        <v>31</v>
      </c>
      <c r="CE1207" s="13" t="n">
        <f>IF(AND(COUNT(BV1207,CC1207,CD1207)=3,MIN(BV1207,CC1207,CD1207)&gt;=0),BV1207*CC1207*CD1207,"")</f>
        <v>0</v>
      </c>
      <c r="CF1207" s="11" t="n">
        <f>IF(ISNUMBER(BQ1207),BQ1207,"")</f>
        <v>0.7517299265337036</v>
      </c>
      <c r="CG1207" s="14" t="n">
        <f>IF(ISNUMBER(BU1207),BU1207,"")</f>
        <v>17</v>
      </c>
      <c r="CH1207" s="13" t="n">
        <f>IF(AND(COUNT(BV1207,CF1207,CG1207)=3,MIN(BV1207,CF1207,CG1207)&gt;=0),BV1207*CF1207*CG1207,"")</f>
        <v>0</v>
      </c>
      <c r="CI1207" s="13" t="n">
        <f>IF(COUNT(BY1207,CB1207,CE1207,CH1207)=4,SUM(BY1207,CB1207,CE1207,CH1207),"")</f>
        <v>0</v>
      </c>
    </row>
    <row r="1208" ht="72" customHeight="1">
      <c r="A1208" s="16" t="str">
        <v>1S01-CPG-10</v>
      </c>
      <c r="B1208" s="16" t="str">
        <v>1店-MUSSHOE-US</v>
      </c>
      <c r="C1208" s="16" t="str">
        <v>徐新怡</v>
      </c>
      <c r="D1208" s="26" t="str">
        <f>IF(NOT(ISNUMBER(E1208)),"",IF(OR(E1208&lt;=0,L1208=0),0,IF(OR(NOT(ISNUMBER(F1208)),F1208&lt;0),"",MIN(E1208,INT(F1208)))))</f>
      </c>
      <c r="E1208" s="27" t="str">
        <f>IF(OR(NOT(ISNUMBER(L1208)),COUNT(M1208:O1208)&lt;&gt;3,MIN(M1208:O1208)&lt;0),"",ROUNDUP(ROUND(BI1208-SUM(M1208:O1208),10),0))</f>
      </c>
      <c r="F1208" s="28"/>
      <c r="G1208" s="28" t="str">
        <f>IF(AND(ISNUMBER(D1208),ISNUMBER(E1208)),IF(OR(E1208&lt;=0,L1208=0),0,E1208-D1208),"")</f>
      </c>
      <c r="H1208" s="16" t="str">
        <f>IF(NOT(ISNUMBER(E1208)),"销量或海外库存待补",IF(OR(E1208&lt;=0,L1208=0),IF(L1208=0,"零日销，本批不发","本批无需补货"),IF(NOT(ISNUMBER(D1208)),"国内库存待补",IF(D1208=0,"国内无可用库存",IF(G1208&gt;0,"先发国内现货","按建议量发货")))))</f>
        <v>销量或海外库存待补</v>
      </c>
      <c r="I1208" s="28" t="n">
        <f>IF(AND(COUNT(Z1208,AA1208,AB1208)=3,Z1208&gt;=AA1208,AA1208&gt;=0,AB1208=7),Z1208-AA1208,"")</f>
        <v>0</v>
      </c>
      <c r="J1208" s="28" t="n">
        <f>IF(AND(COUNT(AF1208,AG1208,AH1208)=3,AF1208&gt;=AG1208,AG1208&gt;=0,AH1208=14),AF1208-AG1208,"")</f>
        <v>0</v>
      </c>
      <c r="K1208" s="28" t="n">
        <f>IF(AND(COUNT(AL1208,AM1208,AN1208)=3,AL1208&gt;=AM1208,AM1208&gt;=0,AN1208=30),AL1208-AM1208,"")</f>
        <v>0</v>
      </c>
      <c r="L1208" s="29" t="n">
        <f>IF(ISNUMBER(BI1208),BI1208/90,"")</f>
        <v>0</v>
      </c>
      <c r="M1208" s="28"/>
      <c r="N1208" s="28"/>
      <c r="O1208" s="28"/>
      <c r="P1208" s="30" t="str">
        <f>IF(AND(ISNUMBER(L1208),L1208&gt;0,COUNT(M1208:O1208)=3,MIN(M1208:O1208)&gt;=0),SUM(M1208:O1208)/L1208,"")</f>
      </c>
      <c r="Q1208" s="16" t="str">
        <v>按本SKU唯一未删除Listing店铺核实</v>
      </c>
      <c r="R1208" s="16" t="str">
        <v>未匹配</v>
      </c>
      <c r="S1208" s="16" t="str">
        <v>停售</v>
      </c>
      <c r="T1208" s="16" t="str">
        <v>1S01</v>
      </c>
      <c r="U1208" s="16" t="str">
        <v>香槟金</v>
      </c>
      <c r="V1208" s="16" t="n">
        <v>10</v>
      </c>
      <c r="W1208" s="8" t="str">
        <v>2026-10-08 至 2026-10-17</v>
      </c>
      <c r="X1208" s="8" t="str">
        <v>2026-10-08、2026-10-09、2026-10-10、2026-10-11、2026-10-14、2026-10-15、2026-10-17</v>
      </c>
      <c r="Y1208" s="8" t="str">
        <v>2026-10-12 有记录的停售日；2026-10-13 有记录的停售日；2026-10-16 有记录的停售日</v>
      </c>
      <c r="Z1208" s="8" t="n">
        <v>0</v>
      </c>
      <c r="AA1208" s="8" t="n">
        <v>0</v>
      </c>
      <c r="AB1208" s="8" t="n">
        <v>7</v>
      </c>
      <c r="AC1208" s="8" t="str">
        <v>2026-09-29 至 2026-10-17</v>
      </c>
      <c r="AD1208" s="8" t="str">
        <v>2026-09-29、2026-09-30、2026-10-01、2026-10-02、2026-10-03、2026-10-04、2026-10-05、2026-10-08、2026-10-09、2026-10-10、2026-10-11、2026-10-14、2026-10-15、2026-10-17</v>
      </c>
      <c r="AE1208" s="8" t="str">
        <v>2026-10-06 大促；2026-10-07 大促；2026-10-12 有记录的停售日；2026-10-13 有记录的停售日；2026-10-16 有记录的停售日</v>
      </c>
      <c r="AF1208" s="8" t="n">
        <v>0</v>
      </c>
      <c r="AG1208" s="8" t="n">
        <v>0</v>
      </c>
      <c r="AH1208" s="8" t="n">
        <v>14</v>
      </c>
      <c r="AI1208" s="8" t="str">
        <v>2026-09-13 至 2026-10-17</v>
      </c>
      <c r="AJ120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08" s="8" t="str">
        <v>2026-10-06 大促；2026-10-07 大促；2026-10-12 有记录的停售日；2026-10-13 有记录的停售日；2026-10-16 有记录的停售日</v>
      </c>
      <c r="AL1208" s="8" t="n">
        <v>0</v>
      </c>
      <c r="AM1208" s="8" t="n">
        <v>0</v>
      </c>
      <c r="AN1208" s="8" t="n">
        <v>30</v>
      </c>
      <c r="AO1208" s="8" t="str">
        <v>1S01 / 香槟金PU / 13120</v>
      </c>
      <c r="AP1208" s="11" t="n">
        <v>0.8729500662042875</v>
      </c>
      <c r="AQ1208" s="11" t="n">
        <v>0.9355747145678367</v>
      </c>
      <c r="AR1208" s="11" t="n">
        <v>1.135973589331194</v>
      </c>
      <c r="AS1208" s="11" t="n">
        <f>IF(AND(COUNT(I1208:K1208,AP1208:AR1208)=6,MIN(AP1208:AR1208)&gt;0),I1208/7/AP1208*0.5+J1208/14/AQ1208*0.3+K1208/30/AR1208*0.2,"")</f>
        <v>0</v>
      </c>
      <c r="AT1208" s="8" t="n">
        <v>0</v>
      </c>
      <c r="AU1208" s="8" t="n">
        <v>0</v>
      </c>
      <c r="AV1208" s="8" t="n">
        <v>85</v>
      </c>
      <c r="AW1208" s="11" t="n">
        <f>IF(AND(COUNT(AT1208:AV1208)=3,AT1208&gt;=AU1208,AU1208&gt;=0,AV1208&gt;0),(AT1208-AU1208)/AV1208,"")</f>
        <v>0</v>
      </c>
      <c r="AX1208" s="8" t="n">
        <v>0</v>
      </c>
      <c r="AY1208" s="8" t="n">
        <v>0</v>
      </c>
      <c r="AZ1208" s="8" t="n">
        <v>175</v>
      </c>
      <c r="BA1208" s="11" t="n">
        <f>IF(AND(COUNT(AX1208:AZ1208)=3,AX1208&gt;=AY1208,AY1208&gt;=0,AZ1208&gt;0),(AX1208-AY1208)/AZ1208,"")</f>
        <v>0</v>
      </c>
      <c r="BB1208" s="8" t="n">
        <f>IF(COUNT(AS1208,AW1208,BA1208)=3,1,0)</f>
        <v>1</v>
      </c>
      <c r="BC1208" s="11" t="n">
        <f>IF(SUMIF($AO$11:$AO$1309,AO1208,$BB$11:$BB$1309)=COUNTIF($AO$11:$AO$1309,AO1208),SUMIF($AO$11:$AO$1309,AO1208,$AS$11:$AS$1309),"")</f>
        <v>0</v>
      </c>
      <c r="BD1208" s="11" t="n">
        <f>IF(SUMIF($AO$11:$AO$1309,AO1208,$BB$11:$BB$1309)=COUNTIF($AO$11:$AO$1309,AO1208),SUMIF($AO$11:$AO$1309,AO1208,$AW$11:$AW$1309),"")</f>
        <v>0</v>
      </c>
      <c r="BE1208" s="11" t="n">
        <f>IF(SUMIF($AO$11:$AO$1309,AO1208,$BB$11:$BB$1309)=COUNTIF($AO$11:$AO$1309,AO1208),SUMIF($AO$11:$AO$1309,AO1208,$BA$11:$BA$1309),"")</f>
        <v>0.005714285714285714</v>
      </c>
      <c r="BF1208" s="12" t="n">
        <f>IF(COUNT(BD1208:BE1208)&lt;&gt;2,"",IF(AND(BD1208&gt;0,BE1208&gt;0),0.7*AW1208/BD1208+0.3*BA1208/BE1208,IF(BD1208&gt;0,AW1208/BD1208,IF(BE1208&gt;0,BA1208/BE1208,IF(AND(ISNUMBER(BH1208),BH1208=0),0,"")))))</f>
        <v>0</v>
      </c>
      <c r="BG1208" s="11" t="n">
        <f>IF(AND(COUNT(BN1208:BU1208)=8,MIN(BN1208:BU1208)&gt;=0),SUMPRODUCT(BN1208:BQ1208,BR1208:BU1208),"")</f>
        <v>63.935996265425516</v>
      </c>
      <c r="BH1208" s="11" t="n">
        <f>IF(COUNT(BC1208,BG1208)=2,BC1208*BG1208,"")</f>
        <v>0</v>
      </c>
      <c r="BI1208" s="11" t="n">
        <f>IF(ISNUMBER(CI1208),CI1208,"")</f>
        <v>0</v>
      </c>
      <c r="BJ1208" s="8" t="str">
        <v>近180天本色销量1双（＜90），无有效新采购，请运营判断</v>
      </c>
      <c r="BK1208" s="8" t="str">
        <v>90天：2026-07-20 至 2026-10-17；180天：2026-04-21 至 2026-10-17</v>
      </c>
      <c r="BL1208" s="8" t="str">
        <v>90天：2026-10-06、2026-10-07、2026-10-12、2026-10-13、2026-10-16；180天：2026-10-06、2026-10-07、2026-10-12、2026-10-13、2026-10-16</v>
      </c>
      <c r="BM1208" s="8" t="str">
        <v>2026-10：12天 × 0.8729500662042875；2026-11：30天 × 0.8057375774163482；2026-12：31天 × 0.532550303142279；2027-01：17天 × 0.7517299265337036</v>
      </c>
      <c r="BN1208" s="11" t="n">
        <v>0.8729500662042875</v>
      </c>
      <c r="BO1208" s="11" t="n">
        <v>0.8057375774163482</v>
      </c>
      <c r="BP1208" s="11" t="n">
        <v>0.532550303142279</v>
      </c>
      <c r="BQ1208" s="11" t="n">
        <v>0.7517299265337036</v>
      </c>
      <c r="BR1208" s="8" t="n">
        <v>12</v>
      </c>
      <c r="BS1208" s="8" t="n">
        <v>30</v>
      </c>
      <c r="BT1208" s="8" t="n">
        <v>31</v>
      </c>
      <c r="BU1208" s="8" t="n">
        <v>17</v>
      </c>
      <c r="BV1208" s="11" t="n">
        <f>IF(COUNT(BC1208,BF1208)=2,BC1208*BF1208,"")</f>
        <v>0</v>
      </c>
      <c r="BW1208" s="11" t="n">
        <f>IF(ISNUMBER(BN1208),BN1208,"")</f>
        <v>0.8729500662042875</v>
      </c>
      <c r="BX1208" s="14" t="n">
        <f>IF(ISNUMBER(BR1208),BR1208,"")</f>
        <v>12</v>
      </c>
      <c r="BY1208" s="13" t="n">
        <f>IF(AND(COUNT(BV1208,BW1208,BX1208)=3,MIN(BV1208,BW1208,BX1208)&gt;=0),BV1208*BW1208*BX1208,"")</f>
        <v>0</v>
      </c>
      <c r="BZ1208" s="11" t="n">
        <f>IF(ISNUMBER(BO1208),BO1208,"")</f>
        <v>0.8057375774163482</v>
      </c>
      <c r="CA1208" s="14" t="n">
        <f>IF(ISNUMBER(BS1208),BS1208,"")</f>
        <v>30</v>
      </c>
      <c r="CB1208" s="13" t="n">
        <f>IF(AND(COUNT(BV1208,BZ1208,CA1208)=3,MIN(BV1208,BZ1208,CA1208)&gt;=0),BV1208*BZ1208*CA1208,"")</f>
        <v>0</v>
      </c>
      <c r="CC1208" s="11" t="n">
        <f>IF(ISNUMBER(BP1208),BP1208,"")</f>
        <v>0.532550303142279</v>
      </c>
      <c r="CD1208" s="14" t="n">
        <f>IF(ISNUMBER(BT1208),BT1208,"")</f>
        <v>31</v>
      </c>
      <c r="CE1208" s="13" t="n">
        <f>IF(AND(COUNT(BV1208,CC1208,CD1208)=3,MIN(BV1208,CC1208,CD1208)&gt;=0),BV1208*CC1208*CD1208,"")</f>
        <v>0</v>
      </c>
      <c r="CF1208" s="11" t="n">
        <f>IF(ISNUMBER(BQ1208),BQ1208,"")</f>
        <v>0.7517299265337036</v>
      </c>
      <c r="CG1208" s="14" t="n">
        <f>IF(ISNUMBER(BU1208),BU1208,"")</f>
        <v>17</v>
      </c>
      <c r="CH1208" s="13" t="n">
        <f>IF(AND(COUNT(BV1208,CF1208,CG1208)=3,MIN(BV1208,CF1208,CG1208)&gt;=0),BV1208*CF1208*CG1208,"")</f>
        <v>0</v>
      </c>
      <c r="CI1208" s="13" t="n">
        <f>IF(COUNT(BY1208,CB1208,CE1208,CH1208)=4,SUM(BY1208,CB1208,CE1208,CH1208),"")</f>
        <v>0</v>
      </c>
    </row>
    <row r="1209" ht="72" customHeight="1">
      <c r="A1209" s="16" t="str">
        <v>1S01-CPG-11</v>
      </c>
      <c r="B1209" s="16" t="str">
        <v>1店-MUSSHOE-US</v>
      </c>
      <c r="C1209" s="16" t="str">
        <v>徐新怡</v>
      </c>
      <c r="D1209" s="26" t="str">
        <f>IF(NOT(ISNUMBER(E1209)),"",IF(OR(E1209&lt;=0,L1209=0),0,IF(OR(NOT(ISNUMBER(F1209)),F1209&lt;0),"",MIN(E1209,INT(F1209)))))</f>
      </c>
      <c r="E1209" s="27" t="str">
        <f>IF(OR(NOT(ISNUMBER(L1209)),COUNT(M1209:O1209)&lt;&gt;3,MIN(M1209:O1209)&lt;0),"",ROUNDUP(ROUND(BI1209-SUM(M1209:O1209),10),0))</f>
      </c>
      <c r="F1209" s="28"/>
      <c r="G1209" s="28" t="str">
        <f>IF(AND(ISNUMBER(D1209),ISNUMBER(E1209)),IF(OR(E1209&lt;=0,L1209=0),0,E1209-D1209),"")</f>
      </c>
      <c r="H1209" s="16" t="str">
        <f>IF(NOT(ISNUMBER(E1209)),"销量或海外库存待补",IF(OR(E1209&lt;=0,L1209=0),IF(L1209=0,"零日销，本批不发","本批无需补货"),IF(NOT(ISNUMBER(D1209)),"国内库存待补",IF(D1209=0,"国内无可用库存",IF(G1209&gt;0,"先发国内现货","按建议量发货")))))</f>
        <v>销量或海外库存待补</v>
      </c>
      <c r="I1209" s="28" t="n">
        <f>IF(AND(COUNT(Z1209,AA1209,AB1209)=3,Z1209&gt;=AA1209,AA1209&gt;=0,AB1209=7),Z1209-AA1209,"")</f>
        <v>0</v>
      </c>
      <c r="J1209" s="28" t="n">
        <f>IF(AND(COUNT(AF1209,AG1209,AH1209)=3,AF1209&gt;=AG1209,AG1209&gt;=0,AH1209=14),AF1209-AG1209,"")</f>
        <v>0</v>
      </c>
      <c r="K1209" s="28" t="n">
        <f>IF(AND(COUNT(AL1209,AM1209,AN1209)=3,AL1209&gt;=AM1209,AM1209&gt;=0,AN1209=30),AL1209-AM1209,"")</f>
        <v>0</v>
      </c>
      <c r="L1209" s="29" t="n">
        <f>IF(ISNUMBER(BI1209),BI1209/90,"")</f>
        <v>0</v>
      </c>
      <c r="M1209" s="28"/>
      <c r="N1209" s="28"/>
      <c r="O1209" s="28"/>
      <c r="P1209" s="30" t="str">
        <f>IF(AND(ISNUMBER(L1209),L1209&gt;0,COUNT(M1209:O1209)=3,MIN(M1209:O1209)&gt;=0),SUM(M1209:O1209)/L1209,"")</f>
      </c>
      <c r="Q1209" s="16" t="str">
        <v>按本SKU唯一未删除Listing店铺核实</v>
      </c>
      <c r="R1209" s="16" t="str">
        <v>未匹配</v>
      </c>
      <c r="S1209" s="16" t="str">
        <v>停售</v>
      </c>
      <c r="T1209" s="16" t="str">
        <v>1S01</v>
      </c>
      <c r="U1209" s="16" t="str">
        <v>香槟金</v>
      </c>
      <c r="V1209" s="16" t="n">
        <v>11</v>
      </c>
      <c r="W1209" s="8" t="str">
        <v>2026-10-08 至 2026-10-17</v>
      </c>
      <c r="X1209" s="8" t="str">
        <v>2026-10-08、2026-10-09、2026-10-10、2026-10-11、2026-10-14、2026-10-15、2026-10-17</v>
      </c>
      <c r="Y1209" s="8" t="str">
        <v>2026-10-12 有记录的停售日；2026-10-13 有记录的停售日；2026-10-16 有记录的停售日</v>
      </c>
      <c r="Z1209" s="8" t="n">
        <v>0</v>
      </c>
      <c r="AA1209" s="8" t="n">
        <v>0</v>
      </c>
      <c r="AB1209" s="8" t="n">
        <v>7</v>
      </c>
      <c r="AC1209" s="8" t="str">
        <v>2026-09-29 至 2026-10-17</v>
      </c>
      <c r="AD1209" s="8" t="str">
        <v>2026-09-29、2026-09-30、2026-10-01、2026-10-02、2026-10-03、2026-10-04、2026-10-05、2026-10-08、2026-10-09、2026-10-10、2026-10-11、2026-10-14、2026-10-15、2026-10-17</v>
      </c>
      <c r="AE1209" s="8" t="str">
        <v>2026-10-06 大促；2026-10-07 大促；2026-10-12 有记录的停售日；2026-10-13 有记录的停售日；2026-10-16 有记录的停售日</v>
      </c>
      <c r="AF1209" s="8" t="n">
        <v>0</v>
      </c>
      <c r="AG1209" s="8" t="n">
        <v>0</v>
      </c>
      <c r="AH1209" s="8" t="n">
        <v>14</v>
      </c>
      <c r="AI1209" s="8" t="str">
        <v>2026-09-13 至 2026-10-17</v>
      </c>
      <c r="AJ120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09" s="8" t="str">
        <v>2026-10-06 大促；2026-10-07 大促；2026-10-12 有记录的停售日；2026-10-13 有记录的停售日；2026-10-16 有记录的停售日</v>
      </c>
      <c r="AL1209" s="8" t="n">
        <v>0</v>
      </c>
      <c r="AM1209" s="8" t="n">
        <v>0</v>
      </c>
      <c r="AN1209" s="8" t="n">
        <v>30</v>
      </c>
      <c r="AO1209" s="8" t="str">
        <v>1S01 / 香槟金PU / 13120</v>
      </c>
      <c r="AP1209" s="11" t="n">
        <v>0.8729500662042875</v>
      </c>
      <c r="AQ1209" s="11" t="n">
        <v>0.9355747145678367</v>
      </c>
      <c r="AR1209" s="11" t="n">
        <v>1.135973589331194</v>
      </c>
      <c r="AS1209" s="11" t="n">
        <f>IF(AND(COUNT(I1209:K1209,AP1209:AR1209)=6,MIN(AP1209:AR1209)&gt;0),I1209/7/AP1209*0.5+J1209/14/AQ1209*0.3+K1209/30/AR1209*0.2,"")</f>
        <v>0</v>
      </c>
      <c r="AT1209" s="8" t="n">
        <v>0</v>
      </c>
      <c r="AU1209" s="8" t="n">
        <v>0</v>
      </c>
      <c r="AV1209" s="8" t="n">
        <v>85</v>
      </c>
      <c r="AW1209" s="11" t="n">
        <f>IF(AND(COUNT(AT1209:AV1209)=3,AT1209&gt;=AU1209,AU1209&gt;=0,AV1209&gt;0),(AT1209-AU1209)/AV1209,"")</f>
        <v>0</v>
      </c>
      <c r="AX1209" s="8" t="n">
        <v>0</v>
      </c>
      <c r="AY1209" s="8" t="n">
        <v>0</v>
      </c>
      <c r="AZ1209" s="8" t="n">
        <v>175</v>
      </c>
      <c r="BA1209" s="11" t="n">
        <f>IF(AND(COUNT(AX1209:AZ1209)=3,AX1209&gt;=AY1209,AY1209&gt;=0,AZ1209&gt;0),(AX1209-AY1209)/AZ1209,"")</f>
        <v>0</v>
      </c>
      <c r="BB1209" s="8" t="n">
        <f>IF(COUNT(AS1209,AW1209,BA1209)=3,1,0)</f>
        <v>1</v>
      </c>
      <c r="BC1209" s="11" t="n">
        <f>IF(SUMIF($AO$11:$AO$1309,AO1209,$BB$11:$BB$1309)=COUNTIF($AO$11:$AO$1309,AO1209),SUMIF($AO$11:$AO$1309,AO1209,$AS$11:$AS$1309),"")</f>
        <v>0</v>
      </c>
      <c r="BD1209" s="11" t="n">
        <f>IF(SUMIF($AO$11:$AO$1309,AO1209,$BB$11:$BB$1309)=COUNTIF($AO$11:$AO$1309,AO1209),SUMIF($AO$11:$AO$1309,AO1209,$AW$11:$AW$1309),"")</f>
        <v>0</v>
      </c>
      <c r="BE1209" s="11" t="n">
        <f>IF(SUMIF($AO$11:$AO$1309,AO1209,$BB$11:$BB$1309)=COUNTIF($AO$11:$AO$1309,AO1209),SUMIF($AO$11:$AO$1309,AO1209,$BA$11:$BA$1309),"")</f>
        <v>0.005714285714285714</v>
      </c>
      <c r="BF1209" s="12" t="n">
        <f>IF(COUNT(BD1209:BE1209)&lt;&gt;2,"",IF(AND(BD1209&gt;0,BE1209&gt;0),0.7*AW1209/BD1209+0.3*BA1209/BE1209,IF(BD1209&gt;0,AW1209/BD1209,IF(BE1209&gt;0,BA1209/BE1209,IF(AND(ISNUMBER(BH1209),BH1209=0),0,"")))))</f>
        <v>0</v>
      </c>
      <c r="BG1209" s="11" t="n">
        <f>IF(AND(COUNT(BN1209:BU1209)=8,MIN(BN1209:BU1209)&gt;=0),SUMPRODUCT(BN1209:BQ1209,BR1209:BU1209),"")</f>
        <v>63.935996265425516</v>
      </c>
      <c r="BH1209" s="11" t="n">
        <f>IF(COUNT(BC1209,BG1209)=2,BC1209*BG1209,"")</f>
        <v>0</v>
      </c>
      <c r="BI1209" s="11" t="n">
        <f>IF(ISNUMBER(CI1209),CI1209,"")</f>
        <v>0</v>
      </c>
      <c r="BJ1209" s="8" t="str">
        <v>近180天本色销量1双（＜90），无有效新采购，请运营判断</v>
      </c>
      <c r="BK1209" s="8" t="str">
        <v>90天：2026-07-20 至 2026-10-17；180天：2026-04-21 至 2026-10-17</v>
      </c>
      <c r="BL1209" s="8" t="str">
        <v>90天：2026-10-06、2026-10-07、2026-10-12、2026-10-13、2026-10-16；180天：2026-10-06、2026-10-07、2026-10-12、2026-10-13、2026-10-16</v>
      </c>
      <c r="BM1209" s="8" t="str">
        <v>2026-10：12天 × 0.8729500662042875；2026-11：30天 × 0.8057375774163482；2026-12：31天 × 0.532550303142279；2027-01：17天 × 0.7517299265337036</v>
      </c>
      <c r="BN1209" s="11" t="n">
        <v>0.8729500662042875</v>
      </c>
      <c r="BO1209" s="11" t="n">
        <v>0.8057375774163482</v>
      </c>
      <c r="BP1209" s="11" t="n">
        <v>0.532550303142279</v>
      </c>
      <c r="BQ1209" s="11" t="n">
        <v>0.7517299265337036</v>
      </c>
      <c r="BR1209" s="8" t="n">
        <v>12</v>
      </c>
      <c r="BS1209" s="8" t="n">
        <v>30</v>
      </c>
      <c r="BT1209" s="8" t="n">
        <v>31</v>
      </c>
      <c r="BU1209" s="8" t="n">
        <v>17</v>
      </c>
      <c r="BV1209" s="11" t="n">
        <f>IF(COUNT(BC1209,BF1209)=2,BC1209*BF1209,"")</f>
        <v>0</v>
      </c>
      <c r="BW1209" s="11" t="n">
        <f>IF(ISNUMBER(BN1209),BN1209,"")</f>
        <v>0.8729500662042875</v>
      </c>
      <c r="BX1209" s="14" t="n">
        <f>IF(ISNUMBER(BR1209),BR1209,"")</f>
        <v>12</v>
      </c>
      <c r="BY1209" s="13" t="n">
        <f>IF(AND(COUNT(BV1209,BW1209,BX1209)=3,MIN(BV1209,BW1209,BX1209)&gt;=0),BV1209*BW1209*BX1209,"")</f>
        <v>0</v>
      </c>
      <c r="BZ1209" s="11" t="n">
        <f>IF(ISNUMBER(BO1209),BO1209,"")</f>
        <v>0.8057375774163482</v>
      </c>
      <c r="CA1209" s="14" t="n">
        <f>IF(ISNUMBER(BS1209),BS1209,"")</f>
        <v>30</v>
      </c>
      <c r="CB1209" s="13" t="n">
        <f>IF(AND(COUNT(BV1209,BZ1209,CA1209)=3,MIN(BV1209,BZ1209,CA1209)&gt;=0),BV1209*BZ1209*CA1209,"")</f>
        <v>0</v>
      </c>
      <c r="CC1209" s="11" t="n">
        <f>IF(ISNUMBER(BP1209),BP1209,"")</f>
        <v>0.532550303142279</v>
      </c>
      <c r="CD1209" s="14" t="n">
        <f>IF(ISNUMBER(BT1209),BT1209,"")</f>
        <v>31</v>
      </c>
      <c r="CE1209" s="13" t="n">
        <f>IF(AND(COUNT(BV1209,CC1209,CD1209)=3,MIN(BV1209,CC1209,CD1209)&gt;=0),BV1209*CC1209*CD1209,"")</f>
        <v>0</v>
      </c>
      <c r="CF1209" s="11" t="n">
        <f>IF(ISNUMBER(BQ1209),BQ1209,"")</f>
        <v>0.7517299265337036</v>
      </c>
      <c r="CG1209" s="14" t="n">
        <f>IF(ISNUMBER(BU1209),BU1209,"")</f>
        <v>17</v>
      </c>
      <c r="CH1209" s="13" t="n">
        <f>IF(AND(COUNT(BV1209,CF1209,CG1209)=3,MIN(BV1209,CF1209,CG1209)&gt;=0),BV1209*CF1209*CG1209,"")</f>
        <v>0</v>
      </c>
      <c r="CI1209" s="13" t="n">
        <f>IF(COUNT(BY1209,CB1209,CE1209,CH1209)=4,SUM(BY1209,CB1209,CE1209,CH1209),"")</f>
        <v>0</v>
      </c>
    </row>
    <row r="1210" ht="72" customHeight="1">
      <c r="A1210" s="16" t="str">
        <v>1S01-CPG-37.5</v>
      </c>
      <c r="B1210" s="16" t="str">
        <v>1店-MUSSHOE-US</v>
      </c>
      <c r="C1210" s="16" t="str">
        <v>徐新怡</v>
      </c>
      <c r="D1210" s="26" t="str">
        <f>IF(NOT(ISNUMBER(E1210)),"",IF(OR(E1210&lt;=0,L1210=0),0,IF(OR(NOT(ISNUMBER(F1210)),F1210&lt;0),"",MIN(E1210,INT(F1210)))))</f>
      </c>
      <c r="E1210" s="27" t="str">
        <f>IF(OR(NOT(ISNUMBER(L1210)),COUNT(M1210:O1210)&lt;&gt;3,MIN(M1210:O1210)&lt;0),"",ROUNDUP(ROUND(BI1210-SUM(M1210:O1210),10),0))</f>
      </c>
      <c r="F1210" s="28"/>
      <c r="G1210" s="28" t="str">
        <f>IF(AND(ISNUMBER(D1210),ISNUMBER(E1210)),IF(OR(E1210&lt;=0,L1210=0),0,E1210-D1210),"")</f>
      </c>
      <c r="H1210" s="16" t="str">
        <f>IF(NOT(ISNUMBER(E1210)),"销量或海外库存待补",IF(OR(E1210&lt;=0,L1210=0),IF(L1210=0,"零日销，本批不发","本批无需补货"),IF(NOT(ISNUMBER(D1210)),"国内库存待补",IF(D1210=0,"国内无可用库存",IF(G1210&gt;0,"先发国内现货","按建议量发货")))))</f>
        <v>销量或海外库存待补</v>
      </c>
      <c r="I1210" s="28" t="n">
        <f>IF(AND(COUNT(Z1210,AA1210,AB1210)=3,Z1210&gt;=AA1210,AA1210&gt;=0,AB1210=7),Z1210-AA1210,"")</f>
        <v>0</v>
      </c>
      <c r="J1210" s="28" t="n">
        <f>IF(AND(COUNT(AF1210,AG1210,AH1210)=3,AF1210&gt;=AG1210,AG1210&gt;=0,AH1210=14),AF1210-AG1210,"")</f>
        <v>0</v>
      </c>
      <c r="K1210" s="28" t="n">
        <f>IF(AND(COUNT(AL1210,AM1210,AN1210)=3,AL1210&gt;=AM1210,AM1210&gt;=0,AN1210=30),AL1210-AM1210,"")</f>
        <v>0</v>
      </c>
      <c r="L1210" s="29" t="n">
        <f>IF(ISNUMBER(BI1210),BI1210/90,"")</f>
        <v>0</v>
      </c>
      <c r="M1210" s="28"/>
      <c r="N1210" s="28"/>
      <c r="O1210" s="28"/>
      <c r="P1210" s="30" t="str">
        <f>IF(AND(ISNUMBER(L1210),L1210&gt;0,COUNT(M1210:O1210)=3,MIN(M1210:O1210)&gt;=0),SUM(M1210:O1210)/L1210,"")</f>
      </c>
      <c r="Q1210" s="16" t="str">
        <v>按本SKU唯一未删除Listing店铺核实</v>
      </c>
      <c r="R1210" s="16" t="str">
        <v>未匹配</v>
      </c>
      <c r="S1210" s="16" t="str">
        <v>停售</v>
      </c>
      <c r="T1210" s="16" t="str">
        <v>1S01</v>
      </c>
      <c r="U1210" s="16" t="str">
        <v>香槟金</v>
      </c>
      <c r="V1210" s="16" t="n">
        <v>6.5</v>
      </c>
      <c r="W1210" s="8" t="str">
        <v>2026-10-08 至 2026-10-17</v>
      </c>
      <c r="X1210" s="8" t="str">
        <v>2026-10-08、2026-10-09、2026-10-10、2026-10-11、2026-10-14、2026-10-15、2026-10-17</v>
      </c>
      <c r="Y1210" s="8" t="str">
        <v>2026-10-12 有记录的停售日；2026-10-13 有记录的停售日；2026-10-16 有记录的停售日</v>
      </c>
      <c r="Z1210" s="8" t="n">
        <v>0</v>
      </c>
      <c r="AA1210" s="8" t="n">
        <v>0</v>
      </c>
      <c r="AB1210" s="8" t="n">
        <v>7</v>
      </c>
      <c r="AC1210" s="8" t="str">
        <v>2026-09-29 至 2026-10-17</v>
      </c>
      <c r="AD1210" s="8" t="str">
        <v>2026-09-29、2026-09-30、2026-10-01、2026-10-02、2026-10-03、2026-10-04、2026-10-05、2026-10-08、2026-10-09、2026-10-10、2026-10-11、2026-10-14、2026-10-15、2026-10-17</v>
      </c>
      <c r="AE1210" s="8" t="str">
        <v>2026-10-06 大促；2026-10-07 大促；2026-10-12 有记录的停售日；2026-10-13 有记录的停售日；2026-10-16 有记录的停售日</v>
      </c>
      <c r="AF1210" s="8" t="n">
        <v>0</v>
      </c>
      <c r="AG1210" s="8" t="n">
        <v>0</v>
      </c>
      <c r="AH1210" s="8" t="n">
        <v>14</v>
      </c>
      <c r="AI1210" s="8" t="str">
        <v>2026-09-13 至 2026-10-17</v>
      </c>
      <c r="AJ121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0" s="8" t="str">
        <v>2026-10-06 大促；2026-10-07 大促；2026-10-12 有记录的停售日；2026-10-13 有记录的停售日；2026-10-16 有记录的停售日</v>
      </c>
      <c r="AL1210" s="8" t="n">
        <v>0</v>
      </c>
      <c r="AM1210" s="8" t="n">
        <v>0</v>
      </c>
      <c r="AN1210" s="8" t="n">
        <v>30</v>
      </c>
      <c r="AO1210" s="8" t="str">
        <v>1S01 / 香槟金PU / 13120</v>
      </c>
      <c r="AP1210" s="11" t="n">
        <v>0.8729500662042875</v>
      </c>
      <c r="AQ1210" s="11" t="n">
        <v>0.9355747145678367</v>
      </c>
      <c r="AR1210" s="11" t="n">
        <v>1.135973589331194</v>
      </c>
      <c r="AS1210" s="11" t="n">
        <f>IF(AND(COUNT(I1210:K1210,AP1210:AR1210)=6,MIN(AP1210:AR1210)&gt;0),I1210/7/AP1210*0.5+J1210/14/AQ1210*0.3+K1210/30/AR1210*0.2,"")</f>
        <v>0</v>
      </c>
      <c r="AT1210" s="8" t="n">
        <v>0</v>
      </c>
      <c r="AU1210" s="8" t="n">
        <v>0</v>
      </c>
      <c r="AV1210" s="8" t="n">
        <v>85</v>
      </c>
      <c r="AW1210" s="11" t="n">
        <f>IF(AND(COUNT(AT1210:AV1210)=3,AT1210&gt;=AU1210,AU1210&gt;=0,AV1210&gt;0),(AT1210-AU1210)/AV1210,"")</f>
        <v>0</v>
      </c>
      <c r="AX1210" s="8" t="n">
        <v>0</v>
      </c>
      <c r="AY1210" s="8" t="n">
        <v>0</v>
      </c>
      <c r="AZ1210" s="8" t="n">
        <v>175</v>
      </c>
      <c r="BA1210" s="11" t="n">
        <f>IF(AND(COUNT(AX1210:AZ1210)=3,AX1210&gt;=AY1210,AY1210&gt;=0,AZ1210&gt;0),(AX1210-AY1210)/AZ1210,"")</f>
        <v>0</v>
      </c>
      <c r="BB1210" s="8" t="n">
        <f>IF(COUNT(AS1210,AW1210,BA1210)=3,1,0)</f>
        <v>1</v>
      </c>
      <c r="BC1210" s="11" t="n">
        <f>IF(SUMIF($AO$11:$AO$1309,AO1210,$BB$11:$BB$1309)=COUNTIF($AO$11:$AO$1309,AO1210),SUMIF($AO$11:$AO$1309,AO1210,$AS$11:$AS$1309),"")</f>
        <v>0</v>
      </c>
      <c r="BD1210" s="11" t="n">
        <f>IF(SUMIF($AO$11:$AO$1309,AO1210,$BB$11:$BB$1309)=COUNTIF($AO$11:$AO$1309,AO1210),SUMIF($AO$11:$AO$1309,AO1210,$AW$11:$AW$1309),"")</f>
        <v>0</v>
      </c>
      <c r="BE1210" s="11" t="n">
        <f>IF(SUMIF($AO$11:$AO$1309,AO1210,$BB$11:$BB$1309)=COUNTIF($AO$11:$AO$1309,AO1210),SUMIF($AO$11:$AO$1309,AO1210,$BA$11:$BA$1309),"")</f>
        <v>0.005714285714285714</v>
      </c>
      <c r="BF1210" s="12" t="n">
        <f>IF(COUNT(BD1210:BE1210)&lt;&gt;2,"",IF(AND(BD1210&gt;0,BE1210&gt;0),0.7*AW1210/BD1210+0.3*BA1210/BE1210,IF(BD1210&gt;0,AW1210/BD1210,IF(BE1210&gt;0,BA1210/BE1210,IF(AND(ISNUMBER(BH1210),BH1210=0),0,"")))))</f>
        <v>0</v>
      </c>
      <c r="BG1210" s="11" t="n">
        <f>IF(AND(COUNT(BN1210:BU1210)=8,MIN(BN1210:BU1210)&gt;=0),SUMPRODUCT(BN1210:BQ1210,BR1210:BU1210),"")</f>
        <v>63.935996265425516</v>
      </c>
      <c r="BH1210" s="11" t="n">
        <f>IF(COUNT(BC1210,BG1210)=2,BC1210*BG1210,"")</f>
        <v>0</v>
      </c>
      <c r="BI1210" s="11" t="n">
        <f>IF(ISNUMBER(CI1210),CI1210,"")</f>
        <v>0</v>
      </c>
      <c r="BJ1210" s="8" t="str">
        <v>近180天本色销量1双（＜90），无有效新采购，请运营判断</v>
      </c>
      <c r="BK1210" s="8" t="str">
        <v>90天：2026-07-20 至 2026-10-17；180天：2026-04-21 至 2026-10-17</v>
      </c>
      <c r="BL1210" s="8" t="str">
        <v>90天：2026-10-06、2026-10-07、2026-10-12、2026-10-13、2026-10-16；180天：2026-10-06、2026-10-07、2026-10-12、2026-10-13、2026-10-16</v>
      </c>
      <c r="BM1210" s="8" t="str">
        <v>2026-10：12天 × 0.8729500662042875；2026-11：30天 × 0.8057375774163482；2026-12：31天 × 0.532550303142279；2027-01：17天 × 0.7517299265337036</v>
      </c>
      <c r="BN1210" s="11" t="n">
        <v>0.8729500662042875</v>
      </c>
      <c r="BO1210" s="11" t="n">
        <v>0.8057375774163482</v>
      </c>
      <c r="BP1210" s="11" t="n">
        <v>0.532550303142279</v>
      </c>
      <c r="BQ1210" s="11" t="n">
        <v>0.7517299265337036</v>
      </c>
      <c r="BR1210" s="8" t="n">
        <v>12</v>
      </c>
      <c r="BS1210" s="8" t="n">
        <v>30</v>
      </c>
      <c r="BT1210" s="8" t="n">
        <v>31</v>
      </c>
      <c r="BU1210" s="8" t="n">
        <v>17</v>
      </c>
      <c r="BV1210" s="11" t="n">
        <f>IF(COUNT(BC1210,BF1210)=2,BC1210*BF1210,"")</f>
        <v>0</v>
      </c>
      <c r="BW1210" s="11" t="n">
        <f>IF(ISNUMBER(BN1210),BN1210,"")</f>
        <v>0.8729500662042875</v>
      </c>
      <c r="BX1210" s="14" t="n">
        <f>IF(ISNUMBER(BR1210),BR1210,"")</f>
        <v>12</v>
      </c>
      <c r="BY1210" s="13" t="n">
        <f>IF(AND(COUNT(BV1210,BW1210,BX1210)=3,MIN(BV1210,BW1210,BX1210)&gt;=0),BV1210*BW1210*BX1210,"")</f>
        <v>0</v>
      </c>
      <c r="BZ1210" s="11" t="n">
        <f>IF(ISNUMBER(BO1210),BO1210,"")</f>
        <v>0.8057375774163482</v>
      </c>
      <c r="CA1210" s="14" t="n">
        <f>IF(ISNUMBER(BS1210),BS1210,"")</f>
        <v>30</v>
      </c>
      <c r="CB1210" s="13" t="n">
        <f>IF(AND(COUNT(BV1210,BZ1210,CA1210)=3,MIN(BV1210,BZ1210,CA1210)&gt;=0),BV1210*BZ1210*CA1210,"")</f>
        <v>0</v>
      </c>
      <c r="CC1210" s="11" t="n">
        <f>IF(ISNUMBER(BP1210),BP1210,"")</f>
        <v>0.532550303142279</v>
      </c>
      <c r="CD1210" s="14" t="n">
        <f>IF(ISNUMBER(BT1210),BT1210,"")</f>
        <v>31</v>
      </c>
      <c r="CE1210" s="13" t="n">
        <f>IF(AND(COUNT(BV1210,CC1210,CD1210)=3,MIN(BV1210,CC1210,CD1210)&gt;=0),BV1210*CC1210*CD1210,"")</f>
        <v>0</v>
      </c>
      <c r="CF1210" s="11" t="n">
        <f>IF(ISNUMBER(BQ1210),BQ1210,"")</f>
        <v>0.7517299265337036</v>
      </c>
      <c r="CG1210" s="14" t="n">
        <f>IF(ISNUMBER(BU1210),BU1210,"")</f>
        <v>17</v>
      </c>
      <c r="CH1210" s="13" t="n">
        <f>IF(AND(COUNT(BV1210,CF1210,CG1210)=3,MIN(BV1210,CF1210,CG1210)&gt;=0),BV1210*CF1210*CG1210,"")</f>
        <v>0</v>
      </c>
      <c r="CI1210" s="13" t="n">
        <f>IF(COUNT(BY1210,CB1210,CE1210,CH1210)=4,SUM(BY1210,CB1210,CE1210,CH1210),"")</f>
        <v>0</v>
      </c>
    </row>
    <row r="1211" ht="72" customHeight="1">
      <c r="A1211" s="16" t="str">
        <v>1S01-CPG-38.5</v>
      </c>
      <c r="B1211" s="16" t="str">
        <v>1店-MUSSHOE-US</v>
      </c>
      <c r="C1211" s="16" t="str">
        <v>徐新怡</v>
      </c>
      <c r="D1211" s="26" t="str">
        <f>IF(NOT(ISNUMBER(E1211)),"",IF(OR(E1211&lt;=0,L1211=0),0,IF(OR(NOT(ISNUMBER(F1211)),F1211&lt;0),"",MIN(E1211,INT(F1211)))))</f>
      </c>
      <c r="E1211" s="27" t="str">
        <f>IF(OR(NOT(ISNUMBER(L1211)),COUNT(M1211:O1211)&lt;&gt;3,MIN(M1211:O1211)&lt;0),"",ROUNDUP(ROUND(BI1211-SUM(M1211:O1211),10),0))</f>
      </c>
      <c r="F1211" s="28"/>
      <c r="G1211" s="28" t="str">
        <f>IF(AND(ISNUMBER(D1211),ISNUMBER(E1211)),IF(OR(E1211&lt;=0,L1211=0),0,E1211-D1211),"")</f>
      </c>
      <c r="H1211" s="16" t="str">
        <f>IF(NOT(ISNUMBER(E1211)),"销量或海外库存待补",IF(OR(E1211&lt;=0,L1211=0),IF(L1211=0,"零日销，本批不发","本批无需补货"),IF(NOT(ISNUMBER(D1211)),"国内库存待补",IF(D1211=0,"国内无可用库存",IF(G1211&gt;0,"先发国内现货","按建议量发货")))))</f>
        <v>销量或海外库存待补</v>
      </c>
      <c r="I1211" s="28" t="n">
        <f>IF(AND(COUNT(Z1211,AA1211,AB1211)=3,Z1211&gt;=AA1211,AA1211&gt;=0,AB1211=7),Z1211-AA1211,"")</f>
        <v>0</v>
      </c>
      <c r="J1211" s="28" t="n">
        <f>IF(AND(COUNT(AF1211,AG1211,AH1211)=3,AF1211&gt;=AG1211,AG1211&gt;=0,AH1211=14),AF1211-AG1211,"")</f>
        <v>0</v>
      </c>
      <c r="K1211" s="28" t="n">
        <f>IF(AND(COUNT(AL1211,AM1211,AN1211)=3,AL1211&gt;=AM1211,AM1211&gt;=0,AN1211=30),AL1211-AM1211,"")</f>
        <v>0</v>
      </c>
      <c r="L1211" s="29" t="n">
        <f>IF(ISNUMBER(BI1211),BI1211/90,"")</f>
        <v>0</v>
      </c>
      <c r="M1211" s="28"/>
      <c r="N1211" s="28"/>
      <c r="O1211" s="28"/>
      <c r="P1211" s="30" t="str">
        <f>IF(AND(ISNUMBER(L1211),L1211&gt;0,COUNT(M1211:O1211)=3,MIN(M1211:O1211)&gt;=0),SUM(M1211:O1211)/L1211,"")</f>
      </c>
      <c r="Q1211" s="16" t="str">
        <v>按本SKU唯一未删除Listing店铺核实</v>
      </c>
      <c r="R1211" s="16" t="str">
        <v>未匹配</v>
      </c>
      <c r="S1211" s="16" t="str">
        <v>停售</v>
      </c>
      <c r="T1211" s="16" t="str">
        <v>1S01</v>
      </c>
      <c r="U1211" s="16" t="str">
        <v>香槟金</v>
      </c>
      <c r="V1211" s="16" t="n">
        <v>7.5</v>
      </c>
      <c r="W1211" s="8" t="str">
        <v>2026-10-08 至 2026-10-17</v>
      </c>
      <c r="X1211" s="8" t="str">
        <v>2026-10-08、2026-10-09、2026-10-10、2026-10-11、2026-10-14、2026-10-15、2026-10-17</v>
      </c>
      <c r="Y1211" s="8" t="str">
        <v>2026-10-12 有记录的停售日；2026-10-13 有记录的停售日；2026-10-16 有记录的停售日</v>
      </c>
      <c r="Z1211" s="8" t="n">
        <v>0</v>
      </c>
      <c r="AA1211" s="8" t="n">
        <v>0</v>
      </c>
      <c r="AB1211" s="8" t="n">
        <v>7</v>
      </c>
      <c r="AC1211" s="8" t="str">
        <v>2026-09-29 至 2026-10-17</v>
      </c>
      <c r="AD1211" s="8" t="str">
        <v>2026-09-29、2026-09-30、2026-10-01、2026-10-02、2026-10-03、2026-10-04、2026-10-05、2026-10-08、2026-10-09、2026-10-10、2026-10-11、2026-10-14、2026-10-15、2026-10-17</v>
      </c>
      <c r="AE1211" s="8" t="str">
        <v>2026-10-06 大促；2026-10-07 大促；2026-10-12 有记录的停售日；2026-10-13 有记录的停售日；2026-10-16 有记录的停售日</v>
      </c>
      <c r="AF1211" s="8" t="n">
        <v>0</v>
      </c>
      <c r="AG1211" s="8" t="n">
        <v>0</v>
      </c>
      <c r="AH1211" s="8" t="n">
        <v>14</v>
      </c>
      <c r="AI1211" s="8" t="str">
        <v>2026-09-13 至 2026-10-17</v>
      </c>
      <c r="AJ121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1" s="8" t="str">
        <v>2026-10-06 大促；2026-10-07 大促；2026-10-12 有记录的停售日；2026-10-13 有记录的停售日；2026-10-16 有记录的停售日</v>
      </c>
      <c r="AL1211" s="8" t="n">
        <v>0</v>
      </c>
      <c r="AM1211" s="8" t="n">
        <v>0</v>
      </c>
      <c r="AN1211" s="8" t="n">
        <v>30</v>
      </c>
      <c r="AO1211" s="8" t="str">
        <v>1S01 / 香槟金PU / 13120</v>
      </c>
      <c r="AP1211" s="11" t="n">
        <v>0.8729500662042875</v>
      </c>
      <c r="AQ1211" s="11" t="n">
        <v>0.9355747145678367</v>
      </c>
      <c r="AR1211" s="11" t="n">
        <v>1.135973589331194</v>
      </c>
      <c r="AS1211" s="11" t="n">
        <f>IF(AND(COUNT(I1211:K1211,AP1211:AR1211)=6,MIN(AP1211:AR1211)&gt;0),I1211/7/AP1211*0.5+J1211/14/AQ1211*0.3+K1211/30/AR1211*0.2,"")</f>
        <v>0</v>
      </c>
      <c r="AT1211" s="8" t="n">
        <v>0</v>
      </c>
      <c r="AU1211" s="8" t="n">
        <v>0</v>
      </c>
      <c r="AV1211" s="8" t="n">
        <v>85</v>
      </c>
      <c r="AW1211" s="11" t="n">
        <f>IF(AND(COUNT(AT1211:AV1211)=3,AT1211&gt;=AU1211,AU1211&gt;=0,AV1211&gt;0),(AT1211-AU1211)/AV1211,"")</f>
        <v>0</v>
      </c>
      <c r="AX1211" s="8" t="n">
        <v>0</v>
      </c>
      <c r="AY1211" s="8" t="n">
        <v>0</v>
      </c>
      <c r="AZ1211" s="8" t="n">
        <v>175</v>
      </c>
      <c r="BA1211" s="11" t="n">
        <f>IF(AND(COUNT(AX1211:AZ1211)=3,AX1211&gt;=AY1211,AY1211&gt;=0,AZ1211&gt;0),(AX1211-AY1211)/AZ1211,"")</f>
        <v>0</v>
      </c>
      <c r="BB1211" s="8" t="n">
        <f>IF(COUNT(AS1211,AW1211,BA1211)=3,1,0)</f>
        <v>1</v>
      </c>
      <c r="BC1211" s="11" t="n">
        <f>IF(SUMIF($AO$11:$AO$1309,AO1211,$BB$11:$BB$1309)=COUNTIF($AO$11:$AO$1309,AO1211),SUMIF($AO$11:$AO$1309,AO1211,$AS$11:$AS$1309),"")</f>
        <v>0</v>
      </c>
      <c r="BD1211" s="11" t="n">
        <f>IF(SUMIF($AO$11:$AO$1309,AO1211,$BB$11:$BB$1309)=COUNTIF($AO$11:$AO$1309,AO1211),SUMIF($AO$11:$AO$1309,AO1211,$AW$11:$AW$1309),"")</f>
        <v>0</v>
      </c>
      <c r="BE1211" s="11" t="n">
        <f>IF(SUMIF($AO$11:$AO$1309,AO1211,$BB$11:$BB$1309)=COUNTIF($AO$11:$AO$1309,AO1211),SUMIF($AO$11:$AO$1309,AO1211,$BA$11:$BA$1309),"")</f>
        <v>0.005714285714285714</v>
      </c>
      <c r="BF1211" s="12" t="n">
        <f>IF(COUNT(BD1211:BE1211)&lt;&gt;2,"",IF(AND(BD1211&gt;0,BE1211&gt;0),0.7*AW1211/BD1211+0.3*BA1211/BE1211,IF(BD1211&gt;0,AW1211/BD1211,IF(BE1211&gt;0,BA1211/BE1211,IF(AND(ISNUMBER(BH1211),BH1211=0),0,"")))))</f>
        <v>0</v>
      </c>
      <c r="BG1211" s="11" t="n">
        <f>IF(AND(COUNT(BN1211:BU1211)=8,MIN(BN1211:BU1211)&gt;=0),SUMPRODUCT(BN1211:BQ1211,BR1211:BU1211),"")</f>
        <v>63.935996265425516</v>
      </c>
      <c r="BH1211" s="11" t="n">
        <f>IF(COUNT(BC1211,BG1211)=2,BC1211*BG1211,"")</f>
        <v>0</v>
      </c>
      <c r="BI1211" s="11" t="n">
        <f>IF(ISNUMBER(CI1211),CI1211,"")</f>
        <v>0</v>
      </c>
      <c r="BJ1211" s="8" t="str">
        <v>近180天本色销量1双（＜90），无有效新采购，请运营判断</v>
      </c>
      <c r="BK1211" s="8" t="str">
        <v>90天：2026-07-20 至 2026-10-17；180天：2026-04-21 至 2026-10-17</v>
      </c>
      <c r="BL1211" s="8" t="str">
        <v>90天：2026-10-06、2026-10-07、2026-10-12、2026-10-13、2026-10-16；180天：2026-10-06、2026-10-07、2026-10-12、2026-10-13、2026-10-16</v>
      </c>
      <c r="BM1211" s="8" t="str">
        <v>2026-10：12天 × 0.8729500662042875；2026-11：30天 × 0.8057375774163482；2026-12：31天 × 0.532550303142279；2027-01：17天 × 0.7517299265337036</v>
      </c>
      <c r="BN1211" s="11" t="n">
        <v>0.8729500662042875</v>
      </c>
      <c r="BO1211" s="11" t="n">
        <v>0.8057375774163482</v>
      </c>
      <c r="BP1211" s="11" t="n">
        <v>0.532550303142279</v>
      </c>
      <c r="BQ1211" s="11" t="n">
        <v>0.7517299265337036</v>
      </c>
      <c r="BR1211" s="8" t="n">
        <v>12</v>
      </c>
      <c r="BS1211" s="8" t="n">
        <v>30</v>
      </c>
      <c r="BT1211" s="8" t="n">
        <v>31</v>
      </c>
      <c r="BU1211" s="8" t="n">
        <v>17</v>
      </c>
      <c r="BV1211" s="11" t="n">
        <f>IF(COUNT(BC1211,BF1211)=2,BC1211*BF1211,"")</f>
        <v>0</v>
      </c>
      <c r="BW1211" s="11" t="n">
        <f>IF(ISNUMBER(BN1211),BN1211,"")</f>
        <v>0.8729500662042875</v>
      </c>
      <c r="BX1211" s="14" t="n">
        <f>IF(ISNUMBER(BR1211),BR1211,"")</f>
        <v>12</v>
      </c>
      <c r="BY1211" s="13" t="n">
        <f>IF(AND(COUNT(BV1211,BW1211,BX1211)=3,MIN(BV1211,BW1211,BX1211)&gt;=0),BV1211*BW1211*BX1211,"")</f>
        <v>0</v>
      </c>
      <c r="BZ1211" s="11" t="n">
        <f>IF(ISNUMBER(BO1211),BO1211,"")</f>
        <v>0.8057375774163482</v>
      </c>
      <c r="CA1211" s="14" t="n">
        <f>IF(ISNUMBER(BS1211),BS1211,"")</f>
        <v>30</v>
      </c>
      <c r="CB1211" s="13" t="n">
        <f>IF(AND(COUNT(BV1211,BZ1211,CA1211)=3,MIN(BV1211,BZ1211,CA1211)&gt;=0),BV1211*BZ1211*CA1211,"")</f>
        <v>0</v>
      </c>
      <c r="CC1211" s="11" t="n">
        <f>IF(ISNUMBER(BP1211),BP1211,"")</f>
        <v>0.532550303142279</v>
      </c>
      <c r="CD1211" s="14" t="n">
        <f>IF(ISNUMBER(BT1211),BT1211,"")</f>
        <v>31</v>
      </c>
      <c r="CE1211" s="13" t="n">
        <f>IF(AND(COUNT(BV1211,CC1211,CD1211)=3,MIN(BV1211,CC1211,CD1211)&gt;=0),BV1211*CC1211*CD1211,"")</f>
        <v>0</v>
      </c>
      <c r="CF1211" s="11" t="n">
        <f>IF(ISNUMBER(BQ1211),BQ1211,"")</f>
        <v>0.7517299265337036</v>
      </c>
      <c r="CG1211" s="14" t="n">
        <f>IF(ISNUMBER(BU1211),BU1211,"")</f>
        <v>17</v>
      </c>
      <c r="CH1211" s="13" t="n">
        <f>IF(AND(COUNT(BV1211,CF1211,CG1211)=3,MIN(BV1211,CF1211,CG1211)&gt;=0),BV1211*CF1211*CG1211,"")</f>
        <v>0</v>
      </c>
      <c r="CI1211" s="13" t="n">
        <f>IF(COUNT(BY1211,CB1211,CE1211,CH1211)=4,SUM(BY1211,CB1211,CE1211,CH1211),"")</f>
        <v>0</v>
      </c>
    </row>
    <row r="1212" ht="72" customHeight="1">
      <c r="A1212" s="16" t="str">
        <v>1S01-CPG-39.5</v>
      </c>
      <c r="B1212" s="16" t="str">
        <v>1店-MUSSHOE-US</v>
      </c>
      <c r="C1212" s="16" t="str">
        <v>徐新怡</v>
      </c>
      <c r="D1212" s="26" t="str">
        <f>IF(NOT(ISNUMBER(E1212)),"",IF(OR(E1212&lt;=0,L1212=0),0,IF(OR(NOT(ISNUMBER(F1212)),F1212&lt;0),"",MIN(E1212,INT(F1212)))))</f>
      </c>
      <c r="E1212" s="27" t="str">
        <f>IF(OR(NOT(ISNUMBER(L1212)),COUNT(M1212:O1212)&lt;&gt;3,MIN(M1212:O1212)&lt;0),"",ROUNDUP(ROUND(BI1212-SUM(M1212:O1212),10),0))</f>
      </c>
      <c r="F1212" s="28"/>
      <c r="G1212" s="28" t="str">
        <f>IF(AND(ISNUMBER(D1212),ISNUMBER(E1212)),IF(OR(E1212&lt;=0,L1212=0),0,E1212-D1212),"")</f>
      </c>
      <c r="H1212" s="16" t="str">
        <f>IF(NOT(ISNUMBER(E1212)),"销量或海外库存待补",IF(OR(E1212&lt;=0,L1212=0),IF(L1212=0,"零日销，本批不发","本批无需补货"),IF(NOT(ISNUMBER(D1212)),"国内库存待补",IF(D1212=0,"国内无可用库存",IF(G1212&gt;0,"先发国内现货","按建议量发货")))))</f>
        <v>销量或海外库存待补</v>
      </c>
      <c r="I1212" s="28" t="n">
        <f>IF(AND(COUNT(Z1212,AA1212,AB1212)=3,Z1212&gt;=AA1212,AA1212&gt;=0,AB1212=7),Z1212-AA1212,"")</f>
        <v>0</v>
      </c>
      <c r="J1212" s="28" t="n">
        <f>IF(AND(COUNT(AF1212,AG1212,AH1212)=3,AF1212&gt;=AG1212,AG1212&gt;=0,AH1212=14),AF1212-AG1212,"")</f>
        <v>0</v>
      </c>
      <c r="K1212" s="28" t="n">
        <f>IF(AND(COUNT(AL1212,AM1212,AN1212)=3,AL1212&gt;=AM1212,AM1212&gt;=0,AN1212=30),AL1212-AM1212,"")</f>
        <v>0</v>
      </c>
      <c r="L1212" s="29" t="n">
        <f>IF(ISNUMBER(BI1212),BI1212/90,"")</f>
        <v>0</v>
      </c>
      <c r="M1212" s="28"/>
      <c r="N1212" s="28"/>
      <c r="O1212" s="28"/>
      <c r="P1212" s="30" t="str">
        <f>IF(AND(ISNUMBER(L1212),L1212&gt;0,COUNT(M1212:O1212)=3,MIN(M1212:O1212)&gt;=0),SUM(M1212:O1212)/L1212,"")</f>
      </c>
      <c r="Q1212" s="16" t="str">
        <v>按本SKU唯一未删除Listing店铺核实</v>
      </c>
      <c r="R1212" s="16" t="str">
        <v>未匹配</v>
      </c>
      <c r="S1212" s="16" t="str">
        <v>停售</v>
      </c>
      <c r="T1212" s="16" t="str">
        <v>1S01</v>
      </c>
      <c r="U1212" s="16" t="str">
        <v>香槟金</v>
      </c>
      <c r="V1212" s="16" t="n">
        <v>8.5</v>
      </c>
      <c r="W1212" s="8" t="str">
        <v>2026-10-08 至 2026-10-17</v>
      </c>
      <c r="X1212" s="8" t="str">
        <v>2026-10-08、2026-10-09、2026-10-10、2026-10-11、2026-10-14、2026-10-15、2026-10-17</v>
      </c>
      <c r="Y1212" s="8" t="str">
        <v>2026-10-12 有记录的停售日；2026-10-13 有记录的停售日；2026-10-16 有记录的停售日</v>
      </c>
      <c r="Z1212" s="8" t="n">
        <v>0</v>
      </c>
      <c r="AA1212" s="8" t="n">
        <v>0</v>
      </c>
      <c r="AB1212" s="8" t="n">
        <v>7</v>
      </c>
      <c r="AC1212" s="8" t="str">
        <v>2026-09-29 至 2026-10-17</v>
      </c>
      <c r="AD1212" s="8" t="str">
        <v>2026-09-29、2026-09-30、2026-10-01、2026-10-02、2026-10-03、2026-10-04、2026-10-05、2026-10-08、2026-10-09、2026-10-10、2026-10-11、2026-10-14、2026-10-15、2026-10-17</v>
      </c>
      <c r="AE1212" s="8" t="str">
        <v>2026-10-06 大促；2026-10-07 大促；2026-10-12 有记录的停售日；2026-10-13 有记录的停售日；2026-10-16 有记录的停售日</v>
      </c>
      <c r="AF1212" s="8" t="n">
        <v>0</v>
      </c>
      <c r="AG1212" s="8" t="n">
        <v>0</v>
      </c>
      <c r="AH1212" s="8" t="n">
        <v>14</v>
      </c>
      <c r="AI1212" s="8" t="str">
        <v>2026-09-13 至 2026-10-17</v>
      </c>
      <c r="AJ121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2" s="8" t="str">
        <v>2026-10-06 大促；2026-10-07 大促；2026-10-12 有记录的停售日；2026-10-13 有记录的停售日；2026-10-16 有记录的停售日</v>
      </c>
      <c r="AL1212" s="8" t="n">
        <v>0</v>
      </c>
      <c r="AM1212" s="8" t="n">
        <v>0</v>
      </c>
      <c r="AN1212" s="8" t="n">
        <v>30</v>
      </c>
      <c r="AO1212" s="8" t="str">
        <v>1S01 / 香槟金PU / 13120</v>
      </c>
      <c r="AP1212" s="11" t="n">
        <v>0.8729500662042875</v>
      </c>
      <c r="AQ1212" s="11" t="n">
        <v>0.9355747145678367</v>
      </c>
      <c r="AR1212" s="11" t="n">
        <v>1.135973589331194</v>
      </c>
      <c r="AS1212" s="11" t="n">
        <f>IF(AND(COUNT(I1212:K1212,AP1212:AR1212)=6,MIN(AP1212:AR1212)&gt;0),I1212/7/AP1212*0.5+J1212/14/AQ1212*0.3+K1212/30/AR1212*0.2,"")</f>
        <v>0</v>
      </c>
      <c r="AT1212" s="8" t="n">
        <v>0</v>
      </c>
      <c r="AU1212" s="8" t="n">
        <v>0</v>
      </c>
      <c r="AV1212" s="8" t="n">
        <v>85</v>
      </c>
      <c r="AW1212" s="11" t="n">
        <f>IF(AND(COUNT(AT1212:AV1212)=3,AT1212&gt;=AU1212,AU1212&gt;=0,AV1212&gt;0),(AT1212-AU1212)/AV1212,"")</f>
        <v>0</v>
      </c>
      <c r="AX1212" s="8" t="n">
        <v>0</v>
      </c>
      <c r="AY1212" s="8" t="n">
        <v>0</v>
      </c>
      <c r="AZ1212" s="8" t="n">
        <v>175</v>
      </c>
      <c r="BA1212" s="11" t="n">
        <f>IF(AND(COUNT(AX1212:AZ1212)=3,AX1212&gt;=AY1212,AY1212&gt;=0,AZ1212&gt;0),(AX1212-AY1212)/AZ1212,"")</f>
        <v>0</v>
      </c>
      <c r="BB1212" s="8" t="n">
        <f>IF(COUNT(AS1212,AW1212,BA1212)=3,1,0)</f>
        <v>1</v>
      </c>
      <c r="BC1212" s="11" t="n">
        <f>IF(SUMIF($AO$11:$AO$1309,AO1212,$BB$11:$BB$1309)=COUNTIF($AO$11:$AO$1309,AO1212),SUMIF($AO$11:$AO$1309,AO1212,$AS$11:$AS$1309),"")</f>
        <v>0</v>
      </c>
      <c r="BD1212" s="11" t="n">
        <f>IF(SUMIF($AO$11:$AO$1309,AO1212,$BB$11:$BB$1309)=COUNTIF($AO$11:$AO$1309,AO1212),SUMIF($AO$11:$AO$1309,AO1212,$AW$11:$AW$1309),"")</f>
        <v>0</v>
      </c>
      <c r="BE1212" s="11" t="n">
        <f>IF(SUMIF($AO$11:$AO$1309,AO1212,$BB$11:$BB$1309)=COUNTIF($AO$11:$AO$1309,AO1212),SUMIF($AO$11:$AO$1309,AO1212,$BA$11:$BA$1309),"")</f>
        <v>0.005714285714285714</v>
      </c>
      <c r="BF1212" s="12" t="n">
        <f>IF(COUNT(BD1212:BE1212)&lt;&gt;2,"",IF(AND(BD1212&gt;0,BE1212&gt;0),0.7*AW1212/BD1212+0.3*BA1212/BE1212,IF(BD1212&gt;0,AW1212/BD1212,IF(BE1212&gt;0,BA1212/BE1212,IF(AND(ISNUMBER(BH1212),BH1212=0),0,"")))))</f>
        <v>0</v>
      </c>
      <c r="BG1212" s="11" t="n">
        <f>IF(AND(COUNT(BN1212:BU1212)=8,MIN(BN1212:BU1212)&gt;=0),SUMPRODUCT(BN1212:BQ1212,BR1212:BU1212),"")</f>
        <v>63.935996265425516</v>
      </c>
      <c r="BH1212" s="11" t="n">
        <f>IF(COUNT(BC1212,BG1212)=2,BC1212*BG1212,"")</f>
        <v>0</v>
      </c>
      <c r="BI1212" s="11" t="n">
        <f>IF(ISNUMBER(CI1212),CI1212,"")</f>
        <v>0</v>
      </c>
      <c r="BJ1212" s="8" t="str">
        <v>近180天本色销量1双（＜90），无有效新采购，请运营判断</v>
      </c>
      <c r="BK1212" s="8" t="str">
        <v>90天：2026-07-20 至 2026-10-17；180天：2026-04-21 至 2026-10-17</v>
      </c>
      <c r="BL1212" s="8" t="str">
        <v>90天：2026-10-06、2026-10-07、2026-10-12、2026-10-13、2026-10-16；180天：2026-10-06、2026-10-07、2026-10-12、2026-10-13、2026-10-16</v>
      </c>
      <c r="BM1212" s="8" t="str">
        <v>2026-10：12天 × 0.8729500662042875；2026-11：30天 × 0.8057375774163482；2026-12：31天 × 0.532550303142279；2027-01：17天 × 0.7517299265337036</v>
      </c>
      <c r="BN1212" s="11" t="n">
        <v>0.8729500662042875</v>
      </c>
      <c r="BO1212" s="11" t="n">
        <v>0.8057375774163482</v>
      </c>
      <c r="BP1212" s="11" t="n">
        <v>0.532550303142279</v>
      </c>
      <c r="BQ1212" s="11" t="n">
        <v>0.7517299265337036</v>
      </c>
      <c r="BR1212" s="8" t="n">
        <v>12</v>
      </c>
      <c r="BS1212" s="8" t="n">
        <v>30</v>
      </c>
      <c r="BT1212" s="8" t="n">
        <v>31</v>
      </c>
      <c r="BU1212" s="8" t="n">
        <v>17</v>
      </c>
      <c r="BV1212" s="11" t="n">
        <f>IF(COUNT(BC1212,BF1212)=2,BC1212*BF1212,"")</f>
        <v>0</v>
      </c>
      <c r="BW1212" s="11" t="n">
        <f>IF(ISNUMBER(BN1212),BN1212,"")</f>
        <v>0.8729500662042875</v>
      </c>
      <c r="BX1212" s="14" t="n">
        <f>IF(ISNUMBER(BR1212),BR1212,"")</f>
        <v>12</v>
      </c>
      <c r="BY1212" s="13" t="n">
        <f>IF(AND(COUNT(BV1212,BW1212,BX1212)=3,MIN(BV1212,BW1212,BX1212)&gt;=0),BV1212*BW1212*BX1212,"")</f>
        <v>0</v>
      </c>
      <c r="BZ1212" s="11" t="n">
        <f>IF(ISNUMBER(BO1212),BO1212,"")</f>
        <v>0.8057375774163482</v>
      </c>
      <c r="CA1212" s="14" t="n">
        <f>IF(ISNUMBER(BS1212),BS1212,"")</f>
        <v>30</v>
      </c>
      <c r="CB1212" s="13" t="n">
        <f>IF(AND(COUNT(BV1212,BZ1212,CA1212)=3,MIN(BV1212,BZ1212,CA1212)&gt;=0),BV1212*BZ1212*CA1212,"")</f>
        <v>0</v>
      </c>
      <c r="CC1212" s="11" t="n">
        <f>IF(ISNUMBER(BP1212),BP1212,"")</f>
        <v>0.532550303142279</v>
      </c>
      <c r="CD1212" s="14" t="n">
        <f>IF(ISNUMBER(BT1212),BT1212,"")</f>
        <v>31</v>
      </c>
      <c r="CE1212" s="13" t="n">
        <f>IF(AND(COUNT(BV1212,CC1212,CD1212)=3,MIN(BV1212,CC1212,CD1212)&gt;=0),BV1212*CC1212*CD1212,"")</f>
        <v>0</v>
      </c>
      <c r="CF1212" s="11" t="n">
        <f>IF(ISNUMBER(BQ1212),BQ1212,"")</f>
        <v>0.7517299265337036</v>
      </c>
      <c r="CG1212" s="14" t="n">
        <f>IF(ISNUMBER(BU1212),BU1212,"")</f>
        <v>17</v>
      </c>
      <c r="CH1212" s="13" t="n">
        <f>IF(AND(COUNT(BV1212,CF1212,CG1212)=3,MIN(BV1212,CF1212,CG1212)&gt;=0),BV1212*CF1212*CG1212,"")</f>
        <v>0</v>
      </c>
      <c r="CI1212" s="13" t="n">
        <f>IF(COUNT(BY1212,CB1212,CE1212,CH1212)=4,SUM(BY1212,CB1212,CE1212,CH1212),"")</f>
        <v>0</v>
      </c>
    </row>
    <row r="1213" ht="72" customHeight="1">
      <c r="A1213" s="16" t="str">
        <v>1S01-CPG-40.5</v>
      </c>
      <c r="B1213" s="16" t="str">
        <v>1店-MUSSHOE-US</v>
      </c>
      <c r="C1213" s="16" t="str">
        <v>徐新怡</v>
      </c>
      <c r="D1213" s="26" t="str">
        <f>IF(NOT(ISNUMBER(E1213)),"",IF(OR(E1213&lt;=0,L1213=0),0,IF(OR(NOT(ISNUMBER(F1213)),F1213&lt;0),"",MIN(E1213,INT(F1213)))))</f>
      </c>
      <c r="E1213" s="27" t="str">
        <f>IF(OR(NOT(ISNUMBER(L1213)),COUNT(M1213:O1213)&lt;&gt;3,MIN(M1213:O1213)&lt;0),"",ROUNDUP(ROUND(BI1213-SUM(M1213:O1213),10),0))</f>
      </c>
      <c r="F1213" s="28"/>
      <c r="G1213" s="28" t="str">
        <f>IF(AND(ISNUMBER(D1213),ISNUMBER(E1213)),IF(OR(E1213&lt;=0,L1213=0),0,E1213-D1213),"")</f>
      </c>
      <c r="H1213" s="16" t="str">
        <f>IF(NOT(ISNUMBER(E1213)),"销量或海外库存待补",IF(OR(E1213&lt;=0,L1213=0),IF(L1213=0,"零日销，本批不发","本批无需补货"),IF(NOT(ISNUMBER(D1213)),"国内库存待补",IF(D1213=0,"国内无可用库存",IF(G1213&gt;0,"先发国内现货","按建议量发货")))))</f>
        <v>销量或海外库存待补</v>
      </c>
      <c r="I1213" s="28" t="n">
        <f>IF(AND(COUNT(Z1213,AA1213,AB1213)=3,Z1213&gt;=AA1213,AA1213&gt;=0,AB1213=7),Z1213-AA1213,"")</f>
        <v>0</v>
      </c>
      <c r="J1213" s="28" t="n">
        <f>IF(AND(COUNT(AF1213,AG1213,AH1213)=3,AF1213&gt;=AG1213,AG1213&gt;=0,AH1213=14),AF1213-AG1213,"")</f>
        <v>0</v>
      </c>
      <c r="K1213" s="28" t="n">
        <f>IF(AND(COUNT(AL1213,AM1213,AN1213)=3,AL1213&gt;=AM1213,AM1213&gt;=0,AN1213=30),AL1213-AM1213,"")</f>
        <v>0</v>
      </c>
      <c r="L1213" s="29" t="n">
        <f>IF(ISNUMBER(BI1213),BI1213/90,"")</f>
        <v>0</v>
      </c>
      <c r="M1213" s="28"/>
      <c r="N1213" s="28"/>
      <c r="O1213" s="28"/>
      <c r="P1213" s="30" t="str">
        <f>IF(AND(ISNUMBER(L1213),L1213&gt;0,COUNT(M1213:O1213)=3,MIN(M1213:O1213)&gt;=0),SUM(M1213:O1213)/L1213,"")</f>
      </c>
      <c r="Q1213" s="16" t="str">
        <v>按本SKU唯一未删除Listing店铺核实</v>
      </c>
      <c r="R1213" s="16" t="str">
        <v>未匹配</v>
      </c>
      <c r="S1213" s="16" t="str">
        <v>停售</v>
      </c>
      <c r="T1213" s="16" t="str">
        <v>1S01</v>
      </c>
      <c r="U1213" s="16" t="str">
        <v>香槟金</v>
      </c>
      <c r="V1213" s="16" t="n">
        <v>9.5</v>
      </c>
      <c r="W1213" s="8" t="str">
        <v>2026-10-08 至 2026-10-17</v>
      </c>
      <c r="X1213" s="8" t="str">
        <v>2026-10-08、2026-10-09、2026-10-10、2026-10-11、2026-10-14、2026-10-15、2026-10-17</v>
      </c>
      <c r="Y1213" s="8" t="str">
        <v>2026-10-12 有记录的停售日；2026-10-13 有记录的停售日；2026-10-16 有记录的停售日</v>
      </c>
      <c r="Z1213" s="8" t="n">
        <v>0</v>
      </c>
      <c r="AA1213" s="8" t="n">
        <v>0</v>
      </c>
      <c r="AB1213" s="8" t="n">
        <v>7</v>
      </c>
      <c r="AC1213" s="8" t="str">
        <v>2026-09-29 至 2026-10-17</v>
      </c>
      <c r="AD1213" s="8" t="str">
        <v>2026-09-29、2026-09-30、2026-10-01、2026-10-02、2026-10-03、2026-10-04、2026-10-05、2026-10-08、2026-10-09、2026-10-10、2026-10-11、2026-10-14、2026-10-15、2026-10-17</v>
      </c>
      <c r="AE1213" s="8" t="str">
        <v>2026-10-06 大促；2026-10-07 大促；2026-10-12 有记录的停售日；2026-10-13 有记录的停售日；2026-10-16 有记录的停售日</v>
      </c>
      <c r="AF1213" s="8" t="n">
        <v>0</v>
      </c>
      <c r="AG1213" s="8" t="n">
        <v>0</v>
      </c>
      <c r="AH1213" s="8" t="n">
        <v>14</v>
      </c>
      <c r="AI1213" s="8" t="str">
        <v>2026-09-13 至 2026-10-17</v>
      </c>
      <c r="AJ121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3" s="8" t="str">
        <v>2026-10-06 大促；2026-10-07 大促；2026-10-12 有记录的停售日；2026-10-13 有记录的停售日；2026-10-16 有记录的停售日</v>
      </c>
      <c r="AL1213" s="8" t="n">
        <v>0</v>
      </c>
      <c r="AM1213" s="8" t="n">
        <v>0</v>
      </c>
      <c r="AN1213" s="8" t="n">
        <v>30</v>
      </c>
      <c r="AO1213" s="8" t="str">
        <v>1S01 / 香槟金PU / 13120</v>
      </c>
      <c r="AP1213" s="11" t="n">
        <v>0.8729500662042875</v>
      </c>
      <c r="AQ1213" s="11" t="n">
        <v>0.9355747145678367</v>
      </c>
      <c r="AR1213" s="11" t="n">
        <v>1.135973589331194</v>
      </c>
      <c r="AS1213" s="11" t="n">
        <f>IF(AND(COUNT(I1213:K1213,AP1213:AR1213)=6,MIN(AP1213:AR1213)&gt;0),I1213/7/AP1213*0.5+J1213/14/AQ1213*0.3+K1213/30/AR1213*0.2,"")</f>
        <v>0</v>
      </c>
      <c r="AT1213" s="8" t="n">
        <v>0</v>
      </c>
      <c r="AU1213" s="8" t="n">
        <v>0</v>
      </c>
      <c r="AV1213" s="8" t="n">
        <v>85</v>
      </c>
      <c r="AW1213" s="11" t="n">
        <f>IF(AND(COUNT(AT1213:AV1213)=3,AT1213&gt;=AU1213,AU1213&gt;=0,AV1213&gt;0),(AT1213-AU1213)/AV1213,"")</f>
        <v>0</v>
      </c>
      <c r="AX1213" s="8" t="n">
        <v>1</v>
      </c>
      <c r="AY1213" s="8" t="n">
        <v>0</v>
      </c>
      <c r="AZ1213" s="8" t="n">
        <v>175</v>
      </c>
      <c r="BA1213" s="11" t="n">
        <f>IF(AND(COUNT(AX1213:AZ1213)=3,AX1213&gt;=AY1213,AY1213&gt;=0,AZ1213&gt;0),(AX1213-AY1213)/AZ1213,"")</f>
        <v>0.005714285714285714</v>
      </c>
      <c r="BB1213" s="8" t="n">
        <f>IF(COUNT(AS1213,AW1213,BA1213)=3,1,0)</f>
        <v>1</v>
      </c>
      <c r="BC1213" s="11" t="n">
        <f>IF(SUMIF($AO$11:$AO$1309,AO1213,$BB$11:$BB$1309)=COUNTIF($AO$11:$AO$1309,AO1213),SUMIF($AO$11:$AO$1309,AO1213,$AS$11:$AS$1309),"")</f>
        <v>0</v>
      </c>
      <c r="BD1213" s="11" t="n">
        <f>IF(SUMIF($AO$11:$AO$1309,AO1213,$BB$11:$BB$1309)=COUNTIF($AO$11:$AO$1309,AO1213),SUMIF($AO$11:$AO$1309,AO1213,$AW$11:$AW$1309),"")</f>
        <v>0</v>
      </c>
      <c r="BE1213" s="11" t="n">
        <f>IF(SUMIF($AO$11:$AO$1309,AO1213,$BB$11:$BB$1309)=COUNTIF($AO$11:$AO$1309,AO1213),SUMIF($AO$11:$AO$1309,AO1213,$BA$11:$BA$1309),"")</f>
        <v>0.005714285714285714</v>
      </c>
      <c r="BF1213" s="12" t="n">
        <f>IF(COUNT(BD1213:BE1213)&lt;&gt;2,"",IF(AND(BD1213&gt;0,BE1213&gt;0),0.7*AW1213/BD1213+0.3*BA1213/BE1213,IF(BD1213&gt;0,AW1213/BD1213,IF(BE1213&gt;0,BA1213/BE1213,IF(AND(ISNUMBER(BH1213),BH1213=0),0,"")))))</f>
        <v>1</v>
      </c>
      <c r="BG1213" s="11" t="n">
        <f>IF(AND(COUNT(BN1213:BU1213)=8,MIN(BN1213:BU1213)&gt;=0),SUMPRODUCT(BN1213:BQ1213,BR1213:BU1213),"")</f>
        <v>63.935996265425516</v>
      </c>
      <c r="BH1213" s="11" t="n">
        <f>IF(COUNT(BC1213,BG1213)=2,BC1213*BG1213,"")</f>
        <v>0</v>
      </c>
      <c r="BI1213" s="11" t="n">
        <f>IF(ISNUMBER(CI1213),CI1213,"")</f>
        <v>0</v>
      </c>
      <c r="BJ1213" s="8" t="str">
        <v>近180天本色销量1双（＜90），无有效新采购，请运营判断</v>
      </c>
      <c r="BK1213" s="8" t="str">
        <v>90天：2026-07-20 至 2026-10-17；180天：2026-04-21 至 2026-10-17</v>
      </c>
      <c r="BL1213" s="8" t="str">
        <v>90天：2026-10-06、2026-10-07、2026-10-12、2026-10-13、2026-10-16；180天：2026-10-06、2026-10-07、2026-10-12、2026-10-13、2026-10-16</v>
      </c>
      <c r="BM1213" s="8" t="str">
        <v>2026-10：12天 × 0.8729500662042875；2026-11：30天 × 0.8057375774163482；2026-12：31天 × 0.532550303142279；2027-01：17天 × 0.7517299265337036</v>
      </c>
      <c r="BN1213" s="11" t="n">
        <v>0.8729500662042875</v>
      </c>
      <c r="BO1213" s="11" t="n">
        <v>0.8057375774163482</v>
      </c>
      <c r="BP1213" s="11" t="n">
        <v>0.532550303142279</v>
      </c>
      <c r="BQ1213" s="11" t="n">
        <v>0.7517299265337036</v>
      </c>
      <c r="BR1213" s="8" t="n">
        <v>12</v>
      </c>
      <c r="BS1213" s="8" t="n">
        <v>30</v>
      </c>
      <c r="BT1213" s="8" t="n">
        <v>31</v>
      </c>
      <c r="BU1213" s="8" t="n">
        <v>17</v>
      </c>
      <c r="BV1213" s="11" t="n">
        <f>IF(COUNT(BC1213,BF1213)=2,BC1213*BF1213,"")</f>
        <v>0</v>
      </c>
      <c r="BW1213" s="11" t="n">
        <f>IF(ISNUMBER(BN1213),BN1213,"")</f>
        <v>0.8729500662042875</v>
      </c>
      <c r="BX1213" s="14" t="n">
        <f>IF(ISNUMBER(BR1213),BR1213,"")</f>
        <v>12</v>
      </c>
      <c r="BY1213" s="13" t="n">
        <f>IF(AND(COUNT(BV1213,BW1213,BX1213)=3,MIN(BV1213,BW1213,BX1213)&gt;=0),BV1213*BW1213*BX1213,"")</f>
        <v>0</v>
      </c>
      <c r="BZ1213" s="11" t="n">
        <f>IF(ISNUMBER(BO1213),BO1213,"")</f>
        <v>0.8057375774163482</v>
      </c>
      <c r="CA1213" s="14" t="n">
        <f>IF(ISNUMBER(BS1213),BS1213,"")</f>
        <v>30</v>
      </c>
      <c r="CB1213" s="13" t="n">
        <f>IF(AND(COUNT(BV1213,BZ1213,CA1213)=3,MIN(BV1213,BZ1213,CA1213)&gt;=0),BV1213*BZ1213*CA1213,"")</f>
        <v>0</v>
      </c>
      <c r="CC1213" s="11" t="n">
        <f>IF(ISNUMBER(BP1213),BP1213,"")</f>
        <v>0.532550303142279</v>
      </c>
      <c r="CD1213" s="14" t="n">
        <f>IF(ISNUMBER(BT1213),BT1213,"")</f>
        <v>31</v>
      </c>
      <c r="CE1213" s="13" t="n">
        <f>IF(AND(COUNT(BV1213,CC1213,CD1213)=3,MIN(BV1213,CC1213,CD1213)&gt;=0),BV1213*CC1213*CD1213,"")</f>
        <v>0</v>
      </c>
      <c r="CF1213" s="11" t="n">
        <f>IF(ISNUMBER(BQ1213),BQ1213,"")</f>
        <v>0.7517299265337036</v>
      </c>
      <c r="CG1213" s="14" t="n">
        <f>IF(ISNUMBER(BU1213),BU1213,"")</f>
        <v>17</v>
      </c>
      <c r="CH1213" s="13" t="n">
        <f>IF(AND(COUNT(BV1213,CF1213,CG1213)=3,MIN(BV1213,CF1213,CG1213)&gt;=0),BV1213*CF1213*CG1213,"")</f>
        <v>0</v>
      </c>
      <c r="CI1213" s="13" t="n">
        <f>IF(COUNT(BY1213,CB1213,CE1213,CH1213)=4,SUM(BY1213,CB1213,CE1213,CH1213),"")</f>
        <v>0</v>
      </c>
    </row>
    <row r="1214" ht="72" customHeight="1">
      <c r="A1214" s="16" t="str">
        <v>1S01-CPG-41.5</v>
      </c>
      <c r="B1214" s="16" t="str">
        <v>1店-MUSSHOE-US</v>
      </c>
      <c r="C1214" s="16" t="str">
        <v>徐新怡</v>
      </c>
      <c r="D1214" s="26" t="str">
        <f>IF(NOT(ISNUMBER(E1214)),"",IF(OR(E1214&lt;=0,L1214=0),0,IF(OR(NOT(ISNUMBER(F1214)),F1214&lt;0),"",MIN(E1214,INT(F1214)))))</f>
      </c>
      <c r="E1214" s="27" t="str">
        <f>IF(OR(NOT(ISNUMBER(L1214)),COUNT(M1214:O1214)&lt;&gt;3,MIN(M1214:O1214)&lt;0),"",ROUNDUP(ROUND(BI1214-SUM(M1214:O1214),10),0))</f>
      </c>
      <c r="F1214" s="28"/>
      <c r="G1214" s="28" t="str">
        <f>IF(AND(ISNUMBER(D1214),ISNUMBER(E1214)),IF(OR(E1214&lt;=0,L1214=0),0,E1214-D1214),"")</f>
      </c>
      <c r="H1214" s="16" t="str">
        <f>IF(NOT(ISNUMBER(E1214)),"销量或海外库存待补",IF(OR(E1214&lt;=0,L1214=0),IF(L1214=0,"零日销，本批不发","本批无需补货"),IF(NOT(ISNUMBER(D1214)),"国内库存待补",IF(D1214=0,"国内无可用库存",IF(G1214&gt;0,"先发国内现货","按建议量发货")))))</f>
        <v>销量或海外库存待补</v>
      </c>
      <c r="I1214" s="28" t="n">
        <f>IF(AND(COUNT(Z1214,AA1214,AB1214)=3,Z1214&gt;=AA1214,AA1214&gt;=0,AB1214=7),Z1214-AA1214,"")</f>
        <v>0</v>
      </c>
      <c r="J1214" s="28" t="n">
        <f>IF(AND(COUNT(AF1214,AG1214,AH1214)=3,AF1214&gt;=AG1214,AG1214&gt;=0,AH1214=14),AF1214-AG1214,"")</f>
        <v>0</v>
      </c>
      <c r="K1214" s="28" t="n">
        <f>IF(AND(COUNT(AL1214,AM1214,AN1214)=3,AL1214&gt;=AM1214,AM1214&gt;=0,AN1214=30),AL1214-AM1214,"")</f>
        <v>0</v>
      </c>
      <c r="L1214" s="29" t="n">
        <f>IF(ISNUMBER(BI1214),BI1214/90,"")</f>
        <v>0</v>
      </c>
      <c r="M1214" s="28"/>
      <c r="N1214" s="28"/>
      <c r="O1214" s="28"/>
      <c r="P1214" s="30" t="str">
        <f>IF(AND(ISNUMBER(L1214),L1214&gt;0,COUNT(M1214:O1214)=3,MIN(M1214:O1214)&gt;=0),SUM(M1214:O1214)/L1214,"")</f>
      </c>
      <c r="Q1214" s="16" t="str">
        <v>按本SKU唯一未删除Listing店铺核实</v>
      </c>
      <c r="R1214" s="16" t="str">
        <v>未匹配</v>
      </c>
      <c r="S1214" s="16" t="str">
        <v>停售</v>
      </c>
      <c r="T1214" s="16" t="str">
        <v>1S01</v>
      </c>
      <c r="U1214" s="16" t="str">
        <v>香槟金</v>
      </c>
      <c r="V1214" s="16" t="n">
        <v>10.5</v>
      </c>
      <c r="W1214" s="8" t="str">
        <v>2026-10-08 至 2026-10-17</v>
      </c>
      <c r="X1214" s="8" t="str">
        <v>2026-10-08、2026-10-09、2026-10-10、2026-10-11、2026-10-14、2026-10-15、2026-10-17</v>
      </c>
      <c r="Y1214" s="8" t="str">
        <v>2026-10-12 有记录的停售日；2026-10-13 有记录的停售日；2026-10-16 有记录的停售日</v>
      </c>
      <c r="Z1214" s="8" t="n">
        <v>0</v>
      </c>
      <c r="AA1214" s="8" t="n">
        <v>0</v>
      </c>
      <c r="AB1214" s="8" t="n">
        <v>7</v>
      </c>
      <c r="AC1214" s="8" t="str">
        <v>2026-09-29 至 2026-10-17</v>
      </c>
      <c r="AD1214" s="8" t="str">
        <v>2026-09-29、2026-09-30、2026-10-01、2026-10-02、2026-10-03、2026-10-04、2026-10-05、2026-10-08、2026-10-09、2026-10-10、2026-10-11、2026-10-14、2026-10-15、2026-10-17</v>
      </c>
      <c r="AE1214" s="8" t="str">
        <v>2026-10-06 大促；2026-10-07 大促；2026-10-12 有记录的停售日；2026-10-13 有记录的停售日；2026-10-16 有记录的停售日</v>
      </c>
      <c r="AF1214" s="8" t="n">
        <v>0</v>
      </c>
      <c r="AG1214" s="8" t="n">
        <v>0</v>
      </c>
      <c r="AH1214" s="8" t="n">
        <v>14</v>
      </c>
      <c r="AI1214" s="8" t="str">
        <v>2026-09-13 至 2026-10-17</v>
      </c>
      <c r="AJ121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4" s="8" t="str">
        <v>2026-10-06 大促；2026-10-07 大促；2026-10-12 有记录的停售日；2026-10-13 有记录的停售日；2026-10-16 有记录的停售日</v>
      </c>
      <c r="AL1214" s="8" t="n">
        <v>0</v>
      </c>
      <c r="AM1214" s="8" t="n">
        <v>0</v>
      </c>
      <c r="AN1214" s="8" t="n">
        <v>30</v>
      </c>
      <c r="AO1214" s="8" t="str">
        <v>1S01 / 香槟金PU / 13120</v>
      </c>
      <c r="AP1214" s="11" t="n">
        <v>0.8729500662042875</v>
      </c>
      <c r="AQ1214" s="11" t="n">
        <v>0.9355747145678367</v>
      </c>
      <c r="AR1214" s="11" t="n">
        <v>1.135973589331194</v>
      </c>
      <c r="AS1214" s="11" t="n">
        <f>IF(AND(COUNT(I1214:K1214,AP1214:AR1214)=6,MIN(AP1214:AR1214)&gt;0),I1214/7/AP1214*0.5+J1214/14/AQ1214*0.3+K1214/30/AR1214*0.2,"")</f>
        <v>0</v>
      </c>
      <c r="AT1214" s="8" t="n">
        <v>0</v>
      </c>
      <c r="AU1214" s="8" t="n">
        <v>0</v>
      </c>
      <c r="AV1214" s="8" t="n">
        <v>85</v>
      </c>
      <c r="AW1214" s="11" t="n">
        <f>IF(AND(COUNT(AT1214:AV1214)=3,AT1214&gt;=AU1214,AU1214&gt;=0,AV1214&gt;0),(AT1214-AU1214)/AV1214,"")</f>
        <v>0</v>
      </c>
      <c r="AX1214" s="8" t="n">
        <v>0</v>
      </c>
      <c r="AY1214" s="8" t="n">
        <v>0</v>
      </c>
      <c r="AZ1214" s="8" t="n">
        <v>175</v>
      </c>
      <c r="BA1214" s="11" t="n">
        <f>IF(AND(COUNT(AX1214:AZ1214)=3,AX1214&gt;=AY1214,AY1214&gt;=0,AZ1214&gt;0),(AX1214-AY1214)/AZ1214,"")</f>
        <v>0</v>
      </c>
      <c r="BB1214" s="8" t="n">
        <f>IF(COUNT(AS1214,AW1214,BA1214)=3,1,0)</f>
        <v>1</v>
      </c>
      <c r="BC1214" s="11" t="n">
        <f>IF(SUMIF($AO$11:$AO$1309,AO1214,$BB$11:$BB$1309)=COUNTIF($AO$11:$AO$1309,AO1214),SUMIF($AO$11:$AO$1309,AO1214,$AS$11:$AS$1309),"")</f>
        <v>0</v>
      </c>
      <c r="BD1214" s="11" t="n">
        <f>IF(SUMIF($AO$11:$AO$1309,AO1214,$BB$11:$BB$1309)=COUNTIF($AO$11:$AO$1309,AO1214),SUMIF($AO$11:$AO$1309,AO1214,$AW$11:$AW$1309),"")</f>
        <v>0</v>
      </c>
      <c r="BE1214" s="11" t="n">
        <f>IF(SUMIF($AO$11:$AO$1309,AO1214,$BB$11:$BB$1309)=COUNTIF($AO$11:$AO$1309,AO1214),SUMIF($AO$11:$AO$1309,AO1214,$BA$11:$BA$1309),"")</f>
        <v>0.005714285714285714</v>
      </c>
      <c r="BF1214" s="12" t="n">
        <f>IF(COUNT(BD1214:BE1214)&lt;&gt;2,"",IF(AND(BD1214&gt;0,BE1214&gt;0),0.7*AW1214/BD1214+0.3*BA1214/BE1214,IF(BD1214&gt;0,AW1214/BD1214,IF(BE1214&gt;0,BA1214/BE1214,IF(AND(ISNUMBER(BH1214),BH1214=0),0,"")))))</f>
        <v>0</v>
      </c>
      <c r="BG1214" s="11" t="n">
        <f>IF(AND(COUNT(BN1214:BU1214)=8,MIN(BN1214:BU1214)&gt;=0),SUMPRODUCT(BN1214:BQ1214,BR1214:BU1214),"")</f>
        <v>63.935996265425516</v>
      </c>
      <c r="BH1214" s="11" t="n">
        <f>IF(COUNT(BC1214,BG1214)=2,BC1214*BG1214,"")</f>
        <v>0</v>
      </c>
      <c r="BI1214" s="11" t="n">
        <f>IF(ISNUMBER(CI1214),CI1214,"")</f>
        <v>0</v>
      </c>
      <c r="BJ1214" s="8" t="str">
        <v>近180天本色销量1双（＜90），无有效新采购，请运营判断</v>
      </c>
      <c r="BK1214" s="8" t="str">
        <v>90天：2026-07-20 至 2026-10-17；180天：2026-04-21 至 2026-10-17</v>
      </c>
      <c r="BL1214" s="8" t="str">
        <v>90天：2026-10-06、2026-10-07、2026-10-12、2026-10-13、2026-10-16；180天：2026-10-06、2026-10-07、2026-10-12、2026-10-13、2026-10-16</v>
      </c>
      <c r="BM1214" s="8" t="str">
        <v>2026-10：12天 × 0.8729500662042875；2026-11：30天 × 0.8057375774163482；2026-12：31天 × 0.532550303142279；2027-01：17天 × 0.7517299265337036</v>
      </c>
      <c r="BN1214" s="11" t="n">
        <v>0.8729500662042875</v>
      </c>
      <c r="BO1214" s="11" t="n">
        <v>0.8057375774163482</v>
      </c>
      <c r="BP1214" s="11" t="n">
        <v>0.532550303142279</v>
      </c>
      <c r="BQ1214" s="11" t="n">
        <v>0.7517299265337036</v>
      </c>
      <c r="BR1214" s="8" t="n">
        <v>12</v>
      </c>
      <c r="BS1214" s="8" t="n">
        <v>30</v>
      </c>
      <c r="BT1214" s="8" t="n">
        <v>31</v>
      </c>
      <c r="BU1214" s="8" t="n">
        <v>17</v>
      </c>
      <c r="BV1214" s="11" t="n">
        <f>IF(COUNT(BC1214,BF1214)=2,BC1214*BF1214,"")</f>
        <v>0</v>
      </c>
      <c r="BW1214" s="11" t="n">
        <f>IF(ISNUMBER(BN1214),BN1214,"")</f>
        <v>0.8729500662042875</v>
      </c>
      <c r="BX1214" s="14" t="n">
        <f>IF(ISNUMBER(BR1214),BR1214,"")</f>
        <v>12</v>
      </c>
      <c r="BY1214" s="13" t="n">
        <f>IF(AND(COUNT(BV1214,BW1214,BX1214)=3,MIN(BV1214,BW1214,BX1214)&gt;=0),BV1214*BW1214*BX1214,"")</f>
        <v>0</v>
      </c>
      <c r="BZ1214" s="11" t="n">
        <f>IF(ISNUMBER(BO1214),BO1214,"")</f>
        <v>0.8057375774163482</v>
      </c>
      <c r="CA1214" s="14" t="n">
        <f>IF(ISNUMBER(BS1214),BS1214,"")</f>
        <v>30</v>
      </c>
      <c r="CB1214" s="13" t="n">
        <f>IF(AND(COUNT(BV1214,BZ1214,CA1214)=3,MIN(BV1214,BZ1214,CA1214)&gt;=0),BV1214*BZ1214*CA1214,"")</f>
        <v>0</v>
      </c>
      <c r="CC1214" s="11" t="n">
        <f>IF(ISNUMBER(BP1214),BP1214,"")</f>
        <v>0.532550303142279</v>
      </c>
      <c r="CD1214" s="14" t="n">
        <f>IF(ISNUMBER(BT1214),BT1214,"")</f>
        <v>31</v>
      </c>
      <c r="CE1214" s="13" t="n">
        <f>IF(AND(COUNT(BV1214,CC1214,CD1214)=3,MIN(BV1214,CC1214,CD1214)&gt;=0),BV1214*CC1214*CD1214,"")</f>
        <v>0</v>
      </c>
      <c r="CF1214" s="11" t="n">
        <f>IF(ISNUMBER(BQ1214),BQ1214,"")</f>
        <v>0.7517299265337036</v>
      </c>
      <c r="CG1214" s="14" t="n">
        <f>IF(ISNUMBER(BU1214),BU1214,"")</f>
        <v>17</v>
      </c>
      <c r="CH1214" s="13" t="n">
        <f>IF(AND(COUNT(BV1214,CF1214,CG1214)=3,MIN(BV1214,CF1214,CG1214)&gt;=0),BV1214*CF1214*CG1214,"")</f>
        <v>0</v>
      </c>
      <c r="CI1214" s="13" t="n">
        <f>IF(COUNT(BY1214,CB1214,CE1214,CH1214)=4,SUM(BY1214,CB1214,CE1214,CH1214),"")</f>
        <v>0</v>
      </c>
    </row>
    <row r="1215" ht="72" customHeight="1">
      <c r="A1215" s="16" t="str">
        <v>1S01-CPG-6</v>
      </c>
      <c r="B1215" s="16" t="str">
        <v>1店-MUSSHOE-US</v>
      </c>
      <c r="C1215" s="16" t="str">
        <v>徐新怡</v>
      </c>
      <c r="D1215" s="26" t="str">
        <f>IF(NOT(ISNUMBER(E1215)),"",IF(OR(E1215&lt;=0,L1215=0),0,IF(OR(NOT(ISNUMBER(F1215)),F1215&lt;0),"",MIN(E1215,INT(F1215)))))</f>
      </c>
      <c r="E1215" s="27" t="str">
        <f>IF(OR(NOT(ISNUMBER(L1215)),COUNT(M1215:O1215)&lt;&gt;3,MIN(M1215:O1215)&lt;0),"",ROUNDUP(ROUND(BI1215-SUM(M1215:O1215),10),0))</f>
      </c>
      <c r="F1215" s="28"/>
      <c r="G1215" s="28" t="str">
        <f>IF(AND(ISNUMBER(D1215),ISNUMBER(E1215)),IF(OR(E1215&lt;=0,L1215=0),0,E1215-D1215),"")</f>
      </c>
      <c r="H1215" s="16" t="str">
        <f>IF(NOT(ISNUMBER(E1215)),"销量或海外库存待补",IF(OR(E1215&lt;=0,L1215=0),IF(L1215=0,"零日销，本批不发","本批无需补货"),IF(NOT(ISNUMBER(D1215)),"国内库存待补",IF(D1215=0,"国内无可用库存",IF(G1215&gt;0,"先发国内现货","按建议量发货")))))</f>
        <v>销量或海外库存待补</v>
      </c>
      <c r="I1215" s="28" t="n">
        <f>IF(AND(COUNT(Z1215,AA1215,AB1215)=3,Z1215&gt;=AA1215,AA1215&gt;=0,AB1215=7),Z1215-AA1215,"")</f>
        <v>0</v>
      </c>
      <c r="J1215" s="28" t="n">
        <f>IF(AND(COUNT(AF1215,AG1215,AH1215)=3,AF1215&gt;=AG1215,AG1215&gt;=0,AH1215=14),AF1215-AG1215,"")</f>
        <v>0</v>
      </c>
      <c r="K1215" s="28" t="n">
        <f>IF(AND(COUNT(AL1215,AM1215,AN1215)=3,AL1215&gt;=AM1215,AM1215&gt;=0,AN1215=30),AL1215-AM1215,"")</f>
        <v>0</v>
      </c>
      <c r="L1215" s="29" t="n">
        <f>IF(ISNUMBER(BI1215),BI1215/90,"")</f>
        <v>0</v>
      </c>
      <c r="M1215" s="28"/>
      <c r="N1215" s="28"/>
      <c r="O1215" s="28"/>
      <c r="P1215" s="30" t="str">
        <f>IF(AND(ISNUMBER(L1215),L1215&gt;0,COUNT(M1215:O1215)=3,MIN(M1215:O1215)&gt;=0),SUM(M1215:O1215)/L1215,"")</f>
      </c>
      <c r="Q1215" s="16" t="str">
        <v>按本SKU唯一未删除Listing店铺核实</v>
      </c>
      <c r="R1215" s="16" t="str">
        <v>未匹配</v>
      </c>
      <c r="S1215" s="16" t="str">
        <v>停售</v>
      </c>
      <c r="T1215" s="16" t="str">
        <v>1S01</v>
      </c>
      <c r="U1215" s="16" t="str">
        <v>香槟金</v>
      </c>
      <c r="V1215" s="16" t="n">
        <v>6</v>
      </c>
      <c r="W1215" s="8" t="str">
        <v>2026-10-08 至 2026-10-17</v>
      </c>
      <c r="X1215" s="8" t="str">
        <v>2026-10-08、2026-10-09、2026-10-10、2026-10-11、2026-10-14、2026-10-15、2026-10-17</v>
      </c>
      <c r="Y1215" s="8" t="str">
        <v>2026-10-12 有记录的停售日；2026-10-13 有记录的停售日；2026-10-16 有记录的停售日</v>
      </c>
      <c r="Z1215" s="8" t="n">
        <v>0</v>
      </c>
      <c r="AA1215" s="8" t="n">
        <v>0</v>
      </c>
      <c r="AB1215" s="8" t="n">
        <v>7</v>
      </c>
      <c r="AC1215" s="8" t="str">
        <v>2026-09-29 至 2026-10-17</v>
      </c>
      <c r="AD1215" s="8" t="str">
        <v>2026-09-29、2026-09-30、2026-10-01、2026-10-02、2026-10-03、2026-10-04、2026-10-05、2026-10-08、2026-10-09、2026-10-10、2026-10-11、2026-10-14、2026-10-15、2026-10-17</v>
      </c>
      <c r="AE1215" s="8" t="str">
        <v>2026-10-06 大促；2026-10-07 大促；2026-10-12 有记录的停售日；2026-10-13 有记录的停售日；2026-10-16 有记录的停售日</v>
      </c>
      <c r="AF1215" s="8" t="n">
        <v>0</v>
      </c>
      <c r="AG1215" s="8" t="n">
        <v>0</v>
      </c>
      <c r="AH1215" s="8" t="n">
        <v>14</v>
      </c>
      <c r="AI1215" s="8" t="str">
        <v>2026-09-13 至 2026-10-17</v>
      </c>
      <c r="AJ121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5" s="8" t="str">
        <v>2026-10-06 大促；2026-10-07 大促；2026-10-12 有记录的停售日；2026-10-13 有记录的停售日；2026-10-16 有记录的停售日</v>
      </c>
      <c r="AL1215" s="8" t="n">
        <v>0</v>
      </c>
      <c r="AM1215" s="8" t="n">
        <v>0</v>
      </c>
      <c r="AN1215" s="8" t="n">
        <v>30</v>
      </c>
      <c r="AO1215" s="8" t="str">
        <v>1S01 / 香槟金PU / 13120</v>
      </c>
      <c r="AP1215" s="11" t="n">
        <v>0.8729500662042875</v>
      </c>
      <c r="AQ1215" s="11" t="n">
        <v>0.9355747145678367</v>
      </c>
      <c r="AR1215" s="11" t="n">
        <v>1.135973589331194</v>
      </c>
      <c r="AS1215" s="11" t="n">
        <f>IF(AND(COUNT(I1215:K1215,AP1215:AR1215)=6,MIN(AP1215:AR1215)&gt;0),I1215/7/AP1215*0.5+J1215/14/AQ1215*0.3+K1215/30/AR1215*0.2,"")</f>
        <v>0</v>
      </c>
      <c r="AT1215" s="8" t="n">
        <v>0</v>
      </c>
      <c r="AU1215" s="8" t="n">
        <v>0</v>
      </c>
      <c r="AV1215" s="8" t="n">
        <v>85</v>
      </c>
      <c r="AW1215" s="11" t="n">
        <f>IF(AND(COUNT(AT1215:AV1215)=3,AT1215&gt;=AU1215,AU1215&gt;=0,AV1215&gt;0),(AT1215-AU1215)/AV1215,"")</f>
        <v>0</v>
      </c>
      <c r="AX1215" s="8" t="n">
        <v>0</v>
      </c>
      <c r="AY1215" s="8" t="n">
        <v>0</v>
      </c>
      <c r="AZ1215" s="8" t="n">
        <v>175</v>
      </c>
      <c r="BA1215" s="11" t="n">
        <f>IF(AND(COUNT(AX1215:AZ1215)=3,AX1215&gt;=AY1215,AY1215&gt;=0,AZ1215&gt;0),(AX1215-AY1215)/AZ1215,"")</f>
        <v>0</v>
      </c>
      <c r="BB1215" s="8" t="n">
        <f>IF(COUNT(AS1215,AW1215,BA1215)=3,1,0)</f>
        <v>1</v>
      </c>
      <c r="BC1215" s="11" t="n">
        <f>IF(SUMIF($AO$11:$AO$1309,AO1215,$BB$11:$BB$1309)=COUNTIF($AO$11:$AO$1309,AO1215),SUMIF($AO$11:$AO$1309,AO1215,$AS$11:$AS$1309),"")</f>
        <v>0</v>
      </c>
      <c r="BD1215" s="11" t="n">
        <f>IF(SUMIF($AO$11:$AO$1309,AO1215,$BB$11:$BB$1309)=COUNTIF($AO$11:$AO$1309,AO1215),SUMIF($AO$11:$AO$1309,AO1215,$AW$11:$AW$1309),"")</f>
        <v>0</v>
      </c>
      <c r="BE1215" s="11" t="n">
        <f>IF(SUMIF($AO$11:$AO$1309,AO1215,$BB$11:$BB$1309)=COUNTIF($AO$11:$AO$1309,AO1215),SUMIF($AO$11:$AO$1309,AO1215,$BA$11:$BA$1309),"")</f>
        <v>0.005714285714285714</v>
      </c>
      <c r="BF1215" s="12" t="n">
        <f>IF(COUNT(BD1215:BE1215)&lt;&gt;2,"",IF(AND(BD1215&gt;0,BE1215&gt;0),0.7*AW1215/BD1215+0.3*BA1215/BE1215,IF(BD1215&gt;0,AW1215/BD1215,IF(BE1215&gt;0,BA1215/BE1215,IF(AND(ISNUMBER(BH1215),BH1215=0),0,"")))))</f>
        <v>0</v>
      </c>
      <c r="BG1215" s="11" t="n">
        <f>IF(AND(COUNT(BN1215:BU1215)=8,MIN(BN1215:BU1215)&gt;=0),SUMPRODUCT(BN1215:BQ1215,BR1215:BU1215),"")</f>
        <v>63.935996265425516</v>
      </c>
      <c r="BH1215" s="11" t="n">
        <f>IF(COUNT(BC1215,BG1215)=2,BC1215*BG1215,"")</f>
        <v>0</v>
      </c>
      <c r="BI1215" s="11" t="n">
        <f>IF(ISNUMBER(CI1215),CI1215,"")</f>
        <v>0</v>
      </c>
      <c r="BJ1215" s="8" t="str">
        <v>近180天本色销量1双（＜90），无有效新采购，请运营判断</v>
      </c>
      <c r="BK1215" s="8" t="str">
        <v>90天：2026-07-20 至 2026-10-17；180天：2026-04-21 至 2026-10-17</v>
      </c>
      <c r="BL1215" s="8" t="str">
        <v>90天：2026-10-06、2026-10-07、2026-10-12、2026-10-13、2026-10-16；180天：2026-10-06、2026-10-07、2026-10-12、2026-10-13、2026-10-16</v>
      </c>
      <c r="BM1215" s="8" t="str">
        <v>2026-10：12天 × 0.8729500662042875；2026-11：30天 × 0.8057375774163482；2026-12：31天 × 0.532550303142279；2027-01：17天 × 0.7517299265337036</v>
      </c>
      <c r="BN1215" s="11" t="n">
        <v>0.8729500662042875</v>
      </c>
      <c r="BO1215" s="11" t="n">
        <v>0.8057375774163482</v>
      </c>
      <c r="BP1215" s="11" t="n">
        <v>0.532550303142279</v>
      </c>
      <c r="BQ1215" s="11" t="n">
        <v>0.7517299265337036</v>
      </c>
      <c r="BR1215" s="8" t="n">
        <v>12</v>
      </c>
      <c r="BS1215" s="8" t="n">
        <v>30</v>
      </c>
      <c r="BT1215" s="8" t="n">
        <v>31</v>
      </c>
      <c r="BU1215" s="8" t="n">
        <v>17</v>
      </c>
      <c r="BV1215" s="11" t="n">
        <f>IF(COUNT(BC1215,BF1215)=2,BC1215*BF1215,"")</f>
        <v>0</v>
      </c>
      <c r="BW1215" s="11" t="n">
        <f>IF(ISNUMBER(BN1215),BN1215,"")</f>
        <v>0.8729500662042875</v>
      </c>
      <c r="BX1215" s="14" t="n">
        <f>IF(ISNUMBER(BR1215),BR1215,"")</f>
        <v>12</v>
      </c>
      <c r="BY1215" s="13" t="n">
        <f>IF(AND(COUNT(BV1215,BW1215,BX1215)=3,MIN(BV1215,BW1215,BX1215)&gt;=0),BV1215*BW1215*BX1215,"")</f>
        <v>0</v>
      </c>
      <c r="BZ1215" s="11" t="n">
        <f>IF(ISNUMBER(BO1215),BO1215,"")</f>
        <v>0.8057375774163482</v>
      </c>
      <c r="CA1215" s="14" t="n">
        <f>IF(ISNUMBER(BS1215),BS1215,"")</f>
        <v>30</v>
      </c>
      <c r="CB1215" s="13" t="n">
        <f>IF(AND(COUNT(BV1215,BZ1215,CA1215)=3,MIN(BV1215,BZ1215,CA1215)&gt;=0),BV1215*BZ1215*CA1215,"")</f>
        <v>0</v>
      </c>
      <c r="CC1215" s="11" t="n">
        <f>IF(ISNUMBER(BP1215),BP1215,"")</f>
        <v>0.532550303142279</v>
      </c>
      <c r="CD1215" s="14" t="n">
        <f>IF(ISNUMBER(BT1215),BT1215,"")</f>
        <v>31</v>
      </c>
      <c r="CE1215" s="13" t="n">
        <f>IF(AND(COUNT(BV1215,CC1215,CD1215)=3,MIN(BV1215,CC1215,CD1215)&gt;=0),BV1215*CC1215*CD1215,"")</f>
        <v>0</v>
      </c>
      <c r="CF1215" s="11" t="n">
        <f>IF(ISNUMBER(BQ1215),BQ1215,"")</f>
        <v>0.7517299265337036</v>
      </c>
      <c r="CG1215" s="14" t="n">
        <f>IF(ISNUMBER(BU1215),BU1215,"")</f>
        <v>17</v>
      </c>
      <c r="CH1215" s="13" t="n">
        <f>IF(AND(COUNT(BV1215,CF1215,CG1215)=3,MIN(BV1215,CF1215,CG1215)&gt;=0),BV1215*CF1215*CG1215,"")</f>
        <v>0</v>
      </c>
      <c r="CI1215" s="13" t="n">
        <f>IF(COUNT(BY1215,CB1215,CE1215,CH1215)=4,SUM(BY1215,CB1215,CE1215,CH1215),"")</f>
        <v>0</v>
      </c>
    </row>
    <row r="1216" ht="72" customHeight="1">
      <c r="A1216" s="16" t="str">
        <v>1S01-CPG-7</v>
      </c>
      <c r="B1216" s="16" t="str">
        <v>1店-MUSSHOE-US</v>
      </c>
      <c r="C1216" s="16" t="str">
        <v>徐新怡</v>
      </c>
      <c r="D1216" s="26" t="str">
        <f>IF(NOT(ISNUMBER(E1216)),"",IF(OR(E1216&lt;=0,L1216=0),0,IF(OR(NOT(ISNUMBER(F1216)),F1216&lt;0),"",MIN(E1216,INT(F1216)))))</f>
      </c>
      <c r="E1216" s="27" t="str">
        <f>IF(OR(NOT(ISNUMBER(L1216)),COUNT(M1216:O1216)&lt;&gt;3,MIN(M1216:O1216)&lt;0),"",ROUNDUP(ROUND(BI1216-SUM(M1216:O1216),10),0))</f>
      </c>
      <c r="F1216" s="28"/>
      <c r="G1216" s="28" t="str">
        <f>IF(AND(ISNUMBER(D1216),ISNUMBER(E1216)),IF(OR(E1216&lt;=0,L1216=0),0,E1216-D1216),"")</f>
      </c>
      <c r="H1216" s="16" t="str">
        <f>IF(NOT(ISNUMBER(E1216)),"销量或海外库存待补",IF(OR(E1216&lt;=0,L1216=0),IF(L1216=0,"零日销，本批不发","本批无需补货"),IF(NOT(ISNUMBER(D1216)),"国内库存待补",IF(D1216=0,"国内无可用库存",IF(G1216&gt;0,"先发国内现货","按建议量发货")))))</f>
        <v>销量或海外库存待补</v>
      </c>
      <c r="I1216" s="28" t="n">
        <f>IF(AND(COUNT(Z1216,AA1216,AB1216)=3,Z1216&gt;=AA1216,AA1216&gt;=0,AB1216=7),Z1216-AA1216,"")</f>
        <v>0</v>
      </c>
      <c r="J1216" s="28" t="n">
        <f>IF(AND(COUNT(AF1216,AG1216,AH1216)=3,AF1216&gt;=AG1216,AG1216&gt;=0,AH1216=14),AF1216-AG1216,"")</f>
        <v>0</v>
      </c>
      <c r="K1216" s="28" t="n">
        <f>IF(AND(COUNT(AL1216,AM1216,AN1216)=3,AL1216&gt;=AM1216,AM1216&gt;=0,AN1216=30),AL1216-AM1216,"")</f>
        <v>0</v>
      </c>
      <c r="L1216" s="29" t="n">
        <f>IF(ISNUMBER(BI1216),BI1216/90,"")</f>
        <v>0</v>
      </c>
      <c r="M1216" s="28"/>
      <c r="N1216" s="28"/>
      <c r="O1216" s="28"/>
      <c r="P1216" s="30" t="str">
        <f>IF(AND(ISNUMBER(L1216),L1216&gt;0,COUNT(M1216:O1216)=3,MIN(M1216:O1216)&gt;=0),SUM(M1216:O1216)/L1216,"")</f>
      </c>
      <c r="Q1216" s="16" t="str">
        <v>按本SKU唯一未删除Listing店铺核实</v>
      </c>
      <c r="R1216" s="16" t="str">
        <v>未匹配</v>
      </c>
      <c r="S1216" s="16" t="str">
        <v>停售</v>
      </c>
      <c r="T1216" s="16" t="str">
        <v>1S01</v>
      </c>
      <c r="U1216" s="16" t="str">
        <v>香槟金</v>
      </c>
      <c r="V1216" s="16" t="n">
        <v>7</v>
      </c>
      <c r="W1216" s="8" t="str">
        <v>2026-10-08 至 2026-10-17</v>
      </c>
      <c r="X1216" s="8" t="str">
        <v>2026-10-08、2026-10-09、2026-10-10、2026-10-11、2026-10-14、2026-10-15、2026-10-17</v>
      </c>
      <c r="Y1216" s="8" t="str">
        <v>2026-10-12 有记录的停售日；2026-10-13 有记录的停售日；2026-10-16 有记录的停售日</v>
      </c>
      <c r="Z1216" s="8" t="n">
        <v>0</v>
      </c>
      <c r="AA1216" s="8" t="n">
        <v>0</v>
      </c>
      <c r="AB1216" s="8" t="n">
        <v>7</v>
      </c>
      <c r="AC1216" s="8" t="str">
        <v>2026-09-29 至 2026-10-17</v>
      </c>
      <c r="AD1216" s="8" t="str">
        <v>2026-09-29、2026-09-30、2026-10-01、2026-10-02、2026-10-03、2026-10-04、2026-10-05、2026-10-08、2026-10-09、2026-10-10、2026-10-11、2026-10-14、2026-10-15、2026-10-17</v>
      </c>
      <c r="AE1216" s="8" t="str">
        <v>2026-10-06 大促；2026-10-07 大促；2026-10-12 有记录的停售日；2026-10-13 有记录的停售日；2026-10-16 有记录的停售日</v>
      </c>
      <c r="AF1216" s="8" t="n">
        <v>0</v>
      </c>
      <c r="AG1216" s="8" t="n">
        <v>0</v>
      </c>
      <c r="AH1216" s="8" t="n">
        <v>14</v>
      </c>
      <c r="AI1216" s="8" t="str">
        <v>2026-09-13 至 2026-10-17</v>
      </c>
      <c r="AJ121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6" s="8" t="str">
        <v>2026-10-06 大促；2026-10-07 大促；2026-10-12 有记录的停售日；2026-10-13 有记录的停售日；2026-10-16 有记录的停售日</v>
      </c>
      <c r="AL1216" s="8" t="n">
        <v>0</v>
      </c>
      <c r="AM1216" s="8" t="n">
        <v>0</v>
      </c>
      <c r="AN1216" s="8" t="n">
        <v>30</v>
      </c>
      <c r="AO1216" s="8" t="str">
        <v>1S01 / 香槟金PU / 13120</v>
      </c>
      <c r="AP1216" s="11" t="n">
        <v>0.8729500662042875</v>
      </c>
      <c r="AQ1216" s="11" t="n">
        <v>0.9355747145678367</v>
      </c>
      <c r="AR1216" s="11" t="n">
        <v>1.135973589331194</v>
      </c>
      <c r="AS1216" s="11" t="n">
        <f>IF(AND(COUNT(I1216:K1216,AP1216:AR1216)=6,MIN(AP1216:AR1216)&gt;0),I1216/7/AP1216*0.5+J1216/14/AQ1216*0.3+K1216/30/AR1216*0.2,"")</f>
        <v>0</v>
      </c>
      <c r="AT1216" s="8" t="n">
        <v>0</v>
      </c>
      <c r="AU1216" s="8" t="n">
        <v>0</v>
      </c>
      <c r="AV1216" s="8" t="n">
        <v>85</v>
      </c>
      <c r="AW1216" s="11" t="n">
        <f>IF(AND(COUNT(AT1216:AV1216)=3,AT1216&gt;=AU1216,AU1216&gt;=0,AV1216&gt;0),(AT1216-AU1216)/AV1216,"")</f>
        <v>0</v>
      </c>
      <c r="AX1216" s="8" t="n">
        <v>0</v>
      </c>
      <c r="AY1216" s="8" t="n">
        <v>0</v>
      </c>
      <c r="AZ1216" s="8" t="n">
        <v>175</v>
      </c>
      <c r="BA1216" s="11" t="n">
        <f>IF(AND(COUNT(AX1216:AZ1216)=3,AX1216&gt;=AY1216,AY1216&gt;=0,AZ1216&gt;0),(AX1216-AY1216)/AZ1216,"")</f>
        <v>0</v>
      </c>
      <c r="BB1216" s="8" t="n">
        <f>IF(COUNT(AS1216,AW1216,BA1216)=3,1,0)</f>
        <v>1</v>
      </c>
      <c r="BC1216" s="11" t="n">
        <f>IF(SUMIF($AO$11:$AO$1309,AO1216,$BB$11:$BB$1309)=COUNTIF($AO$11:$AO$1309,AO1216),SUMIF($AO$11:$AO$1309,AO1216,$AS$11:$AS$1309),"")</f>
        <v>0</v>
      </c>
      <c r="BD1216" s="11" t="n">
        <f>IF(SUMIF($AO$11:$AO$1309,AO1216,$BB$11:$BB$1309)=COUNTIF($AO$11:$AO$1309,AO1216),SUMIF($AO$11:$AO$1309,AO1216,$AW$11:$AW$1309),"")</f>
        <v>0</v>
      </c>
      <c r="BE1216" s="11" t="n">
        <f>IF(SUMIF($AO$11:$AO$1309,AO1216,$BB$11:$BB$1309)=COUNTIF($AO$11:$AO$1309,AO1216),SUMIF($AO$11:$AO$1309,AO1216,$BA$11:$BA$1309),"")</f>
        <v>0.005714285714285714</v>
      </c>
      <c r="BF1216" s="12" t="n">
        <f>IF(COUNT(BD1216:BE1216)&lt;&gt;2,"",IF(AND(BD1216&gt;0,BE1216&gt;0),0.7*AW1216/BD1216+0.3*BA1216/BE1216,IF(BD1216&gt;0,AW1216/BD1216,IF(BE1216&gt;0,BA1216/BE1216,IF(AND(ISNUMBER(BH1216),BH1216=0),0,"")))))</f>
        <v>0</v>
      </c>
      <c r="BG1216" s="11" t="n">
        <f>IF(AND(COUNT(BN1216:BU1216)=8,MIN(BN1216:BU1216)&gt;=0),SUMPRODUCT(BN1216:BQ1216,BR1216:BU1216),"")</f>
        <v>63.935996265425516</v>
      </c>
      <c r="BH1216" s="11" t="n">
        <f>IF(COUNT(BC1216,BG1216)=2,BC1216*BG1216,"")</f>
        <v>0</v>
      </c>
      <c r="BI1216" s="11" t="n">
        <f>IF(ISNUMBER(CI1216),CI1216,"")</f>
        <v>0</v>
      </c>
      <c r="BJ1216" s="8" t="str">
        <v>近180天本色销量1双（＜90），无有效新采购，请运营判断</v>
      </c>
      <c r="BK1216" s="8" t="str">
        <v>90天：2026-07-20 至 2026-10-17；180天：2026-04-21 至 2026-10-17</v>
      </c>
      <c r="BL1216" s="8" t="str">
        <v>90天：2026-10-06、2026-10-07、2026-10-12、2026-10-13、2026-10-16；180天：2026-10-06、2026-10-07、2026-10-12、2026-10-13、2026-10-16</v>
      </c>
      <c r="BM1216" s="8" t="str">
        <v>2026-10：12天 × 0.8729500662042875；2026-11：30天 × 0.8057375774163482；2026-12：31天 × 0.532550303142279；2027-01：17天 × 0.7517299265337036</v>
      </c>
      <c r="BN1216" s="11" t="n">
        <v>0.8729500662042875</v>
      </c>
      <c r="BO1216" s="11" t="n">
        <v>0.8057375774163482</v>
      </c>
      <c r="BP1216" s="11" t="n">
        <v>0.532550303142279</v>
      </c>
      <c r="BQ1216" s="11" t="n">
        <v>0.7517299265337036</v>
      </c>
      <c r="BR1216" s="8" t="n">
        <v>12</v>
      </c>
      <c r="BS1216" s="8" t="n">
        <v>30</v>
      </c>
      <c r="BT1216" s="8" t="n">
        <v>31</v>
      </c>
      <c r="BU1216" s="8" t="n">
        <v>17</v>
      </c>
      <c r="BV1216" s="11" t="n">
        <f>IF(COUNT(BC1216,BF1216)=2,BC1216*BF1216,"")</f>
        <v>0</v>
      </c>
      <c r="BW1216" s="11" t="n">
        <f>IF(ISNUMBER(BN1216),BN1216,"")</f>
        <v>0.8729500662042875</v>
      </c>
      <c r="BX1216" s="14" t="n">
        <f>IF(ISNUMBER(BR1216),BR1216,"")</f>
        <v>12</v>
      </c>
      <c r="BY1216" s="13" t="n">
        <f>IF(AND(COUNT(BV1216,BW1216,BX1216)=3,MIN(BV1216,BW1216,BX1216)&gt;=0),BV1216*BW1216*BX1216,"")</f>
        <v>0</v>
      </c>
      <c r="BZ1216" s="11" t="n">
        <f>IF(ISNUMBER(BO1216),BO1216,"")</f>
        <v>0.8057375774163482</v>
      </c>
      <c r="CA1216" s="14" t="n">
        <f>IF(ISNUMBER(BS1216),BS1216,"")</f>
        <v>30</v>
      </c>
      <c r="CB1216" s="13" t="n">
        <f>IF(AND(COUNT(BV1216,BZ1216,CA1216)=3,MIN(BV1216,BZ1216,CA1216)&gt;=0),BV1216*BZ1216*CA1216,"")</f>
        <v>0</v>
      </c>
      <c r="CC1216" s="11" t="n">
        <f>IF(ISNUMBER(BP1216),BP1216,"")</f>
        <v>0.532550303142279</v>
      </c>
      <c r="CD1216" s="14" t="n">
        <f>IF(ISNUMBER(BT1216),BT1216,"")</f>
        <v>31</v>
      </c>
      <c r="CE1216" s="13" t="n">
        <f>IF(AND(COUNT(BV1216,CC1216,CD1216)=3,MIN(BV1216,CC1216,CD1216)&gt;=0),BV1216*CC1216*CD1216,"")</f>
        <v>0</v>
      </c>
      <c r="CF1216" s="11" t="n">
        <f>IF(ISNUMBER(BQ1216),BQ1216,"")</f>
        <v>0.7517299265337036</v>
      </c>
      <c r="CG1216" s="14" t="n">
        <f>IF(ISNUMBER(BU1216),BU1216,"")</f>
        <v>17</v>
      </c>
      <c r="CH1216" s="13" t="n">
        <f>IF(AND(COUNT(BV1216,CF1216,CG1216)=3,MIN(BV1216,CF1216,CG1216)&gt;=0),BV1216*CF1216*CG1216,"")</f>
        <v>0</v>
      </c>
      <c r="CI1216" s="13" t="n">
        <f>IF(COUNT(BY1216,CB1216,CE1216,CH1216)=4,SUM(BY1216,CB1216,CE1216,CH1216),"")</f>
        <v>0</v>
      </c>
    </row>
    <row r="1217" ht="72" customHeight="1">
      <c r="A1217" s="16" t="str">
        <v>1S01-CPG-8</v>
      </c>
      <c r="B1217" s="16" t="str">
        <v>1店-MUSSHOE-US</v>
      </c>
      <c r="C1217" s="16" t="str">
        <v>徐新怡</v>
      </c>
      <c r="D1217" s="26" t="str">
        <f>IF(NOT(ISNUMBER(E1217)),"",IF(OR(E1217&lt;=0,L1217=0),0,IF(OR(NOT(ISNUMBER(F1217)),F1217&lt;0),"",MIN(E1217,INT(F1217)))))</f>
      </c>
      <c r="E1217" s="27" t="str">
        <f>IF(OR(NOT(ISNUMBER(L1217)),COUNT(M1217:O1217)&lt;&gt;3,MIN(M1217:O1217)&lt;0),"",ROUNDUP(ROUND(BI1217-SUM(M1217:O1217),10),0))</f>
      </c>
      <c r="F1217" s="28"/>
      <c r="G1217" s="28" t="str">
        <f>IF(AND(ISNUMBER(D1217),ISNUMBER(E1217)),IF(OR(E1217&lt;=0,L1217=0),0,E1217-D1217),"")</f>
      </c>
      <c r="H1217" s="16" t="str">
        <f>IF(NOT(ISNUMBER(E1217)),"销量或海外库存待补",IF(OR(E1217&lt;=0,L1217=0),IF(L1217=0,"零日销，本批不发","本批无需补货"),IF(NOT(ISNUMBER(D1217)),"国内库存待补",IF(D1217=0,"国内无可用库存",IF(G1217&gt;0,"先发国内现货","按建议量发货")))))</f>
        <v>销量或海外库存待补</v>
      </c>
      <c r="I1217" s="28" t="n">
        <f>IF(AND(COUNT(Z1217,AA1217,AB1217)=3,Z1217&gt;=AA1217,AA1217&gt;=0,AB1217=7),Z1217-AA1217,"")</f>
        <v>0</v>
      </c>
      <c r="J1217" s="28" t="n">
        <f>IF(AND(COUNT(AF1217,AG1217,AH1217)=3,AF1217&gt;=AG1217,AG1217&gt;=0,AH1217=14),AF1217-AG1217,"")</f>
        <v>0</v>
      </c>
      <c r="K1217" s="28" t="n">
        <f>IF(AND(COUNT(AL1217,AM1217,AN1217)=3,AL1217&gt;=AM1217,AM1217&gt;=0,AN1217=30),AL1217-AM1217,"")</f>
        <v>0</v>
      </c>
      <c r="L1217" s="29" t="n">
        <f>IF(ISNUMBER(BI1217),BI1217/90,"")</f>
        <v>0</v>
      </c>
      <c r="M1217" s="28"/>
      <c r="N1217" s="28"/>
      <c r="O1217" s="28"/>
      <c r="P1217" s="30" t="str">
        <f>IF(AND(ISNUMBER(L1217),L1217&gt;0,COUNT(M1217:O1217)=3,MIN(M1217:O1217)&gt;=0),SUM(M1217:O1217)/L1217,"")</f>
      </c>
      <c r="Q1217" s="16" t="str">
        <v>按本SKU唯一未删除Listing店铺核实</v>
      </c>
      <c r="R1217" s="16" t="str">
        <v>未匹配</v>
      </c>
      <c r="S1217" s="16" t="str">
        <v>停售</v>
      </c>
      <c r="T1217" s="16" t="str">
        <v>1S01</v>
      </c>
      <c r="U1217" s="16" t="str">
        <v>香槟金</v>
      </c>
      <c r="V1217" s="16" t="n">
        <v>8</v>
      </c>
      <c r="W1217" s="8" t="str">
        <v>2026-10-08 至 2026-10-17</v>
      </c>
      <c r="X1217" s="8" t="str">
        <v>2026-10-08、2026-10-09、2026-10-10、2026-10-11、2026-10-14、2026-10-15、2026-10-17</v>
      </c>
      <c r="Y1217" s="8" t="str">
        <v>2026-10-12 有记录的停售日；2026-10-13 有记录的停售日；2026-10-16 有记录的停售日</v>
      </c>
      <c r="Z1217" s="8" t="n">
        <v>0</v>
      </c>
      <c r="AA1217" s="8" t="n">
        <v>0</v>
      </c>
      <c r="AB1217" s="8" t="n">
        <v>7</v>
      </c>
      <c r="AC1217" s="8" t="str">
        <v>2026-09-29 至 2026-10-17</v>
      </c>
      <c r="AD1217" s="8" t="str">
        <v>2026-09-29、2026-09-30、2026-10-01、2026-10-02、2026-10-03、2026-10-04、2026-10-05、2026-10-08、2026-10-09、2026-10-10、2026-10-11、2026-10-14、2026-10-15、2026-10-17</v>
      </c>
      <c r="AE1217" s="8" t="str">
        <v>2026-10-06 大促；2026-10-07 大促；2026-10-12 有记录的停售日；2026-10-13 有记录的停售日；2026-10-16 有记录的停售日</v>
      </c>
      <c r="AF1217" s="8" t="n">
        <v>0</v>
      </c>
      <c r="AG1217" s="8" t="n">
        <v>0</v>
      </c>
      <c r="AH1217" s="8" t="n">
        <v>14</v>
      </c>
      <c r="AI1217" s="8" t="str">
        <v>2026-09-13 至 2026-10-17</v>
      </c>
      <c r="AJ121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7" s="8" t="str">
        <v>2026-10-06 大促；2026-10-07 大促；2026-10-12 有记录的停售日；2026-10-13 有记录的停售日；2026-10-16 有记录的停售日</v>
      </c>
      <c r="AL1217" s="8" t="n">
        <v>0</v>
      </c>
      <c r="AM1217" s="8" t="n">
        <v>0</v>
      </c>
      <c r="AN1217" s="8" t="n">
        <v>30</v>
      </c>
      <c r="AO1217" s="8" t="str">
        <v>1S01 / 香槟金PU / 13120</v>
      </c>
      <c r="AP1217" s="11" t="n">
        <v>0.8729500662042875</v>
      </c>
      <c r="AQ1217" s="11" t="n">
        <v>0.9355747145678367</v>
      </c>
      <c r="AR1217" s="11" t="n">
        <v>1.135973589331194</v>
      </c>
      <c r="AS1217" s="11" t="n">
        <f>IF(AND(COUNT(I1217:K1217,AP1217:AR1217)=6,MIN(AP1217:AR1217)&gt;0),I1217/7/AP1217*0.5+J1217/14/AQ1217*0.3+K1217/30/AR1217*0.2,"")</f>
        <v>0</v>
      </c>
      <c r="AT1217" s="8" t="n">
        <v>0</v>
      </c>
      <c r="AU1217" s="8" t="n">
        <v>0</v>
      </c>
      <c r="AV1217" s="8" t="n">
        <v>85</v>
      </c>
      <c r="AW1217" s="11" t="n">
        <f>IF(AND(COUNT(AT1217:AV1217)=3,AT1217&gt;=AU1217,AU1217&gt;=0,AV1217&gt;0),(AT1217-AU1217)/AV1217,"")</f>
        <v>0</v>
      </c>
      <c r="AX1217" s="8" t="n">
        <v>0</v>
      </c>
      <c r="AY1217" s="8" t="n">
        <v>0</v>
      </c>
      <c r="AZ1217" s="8" t="n">
        <v>175</v>
      </c>
      <c r="BA1217" s="11" t="n">
        <f>IF(AND(COUNT(AX1217:AZ1217)=3,AX1217&gt;=AY1217,AY1217&gt;=0,AZ1217&gt;0),(AX1217-AY1217)/AZ1217,"")</f>
        <v>0</v>
      </c>
      <c r="BB1217" s="8" t="n">
        <f>IF(COUNT(AS1217,AW1217,BA1217)=3,1,0)</f>
        <v>1</v>
      </c>
      <c r="BC1217" s="11" t="n">
        <f>IF(SUMIF($AO$11:$AO$1309,AO1217,$BB$11:$BB$1309)=COUNTIF($AO$11:$AO$1309,AO1217),SUMIF($AO$11:$AO$1309,AO1217,$AS$11:$AS$1309),"")</f>
        <v>0</v>
      </c>
      <c r="BD1217" s="11" t="n">
        <f>IF(SUMIF($AO$11:$AO$1309,AO1217,$BB$11:$BB$1309)=COUNTIF($AO$11:$AO$1309,AO1217),SUMIF($AO$11:$AO$1309,AO1217,$AW$11:$AW$1309),"")</f>
        <v>0</v>
      </c>
      <c r="BE1217" s="11" t="n">
        <f>IF(SUMIF($AO$11:$AO$1309,AO1217,$BB$11:$BB$1309)=COUNTIF($AO$11:$AO$1309,AO1217),SUMIF($AO$11:$AO$1309,AO1217,$BA$11:$BA$1309),"")</f>
        <v>0.005714285714285714</v>
      </c>
      <c r="BF1217" s="12" t="n">
        <f>IF(COUNT(BD1217:BE1217)&lt;&gt;2,"",IF(AND(BD1217&gt;0,BE1217&gt;0),0.7*AW1217/BD1217+0.3*BA1217/BE1217,IF(BD1217&gt;0,AW1217/BD1217,IF(BE1217&gt;0,BA1217/BE1217,IF(AND(ISNUMBER(BH1217),BH1217=0),0,"")))))</f>
        <v>0</v>
      </c>
      <c r="BG1217" s="11" t="n">
        <f>IF(AND(COUNT(BN1217:BU1217)=8,MIN(BN1217:BU1217)&gt;=0),SUMPRODUCT(BN1217:BQ1217,BR1217:BU1217),"")</f>
        <v>63.935996265425516</v>
      </c>
      <c r="BH1217" s="11" t="n">
        <f>IF(COUNT(BC1217,BG1217)=2,BC1217*BG1217,"")</f>
        <v>0</v>
      </c>
      <c r="BI1217" s="11" t="n">
        <f>IF(ISNUMBER(CI1217),CI1217,"")</f>
        <v>0</v>
      </c>
      <c r="BJ1217" s="8" t="str">
        <v>近180天本色销量1双（＜90），无有效新采购，请运营判断</v>
      </c>
      <c r="BK1217" s="8" t="str">
        <v>90天：2026-07-20 至 2026-10-17；180天：2026-04-21 至 2026-10-17</v>
      </c>
      <c r="BL1217" s="8" t="str">
        <v>90天：2026-10-06、2026-10-07、2026-10-12、2026-10-13、2026-10-16；180天：2026-10-06、2026-10-07、2026-10-12、2026-10-13、2026-10-16</v>
      </c>
      <c r="BM1217" s="8" t="str">
        <v>2026-10：12天 × 0.8729500662042875；2026-11：30天 × 0.8057375774163482；2026-12：31天 × 0.532550303142279；2027-01：17天 × 0.7517299265337036</v>
      </c>
      <c r="BN1217" s="11" t="n">
        <v>0.8729500662042875</v>
      </c>
      <c r="BO1217" s="11" t="n">
        <v>0.8057375774163482</v>
      </c>
      <c r="BP1217" s="11" t="n">
        <v>0.532550303142279</v>
      </c>
      <c r="BQ1217" s="11" t="n">
        <v>0.7517299265337036</v>
      </c>
      <c r="BR1217" s="8" t="n">
        <v>12</v>
      </c>
      <c r="BS1217" s="8" t="n">
        <v>30</v>
      </c>
      <c r="BT1217" s="8" t="n">
        <v>31</v>
      </c>
      <c r="BU1217" s="8" t="n">
        <v>17</v>
      </c>
      <c r="BV1217" s="11" t="n">
        <f>IF(COUNT(BC1217,BF1217)=2,BC1217*BF1217,"")</f>
        <v>0</v>
      </c>
      <c r="BW1217" s="11" t="n">
        <f>IF(ISNUMBER(BN1217),BN1217,"")</f>
        <v>0.8729500662042875</v>
      </c>
      <c r="BX1217" s="14" t="n">
        <f>IF(ISNUMBER(BR1217),BR1217,"")</f>
        <v>12</v>
      </c>
      <c r="BY1217" s="13" t="n">
        <f>IF(AND(COUNT(BV1217,BW1217,BX1217)=3,MIN(BV1217,BW1217,BX1217)&gt;=0),BV1217*BW1217*BX1217,"")</f>
        <v>0</v>
      </c>
      <c r="BZ1217" s="11" t="n">
        <f>IF(ISNUMBER(BO1217),BO1217,"")</f>
        <v>0.8057375774163482</v>
      </c>
      <c r="CA1217" s="14" t="n">
        <f>IF(ISNUMBER(BS1217),BS1217,"")</f>
        <v>30</v>
      </c>
      <c r="CB1217" s="13" t="n">
        <f>IF(AND(COUNT(BV1217,BZ1217,CA1217)=3,MIN(BV1217,BZ1217,CA1217)&gt;=0),BV1217*BZ1217*CA1217,"")</f>
        <v>0</v>
      </c>
      <c r="CC1217" s="11" t="n">
        <f>IF(ISNUMBER(BP1217),BP1217,"")</f>
        <v>0.532550303142279</v>
      </c>
      <c r="CD1217" s="14" t="n">
        <f>IF(ISNUMBER(BT1217),BT1217,"")</f>
        <v>31</v>
      </c>
      <c r="CE1217" s="13" t="n">
        <f>IF(AND(COUNT(BV1217,CC1217,CD1217)=3,MIN(BV1217,CC1217,CD1217)&gt;=0),BV1217*CC1217*CD1217,"")</f>
        <v>0</v>
      </c>
      <c r="CF1217" s="11" t="n">
        <f>IF(ISNUMBER(BQ1217),BQ1217,"")</f>
        <v>0.7517299265337036</v>
      </c>
      <c r="CG1217" s="14" t="n">
        <f>IF(ISNUMBER(BU1217),BU1217,"")</f>
        <v>17</v>
      </c>
      <c r="CH1217" s="13" t="n">
        <f>IF(AND(COUNT(BV1217,CF1217,CG1217)=3,MIN(BV1217,CF1217,CG1217)&gt;=0),BV1217*CF1217*CG1217,"")</f>
        <v>0</v>
      </c>
      <c r="CI1217" s="13" t="n">
        <f>IF(COUNT(BY1217,CB1217,CE1217,CH1217)=4,SUM(BY1217,CB1217,CE1217,CH1217),"")</f>
        <v>0</v>
      </c>
    </row>
    <row r="1218" ht="72" customHeight="1">
      <c r="A1218" s="16" t="str">
        <v>1S01-CPG-9</v>
      </c>
      <c r="B1218" s="16" t="str">
        <v>1店-MUSSHOE-US</v>
      </c>
      <c r="C1218" s="16" t="str">
        <v>徐新怡</v>
      </c>
      <c r="D1218" s="26" t="str">
        <f>IF(NOT(ISNUMBER(E1218)),"",IF(OR(E1218&lt;=0,L1218=0),0,IF(OR(NOT(ISNUMBER(F1218)),F1218&lt;0),"",MIN(E1218,INT(F1218)))))</f>
      </c>
      <c r="E1218" s="27" t="str">
        <f>IF(OR(NOT(ISNUMBER(L1218)),COUNT(M1218:O1218)&lt;&gt;3,MIN(M1218:O1218)&lt;0),"",ROUNDUP(ROUND(BI1218-SUM(M1218:O1218),10),0))</f>
      </c>
      <c r="F1218" s="28"/>
      <c r="G1218" s="28" t="str">
        <f>IF(AND(ISNUMBER(D1218),ISNUMBER(E1218)),IF(OR(E1218&lt;=0,L1218=0),0,E1218-D1218),"")</f>
      </c>
      <c r="H1218" s="16" t="str">
        <f>IF(NOT(ISNUMBER(E1218)),"销量或海外库存待补",IF(OR(E1218&lt;=0,L1218=0),IF(L1218=0,"零日销，本批不发","本批无需补货"),IF(NOT(ISNUMBER(D1218)),"国内库存待补",IF(D1218=0,"国内无可用库存",IF(G1218&gt;0,"先发国内现货","按建议量发货")))))</f>
        <v>销量或海外库存待补</v>
      </c>
      <c r="I1218" s="28" t="n">
        <f>IF(AND(COUNT(Z1218,AA1218,AB1218)=3,Z1218&gt;=AA1218,AA1218&gt;=0,AB1218=7),Z1218-AA1218,"")</f>
        <v>0</v>
      </c>
      <c r="J1218" s="28" t="n">
        <f>IF(AND(COUNT(AF1218,AG1218,AH1218)=3,AF1218&gt;=AG1218,AG1218&gt;=0,AH1218=14),AF1218-AG1218,"")</f>
        <v>0</v>
      </c>
      <c r="K1218" s="28" t="n">
        <f>IF(AND(COUNT(AL1218,AM1218,AN1218)=3,AL1218&gt;=AM1218,AM1218&gt;=0,AN1218=30),AL1218-AM1218,"")</f>
        <v>0</v>
      </c>
      <c r="L1218" s="29" t="n">
        <f>IF(ISNUMBER(BI1218),BI1218/90,"")</f>
        <v>0</v>
      </c>
      <c r="M1218" s="28"/>
      <c r="N1218" s="28"/>
      <c r="O1218" s="28"/>
      <c r="P1218" s="30" t="str">
        <f>IF(AND(ISNUMBER(L1218),L1218&gt;0,COUNT(M1218:O1218)=3,MIN(M1218:O1218)&gt;=0),SUM(M1218:O1218)/L1218,"")</f>
      </c>
      <c r="Q1218" s="16" t="str">
        <v>按本SKU唯一未删除Listing店铺核实</v>
      </c>
      <c r="R1218" s="16" t="str">
        <v>未匹配</v>
      </c>
      <c r="S1218" s="16" t="str">
        <v>停售</v>
      </c>
      <c r="T1218" s="16" t="str">
        <v>1S01</v>
      </c>
      <c r="U1218" s="16" t="str">
        <v>香槟金</v>
      </c>
      <c r="V1218" s="16" t="n">
        <v>9</v>
      </c>
      <c r="W1218" s="8" t="str">
        <v>2026-10-08 至 2026-10-17</v>
      </c>
      <c r="X1218" s="8" t="str">
        <v>2026-10-08、2026-10-09、2026-10-10、2026-10-11、2026-10-14、2026-10-15、2026-10-17</v>
      </c>
      <c r="Y1218" s="8" t="str">
        <v>2026-10-12 有记录的停售日；2026-10-13 有记录的停售日；2026-10-16 有记录的停售日</v>
      </c>
      <c r="Z1218" s="8" t="n">
        <v>0</v>
      </c>
      <c r="AA1218" s="8" t="n">
        <v>0</v>
      </c>
      <c r="AB1218" s="8" t="n">
        <v>7</v>
      </c>
      <c r="AC1218" s="8" t="str">
        <v>2026-09-29 至 2026-10-17</v>
      </c>
      <c r="AD1218" s="8" t="str">
        <v>2026-09-29、2026-09-30、2026-10-01、2026-10-02、2026-10-03、2026-10-04、2026-10-05、2026-10-08、2026-10-09、2026-10-10、2026-10-11、2026-10-14、2026-10-15、2026-10-17</v>
      </c>
      <c r="AE1218" s="8" t="str">
        <v>2026-10-06 大促；2026-10-07 大促；2026-10-12 有记录的停售日；2026-10-13 有记录的停售日；2026-10-16 有记录的停售日</v>
      </c>
      <c r="AF1218" s="8" t="n">
        <v>0</v>
      </c>
      <c r="AG1218" s="8" t="n">
        <v>0</v>
      </c>
      <c r="AH1218" s="8" t="n">
        <v>14</v>
      </c>
      <c r="AI1218" s="8" t="str">
        <v>2026-09-13 至 2026-10-17</v>
      </c>
      <c r="AJ121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8" s="8" t="str">
        <v>2026-10-06 大促；2026-10-07 大促；2026-10-12 有记录的停售日；2026-10-13 有记录的停售日；2026-10-16 有记录的停售日</v>
      </c>
      <c r="AL1218" s="8" t="n">
        <v>0</v>
      </c>
      <c r="AM1218" s="8" t="n">
        <v>0</v>
      </c>
      <c r="AN1218" s="8" t="n">
        <v>30</v>
      </c>
      <c r="AO1218" s="8" t="str">
        <v>1S01 / 香槟金PU / 13120</v>
      </c>
      <c r="AP1218" s="11" t="n">
        <v>0.8729500662042875</v>
      </c>
      <c r="AQ1218" s="11" t="n">
        <v>0.9355747145678367</v>
      </c>
      <c r="AR1218" s="11" t="n">
        <v>1.135973589331194</v>
      </c>
      <c r="AS1218" s="11" t="n">
        <f>IF(AND(COUNT(I1218:K1218,AP1218:AR1218)=6,MIN(AP1218:AR1218)&gt;0),I1218/7/AP1218*0.5+J1218/14/AQ1218*0.3+K1218/30/AR1218*0.2,"")</f>
        <v>0</v>
      </c>
      <c r="AT1218" s="8" t="n">
        <v>0</v>
      </c>
      <c r="AU1218" s="8" t="n">
        <v>0</v>
      </c>
      <c r="AV1218" s="8" t="n">
        <v>85</v>
      </c>
      <c r="AW1218" s="11" t="n">
        <f>IF(AND(COUNT(AT1218:AV1218)=3,AT1218&gt;=AU1218,AU1218&gt;=0,AV1218&gt;0),(AT1218-AU1218)/AV1218,"")</f>
        <v>0</v>
      </c>
      <c r="AX1218" s="8" t="n">
        <v>0</v>
      </c>
      <c r="AY1218" s="8" t="n">
        <v>0</v>
      </c>
      <c r="AZ1218" s="8" t="n">
        <v>175</v>
      </c>
      <c r="BA1218" s="11" t="n">
        <f>IF(AND(COUNT(AX1218:AZ1218)=3,AX1218&gt;=AY1218,AY1218&gt;=0,AZ1218&gt;0),(AX1218-AY1218)/AZ1218,"")</f>
        <v>0</v>
      </c>
      <c r="BB1218" s="8" t="n">
        <f>IF(COUNT(AS1218,AW1218,BA1218)=3,1,0)</f>
        <v>1</v>
      </c>
      <c r="BC1218" s="11" t="n">
        <f>IF(SUMIF($AO$11:$AO$1309,AO1218,$BB$11:$BB$1309)=COUNTIF($AO$11:$AO$1309,AO1218),SUMIF($AO$11:$AO$1309,AO1218,$AS$11:$AS$1309),"")</f>
        <v>0</v>
      </c>
      <c r="BD1218" s="11" t="n">
        <f>IF(SUMIF($AO$11:$AO$1309,AO1218,$BB$11:$BB$1309)=COUNTIF($AO$11:$AO$1309,AO1218),SUMIF($AO$11:$AO$1309,AO1218,$AW$11:$AW$1309),"")</f>
        <v>0</v>
      </c>
      <c r="BE1218" s="11" t="n">
        <f>IF(SUMIF($AO$11:$AO$1309,AO1218,$BB$11:$BB$1309)=COUNTIF($AO$11:$AO$1309,AO1218),SUMIF($AO$11:$AO$1309,AO1218,$BA$11:$BA$1309),"")</f>
        <v>0.005714285714285714</v>
      </c>
      <c r="BF1218" s="12" t="n">
        <f>IF(COUNT(BD1218:BE1218)&lt;&gt;2,"",IF(AND(BD1218&gt;0,BE1218&gt;0),0.7*AW1218/BD1218+0.3*BA1218/BE1218,IF(BD1218&gt;0,AW1218/BD1218,IF(BE1218&gt;0,BA1218/BE1218,IF(AND(ISNUMBER(BH1218),BH1218=0),0,"")))))</f>
        <v>0</v>
      </c>
      <c r="BG1218" s="11" t="n">
        <f>IF(AND(COUNT(BN1218:BU1218)=8,MIN(BN1218:BU1218)&gt;=0),SUMPRODUCT(BN1218:BQ1218,BR1218:BU1218),"")</f>
        <v>63.935996265425516</v>
      </c>
      <c r="BH1218" s="11" t="n">
        <f>IF(COUNT(BC1218,BG1218)=2,BC1218*BG1218,"")</f>
        <v>0</v>
      </c>
      <c r="BI1218" s="11" t="n">
        <f>IF(ISNUMBER(CI1218),CI1218,"")</f>
        <v>0</v>
      </c>
      <c r="BJ1218" s="8" t="str">
        <v>近180天本色销量1双（＜90），无有效新采购，请运营判断</v>
      </c>
      <c r="BK1218" s="8" t="str">
        <v>90天：2026-07-20 至 2026-10-17；180天：2026-04-21 至 2026-10-17</v>
      </c>
      <c r="BL1218" s="8" t="str">
        <v>90天：2026-10-06、2026-10-07、2026-10-12、2026-10-13、2026-10-16；180天：2026-10-06、2026-10-07、2026-10-12、2026-10-13、2026-10-16</v>
      </c>
      <c r="BM1218" s="8" t="str">
        <v>2026-10：12天 × 0.8729500662042875；2026-11：30天 × 0.8057375774163482；2026-12：31天 × 0.532550303142279；2027-01：17天 × 0.7517299265337036</v>
      </c>
      <c r="BN1218" s="11" t="n">
        <v>0.8729500662042875</v>
      </c>
      <c r="BO1218" s="11" t="n">
        <v>0.8057375774163482</v>
      </c>
      <c r="BP1218" s="11" t="n">
        <v>0.532550303142279</v>
      </c>
      <c r="BQ1218" s="11" t="n">
        <v>0.7517299265337036</v>
      </c>
      <c r="BR1218" s="8" t="n">
        <v>12</v>
      </c>
      <c r="BS1218" s="8" t="n">
        <v>30</v>
      </c>
      <c r="BT1218" s="8" t="n">
        <v>31</v>
      </c>
      <c r="BU1218" s="8" t="n">
        <v>17</v>
      </c>
      <c r="BV1218" s="11" t="n">
        <f>IF(COUNT(BC1218,BF1218)=2,BC1218*BF1218,"")</f>
        <v>0</v>
      </c>
      <c r="BW1218" s="11" t="n">
        <f>IF(ISNUMBER(BN1218),BN1218,"")</f>
        <v>0.8729500662042875</v>
      </c>
      <c r="BX1218" s="14" t="n">
        <f>IF(ISNUMBER(BR1218),BR1218,"")</f>
        <v>12</v>
      </c>
      <c r="BY1218" s="13" t="n">
        <f>IF(AND(COUNT(BV1218,BW1218,BX1218)=3,MIN(BV1218,BW1218,BX1218)&gt;=0),BV1218*BW1218*BX1218,"")</f>
        <v>0</v>
      </c>
      <c r="BZ1218" s="11" t="n">
        <f>IF(ISNUMBER(BO1218),BO1218,"")</f>
        <v>0.8057375774163482</v>
      </c>
      <c r="CA1218" s="14" t="n">
        <f>IF(ISNUMBER(BS1218),BS1218,"")</f>
        <v>30</v>
      </c>
      <c r="CB1218" s="13" t="n">
        <f>IF(AND(COUNT(BV1218,BZ1218,CA1218)=3,MIN(BV1218,BZ1218,CA1218)&gt;=0),BV1218*BZ1218*CA1218,"")</f>
        <v>0</v>
      </c>
      <c r="CC1218" s="11" t="n">
        <f>IF(ISNUMBER(BP1218),BP1218,"")</f>
        <v>0.532550303142279</v>
      </c>
      <c r="CD1218" s="14" t="n">
        <f>IF(ISNUMBER(BT1218),BT1218,"")</f>
        <v>31</v>
      </c>
      <c r="CE1218" s="13" t="n">
        <f>IF(AND(COUNT(BV1218,CC1218,CD1218)=3,MIN(BV1218,CC1218,CD1218)&gt;=0),BV1218*CC1218*CD1218,"")</f>
        <v>0</v>
      </c>
      <c r="CF1218" s="11" t="n">
        <f>IF(ISNUMBER(BQ1218),BQ1218,"")</f>
        <v>0.7517299265337036</v>
      </c>
      <c r="CG1218" s="14" t="n">
        <f>IF(ISNUMBER(BU1218),BU1218,"")</f>
        <v>17</v>
      </c>
      <c r="CH1218" s="13" t="n">
        <f>IF(AND(COUNT(BV1218,CF1218,CG1218)=3,MIN(BV1218,CF1218,CG1218)&gt;=0),BV1218*CF1218*CG1218,"")</f>
        <v>0</v>
      </c>
      <c r="CI1218" s="13" t="n">
        <f>IF(COUNT(BY1218,CB1218,CE1218,CH1218)=4,SUM(BY1218,CB1218,CE1218,CH1218),"")</f>
        <v>0</v>
      </c>
    </row>
    <row r="1219" ht="72" customHeight="1">
      <c r="A1219" s="16" t="str">
        <v>1S01-GD-36</v>
      </c>
      <c r="B1219" s="16" t="str">
        <v>1店-MUSSHOE-US</v>
      </c>
      <c r="C1219" s="16" t="str">
        <v>徐新怡</v>
      </c>
      <c r="D1219" s="26" t="str">
        <f>IF(NOT(ISNUMBER(E1219)),"",IF(OR(E1219&lt;=0,L1219=0),0,IF(OR(NOT(ISNUMBER(F1219)),F1219&lt;0),"",MIN(E1219,INT(F1219)))))</f>
      </c>
      <c r="E1219" s="27" t="str">
        <f>IF(OR(NOT(ISNUMBER(L1219)),COUNT(M1219:O1219)&lt;&gt;3,MIN(M1219:O1219)&lt;0),"",ROUNDUP(ROUND(BI1219-SUM(M1219:O1219),10),0))</f>
      </c>
      <c r="F1219" s="28"/>
      <c r="G1219" s="28" t="str">
        <f>IF(AND(ISNUMBER(D1219),ISNUMBER(E1219)),IF(OR(E1219&lt;=0,L1219=0),0,E1219-D1219),"")</f>
      </c>
      <c r="H1219" s="16" t="str">
        <f>IF(NOT(ISNUMBER(E1219)),"销量或海外库存待补",IF(OR(E1219&lt;=0,L1219=0),IF(L1219=0,"零日销，本批不发","本批无需补货"),IF(NOT(ISNUMBER(D1219)),"国内库存待补",IF(D1219=0,"国内无可用库存",IF(G1219&gt;0,"先发国内现货","按建议量发货")))))</f>
        <v>销量或海外库存待补</v>
      </c>
      <c r="I1219" s="28" t="n">
        <f>IF(AND(COUNT(Z1219,AA1219,AB1219)=3,Z1219&gt;=AA1219,AA1219&gt;=0,AB1219=7),Z1219-AA1219,"")</f>
        <v>0</v>
      </c>
      <c r="J1219" s="28" t="n">
        <f>IF(AND(COUNT(AF1219,AG1219,AH1219)=3,AF1219&gt;=AG1219,AG1219&gt;=0,AH1219=14),AF1219-AG1219,"")</f>
        <v>0</v>
      </c>
      <c r="K1219" s="28" t="n">
        <f>IF(AND(COUNT(AL1219,AM1219,AN1219)=3,AL1219&gt;=AM1219,AM1219&gt;=0,AN1219=30),AL1219-AM1219,"")</f>
        <v>0</v>
      </c>
      <c r="L1219" s="29" t="n">
        <f>IF(ISNUMBER(BI1219),BI1219/90,"")</f>
        <v>0</v>
      </c>
      <c r="M1219" s="28"/>
      <c r="N1219" s="28"/>
      <c r="O1219" s="28"/>
      <c r="P1219" s="30" t="str">
        <f>IF(AND(ISNUMBER(L1219),L1219&gt;0,COUNT(M1219:O1219)=3,MIN(M1219:O1219)&gt;=0),SUM(M1219:O1219)/L1219,"")</f>
      </c>
      <c r="Q1219" s="16" t="str">
        <v>按本SKU唯一未删除Listing店铺核实</v>
      </c>
      <c r="R1219" s="16" t="str">
        <v>未匹配</v>
      </c>
      <c r="S1219" s="16" t="str">
        <v>停售</v>
      </c>
      <c r="T1219" s="16" t="str">
        <v>1S01</v>
      </c>
      <c r="U1219" s="16" t="str">
        <v>金色</v>
      </c>
      <c r="V1219" s="16" t="n">
        <v>5</v>
      </c>
      <c r="W1219" s="8" t="str">
        <v>2026-10-08 至 2026-10-17</v>
      </c>
      <c r="X1219" s="8" t="str">
        <v>2026-10-08、2026-10-09、2026-10-10、2026-10-11、2026-10-14、2026-10-15、2026-10-17</v>
      </c>
      <c r="Y1219" s="8" t="str">
        <v>2026-10-12 有记录的停售日；2026-10-13 有记录的停售日；2026-10-16 有记录的停售日</v>
      </c>
      <c r="Z1219" s="8" t="n">
        <v>0</v>
      </c>
      <c r="AA1219" s="8" t="n">
        <v>0</v>
      </c>
      <c r="AB1219" s="8" t="n">
        <v>7</v>
      </c>
      <c r="AC1219" s="8" t="str">
        <v>2026-09-29 至 2026-10-17</v>
      </c>
      <c r="AD1219" s="8" t="str">
        <v>2026-09-29、2026-09-30、2026-10-01、2026-10-02、2026-10-03、2026-10-04、2026-10-05、2026-10-08、2026-10-09、2026-10-10、2026-10-11、2026-10-14、2026-10-15、2026-10-17</v>
      </c>
      <c r="AE1219" s="8" t="str">
        <v>2026-10-06 大促；2026-10-07 大促；2026-10-12 有记录的停售日；2026-10-13 有记录的停售日；2026-10-16 有记录的停售日</v>
      </c>
      <c r="AF1219" s="8" t="n">
        <v>0</v>
      </c>
      <c r="AG1219" s="8" t="n">
        <v>0</v>
      </c>
      <c r="AH1219" s="8" t="n">
        <v>14</v>
      </c>
      <c r="AI1219" s="8" t="str">
        <v>2026-09-13 至 2026-10-17</v>
      </c>
      <c r="AJ121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19" s="8" t="str">
        <v>2026-10-06 大促；2026-10-07 大促；2026-10-12 有记录的停售日；2026-10-13 有记录的停售日；2026-10-16 有记录的停售日</v>
      </c>
      <c r="AL1219" s="8" t="n">
        <v>0</v>
      </c>
      <c r="AM1219" s="8" t="n">
        <v>0</v>
      </c>
      <c r="AN1219" s="8" t="n">
        <v>30</v>
      </c>
      <c r="AO1219" s="8" t="str">
        <v>1S01 / 金色PU / 13120</v>
      </c>
      <c r="AP1219" s="11" t="n">
        <v>0.8729500662042875</v>
      </c>
      <c r="AQ1219" s="11" t="n">
        <v>0.9355747145678367</v>
      </c>
      <c r="AR1219" s="11" t="n">
        <v>1.135973589331194</v>
      </c>
      <c r="AS1219" s="11" t="n">
        <f>IF(AND(COUNT(I1219:K1219,AP1219:AR1219)=6,MIN(AP1219:AR1219)&gt;0),I1219/7/AP1219*0.5+J1219/14/AQ1219*0.3+K1219/30/AR1219*0.2,"")</f>
        <v>0</v>
      </c>
      <c r="AT1219" s="8" t="n">
        <v>0</v>
      </c>
      <c r="AU1219" s="8" t="n">
        <v>0</v>
      </c>
      <c r="AV1219" s="8" t="n">
        <v>85</v>
      </c>
      <c r="AW1219" s="11" t="n">
        <f>IF(AND(COUNT(AT1219:AV1219)=3,AT1219&gt;=AU1219,AU1219&gt;=0,AV1219&gt;0),(AT1219-AU1219)/AV1219,"")</f>
        <v>0</v>
      </c>
      <c r="AX1219" s="8" t="n">
        <v>0</v>
      </c>
      <c r="AY1219" s="8" t="n">
        <v>0</v>
      </c>
      <c r="AZ1219" s="8" t="n">
        <v>175</v>
      </c>
      <c r="BA1219" s="11" t="n">
        <f>IF(AND(COUNT(AX1219:AZ1219)=3,AX1219&gt;=AY1219,AY1219&gt;=0,AZ1219&gt;0),(AX1219-AY1219)/AZ1219,"")</f>
        <v>0</v>
      </c>
      <c r="BB1219" s="8" t="n">
        <f>IF(COUNT(AS1219,AW1219,BA1219)=3,1,0)</f>
        <v>1</v>
      </c>
      <c r="BC1219" s="11" t="n">
        <f>IF(SUMIF($AO$11:$AO$1309,AO1219,$BB$11:$BB$1309)=COUNTIF($AO$11:$AO$1309,AO1219),SUMIF($AO$11:$AO$1309,AO1219,$AS$11:$AS$1309),"")</f>
        <v>0</v>
      </c>
      <c r="BD1219" s="11" t="n">
        <f>IF(SUMIF($AO$11:$AO$1309,AO1219,$BB$11:$BB$1309)=COUNTIF($AO$11:$AO$1309,AO1219),SUMIF($AO$11:$AO$1309,AO1219,$AW$11:$AW$1309),"")</f>
        <v>0</v>
      </c>
      <c r="BE1219" s="11" t="n">
        <f>IF(SUMIF($AO$11:$AO$1309,AO1219,$BB$11:$BB$1309)=COUNTIF($AO$11:$AO$1309,AO1219),SUMIF($AO$11:$AO$1309,AO1219,$BA$11:$BA$1309),"")</f>
        <v>0</v>
      </c>
      <c r="BF1219" s="12" t="n">
        <f>IF(COUNT(BD1219:BE1219)&lt;&gt;2,"",IF(AND(BD1219&gt;0,BE1219&gt;0),0.7*AW1219/BD1219+0.3*BA1219/BE1219,IF(BD1219&gt;0,AW1219/BD1219,IF(BE1219&gt;0,BA1219/BE1219,IF(AND(ISNUMBER(BH1219),BH1219=0),0,"")))))</f>
        <v>0</v>
      </c>
      <c r="BG1219" s="11" t="n">
        <f>IF(AND(COUNT(BN1219:BU1219)=8,MIN(BN1219:BU1219)&gt;=0),SUMPRODUCT(BN1219:BQ1219,BR1219:BU1219),"")</f>
        <v>63.935996265425516</v>
      </c>
      <c r="BH1219" s="11" t="n">
        <f>IF(COUNT(BC1219,BG1219)=2,BC1219*BG1219,"")</f>
        <v>0</v>
      </c>
      <c r="BI1219" s="11" t="n">
        <f>IF(ISNUMBER(CI1219),CI1219,"")</f>
        <v>0</v>
      </c>
      <c r="BJ1219" s="8" t="str">
        <v>近180天本色销量0双（＜90），无有效新采购，请运营判断</v>
      </c>
      <c r="BK1219" s="8" t="str">
        <v>90天：2026-07-20 至 2026-10-17；180天：2026-04-21 至 2026-10-17</v>
      </c>
      <c r="BL1219" s="8" t="str">
        <v>90天：2026-10-06、2026-10-07、2026-10-12、2026-10-13、2026-10-16；180天：2026-10-06、2026-10-07、2026-10-12、2026-10-13、2026-10-16</v>
      </c>
      <c r="BM1219" s="8" t="str">
        <v>2026-10：12天 × 0.8729500662042875；2026-11：30天 × 0.8057375774163482；2026-12：31天 × 0.532550303142279；2027-01：17天 × 0.7517299265337036</v>
      </c>
      <c r="BN1219" s="11" t="n">
        <v>0.8729500662042875</v>
      </c>
      <c r="BO1219" s="11" t="n">
        <v>0.8057375774163482</v>
      </c>
      <c r="BP1219" s="11" t="n">
        <v>0.532550303142279</v>
      </c>
      <c r="BQ1219" s="11" t="n">
        <v>0.7517299265337036</v>
      </c>
      <c r="BR1219" s="8" t="n">
        <v>12</v>
      </c>
      <c r="BS1219" s="8" t="n">
        <v>30</v>
      </c>
      <c r="BT1219" s="8" t="n">
        <v>31</v>
      </c>
      <c r="BU1219" s="8" t="n">
        <v>17</v>
      </c>
      <c r="BV1219" s="11" t="n">
        <f>IF(COUNT(BC1219,BF1219)=2,BC1219*BF1219,"")</f>
        <v>0</v>
      </c>
      <c r="BW1219" s="11" t="n">
        <f>IF(ISNUMBER(BN1219),BN1219,"")</f>
        <v>0.8729500662042875</v>
      </c>
      <c r="BX1219" s="14" t="n">
        <f>IF(ISNUMBER(BR1219),BR1219,"")</f>
        <v>12</v>
      </c>
      <c r="BY1219" s="13" t="n">
        <f>IF(AND(COUNT(BV1219,BW1219,BX1219)=3,MIN(BV1219,BW1219,BX1219)&gt;=0),BV1219*BW1219*BX1219,"")</f>
        <v>0</v>
      </c>
      <c r="BZ1219" s="11" t="n">
        <f>IF(ISNUMBER(BO1219),BO1219,"")</f>
        <v>0.8057375774163482</v>
      </c>
      <c r="CA1219" s="14" t="n">
        <f>IF(ISNUMBER(BS1219),BS1219,"")</f>
        <v>30</v>
      </c>
      <c r="CB1219" s="13" t="n">
        <f>IF(AND(COUNT(BV1219,BZ1219,CA1219)=3,MIN(BV1219,BZ1219,CA1219)&gt;=0),BV1219*BZ1219*CA1219,"")</f>
        <v>0</v>
      </c>
      <c r="CC1219" s="11" t="n">
        <f>IF(ISNUMBER(BP1219),BP1219,"")</f>
        <v>0.532550303142279</v>
      </c>
      <c r="CD1219" s="14" t="n">
        <f>IF(ISNUMBER(BT1219),BT1219,"")</f>
        <v>31</v>
      </c>
      <c r="CE1219" s="13" t="n">
        <f>IF(AND(COUNT(BV1219,CC1219,CD1219)=3,MIN(BV1219,CC1219,CD1219)&gt;=0),BV1219*CC1219*CD1219,"")</f>
        <v>0</v>
      </c>
      <c r="CF1219" s="11" t="n">
        <f>IF(ISNUMBER(BQ1219),BQ1219,"")</f>
        <v>0.7517299265337036</v>
      </c>
      <c r="CG1219" s="14" t="n">
        <f>IF(ISNUMBER(BU1219),BU1219,"")</f>
        <v>17</v>
      </c>
      <c r="CH1219" s="13" t="n">
        <f>IF(AND(COUNT(BV1219,CF1219,CG1219)=3,MIN(BV1219,CF1219,CG1219)&gt;=0),BV1219*CF1219*CG1219,"")</f>
        <v>0</v>
      </c>
      <c r="CI1219" s="13" t="n">
        <f>IF(COUNT(BY1219,CB1219,CE1219,CH1219)=4,SUM(BY1219,CB1219,CE1219,CH1219),"")</f>
        <v>0</v>
      </c>
    </row>
    <row r="1220" ht="72" customHeight="1">
      <c r="A1220" s="16" t="str">
        <v>1S01-GD-37</v>
      </c>
      <c r="B1220" s="16" t="str">
        <v>1店-MUSSHOE-US</v>
      </c>
      <c r="C1220" s="16" t="str">
        <v>徐新怡</v>
      </c>
      <c r="D1220" s="26" t="str">
        <f>IF(NOT(ISNUMBER(E1220)),"",IF(OR(E1220&lt;=0,L1220=0),0,IF(OR(NOT(ISNUMBER(F1220)),F1220&lt;0),"",MIN(E1220,INT(F1220)))))</f>
      </c>
      <c r="E1220" s="27" t="str">
        <f>IF(OR(NOT(ISNUMBER(L1220)),COUNT(M1220:O1220)&lt;&gt;3,MIN(M1220:O1220)&lt;0),"",ROUNDUP(ROUND(BI1220-SUM(M1220:O1220),10),0))</f>
      </c>
      <c r="F1220" s="28"/>
      <c r="G1220" s="28" t="str">
        <f>IF(AND(ISNUMBER(D1220),ISNUMBER(E1220)),IF(OR(E1220&lt;=0,L1220=0),0,E1220-D1220),"")</f>
      </c>
      <c r="H1220" s="16" t="str">
        <f>IF(NOT(ISNUMBER(E1220)),"销量或海外库存待补",IF(OR(E1220&lt;=0,L1220=0),IF(L1220=0,"零日销，本批不发","本批无需补货"),IF(NOT(ISNUMBER(D1220)),"国内库存待补",IF(D1220=0,"国内无可用库存",IF(G1220&gt;0,"先发国内现货","按建议量发货")))))</f>
        <v>销量或海外库存待补</v>
      </c>
      <c r="I1220" s="28" t="n">
        <f>IF(AND(COUNT(Z1220,AA1220,AB1220)=3,Z1220&gt;=AA1220,AA1220&gt;=0,AB1220=7),Z1220-AA1220,"")</f>
        <v>0</v>
      </c>
      <c r="J1220" s="28" t="n">
        <f>IF(AND(COUNT(AF1220,AG1220,AH1220)=3,AF1220&gt;=AG1220,AG1220&gt;=0,AH1220=14),AF1220-AG1220,"")</f>
        <v>0</v>
      </c>
      <c r="K1220" s="28" t="n">
        <f>IF(AND(COUNT(AL1220,AM1220,AN1220)=3,AL1220&gt;=AM1220,AM1220&gt;=0,AN1220=30),AL1220-AM1220,"")</f>
        <v>0</v>
      </c>
      <c r="L1220" s="29" t="n">
        <f>IF(ISNUMBER(BI1220),BI1220/90,"")</f>
        <v>0</v>
      </c>
      <c r="M1220" s="28"/>
      <c r="N1220" s="28"/>
      <c r="O1220" s="28"/>
      <c r="P1220" s="30" t="str">
        <f>IF(AND(ISNUMBER(L1220),L1220&gt;0,COUNT(M1220:O1220)=3,MIN(M1220:O1220)&gt;=0),SUM(M1220:O1220)/L1220,"")</f>
      </c>
      <c r="Q1220" s="16" t="str">
        <v>按本SKU唯一未删除Listing店铺核实</v>
      </c>
      <c r="R1220" s="16" t="str">
        <v>未匹配</v>
      </c>
      <c r="S1220" s="16" t="str">
        <v>停售</v>
      </c>
      <c r="T1220" s="16" t="str">
        <v>1S01</v>
      </c>
      <c r="U1220" s="16" t="str">
        <v>金色</v>
      </c>
      <c r="V1220" s="16" t="n">
        <v>6</v>
      </c>
      <c r="W1220" s="8" t="str">
        <v>2026-10-08 至 2026-10-17</v>
      </c>
      <c r="X1220" s="8" t="str">
        <v>2026-10-08、2026-10-09、2026-10-10、2026-10-11、2026-10-14、2026-10-15、2026-10-17</v>
      </c>
      <c r="Y1220" s="8" t="str">
        <v>2026-10-12 有记录的停售日；2026-10-13 有记录的停售日；2026-10-16 有记录的停售日</v>
      </c>
      <c r="Z1220" s="8" t="n">
        <v>0</v>
      </c>
      <c r="AA1220" s="8" t="n">
        <v>0</v>
      </c>
      <c r="AB1220" s="8" t="n">
        <v>7</v>
      </c>
      <c r="AC1220" s="8" t="str">
        <v>2026-09-29 至 2026-10-17</v>
      </c>
      <c r="AD1220" s="8" t="str">
        <v>2026-09-29、2026-09-30、2026-10-01、2026-10-02、2026-10-03、2026-10-04、2026-10-05、2026-10-08、2026-10-09、2026-10-10、2026-10-11、2026-10-14、2026-10-15、2026-10-17</v>
      </c>
      <c r="AE1220" s="8" t="str">
        <v>2026-10-06 大促；2026-10-07 大促；2026-10-12 有记录的停售日；2026-10-13 有记录的停售日；2026-10-16 有记录的停售日</v>
      </c>
      <c r="AF1220" s="8" t="n">
        <v>0</v>
      </c>
      <c r="AG1220" s="8" t="n">
        <v>0</v>
      </c>
      <c r="AH1220" s="8" t="n">
        <v>14</v>
      </c>
      <c r="AI1220" s="8" t="str">
        <v>2026-09-13 至 2026-10-17</v>
      </c>
      <c r="AJ122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0" s="8" t="str">
        <v>2026-10-06 大促；2026-10-07 大促；2026-10-12 有记录的停售日；2026-10-13 有记录的停售日；2026-10-16 有记录的停售日</v>
      </c>
      <c r="AL1220" s="8" t="n">
        <v>0</v>
      </c>
      <c r="AM1220" s="8" t="n">
        <v>0</v>
      </c>
      <c r="AN1220" s="8" t="n">
        <v>30</v>
      </c>
      <c r="AO1220" s="8" t="str">
        <v>1S01 / 金色PU / 13120</v>
      </c>
      <c r="AP1220" s="11" t="n">
        <v>0.8729500662042875</v>
      </c>
      <c r="AQ1220" s="11" t="n">
        <v>0.9355747145678367</v>
      </c>
      <c r="AR1220" s="11" t="n">
        <v>1.135973589331194</v>
      </c>
      <c r="AS1220" s="11" t="n">
        <f>IF(AND(COUNT(I1220:K1220,AP1220:AR1220)=6,MIN(AP1220:AR1220)&gt;0),I1220/7/AP1220*0.5+J1220/14/AQ1220*0.3+K1220/30/AR1220*0.2,"")</f>
        <v>0</v>
      </c>
      <c r="AT1220" s="8" t="n">
        <v>0</v>
      </c>
      <c r="AU1220" s="8" t="n">
        <v>0</v>
      </c>
      <c r="AV1220" s="8" t="n">
        <v>85</v>
      </c>
      <c r="AW1220" s="11" t="n">
        <f>IF(AND(COUNT(AT1220:AV1220)=3,AT1220&gt;=AU1220,AU1220&gt;=0,AV1220&gt;0),(AT1220-AU1220)/AV1220,"")</f>
        <v>0</v>
      </c>
      <c r="AX1220" s="8" t="n">
        <v>0</v>
      </c>
      <c r="AY1220" s="8" t="n">
        <v>0</v>
      </c>
      <c r="AZ1220" s="8" t="n">
        <v>175</v>
      </c>
      <c r="BA1220" s="11" t="n">
        <f>IF(AND(COUNT(AX1220:AZ1220)=3,AX1220&gt;=AY1220,AY1220&gt;=0,AZ1220&gt;0),(AX1220-AY1220)/AZ1220,"")</f>
        <v>0</v>
      </c>
      <c r="BB1220" s="8" t="n">
        <f>IF(COUNT(AS1220,AW1220,BA1220)=3,1,0)</f>
        <v>1</v>
      </c>
      <c r="BC1220" s="11" t="n">
        <f>IF(SUMIF($AO$11:$AO$1309,AO1220,$BB$11:$BB$1309)=COUNTIF($AO$11:$AO$1309,AO1220),SUMIF($AO$11:$AO$1309,AO1220,$AS$11:$AS$1309),"")</f>
        <v>0</v>
      </c>
      <c r="BD1220" s="11" t="n">
        <f>IF(SUMIF($AO$11:$AO$1309,AO1220,$BB$11:$BB$1309)=COUNTIF($AO$11:$AO$1309,AO1220),SUMIF($AO$11:$AO$1309,AO1220,$AW$11:$AW$1309),"")</f>
        <v>0</v>
      </c>
      <c r="BE1220" s="11" t="n">
        <f>IF(SUMIF($AO$11:$AO$1309,AO1220,$BB$11:$BB$1309)=COUNTIF($AO$11:$AO$1309,AO1220),SUMIF($AO$11:$AO$1309,AO1220,$BA$11:$BA$1309),"")</f>
        <v>0</v>
      </c>
      <c r="BF1220" s="12" t="n">
        <f>IF(COUNT(BD1220:BE1220)&lt;&gt;2,"",IF(AND(BD1220&gt;0,BE1220&gt;0),0.7*AW1220/BD1220+0.3*BA1220/BE1220,IF(BD1220&gt;0,AW1220/BD1220,IF(BE1220&gt;0,BA1220/BE1220,IF(AND(ISNUMBER(BH1220),BH1220=0),0,"")))))</f>
        <v>0</v>
      </c>
      <c r="BG1220" s="11" t="n">
        <f>IF(AND(COUNT(BN1220:BU1220)=8,MIN(BN1220:BU1220)&gt;=0),SUMPRODUCT(BN1220:BQ1220,BR1220:BU1220),"")</f>
        <v>63.935996265425516</v>
      </c>
      <c r="BH1220" s="11" t="n">
        <f>IF(COUNT(BC1220,BG1220)=2,BC1220*BG1220,"")</f>
        <v>0</v>
      </c>
      <c r="BI1220" s="11" t="n">
        <f>IF(ISNUMBER(CI1220),CI1220,"")</f>
        <v>0</v>
      </c>
      <c r="BJ1220" s="8" t="str">
        <v>近180天本色销量0双（＜90），无有效新采购，请运营判断</v>
      </c>
      <c r="BK1220" s="8" t="str">
        <v>90天：2026-07-20 至 2026-10-17；180天：2026-04-21 至 2026-10-17</v>
      </c>
      <c r="BL1220" s="8" t="str">
        <v>90天：2026-10-06、2026-10-07、2026-10-12、2026-10-13、2026-10-16；180天：2026-10-06、2026-10-07、2026-10-12、2026-10-13、2026-10-16</v>
      </c>
      <c r="BM1220" s="8" t="str">
        <v>2026-10：12天 × 0.8729500662042875；2026-11：30天 × 0.8057375774163482；2026-12：31天 × 0.532550303142279；2027-01：17天 × 0.7517299265337036</v>
      </c>
      <c r="BN1220" s="11" t="n">
        <v>0.8729500662042875</v>
      </c>
      <c r="BO1220" s="11" t="n">
        <v>0.8057375774163482</v>
      </c>
      <c r="BP1220" s="11" t="n">
        <v>0.532550303142279</v>
      </c>
      <c r="BQ1220" s="11" t="n">
        <v>0.7517299265337036</v>
      </c>
      <c r="BR1220" s="8" t="n">
        <v>12</v>
      </c>
      <c r="BS1220" s="8" t="n">
        <v>30</v>
      </c>
      <c r="BT1220" s="8" t="n">
        <v>31</v>
      </c>
      <c r="BU1220" s="8" t="n">
        <v>17</v>
      </c>
      <c r="BV1220" s="11" t="n">
        <f>IF(COUNT(BC1220,BF1220)=2,BC1220*BF1220,"")</f>
        <v>0</v>
      </c>
      <c r="BW1220" s="11" t="n">
        <f>IF(ISNUMBER(BN1220),BN1220,"")</f>
        <v>0.8729500662042875</v>
      </c>
      <c r="BX1220" s="14" t="n">
        <f>IF(ISNUMBER(BR1220),BR1220,"")</f>
        <v>12</v>
      </c>
      <c r="BY1220" s="13" t="n">
        <f>IF(AND(COUNT(BV1220,BW1220,BX1220)=3,MIN(BV1220,BW1220,BX1220)&gt;=0),BV1220*BW1220*BX1220,"")</f>
        <v>0</v>
      </c>
      <c r="BZ1220" s="11" t="n">
        <f>IF(ISNUMBER(BO1220),BO1220,"")</f>
        <v>0.8057375774163482</v>
      </c>
      <c r="CA1220" s="14" t="n">
        <f>IF(ISNUMBER(BS1220),BS1220,"")</f>
        <v>30</v>
      </c>
      <c r="CB1220" s="13" t="n">
        <f>IF(AND(COUNT(BV1220,BZ1220,CA1220)=3,MIN(BV1220,BZ1220,CA1220)&gt;=0),BV1220*BZ1220*CA1220,"")</f>
        <v>0</v>
      </c>
      <c r="CC1220" s="11" t="n">
        <f>IF(ISNUMBER(BP1220),BP1220,"")</f>
        <v>0.532550303142279</v>
      </c>
      <c r="CD1220" s="14" t="n">
        <f>IF(ISNUMBER(BT1220),BT1220,"")</f>
        <v>31</v>
      </c>
      <c r="CE1220" s="13" t="n">
        <f>IF(AND(COUNT(BV1220,CC1220,CD1220)=3,MIN(BV1220,CC1220,CD1220)&gt;=0),BV1220*CC1220*CD1220,"")</f>
        <v>0</v>
      </c>
      <c r="CF1220" s="11" t="n">
        <f>IF(ISNUMBER(BQ1220),BQ1220,"")</f>
        <v>0.7517299265337036</v>
      </c>
      <c r="CG1220" s="14" t="n">
        <f>IF(ISNUMBER(BU1220),BU1220,"")</f>
        <v>17</v>
      </c>
      <c r="CH1220" s="13" t="n">
        <f>IF(AND(COUNT(BV1220,CF1220,CG1220)=3,MIN(BV1220,CF1220,CG1220)&gt;=0),BV1220*CF1220*CG1220,"")</f>
        <v>0</v>
      </c>
      <c r="CI1220" s="13" t="n">
        <f>IF(COUNT(BY1220,CB1220,CE1220,CH1220)=4,SUM(BY1220,CB1220,CE1220,CH1220),"")</f>
        <v>0</v>
      </c>
    </row>
    <row r="1221" ht="72" customHeight="1">
      <c r="A1221" s="16" t="str">
        <v>1S01-GD-38</v>
      </c>
      <c r="B1221" s="16" t="str">
        <v>1店-MUSSHOE-US</v>
      </c>
      <c r="C1221" s="16" t="str">
        <v>徐新怡</v>
      </c>
      <c r="D1221" s="26" t="str">
        <f>IF(NOT(ISNUMBER(E1221)),"",IF(OR(E1221&lt;=0,L1221=0),0,IF(OR(NOT(ISNUMBER(F1221)),F1221&lt;0),"",MIN(E1221,INT(F1221)))))</f>
      </c>
      <c r="E1221" s="27" t="str">
        <f>IF(OR(NOT(ISNUMBER(L1221)),COUNT(M1221:O1221)&lt;&gt;3,MIN(M1221:O1221)&lt;0),"",ROUNDUP(ROUND(BI1221-SUM(M1221:O1221),10),0))</f>
      </c>
      <c r="F1221" s="28"/>
      <c r="G1221" s="28" t="str">
        <f>IF(AND(ISNUMBER(D1221),ISNUMBER(E1221)),IF(OR(E1221&lt;=0,L1221=0),0,E1221-D1221),"")</f>
      </c>
      <c r="H1221" s="16" t="str">
        <f>IF(NOT(ISNUMBER(E1221)),"销量或海外库存待补",IF(OR(E1221&lt;=0,L1221=0),IF(L1221=0,"零日销，本批不发","本批无需补货"),IF(NOT(ISNUMBER(D1221)),"国内库存待补",IF(D1221=0,"国内无可用库存",IF(G1221&gt;0,"先发国内现货","按建议量发货")))))</f>
        <v>销量或海外库存待补</v>
      </c>
      <c r="I1221" s="28" t="n">
        <f>IF(AND(COUNT(Z1221,AA1221,AB1221)=3,Z1221&gt;=AA1221,AA1221&gt;=0,AB1221=7),Z1221-AA1221,"")</f>
        <v>0</v>
      </c>
      <c r="J1221" s="28" t="n">
        <f>IF(AND(COUNT(AF1221,AG1221,AH1221)=3,AF1221&gt;=AG1221,AG1221&gt;=0,AH1221=14),AF1221-AG1221,"")</f>
        <v>0</v>
      </c>
      <c r="K1221" s="28" t="n">
        <f>IF(AND(COUNT(AL1221,AM1221,AN1221)=3,AL1221&gt;=AM1221,AM1221&gt;=0,AN1221=30),AL1221-AM1221,"")</f>
        <v>0</v>
      </c>
      <c r="L1221" s="29" t="n">
        <f>IF(ISNUMBER(BI1221),BI1221/90,"")</f>
        <v>0</v>
      </c>
      <c r="M1221" s="28"/>
      <c r="N1221" s="28"/>
      <c r="O1221" s="28"/>
      <c r="P1221" s="30" t="str">
        <f>IF(AND(ISNUMBER(L1221),L1221&gt;0,COUNT(M1221:O1221)=3,MIN(M1221:O1221)&gt;=0),SUM(M1221:O1221)/L1221,"")</f>
      </c>
      <c r="Q1221" s="16" t="str">
        <v>按本SKU唯一未删除Listing店铺核实</v>
      </c>
      <c r="R1221" s="16" t="str">
        <v>未匹配</v>
      </c>
      <c r="S1221" s="16" t="str">
        <v>停售</v>
      </c>
      <c r="T1221" s="16" t="str">
        <v>1S01</v>
      </c>
      <c r="U1221" s="16" t="str">
        <v>金色</v>
      </c>
      <c r="V1221" s="16" t="n">
        <v>7</v>
      </c>
      <c r="W1221" s="8" t="str">
        <v>2026-10-08 至 2026-10-17</v>
      </c>
      <c r="X1221" s="8" t="str">
        <v>2026-10-08、2026-10-09、2026-10-10、2026-10-11、2026-10-14、2026-10-15、2026-10-17</v>
      </c>
      <c r="Y1221" s="8" t="str">
        <v>2026-10-12 有记录的停售日；2026-10-13 有记录的停售日；2026-10-16 有记录的停售日</v>
      </c>
      <c r="Z1221" s="8" t="n">
        <v>0</v>
      </c>
      <c r="AA1221" s="8" t="n">
        <v>0</v>
      </c>
      <c r="AB1221" s="8" t="n">
        <v>7</v>
      </c>
      <c r="AC1221" s="8" t="str">
        <v>2026-09-29 至 2026-10-17</v>
      </c>
      <c r="AD1221" s="8" t="str">
        <v>2026-09-29、2026-09-30、2026-10-01、2026-10-02、2026-10-03、2026-10-04、2026-10-05、2026-10-08、2026-10-09、2026-10-10、2026-10-11、2026-10-14、2026-10-15、2026-10-17</v>
      </c>
      <c r="AE1221" s="8" t="str">
        <v>2026-10-06 大促；2026-10-07 大促；2026-10-12 有记录的停售日；2026-10-13 有记录的停售日；2026-10-16 有记录的停售日</v>
      </c>
      <c r="AF1221" s="8" t="n">
        <v>0</v>
      </c>
      <c r="AG1221" s="8" t="n">
        <v>0</v>
      </c>
      <c r="AH1221" s="8" t="n">
        <v>14</v>
      </c>
      <c r="AI1221" s="8" t="str">
        <v>2026-09-13 至 2026-10-17</v>
      </c>
      <c r="AJ122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1" s="8" t="str">
        <v>2026-10-06 大促；2026-10-07 大促；2026-10-12 有记录的停售日；2026-10-13 有记录的停售日；2026-10-16 有记录的停售日</v>
      </c>
      <c r="AL1221" s="8" t="n">
        <v>0</v>
      </c>
      <c r="AM1221" s="8" t="n">
        <v>0</v>
      </c>
      <c r="AN1221" s="8" t="n">
        <v>30</v>
      </c>
      <c r="AO1221" s="8" t="str">
        <v>1S01 / 金色PU / 13120</v>
      </c>
      <c r="AP1221" s="11" t="n">
        <v>0.8729500662042875</v>
      </c>
      <c r="AQ1221" s="11" t="n">
        <v>0.9355747145678367</v>
      </c>
      <c r="AR1221" s="11" t="n">
        <v>1.135973589331194</v>
      </c>
      <c r="AS1221" s="11" t="n">
        <f>IF(AND(COUNT(I1221:K1221,AP1221:AR1221)=6,MIN(AP1221:AR1221)&gt;0),I1221/7/AP1221*0.5+J1221/14/AQ1221*0.3+K1221/30/AR1221*0.2,"")</f>
        <v>0</v>
      </c>
      <c r="AT1221" s="8" t="n">
        <v>0</v>
      </c>
      <c r="AU1221" s="8" t="n">
        <v>0</v>
      </c>
      <c r="AV1221" s="8" t="n">
        <v>85</v>
      </c>
      <c r="AW1221" s="11" t="n">
        <f>IF(AND(COUNT(AT1221:AV1221)=3,AT1221&gt;=AU1221,AU1221&gt;=0,AV1221&gt;0),(AT1221-AU1221)/AV1221,"")</f>
        <v>0</v>
      </c>
      <c r="AX1221" s="8" t="n">
        <v>0</v>
      </c>
      <c r="AY1221" s="8" t="n">
        <v>0</v>
      </c>
      <c r="AZ1221" s="8" t="n">
        <v>175</v>
      </c>
      <c r="BA1221" s="11" t="n">
        <f>IF(AND(COUNT(AX1221:AZ1221)=3,AX1221&gt;=AY1221,AY1221&gt;=0,AZ1221&gt;0),(AX1221-AY1221)/AZ1221,"")</f>
        <v>0</v>
      </c>
      <c r="BB1221" s="8" t="n">
        <f>IF(COUNT(AS1221,AW1221,BA1221)=3,1,0)</f>
        <v>1</v>
      </c>
      <c r="BC1221" s="11" t="n">
        <f>IF(SUMIF($AO$11:$AO$1309,AO1221,$BB$11:$BB$1309)=COUNTIF($AO$11:$AO$1309,AO1221),SUMIF($AO$11:$AO$1309,AO1221,$AS$11:$AS$1309),"")</f>
        <v>0</v>
      </c>
      <c r="BD1221" s="11" t="n">
        <f>IF(SUMIF($AO$11:$AO$1309,AO1221,$BB$11:$BB$1309)=COUNTIF($AO$11:$AO$1309,AO1221),SUMIF($AO$11:$AO$1309,AO1221,$AW$11:$AW$1309),"")</f>
        <v>0</v>
      </c>
      <c r="BE1221" s="11" t="n">
        <f>IF(SUMIF($AO$11:$AO$1309,AO1221,$BB$11:$BB$1309)=COUNTIF($AO$11:$AO$1309,AO1221),SUMIF($AO$11:$AO$1309,AO1221,$BA$11:$BA$1309),"")</f>
        <v>0</v>
      </c>
      <c r="BF1221" s="12" t="n">
        <f>IF(COUNT(BD1221:BE1221)&lt;&gt;2,"",IF(AND(BD1221&gt;0,BE1221&gt;0),0.7*AW1221/BD1221+0.3*BA1221/BE1221,IF(BD1221&gt;0,AW1221/BD1221,IF(BE1221&gt;0,BA1221/BE1221,IF(AND(ISNUMBER(BH1221),BH1221=0),0,"")))))</f>
        <v>0</v>
      </c>
      <c r="BG1221" s="11" t="n">
        <f>IF(AND(COUNT(BN1221:BU1221)=8,MIN(BN1221:BU1221)&gt;=0),SUMPRODUCT(BN1221:BQ1221,BR1221:BU1221),"")</f>
        <v>63.935996265425516</v>
      </c>
      <c r="BH1221" s="11" t="n">
        <f>IF(COUNT(BC1221,BG1221)=2,BC1221*BG1221,"")</f>
        <v>0</v>
      </c>
      <c r="BI1221" s="11" t="n">
        <f>IF(ISNUMBER(CI1221),CI1221,"")</f>
        <v>0</v>
      </c>
      <c r="BJ1221" s="8" t="str">
        <v>近180天本色销量0双（＜90），无有效新采购，请运营判断</v>
      </c>
      <c r="BK1221" s="8" t="str">
        <v>90天：2026-07-20 至 2026-10-17；180天：2026-04-21 至 2026-10-17</v>
      </c>
      <c r="BL1221" s="8" t="str">
        <v>90天：2026-10-06、2026-10-07、2026-10-12、2026-10-13、2026-10-16；180天：2026-10-06、2026-10-07、2026-10-12、2026-10-13、2026-10-16</v>
      </c>
      <c r="BM1221" s="8" t="str">
        <v>2026-10：12天 × 0.8729500662042875；2026-11：30天 × 0.8057375774163482；2026-12：31天 × 0.532550303142279；2027-01：17天 × 0.7517299265337036</v>
      </c>
      <c r="BN1221" s="11" t="n">
        <v>0.8729500662042875</v>
      </c>
      <c r="BO1221" s="11" t="n">
        <v>0.8057375774163482</v>
      </c>
      <c r="BP1221" s="11" t="n">
        <v>0.532550303142279</v>
      </c>
      <c r="BQ1221" s="11" t="n">
        <v>0.7517299265337036</v>
      </c>
      <c r="BR1221" s="8" t="n">
        <v>12</v>
      </c>
      <c r="BS1221" s="8" t="n">
        <v>30</v>
      </c>
      <c r="BT1221" s="8" t="n">
        <v>31</v>
      </c>
      <c r="BU1221" s="8" t="n">
        <v>17</v>
      </c>
      <c r="BV1221" s="11" t="n">
        <f>IF(COUNT(BC1221,BF1221)=2,BC1221*BF1221,"")</f>
        <v>0</v>
      </c>
      <c r="BW1221" s="11" t="n">
        <f>IF(ISNUMBER(BN1221),BN1221,"")</f>
        <v>0.8729500662042875</v>
      </c>
      <c r="BX1221" s="14" t="n">
        <f>IF(ISNUMBER(BR1221),BR1221,"")</f>
        <v>12</v>
      </c>
      <c r="BY1221" s="13" t="n">
        <f>IF(AND(COUNT(BV1221,BW1221,BX1221)=3,MIN(BV1221,BW1221,BX1221)&gt;=0),BV1221*BW1221*BX1221,"")</f>
        <v>0</v>
      </c>
      <c r="BZ1221" s="11" t="n">
        <f>IF(ISNUMBER(BO1221),BO1221,"")</f>
        <v>0.8057375774163482</v>
      </c>
      <c r="CA1221" s="14" t="n">
        <f>IF(ISNUMBER(BS1221),BS1221,"")</f>
        <v>30</v>
      </c>
      <c r="CB1221" s="13" t="n">
        <f>IF(AND(COUNT(BV1221,BZ1221,CA1221)=3,MIN(BV1221,BZ1221,CA1221)&gt;=0),BV1221*BZ1221*CA1221,"")</f>
        <v>0</v>
      </c>
      <c r="CC1221" s="11" t="n">
        <f>IF(ISNUMBER(BP1221),BP1221,"")</f>
        <v>0.532550303142279</v>
      </c>
      <c r="CD1221" s="14" t="n">
        <f>IF(ISNUMBER(BT1221),BT1221,"")</f>
        <v>31</v>
      </c>
      <c r="CE1221" s="13" t="n">
        <f>IF(AND(COUNT(BV1221,CC1221,CD1221)=3,MIN(BV1221,CC1221,CD1221)&gt;=0),BV1221*CC1221*CD1221,"")</f>
        <v>0</v>
      </c>
      <c r="CF1221" s="11" t="n">
        <f>IF(ISNUMBER(BQ1221),BQ1221,"")</f>
        <v>0.7517299265337036</v>
      </c>
      <c r="CG1221" s="14" t="n">
        <f>IF(ISNUMBER(BU1221),BU1221,"")</f>
        <v>17</v>
      </c>
      <c r="CH1221" s="13" t="n">
        <f>IF(AND(COUNT(BV1221,CF1221,CG1221)=3,MIN(BV1221,CF1221,CG1221)&gt;=0),BV1221*CF1221*CG1221,"")</f>
        <v>0</v>
      </c>
      <c r="CI1221" s="13" t="n">
        <f>IF(COUNT(BY1221,CB1221,CE1221,CH1221)=4,SUM(BY1221,CB1221,CE1221,CH1221),"")</f>
        <v>0</v>
      </c>
    </row>
    <row r="1222" ht="72" customHeight="1">
      <c r="A1222" s="16" t="str">
        <v>1S01-GD-39</v>
      </c>
      <c r="B1222" s="16" t="str">
        <v>1店-MUSSHOE-US</v>
      </c>
      <c r="C1222" s="16" t="str">
        <v>徐新怡</v>
      </c>
      <c r="D1222" s="26" t="str">
        <f>IF(NOT(ISNUMBER(E1222)),"",IF(OR(E1222&lt;=0,L1222=0),0,IF(OR(NOT(ISNUMBER(F1222)),F1222&lt;0),"",MIN(E1222,INT(F1222)))))</f>
      </c>
      <c r="E1222" s="27" t="str">
        <f>IF(OR(NOT(ISNUMBER(L1222)),COUNT(M1222:O1222)&lt;&gt;3,MIN(M1222:O1222)&lt;0),"",ROUNDUP(ROUND(BI1222-SUM(M1222:O1222),10),0))</f>
      </c>
      <c r="F1222" s="28"/>
      <c r="G1222" s="28" t="str">
        <f>IF(AND(ISNUMBER(D1222),ISNUMBER(E1222)),IF(OR(E1222&lt;=0,L1222=0),0,E1222-D1222),"")</f>
      </c>
      <c r="H1222" s="16" t="str">
        <f>IF(NOT(ISNUMBER(E1222)),"销量或海外库存待补",IF(OR(E1222&lt;=0,L1222=0),IF(L1222=0,"零日销，本批不发","本批无需补货"),IF(NOT(ISNUMBER(D1222)),"国内库存待补",IF(D1222=0,"国内无可用库存",IF(G1222&gt;0,"先发国内现货","按建议量发货")))))</f>
        <v>销量或海外库存待补</v>
      </c>
      <c r="I1222" s="28" t="n">
        <f>IF(AND(COUNT(Z1222,AA1222,AB1222)=3,Z1222&gt;=AA1222,AA1222&gt;=0,AB1222=7),Z1222-AA1222,"")</f>
        <v>0</v>
      </c>
      <c r="J1222" s="28" t="n">
        <f>IF(AND(COUNT(AF1222,AG1222,AH1222)=3,AF1222&gt;=AG1222,AG1222&gt;=0,AH1222=14),AF1222-AG1222,"")</f>
        <v>0</v>
      </c>
      <c r="K1222" s="28" t="n">
        <f>IF(AND(COUNT(AL1222,AM1222,AN1222)=3,AL1222&gt;=AM1222,AM1222&gt;=0,AN1222=30),AL1222-AM1222,"")</f>
        <v>0</v>
      </c>
      <c r="L1222" s="29" t="n">
        <f>IF(ISNUMBER(BI1222),BI1222/90,"")</f>
        <v>0</v>
      </c>
      <c r="M1222" s="28"/>
      <c r="N1222" s="28"/>
      <c r="O1222" s="28"/>
      <c r="P1222" s="30" t="str">
        <f>IF(AND(ISNUMBER(L1222),L1222&gt;0,COUNT(M1222:O1222)=3,MIN(M1222:O1222)&gt;=0),SUM(M1222:O1222)/L1222,"")</f>
      </c>
      <c r="Q1222" s="16" t="str">
        <v>按本SKU唯一未删除Listing店铺核实</v>
      </c>
      <c r="R1222" s="16" t="str">
        <v>未匹配</v>
      </c>
      <c r="S1222" s="16" t="str">
        <v>停售</v>
      </c>
      <c r="T1222" s="16" t="str">
        <v>1S01</v>
      </c>
      <c r="U1222" s="16" t="str">
        <v>金色</v>
      </c>
      <c r="V1222" s="16" t="n">
        <v>8</v>
      </c>
      <c r="W1222" s="8" t="str">
        <v>2026-10-08 至 2026-10-17</v>
      </c>
      <c r="X1222" s="8" t="str">
        <v>2026-10-08、2026-10-09、2026-10-10、2026-10-11、2026-10-14、2026-10-15、2026-10-17</v>
      </c>
      <c r="Y1222" s="8" t="str">
        <v>2026-10-12 有记录的停售日；2026-10-13 有记录的停售日；2026-10-16 有记录的停售日</v>
      </c>
      <c r="Z1222" s="8" t="n">
        <v>0</v>
      </c>
      <c r="AA1222" s="8" t="n">
        <v>0</v>
      </c>
      <c r="AB1222" s="8" t="n">
        <v>7</v>
      </c>
      <c r="AC1222" s="8" t="str">
        <v>2026-09-29 至 2026-10-17</v>
      </c>
      <c r="AD1222" s="8" t="str">
        <v>2026-09-29、2026-09-30、2026-10-01、2026-10-02、2026-10-03、2026-10-04、2026-10-05、2026-10-08、2026-10-09、2026-10-10、2026-10-11、2026-10-14、2026-10-15、2026-10-17</v>
      </c>
      <c r="AE1222" s="8" t="str">
        <v>2026-10-06 大促；2026-10-07 大促；2026-10-12 有记录的停售日；2026-10-13 有记录的停售日；2026-10-16 有记录的停售日</v>
      </c>
      <c r="AF1222" s="8" t="n">
        <v>0</v>
      </c>
      <c r="AG1222" s="8" t="n">
        <v>0</v>
      </c>
      <c r="AH1222" s="8" t="n">
        <v>14</v>
      </c>
      <c r="AI1222" s="8" t="str">
        <v>2026-09-13 至 2026-10-17</v>
      </c>
      <c r="AJ122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2" s="8" t="str">
        <v>2026-10-06 大促；2026-10-07 大促；2026-10-12 有记录的停售日；2026-10-13 有记录的停售日；2026-10-16 有记录的停售日</v>
      </c>
      <c r="AL1222" s="8" t="n">
        <v>0</v>
      </c>
      <c r="AM1222" s="8" t="n">
        <v>0</v>
      </c>
      <c r="AN1222" s="8" t="n">
        <v>30</v>
      </c>
      <c r="AO1222" s="8" t="str">
        <v>1S01 / 金色PU / 13120</v>
      </c>
      <c r="AP1222" s="11" t="n">
        <v>0.8729500662042875</v>
      </c>
      <c r="AQ1222" s="11" t="n">
        <v>0.9355747145678367</v>
      </c>
      <c r="AR1222" s="11" t="n">
        <v>1.135973589331194</v>
      </c>
      <c r="AS1222" s="11" t="n">
        <f>IF(AND(COUNT(I1222:K1222,AP1222:AR1222)=6,MIN(AP1222:AR1222)&gt;0),I1222/7/AP1222*0.5+J1222/14/AQ1222*0.3+K1222/30/AR1222*0.2,"")</f>
        <v>0</v>
      </c>
      <c r="AT1222" s="8" t="n">
        <v>0</v>
      </c>
      <c r="AU1222" s="8" t="n">
        <v>0</v>
      </c>
      <c r="AV1222" s="8" t="n">
        <v>85</v>
      </c>
      <c r="AW1222" s="11" t="n">
        <f>IF(AND(COUNT(AT1222:AV1222)=3,AT1222&gt;=AU1222,AU1222&gt;=0,AV1222&gt;0),(AT1222-AU1222)/AV1222,"")</f>
        <v>0</v>
      </c>
      <c r="AX1222" s="8" t="n">
        <v>0</v>
      </c>
      <c r="AY1222" s="8" t="n">
        <v>0</v>
      </c>
      <c r="AZ1222" s="8" t="n">
        <v>175</v>
      </c>
      <c r="BA1222" s="11" t="n">
        <f>IF(AND(COUNT(AX1222:AZ1222)=3,AX1222&gt;=AY1222,AY1222&gt;=0,AZ1222&gt;0),(AX1222-AY1222)/AZ1222,"")</f>
        <v>0</v>
      </c>
      <c r="BB1222" s="8" t="n">
        <f>IF(COUNT(AS1222,AW1222,BA1222)=3,1,0)</f>
        <v>1</v>
      </c>
      <c r="BC1222" s="11" t="n">
        <f>IF(SUMIF($AO$11:$AO$1309,AO1222,$BB$11:$BB$1309)=COUNTIF($AO$11:$AO$1309,AO1222),SUMIF($AO$11:$AO$1309,AO1222,$AS$11:$AS$1309),"")</f>
        <v>0</v>
      </c>
      <c r="BD1222" s="11" t="n">
        <f>IF(SUMIF($AO$11:$AO$1309,AO1222,$BB$11:$BB$1309)=COUNTIF($AO$11:$AO$1309,AO1222),SUMIF($AO$11:$AO$1309,AO1222,$AW$11:$AW$1309),"")</f>
        <v>0</v>
      </c>
      <c r="BE1222" s="11" t="n">
        <f>IF(SUMIF($AO$11:$AO$1309,AO1222,$BB$11:$BB$1309)=COUNTIF($AO$11:$AO$1309,AO1222),SUMIF($AO$11:$AO$1309,AO1222,$BA$11:$BA$1309),"")</f>
        <v>0</v>
      </c>
      <c r="BF1222" s="12" t="n">
        <f>IF(COUNT(BD1222:BE1222)&lt;&gt;2,"",IF(AND(BD1222&gt;0,BE1222&gt;0),0.7*AW1222/BD1222+0.3*BA1222/BE1222,IF(BD1222&gt;0,AW1222/BD1222,IF(BE1222&gt;0,BA1222/BE1222,IF(AND(ISNUMBER(BH1222),BH1222=0),0,"")))))</f>
        <v>0</v>
      </c>
      <c r="BG1222" s="11" t="n">
        <f>IF(AND(COUNT(BN1222:BU1222)=8,MIN(BN1222:BU1222)&gt;=0),SUMPRODUCT(BN1222:BQ1222,BR1222:BU1222),"")</f>
        <v>63.935996265425516</v>
      </c>
      <c r="BH1222" s="11" t="n">
        <f>IF(COUNT(BC1222,BG1222)=2,BC1222*BG1222,"")</f>
        <v>0</v>
      </c>
      <c r="BI1222" s="11" t="n">
        <f>IF(ISNUMBER(CI1222),CI1222,"")</f>
        <v>0</v>
      </c>
      <c r="BJ1222" s="8" t="str">
        <v>近180天本色销量0双（＜90），无有效新采购，请运营判断</v>
      </c>
      <c r="BK1222" s="8" t="str">
        <v>90天：2026-07-20 至 2026-10-17；180天：2026-04-21 至 2026-10-17</v>
      </c>
      <c r="BL1222" s="8" t="str">
        <v>90天：2026-10-06、2026-10-07、2026-10-12、2026-10-13、2026-10-16；180天：2026-10-06、2026-10-07、2026-10-12、2026-10-13、2026-10-16</v>
      </c>
      <c r="BM1222" s="8" t="str">
        <v>2026-10：12天 × 0.8729500662042875；2026-11：30天 × 0.8057375774163482；2026-12：31天 × 0.532550303142279；2027-01：17天 × 0.7517299265337036</v>
      </c>
      <c r="BN1222" s="11" t="n">
        <v>0.8729500662042875</v>
      </c>
      <c r="BO1222" s="11" t="n">
        <v>0.8057375774163482</v>
      </c>
      <c r="BP1222" s="11" t="n">
        <v>0.532550303142279</v>
      </c>
      <c r="BQ1222" s="11" t="n">
        <v>0.7517299265337036</v>
      </c>
      <c r="BR1222" s="8" t="n">
        <v>12</v>
      </c>
      <c r="BS1222" s="8" t="n">
        <v>30</v>
      </c>
      <c r="BT1222" s="8" t="n">
        <v>31</v>
      </c>
      <c r="BU1222" s="8" t="n">
        <v>17</v>
      </c>
      <c r="BV1222" s="11" t="n">
        <f>IF(COUNT(BC1222,BF1222)=2,BC1222*BF1222,"")</f>
        <v>0</v>
      </c>
      <c r="BW1222" s="11" t="n">
        <f>IF(ISNUMBER(BN1222),BN1222,"")</f>
        <v>0.8729500662042875</v>
      </c>
      <c r="BX1222" s="14" t="n">
        <f>IF(ISNUMBER(BR1222),BR1222,"")</f>
        <v>12</v>
      </c>
      <c r="BY1222" s="13" t="n">
        <f>IF(AND(COUNT(BV1222,BW1222,BX1222)=3,MIN(BV1222,BW1222,BX1222)&gt;=0),BV1222*BW1222*BX1222,"")</f>
        <v>0</v>
      </c>
      <c r="BZ1222" s="11" t="n">
        <f>IF(ISNUMBER(BO1222),BO1222,"")</f>
        <v>0.8057375774163482</v>
      </c>
      <c r="CA1222" s="14" t="n">
        <f>IF(ISNUMBER(BS1222),BS1222,"")</f>
        <v>30</v>
      </c>
      <c r="CB1222" s="13" t="n">
        <f>IF(AND(COUNT(BV1222,BZ1222,CA1222)=3,MIN(BV1222,BZ1222,CA1222)&gt;=0),BV1222*BZ1222*CA1222,"")</f>
        <v>0</v>
      </c>
      <c r="CC1222" s="11" t="n">
        <f>IF(ISNUMBER(BP1222),BP1222,"")</f>
        <v>0.532550303142279</v>
      </c>
      <c r="CD1222" s="14" t="n">
        <f>IF(ISNUMBER(BT1222),BT1222,"")</f>
        <v>31</v>
      </c>
      <c r="CE1222" s="13" t="n">
        <f>IF(AND(COUNT(BV1222,CC1222,CD1222)=3,MIN(BV1222,CC1222,CD1222)&gt;=0),BV1222*CC1222*CD1222,"")</f>
        <v>0</v>
      </c>
      <c r="CF1222" s="11" t="n">
        <f>IF(ISNUMBER(BQ1222),BQ1222,"")</f>
        <v>0.7517299265337036</v>
      </c>
      <c r="CG1222" s="14" t="n">
        <f>IF(ISNUMBER(BU1222),BU1222,"")</f>
        <v>17</v>
      </c>
      <c r="CH1222" s="13" t="n">
        <f>IF(AND(COUNT(BV1222,CF1222,CG1222)=3,MIN(BV1222,CF1222,CG1222)&gt;=0),BV1222*CF1222*CG1222,"")</f>
        <v>0</v>
      </c>
      <c r="CI1222" s="13" t="n">
        <f>IF(COUNT(BY1222,CB1222,CE1222,CH1222)=4,SUM(BY1222,CB1222,CE1222,CH1222),"")</f>
        <v>0</v>
      </c>
    </row>
    <row r="1223" ht="72" customHeight="1">
      <c r="A1223" s="16" t="str">
        <v>1S01-GD-40</v>
      </c>
      <c r="B1223" s="16" t="str">
        <v>1店-MUSSHOE-US</v>
      </c>
      <c r="C1223" s="16" t="str">
        <v>徐新怡</v>
      </c>
      <c r="D1223" s="26" t="str">
        <f>IF(NOT(ISNUMBER(E1223)),"",IF(OR(E1223&lt;=0,L1223=0),0,IF(OR(NOT(ISNUMBER(F1223)),F1223&lt;0),"",MIN(E1223,INT(F1223)))))</f>
      </c>
      <c r="E1223" s="27" t="str">
        <f>IF(OR(NOT(ISNUMBER(L1223)),COUNT(M1223:O1223)&lt;&gt;3,MIN(M1223:O1223)&lt;0),"",ROUNDUP(ROUND(BI1223-SUM(M1223:O1223),10),0))</f>
      </c>
      <c r="F1223" s="28"/>
      <c r="G1223" s="28" t="str">
        <f>IF(AND(ISNUMBER(D1223),ISNUMBER(E1223)),IF(OR(E1223&lt;=0,L1223=0),0,E1223-D1223),"")</f>
      </c>
      <c r="H1223" s="16" t="str">
        <f>IF(NOT(ISNUMBER(E1223)),"销量或海外库存待补",IF(OR(E1223&lt;=0,L1223=0),IF(L1223=0,"零日销，本批不发","本批无需补货"),IF(NOT(ISNUMBER(D1223)),"国内库存待补",IF(D1223=0,"国内无可用库存",IF(G1223&gt;0,"先发国内现货","按建议量发货")))))</f>
        <v>销量或海外库存待补</v>
      </c>
      <c r="I1223" s="28" t="n">
        <f>IF(AND(COUNT(Z1223,AA1223,AB1223)=3,Z1223&gt;=AA1223,AA1223&gt;=0,AB1223=7),Z1223-AA1223,"")</f>
        <v>0</v>
      </c>
      <c r="J1223" s="28" t="n">
        <f>IF(AND(COUNT(AF1223,AG1223,AH1223)=3,AF1223&gt;=AG1223,AG1223&gt;=0,AH1223=14),AF1223-AG1223,"")</f>
        <v>0</v>
      </c>
      <c r="K1223" s="28" t="n">
        <f>IF(AND(COUNT(AL1223,AM1223,AN1223)=3,AL1223&gt;=AM1223,AM1223&gt;=0,AN1223=30),AL1223-AM1223,"")</f>
        <v>0</v>
      </c>
      <c r="L1223" s="29" t="n">
        <f>IF(ISNUMBER(BI1223),BI1223/90,"")</f>
        <v>0</v>
      </c>
      <c r="M1223" s="28"/>
      <c r="N1223" s="28"/>
      <c r="O1223" s="28"/>
      <c r="P1223" s="30" t="str">
        <f>IF(AND(ISNUMBER(L1223),L1223&gt;0,COUNT(M1223:O1223)=3,MIN(M1223:O1223)&gt;=0),SUM(M1223:O1223)/L1223,"")</f>
      </c>
      <c r="Q1223" s="16" t="str">
        <v>按本SKU唯一未删除Listing店铺核实</v>
      </c>
      <c r="R1223" s="16" t="str">
        <v>未匹配</v>
      </c>
      <c r="S1223" s="16" t="str">
        <v>停售</v>
      </c>
      <c r="T1223" s="16" t="str">
        <v>1S01</v>
      </c>
      <c r="U1223" s="16" t="str">
        <v>金色</v>
      </c>
      <c r="V1223" s="16" t="n">
        <v>9</v>
      </c>
      <c r="W1223" s="8" t="str">
        <v>2026-10-08 至 2026-10-17</v>
      </c>
      <c r="X1223" s="8" t="str">
        <v>2026-10-08、2026-10-09、2026-10-10、2026-10-11、2026-10-14、2026-10-15、2026-10-17</v>
      </c>
      <c r="Y1223" s="8" t="str">
        <v>2026-10-12 有记录的停售日；2026-10-13 有记录的停售日；2026-10-16 有记录的停售日</v>
      </c>
      <c r="Z1223" s="8" t="n">
        <v>0</v>
      </c>
      <c r="AA1223" s="8" t="n">
        <v>0</v>
      </c>
      <c r="AB1223" s="8" t="n">
        <v>7</v>
      </c>
      <c r="AC1223" s="8" t="str">
        <v>2026-09-29 至 2026-10-17</v>
      </c>
      <c r="AD1223" s="8" t="str">
        <v>2026-09-29、2026-09-30、2026-10-01、2026-10-02、2026-10-03、2026-10-04、2026-10-05、2026-10-08、2026-10-09、2026-10-10、2026-10-11、2026-10-14、2026-10-15、2026-10-17</v>
      </c>
      <c r="AE1223" s="8" t="str">
        <v>2026-10-06 大促；2026-10-07 大促；2026-10-12 有记录的停售日；2026-10-13 有记录的停售日；2026-10-16 有记录的停售日</v>
      </c>
      <c r="AF1223" s="8" t="n">
        <v>0</v>
      </c>
      <c r="AG1223" s="8" t="n">
        <v>0</v>
      </c>
      <c r="AH1223" s="8" t="n">
        <v>14</v>
      </c>
      <c r="AI1223" s="8" t="str">
        <v>2026-09-13 至 2026-10-17</v>
      </c>
      <c r="AJ122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3" s="8" t="str">
        <v>2026-10-06 大促；2026-10-07 大促；2026-10-12 有记录的停售日；2026-10-13 有记录的停售日；2026-10-16 有记录的停售日</v>
      </c>
      <c r="AL1223" s="8" t="n">
        <v>0</v>
      </c>
      <c r="AM1223" s="8" t="n">
        <v>0</v>
      </c>
      <c r="AN1223" s="8" t="n">
        <v>30</v>
      </c>
      <c r="AO1223" s="8" t="str">
        <v>1S01 / 金色PU / 13120</v>
      </c>
      <c r="AP1223" s="11" t="n">
        <v>0.8729500662042875</v>
      </c>
      <c r="AQ1223" s="11" t="n">
        <v>0.9355747145678367</v>
      </c>
      <c r="AR1223" s="11" t="n">
        <v>1.135973589331194</v>
      </c>
      <c r="AS1223" s="11" t="n">
        <f>IF(AND(COUNT(I1223:K1223,AP1223:AR1223)=6,MIN(AP1223:AR1223)&gt;0),I1223/7/AP1223*0.5+J1223/14/AQ1223*0.3+K1223/30/AR1223*0.2,"")</f>
        <v>0</v>
      </c>
      <c r="AT1223" s="8" t="n">
        <v>0</v>
      </c>
      <c r="AU1223" s="8" t="n">
        <v>0</v>
      </c>
      <c r="AV1223" s="8" t="n">
        <v>85</v>
      </c>
      <c r="AW1223" s="11" t="n">
        <f>IF(AND(COUNT(AT1223:AV1223)=3,AT1223&gt;=AU1223,AU1223&gt;=0,AV1223&gt;0),(AT1223-AU1223)/AV1223,"")</f>
        <v>0</v>
      </c>
      <c r="AX1223" s="8" t="n">
        <v>0</v>
      </c>
      <c r="AY1223" s="8" t="n">
        <v>0</v>
      </c>
      <c r="AZ1223" s="8" t="n">
        <v>175</v>
      </c>
      <c r="BA1223" s="11" t="n">
        <f>IF(AND(COUNT(AX1223:AZ1223)=3,AX1223&gt;=AY1223,AY1223&gt;=0,AZ1223&gt;0),(AX1223-AY1223)/AZ1223,"")</f>
        <v>0</v>
      </c>
      <c r="BB1223" s="8" t="n">
        <f>IF(COUNT(AS1223,AW1223,BA1223)=3,1,0)</f>
        <v>1</v>
      </c>
      <c r="BC1223" s="11" t="n">
        <f>IF(SUMIF($AO$11:$AO$1309,AO1223,$BB$11:$BB$1309)=COUNTIF($AO$11:$AO$1309,AO1223),SUMIF($AO$11:$AO$1309,AO1223,$AS$11:$AS$1309),"")</f>
        <v>0</v>
      </c>
      <c r="BD1223" s="11" t="n">
        <f>IF(SUMIF($AO$11:$AO$1309,AO1223,$BB$11:$BB$1309)=COUNTIF($AO$11:$AO$1309,AO1223),SUMIF($AO$11:$AO$1309,AO1223,$AW$11:$AW$1309),"")</f>
        <v>0</v>
      </c>
      <c r="BE1223" s="11" t="n">
        <f>IF(SUMIF($AO$11:$AO$1309,AO1223,$BB$11:$BB$1309)=COUNTIF($AO$11:$AO$1309,AO1223),SUMIF($AO$11:$AO$1309,AO1223,$BA$11:$BA$1309),"")</f>
        <v>0</v>
      </c>
      <c r="BF1223" s="12" t="n">
        <f>IF(COUNT(BD1223:BE1223)&lt;&gt;2,"",IF(AND(BD1223&gt;0,BE1223&gt;0),0.7*AW1223/BD1223+0.3*BA1223/BE1223,IF(BD1223&gt;0,AW1223/BD1223,IF(BE1223&gt;0,BA1223/BE1223,IF(AND(ISNUMBER(BH1223),BH1223=0),0,"")))))</f>
        <v>0</v>
      </c>
      <c r="BG1223" s="11" t="n">
        <f>IF(AND(COUNT(BN1223:BU1223)=8,MIN(BN1223:BU1223)&gt;=0),SUMPRODUCT(BN1223:BQ1223,BR1223:BU1223),"")</f>
        <v>63.935996265425516</v>
      </c>
      <c r="BH1223" s="11" t="n">
        <f>IF(COUNT(BC1223,BG1223)=2,BC1223*BG1223,"")</f>
        <v>0</v>
      </c>
      <c r="BI1223" s="11" t="n">
        <f>IF(ISNUMBER(CI1223),CI1223,"")</f>
        <v>0</v>
      </c>
      <c r="BJ1223" s="8" t="str">
        <v>近180天本色销量0双（＜90），无有效新采购，请运营判断</v>
      </c>
      <c r="BK1223" s="8" t="str">
        <v>90天：2026-07-20 至 2026-10-17；180天：2026-04-21 至 2026-10-17</v>
      </c>
      <c r="BL1223" s="8" t="str">
        <v>90天：2026-10-06、2026-10-07、2026-10-12、2026-10-13、2026-10-16；180天：2026-10-06、2026-10-07、2026-10-12、2026-10-13、2026-10-16</v>
      </c>
      <c r="BM1223" s="8" t="str">
        <v>2026-10：12天 × 0.8729500662042875；2026-11：30天 × 0.8057375774163482；2026-12：31天 × 0.532550303142279；2027-01：17天 × 0.7517299265337036</v>
      </c>
      <c r="BN1223" s="11" t="n">
        <v>0.8729500662042875</v>
      </c>
      <c r="BO1223" s="11" t="n">
        <v>0.8057375774163482</v>
      </c>
      <c r="BP1223" s="11" t="n">
        <v>0.532550303142279</v>
      </c>
      <c r="BQ1223" s="11" t="n">
        <v>0.7517299265337036</v>
      </c>
      <c r="BR1223" s="8" t="n">
        <v>12</v>
      </c>
      <c r="BS1223" s="8" t="n">
        <v>30</v>
      </c>
      <c r="BT1223" s="8" t="n">
        <v>31</v>
      </c>
      <c r="BU1223" s="8" t="n">
        <v>17</v>
      </c>
      <c r="BV1223" s="11" t="n">
        <f>IF(COUNT(BC1223,BF1223)=2,BC1223*BF1223,"")</f>
        <v>0</v>
      </c>
      <c r="BW1223" s="11" t="n">
        <f>IF(ISNUMBER(BN1223),BN1223,"")</f>
        <v>0.8729500662042875</v>
      </c>
      <c r="BX1223" s="14" t="n">
        <f>IF(ISNUMBER(BR1223),BR1223,"")</f>
        <v>12</v>
      </c>
      <c r="BY1223" s="13" t="n">
        <f>IF(AND(COUNT(BV1223,BW1223,BX1223)=3,MIN(BV1223,BW1223,BX1223)&gt;=0),BV1223*BW1223*BX1223,"")</f>
        <v>0</v>
      </c>
      <c r="BZ1223" s="11" t="n">
        <f>IF(ISNUMBER(BO1223),BO1223,"")</f>
        <v>0.8057375774163482</v>
      </c>
      <c r="CA1223" s="14" t="n">
        <f>IF(ISNUMBER(BS1223),BS1223,"")</f>
        <v>30</v>
      </c>
      <c r="CB1223" s="13" t="n">
        <f>IF(AND(COUNT(BV1223,BZ1223,CA1223)=3,MIN(BV1223,BZ1223,CA1223)&gt;=0),BV1223*BZ1223*CA1223,"")</f>
        <v>0</v>
      </c>
      <c r="CC1223" s="11" t="n">
        <f>IF(ISNUMBER(BP1223),BP1223,"")</f>
        <v>0.532550303142279</v>
      </c>
      <c r="CD1223" s="14" t="n">
        <f>IF(ISNUMBER(BT1223),BT1223,"")</f>
        <v>31</v>
      </c>
      <c r="CE1223" s="13" t="n">
        <f>IF(AND(COUNT(BV1223,CC1223,CD1223)=3,MIN(BV1223,CC1223,CD1223)&gt;=0),BV1223*CC1223*CD1223,"")</f>
        <v>0</v>
      </c>
      <c r="CF1223" s="11" t="n">
        <f>IF(ISNUMBER(BQ1223),BQ1223,"")</f>
        <v>0.7517299265337036</v>
      </c>
      <c r="CG1223" s="14" t="n">
        <f>IF(ISNUMBER(BU1223),BU1223,"")</f>
        <v>17</v>
      </c>
      <c r="CH1223" s="13" t="n">
        <f>IF(AND(COUNT(BV1223,CF1223,CG1223)=3,MIN(BV1223,CF1223,CG1223)&gt;=0),BV1223*CF1223*CG1223,"")</f>
        <v>0</v>
      </c>
      <c r="CI1223" s="13" t="n">
        <f>IF(COUNT(BY1223,CB1223,CE1223,CH1223)=4,SUM(BY1223,CB1223,CE1223,CH1223),"")</f>
        <v>0</v>
      </c>
    </row>
    <row r="1224" ht="72" customHeight="1">
      <c r="A1224" s="16" t="str">
        <v>1S01-GD-41</v>
      </c>
      <c r="B1224" s="16" t="str">
        <v>1店-MUSSHOE-US</v>
      </c>
      <c r="C1224" s="16" t="str">
        <v>徐新怡</v>
      </c>
      <c r="D1224" s="26" t="str">
        <f>IF(NOT(ISNUMBER(E1224)),"",IF(OR(E1224&lt;=0,L1224=0),0,IF(OR(NOT(ISNUMBER(F1224)),F1224&lt;0),"",MIN(E1224,INT(F1224)))))</f>
      </c>
      <c r="E1224" s="27" t="str">
        <f>IF(OR(NOT(ISNUMBER(L1224)),COUNT(M1224:O1224)&lt;&gt;3,MIN(M1224:O1224)&lt;0),"",ROUNDUP(ROUND(BI1224-SUM(M1224:O1224),10),0))</f>
      </c>
      <c r="F1224" s="28"/>
      <c r="G1224" s="28" t="str">
        <f>IF(AND(ISNUMBER(D1224),ISNUMBER(E1224)),IF(OR(E1224&lt;=0,L1224=0),0,E1224-D1224),"")</f>
      </c>
      <c r="H1224" s="16" t="str">
        <f>IF(NOT(ISNUMBER(E1224)),"销量或海外库存待补",IF(OR(E1224&lt;=0,L1224=0),IF(L1224=0,"零日销，本批不发","本批无需补货"),IF(NOT(ISNUMBER(D1224)),"国内库存待补",IF(D1224=0,"国内无可用库存",IF(G1224&gt;0,"先发国内现货","按建议量发货")))))</f>
        <v>销量或海外库存待补</v>
      </c>
      <c r="I1224" s="28" t="n">
        <f>IF(AND(COUNT(Z1224,AA1224,AB1224)=3,Z1224&gt;=AA1224,AA1224&gt;=0,AB1224=7),Z1224-AA1224,"")</f>
        <v>0</v>
      </c>
      <c r="J1224" s="28" t="n">
        <f>IF(AND(COUNT(AF1224,AG1224,AH1224)=3,AF1224&gt;=AG1224,AG1224&gt;=0,AH1224=14),AF1224-AG1224,"")</f>
        <v>0</v>
      </c>
      <c r="K1224" s="28" t="n">
        <f>IF(AND(COUNT(AL1224,AM1224,AN1224)=3,AL1224&gt;=AM1224,AM1224&gt;=0,AN1224=30),AL1224-AM1224,"")</f>
        <v>0</v>
      </c>
      <c r="L1224" s="29" t="n">
        <f>IF(ISNUMBER(BI1224),BI1224/90,"")</f>
        <v>0</v>
      </c>
      <c r="M1224" s="28"/>
      <c r="N1224" s="28"/>
      <c r="O1224" s="28"/>
      <c r="P1224" s="30" t="str">
        <f>IF(AND(ISNUMBER(L1224),L1224&gt;0,COUNT(M1224:O1224)=3,MIN(M1224:O1224)&gt;=0),SUM(M1224:O1224)/L1224,"")</f>
      </c>
      <c r="Q1224" s="16" t="str">
        <v>按本SKU唯一未删除Listing店铺核实</v>
      </c>
      <c r="R1224" s="16" t="str">
        <v>未匹配</v>
      </c>
      <c r="S1224" s="16" t="str">
        <v>停售</v>
      </c>
      <c r="T1224" s="16" t="str">
        <v>1S01</v>
      </c>
      <c r="U1224" s="16" t="str">
        <v>金色</v>
      </c>
      <c r="V1224" s="16" t="n">
        <v>10</v>
      </c>
      <c r="W1224" s="8" t="str">
        <v>2026-10-08 至 2026-10-17</v>
      </c>
      <c r="X1224" s="8" t="str">
        <v>2026-10-08、2026-10-09、2026-10-10、2026-10-11、2026-10-14、2026-10-15、2026-10-17</v>
      </c>
      <c r="Y1224" s="8" t="str">
        <v>2026-10-12 有记录的停售日；2026-10-13 有记录的停售日；2026-10-16 有记录的停售日</v>
      </c>
      <c r="Z1224" s="8" t="n">
        <v>0</v>
      </c>
      <c r="AA1224" s="8" t="n">
        <v>0</v>
      </c>
      <c r="AB1224" s="8" t="n">
        <v>7</v>
      </c>
      <c r="AC1224" s="8" t="str">
        <v>2026-09-29 至 2026-10-17</v>
      </c>
      <c r="AD1224" s="8" t="str">
        <v>2026-09-29、2026-09-30、2026-10-01、2026-10-02、2026-10-03、2026-10-04、2026-10-05、2026-10-08、2026-10-09、2026-10-10、2026-10-11、2026-10-14、2026-10-15、2026-10-17</v>
      </c>
      <c r="AE1224" s="8" t="str">
        <v>2026-10-06 大促；2026-10-07 大促；2026-10-12 有记录的停售日；2026-10-13 有记录的停售日；2026-10-16 有记录的停售日</v>
      </c>
      <c r="AF1224" s="8" t="n">
        <v>0</v>
      </c>
      <c r="AG1224" s="8" t="n">
        <v>0</v>
      </c>
      <c r="AH1224" s="8" t="n">
        <v>14</v>
      </c>
      <c r="AI1224" s="8" t="str">
        <v>2026-09-13 至 2026-10-17</v>
      </c>
      <c r="AJ122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4" s="8" t="str">
        <v>2026-10-06 大促；2026-10-07 大促；2026-10-12 有记录的停售日；2026-10-13 有记录的停售日；2026-10-16 有记录的停售日</v>
      </c>
      <c r="AL1224" s="8" t="n">
        <v>0</v>
      </c>
      <c r="AM1224" s="8" t="n">
        <v>0</v>
      </c>
      <c r="AN1224" s="8" t="n">
        <v>30</v>
      </c>
      <c r="AO1224" s="8" t="str">
        <v>1S01 / 金色PU / 13120</v>
      </c>
      <c r="AP1224" s="11" t="n">
        <v>0.8729500662042875</v>
      </c>
      <c r="AQ1224" s="11" t="n">
        <v>0.9355747145678367</v>
      </c>
      <c r="AR1224" s="11" t="n">
        <v>1.135973589331194</v>
      </c>
      <c r="AS1224" s="11" t="n">
        <f>IF(AND(COUNT(I1224:K1224,AP1224:AR1224)=6,MIN(AP1224:AR1224)&gt;0),I1224/7/AP1224*0.5+J1224/14/AQ1224*0.3+K1224/30/AR1224*0.2,"")</f>
        <v>0</v>
      </c>
      <c r="AT1224" s="8" t="n">
        <v>0</v>
      </c>
      <c r="AU1224" s="8" t="n">
        <v>0</v>
      </c>
      <c r="AV1224" s="8" t="n">
        <v>85</v>
      </c>
      <c r="AW1224" s="11" t="n">
        <f>IF(AND(COUNT(AT1224:AV1224)=3,AT1224&gt;=AU1224,AU1224&gt;=0,AV1224&gt;0),(AT1224-AU1224)/AV1224,"")</f>
        <v>0</v>
      </c>
      <c r="AX1224" s="8" t="n">
        <v>0</v>
      </c>
      <c r="AY1224" s="8" t="n">
        <v>0</v>
      </c>
      <c r="AZ1224" s="8" t="n">
        <v>175</v>
      </c>
      <c r="BA1224" s="11" t="n">
        <f>IF(AND(COUNT(AX1224:AZ1224)=3,AX1224&gt;=AY1224,AY1224&gt;=0,AZ1224&gt;0),(AX1224-AY1224)/AZ1224,"")</f>
        <v>0</v>
      </c>
      <c r="BB1224" s="8" t="n">
        <f>IF(COUNT(AS1224,AW1224,BA1224)=3,1,0)</f>
        <v>1</v>
      </c>
      <c r="BC1224" s="11" t="n">
        <f>IF(SUMIF($AO$11:$AO$1309,AO1224,$BB$11:$BB$1309)=COUNTIF($AO$11:$AO$1309,AO1224),SUMIF($AO$11:$AO$1309,AO1224,$AS$11:$AS$1309),"")</f>
        <v>0</v>
      </c>
      <c r="BD1224" s="11" t="n">
        <f>IF(SUMIF($AO$11:$AO$1309,AO1224,$BB$11:$BB$1309)=COUNTIF($AO$11:$AO$1309,AO1224),SUMIF($AO$11:$AO$1309,AO1224,$AW$11:$AW$1309),"")</f>
        <v>0</v>
      </c>
      <c r="BE1224" s="11" t="n">
        <f>IF(SUMIF($AO$11:$AO$1309,AO1224,$BB$11:$BB$1309)=COUNTIF($AO$11:$AO$1309,AO1224),SUMIF($AO$11:$AO$1309,AO1224,$BA$11:$BA$1309),"")</f>
        <v>0</v>
      </c>
      <c r="BF1224" s="12" t="n">
        <f>IF(COUNT(BD1224:BE1224)&lt;&gt;2,"",IF(AND(BD1224&gt;0,BE1224&gt;0),0.7*AW1224/BD1224+0.3*BA1224/BE1224,IF(BD1224&gt;0,AW1224/BD1224,IF(BE1224&gt;0,BA1224/BE1224,IF(AND(ISNUMBER(BH1224),BH1224=0),0,"")))))</f>
        <v>0</v>
      </c>
      <c r="BG1224" s="11" t="n">
        <f>IF(AND(COUNT(BN1224:BU1224)=8,MIN(BN1224:BU1224)&gt;=0),SUMPRODUCT(BN1224:BQ1224,BR1224:BU1224),"")</f>
        <v>63.935996265425516</v>
      </c>
      <c r="BH1224" s="11" t="n">
        <f>IF(COUNT(BC1224,BG1224)=2,BC1224*BG1224,"")</f>
        <v>0</v>
      </c>
      <c r="BI1224" s="11" t="n">
        <f>IF(ISNUMBER(CI1224),CI1224,"")</f>
        <v>0</v>
      </c>
      <c r="BJ1224" s="8" t="str">
        <v>近180天本色销量0双（＜90），无有效新采购，请运营判断</v>
      </c>
      <c r="BK1224" s="8" t="str">
        <v>90天：2026-07-20 至 2026-10-17；180天：2026-04-21 至 2026-10-17</v>
      </c>
      <c r="BL1224" s="8" t="str">
        <v>90天：2026-10-06、2026-10-07、2026-10-12、2026-10-13、2026-10-16；180天：2026-10-06、2026-10-07、2026-10-12、2026-10-13、2026-10-16</v>
      </c>
      <c r="BM1224" s="8" t="str">
        <v>2026-10：12天 × 0.8729500662042875；2026-11：30天 × 0.8057375774163482；2026-12：31天 × 0.532550303142279；2027-01：17天 × 0.7517299265337036</v>
      </c>
      <c r="BN1224" s="11" t="n">
        <v>0.8729500662042875</v>
      </c>
      <c r="BO1224" s="11" t="n">
        <v>0.8057375774163482</v>
      </c>
      <c r="BP1224" s="11" t="n">
        <v>0.532550303142279</v>
      </c>
      <c r="BQ1224" s="11" t="n">
        <v>0.7517299265337036</v>
      </c>
      <c r="BR1224" s="8" t="n">
        <v>12</v>
      </c>
      <c r="BS1224" s="8" t="n">
        <v>30</v>
      </c>
      <c r="BT1224" s="8" t="n">
        <v>31</v>
      </c>
      <c r="BU1224" s="8" t="n">
        <v>17</v>
      </c>
      <c r="BV1224" s="11" t="n">
        <f>IF(COUNT(BC1224,BF1224)=2,BC1224*BF1224,"")</f>
        <v>0</v>
      </c>
      <c r="BW1224" s="11" t="n">
        <f>IF(ISNUMBER(BN1224),BN1224,"")</f>
        <v>0.8729500662042875</v>
      </c>
      <c r="BX1224" s="14" t="n">
        <f>IF(ISNUMBER(BR1224),BR1224,"")</f>
        <v>12</v>
      </c>
      <c r="BY1224" s="13" t="n">
        <f>IF(AND(COUNT(BV1224,BW1224,BX1224)=3,MIN(BV1224,BW1224,BX1224)&gt;=0),BV1224*BW1224*BX1224,"")</f>
        <v>0</v>
      </c>
      <c r="BZ1224" s="11" t="n">
        <f>IF(ISNUMBER(BO1224),BO1224,"")</f>
        <v>0.8057375774163482</v>
      </c>
      <c r="CA1224" s="14" t="n">
        <f>IF(ISNUMBER(BS1224),BS1224,"")</f>
        <v>30</v>
      </c>
      <c r="CB1224" s="13" t="n">
        <f>IF(AND(COUNT(BV1224,BZ1224,CA1224)=3,MIN(BV1224,BZ1224,CA1224)&gt;=0),BV1224*BZ1224*CA1224,"")</f>
        <v>0</v>
      </c>
      <c r="CC1224" s="11" t="n">
        <f>IF(ISNUMBER(BP1224),BP1224,"")</f>
        <v>0.532550303142279</v>
      </c>
      <c r="CD1224" s="14" t="n">
        <f>IF(ISNUMBER(BT1224),BT1224,"")</f>
        <v>31</v>
      </c>
      <c r="CE1224" s="13" t="n">
        <f>IF(AND(COUNT(BV1224,CC1224,CD1224)=3,MIN(BV1224,CC1224,CD1224)&gt;=0),BV1224*CC1224*CD1224,"")</f>
        <v>0</v>
      </c>
      <c r="CF1224" s="11" t="n">
        <f>IF(ISNUMBER(BQ1224),BQ1224,"")</f>
        <v>0.7517299265337036</v>
      </c>
      <c r="CG1224" s="14" t="n">
        <f>IF(ISNUMBER(BU1224),BU1224,"")</f>
        <v>17</v>
      </c>
      <c r="CH1224" s="13" t="n">
        <f>IF(AND(COUNT(BV1224,CF1224,CG1224)=3,MIN(BV1224,CF1224,CG1224)&gt;=0),BV1224*CF1224*CG1224,"")</f>
        <v>0</v>
      </c>
      <c r="CI1224" s="13" t="n">
        <f>IF(COUNT(BY1224,CB1224,CE1224,CH1224)=4,SUM(BY1224,CB1224,CE1224,CH1224),"")</f>
        <v>0</v>
      </c>
    </row>
    <row r="1225" ht="72" customHeight="1">
      <c r="A1225" s="16" t="str">
        <v>1S01-GD-42</v>
      </c>
      <c r="B1225" s="16" t="str">
        <v>1店-MUSSHOE-US</v>
      </c>
      <c r="C1225" s="16" t="str">
        <v>徐新怡</v>
      </c>
      <c r="D1225" s="26" t="str">
        <f>IF(NOT(ISNUMBER(E1225)),"",IF(OR(E1225&lt;=0,L1225=0),0,IF(OR(NOT(ISNUMBER(F1225)),F1225&lt;0),"",MIN(E1225,INT(F1225)))))</f>
      </c>
      <c r="E1225" s="27" t="str">
        <f>IF(OR(NOT(ISNUMBER(L1225)),COUNT(M1225:O1225)&lt;&gt;3,MIN(M1225:O1225)&lt;0),"",ROUNDUP(ROUND(BI1225-SUM(M1225:O1225),10),0))</f>
      </c>
      <c r="F1225" s="28"/>
      <c r="G1225" s="28" t="str">
        <f>IF(AND(ISNUMBER(D1225),ISNUMBER(E1225)),IF(OR(E1225&lt;=0,L1225=0),0,E1225-D1225),"")</f>
      </c>
      <c r="H1225" s="16" t="str">
        <f>IF(NOT(ISNUMBER(E1225)),"销量或海外库存待补",IF(OR(E1225&lt;=0,L1225=0),IF(L1225=0,"零日销，本批不发","本批无需补货"),IF(NOT(ISNUMBER(D1225)),"国内库存待补",IF(D1225=0,"国内无可用库存",IF(G1225&gt;0,"先发国内现货","按建议量发货")))))</f>
        <v>销量或海外库存待补</v>
      </c>
      <c r="I1225" s="28" t="n">
        <f>IF(AND(COUNT(Z1225,AA1225,AB1225)=3,Z1225&gt;=AA1225,AA1225&gt;=0,AB1225=7),Z1225-AA1225,"")</f>
        <v>0</v>
      </c>
      <c r="J1225" s="28" t="n">
        <f>IF(AND(COUNT(AF1225,AG1225,AH1225)=3,AF1225&gt;=AG1225,AG1225&gt;=0,AH1225=14),AF1225-AG1225,"")</f>
        <v>0</v>
      </c>
      <c r="K1225" s="28" t="n">
        <f>IF(AND(COUNT(AL1225,AM1225,AN1225)=3,AL1225&gt;=AM1225,AM1225&gt;=0,AN1225=30),AL1225-AM1225,"")</f>
        <v>0</v>
      </c>
      <c r="L1225" s="29" t="n">
        <f>IF(ISNUMBER(BI1225),BI1225/90,"")</f>
        <v>0</v>
      </c>
      <c r="M1225" s="28"/>
      <c r="N1225" s="28"/>
      <c r="O1225" s="28"/>
      <c r="P1225" s="30" t="str">
        <f>IF(AND(ISNUMBER(L1225),L1225&gt;0,COUNT(M1225:O1225)=3,MIN(M1225:O1225)&gt;=0),SUM(M1225:O1225)/L1225,"")</f>
      </c>
      <c r="Q1225" s="16" t="str">
        <v>按本SKU唯一未删除Listing店铺核实</v>
      </c>
      <c r="R1225" s="16" t="str">
        <v>未匹配</v>
      </c>
      <c r="S1225" s="16" t="str">
        <v>停售</v>
      </c>
      <c r="T1225" s="16" t="str">
        <v>1S01</v>
      </c>
      <c r="U1225" s="16" t="str">
        <v>金色</v>
      </c>
      <c r="V1225" s="16" t="n">
        <v>11</v>
      </c>
      <c r="W1225" s="8" t="str">
        <v>2026-10-08 至 2026-10-17</v>
      </c>
      <c r="X1225" s="8" t="str">
        <v>2026-10-08、2026-10-09、2026-10-10、2026-10-11、2026-10-14、2026-10-15、2026-10-17</v>
      </c>
      <c r="Y1225" s="8" t="str">
        <v>2026-10-12 有记录的停售日；2026-10-13 有记录的停售日；2026-10-16 有记录的停售日</v>
      </c>
      <c r="Z1225" s="8" t="n">
        <v>0</v>
      </c>
      <c r="AA1225" s="8" t="n">
        <v>0</v>
      </c>
      <c r="AB1225" s="8" t="n">
        <v>7</v>
      </c>
      <c r="AC1225" s="8" t="str">
        <v>2026-09-29 至 2026-10-17</v>
      </c>
      <c r="AD1225" s="8" t="str">
        <v>2026-09-29、2026-09-30、2026-10-01、2026-10-02、2026-10-03、2026-10-04、2026-10-05、2026-10-08、2026-10-09、2026-10-10、2026-10-11、2026-10-14、2026-10-15、2026-10-17</v>
      </c>
      <c r="AE1225" s="8" t="str">
        <v>2026-10-06 大促；2026-10-07 大促；2026-10-12 有记录的停售日；2026-10-13 有记录的停售日；2026-10-16 有记录的停售日</v>
      </c>
      <c r="AF1225" s="8" t="n">
        <v>0</v>
      </c>
      <c r="AG1225" s="8" t="n">
        <v>0</v>
      </c>
      <c r="AH1225" s="8" t="n">
        <v>14</v>
      </c>
      <c r="AI1225" s="8" t="str">
        <v>2026-09-13 至 2026-10-17</v>
      </c>
      <c r="AJ122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5" s="8" t="str">
        <v>2026-10-06 大促；2026-10-07 大促；2026-10-12 有记录的停售日；2026-10-13 有记录的停售日；2026-10-16 有记录的停售日</v>
      </c>
      <c r="AL1225" s="8" t="n">
        <v>0</v>
      </c>
      <c r="AM1225" s="8" t="n">
        <v>0</v>
      </c>
      <c r="AN1225" s="8" t="n">
        <v>30</v>
      </c>
      <c r="AO1225" s="8" t="str">
        <v>1S01 / 金色PU / 13120</v>
      </c>
      <c r="AP1225" s="11" t="n">
        <v>0.8729500662042875</v>
      </c>
      <c r="AQ1225" s="11" t="n">
        <v>0.9355747145678367</v>
      </c>
      <c r="AR1225" s="11" t="n">
        <v>1.135973589331194</v>
      </c>
      <c r="AS1225" s="11" t="n">
        <f>IF(AND(COUNT(I1225:K1225,AP1225:AR1225)=6,MIN(AP1225:AR1225)&gt;0),I1225/7/AP1225*0.5+J1225/14/AQ1225*0.3+K1225/30/AR1225*0.2,"")</f>
        <v>0</v>
      </c>
      <c r="AT1225" s="8" t="n">
        <v>0</v>
      </c>
      <c r="AU1225" s="8" t="n">
        <v>0</v>
      </c>
      <c r="AV1225" s="8" t="n">
        <v>85</v>
      </c>
      <c r="AW1225" s="11" t="n">
        <f>IF(AND(COUNT(AT1225:AV1225)=3,AT1225&gt;=AU1225,AU1225&gt;=0,AV1225&gt;0),(AT1225-AU1225)/AV1225,"")</f>
        <v>0</v>
      </c>
      <c r="AX1225" s="8" t="n">
        <v>0</v>
      </c>
      <c r="AY1225" s="8" t="n">
        <v>0</v>
      </c>
      <c r="AZ1225" s="8" t="n">
        <v>175</v>
      </c>
      <c r="BA1225" s="11" t="n">
        <f>IF(AND(COUNT(AX1225:AZ1225)=3,AX1225&gt;=AY1225,AY1225&gt;=0,AZ1225&gt;0),(AX1225-AY1225)/AZ1225,"")</f>
        <v>0</v>
      </c>
      <c r="BB1225" s="8" t="n">
        <f>IF(COUNT(AS1225,AW1225,BA1225)=3,1,0)</f>
        <v>1</v>
      </c>
      <c r="BC1225" s="11" t="n">
        <f>IF(SUMIF($AO$11:$AO$1309,AO1225,$BB$11:$BB$1309)=COUNTIF($AO$11:$AO$1309,AO1225),SUMIF($AO$11:$AO$1309,AO1225,$AS$11:$AS$1309),"")</f>
        <v>0</v>
      </c>
      <c r="BD1225" s="11" t="n">
        <f>IF(SUMIF($AO$11:$AO$1309,AO1225,$BB$11:$BB$1309)=COUNTIF($AO$11:$AO$1309,AO1225),SUMIF($AO$11:$AO$1309,AO1225,$AW$11:$AW$1309),"")</f>
        <v>0</v>
      </c>
      <c r="BE1225" s="11" t="n">
        <f>IF(SUMIF($AO$11:$AO$1309,AO1225,$BB$11:$BB$1309)=COUNTIF($AO$11:$AO$1309,AO1225),SUMIF($AO$11:$AO$1309,AO1225,$BA$11:$BA$1309),"")</f>
        <v>0</v>
      </c>
      <c r="BF1225" s="12" t="n">
        <f>IF(COUNT(BD1225:BE1225)&lt;&gt;2,"",IF(AND(BD1225&gt;0,BE1225&gt;0),0.7*AW1225/BD1225+0.3*BA1225/BE1225,IF(BD1225&gt;0,AW1225/BD1225,IF(BE1225&gt;0,BA1225/BE1225,IF(AND(ISNUMBER(BH1225),BH1225=0),0,"")))))</f>
        <v>0</v>
      </c>
      <c r="BG1225" s="11" t="n">
        <f>IF(AND(COUNT(BN1225:BU1225)=8,MIN(BN1225:BU1225)&gt;=0),SUMPRODUCT(BN1225:BQ1225,BR1225:BU1225),"")</f>
        <v>63.935996265425516</v>
      </c>
      <c r="BH1225" s="11" t="n">
        <f>IF(COUNT(BC1225,BG1225)=2,BC1225*BG1225,"")</f>
        <v>0</v>
      </c>
      <c r="BI1225" s="11" t="n">
        <f>IF(ISNUMBER(CI1225),CI1225,"")</f>
        <v>0</v>
      </c>
      <c r="BJ1225" s="8" t="str">
        <v>近180天本色销量0双（＜90），无有效新采购，请运营判断</v>
      </c>
      <c r="BK1225" s="8" t="str">
        <v>90天：2026-07-20 至 2026-10-17；180天：2026-04-21 至 2026-10-17</v>
      </c>
      <c r="BL1225" s="8" t="str">
        <v>90天：2026-10-06、2026-10-07、2026-10-12、2026-10-13、2026-10-16；180天：2026-10-06、2026-10-07、2026-10-12、2026-10-13、2026-10-16</v>
      </c>
      <c r="BM1225" s="8" t="str">
        <v>2026-10：12天 × 0.8729500662042875；2026-11：30天 × 0.8057375774163482；2026-12：31天 × 0.532550303142279；2027-01：17天 × 0.7517299265337036</v>
      </c>
      <c r="BN1225" s="11" t="n">
        <v>0.8729500662042875</v>
      </c>
      <c r="BO1225" s="11" t="n">
        <v>0.8057375774163482</v>
      </c>
      <c r="BP1225" s="11" t="n">
        <v>0.532550303142279</v>
      </c>
      <c r="BQ1225" s="11" t="n">
        <v>0.7517299265337036</v>
      </c>
      <c r="BR1225" s="8" t="n">
        <v>12</v>
      </c>
      <c r="BS1225" s="8" t="n">
        <v>30</v>
      </c>
      <c r="BT1225" s="8" t="n">
        <v>31</v>
      </c>
      <c r="BU1225" s="8" t="n">
        <v>17</v>
      </c>
      <c r="BV1225" s="11" t="n">
        <f>IF(COUNT(BC1225,BF1225)=2,BC1225*BF1225,"")</f>
        <v>0</v>
      </c>
      <c r="BW1225" s="11" t="n">
        <f>IF(ISNUMBER(BN1225),BN1225,"")</f>
        <v>0.8729500662042875</v>
      </c>
      <c r="BX1225" s="14" t="n">
        <f>IF(ISNUMBER(BR1225),BR1225,"")</f>
        <v>12</v>
      </c>
      <c r="BY1225" s="13" t="n">
        <f>IF(AND(COUNT(BV1225,BW1225,BX1225)=3,MIN(BV1225,BW1225,BX1225)&gt;=0),BV1225*BW1225*BX1225,"")</f>
        <v>0</v>
      </c>
      <c r="BZ1225" s="11" t="n">
        <f>IF(ISNUMBER(BO1225),BO1225,"")</f>
        <v>0.8057375774163482</v>
      </c>
      <c r="CA1225" s="14" t="n">
        <f>IF(ISNUMBER(BS1225),BS1225,"")</f>
        <v>30</v>
      </c>
      <c r="CB1225" s="13" t="n">
        <f>IF(AND(COUNT(BV1225,BZ1225,CA1225)=3,MIN(BV1225,BZ1225,CA1225)&gt;=0),BV1225*BZ1225*CA1225,"")</f>
        <v>0</v>
      </c>
      <c r="CC1225" s="11" t="n">
        <f>IF(ISNUMBER(BP1225),BP1225,"")</f>
        <v>0.532550303142279</v>
      </c>
      <c r="CD1225" s="14" t="n">
        <f>IF(ISNUMBER(BT1225),BT1225,"")</f>
        <v>31</v>
      </c>
      <c r="CE1225" s="13" t="n">
        <f>IF(AND(COUNT(BV1225,CC1225,CD1225)=3,MIN(BV1225,CC1225,CD1225)&gt;=0),BV1225*CC1225*CD1225,"")</f>
        <v>0</v>
      </c>
      <c r="CF1225" s="11" t="n">
        <f>IF(ISNUMBER(BQ1225),BQ1225,"")</f>
        <v>0.7517299265337036</v>
      </c>
      <c r="CG1225" s="14" t="n">
        <f>IF(ISNUMBER(BU1225),BU1225,"")</f>
        <v>17</v>
      </c>
      <c r="CH1225" s="13" t="n">
        <f>IF(AND(COUNT(BV1225,CF1225,CG1225)=3,MIN(BV1225,CF1225,CG1225)&gt;=0),BV1225*CF1225*CG1225,"")</f>
        <v>0</v>
      </c>
      <c r="CI1225" s="13" t="n">
        <f>IF(COUNT(BY1225,CB1225,CE1225,CH1225)=4,SUM(BY1225,CB1225,CE1225,CH1225),"")</f>
        <v>0</v>
      </c>
    </row>
    <row r="1226" ht="72" customHeight="1">
      <c r="A1226" s="16" t="str">
        <v>1S01-MD-36</v>
      </c>
      <c r="B1226" s="16" t="str">
        <v>1店-MUSSHOE-US</v>
      </c>
      <c r="C1226" s="16" t="str">
        <v>徐新怡</v>
      </c>
      <c r="D1226" s="26" t="str">
        <f>IF(NOT(ISNUMBER(E1226)),"",IF(OR(E1226&lt;=0,L1226=0),0,IF(OR(NOT(ISNUMBER(F1226)),F1226&lt;0),"",MIN(E1226,INT(F1226)))))</f>
      </c>
      <c r="E1226" s="27" t="str">
        <f>IF(OR(NOT(ISNUMBER(L1226)),COUNT(M1226:O1226)&lt;&gt;3,MIN(M1226:O1226)&lt;0),"",ROUNDUP(ROUND(BI1226-SUM(M1226:O1226),10),0))</f>
      </c>
      <c r="F1226" s="28"/>
      <c r="G1226" s="28" t="str">
        <f>IF(AND(ISNUMBER(D1226),ISNUMBER(E1226)),IF(OR(E1226&lt;=0,L1226=0),0,E1226-D1226),"")</f>
      </c>
      <c r="H1226" s="16" t="str">
        <f>IF(NOT(ISNUMBER(E1226)),"销量或海外库存待补",IF(OR(E1226&lt;=0,L1226=0),IF(L1226=0,"零日销，本批不发","本批无需补货"),IF(NOT(ISNUMBER(D1226)),"国内库存待补",IF(D1226=0,"国内无可用库存",IF(G1226&gt;0,"先发国内现货","按建议量发货")))))</f>
        <v>销量或海外库存待补</v>
      </c>
      <c r="I1226" s="28" t="n">
        <f>IF(AND(COUNT(Z1226,AA1226,AB1226)=3,Z1226&gt;=AA1226,AA1226&gt;=0,AB1226=7),Z1226-AA1226,"")</f>
        <v>0</v>
      </c>
      <c r="J1226" s="28" t="n">
        <f>IF(AND(COUNT(AF1226,AG1226,AH1226)=3,AF1226&gt;=AG1226,AG1226&gt;=0,AH1226=14),AF1226-AG1226,"")</f>
        <v>0</v>
      </c>
      <c r="K1226" s="28" t="n">
        <f>IF(AND(COUNT(AL1226,AM1226,AN1226)=3,AL1226&gt;=AM1226,AM1226&gt;=0,AN1226=30),AL1226-AM1226,"")</f>
        <v>0</v>
      </c>
      <c r="L1226" s="29" t="n">
        <f>IF(ISNUMBER(BI1226),BI1226/90,"")</f>
        <v>0</v>
      </c>
      <c r="M1226" s="28"/>
      <c r="N1226" s="28"/>
      <c r="O1226" s="28"/>
      <c r="P1226" s="30" t="str">
        <f>IF(AND(ISNUMBER(L1226),L1226&gt;0,COUNT(M1226:O1226)=3,MIN(M1226:O1226)&gt;=0),SUM(M1226:O1226)/L1226,"")</f>
      </c>
      <c r="Q1226" s="16" t="str">
        <v>按本SKU唯一未删除Listing店铺核实</v>
      </c>
      <c r="R1226" s="16" t="str">
        <v>未匹配</v>
      </c>
      <c r="S1226" s="16" t="str">
        <v>停售</v>
      </c>
      <c r="T1226" s="16" t="str">
        <v>1S01</v>
      </c>
      <c r="U1226" s="16" t="str">
        <v>黄色</v>
      </c>
      <c r="V1226" s="16" t="n">
        <v>5</v>
      </c>
      <c r="W1226" s="8" t="str">
        <v>2026-10-08 至 2026-10-17</v>
      </c>
      <c r="X1226" s="8" t="str">
        <v>2026-10-08、2026-10-09、2026-10-10、2026-10-11、2026-10-14、2026-10-15、2026-10-17</v>
      </c>
      <c r="Y1226" s="8" t="str">
        <v>2026-10-12 有记录的停售日；2026-10-13 有记录的停售日；2026-10-16 有记录的停售日</v>
      </c>
      <c r="Z1226" s="8" t="n">
        <v>0</v>
      </c>
      <c r="AA1226" s="8" t="n">
        <v>0</v>
      </c>
      <c r="AB1226" s="8" t="n">
        <v>7</v>
      </c>
      <c r="AC1226" s="8" t="str">
        <v>2026-09-29 至 2026-10-17</v>
      </c>
      <c r="AD1226" s="8" t="str">
        <v>2026-09-29、2026-09-30、2026-10-01、2026-10-02、2026-10-03、2026-10-04、2026-10-05、2026-10-08、2026-10-09、2026-10-10、2026-10-11、2026-10-14、2026-10-15、2026-10-17</v>
      </c>
      <c r="AE1226" s="8" t="str">
        <v>2026-10-06 大促；2026-10-07 大促；2026-10-12 有记录的停售日；2026-10-13 有记录的停售日；2026-10-16 有记录的停售日</v>
      </c>
      <c r="AF1226" s="8" t="n">
        <v>0</v>
      </c>
      <c r="AG1226" s="8" t="n">
        <v>0</v>
      </c>
      <c r="AH1226" s="8" t="n">
        <v>14</v>
      </c>
      <c r="AI1226" s="8" t="str">
        <v>2026-09-13 至 2026-10-17</v>
      </c>
      <c r="AJ122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6" s="8" t="str">
        <v>2026-10-06 大促；2026-10-07 大促；2026-10-12 有记录的停售日；2026-10-13 有记录的停售日；2026-10-16 有记录的停售日</v>
      </c>
      <c r="AL1226" s="8" t="n">
        <v>0</v>
      </c>
      <c r="AM1226" s="8" t="n">
        <v>0</v>
      </c>
      <c r="AN1226" s="8" t="n">
        <v>30</v>
      </c>
      <c r="AO1226" s="8" t="str">
        <v>1S01 / 黄色羊京绒 / 13120</v>
      </c>
      <c r="AP1226" s="11" t="n">
        <v>0.8729500662042875</v>
      </c>
      <c r="AQ1226" s="11" t="n">
        <v>0.9355747145678367</v>
      </c>
      <c r="AR1226" s="11" t="n">
        <v>1.135973589331194</v>
      </c>
      <c r="AS1226" s="11" t="n">
        <f>IF(AND(COUNT(I1226:K1226,AP1226:AR1226)=6,MIN(AP1226:AR1226)&gt;0),I1226/7/AP1226*0.5+J1226/14/AQ1226*0.3+K1226/30/AR1226*0.2,"")</f>
        <v>0</v>
      </c>
      <c r="AT1226" s="8" t="n">
        <v>0</v>
      </c>
      <c r="AU1226" s="8" t="n">
        <v>0</v>
      </c>
      <c r="AV1226" s="8" t="n">
        <v>85</v>
      </c>
      <c r="AW1226" s="11" t="n">
        <f>IF(AND(COUNT(AT1226:AV1226)=3,AT1226&gt;=AU1226,AU1226&gt;=0,AV1226&gt;0),(AT1226-AU1226)/AV1226,"")</f>
        <v>0</v>
      </c>
      <c r="AX1226" s="8" t="n">
        <v>0</v>
      </c>
      <c r="AY1226" s="8" t="n">
        <v>0</v>
      </c>
      <c r="AZ1226" s="8" t="n">
        <v>175</v>
      </c>
      <c r="BA1226" s="11" t="n">
        <f>IF(AND(COUNT(AX1226:AZ1226)=3,AX1226&gt;=AY1226,AY1226&gt;=0,AZ1226&gt;0),(AX1226-AY1226)/AZ1226,"")</f>
        <v>0</v>
      </c>
      <c r="BB1226" s="8" t="n">
        <f>IF(COUNT(AS1226,AW1226,BA1226)=3,1,0)</f>
        <v>1</v>
      </c>
      <c r="BC1226" s="11" t="n">
        <f>IF(SUMIF($AO$11:$AO$1309,AO1226,$BB$11:$BB$1309)=COUNTIF($AO$11:$AO$1309,AO1226),SUMIF($AO$11:$AO$1309,AO1226,$AS$11:$AS$1309),"")</f>
        <v>0</v>
      </c>
      <c r="BD1226" s="11" t="n">
        <f>IF(SUMIF($AO$11:$AO$1309,AO1226,$BB$11:$BB$1309)=COUNTIF($AO$11:$AO$1309,AO1226),SUMIF($AO$11:$AO$1309,AO1226,$AW$11:$AW$1309),"")</f>
        <v>0</v>
      </c>
      <c r="BE1226" s="11" t="n">
        <f>IF(SUMIF($AO$11:$AO$1309,AO1226,$BB$11:$BB$1309)=COUNTIF($AO$11:$AO$1309,AO1226),SUMIF($AO$11:$AO$1309,AO1226,$BA$11:$BA$1309),"")</f>
        <v>0</v>
      </c>
      <c r="BF1226" s="12" t="n">
        <f>IF(COUNT(BD1226:BE1226)&lt;&gt;2,"",IF(AND(BD1226&gt;0,BE1226&gt;0),0.7*AW1226/BD1226+0.3*BA1226/BE1226,IF(BD1226&gt;0,AW1226/BD1226,IF(BE1226&gt;0,BA1226/BE1226,IF(AND(ISNUMBER(BH1226),BH1226=0),0,"")))))</f>
        <v>0</v>
      </c>
      <c r="BG1226" s="11" t="n">
        <f>IF(AND(COUNT(BN1226:BU1226)=8,MIN(BN1226:BU1226)&gt;=0),SUMPRODUCT(BN1226:BQ1226,BR1226:BU1226),"")</f>
        <v>63.935996265425516</v>
      </c>
      <c r="BH1226" s="11" t="n">
        <f>IF(COUNT(BC1226,BG1226)=2,BC1226*BG1226,"")</f>
        <v>0</v>
      </c>
      <c r="BI1226" s="11" t="n">
        <f>IF(ISNUMBER(CI1226),CI1226,"")</f>
        <v>0</v>
      </c>
      <c r="BJ1226" s="8" t="str">
        <v>近180天本色销量0双（＜90），无有效新采购，请运营判断</v>
      </c>
      <c r="BK1226" s="8" t="str">
        <v>90天：2026-07-20 至 2026-10-17；180天：2026-04-21 至 2026-10-17</v>
      </c>
      <c r="BL1226" s="8" t="str">
        <v>90天：2026-10-06、2026-10-07、2026-10-12、2026-10-13、2026-10-16；180天：2026-10-06、2026-10-07、2026-10-12、2026-10-13、2026-10-16</v>
      </c>
      <c r="BM1226" s="8" t="str">
        <v>2026-10：12天 × 0.8729500662042875；2026-11：30天 × 0.8057375774163482；2026-12：31天 × 0.532550303142279；2027-01：17天 × 0.7517299265337036</v>
      </c>
      <c r="BN1226" s="11" t="n">
        <v>0.8729500662042875</v>
      </c>
      <c r="BO1226" s="11" t="n">
        <v>0.8057375774163482</v>
      </c>
      <c r="BP1226" s="11" t="n">
        <v>0.532550303142279</v>
      </c>
      <c r="BQ1226" s="11" t="n">
        <v>0.7517299265337036</v>
      </c>
      <c r="BR1226" s="8" t="n">
        <v>12</v>
      </c>
      <c r="BS1226" s="8" t="n">
        <v>30</v>
      </c>
      <c r="BT1226" s="8" t="n">
        <v>31</v>
      </c>
      <c r="BU1226" s="8" t="n">
        <v>17</v>
      </c>
      <c r="BV1226" s="11" t="n">
        <f>IF(COUNT(BC1226,BF1226)=2,BC1226*BF1226,"")</f>
        <v>0</v>
      </c>
      <c r="BW1226" s="11" t="n">
        <f>IF(ISNUMBER(BN1226),BN1226,"")</f>
        <v>0.8729500662042875</v>
      </c>
      <c r="BX1226" s="14" t="n">
        <f>IF(ISNUMBER(BR1226),BR1226,"")</f>
        <v>12</v>
      </c>
      <c r="BY1226" s="13" t="n">
        <f>IF(AND(COUNT(BV1226,BW1226,BX1226)=3,MIN(BV1226,BW1226,BX1226)&gt;=0),BV1226*BW1226*BX1226,"")</f>
        <v>0</v>
      </c>
      <c r="BZ1226" s="11" t="n">
        <f>IF(ISNUMBER(BO1226),BO1226,"")</f>
        <v>0.8057375774163482</v>
      </c>
      <c r="CA1226" s="14" t="n">
        <f>IF(ISNUMBER(BS1226),BS1226,"")</f>
        <v>30</v>
      </c>
      <c r="CB1226" s="13" t="n">
        <f>IF(AND(COUNT(BV1226,BZ1226,CA1226)=3,MIN(BV1226,BZ1226,CA1226)&gt;=0),BV1226*BZ1226*CA1226,"")</f>
        <v>0</v>
      </c>
      <c r="CC1226" s="11" t="n">
        <f>IF(ISNUMBER(BP1226),BP1226,"")</f>
        <v>0.532550303142279</v>
      </c>
      <c r="CD1226" s="14" t="n">
        <f>IF(ISNUMBER(BT1226),BT1226,"")</f>
        <v>31</v>
      </c>
      <c r="CE1226" s="13" t="n">
        <f>IF(AND(COUNT(BV1226,CC1226,CD1226)=3,MIN(BV1226,CC1226,CD1226)&gt;=0),BV1226*CC1226*CD1226,"")</f>
        <v>0</v>
      </c>
      <c r="CF1226" s="11" t="n">
        <f>IF(ISNUMBER(BQ1226),BQ1226,"")</f>
        <v>0.7517299265337036</v>
      </c>
      <c r="CG1226" s="14" t="n">
        <f>IF(ISNUMBER(BU1226),BU1226,"")</f>
        <v>17</v>
      </c>
      <c r="CH1226" s="13" t="n">
        <f>IF(AND(COUNT(BV1226,CF1226,CG1226)=3,MIN(BV1226,CF1226,CG1226)&gt;=0),BV1226*CF1226*CG1226,"")</f>
        <v>0</v>
      </c>
      <c r="CI1226" s="13" t="n">
        <f>IF(COUNT(BY1226,CB1226,CE1226,CH1226)=4,SUM(BY1226,CB1226,CE1226,CH1226),"")</f>
        <v>0</v>
      </c>
    </row>
    <row r="1227" ht="72" customHeight="1">
      <c r="A1227" s="16" t="str">
        <v>1S01-MD-40</v>
      </c>
      <c r="B1227" s="16" t="str">
        <v>1店-MUSSHOE-US</v>
      </c>
      <c r="C1227" s="16" t="str">
        <v>徐新怡</v>
      </c>
      <c r="D1227" s="26" t="str">
        <f>IF(NOT(ISNUMBER(E1227)),"",IF(OR(E1227&lt;=0,L1227=0),0,IF(OR(NOT(ISNUMBER(F1227)),F1227&lt;0),"",MIN(E1227,INT(F1227)))))</f>
      </c>
      <c r="E1227" s="27" t="str">
        <f>IF(OR(NOT(ISNUMBER(L1227)),COUNT(M1227:O1227)&lt;&gt;3,MIN(M1227:O1227)&lt;0),"",ROUNDUP(ROUND(BI1227-SUM(M1227:O1227),10),0))</f>
      </c>
      <c r="F1227" s="28"/>
      <c r="G1227" s="28" t="str">
        <f>IF(AND(ISNUMBER(D1227),ISNUMBER(E1227)),IF(OR(E1227&lt;=0,L1227=0),0,E1227-D1227),"")</f>
      </c>
      <c r="H1227" s="16" t="str">
        <f>IF(NOT(ISNUMBER(E1227)),"销量或海外库存待补",IF(OR(E1227&lt;=0,L1227=0),IF(L1227=0,"零日销，本批不发","本批无需补货"),IF(NOT(ISNUMBER(D1227)),"国内库存待补",IF(D1227=0,"国内无可用库存",IF(G1227&gt;0,"先发国内现货","按建议量发货")))))</f>
        <v>销量或海外库存待补</v>
      </c>
      <c r="I1227" s="28" t="n">
        <f>IF(AND(COUNT(Z1227,AA1227,AB1227)=3,Z1227&gt;=AA1227,AA1227&gt;=0,AB1227=7),Z1227-AA1227,"")</f>
        <v>0</v>
      </c>
      <c r="J1227" s="28" t="n">
        <f>IF(AND(COUNT(AF1227,AG1227,AH1227)=3,AF1227&gt;=AG1227,AG1227&gt;=0,AH1227=14),AF1227-AG1227,"")</f>
        <v>0</v>
      </c>
      <c r="K1227" s="28" t="n">
        <f>IF(AND(COUNT(AL1227,AM1227,AN1227)=3,AL1227&gt;=AM1227,AM1227&gt;=0,AN1227=30),AL1227-AM1227,"")</f>
        <v>0</v>
      </c>
      <c r="L1227" s="29" t="n">
        <f>IF(ISNUMBER(BI1227),BI1227/90,"")</f>
        <v>0</v>
      </c>
      <c r="M1227" s="28"/>
      <c r="N1227" s="28"/>
      <c r="O1227" s="28"/>
      <c r="P1227" s="30" t="str">
        <f>IF(AND(ISNUMBER(L1227),L1227&gt;0,COUNT(M1227:O1227)=3,MIN(M1227:O1227)&gt;=0),SUM(M1227:O1227)/L1227,"")</f>
      </c>
      <c r="Q1227" s="16" t="str">
        <v>按本SKU唯一未删除Listing店铺核实</v>
      </c>
      <c r="R1227" s="16" t="str">
        <v>未匹配</v>
      </c>
      <c r="S1227" s="16" t="str">
        <v>停售</v>
      </c>
      <c r="T1227" s="16" t="str">
        <v>1S01</v>
      </c>
      <c r="U1227" s="16" t="str">
        <v>黄色</v>
      </c>
      <c r="V1227" s="16" t="n">
        <v>9</v>
      </c>
      <c r="W1227" s="8" t="str">
        <v>2026-10-08 至 2026-10-17</v>
      </c>
      <c r="X1227" s="8" t="str">
        <v>2026-10-08、2026-10-09、2026-10-10、2026-10-11、2026-10-14、2026-10-15、2026-10-17</v>
      </c>
      <c r="Y1227" s="8" t="str">
        <v>2026-10-12 有记录的停售日；2026-10-13 有记录的停售日；2026-10-16 有记录的停售日</v>
      </c>
      <c r="Z1227" s="8" t="n">
        <v>0</v>
      </c>
      <c r="AA1227" s="8" t="n">
        <v>0</v>
      </c>
      <c r="AB1227" s="8" t="n">
        <v>7</v>
      </c>
      <c r="AC1227" s="8" t="str">
        <v>2026-09-29 至 2026-10-17</v>
      </c>
      <c r="AD1227" s="8" t="str">
        <v>2026-09-29、2026-09-30、2026-10-01、2026-10-02、2026-10-03、2026-10-04、2026-10-05、2026-10-08、2026-10-09、2026-10-10、2026-10-11、2026-10-14、2026-10-15、2026-10-17</v>
      </c>
      <c r="AE1227" s="8" t="str">
        <v>2026-10-06 大促；2026-10-07 大促；2026-10-12 有记录的停售日；2026-10-13 有记录的停售日；2026-10-16 有记录的停售日</v>
      </c>
      <c r="AF1227" s="8" t="n">
        <v>0</v>
      </c>
      <c r="AG1227" s="8" t="n">
        <v>0</v>
      </c>
      <c r="AH1227" s="8" t="n">
        <v>14</v>
      </c>
      <c r="AI1227" s="8" t="str">
        <v>2026-09-13 至 2026-10-17</v>
      </c>
      <c r="AJ122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7" s="8" t="str">
        <v>2026-10-06 大促；2026-10-07 大促；2026-10-12 有记录的停售日；2026-10-13 有记录的停售日；2026-10-16 有记录的停售日</v>
      </c>
      <c r="AL1227" s="8" t="n">
        <v>0</v>
      </c>
      <c r="AM1227" s="8" t="n">
        <v>0</v>
      </c>
      <c r="AN1227" s="8" t="n">
        <v>30</v>
      </c>
      <c r="AO1227" s="8" t="str">
        <v>1S01 / 黄色羊京绒 / 13120</v>
      </c>
      <c r="AP1227" s="11" t="n">
        <v>0.8729500662042875</v>
      </c>
      <c r="AQ1227" s="11" t="n">
        <v>0.9355747145678367</v>
      </c>
      <c r="AR1227" s="11" t="n">
        <v>1.135973589331194</v>
      </c>
      <c r="AS1227" s="11" t="n">
        <f>IF(AND(COUNT(I1227:K1227,AP1227:AR1227)=6,MIN(AP1227:AR1227)&gt;0),I1227/7/AP1227*0.5+J1227/14/AQ1227*0.3+K1227/30/AR1227*0.2,"")</f>
        <v>0</v>
      </c>
      <c r="AT1227" s="8" t="n">
        <v>0</v>
      </c>
      <c r="AU1227" s="8" t="n">
        <v>0</v>
      </c>
      <c r="AV1227" s="8" t="n">
        <v>85</v>
      </c>
      <c r="AW1227" s="11" t="n">
        <f>IF(AND(COUNT(AT1227:AV1227)=3,AT1227&gt;=AU1227,AU1227&gt;=0,AV1227&gt;0),(AT1227-AU1227)/AV1227,"")</f>
        <v>0</v>
      </c>
      <c r="AX1227" s="8" t="n">
        <v>0</v>
      </c>
      <c r="AY1227" s="8" t="n">
        <v>0</v>
      </c>
      <c r="AZ1227" s="8" t="n">
        <v>175</v>
      </c>
      <c r="BA1227" s="11" t="n">
        <f>IF(AND(COUNT(AX1227:AZ1227)=3,AX1227&gt;=AY1227,AY1227&gt;=0,AZ1227&gt;0),(AX1227-AY1227)/AZ1227,"")</f>
        <v>0</v>
      </c>
      <c r="BB1227" s="8" t="n">
        <f>IF(COUNT(AS1227,AW1227,BA1227)=3,1,0)</f>
        <v>1</v>
      </c>
      <c r="BC1227" s="11" t="n">
        <f>IF(SUMIF($AO$11:$AO$1309,AO1227,$BB$11:$BB$1309)=COUNTIF($AO$11:$AO$1309,AO1227),SUMIF($AO$11:$AO$1309,AO1227,$AS$11:$AS$1309),"")</f>
        <v>0</v>
      </c>
      <c r="BD1227" s="11" t="n">
        <f>IF(SUMIF($AO$11:$AO$1309,AO1227,$BB$11:$BB$1309)=COUNTIF($AO$11:$AO$1309,AO1227),SUMIF($AO$11:$AO$1309,AO1227,$AW$11:$AW$1309),"")</f>
        <v>0</v>
      </c>
      <c r="BE1227" s="11" t="n">
        <f>IF(SUMIF($AO$11:$AO$1309,AO1227,$BB$11:$BB$1309)=COUNTIF($AO$11:$AO$1309,AO1227),SUMIF($AO$11:$AO$1309,AO1227,$BA$11:$BA$1309),"")</f>
        <v>0</v>
      </c>
      <c r="BF1227" s="12" t="n">
        <f>IF(COUNT(BD1227:BE1227)&lt;&gt;2,"",IF(AND(BD1227&gt;0,BE1227&gt;0),0.7*AW1227/BD1227+0.3*BA1227/BE1227,IF(BD1227&gt;0,AW1227/BD1227,IF(BE1227&gt;0,BA1227/BE1227,IF(AND(ISNUMBER(BH1227),BH1227=0),0,"")))))</f>
        <v>0</v>
      </c>
      <c r="BG1227" s="11" t="n">
        <f>IF(AND(COUNT(BN1227:BU1227)=8,MIN(BN1227:BU1227)&gt;=0),SUMPRODUCT(BN1227:BQ1227,BR1227:BU1227),"")</f>
        <v>63.935996265425516</v>
      </c>
      <c r="BH1227" s="11" t="n">
        <f>IF(COUNT(BC1227,BG1227)=2,BC1227*BG1227,"")</f>
        <v>0</v>
      </c>
      <c r="BI1227" s="11" t="n">
        <f>IF(ISNUMBER(CI1227),CI1227,"")</f>
        <v>0</v>
      </c>
      <c r="BJ1227" s="8" t="str">
        <v>近180天本色销量0双（＜90），无有效新采购，请运营判断</v>
      </c>
      <c r="BK1227" s="8" t="str">
        <v>90天：2026-07-20 至 2026-10-17；180天：2026-04-21 至 2026-10-17</v>
      </c>
      <c r="BL1227" s="8" t="str">
        <v>90天：2026-10-06、2026-10-07、2026-10-12、2026-10-13、2026-10-16；180天：2026-10-06、2026-10-07、2026-10-12、2026-10-13、2026-10-16</v>
      </c>
      <c r="BM1227" s="8" t="str">
        <v>2026-10：12天 × 0.8729500662042875；2026-11：30天 × 0.8057375774163482；2026-12：31天 × 0.532550303142279；2027-01：17天 × 0.7517299265337036</v>
      </c>
      <c r="BN1227" s="11" t="n">
        <v>0.8729500662042875</v>
      </c>
      <c r="BO1227" s="11" t="n">
        <v>0.8057375774163482</v>
      </c>
      <c r="BP1227" s="11" t="n">
        <v>0.532550303142279</v>
      </c>
      <c r="BQ1227" s="11" t="n">
        <v>0.7517299265337036</v>
      </c>
      <c r="BR1227" s="8" t="n">
        <v>12</v>
      </c>
      <c r="BS1227" s="8" t="n">
        <v>30</v>
      </c>
      <c r="BT1227" s="8" t="n">
        <v>31</v>
      </c>
      <c r="BU1227" s="8" t="n">
        <v>17</v>
      </c>
      <c r="BV1227" s="11" t="n">
        <f>IF(COUNT(BC1227,BF1227)=2,BC1227*BF1227,"")</f>
        <v>0</v>
      </c>
      <c r="BW1227" s="11" t="n">
        <f>IF(ISNUMBER(BN1227),BN1227,"")</f>
        <v>0.8729500662042875</v>
      </c>
      <c r="BX1227" s="14" t="n">
        <f>IF(ISNUMBER(BR1227),BR1227,"")</f>
        <v>12</v>
      </c>
      <c r="BY1227" s="13" t="n">
        <f>IF(AND(COUNT(BV1227,BW1227,BX1227)=3,MIN(BV1227,BW1227,BX1227)&gt;=0),BV1227*BW1227*BX1227,"")</f>
        <v>0</v>
      </c>
      <c r="BZ1227" s="11" t="n">
        <f>IF(ISNUMBER(BO1227),BO1227,"")</f>
        <v>0.8057375774163482</v>
      </c>
      <c r="CA1227" s="14" t="n">
        <f>IF(ISNUMBER(BS1227),BS1227,"")</f>
        <v>30</v>
      </c>
      <c r="CB1227" s="13" t="n">
        <f>IF(AND(COUNT(BV1227,BZ1227,CA1227)=3,MIN(BV1227,BZ1227,CA1227)&gt;=0),BV1227*BZ1227*CA1227,"")</f>
        <v>0</v>
      </c>
      <c r="CC1227" s="11" t="n">
        <f>IF(ISNUMBER(BP1227),BP1227,"")</f>
        <v>0.532550303142279</v>
      </c>
      <c r="CD1227" s="14" t="n">
        <f>IF(ISNUMBER(BT1227),BT1227,"")</f>
        <v>31</v>
      </c>
      <c r="CE1227" s="13" t="n">
        <f>IF(AND(COUNT(BV1227,CC1227,CD1227)=3,MIN(BV1227,CC1227,CD1227)&gt;=0),BV1227*CC1227*CD1227,"")</f>
        <v>0</v>
      </c>
      <c r="CF1227" s="11" t="n">
        <f>IF(ISNUMBER(BQ1227),BQ1227,"")</f>
        <v>0.7517299265337036</v>
      </c>
      <c r="CG1227" s="14" t="n">
        <f>IF(ISNUMBER(BU1227),BU1227,"")</f>
        <v>17</v>
      </c>
      <c r="CH1227" s="13" t="n">
        <f>IF(AND(COUNT(BV1227,CF1227,CG1227)=3,MIN(BV1227,CF1227,CG1227)&gt;=0),BV1227*CF1227*CG1227,"")</f>
        <v>0</v>
      </c>
      <c r="CI1227" s="13" t="n">
        <f>IF(COUNT(BY1227,CB1227,CE1227,CH1227)=4,SUM(BY1227,CB1227,CE1227,CH1227),"")</f>
        <v>0</v>
      </c>
    </row>
    <row r="1228" ht="72" customHeight="1">
      <c r="A1228" s="16" t="str">
        <v>1S01-ND-38.5</v>
      </c>
      <c r="B1228" s="16" t="str">
        <v>3店-SANDIEX-US</v>
      </c>
      <c r="C1228" s="16" t="str">
        <v>徐新怡</v>
      </c>
      <c r="D1228" s="26" t="str">
        <f>IF(NOT(ISNUMBER(E1228)),"",IF(OR(E1228&lt;=0,L1228=0),0,IF(OR(NOT(ISNUMBER(F1228)),F1228&lt;0),"",MIN(E1228,INT(F1228)))))</f>
      </c>
      <c r="E1228" s="27" t="str">
        <f>IF(OR(NOT(ISNUMBER(L1228)),COUNT(M1228:O1228)&lt;&gt;3,MIN(M1228:O1228)&lt;0),"",ROUNDUP(ROUND(BI1228-SUM(M1228:O1228),10),0))</f>
      </c>
      <c r="F1228" s="28"/>
      <c r="G1228" s="28" t="str">
        <f>IF(AND(ISNUMBER(D1228),ISNUMBER(E1228)),IF(OR(E1228&lt;=0,L1228=0),0,E1228-D1228),"")</f>
      </c>
      <c r="H1228" s="16" t="str">
        <f>IF(NOT(ISNUMBER(E1228)),"销量或海外库存待补",IF(OR(E1228&lt;=0,L1228=0),IF(L1228=0,"零日销，本批不发","本批无需补货"),IF(NOT(ISNUMBER(D1228)),"国内库存待补",IF(D1228=0,"国内无可用库存",IF(G1228&gt;0,"先发国内现货","按建议量发货")))))</f>
        <v>销量或海外库存待补</v>
      </c>
      <c r="I1228" s="28" t="n">
        <f>IF(AND(COUNT(Z1228,AA1228,AB1228)=3,Z1228&gt;=AA1228,AA1228&gt;=0,AB1228=7),Z1228-AA1228,"")</f>
        <v>0</v>
      </c>
      <c r="J1228" s="28" t="n">
        <f>IF(AND(COUNT(AF1228,AG1228,AH1228)=3,AF1228&gt;=AG1228,AG1228&gt;=0,AH1228=14),AF1228-AG1228,"")</f>
        <v>0</v>
      </c>
      <c r="K1228" s="28" t="n">
        <f>IF(AND(COUNT(AL1228,AM1228,AN1228)=3,AL1228&gt;=AM1228,AM1228&gt;=0,AN1228=30),AL1228-AM1228,"")</f>
        <v>0</v>
      </c>
      <c r="L1228" s="29" t="n">
        <f>IF(ISNUMBER(BI1228),BI1228/90,"")</f>
        <v>0</v>
      </c>
      <c r="M1228" s="28"/>
      <c r="N1228" s="28"/>
      <c r="O1228" s="28"/>
      <c r="P1228" s="30" t="str">
        <f>IF(AND(ISNUMBER(L1228),L1228&gt;0,COUNT(M1228:O1228)=3,MIN(M1228:O1228)&gt;=0),SUM(M1228:O1228)/L1228,"")</f>
      </c>
      <c r="Q1228" s="16" t="str">
        <v>沿用同SPU原计划店铺</v>
      </c>
      <c r="R1228" s="16" t="str">
        <v>未匹配</v>
      </c>
      <c r="S1228" s="16" t="str">
        <v>未匹配Listing</v>
      </c>
      <c r="T1228" s="16" t="str">
        <v>1S01</v>
      </c>
      <c r="U1228" s="16" t="str">
        <v>裸色</v>
      </c>
      <c r="V1228" s="16" t="n">
        <v>7.5</v>
      </c>
      <c r="W1228" s="8" t="str">
        <v>2026-10-11 至 2026-10-17</v>
      </c>
      <c r="X1228" s="8" t="str">
        <v>2026-10-11、2026-10-12、2026-10-13、2026-10-14、2026-10-15、2026-10-16、2026-10-17</v>
      </c>
      <c r="Y1228" s="8" t="str">
        <v>无</v>
      </c>
      <c r="Z1228" s="8" t="n">
        <v>0</v>
      </c>
      <c r="AA1228" s="8" t="n">
        <v>0</v>
      </c>
      <c r="AB1228" s="8" t="n">
        <v>7</v>
      </c>
      <c r="AC1228" s="8" t="str">
        <v>2026-10-02 至 2026-10-17</v>
      </c>
      <c r="AD1228" s="8" t="str">
        <v>2026-10-02、2026-10-03、2026-10-04、2026-10-05、2026-10-08、2026-10-09、2026-10-10、2026-10-11、2026-10-12、2026-10-13、2026-10-14、2026-10-15、2026-10-16、2026-10-17</v>
      </c>
      <c r="AE1228" s="8" t="str">
        <v>2026-10-06 大促；2026-10-07 大促</v>
      </c>
      <c r="AF1228" s="8" t="n">
        <v>0</v>
      </c>
      <c r="AG1228" s="8" t="n">
        <v>0</v>
      </c>
      <c r="AH1228" s="8" t="n">
        <v>14</v>
      </c>
      <c r="AI1228" s="8" t="str">
        <v>2026-09-16 至 2026-10-17</v>
      </c>
      <c r="AJ122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28" s="8" t="str">
        <v>2026-10-06 大促；2026-10-07 大促</v>
      </c>
      <c r="AL1228" s="8" t="n">
        <v>0</v>
      </c>
      <c r="AM1228" s="8" t="n">
        <v>0</v>
      </c>
      <c r="AN1228" s="8" t="n">
        <v>30</v>
      </c>
      <c r="AO1228" s="8" t="str">
        <v>1S01 / 裸色PU / 6574</v>
      </c>
      <c r="AP1228" s="11" t="n">
        <v>0.8729500662042875</v>
      </c>
      <c r="AQ1228" s="11" t="n">
        <v>0.8729500662042875</v>
      </c>
      <c r="AR1228" s="11" t="n">
        <v>1.0921363354767095</v>
      </c>
      <c r="AS1228" s="11" t="n">
        <f>IF(AND(COUNT(I1228:K1228,AP1228:AR1228)=6,MIN(AP1228:AR1228)&gt;0),I1228/7/AP1228*0.5+J1228/14/AQ1228*0.3+K1228/30/AR1228*0.2,"")</f>
        <v>0</v>
      </c>
      <c r="AT1228" s="8" t="n">
        <v>0</v>
      </c>
      <c r="AU1228" s="8" t="n">
        <v>0</v>
      </c>
      <c r="AV1228" s="8" t="n">
        <v>88</v>
      </c>
      <c r="AW1228" s="11" t="n">
        <f>IF(AND(COUNT(AT1228:AV1228)=3,AT1228&gt;=AU1228,AU1228&gt;=0,AV1228&gt;0),(AT1228-AU1228)/AV1228,"")</f>
        <v>0</v>
      </c>
      <c r="AX1228" s="8" t="n">
        <v>0</v>
      </c>
      <c r="AY1228" s="8" t="n">
        <v>0</v>
      </c>
      <c r="AZ1228" s="8" t="n">
        <v>178</v>
      </c>
      <c r="BA1228" s="11" t="n">
        <f>IF(AND(COUNT(AX1228:AZ1228)=3,AX1228&gt;=AY1228,AY1228&gt;=0,AZ1228&gt;0),(AX1228-AY1228)/AZ1228,"")</f>
        <v>0</v>
      </c>
      <c r="BB1228" s="8" t="n">
        <f>IF(COUNT(AS1228,AW1228,BA1228)=3,1,0)</f>
        <v>1</v>
      </c>
      <c r="BC1228" s="11" t="n">
        <f>IF(SUMIF($AO$11:$AO$1309,AO1228,$BB$11:$BB$1309)=COUNTIF($AO$11:$AO$1309,AO1228),SUMIF($AO$11:$AO$1309,AO1228,$AS$11:$AS$1309),"")</f>
        <v>0.2859633770638296</v>
      </c>
      <c r="BD1228" s="11" t="n">
        <f>IF(SUMIF($AO$11:$AO$1309,AO1228,$BB$11:$BB$1309)=COUNTIF($AO$11:$AO$1309,AO1228),SUMIF($AO$11:$AO$1309,AO1228,$AW$11:$AW$1309),"")</f>
        <v>0.262539184952978</v>
      </c>
      <c r="BE1228" s="11" t="n">
        <f>IF(SUMIF($AO$11:$AO$1309,AO1228,$BB$11:$BB$1309)=COUNTIF($AO$11:$AO$1309,AO1228),SUMIF($AO$11:$AO$1309,AO1228,$BA$11:$BA$1309),"")</f>
        <v>0.3826890116168349</v>
      </c>
      <c r="BF1228" s="12" t="n">
        <f>IF(COUNT(BD1228:BE1228)&lt;&gt;2,"",IF(AND(BD1228&gt;0,BE1228&gt;0),0.7*AW1228/BD1228+0.3*BA1228/BE1228,IF(BD1228&gt;0,AW1228/BD1228,IF(BE1228&gt;0,BA1228/BE1228,IF(AND(ISNUMBER(BH1228),BH1228=0),0,"")))))</f>
        <v>0</v>
      </c>
      <c r="BG1228" s="11" t="n">
        <f>IF(AND(COUNT(BN1228:BU1228)=8,MIN(BN1228:BU1228)&gt;=0),SUMPRODUCT(BN1228:BQ1228,BR1228:BU1228),"")</f>
        <v>63.935996265425516</v>
      </c>
      <c r="BH1228" s="11" t="n">
        <f>IF(COUNT(BC1228,BG1228)=2,BC1228*BG1228,"")</f>
        <v>18.283353408001478</v>
      </c>
      <c r="BI1228" s="11" t="n">
        <f>IF(ISNUMBER(CI1228),CI1228,"")</f>
        <v>0</v>
      </c>
      <c r="BJ1228" s="8" t="str">
        <v>低销提醒依据不完整</v>
      </c>
      <c r="BK1228" s="8" t="str">
        <v>90天：2026-07-20 至 2026-10-17；180天：2026-04-21 至 2026-10-17</v>
      </c>
      <c r="BL1228" s="8" t="str">
        <v>90天：2026-10-06、2026-10-07；180天：2026-10-06、2026-10-07</v>
      </c>
      <c r="BM1228" s="8" t="str">
        <v>2026-10：12天 × 0.8729500662042875；2026-11：30天 × 0.8057375774163482；2026-12：31天 × 0.532550303142279；2027-01：17天 × 0.7517299265337036</v>
      </c>
      <c r="BN1228" s="11" t="n">
        <v>0.8729500662042875</v>
      </c>
      <c r="BO1228" s="11" t="n">
        <v>0.8057375774163482</v>
      </c>
      <c r="BP1228" s="11" t="n">
        <v>0.532550303142279</v>
      </c>
      <c r="BQ1228" s="11" t="n">
        <v>0.7517299265337036</v>
      </c>
      <c r="BR1228" s="8" t="n">
        <v>12</v>
      </c>
      <c r="BS1228" s="8" t="n">
        <v>30</v>
      </c>
      <c r="BT1228" s="8" t="n">
        <v>31</v>
      </c>
      <c r="BU1228" s="8" t="n">
        <v>17</v>
      </c>
      <c r="BV1228" s="11" t="n">
        <f>IF(COUNT(BC1228,BF1228)=2,BC1228*BF1228,"")</f>
        <v>0</v>
      </c>
      <c r="BW1228" s="11" t="n">
        <f>IF(ISNUMBER(BN1228),BN1228,"")</f>
        <v>0.8729500662042875</v>
      </c>
      <c r="BX1228" s="14" t="n">
        <f>IF(ISNUMBER(BR1228),BR1228,"")</f>
        <v>12</v>
      </c>
      <c r="BY1228" s="13" t="n">
        <f>IF(AND(COUNT(BV1228,BW1228,BX1228)=3,MIN(BV1228,BW1228,BX1228)&gt;=0),BV1228*BW1228*BX1228,"")</f>
        <v>0</v>
      </c>
      <c r="BZ1228" s="11" t="n">
        <f>IF(ISNUMBER(BO1228),BO1228,"")</f>
        <v>0.8057375774163482</v>
      </c>
      <c r="CA1228" s="14" t="n">
        <f>IF(ISNUMBER(BS1228),BS1228,"")</f>
        <v>30</v>
      </c>
      <c r="CB1228" s="13" t="n">
        <f>IF(AND(COUNT(BV1228,BZ1228,CA1228)=3,MIN(BV1228,BZ1228,CA1228)&gt;=0),BV1228*BZ1228*CA1228,"")</f>
        <v>0</v>
      </c>
      <c r="CC1228" s="11" t="n">
        <f>IF(ISNUMBER(BP1228),BP1228,"")</f>
        <v>0.532550303142279</v>
      </c>
      <c r="CD1228" s="14" t="n">
        <f>IF(ISNUMBER(BT1228),BT1228,"")</f>
        <v>31</v>
      </c>
      <c r="CE1228" s="13" t="n">
        <f>IF(AND(COUNT(BV1228,CC1228,CD1228)=3,MIN(BV1228,CC1228,CD1228)&gt;=0),BV1228*CC1228*CD1228,"")</f>
        <v>0</v>
      </c>
      <c r="CF1228" s="11" t="n">
        <f>IF(ISNUMBER(BQ1228),BQ1228,"")</f>
        <v>0.7517299265337036</v>
      </c>
      <c r="CG1228" s="14" t="n">
        <f>IF(ISNUMBER(BU1228),BU1228,"")</f>
        <v>17</v>
      </c>
      <c r="CH1228" s="13" t="n">
        <f>IF(AND(COUNT(BV1228,CF1228,CG1228)=3,MIN(BV1228,CF1228,CG1228)&gt;=0),BV1228*CF1228*CG1228,"")</f>
        <v>0</v>
      </c>
      <c r="CI1228" s="13" t="n">
        <f>IF(COUNT(BY1228,CB1228,CE1228,CH1228)=4,SUM(BY1228,CB1228,CE1228,CH1228),"")</f>
        <v>0</v>
      </c>
    </row>
    <row r="1229" ht="72" customHeight="1">
      <c r="A1229" s="16" t="str">
        <v>1S01-NP-37</v>
      </c>
      <c r="B1229" s="16" t="str">
        <v>1店-MUSSHOE-US</v>
      </c>
      <c r="C1229" s="16" t="str">
        <v>徐新怡</v>
      </c>
      <c r="D1229" s="26" t="str">
        <f>IF(NOT(ISNUMBER(E1229)),"",IF(OR(E1229&lt;=0,L1229=0),0,IF(OR(NOT(ISNUMBER(F1229)),F1229&lt;0),"",MIN(E1229,INT(F1229)))))</f>
      </c>
      <c r="E1229" s="27" t="str">
        <f>IF(OR(NOT(ISNUMBER(L1229)),COUNT(M1229:O1229)&lt;&gt;3,MIN(M1229:O1229)&lt;0),"",ROUNDUP(ROUND(BI1229-SUM(M1229:O1229),10),0))</f>
      </c>
      <c r="F1229" s="28"/>
      <c r="G1229" s="28" t="str">
        <f>IF(AND(ISNUMBER(D1229),ISNUMBER(E1229)),IF(OR(E1229&lt;=0,L1229=0),0,E1229-D1229),"")</f>
      </c>
      <c r="H1229" s="16" t="str">
        <f>IF(NOT(ISNUMBER(E1229)),"销量或海外库存待补",IF(OR(E1229&lt;=0,L1229=0),IF(L1229=0,"零日销，本批不发","本批无需补货"),IF(NOT(ISNUMBER(D1229)),"国内库存待补",IF(D1229=0,"国内无可用库存",IF(G1229&gt;0,"先发国内现货","按建议量发货")))))</f>
        <v>销量或海外库存待补</v>
      </c>
      <c r="I1229" s="28" t="n">
        <f>IF(AND(COUNT(Z1229,AA1229,AB1229)=3,Z1229&gt;=AA1229,AA1229&gt;=0,AB1229=7),Z1229-AA1229,"")</f>
        <v>0</v>
      </c>
      <c r="J1229" s="28" t="n">
        <f>IF(AND(COUNT(AF1229,AG1229,AH1229)=3,AF1229&gt;=AG1229,AG1229&gt;=0,AH1229=14),AF1229-AG1229,"")</f>
        <v>0</v>
      </c>
      <c r="K1229" s="28" t="n">
        <f>IF(AND(COUNT(AL1229,AM1229,AN1229)=3,AL1229&gt;=AM1229,AM1229&gt;=0,AN1229=30),AL1229-AM1229,"")</f>
        <v>0</v>
      </c>
      <c r="L1229" s="29" t="n">
        <f>IF(ISNUMBER(BI1229),BI1229/90,"")</f>
        <v>0</v>
      </c>
      <c r="M1229" s="28"/>
      <c r="N1229" s="28"/>
      <c r="O1229" s="28"/>
      <c r="P1229" s="30" t="str">
        <f>IF(AND(ISNUMBER(L1229),L1229&gt;0,COUNT(M1229:O1229)=3,MIN(M1229:O1229)&gt;=0),SUM(M1229:O1229)/L1229,"")</f>
      </c>
      <c r="Q1229" s="16" t="str">
        <v>按本SKU唯一未删除Listing店铺核实</v>
      </c>
      <c r="R1229" s="16" t="str">
        <v>未匹配</v>
      </c>
      <c r="S1229" s="16" t="str">
        <v>停售</v>
      </c>
      <c r="T1229" s="16" t="str">
        <v>1S01</v>
      </c>
      <c r="U1229" s="16" t="str">
        <v>裸粉色</v>
      </c>
      <c r="V1229" s="16" t="n">
        <v>6</v>
      </c>
      <c r="W1229" s="8" t="str">
        <v>2026-10-08 至 2026-10-17</v>
      </c>
      <c r="X1229" s="8" t="str">
        <v>2026-10-08、2026-10-09、2026-10-10、2026-10-11、2026-10-14、2026-10-15、2026-10-17</v>
      </c>
      <c r="Y1229" s="8" t="str">
        <v>2026-10-12 有记录的停售日；2026-10-13 有记录的停售日；2026-10-16 有记录的停售日</v>
      </c>
      <c r="Z1229" s="8" t="n">
        <v>0</v>
      </c>
      <c r="AA1229" s="8" t="n">
        <v>0</v>
      </c>
      <c r="AB1229" s="8" t="n">
        <v>7</v>
      </c>
      <c r="AC1229" s="8" t="str">
        <v>2026-09-29 至 2026-10-17</v>
      </c>
      <c r="AD1229" s="8" t="str">
        <v>2026-09-29、2026-09-30、2026-10-01、2026-10-02、2026-10-03、2026-10-04、2026-10-05、2026-10-08、2026-10-09、2026-10-10、2026-10-11、2026-10-14、2026-10-15、2026-10-17</v>
      </c>
      <c r="AE1229" s="8" t="str">
        <v>2026-10-06 大促；2026-10-07 大促；2026-10-12 有记录的停售日；2026-10-13 有记录的停售日；2026-10-16 有记录的停售日</v>
      </c>
      <c r="AF1229" s="8" t="n">
        <v>0</v>
      </c>
      <c r="AG1229" s="8" t="n">
        <v>0</v>
      </c>
      <c r="AH1229" s="8" t="n">
        <v>14</v>
      </c>
      <c r="AI1229" s="8" t="str">
        <v>2026-09-13 至 2026-10-17</v>
      </c>
      <c r="AJ122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29" s="8" t="str">
        <v>2026-10-06 大促；2026-10-07 大促；2026-10-12 有记录的停售日；2026-10-13 有记录的停售日；2026-10-16 有记录的停售日</v>
      </c>
      <c r="AL1229" s="8" t="n">
        <v>0</v>
      </c>
      <c r="AM1229" s="8" t="n">
        <v>0</v>
      </c>
      <c r="AN1229" s="8" t="n">
        <v>30</v>
      </c>
      <c r="AO1229" s="8" t="str">
        <v>1S01 / 裸粉色PU / 13120</v>
      </c>
      <c r="AP1229" s="11" t="n">
        <v>0.8729500662042875</v>
      </c>
      <c r="AQ1229" s="11" t="n">
        <v>0.9355747145678367</v>
      </c>
      <c r="AR1229" s="11" t="n">
        <v>1.135973589331194</v>
      </c>
      <c r="AS1229" s="11" t="n">
        <f>IF(AND(COUNT(I1229:K1229,AP1229:AR1229)=6,MIN(AP1229:AR1229)&gt;0),I1229/7/AP1229*0.5+J1229/14/AQ1229*0.3+K1229/30/AR1229*0.2,"")</f>
        <v>0</v>
      </c>
      <c r="AT1229" s="8" t="n">
        <v>0</v>
      </c>
      <c r="AU1229" s="8" t="n">
        <v>0</v>
      </c>
      <c r="AV1229" s="8" t="n">
        <v>85</v>
      </c>
      <c r="AW1229" s="11" t="n">
        <f>IF(AND(COUNT(AT1229:AV1229)=3,AT1229&gt;=AU1229,AU1229&gt;=0,AV1229&gt;0),(AT1229-AU1229)/AV1229,"")</f>
        <v>0</v>
      </c>
      <c r="AX1229" s="8" t="n">
        <v>0</v>
      </c>
      <c r="AY1229" s="8" t="n">
        <v>0</v>
      </c>
      <c r="AZ1229" s="8" t="n">
        <v>175</v>
      </c>
      <c r="BA1229" s="11" t="n">
        <f>IF(AND(COUNT(AX1229:AZ1229)=3,AX1229&gt;=AY1229,AY1229&gt;=0,AZ1229&gt;0),(AX1229-AY1229)/AZ1229,"")</f>
        <v>0</v>
      </c>
      <c r="BB1229" s="8" t="n">
        <f>IF(COUNT(AS1229,AW1229,BA1229)=3,1,0)</f>
        <v>1</v>
      </c>
      <c r="BC1229" s="11" t="n">
        <f>IF(SUMIF($AO$11:$AO$1309,AO1229,$BB$11:$BB$1309)=COUNTIF($AO$11:$AO$1309,AO1229),SUMIF($AO$11:$AO$1309,AO1229,$AS$11:$AS$1309),"")</f>
        <v>0</v>
      </c>
      <c r="BD1229" s="11" t="n">
        <f>IF(SUMIF($AO$11:$AO$1309,AO1229,$BB$11:$BB$1309)=COUNTIF($AO$11:$AO$1309,AO1229),SUMIF($AO$11:$AO$1309,AO1229,$AW$11:$AW$1309),"")</f>
        <v>0</v>
      </c>
      <c r="BE1229" s="11" t="n">
        <f>IF(SUMIF($AO$11:$AO$1309,AO1229,$BB$11:$BB$1309)=COUNTIF($AO$11:$AO$1309,AO1229),SUMIF($AO$11:$AO$1309,AO1229,$BA$11:$BA$1309),"")</f>
        <v>0</v>
      </c>
      <c r="BF1229" s="12" t="n">
        <f>IF(COUNT(BD1229:BE1229)&lt;&gt;2,"",IF(AND(BD1229&gt;0,BE1229&gt;0),0.7*AW1229/BD1229+0.3*BA1229/BE1229,IF(BD1229&gt;0,AW1229/BD1229,IF(BE1229&gt;0,BA1229/BE1229,IF(AND(ISNUMBER(BH1229),BH1229=0),0,"")))))</f>
        <v>0</v>
      </c>
      <c r="BG1229" s="11" t="n">
        <f>IF(AND(COUNT(BN1229:BU1229)=8,MIN(BN1229:BU1229)&gt;=0),SUMPRODUCT(BN1229:BQ1229,BR1229:BU1229),"")</f>
        <v>63.935996265425516</v>
      </c>
      <c r="BH1229" s="11" t="n">
        <f>IF(COUNT(BC1229,BG1229)=2,BC1229*BG1229,"")</f>
        <v>0</v>
      </c>
      <c r="BI1229" s="11" t="n">
        <f>IF(ISNUMBER(CI1229),CI1229,"")</f>
        <v>0</v>
      </c>
      <c r="BJ1229" s="8" t="str">
        <v>近180天本色销量0双（＜90），无有效新采购，请运营判断</v>
      </c>
      <c r="BK1229" s="8" t="str">
        <v>90天：2026-07-20 至 2026-10-17；180天：2026-04-21 至 2026-10-17</v>
      </c>
      <c r="BL1229" s="8" t="str">
        <v>90天：2026-10-06、2026-10-07、2026-10-12、2026-10-13、2026-10-16；180天：2026-10-06、2026-10-07、2026-10-12、2026-10-13、2026-10-16</v>
      </c>
      <c r="BM1229" s="8" t="str">
        <v>2026-10：12天 × 0.8729500662042875；2026-11：30天 × 0.8057375774163482；2026-12：31天 × 0.532550303142279；2027-01：17天 × 0.7517299265337036</v>
      </c>
      <c r="BN1229" s="11" t="n">
        <v>0.8729500662042875</v>
      </c>
      <c r="BO1229" s="11" t="n">
        <v>0.8057375774163482</v>
      </c>
      <c r="BP1229" s="11" t="n">
        <v>0.532550303142279</v>
      </c>
      <c r="BQ1229" s="11" t="n">
        <v>0.7517299265337036</v>
      </c>
      <c r="BR1229" s="8" t="n">
        <v>12</v>
      </c>
      <c r="BS1229" s="8" t="n">
        <v>30</v>
      </c>
      <c r="BT1229" s="8" t="n">
        <v>31</v>
      </c>
      <c r="BU1229" s="8" t="n">
        <v>17</v>
      </c>
      <c r="BV1229" s="11" t="n">
        <f>IF(COUNT(BC1229,BF1229)=2,BC1229*BF1229,"")</f>
        <v>0</v>
      </c>
      <c r="BW1229" s="11" t="n">
        <f>IF(ISNUMBER(BN1229),BN1229,"")</f>
        <v>0.8729500662042875</v>
      </c>
      <c r="BX1229" s="14" t="n">
        <f>IF(ISNUMBER(BR1229),BR1229,"")</f>
        <v>12</v>
      </c>
      <c r="BY1229" s="13" t="n">
        <f>IF(AND(COUNT(BV1229,BW1229,BX1229)=3,MIN(BV1229,BW1229,BX1229)&gt;=0),BV1229*BW1229*BX1229,"")</f>
        <v>0</v>
      </c>
      <c r="BZ1229" s="11" t="n">
        <f>IF(ISNUMBER(BO1229),BO1229,"")</f>
        <v>0.8057375774163482</v>
      </c>
      <c r="CA1229" s="14" t="n">
        <f>IF(ISNUMBER(BS1229),BS1229,"")</f>
        <v>30</v>
      </c>
      <c r="CB1229" s="13" t="n">
        <f>IF(AND(COUNT(BV1229,BZ1229,CA1229)=3,MIN(BV1229,BZ1229,CA1229)&gt;=0),BV1229*BZ1229*CA1229,"")</f>
        <v>0</v>
      </c>
      <c r="CC1229" s="11" t="n">
        <f>IF(ISNUMBER(BP1229),BP1229,"")</f>
        <v>0.532550303142279</v>
      </c>
      <c r="CD1229" s="14" t="n">
        <f>IF(ISNUMBER(BT1229),BT1229,"")</f>
        <v>31</v>
      </c>
      <c r="CE1229" s="13" t="n">
        <f>IF(AND(COUNT(BV1229,CC1229,CD1229)=3,MIN(BV1229,CC1229,CD1229)&gt;=0),BV1229*CC1229*CD1229,"")</f>
        <v>0</v>
      </c>
      <c r="CF1229" s="11" t="n">
        <f>IF(ISNUMBER(BQ1229),BQ1229,"")</f>
        <v>0.7517299265337036</v>
      </c>
      <c r="CG1229" s="14" t="n">
        <f>IF(ISNUMBER(BU1229),BU1229,"")</f>
        <v>17</v>
      </c>
      <c r="CH1229" s="13" t="n">
        <f>IF(AND(COUNT(BV1229,CF1229,CG1229)=3,MIN(BV1229,CF1229,CG1229)&gt;=0),BV1229*CF1229*CG1229,"")</f>
        <v>0</v>
      </c>
      <c r="CI1229" s="13" t="n">
        <f>IF(COUNT(BY1229,CB1229,CE1229,CH1229)=4,SUM(BY1229,CB1229,CE1229,CH1229),"")</f>
        <v>0</v>
      </c>
    </row>
    <row r="1230" ht="72" customHeight="1">
      <c r="A1230" s="16" t="str">
        <v>1S01-NP-37.5</v>
      </c>
      <c r="B1230" s="16" t="str">
        <v>1店-MUSSHOE-US</v>
      </c>
      <c r="C1230" s="16" t="str">
        <v>徐新怡</v>
      </c>
      <c r="D1230" s="26" t="str">
        <f>IF(NOT(ISNUMBER(E1230)),"",IF(OR(E1230&lt;=0,L1230=0),0,IF(OR(NOT(ISNUMBER(F1230)),F1230&lt;0),"",MIN(E1230,INT(F1230)))))</f>
      </c>
      <c r="E1230" s="27" t="str">
        <f>IF(OR(NOT(ISNUMBER(L1230)),COUNT(M1230:O1230)&lt;&gt;3,MIN(M1230:O1230)&lt;0),"",ROUNDUP(ROUND(BI1230-SUM(M1230:O1230),10),0))</f>
      </c>
      <c r="F1230" s="28"/>
      <c r="G1230" s="28" t="str">
        <f>IF(AND(ISNUMBER(D1230),ISNUMBER(E1230)),IF(OR(E1230&lt;=0,L1230=0),0,E1230-D1230),"")</f>
      </c>
      <c r="H1230" s="16" t="str">
        <f>IF(NOT(ISNUMBER(E1230)),"销量或海外库存待补",IF(OR(E1230&lt;=0,L1230=0),IF(L1230=0,"零日销，本批不发","本批无需补货"),IF(NOT(ISNUMBER(D1230)),"国内库存待补",IF(D1230=0,"国内无可用库存",IF(G1230&gt;0,"先发国内现货","按建议量发货")))))</f>
        <v>销量或海外库存待补</v>
      </c>
      <c r="I1230" s="28" t="n">
        <f>IF(AND(COUNT(Z1230,AA1230,AB1230)=3,Z1230&gt;=AA1230,AA1230&gt;=0,AB1230=7),Z1230-AA1230,"")</f>
        <v>0</v>
      </c>
      <c r="J1230" s="28" t="n">
        <f>IF(AND(COUNT(AF1230,AG1230,AH1230)=3,AF1230&gt;=AG1230,AG1230&gt;=0,AH1230=14),AF1230-AG1230,"")</f>
        <v>0</v>
      </c>
      <c r="K1230" s="28" t="n">
        <f>IF(AND(COUNT(AL1230,AM1230,AN1230)=3,AL1230&gt;=AM1230,AM1230&gt;=0,AN1230=30),AL1230-AM1230,"")</f>
        <v>0</v>
      </c>
      <c r="L1230" s="29" t="n">
        <f>IF(ISNUMBER(BI1230),BI1230/90,"")</f>
        <v>0</v>
      </c>
      <c r="M1230" s="28"/>
      <c r="N1230" s="28"/>
      <c r="O1230" s="28"/>
      <c r="P1230" s="30" t="str">
        <f>IF(AND(ISNUMBER(L1230),L1230&gt;0,COUNT(M1230:O1230)=3,MIN(M1230:O1230)&gt;=0),SUM(M1230:O1230)/L1230,"")</f>
      </c>
      <c r="Q1230" s="16" t="str">
        <v>按本SKU唯一未删除Listing店铺核实</v>
      </c>
      <c r="R1230" s="16" t="str">
        <v>未匹配</v>
      </c>
      <c r="S1230" s="16" t="str">
        <v>停售</v>
      </c>
      <c r="T1230" s="16" t="str">
        <v>1S01</v>
      </c>
      <c r="U1230" s="16" t="str">
        <v>裸粉色</v>
      </c>
      <c r="V1230" s="16" t="n">
        <v>6.5</v>
      </c>
      <c r="W1230" s="8" t="str">
        <v>2026-10-08 至 2026-10-17</v>
      </c>
      <c r="X1230" s="8" t="str">
        <v>2026-10-08、2026-10-09、2026-10-10、2026-10-11、2026-10-14、2026-10-15、2026-10-17</v>
      </c>
      <c r="Y1230" s="8" t="str">
        <v>2026-10-12 有记录的停售日；2026-10-13 有记录的停售日；2026-10-16 有记录的停售日</v>
      </c>
      <c r="Z1230" s="8" t="n">
        <v>0</v>
      </c>
      <c r="AA1230" s="8" t="n">
        <v>0</v>
      </c>
      <c r="AB1230" s="8" t="n">
        <v>7</v>
      </c>
      <c r="AC1230" s="8" t="str">
        <v>2026-09-29 至 2026-10-17</v>
      </c>
      <c r="AD1230" s="8" t="str">
        <v>2026-09-29、2026-09-30、2026-10-01、2026-10-02、2026-10-03、2026-10-04、2026-10-05、2026-10-08、2026-10-09、2026-10-10、2026-10-11、2026-10-14、2026-10-15、2026-10-17</v>
      </c>
      <c r="AE1230" s="8" t="str">
        <v>2026-10-06 大促；2026-10-07 大促；2026-10-12 有记录的停售日；2026-10-13 有记录的停售日；2026-10-16 有记录的停售日</v>
      </c>
      <c r="AF1230" s="8" t="n">
        <v>0</v>
      </c>
      <c r="AG1230" s="8" t="n">
        <v>0</v>
      </c>
      <c r="AH1230" s="8" t="n">
        <v>14</v>
      </c>
      <c r="AI1230" s="8" t="str">
        <v>2026-09-13 至 2026-10-17</v>
      </c>
      <c r="AJ123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0" s="8" t="str">
        <v>2026-10-06 大促；2026-10-07 大促；2026-10-12 有记录的停售日；2026-10-13 有记录的停售日；2026-10-16 有记录的停售日</v>
      </c>
      <c r="AL1230" s="8" t="n">
        <v>0</v>
      </c>
      <c r="AM1230" s="8" t="n">
        <v>0</v>
      </c>
      <c r="AN1230" s="8" t="n">
        <v>30</v>
      </c>
      <c r="AO1230" s="8" t="str">
        <v>1S01 / 裸粉色PU / 13120</v>
      </c>
      <c r="AP1230" s="11" t="n">
        <v>0.8729500662042875</v>
      </c>
      <c r="AQ1230" s="11" t="n">
        <v>0.9355747145678367</v>
      </c>
      <c r="AR1230" s="11" t="n">
        <v>1.135973589331194</v>
      </c>
      <c r="AS1230" s="11" t="n">
        <f>IF(AND(COUNT(I1230:K1230,AP1230:AR1230)=6,MIN(AP1230:AR1230)&gt;0),I1230/7/AP1230*0.5+J1230/14/AQ1230*0.3+K1230/30/AR1230*0.2,"")</f>
        <v>0</v>
      </c>
      <c r="AT1230" s="8" t="n">
        <v>0</v>
      </c>
      <c r="AU1230" s="8" t="n">
        <v>0</v>
      </c>
      <c r="AV1230" s="8" t="n">
        <v>85</v>
      </c>
      <c r="AW1230" s="11" t="n">
        <f>IF(AND(COUNT(AT1230:AV1230)=3,AT1230&gt;=AU1230,AU1230&gt;=0,AV1230&gt;0),(AT1230-AU1230)/AV1230,"")</f>
        <v>0</v>
      </c>
      <c r="AX1230" s="8" t="n">
        <v>0</v>
      </c>
      <c r="AY1230" s="8" t="n">
        <v>0</v>
      </c>
      <c r="AZ1230" s="8" t="n">
        <v>175</v>
      </c>
      <c r="BA1230" s="11" t="n">
        <f>IF(AND(COUNT(AX1230:AZ1230)=3,AX1230&gt;=AY1230,AY1230&gt;=0,AZ1230&gt;0),(AX1230-AY1230)/AZ1230,"")</f>
        <v>0</v>
      </c>
      <c r="BB1230" s="8" t="n">
        <f>IF(COUNT(AS1230,AW1230,BA1230)=3,1,0)</f>
        <v>1</v>
      </c>
      <c r="BC1230" s="11" t="n">
        <f>IF(SUMIF($AO$11:$AO$1309,AO1230,$BB$11:$BB$1309)=COUNTIF($AO$11:$AO$1309,AO1230),SUMIF($AO$11:$AO$1309,AO1230,$AS$11:$AS$1309),"")</f>
        <v>0</v>
      </c>
      <c r="BD1230" s="11" t="n">
        <f>IF(SUMIF($AO$11:$AO$1309,AO1230,$BB$11:$BB$1309)=COUNTIF($AO$11:$AO$1309,AO1230),SUMIF($AO$11:$AO$1309,AO1230,$AW$11:$AW$1309),"")</f>
        <v>0</v>
      </c>
      <c r="BE1230" s="11" t="n">
        <f>IF(SUMIF($AO$11:$AO$1309,AO1230,$BB$11:$BB$1309)=COUNTIF($AO$11:$AO$1309,AO1230),SUMIF($AO$11:$AO$1309,AO1230,$BA$11:$BA$1309),"")</f>
        <v>0</v>
      </c>
      <c r="BF1230" s="12" t="n">
        <f>IF(COUNT(BD1230:BE1230)&lt;&gt;2,"",IF(AND(BD1230&gt;0,BE1230&gt;0),0.7*AW1230/BD1230+0.3*BA1230/BE1230,IF(BD1230&gt;0,AW1230/BD1230,IF(BE1230&gt;0,BA1230/BE1230,IF(AND(ISNUMBER(BH1230),BH1230=0),0,"")))))</f>
        <v>0</v>
      </c>
      <c r="BG1230" s="11" t="n">
        <f>IF(AND(COUNT(BN1230:BU1230)=8,MIN(BN1230:BU1230)&gt;=0),SUMPRODUCT(BN1230:BQ1230,BR1230:BU1230),"")</f>
        <v>63.935996265425516</v>
      </c>
      <c r="BH1230" s="11" t="n">
        <f>IF(COUNT(BC1230,BG1230)=2,BC1230*BG1230,"")</f>
        <v>0</v>
      </c>
      <c r="BI1230" s="11" t="n">
        <f>IF(ISNUMBER(CI1230),CI1230,"")</f>
        <v>0</v>
      </c>
      <c r="BJ1230" s="8" t="str">
        <v>近180天本色销量0双（＜90），无有效新采购，请运营判断</v>
      </c>
      <c r="BK1230" s="8" t="str">
        <v>90天：2026-07-20 至 2026-10-17；180天：2026-04-21 至 2026-10-17</v>
      </c>
      <c r="BL1230" s="8" t="str">
        <v>90天：2026-10-06、2026-10-07、2026-10-12、2026-10-13、2026-10-16；180天：2026-10-06、2026-10-07、2026-10-12、2026-10-13、2026-10-16</v>
      </c>
      <c r="BM1230" s="8" t="str">
        <v>2026-10：12天 × 0.8729500662042875；2026-11：30天 × 0.8057375774163482；2026-12：31天 × 0.532550303142279；2027-01：17天 × 0.7517299265337036</v>
      </c>
      <c r="BN1230" s="11" t="n">
        <v>0.8729500662042875</v>
      </c>
      <c r="BO1230" s="11" t="n">
        <v>0.8057375774163482</v>
      </c>
      <c r="BP1230" s="11" t="n">
        <v>0.532550303142279</v>
      </c>
      <c r="BQ1230" s="11" t="n">
        <v>0.7517299265337036</v>
      </c>
      <c r="BR1230" s="8" t="n">
        <v>12</v>
      </c>
      <c r="BS1230" s="8" t="n">
        <v>30</v>
      </c>
      <c r="BT1230" s="8" t="n">
        <v>31</v>
      </c>
      <c r="BU1230" s="8" t="n">
        <v>17</v>
      </c>
      <c r="BV1230" s="11" t="n">
        <f>IF(COUNT(BC1230,BF1230)=2,BC1230*BF1230,"")</f>
        <v>0</v>
      </c>
      <c r="BW1230" s="11" t="n">
        <f>IF(ISNUMBER(BN1230),BN1230,"")</f>
        <v>0.8729500662042875</v>
      </c>
      <c r="BX1230" s="14" t="n">
        <f>IF(ISNUMBER(BR1230),BR1230,"")</f>
        <v>12</v>
      </c>
      <c r="BY1230" s="13" t="n">
        <f>IF(AND(COUNT(BV1230,BW1230,BX1230)=3,MIN(BV1230,BW1230,BX1230)&gt;=0),BV1230*BW1230*BX1230,"")</f>
        <v>0</v>
      </c>
      <c r="BZ1230" s="11" t="n">
        <f>IF(ISNUMBER(BO1230),BO1230,"")</f>
        <v>0.8057375774163482</v>
      </c>
      <c r="CA1230" s="14" t="n">
        <f>IF(ISNUMBER(BS1230),BS1230,"")</f>
        <v>30</v>
      </c>
      <c r="CB1230" s="13" t="n">
        <f>IF(AND(COUNT(BV1230,BZ1230,CA1230)=3,MIN(BV1230,BZ1230,CA1230)&gt;=0),BV1230*BZ1230*CA1230,"")</f>
        <v>0</v>
      </c>
      <c r="CC1230" s="11" t="n">
        <f>IF(ISNUMBER(BP1230),BP1230,"")</f>
        <v>0.532550303142279</v>
      </c>
      <c r="CD1230" s="14" t="n">
        <f>IF(ISNUMBER(BT1230),BT1230,"")</f>
        <v>31</v>
      </c>
      <c r="CE1230" s="13" t="n">
        <f>IF(AND(COUNT(BV1230,CC1230,CD1230)=3,MIN(BV1230,CC1230,CD1230)&gt;=0),BV1230*CC1230*CD1230,"")</f>
        <v>0</v>
      </c>
      <c r="CF1230" s="11" t="n">
        <f>IF(ISNUMBER(BQ1230),BQ1230,"")</f>
        <v>0.7517299265337036</v>
      </c>
      <c r="CG1230" s="14" t="n">
        <f>IF(ISNUMBER(BU1230),BU1230,"")</f>
        <v>17</v>
      </c>
      <c r="CH1230" s="13" t="n">
        <f>IF(AND(COUNT(BV1230,CF1230,CG1230)=3,MIN(BV1230,CF1230,CG1230)&gt;=0),BV1230*CF1230*CG1230,"")</f>
        <v>0</v>
      </c>
      <c r="CI1230" s="13" t="n">
        <f>IF(COUNT(BY1230,CB1230,CE1230,CH1230)=4,SUM(BY1230,CB1230,CE1230,CH1230),"")</f>
        <v>0</v>
      </c>
    </row>
    <row r="1231" ht="72" customHeight="1">
      <c r="A1231" s="16" t="str">
        <v>1S01-NP-38</v>
      </c>
      <c r="B1231" s="16" t="str">
        <v>1店-MUSSHOE-US</v>
      </c>
      <c r="C1231" s="16" t="str">
        <v>徐新怡</v>
      </c>
      <c r="D1231" s="26" t="str">
        <f>IF(NOT(ISNUMBER(E1231)),"",IF(OR(E1231&lt;=0,L1231=0),0,IF(OR(NOT(ISNUMBER(F1231)),F1231&lt;0),"",MIN(E1231,INT(F1231)))))</f>
      </c>
      <c r="E1231" s="27" t="str">
        <f>IF(OR(NOT(ISNUMBER(L1231)),COUNT(M1231:O1231)&lt;&gt;3,MIN(M1231:O1231)&lt;0),"",ROUNDUP(ROUND(BI1231-SUM(M1231:O1231),10),0))</f>
      </c>
      <c r="F1231" s="28"/>
      <c r="G1231" s="28" t="str">
        <f>IF(AND(ISNUMBER(D1231),ISNUMBER(E1231)),IF(OR(E1231&lt;=0,L1231=0),0,E1231-D1231),"")</f>
      </c>
      <c r="H1231" s="16" t="str">
        <f>IF(NOT(ISNUMBER(E1231)),"销量或海外库存待补",IF(OR(E1231&lt;=0,L1231=0),IF(L1231=0,"零日销，本批不发","本批无需补货"),IF(NOT(ISNUMBER(D1231)),"国内库存待补",IF(D1231=0,"国内无可用库存",IF(G1231&gt;0,"先发国内现货","按建议量发货")))))</f>
        <v>销量或海外库存待补</v>
      </c>
      <c r="I1231" s="28" t="n">
        <f>IF(AND(COUNT(Z1231,AA1231,AB1231)=3,Z1231&gt;=AA1231,AA1231&gt;=0,AB1231=7),Z1231-AA1231,"")</f>
        <v>0</v>
      </c>
      <c r="J1231" s="28" t="n">
        <f>IF(AND(COUNT(AF1231,AG1231,AH1231)=3,AF1231&gt;=AG1231,AG1231&gt;=0,AH1231=14),AF1231-AG1231,"")</f>
        <v>0</v>
      </c>
      <c r="K1231" s="28" t="n">
        <f>IF(AND(COUNT(AL1231,AM1231,AN1231)=3,AL1231&gt;=AM1231,AM1231&gt;=0,AN1231=30),AL1231-AM1231,"")</f>
        <v>0</v>
      </c>
      <c r="L1231" s="29" t="n">
        <f>IF(ISNUMBER(BI1231),BI1231/90,"")</f>
        <v>0</v>
      </c>
      <c r="M1231" s="28"/>
      <c r="N1231" s="28"/>
      <c r="O1231" s="28"/>
      <c r="P1231" s="30" t="str">
        <f>IF(AND(ISNUMBER(L1231),L1231&gt;0,COUNT(M1231:O1231)=3,MIN(M1231:O1231)&gt;=0),SUM(M1231:O1231)/L1231,"")</f>
      </c>
      <c r="Q1231" s="16" t="str">
        <v>按本SKU唯一未删除Listing店铺核实</v>
      </c>
      <c r="R1231" s="16" t="str">
        <v>未匹配</v>
      </c>
      <c r="S1231" s="16" t="str">
        <v>停售</v>
      </c>
      <c r="T1231" s="16" t="str">
        <v>1S01</v>
      </c>
      <c r="U1231" s="16" t="str">
        <v>裸粉色</v>
      </c>
      <c r="V1231" s="16" t="n">
        <v>7</v>
      </c>
      <c r="W1231" s="8" t="str">
        <v>2026-10-08 至 2026-10-17</v>
      </c>
      <c r="X1231" s="8" t="str">
        <v>2026-10-08、2026-10-09、2026-10-10、2026-10-11、2026-10-14、2026-10-15、2026-10-17</v>
      </c>
      <c r="Y1231" s="8" t="str">
        <v>2026-10-12 有记录的停售日；2026-10-13 有记录的停售日；2026-10-16 有记录的停售日</v>
      </c>
      <c r="Z1231" s="8" t="n">
        <v>0</v>
      </c>
      <c r="AA1231" s="8" t="n">
        <v>0</v>
      </c>
      <c r="AB1231" s="8" t="n">
        <v>7</v>
      </c>
      <c r="AC1231" s="8" t="str">
        <v>2026-09-29 至 2026-10-17</v>
      </c>
      <c r="AD1231" s="8" t="str">
        <v>2026-09-29、2026-09-30、2026-10-01、2026-10-02、2026-10-03、2026-10-04、2026-10-05、2026-10-08、2026-10-09、2026-10-10、2026-10-11、2026-10-14、2026-10-15、2026-10-17</v>
      </c>
      <c r="AE1231" s="8" t="str">
        <v>2026-10-06 大促；2026-10-07 大促；2026-10-12 有记录的停售日；2026-10-13 有记录的停售日；2026-10-16 有记录的停售日</v>
      </c>
      <c r="AF1231" s="8" t="n">
        <v>0</v>
      </c>
      <c r="AG1231" s="8" t="n">
        <v>0</v>
      </c>
      <c r="AH1231" s="8" t="n">
        <v>14</v>
      </c>
      <c r="AI1231" s="8" t="str">
        <v>2026-09-13 至 2026-10-17</v>
      </c>
      <c r="AJ123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1" s="8" t="str">
        <v>2026-10-06 大促；2026-10-07 大促；2026-10-12 有记录的停售日；2026-10-13 有记录的停售日；2026-10-16 有记录的停售日</v>
      </c>
      <c r="AL1231" s="8" t="n">
        <v>0</v>
      </c>
      <c r="AM1231" s="8" t="n">
        <v>0</v>
      </c>
      <c r="AN1231" s="8" t="n">
        <v>30</v>
      </c>
      <c r="AO1231" s="8" t="str">
        <v>1S01 / 裸粉色PU / 13120</v>
      </c>
      <c r="AP1231" s="11" t="n">
        <v>0.8729500662042875</v>
      </c>
      <c r="AQ1231" s="11" t="n">
        <v>0.9355747145678367</v>
      </c>
      <c r="AR1231" s="11" t="n">
        <v>1.135973589331194</v>
      </c>
      <c r="AS1231" s="11" t="n">
        <f>IF(AND(COUNT(I1231:K1231,AP1231:AR1231)=6,MIN(AP1231:AR1231)&gt;0),I1231/7/AP1231*0.5+J1231/14/AQ1231*0.3+K1231/30/AR1231*0.2,"")</f>
        <v>0</v>
      </c>
      <c r="AT1231" s="8" t="n">
        <v>0</v>
      </c>
      <c r="AU1231" s="8" t="n">
        <v>0</v>
      </c>
      <c r="AV1231" s="8" t="n">
        <v>85</v>
      </c>
      <c r="AW1231" s="11" t="n">
        <f>IF(AND(COUNT(AT1231:AV1231)=3,AT1231&gt;=AU1231,AU1231&gt;=0,AV1231&gt;0),(AT1231-AU1231)/AV1231,"")</f>
        <v>0</v>
      </c>
      <c r="AX1231" s="8" t="n">
        <v>0</v>
      </c>
      <c r="AY1231" s="8" t="n">
        <v>0</v>
      </c>
      <c r="AZ1231" s="8" t="n">
        <v>175</v>
      </c>
      <c r="BA1231" s="11" t="n">
        <f>IF(AND(COUNT(AX1231:AZ1231)=3,AX1231&gt;=AY1231,AY1231&gt;=0,AZ1231&gt;0),(AX1231-AY1231)/AZ1231,"")</f>
        <v>0</v>
      </c>
      <c r="BB1231" s="8" t="n">
        <f>IF(COUNT(AS1231,AW1231,BA1231)=3,1,0)</f>
        <v>1</v>
      </c>
      <c r="BC1231" s="11" t="n">
        <f>IF(SUMIF($AO$11:$AO$1309,AO1231,$BB$11:$BB$1309)=COUNTIF($AO$11:$AO$1309,AO1231),SUMIF($AO$11:$AO$1309,AO1231,$AS$11:$AS$1309),"")</f>
        <v>0</v>
      </c>
      <c r="BD1231" s="11" t="n">
        <f>IF(SUMIF($AO$11:$AO$1309,AO1231,$BB$11:$BB$1309)=COUNTIF($AO$11:$AO$1309,AO1231),SUMIF($AO$11:$AO$1309,AO1231,$AW$11:$AW$1309),"")</f>
        <v>0</v>
      </c>
      <c r="BE1231" s="11" t="n">
        <f>IF(SUMIF($AO$11:$AO$1309,AO1231,$BB$11:$BB$1309)=COUNTIF($AO$11:$AO$1309,AO1231),SUMIF($AO$11:$AO$1309,AO1231,$BA$11:$BA$1309),"")</f>
        <v>0</v>
      </c>
      <c r="BF1231" s="12" t="n">
        <f>IF(COUNT(BD1231:BE1231)&lt;&gt;2,"",IF(AND(BD1231&gt;0,BE1231&gt;0),0.7*AW1231/BD1231+0.3*BA1231/BE1231,IF(BD1231&gt;0,AW1231/BD1231,IF(BE1231&gt;0,BA1231/BE1231,IF(AND(ISNUMBER(BH1231),BH1231=0),0,"")))))</f>
        <v>0</v>
      </c>
      <c r="BG1231" s="11" t="n">
        <f>IF(AND(COUNT(BN1231:BU1231)=8,MIN(BN1231:BU1231)&gt;=0),SUMPRODUCT(BN1231:BQ1231,BR1231:BU1231),"")</f>
        <v>63.935996265425516</v>
      </c>
      <c r="BH1231" s="11" t="n">
        <f>IF(COUNT(BC1231,BG1231)=2,BC1231*BG1231,"")</f>
        <v>0</v>
      </c>
      <c r="BI1231" s="11" t="n">
        <f>IF(ISNUMBER(CI1231),CI1231,"")</f>
        <v>0</v>
      </c>
      <c r="BJ1231" s="8" t="str">
        <v>近180天本色销量0双（＜90），无有效新采购，请运营判断</v>
      </c>
      <c r="BK1231" s="8" t="str">
        <v>90天：2026-07-20 至 2026-10-17；180天：2026-04-21 至 2026-10-17</v>
      </c>
      <c r="BL1231" s="8" t="str">
        <v>90天：2026-10-06、2026-10-07、2026-10-12、2026-10-13、2026-10-16；180天：2026-10-06、2026-10-07、2026-10-12、2026-10-13、2026-10-16</v>
      </c>
      <c r="BM1231" s="8" t="str">
        <v>2026-10：12天 × 0.8729500662042875；2026-11：30天 × 0.8057375774163482；2026-12：31天 × 0.532550303142279；2027-01：17天 × 0.7517299265337036</v>
      </c>
      <c r="BN1231" s="11" t="n">
        <v>0.8729500662042875</v>
      </c>
      <c r="BO1231" s="11" t="n">
        <v>0.8057375774163482</v>
      </c>
      <c r="BP1231" s="11" t="n">
        <v>0.532550303142279</v>
      </c>
      <c r="BQ1231" s="11" t="n">
        <v>0.7517299265337036</v>
      </c>
      <c r="BR1231" s="8" t="n">
        <v>12</v>
      </c>
      <c r="BS1231" s="8" t="n">
        <v>30</v>
      </c>
      <c r="BT1231" s="8" t="n">
        <v>31</v>
      </c>
      <c r="BU1231" s="8" t="n">
        <v>17</v>
      </c>
      <c r="BV1231" s="11" t="n">
        <f>IF(COUNT(BC1231,BF1231)=2,BC1231*BF1231,"")</f>
        <v>0</v>
      </c>
      <c r="BW1231" s="11" t="n">
        <f>IF(ISNUMBER(BN1231),BN1231,"")</f>
        <v>0.8729500662042875</v>
      </c>
      <c r="BX1231" s="14" t="n">
        <f>IF(ISNUMBER(BR1231),BR1231,"")</f>
        <v>12</v>
      </c>
      <c r="BY1231" s="13" t="n">
        <f>IF(AND(COUNT(BV1231,BW1231,BX1231)=3,MIN(BV1231,BW1231,BX1231)&gt;=0),BV1231*BW1231*BX1231,"")</f>
        <v>0</v>
      </c>
      <c r="BZ1231" s="11" t="n">
        <f>IF(ISNUMBER(BO1231),BO1231,"")</f>
        <v>0.8057375774163482</v>
      </c>
      <c r="CA1231" s="14" t="n">
        <f>IF(ISNUMBER(BS1231),BS1231,"")</f>
        <v>30</v>
      </c>
      <c r="CB1231" s="13" t="n">
        <f>IF(AND(COUNT(BV1231,BZ1231,CA1231)=3,MIN(BV1231,BZ1231,CA1231)&gt;=0),BV1231*BZ1231*CA1231,"")</f>
        <v>0</v>
      </c>
      <c r="CC1231" s="11" t="n">
        <f>IF(ISNUMBER(BP1231),BP1231,"")</f>
        <v>0.532550303142279</v>
      </c>
      <c r="CD1231" s="14" t="n">
        <f>IF(ISNUMBER(BT1231),BT1231,"")</f>
        <v>31</v>
      </c>
      <c r="CE1231" s="13" t="n">
        <f>IF(AND(COUNT(BV1231,CC1231,CD1231)=3,MIN(BV1231,CC1231,CD1231)&gt;=0),BV1231*CC1231*CD1231,"")</f>
        <v>0</v>
      </c>
      <c r="CF1231" s="11" t="n">
        <f>IF(ISNUMBER(BQ1231),BQ1231,"")</f>
        <v>0.7517299265337036</v>
      </c>
      <c r="CG1231" s="14" t="n">
        <f>IF(ISNUMBER(BU1231),BU1231,"")</f>
        <v>17</v>
      </c>
      <c r="CH1231" s="13" t="n">
        <f>IF(AND(COUNT(BV1231,CF1231,CG1231)=3,MIN(BV1231,CF1231,CG1231)&gt;=0),BV1231*CF1231*CG1231,"")</f>
        <v>0</v>
      </c>
      <c r="CI1231" s="13" t="n">
        <f>IF(COUNT(BY1231,CB1231,CE1231,CH1231)=4,SUM(BY1231,CB1231,CE1231,CH1231),"")</f>
        <v>0</v>
      </c>
    </row>
    <row r="1232" ht="72" customHeight="1">
      <c r="A1232" s="16" t="str">
        <v>1S01-NP-38.5</v>
      </c>
      <c r="B1232" s="16" t="str">
        <v>1店-MUSSHOE-US</v>
      </c>
      <c r="C1232" s="16" t="str">
        <v>徐新怡</v>
      </c>
      <c r="D1232" s="26" t="str">
        <f>IF(NOT(ISNUMBER(E1232)),"",IF(OR(E1232&lt;=0,L1232=0),0,IF(OR(NOT(ISNUMBER(F1232)),F1232&lt;0),"",MIN(E1232,INT(F1232)))))</f>
      </c>
      <c r="E1232" s="27" t="str">
        <f>IF(OR(NOT(ISNUMBER(L1232)),COUNT(M1232:O1232)&lt;&gt;3,MIN(M1232:O1232)&lt;0),"",ROUNDUP(ROUND(BI1232-SUM(M1232:O1232),10),0))</f>
      </c>
      <c r="F1232" s="28"/>
      <c r="G1232" s="28" t="str">
        <f>IF(AND(ISNUMBER(D1232),ISNUMBER(E1232)),IF(OR(E1232&lt;=0,L1232=0),0,E1232-D1232),"")</f>
      </c>
      <c r="H1232" s="16" t="str">
        <f>IF(NOT(ISNUMBER(E1232)),"销量或海外库存待补",IF(OR(E1232&lt;=0,L1232=0),IF(L1232=0,"零日销，本批不发","本批无需补货"),IF(NOT(ISNUMBER(D1232)),"国内库存待补",IF(D1232=0,"国内无可用库存",IF(G1232&gt;0,"先发国内现货","按建议量发货")))))</f>
        <v>销量或海外库存待补</v>
      </c>
      <c r="I1232" s="28" t="n">
        <f>IF(AND(COUNT(Z1232,AA1232,AB1232)=3,Z1232&gt;=AA1232,AA1232&gt;=0,AB1232=7),Z1232-AA1232,"")</f>
        <v>0</v>
      </c>
      <c r="J1232" s="28" t="n">
        <f>IF(AND(COUNT(AF1232,AG1232,AH1232)=3,AF1232&gt;=AG1232,AG1232&gt;=0,AH1232=14),AF1232-AG1232,"")</f>
        <v>0</v>
      </c>
      <c r="K1232" s="28" t="n">
        <f>IF(AND(COUNT(AL1232,AM1232,AN1232)=3,AL1232&gt;=AM1232,AM1232&gt;=0,AN1232=30),AL1232-AM1232,"")</f>
        <v>0</v>
      </c>
      <c r="L1232" s="29" t="n">
        <f>IF(ISNUMBER(BI1232),BI1232/90,"")</f>
        <v>0</v>
      </c>
      <c r="M1232" s="28"/>
      <c r="N1232" s="28"/>
      <c r="O1232" s="28"/>
      <c r="P1232" s="30" t="str">
        <f>IF(AND(ISNUMBER(L1232),L1232&gt;0,COUNT(M1232:O1232)=3,MIN(M1232:O1232)&gt;=0),SUM(M1232:O1232)/L1232,"")</f>
      </c>
      <c r="Q1232" s="16" t="str">
        <v>按本SKU唯一未删除Listing店铺核实</v>
      </c>
      <c r="R1232" s="16" t="str">
        <v>未匹配</v>
      </c>
      <c r="S1232" s="16" t="str">
        <v>停售</v>
      </c>
      <c r="T1232" s="16" t="str">
        <v>1S01</v>
      </c>
      <c r="U1232" s="16" t="str">
        <v>裸粉色</v>
      </c>
      <c r="V1232" s="16" t="n">
        <v>7.5</v>
      </c>
      <c r="W1232" s="8" t="str">
        <v>2026-10-08 至 2026-10-17</v>
      </c>
      <c r="X1232" s="8" t="str">
        <v>2026-10-08、2026-10-09、2026-10-10、2026-10-11、2026-10-14、2026-10-15、2026-10-17</v>
      </c>
      <c r="Y1232" s="8" t="str">
        <v>2026-10-12 有记录的停售日；2026-10-13 有记录的停售日；2026-10-16 有记录的停售日</v>
      </c>
      <c r="Z1232" s="8" t="n">
        <v>0</v>
      </c>
      <c r="AA1232" s="8" t="n">
        <v>0</v>
      </c>
      <c r="AB1232" s="8" t="n">
        <v>7</v>
      </c>
      <c r="AC1232" s="8" t="str">
        <v>2026-09-29 至 2026-10-17</v>
      </c>
      <c r="AD1232" s="8" t="str">
        <v>2026-09-29、2026-09-30、2026-10-01、2026-10-02、2026-10-03、2026-10-04、2026-10-05、2026-10-08、2026-10-09、2026-10-10、2026-10-11、2026-10-14、2026-10-15、2026-10-17</v>
      </c>
      <c r="AE1232" s="8" t="str">
        <v>2026-10-06 大促；2026-10-07 大促；2026-10-12 有记录的停售日；2026-10-13 有记录的停售日；2026-10-16 有记录的停售日</v>
      </c>
      <c r="AF1232" s="8" t="n">
        <v>0</v>
      </c>
      <c r="AG1232" s="8" t="n">
        <v>0</v>
      </c>
      <c r="AH1232" s="8" t="n">
        <v>14</v>
      </c>
      <c r="AI1232" s="8" t="str">
        <v>2026-09-13 至 2026-10-17</v>
      </c>
      <c r="AJ123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2" s="8" t="str">
        <v>2026-10-06 大促；2026-10-07 大促；2026-10-12 有记录的停售日；2026-10-13 有记录的停售日；2026-10-16 有记录的停售日</v>
      </c>
      <c r="AL1232" s="8" t="n">
        <v>0</v>
      </c>
      <c r="AM1232" s="8" t="n">
        <v>0</v>
      </c>
      <c r="AN1232" s="8" t="n">
        <v>30</v>
      </c>
      <c r="AO1232" s="8" t="str">
        <v>1S01 / 裸粉色PU / 13120</v>
      </c>
      <c r="AP1232" s="11" t="n">
        <v>0.8729500662042875</v>
      </c>
      <c r="AQ1232" s="11" t="n">
        <v>0.9355747145678367</v>
      </c>
      <c r="AR1232" s="11" t="n">
        <v>1.135973589331194</v>
      </c>
      <c r="AS1232" s="11" t="n">
        <f>IF(AND(COUNT(I1232:K1232,AP1232:AR1232)=6,MIN(AP1232:AR1232)&gt;0),I1232/7/AP1232*0.5+J1232/14/AQ1232*0.3+K1232/30/AR1232*0.2,"")</f>
        <v>0</v>
      </c>
      <c r="AT1232" s="8" t="n">
        <v>0</v>
      </c>
      <c r="AU1232" s="8" t="n">
        <v>0</v>
      </c>
      <c r="AV1232" s="8" t="n">
        <v>85</v>
      </c>
      <c r="AW1232" s="11" t="n">
        <f>IF(AND(COUNT(AT1232:AV1232)=3,AT1232&gt;=AU1232,AU1232&gt;=0,AV1232&gt;0),(AT1232-AU1232)/AV1232,"")</f>
        <v>0</v>
      </c>
      <c r="AX1232" s="8" t="n">
        <v>0</v>
      </c>
      <c r="AY1232" s="8" t="n">
        <v>0</v>
      </c>
      <c r="AZ1232" s="8" t="n">
        <v>175</v>
      </c>
      <c r="BA1232" s="11" t="n">
        <f>IF(AND(COUNT(AX1232:AZ1232)=3,AX1232&gt;=AY1232,AY1232&gt;=0,AZ1232&gt;0),(AX1232-AY1232)/AZ1232,"")</f>
        <v>0</v>
      </c>
      <c r="BB1232" s="8" t="n">
        <f>IF(COUNT(AS1232,AW1232,BA1232)=3,1,0)</f>
        <v>1</v>
      </c>
      <c r="BC1232" s="11" t="n">
        <f>IF(SUMIF($AO$11:$AO$1309,AO1232,$BB$11:$BB$1309)=COUNTIF($AO$11:$AO$1309,AO1232),SUMIF($AO$11:$AO$1309,AO1232,$AS$11:$AS$1309),"")</f>
        <v>0</v>
      </c>
      <c r="BD1232" s="11" t="n">
        <f>IF(SUMIF($AO$11:$AO$1309,AO1232,$BB$11:$BB$1309)=COUNTIF($AO$11:$AO$1309,AO1232),SUMIF($AO$11:$AO$1309,AO1232,$AW$11:$AW$1309),"")</f>
        <v>0</v>
      </c>
      <c r="BE1232" s="11" t="n">
        <f>IF(SUMIF($AO$11:$AO$1309,AO1232,$BB$11:$BB$1309)=COUNTIF($AO$11:$AO$1309,AO1232),SUMIF($AO$11:$AO$1309,AO1232,$BA$11:$BA$1309),"")</f>
        <v>0</v>
      </c>
      <c r="BF1232" s="12" t="n">
        <f>IF(COUNT(BD1232:BE1232)&lt;&gt;2,"",IF(AND(BD1232&gt;0,BE1232&gt;0),0.7*AW1232/BD1232+0.3*BA1232/BE1232,IF(BD1232&gt;0,AW1232/BD1232,IF(BE1232&gt;0,BA1232/BE1232,IF(AND(ISNUMBER(BH1232),BH1232=0),0,"")))))</f>
        <v>0</v>
      </c>
      <c r="BG1232" s="11" t="n">
        <f>IF(AND(COUNT(BN1232:BU1232)=8,MIN(BN1232:BU1232)&gt;=0),SUMPRODUCT(BN1232:BQ1232,BR1232:BU1232),"")</f>
        <v>63.935996265425516</v>
      </c>
      <c r="BH1232" s="11" t="n">
        <f>IF(COUNT(BC1232,BG1232)=2,BC1232*BG1232,"")</f>
        <v>0</v>
      </c>
      <c r="BI1232" s="11" t="n">
        <f>IF(ISNUMBER(CI1232),CI1232,"")</f>
        <v>0</v>
      </c>
      <c r="BJ1232" s="8" t="str">
        <v>近180天本色销量0双（＜90），无有效新采购，请运营判断</v>
      </c>
      <c r="BK1232" s="8" t="str">
        <v>90天：2026-07-20 至 2026-10-17；180天：2026-04-21 至 2026-10-17</v>
      </c>
      <c r="BL1232" s="8" t="str">
        <v>90天：2026-10-06、2026-10-07、2026-10-12、2026-10-13、2026-10-16；180天：2026-10-06、2026-10-07、2026-10-12、2026-10-13、2026-10-16</v>
      </c>
      <c r="BM1232" s="8" t="str">
        <v>2026-10：12天 × 0.8729500662042875；2026-11：30天 × 0.8057375774163482；2026-12：31天 × 0.532550303142279；2027-01：17天 × 0.7517299265337036</v>
      </c>
      <c r="BN1232" s="11" t="n">
        <v>0.8729500662042875</v>
      </c>
      <c r="BO1232" s="11" t="n">
        <v>0.8057375774163482</v>
      </c>
      <c r="BP1232" s="11" t="n">
        <v>0.532550303142279</v>
      </c>
      <c r="BQ1232" s="11" t="n">
        <v>0.7517299265337036</v>
      </c>
      <c r="BR1232" s="8" t="n">
        <v>12</v>
      </c>
      <c r="BS1232" s="8" t="n">
        <v>30</v>
      </c>
      <c r="BT1232" s="8" t="n">
        <v>31</v>
      </c>
      <c r="BU1232" s="8" t="n">
        <v>17</v>
      </c>
      <c r="BV1232" s="11" t="n">
        <f>IF(COUNT(BC1232,BF1232)=2,BC1232*BF1232,"")</f>
        <v>0</v>
      </c>
      <c r="BW1232" s="11" t="n">
        <f>IF(ISNUMBER(BN1232),BN1232,"")</f>
        <v>0.8729500662042875</v>
      </c>
      <c r="BX1232" s="14" t="n">
        <f>IF(ISNUMBER(BR1232),BR1232,"")</f>
        <v>12</v>
      </c>
      <c r="BY1232" s="13" t="n">
        <f>IF(AND(COUNT(BV1232,BW1232,BX1232)=3,MIN(BV1232,BW1232,BX1232)&gt;=0),BV1232*BW1232*BX1232,"")</f>
        <v>0</v>
      </c>
      <c r="BZ1232" s="11" t="n">
        <f>IF(ISNUMBER(BO1232),BO1232,"")</f>
        <v>0.8057375774163482</v>
      </c>
      <c r="CA1232" s="14" t="n">
        <f>IF(ISNUMBER(BS1232),BS1232,"")</f>
        <v>30</v>
      </c>
      <c r="CB1232" s="13" t="n">
        <f>IF(AND(COUNT(BV1232,BZ1232,CA1232)=3,MIN(BV1232,BZ1232,CA1232)&gt;=0),BV1232*BZ1232*CA1232,"")</f>
        <v>0</v>
      </c>
      <c r="CC1232" s="11" t="n">
        <f>IF(ISNUMBER(BP1232),BP1232,"")</f>
        <v>0.532550303142279</v>
      </c>
      <c r="CD1232" s="14" t="n">
        <f>IF(ISNUMBER(BT1232),BT1232,"")</f>
        <v>31</v>
      </c>
      <c r="CE1232" s="13" t="n">
        <f>IF(AND(COUNT(BV1232,CC1232,CD1232)=3,MIN(BV1232,CC1232,CD1232)&gt;=0),BV1232*CC1232*CD1232,"")</f>
        <v>0</v>
      </c>
      <c r="CF1232" s="11" t="n">
        <f>IF(ISNUMBER(BQ1232),BQ1232,"")</f>
        <v>0.7517299265337036</v>
      </c>
      <c r="CG1232" s="14" t="n">
        <f>IF(ISNUMBER(BU1232),BU1232,"")</f>
        <v>17</v>
      </c>
      <c r="CH1232" s="13" t="n">
        <f>IF(AND(COUNT(BV1232,CF1232,CG1232)=3,MIN(BV1232,CF1232,CG1232)&gt;=0),BV1232*CF1232*CG1232,"")</f>
        <v>0</v>
      </c>
      <c r="CI1232" s="13" t="n">
        <f>IF(COUNT(BY1232,CB1232,CE1232,CH1232)=4,SUM(BY1232,CB1232,CE1232,CH1232),"")</f>
        <v>0</v>
      </c>
    </row>
    <row r="1233" ht="72" customHeight="1">
      <c r="A1233" s="16" t="str">
        <v>1S01-NP-39</v>
      </c>
      <c r="B1233" s="16" t="str">
        <v>1店-MUSSHOE-US</v>
      </c>
      <c r="C1233" s="16" t="str">
        <v>徐新怡</v>
      </c>
      <c r="D1233" s="26" t="str">
        <f>IF(NOT(ISNUMBER(E1233)),"",IF(OR(E1233&lt;=0,L1233=0),0,IF(OR(NOT(ISNUMBER(F1233)),F1233&lt;0),"",MIN(E1233,INT(F1233)))))</f>
      </c>
      <c r="E1233" s="27" t="str">
        <f>IF(OR(NOT(ISNUMBER(L1233)),COUNT(M1233:O1233)&lt;&gt;3,MIN(M1233:O1233)&lt;0),"",ROUNDUP(ROUND(BI1233-SUM(M1233:O1233),10),0))</f>
      </c>
      <c r="F1233" s="28"/>
      <c r="G1233" s="28" t="str">
        <f>IF(AND(ISNUMBER(D1233),ISNUMBER(E1233)),IF(OR(E1233&lt;=0,L1233=0),0,E1233-D1233),"")</f>
      </c>
      <c r="H1233" s="16" t="str">
        <f>IF(NOT(ISNUMBER(E1233)),"销量或海外库存待补",IF(OR(E1233&lt;=0,L1233=0),IF(L1233=0,"零日销，本批不发","本批无需补货"),IF(NOT(ISNUMBER(D1233)),"国内库存待补",IF(D1233=0,"国内无可用库存",IF(G1233&gt;0,"先发国内现货","按建议量发货")))))</f>
        <v>销量或海外库存待补</v>
      </c>
      <c r="I1233" s="28" t="n">
        <f>IF(AND(COUNT(Z1233,AA1233,AB1233)=3,Z1233&gt;=AA1233,AA1233&gt;=0,AB1233=7),Z1233-AA1233,"")</f>
        <v>0</v>
      </c>
      <c r="J1233" s="28" t="n">
        <f>IF(AND(COUNT(AF1233,AG1233,AH1233)=3,AF1233&gt;=AG1233,AG1233&gt;=0,AH1233=14),AF1233-AG1233,"")</f>
        <v>0</v>
      </c>
      <c r="K1233" s="28" t="n">
        <f>IF(AND(COUNT(AL1233,AM1233,AN1233)=3,AL1233&gt;=AM1233,AM1233&gt;=0,AN1233=30),AL1233-AM1233,"")</f>
        <v>0</v>
      </c>
      <c r="L1233" s="29" t="n">
        <f>IF(ISNUMBER(BI1233),BI1233/90,"")</f>
        <v>0</v>
      </c>
      <c r="M1233" s="28"/>
      <c r="N1233" s="28"/>
      <c r="O1233" s="28"/>
      <c r="P1233" s="30" t="str">
        <f>IF(AND(ISNUMBER(L1233),L1233&gt;0,COUNT(M1233:O1233)=3,MIN(M1233:O1233)&gt;=0),SUM(M1233:O1233)/L1233,"")</f>
      </c>
      <c r="Q1233" s="16" t="str">
        <v>按本SKU唯一未删除Listing店铺核实</v>
      </c>
      <c r="R1233" s="16" t="str">
        <v>未匹配</v>
      </c>
      <c r="S1233" s="16" t="str">
        <v>停售</v>
      </c>
      <c r="T1233" s="16" t="str">
        <v>1S01</v>
      </c>
      <c r="U1233" s="16" t="str">
        <v>裸粉色</v>
      </c>
      <c r="V1233" s="16" t="n">
        <v>8</v>
      </c>
      <c r="W1233" s="8" t="str">
        <v>2026-10-08 至 2026-10-17</v>
      </c>
      <c r="X1233" s="8" t="str">
        <v>2026-10-08、2026-10-09、2026-10-10、2026-10-11、2026-10-14、2026-10-15、2026-10-17</v>
      </c>
      <c r="Y1233" s="8" t="str">
        <v>2026-10-12 有记录的停售日；2026-10-13 有记录的停售日；2026-10-16 有记录的停售日</v>
      </c>
      <c r="Z1233" s="8" t="n">
        <v>0</v>
      </c>
      <c r="AA1233" s="8" t="n">
        <v>0</v>
      </c>
      <c r="AB1233" s="8" t="n">
        <v>7</v>
      </c>
      <c r="AC1233" s="8" t="str">
        <v>2026-09-29 至 2026-10-17</v>
      </c>
      <c r="AD1233" s="8" t="str">
        <v>2026-09-29、2026-09-30、2026-10-01、2026-10-02、2026-10-03、2026-10-04、2026-10-05、2026-10-08、2026-10-09、2026-10-10、2026-10-11、2026-10-14、2026-10-15、2026-10-17</v>
      </c>
      <c r="AE1233" s="8" t="str">
        <v>2026-10-06 大促；2026-10-07 大促；2026-10-12 有记录的停售日；2026-10-13 有记录的停售日；2026-10-16 有记录的停售日</v>
      </c>
      <c r="AF1233" s="8" t="n">
        <v>0</v>
      </c>
      <c r="AG1233" s="8" t="n">
        <v>0</v>
      </c>
      <c r="AH1233" s="8" t="n">
        <v>14</v>
      </c>
      <c r="AI1233" s="8" t="str">
        <v>2026-09-13 至 2026-10-17</v>
      </c>
      <c r="AJ123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3" s="8" t="str">
        <v>2026-10-06 大促；2026-10-07 大促；2026-10-12 有记录的停售日；2026-10-13 有记录的停售日；2026-10-16 有记录的停售日</v>
      </c>
      <c r="AL1233" s="8" t="n">
        <v>0</v>
      </c>
      <c r="AM1233" s="8" t="n">
        <v>0</v>
      </c>
      <c r="AN1233" s="8" t="n">
        <v>30</v>
      </c>
      <c r="AO1233" s="8" t="str">
        <v>1S01 / 裸粉色PU / 13120</v>
      </c>
      <c r="AP1233" s="11" t="n">
        <v>0.8729500662042875</v>
      </c>
      <c r="AQ1233" s="11" t="n">
        <v>0.9355747145678367</v>
      </c>
      <c r="AR1233" s="11" t="n">
        <v>1.135973589331194</v>
      </c>
      <c r="AS1233" s="11" t="n">
        <f>IF(AND(COUNT(I1233:K1233,AP1233:AR1233)=6,MIN(AP1233:AR1233)&gt;0),I1233/7/AP1233*0.5+J1233/14/AQ1233*0.3+K1233/30/AR1233*0.2,"")</f>
        <v>0</v>
      </c>
      <c r="AT1233" s="8" t="n">
        <v>0</v>
      </c>
      <c r="AU1233" s="8" t="n">
        <v>0</v>
      </c>
      <c r="AV1233" s="8" t="n">
        <v>85</v>
      </c>
      <c r="AW1233" s="11" t="n">
        <f>IF(AND(COUNT(AT1233:AV1233)=3,AT1233&gt;=AU1233,AU1233&gt;=0,AV1233&gt;0),(AT1233-AU1233)/AV1233,"")</f>
        <v>0</v>
      </c>
      <c r="AX1233" s="8" t="n">
        <v>0</v>
      </c>
      <c r="AY1233" s="8" t="n">
        <v>0</v>
      </c>
      <c r="AZ1233" s="8" t="n">
        <v>175</v>
      </c>
      <c r="BA1233" s="11" t="n">
        <f>IF(AND(COUNT(AX1233:AZ1233)=3,AX1233&gt;=AY1233,AY1233&gt;=0,AZ1233&gt;0),(AX1233-AY1233)/AZ1233,"")</f>
        <v>0</v>
      </c>
      <c r="BB1233" s="8" t="n">
        <f>IF(COUNT(AS1233,AW1233,BA1233)=3,1,0)</f>
        <v>1</v>
      </c>
      <c r="BC1233" s="11" t="n">
        <f>IF(SUMIF($AO$11:$AO$1309,AO1233,$BB$11:$BB$1309)=COUNTIF($AO$11:$AO$1309,AO1233),SUMIF($AO$11:$AO$1309,AO1233,$AS$11:$AS$1309),"")</f>
        <v>0</v>
      </c>
      <c r="BD1233" s="11" t="n">
        <f>IF(SUMIF($AO$11:$AO$1309,AO1233,$BB$11:$BB$1309)=COUNTIF($AO$11:$AO$1309,AO1233),SUMIF($AO$11:$AO$1309,AO1233,$AW$11:$AW$1309),"")</f>
        <v>0</v>
      </c>
      <c r="BE1233" s="11" t="n">
        <f>IF(SUMIF($AO$11:$AO$1309,AO1233,$BB$11:$BB$1309)=COUNTIF($AO$11:$AO$1309,AO1233),SUMIF($AO$11:$AO$1309,AO1233,$BA$11:$BA$1309),"")</f>
        <v>0</v>
      </c>
      <c r="BF1233" s="12" t="n">
        <f>IF(COUNT(BD1233:BE1233)&lt;&gt;2,"",IF(AND(BD1233&gt;0,BE1233&gt;0),0.7*AW1233/BD1233+0.3*BA1233/BE1233,IF(BD1233&gt;0,AW1233/BD1233,IF(BE1233&gt;0,BA1233/BE1233,IF(AND(ISNUMBER(BH1233),BH1233=0),0,"")))))</f>
        <v>0</v>
      </c>
      <c r="BG1233" s="11" t="n">
        <f>IF(AND(COUNT(BN1233:BU1233)=8,MIN(BN1233:BU1233)&gt;=0),SUMPRODUCT(BN1233:BQ1233,BR1233:BU1233),"")</f>
        <v>63.935996265425516</v>
      </c>
      <c r="BH1233" s="11" t="n">
        <f>IF(COUNT(BC1233,BG1233)=2,BC1233*BG1233,"")</f>
        <v>0</v>
      </c>
      <c r="BI1233" s="11" t="n">
        <f>IF(ISNUMBER(CI1233),CI1233,"")</f>
        <v>0</v>
      </c>
      <c r="BJ1233" s="8" t="str">
        <v>近180天本色销量0双（＜90），无有效新采购，请运营判断</v>
      </c>
      <c r="BK1233" s="8" t="str">
        <v>90天：2026-07-20 至 2026-10-17；180天：2026-04-21 至 2026-10-17</v>
      </c>
      <c r="BL1233" s="8" t="str">
        <v>90天：2026-10-06、2026-10-07、2026-10-12、2026-10-13、2026-10-16；180天：2026-10-06、2026-10-07、2026-10-12、2026-10-13、2026-10-16</v>
      </c>
      <c r="BM1233" s="8" t="str">
        <v>2026-10：12天 × 0.8729500662042875；2026-11：30天 × 0.8057375774163482；2026-12：31天 × 0.532550303142279；2027-01：17天 × 0.7517299265337036</v>
      </c>
      <c r="BN1233" s="11" t="n">
        <v>0.8729500662042875</v>
      </c>
      <c r="BO1233" s="11" t="n">
        <v>0.8057375774163482</v>
      </c>
      <c r="BP1233" s="11" t="n">
        <v>0.532550303142279</v>
      </c>
      <c r="BQ1233" s="11" t="n">
        <v>0.7517299265337036</v>
      </c>
      <c r="BR1233" s="8" t="n">
        <v>12</v>
      </c>
      <c r="BS1233" s="8" t="n">
        <v>30</v>
      </c>
      <c r="BT1233" s="8" t="n">
        <v>31</v>
      </c>
      <c r="BU1233" s="8" t="n">
        <v>17</v>
      </c>
      <c r="BV1233" s="11" t="n">
        <f>IF(COUNT(BC1233,BF1233)=2,BC1233*BF1233,"")</f>
        <v>0</v>
      </c>
      <c r="BW1233" s="11" t="n">
        <f>IF(ISNUMBER(BN1233),BN1233,"")</f>
        <v>0.8729500662042875</v>
      </c>
      <c r="BX1233" s="14" t="n">
        <f>IF(ISNUMBER(BR1233),BR1233,"")</f>
        <v>12</v>
      </c>
      <c r="BY1233" s="13" t="n">
        <f>IF(AND(COUNT(BV1233,BW1233,BX1233)=3,MIN(BV1233,BW1233,BX1233)&gt;=0),BV1233*BW1233*BX1233,"")</f>
        <v>0</v>
      </c>
      <c r="BZ1233" s="11" t="n">
        <f>IF(ISNUMBER(BO1233),BO1233,"")</f>
        <v>0.8057375774163482</v>
      </c>
      <c r="CA1233" s="14" t="n">
        <f>IF(ISNUMBER(BS1233),BS1233,"")</f>
        <v>30</v>
      </c>
      <c r="CB1233" s="13" t="n">
        <f>IF(AND(COUNT(BV1233,BZ1233,CA1233)=3,MIN(BV1233,BZ1233,CA1233)&gt;=0),BV1233*BZ1233*CA1233,"")</f>
        <v>0</v>
      </c>
      <c r="CC1233" s="11" t="n">
        <f>IF(ISNUMBER(BP1233),BP1233,"")</f>
        <v>0.532550303142279</v>
      </c>
      <c r="CD1233" s="14" t="n">
        <f>IF(ISNUMBER(BT1233),BT1233,"")</f>
        <v>31</v>
      </c>
      <c r="CE1233" s="13" t="n">
        <f>IF(AND(COUNT(BV1233,CC1233,CD1233)=3,MIN(BV1233,CC1233,CD1233)&gt;=0),BV1233*CC1233*CD1233,"")</f>
        <v>0</v>
      </c>
      <c r="CF1233" s="11" t="n">
        <f>IF(ISNUMBER(BQ1233),BQ1233,"")</f>
        <v>0.7517299265337036</v>
      </c>
      <c r="CG1233" s="14" t="n">
        <f>IF(ISNUMBER(BU1233),BU1233,"")</f>
        <v>17</v>
      </c>
      <c r="CH1233" s="13" t="n">
        <f>IF(AND(COUNT(BV1233,CF1233,CG1233)=3,MIN(BV1233,CF1233,CG1233)&gt;=0),BV1233*CF1233*CG1233,"")</f>
        <v>0</v>
      </c>
      <c r="CI1233" s="13" t="n">
        <f>IF(COUNT(BY1233,CB1233,CE1233,CH1233)=4,SUM(BY1233,CB1233,CE1233,CH1233),"")</f>
        <v>0</v>
      </c>
    </row>
    <row r="1234" ht="72" customHeight="1">
      <c r="A1234" s="16" t="str">
        <v>1S01-NP-39.5</v>
      </c>
      <c r="B1234" s="16" t="str">
        <v>1店-MUSSHOE-US</v>
      </c>
      <c r="C1234" s="16" t="str">
        <v>徐新怡</v>
      </c>
      <c r="D1234" s="26" t="str">
        <f>IF(NOT(ISNUMBER(E1234)),"",IF(OR(E1234&lt;=0,L1234=0),0,IF(OR(NOT(ISNUMBER(F1234)),F1234&lt;0),"",MIN(E1234,INT(F1234)))))</f>
      </c>
      <c r="E1234" s="27" t="str">
        <f>IF(OR(NOT(ISNUMBER(L1234)),COUNT(M1234:O1234)&lt;&gt;3,MIN(M1234:O1234)&lt;0),"",ROUNDUP(ROUND(BI1234-SUM(M1234:O1234),10),0))</f>
      </c>
      <c r="F1234" s="28"/>
      <c r="G1234" s="28" t="str">
        <f>IF(AND(ISNUMBER(D1234),ISNUMBER(E1234)),IF(OR(E1234&lt;=0,L1234=0),0,E1234-D1234),"")</f>
      </c>
      <c r="H1234" s="16" t="str">
        <f>IF(NOT(ISNUMBER(E1234)),"销量或海外库存待补",IF(OR(E1234&lt;=0,L1234=0),IF(L1234=0,"零日销，本批不发","本批无需补货"),IF(NOT(ISNUMBER(D1234)),"国内库存待补",IF(D1234=0,"国内无可用库存",IF(G1234&gt;0,"先发国内现货","按建议量发货")))))</f>
        <v>销量或海外库存待补</v>
      </c>
      <c r="I1234" s="28" t="n">
        <f>IF(AND(COUNT(Z1234,AA1234,AB1234)=3,Z1234&gt;=AA1234,AA1234&gt;=0,AB1234=7),Z1234-AA1234,"")</f>
        <v>0</v>
      </c>
      <c r="J1234" s="28" t="n">
        <f>IF(AND(COUNT(AF1234,AG1234,AH1234)=3,AF1234&gt;=AG1234,AG1234&gt;=0,AH1234=14),AF1234-AG1234,"")</f>
        <v>0</v>
      </c>
      <c r="K1234" s="28" t="n">
        <f>IF(AND(COUNT(AL1234,AM1234,AN1234)=3,AL1234&gt;=AM1234,AM1234&gt;=0,AN1234=30),AL1234-AM1234,"")</f>
        <v>0</v>
      </c>
      <c r="L1234" s="29" t="n">
        <f>IF(ISNUMBER(BI1234),BI1234/90,"")</f>
        <v>0</v>
      </c>
      <c r="M1234" s="28"/>
      <c r="N1234" s="28"/>
      <c r="O1234" s="28"/>
      <c r="P1234" s="30" t="str">
        <f>IF(AND(ISNUMBER(L1234),L1234&gt;0,COUNT(M1234:O1234)=3,MIN(M1234:O1234)&gt;=0),SUM(M1234:O1234)/L1234,"")</f>
      </c>
      <c r="Q1234" s="16" t="str">
        <v>按本SKU唯一未删除Listing店铺核实</v>
      </c>
      <c r="R1234" s="16" t="str">
        <v>未匹配</v>
      </c>
      <c r="S1234" s="16" t="str">
        <v>停售</v>
      </c>
      <c r="T1234" s="16" t="str">
        <v>1S01</v>
      </c>
      <c r="U1234" s="16" t="str">
        <v>裸粉色</v>
      </c>
      <c r="V1234" s="16" t="n">
        <v>8.5</v>
      </c>
      <c r="W1234" s="8" t="str">
        <v>2026-10-08 至 2026-10-17</v>
      </c>
      <c r="X1234" s="8" t="str">
        <v>2026-10-08、2026-10-09、2026-10-10、2026-10-11、2026-10-14、2026-10-15、2026-10-17</v>
      </c>
      <c r="Y1234" s="8" t="str">
        <v>2026-10-12 有记录的停售日；2026-10-13 有记录的停售日；2026-10-16 有记录的停售日</v>
      </c>
      <c r="Z1234" s="8" t="n">
        <v>0</v>
      </c>
      <c r="AA1234" s="8" t="n">
        <v>0</v>
      </c>
      <c r="AB1234" s="8" t="n">
        <v>7</v>
      </c>
      <c r="AC1234" s="8" t="str">
        <v>2026-09-29 至 2026-10-17</v>
      </c>
      <c r="AD1234" s="8" t="str">
        <v>2026-09-29、2026-09-30、2026-10-01、2026-10-02、2026-10-03、2026-10-04、2026-10-05、2026-10-08、2026-10-09、2026-10-10、2026-10-11、2026-10-14、2026-10-15、2026-10-17</v>
      </c>
      <c r="AE1234" s="8" t="str">
        <v>2026-10-06 大促；2026-10-07 大促；2026-10-12 有记录的停售日；2026-10-13 有记录的停售日；2026-10-16 有记录的停售日</v>
      </c>
      <c r="AF1234" s="8" t="n">
        <v>0</v>
      </c>
      <c r="AG1234" s="8" t="n">
        <v>0</v>
      </c>
      <c r="AH1234" s="8" t="n">
        <v>14</v>
      </c>
      <c r="AI1234" s="8" t="str">
        <v>2026-09-13 至 2026-10-17</v>
      </c>
      <c r="AJ123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4" s="8" t="str">
        <v>2026-10-06 大促；2026-10-07 大促；2026-10-12 有记录的停售日；2026-10-13 有记录的停售日；2026-10-16 有记录的停售日</v>
      </c>
      <c r="AL1234" s="8" t="n">
        <v>0</v>
      </c>
      <c r="AM1234" s="8" t="n">
        <v>0</v>
      </c>
      <c r="AN1234" s="8" t="n">
        <v>30</v>
      </c>
      <c r="AO1234" s="8" t="str">
        <v>1S01 / 裸粉色PU / 13120</v>
      </c>
      <c r="AP1234" s="11" t="n">
        <v>0.8729500662042875</v>
      </c>
      <c r="AQ1234" s="11" t="n">
        <v>0.9355747145678367</v>
      </c>
      <c r="AR1234" s="11" t="n">
        <v>1.135973589331194</v>
      </c>
      <c r="AS1234" s="11" t="n">
        <f>IF(AND(COUNT(I1234:K1234,AP1234:AR1234)=6,MIN(AP1234:AR1234)&gt;0),I1234/7/AP1234*0.5+J1234/14/AQ1234*0.3+K1234/30/AR1234*0.2,"")</f>
        <v>0</v>
      </c>
      <c r="AT1234" s="8" t="n">
        <v>0</v>
      </c>
      <c r="AU1234" s="8" t="n">
        <v>0</v>
      </c>
      <c r="AV1234" s="8" t="n">
        <v>85</v>
      </c>
      <c r="AW1234" s="11" t="n">
        <f>IF(AND(COUNT(AT1234:AV1234)=3,AT1234&gt;=AU1234,AU1234&gt;=0,AV1234&gt;0),(AT1234-AU1234)/AV1234,"")</f>
        <v>0</v>
      </c>
      <c r="AX1234" s="8" t="n">
        <v>0</v>
      </c>
      <c r="AY1234" s="8" t="n">
        <v>0</v>
      </c>
      <c r="AZ1234" s="8" t="n">
        <v>175</v>
      </c>
      <c r="BA1234" s="11" t="n">
        <f>IF(AND(COUNT(AX1234:AZ1234)=3,AX1234&gt;=AY1234,AY1234&gt;=0,AZ1234&gt;0),(AX1234-AY1234)/AZ1234,"")</f>
        <v>0</v>
      </c>
      <c r="BB1234" s="8" t="n">
        <f>IF(COUNT(AS1234,AW1234,BA1234)=3,1,0)</f>
        <v>1</v>
      </c>
      <c r="BC1234" s="11" t="n">
        <f>IF(SUMIF($AO$11:$AO$1309,AO1234,$BB$11:$BB$1309)=COUNTIF($AO$11:$AO$1309,AO1234),SUMIF($AO$11:$AO$1309,AO1234,$AS$11:$AS$1309),"")</f>
        <v>0</v>
      </c>
      <c r="BD1234" s="11" t="n">
        <f>IF(SUMIF($AO$11:$AO$1309,AO1234,$BB$11:$BB$1309)=COUNTIF($AO$11:$AO$1309,AO1234),SUMIF($AO$11:$AO$1309,AO1234,$AW$11:$AW$1309),"")</f>
        <v>0</v>
      </c>
      <c r="BE1234" s="11" t="n">
        <f>IF(SUMIF($AO$11:$AO$1309,AO1234,$BB$11:$BB$1309)=COUNTIF($AO$11:$AO$1309,AO1234),SUMIF($AO$11:$AO$1309,AO1234,$BA$11:$BA$1309),"")</f>
        <v>0</v>
      </c>
      <c r="BF1234" s="12" t="n">
        <f>IF(COUNT(BD1234:BE1234)&lt;&gt;2,"",IF(AND(BD1234&gt;0,BE1234&gt;0),0.7*AW1234/BD1234+0.3*BA1234/BE1234,IF(BD1234&gt;0,AW1234/BD1234,IF(BE1234&gt;0,BA1234/BE1234,IF(AND(ISNUMBER(BH1234),BH1234=0),0,"")))))</f>
        <v>0</v>
      </c>
      <c r="BG1234" s="11" t="n">
        <f>IF(AND(COUNT(BN1234:BU1234)=8,MIN(BN1234:BU1234)&gt;=0),SUMPRODUCT(BN1234:BQ1234,BR1234:BU1234),"")</f>
        <v>63.935996265425516</v>
      </c>
      <c r="BH1234" s="11" t="n">
        <f>IF(COUNT(BC1234,BG1234)=2,BC1234*BG1234,"")</f>
        <v>0</v>
      </c>
      <c r="BI1234" s="11" t="n">
        <f>IF(ISNUMBER(CI1234),CI1234,"")</f>
        <v>0</v>
      </c>
      <c r="BJ1234" s="8" t="str">
        <v>近180天本色销量0双（＜90），无有效新采购，请运营判断</v>
      </c>
      <c r="BK1234" s="8" t="str">
        <v>90天：2026-07-20 至 2026-10-17；180天：2026-04-21 至 2026-10-17</v>
      </c>
      <c r="BL1234" s="8" t="str">
        <v>90天：2026-10-06、2026-10-07、2026-10-12、2026-10-13、2026-10-16；180天：2026-10-06、2026-10-07、2026-10-12、2026-10-13、2026-10-16</v>
      </c>
      <c r="BM1234" s="8" t="str">
        <v>2026-10：12天 × 0.8729500662042875；2026-11：30天 × 0.8057375774163482；2026-12：31天 × 0.532550303142279；2027-01：17天 × 0.7517299265337036</v>
      </c>
      <c r="BN1234" s="11" t="n">
        <v>0.8729500662042875</v>
      </c>
      <c r="BO1234" s="11" t="n">
        <v>0.8057375774163482</v>
      </c>
      <c r="BP1234" s="11" t="n">
        <v>0.532550303142279</v>
      </c>
      <c r="BQ1234" s="11" t="n">
        <v>0.7517299265337036</v>
      </c>
      <c r="BR1234" s="8" t="n">
        <v>12</v>
      </c>
      <c r="BS1234" s="8" t="n">
        <v>30</v>
      </c>
      <c r="BT1234" s="8" t="n">
        <v>31</v>
      </c>
      <c r="BU1234" s="8" t="n">
        <v>17</v>
      </c>
      <c r="BV1234" s="11" t="n">
        <f>IF(COUNT(BC1234,BF1234)=2,BC1234*BF1234,"")</f>
        <v>0</v>
      </c>
      <c r="BW1234" s="11" t="n">
        <f>IF(ISNUMBER(BN1234),BN1234,"")</f>
        <v>0.8729500662042875</v>
      </c>
      <c r="BX1234" s="14" t="n">
        <f>IF(ISNUMBER(BR1234),BR1234,"")</f>
        <v>12</v>
      </c>
      <c r="BY1234" s="13" t="n">
        <f>IF(AND(COUNT(BV1234,BW1234,BX1234)=3,MIN(BV1234,BW1234,BX1234)&gt;=0),BV1234*BW1234*BX1234,"")</f>
        <v>0</v>
      </c>
      <c r="BZ1234" s="11" t="n">
        <f>IF(ISNUMBER(BO1234),BO1234,"")</f>
        <v>0.8057375774163482</v>
      </c>
      <c r="CA1234" s="14" t="n">
        <f>IF(ISNUMBER(BS1234),BS1234,"")</f>
        <v>30</v>
      </c>
      <c r="CB1234" s="13" t="n">
        <f>IF(AND(COUNT(BV1234,BZ1234,CA1234)=3,MIN(BV1234,BZ1234,CA1234)&gt;=0),BV1234*BZ1234*CA1234,"")</f>
        <v>0</v>
      </c>
      <c r="CC1234" s="11" t="n">
        <f>IF(ISNUMBER(BP1234),BP1234,"")</f>
        <v>0.532550303142279</v>
      </c>
      <c r="CD1234" s="14" t="n">
        <f>IF(ISNUMBER(BT1234),BT1234,"")</f>
        <v>31</v>
      </c>
      <c r="CE1234" s="13" t="n">
        <f>IF(AND(COUNT(BV1234,CC1234,CD1234)=3,MIN(BV1234,CC1234,CD1234)&gt;=0),BV1234*CC1234*CD1234,"")</f>
        <v>0</v>
      </c>
      <c r="CF1234" s="11" t="n">
        <f>IF(ISNUMBER(BQ1234),BQ1234,"")</f>
        <v>0.7517299265337036</v>
      </c>
      <c r="CG1234" s="14" t="n">
        <f>IF(ISNUMBER(BU1234),BU1234,"")</f>
        <v>17</v>
      </c>
      <c r="CH1234" s="13" t="n">
        <f>IF(AND(COUNT(BV1234,CF1234,CG1234)=3,MIN(BV1234,CF1234,CG1234)&gt;=0),BV1234*CF1234*CG1234,"")</f>
        <v>0</v>
      </c>
      <c r="CI1234" s="13" t="n">
        <f>IF(COUNT(BY1234,CB1234,CE1234,CH1234)=4,SUM(BY1234,CB1234,CE1234,CH1234),"")</f>
        <v>0</v>
      </c>
    </row>
    <row r="1235" ht="72" customHeight="1">
      <c r="A1235" s="16" t="str">
        <v>1S01-NP-40</v>
      </c>
      <c r="B1235" s="16" t="str">
        <v>1店-MUSSHOE-US</v>
      </c>
      <c r="C1235" s="16" t="str">
        <v>徐新怡</v>
      </c>
      <c r="D1235" s="26" t="str">
        <f>IF(NOT(ISNUMBER(E1235)),"",IF(OR(E1235&lt;=0,L1235=0),0,IF(OR(NOT(ISNUMBER(F1235)),F1235&lt;0),"",MIN(E1235,INT(F1235)))))</f>
      </c>
      <c r="E1235" s="27" t="str">
        <f>IF(OR(NOT(ISNUMBER(L1235)),COUNT(M1235:O1235)&lt;&gt;3,MIN(M1235:O1235)&lt;0),"",ROUNDUP(ROUND(BI1235-SUM(M1235:O1235),10),0))</f>
      </c>
      <c r="F1235" s="28"/>
      <c r="G1235" s="28" t="str">
        <f>IF(AND(ISNUMBER(D1235),ISNUMBER(E1235)),IF(OR(E1235&lt;=0,L1235=0),0,E1235-D1235),"")</f>
      </c>
      <c r="H1235" s="16" t="str">
        <f>IF(NOT(ISNUMBER(E1235)),"销量或海外库存待补",IF(OR(E1235&lt;=0,L1235=0),IF(L1235=0,"零日销，本批不发","本批无需补货"),IF(NOT(ISNUMBER(D1235)),"国内库存待补",IF(D1235=0,"国内无可用库存",IF(G1235&gt;0,"先发国内现货","按建议量发货")))))</f>
        <v>销量或海外库存待补</v>
      </c>
      <c r="I1235" s="28" t="n">
        <f>IF(AND(COUNT(Z1235,AA1235,AB1235)=3,Z1235&gt;=AA1235,AA1235&gt;=0,AB1235=7),Z1235-AA1235,"")</f>
        <v>0</v>
      </c>
      <c r="J1235" s="28" t="n">
        <f>IF(AND(COUNT(AF1235,AG1235,AH1235)=3,AF1235&gt;=AG1235,AG1235&gt;=0,AH1235=14),AF1235-AG1235,"")</f>
        <v>0</v>
      </c>
      <c r="K1235" s="28" t="n">
        <f>IF(AND(COUNT(AL1235,AM1235,AN1235)=3,AL1235&gt;=AM1235,AM1235&gt;=0,AN1235=30),AL1235-AM1235,"")</f>
        <v>0</v>
      </c>
      <c r="L1235" s="29" t="n">
        <f>IF(ISNUMBER(BI1235),BI1235/90,"")</f>
        <v>0</v>
      </c>
      <c r="M1235" s="28"/>
      <c r="N1235" s="28"/>
      <c r="O1235" s="28"/>
      <c r="P1235" s="30" t="str">
        <f>IF(AND(ISNUMBER(L1235),L1235&gt;0,COUNT(M1235:O1235)=3,MIN(M1235:O1235)&gt;=0),SUM(M1235:O1235)/L1235,"")</f>
      </c>
      <c r="Q1235" s="16" t="str">
        <v>按本SKU唯一未删除Listing店铺核实</v>
      </c>
      <c r="R1235" s="16" t="str">
        <v>未匹配</v>
      </c>
      <c r="S1235" s="16" t="str">
        <v>停售</v>
      </c>
      <c r="T1235" s="16" t="str">
        <v>1S01</v>
      </c>
      <c r="U1235" s="16" t="str">
        <v>裸粉色</v>
      </c>
      <c r="V1235" s="16" t="n">
        <v>9</v>
      </c>
      <c r="W1235" s="8" t="str">
        <v>2026-10-08 至 2026-10-17</v>
      </c>
      <c r="X1235" s="8" t="str">
        <v>2026-10-08、2026-10-09、2026-10-10、2026-10-11、2026-10-14、2026-10-15、2026-10-17</v>
      </c>
      <c r="Y1235" s="8" t="str">
        <v>2026-10-12 有记录的停售日；2026-10-13 有记录的停售日；2026-10-16 有记录的停售日</v>
      </c>
      <c r="Z1235" s="8" t="n">
        <v>0</v>
      </c>
      <c r="AA1235" s="8" t="n">
        <v>0</v>
      </c>
      <c r="AB1235" s="8" t="n">
        <v>7</v>
      </c>
      <c r="AC1235" s="8" t="str">
        <v>2026-09-29 至 2026-10-17</v>
      </c>
      <c r="AD1235" s="8" t="str">
        <v>2026-09-29、2026-09-30、2026-10-01、2026-10-02、2026-10-03、2026-10-04、2026-10-05、2026-10-08、2026-10-09、2026-10-10、2026-10-11、2026-10-14、2026-10-15、2026-10-17</v>
      </c>
      <c r="AE1235" s="8" t="str">
        <v>2026-10-06 大促；2026-10-07 大促；2026-10-12 有记录的停售日；2026-10-13 有记录的停售日；2026-10-16 有记录的停售日</v>
      </c>
      <c r="AF1235" s="8" t="n">
        <v>0</v>
      </c>
      <c r="AG1235" s="8" t="n">
        <v>0</v>
      </c>
      <c r="AH1235" s="8" t="n">
        <v>14</v>
      </c>
      <c r="AI1235" s="8" t="str">
        <v>2026-09-13 至 2026-10-17</v>
      </c>
      <c r="AJ123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5" s="8" t="str">
        <v>2026-10-06 大促；2026-10-07 大促；2026-10-12 有记录的停售日；2026-10-13 有记录的停售日；2026-10-16 有记录的停售日</v>
      </c>
      <c r="AL1235" s="8" t="n">
        <v>0</v>
      </c>
      <c r="AM1235" s="8" t="n">
        <v>0</v>
      </c>
      <c r="AN1235" s="8" t="n">
        <v>30</v>
      </c>
      <c r="AO1235" s="8" t="str">
        <v>1S01 / 裸粉色PU / 13120</v>
      </c>
      <c r="AP1235" s="11" t="n">
        <v>0.8729500662042875</v>
      </c>
      <c r="AQ1235" s="11" t="n">
        <v>0.9355747145678367</v>
      </c>
      <c r="AR1235" s="11" t="n">
        <v>1.135973589331194</v>
      </c>
      <c r="AS1235" s="11" t="n">
        <f>IF(AND(COUNT(I1235:K1235,AP1235:AR1235)=6,MIN(AP1235:AR1235)&gt;0),I1235/7/AP1235*0.5+J1235/14/AQ1235*0.3+K1235/30/AR1235*0.2,"")</f>
        <v>0</v>
      </c>
      <c r="AT1235" s="8" t="n">
        <v>0</v>
      </c>
      <c r="AU1235" s="8" t="n">
        <v>0</v>
      </c>
      <c r="AV1235" s="8" t="n">
        <v>85</v>
      </c>
      <c r="AW1235" s="11" t="n">
        <f>IF(AND(COUNT(AT1235:AV1235)=3,AT1235&gt;=AU1235,AU1235&gt;=0,AV1235&gt;0),(AT1235-AU1235)/AV1235,"")</f>
        <v>0</v>
      </c>
      <c r="AX1235" s="8" t="n">
        <v>0</v>
      </c>
      <c r="AY1235" s="8" t="n">
        <v>0</v>
      </c>
      <c r="AZ1235" s="8" t="n">
        <v>175</v>
      </c>
      <c r="BA1235" s="11" t="n">
        <f>IF(AND(COUNT(AX1235:AZ1235)=3,AX1235&gt;=AY1235,AY1235&gt;=0,AZ1235&gt;0),(AX1235-AY1235)/AZ1235,"")</f>
        <v>0</v>
      </c>
      <c r="BB1235" s="8" t="n">
        <f>IF(COUNT(AS1235,AW1235,BA1235)=3,1,0)</f>
        <v>1</v>
      </c>
      <c r="BC1235" s="11" t="n">
        <f>IF(SUMIF($AO$11:$AO$1309,AO1235,$BB$11:$BB$1309)=COUNTIF($AO$11:$AO$1309,AO1235),SUMIF($AO$11:$AO$1309,AO1235,$AS$11:$AS$1309),"")</f>
        <v>0</v>
      </c>
      <c r="BD1235" s="11" t="n">
        <f>IF(SUMIF($AO$11:$AO$1309,AO1235,$BB$11:$BB$1309)=COUNTIF($AO$11:$AO$1309,AO1235),SUMIF($AO$11:$AO$1309,AO1235,$AW$11:$AW$1309),"")</f>
        <v>0</v>
      </c>
      <c r="BE1235" s="11" t="n">
        <f>IF(SUMIF($AO$11:$AO$1309,AO1235,$BB$11:$BB$1309)=COUNTIF($AO$11:$AO$1309,AO1235),SUMIF($AO$11:$AO$1309,AO1235,$BA$11:$BA$1309),"")</f>
        <v>0</v>
      </c>
      <c r="BF1235" s="12" t="n">
        <f>IF(COUNT(BD1235:BE1235)&lt;&gt;2,"",IF(AND(BD1235&gt;0,BE1235&gt;0),0.7*AW1235/BD1235+0.3*BA1235/BE1235,IF(BD1235&gt;0,AW1235/BD1235,IF(BE1235&gt;0,BA1235/BE1235,IF(AND(ISNUMBER(BH1235),BH1235=0),0,"")))))</f>
        <v>0</v>
      </c>
      <c r="BG1235" s="11" t="n">
        <f>IF(AND(COUNT(BN1235:BU1235)=8,MIN(BN1235:BU1235)&gt;=0),SUMPRODUCT(BN1235:BQ1235,BR1235:BU1235),"")</f>
        <v>63.935996265425516</v>
      </c>
      <c r="BH1235" s="11" t="n">
        <f>IF(COUNT(BC1235,BG1235)=2,BC1235*BG1235,"")</f>
        <v>0</v>
      </c>
      <c r="BI1235" s="11" t="n">
        <f>IF(ISNUMBER(CI1235),CI1235,"")</f>
        <v>0</v>
      </c>
      <c r="BJ1235" s="8" t="str">
        <v>近180天本色销量0双（＜90），无有效新采购，请运营判断</v>
      </c>
      <c r="BK1235" s="8" t="str">
        <v>90天：2026-07-20 至 2026-10-17；180天：2026-04-21 至 2026-10-17</v>
      </c>
      <c r="BL1235" s="8" t="str">
        <v>90天：2026-10-06、2026-10-07、2026-10-12、2026-10-13、2026-10-16；180天：2026-10-06、2026-10-07、2026-10-12、2026-10-13、2026-10-16</v>
      </c>
      <c r="BM1235" s="8" t="str">
        <v>2026-10：12天 × 0.8729500662042875；2026-11：30天 × 0.8057375774163482；2026-12：31天 × 0.532550303142279；2027-01：17天 × 0.7517299265337036</v>
      </c>
      <c r="BN1235" s="11" t="n">
        <v>0.8729500662042875</v>
      </c>
      <c r="BO1235" s="11" t="n">
        <v>0.8057375774163482</v>
      </c>
      <c r="BP1235" s="11" t="n">
        <v>0.532550303142279</v>
      </c>
      <c r="BQ1235" s="11" t="n">
        <v>0.7517299265337036</v>
      </c>
      <c r="BR1235" s="8" t="n">
        <v>12</v>
      </c>
      <c r="BS1235" s="8" t="n">
        <v>30</v>
      </c>
      <c r="BT1235" s="8" t="n">
        <v>31</v>
      </c>
      <c r="BU1235" s="8" t="n">
        <v>17</v>
      </c>
      <c r="BV1235" s="11" t="n">
        <f>IF(COUNT(BC1235,BF1235)=2,BC1235*BF1235,"")</f>
        <v>0</v>
      </c>
      <c r="BW1235" s="11" t="n">
        <f>IF(ISNUMBER(BN1235),BN1235,"")</f>
        <v>0.8729500662042875</v>
      </c>
      <c r="BX1235" s="14" t="n">
        <f>IF(ISNUMBER(BR1235),BR1235,"")</f>
        <v>12</v>
      </c>
      <c r="BY1235" s="13" t="n">
        <f>IF(AND(COUNT(BV1235,BW1235,BX1235)=3,MIN(BV1235,BW1235,BX1235)&gt;=0),BV1235*BW1235*BX1235,"")</f>
        <v>0</v>
      </c>
      <c r="BZ1235" s="11" t="n">
        <f>IF(ISNUMBER(BO1235),BO1235,"")</f>
        <v>0.8057375774163482</v>
      </c>
      <c r="CA1235" s="14" t="n">
        <f>IF(ISNUMBER(BS1235),BS1235,"")</f>
        <v>30</v>
      </c>
      <c r="CB1235" s="13" t="n">
        <f>IF(AND(COUNT(BV1235,BZ1235,CA1235)=3,MIN(BV1235,BZ1235,CA1235)&gt;=0),BV1235*BZ1235*CA1235,"")</f>
        <v>0</v>
      </c>
      <c r="CC1235" s="11" t="n">
        <f>IF(ISNUMBER(BP1235),BP1235,"")</f>
        <v>0.532550303142279</v>
      </c>
      <c r="CD1235" s="14" t="n">
        <f>IF(ISNUMBER(BT1235),BT1235,"")</f>
        <v>31</v>
      </c>
      <c r="CE1235" s="13" t="n">
        <f>IF(AND(COUNT(BV1235,CC1235,CD1235)=3,MIN(BV1235,CC1235,CD1235)&gt;=0),BV1235*CC1235*CD1235,"")</f>
        <v>0</v>
      </c>
      <c r="CF1235" s="11" t="n">
        <f>IF(ISNUMBER(BQ1235),BQ1235,"")</f>
        <v>0.7517299265337036</v>
      </c>
      <c r="CG1235" s="14" t="n">
        <f>IF(ISNUMBER(BU1235),BU1235,"")</f>
        <v>17</v>
      </c>
      <c r="CH1235" s="13" t="n">
        <f>IF(AND(COUNT(BV1235,CF1235,CG1235)=3,MIN(BV1235,CF1235,CG1235)&gt;=0),BV1235*CF1235*CG1235,"")</f>
        <v>0</v>
      </c>
      <c r="CI1235" s="13" t="n">
        <f>IF(COUNT(BY1235,CB1235,CE1235,CH1235)=4,SUM(BY1235,CB1235,CE1235,CH1235),"")</f>
        <v>0</v>
      </c>
    </row>
    <row r="1236" ht="72" customHeight="1">
      <c r="A1236" s="16" t="str">
        <v>1S01-NP-40.5</v>
      </c>
      <c r="B1236" s="16" t="str">
        <v>1店-MUSSHOE-US</v>
      </c>
      <c r="C1236" s="16" t="str">
        <v>徐新怡</v>
      </c>
      <c r="D1236" s="26" t="str">
        <f>IF(NOT(ISNUMBER(E1236)),"",IF(OR(E1236&lt;=0,L1236=0),0,IF(OR(NOT(ISNUMBER(F1236)),F1236&lt;0),"",MIN(E1236,INT(F1236)))))</f>
      </c>
      <c r="E1236" s="27" t="str">
        <f>IF(OR(NOT(ISNUMBER(L1236)),COUNT(M1236:O1236)&lt;&gt;3,MIN(M1236:O1236)&lt;0),"",ROUNDUP(ROUND(BI1236-SUM(M1236:O1236),10),0))</f>
      </c>
      <c r="F1236" s="28"/>
      <c r="G1236" s="28" t="str">
        <f>IF(AND(ISNUMBER(D1236),ISNUMBER(E1236)),IF(OR(E1236&lt;=0,L1236=0),0,E1236-D1236),"")</f>
      </c>
      <c r="H1236" s="16" t="str">
        <f>IF(NOT(ISNUMBER(E1236)),"销量或海外库存待补",IF(OR(E1236&lt;=0,L1236=0),IF(L1236=0,"零日销，本批不发","本批无需补货"),IF(NOT(ISNUMBER(D1236)),"国内库存待补",IF(D1236=0,"国内无可用库存",IF(G1236&gt;0,"先发国内现货","按建议量发货")))))</f>
        <v>销量或海外库存待补</v>
      </c>
      <c r="I1236" s="28" t="n">
        <f>IF(AND(COUNT(Z1236,AA1236,AB1236)=3,Z1236&gt;=AA1236,AA1236&gt;=0,AB1236=7),Z1236-AA1236,"")</f>
        <v>0</v>
      </c>
      <c r="J1236" s="28" t="n">
        <f>IF(AND(COUNT(AF1236,AG1236,AH1236)=3,AF1236&gt;=AG1236,AG1236&gt;=0,AH1236=14),AF1236-AG1236,"")</f>
        <v>0</v>
      </c>
      <c r="K1236" s="28" t="n">
        <f>IF(AND(COUNT(AL1236,AM1236,AN1236)=3,AL1236&gt;=AM1236,AM1236&gt;=0,AN1236=30),AL1236-AM1236,"")</f>
        <v>0</v>
      </c>
      <c r="L1236" s="29" t="n">
        <f>IF(ISNUMBER(BI1236),BI1236/90,"")</f>
        <v>0</v>
      </c>
      <c r="M1236" s="28"/>
      <c r="N1236" s="28"/>
      <c r="O1236" s="28"/>
      <c r="P1236" s="30" t="str">
        <f>IF(AND(ISNUMBER(L1236),L1236&gt;0,COUNT(M1236:O1236)=3,MIN(M1236:O1236)&gt;=0),SUM(M1236:O1236)/L1236,"")</f>
      </c>
      <c r="Q1236" s="16" t="str">
        <v>按本SKU唯一未删除Listing店铺核实</v>
      </c>
      <c r="R1236" s="16" t="str">
        <v>未匹配</v>
      </c>
      <c r="S1236" s="16" t="str">
        <v>停售</v>
      </c>
      <c r="T1236" s="16" t="str">
        <v>1S01</v>
      </c>
      <c r="U1236" s="16" t="str">
        <v>裸粉色</v>
      </c>
      <c r="V1236" s="16" t="n">
        <v>9.5</v>
      </c>
      <c r="W1236" s="8" t="str">
        <v>2026-10-08 至 2026-10-17</v>
      </c>
      <c r="X1236" s="8" t="str">
        <v>2026-10-08、2026-10-09、2026-10-10、2026-10-11、2026-10-14、2026-10-15、2026-10-17</v>
      </c>
      <c r="Y1236" s="8" t="str">
        <v>2026-10-12 有记录的停售日；2026-10-13 有记录的停售日；2026-10-16 有记录的停售日</v>
      </c>
      <c r="Z1236" s="8" t="n">
        <v>0</v>
      </c>
      <c r="AA1236" s="8" t="n">
        <v>0</v>
      </c>
      <c r="AB1236" s="8" t="n">
        <v>7</v>
      </c>
      <c r="AC1236" s="8" t="str">
        <v>2026-09-29 至 2026-10-17</v>
      </c>
      <c r="AD1236" s="8" t="str">
        <v>2026-09-29、2026-09-30、2026-10-01、2026-10-02、2026-10-03、2026-10-04、2026-10-05、2026-10-08、2026-10-09、2026-10-10、2026-10-11、2026-10-14、2026-10-15、2026-10-17</v>
      </c>
      <c r="AE1236" s="8" t="str">
        <v>2026-10-06 大促；2026-10-07 大促；2026-10-12 有记录的停售日；2026-10-13 有记录的停售日；2026-10-16 有记录的停售日</v>
      </c>
      <c r="AF1236" s="8" t="n">
        <v>0</v>
      </c>
      <c r="AG1236" s="8" t="n">
        <v>0</v>
      </c>
      <c r="AH1236" s="8" t="n">
        <v>14</v>
      </c>
      <c r="AI1236" s="8" t="str">
        <v>2026-09-13 至 2026-10-17</v>
      </c>
      <c r="AJ123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6" s="8" t="str">
        <v>2026-10-06 大促；2026-10-07 大促；2026-10-12 有记录的停售日；2026-10-13 有记录的停售日；2026-10-16 有记录的停售日</v>
      </c>
      <c r="AL1236" s="8" t="n">
        <v>0</v>
      </c>
      <c r="AM1236" s="8" t="n">
        <v>0</v>
      </c>
      <c r="AN1236" s="8" t="n">
        <v>30</v>
      </c>
      <c r="AO1236" s="8" t="str">
        <v>1S01 / 裸粉色PU / 13120</v>
      </c>
      <c r="AP1236" s="11" t="n">
        <v>0.8729500662042875</v>
      </c>
      <c r="AQ1236" s="11" t="n">
        <v>0.9355747145678367</v>
      </c>
      <c r="AR1236" s="11" t="n">
        <v>1.135973589331194</v>
      </c>
      <c r="AS1236" s="11" t="n">
        <f>IF(AND(COUNT(I1236:K1236,AP1236:AR1236)=6,MIN(AP1236:AR1236)&gt;0),I1236/7/AP1236*0.5+J1236/14/AQ1236*0.3+K1236/30/AR1236*0.2,"")</f>
        <v>0</v>
      </c>
      <c r="AT1236" s="8" t="n">
        <v>0</v>
      </c>
      <c r="AU1236" s="8" t="n">
        <v>0</v>
      </c>
      <c r="AV1236" s="8" t="n">
        <v>85</v>
      </c>
      <c r="AW1236" s="11" t="n">
        <f>IF(AND(COUNT(AT1236:AV1236)=3,AT1236&gt;=AU1236,AU1236&gt;=0,AV1236&gt;0),(AT1236-AU1236)/AV1236,"")</f>
        <v>0</v>
      </c>
      <c r="AX1236" s="8" t="n">
        <v>0</v>
      </c>
      <c r="AY1236" s="8" t="n">
        <v>0</v>
      </c>
      <c r="AZ1236" s="8" t="n">
        <v>175</v>
      </c>
      <c r="BA1236" s="11" t="n">
        <f>IF(AND(COUNT(AX1236:AZ1236)=3,AX1236&gt;=AY1236,AY1236&gt;=0,AZ1236&gt;0),(AX1236-AY1236)/AZ1236,"")</f>
        <v>0</v>
      </c>
      <c r="BB1236" s="8" t="n">
        <f>IF(COUNT(AS1236,AW1236,BA1236)=3,1,0)</f>
        <v>1</v>
      </c>
      <c r="BC1236" s="11" t="n">
        <f>IF(SUMIF($AO$11:$AO$1309,AO1236,$BB$11:$BB$1309)=COUNTIF($AO$11:$AO$1309,AO1236),SUMIF($AO$11:$AO$1309,AO1236,$AS$11:$AS$1309),"")</f>
        <v>0</v>
      </c>
      <c r="BD1236" s="11" t="n">
        <f>IF(SUMIF($AO$11:$AO$1309,AO1236,$BB$11:$BB$1309)=COUNTIF($AO$11:$AO$1309,AO1236),SUMIF($AO$11:$AO$1309,AO1236,$AW$11:$AW$1309),"")</f>
        <v>0</v>
      </c>
      <c r="BE1236" s="11" t="n">
        <f>IF(SUMIF($AO$11:$AO$1309,AO1236,$BB$11:$BB$1309)=COUNTIF($AO$11:$AO$1309,AO1236),SUMIF($AO$11:$AO$1309,AO1236,$BA$11:$BA$1309),"")</f>
        <v>0</v>
      </c>
      <c r="BF1236" s="12" t="n">
        <f>IF(COUNT(BD1236:BE1236)&lt;&gt;2,"",IF(AND(BD1236&gt;0,BE1236&gt;0),0.7*AW1236/BD1236+0.3*BA1236/BE1236,IF(BD1236&gt;0,AW1236/BD1236,IF(BE1236&gt;0,BA1236/BE1236,IF(AND(ISNUMBER(BH1236),BH1236=0),0,"")))))</f>
        <v>0</v>
      </c>
      <c r="BG1236" s="11" t="n">
        <f>IF(AND(COUNT(BN1236:BU1236)=8,MIN(BN1236:BU1236)&gt;=0),SUMPRODUCT(BN1236:BQ1236,BR1236:BU1236),"")</f>
        <v>63.935996265425516</v>
      </c>
      <c r="BH1236" s="11" t="n">
        <f>IF(COUNT(BC1236,BG1236)=2,BC1236*BG1236,"")</f>
        <v>0</v>
      </c>
      <c r="BI1236" s="11" t="n">
        <f>IF(ISNUMBER(CI1236),CI1236,"")</f>
        <v>0</v>
      </c>
      <c r="BJ1236" s="8" t="str">
        <v>近180天本色销量0双（＜90），无有效新采购，请运营判断</v>
      </c>
      <c r="BK1236" s="8" t="str">
        <v>90天：2026-07-20 至 2026-10-17；180天：2026-04-21 至 2026-10-17</v>
      </c>
      <c r="BL1236" s="8" t="str">
        <v>90天：2026-10-06、2026-10-07、2026-10-12、2026-10-13、2026-10-16；180天：2026-10-06、2026-10-07、2026-10-12、2026-10-13、2026-10-16</v>
      </c>
      <c r="BM1236" s="8" t="str">
        <v>2026-10：12天 × 0.8729500662042875；2026-11：30天 × 0.8057375774163482；2026-12：31天 × 0.532550303142279；2027-01：17天 × 0.7517299265337036</v>
      </c>
      <c r="BN1236" s="11" t="n">
        <v>0.8729500662042875</v>
      </c>
      <c r="BO1236" s="11" t="n">
        <v>0.8057375774163482</v>
      </c>
      <c r="BP1236" s="11" t="n">
        <v>0.532550303142279</v>
      </c>
      <c r="BQ1236" s="11" t="n">
        <v>0.7517299265337036</v>
      </c>
      <c r="BR1236" s="8" t="n">
        <v>12</v>
      </c>
      <c r="BS1236" s="8" t="n">
        <v>30</v>
      </c>
      <c r="BT1236" s="8" t="n">
        <v>31</v>
      </c>
      <c r="BU1236" s="8" t="n">
        <v>17</v>
      </c>
      <c r="BV1236" s="11" t="n">
        <f>IF(COUNT(BC1236,BF1236)=2,BC1236*BF1236,"")</f>
        <v>0</v>
      </c>
      <c r="BW1236" s="11" t="n">
        <f>IF(ISNUMBER(BN1236),BN1236,"")</f>
        <v>0.8729500662042875</v>
      </c>
      <c r="BX1236" s="14" t="n">
        <f>IF(ISNUMBER(BR1236),BR1236,"")</f>
        <v>12</v>
      </c>
      <c r="BY1236" s="13" t="n">
        <f>IF(AND(COUNT(BV1236,BW1236,BX1236)=3,MIN(BV1236,BW1236,BX1236)&gt;=0),BV1236*BW1236*BX1236,"")</f>
        <v>0</v>
      </c>
      <c r="BZ1236" s="11" t="n">
        <f>IF(ISNUMBER(BO1236),BO1236,"")</f>
        <v>0.8057375774163482</v>
      </c>
      <c r="CA1236" s="14" t="n">
        <f>IF(ISNUMBER(BS1236),BS1236,"")</f>
        <v>30</v>
      </c>
      <c r="CB1236" s="13" t="n">
        <f>IF(AND(COUNT(BV1236,BZ1236,CA1236)=3,MIN(BV1236,BZ1236,CA1236)&gt;=0),BV1236*BZ1236*CA1236,"")</f>
        <v>0</v>
      </c>
      <c r="CC1236" s="11" t="n">
        <f>IF(ISNUMBER(BP1236),BP1236,"")</f>
        <v>0.532550303142279</v>
      </c>
      <c r="CD1236" s="14" t="n">
        <f>IF(ISNUMBER(BT1236),BT1236,"")</f>
        <v>31</v>
      </c>
      <c r="CE1236" s="13" t="n">
        <f>IF(AND(COUNT(BV1236,CC1236,CD1236)=3,MIN(BV1236,CC1236,CD1236)&gt;=0),BV1236*CC1236*CD1236,"")</f>
        <v>0</v>
      </c>
      <c r="CF1236" s="11" t="n">
        <f>IF(ISNUMBER(BQ1236),BQ1236,"")</f>
        <v>0.7517299265337036</v>
      </c>
      <c r="CG1236" s="14" t="n">
        <f>IF(ISNUMBER(BU1236),BU1236,"")</f>
        <v>17</v>
      </c>
      <c r="CH1236" s="13" t="n">
        <f>IF(AND(COUNT(BV1236,CF1236,CG1236)=3,MIN(BV1236,CF1236,CG1236)&gt;=0),BV1236*CF1236*CG1236,"")</f>
        <v>0</v>
      </c>
      <c r="CI1236" s="13" t="n">
        <f>IF(COUNT(BY1236,CB1236,CE1236,CH1236)=4,SUM(BY1236,CB1236,CE1236,CH1236),"")</f>
        <v>0</v>
      </c>
    </row>
    <row r="1237" ht="72" customHeight="1">
      <c r="A1237" s="16" t="str">
        <v>1S01-NP-41</v>
      </c>
      <c r="B1237" s="16" t="str">
        <v>1店-MUSSHOE-US</v>
      </c>
      <c r="C1237" s="16" t="str">
        <v>徐新怡</v>
      </c>
      <c r="D1237" s="26" t="str">
        <f>IF(NOT(ISNUMBER(E1237)),"",IF(OR(E1237&lt;=0,L1237=0),0,IF(OR(NOT(ISNUMBER(F1237)),F1237&lt;0),"",MIN(E1237,INT(F1237)))))</f>
      </c>
      <c r="E1237" s="27" t="str">
        <f>IF(OR(NOT(ISNUMBER(L1237)),COUNT(M1237:O1237)&lt;&gt;3,MIN(M1237:O1237)&lt;0),"",ROUNDUP(ROUND(BI1237-SUM(M1237:O1237),10),0))</f>
      </c>
      <c r="F1237" s="28"/>
      <c r="G1237" s="28" t="str">
        <f>IF(AND(ISNUMBER(D1237),ISNUMBER(E1237)),IF(OR(E1237&lt;=0,L1237=0),0,E1237-D1237),"")</f>
      </c>
      <c r="H1237" s="16" t="str">
        <f>IF(NOT(ISNUMBER(E1237)),"销量或海外库存待补",IF(OR(E1237&lt;=0,L1237=0),IF(L1237=0,"零日销，本批不发","本批无需补货"),IF(NOT(ISNUMBER(D1237)),"国内库存待补",IF(D1237=0,"国内无可用库存",IF(G1237&gt;0,"先发国内现货","按建议量发货")))))</f>
        <v>销量或海外库存待补</v>
      </c>
      <c r="I1237" s="28" t="n">
        <f>IF(AND(COUNT(Z1237,AA1237,AB1237)=3,Z1237&gt;=AA1237,AA1237&gt;=0,AB1237=7),Z1237-AA1237,"")</f>
        <v>0</v>
      </c>
      <c r="J1237" s="28" t="n">
        <f>IF(AND(COUNT(AF1237,AG1237,AH1237)=3,AF1237&gt;=AG1237,AG1237&gt;=0,AH1237=14),AF1237-AG1237,"")</f>
        <v>0</v>
      </c>
      <c r="K1237" s="28" t="n">
        <f>IF(AND(COUNT(AL1237,AM1237,AN1237)=3,AL1237&gt;=AM1237,AM1237&gt;=0,AN1237=30),AL1237-AM1237,"")</f>
        <v>0</v>
      </c>
      <c r="L1237" s="29" t="n">
        <f>IF(ISNUMBER(BI1237),BI1237/90,"")</f>
        <v>0</v>
      </c>
      <c r="M1237" s="28"/>
      <c r="N1237" s="28"/>
      <c r="O1237" s="28"/>
      <c r="P1237" s="30" t="str">
        <f>IF(AND(ISNUMBER(L1237),L1237&gt;0,COUNT(M1237:O1237)=3,MIN(M1237:O1237)&gt;=0),SUM(M1237:O1237)/L1237,"")</f>
      </c>
      <c r="Q1237" s="16" t="str">
        <v>按本SKU唯一未删除Listing店铺核实</v>
      </c>
      <c r="R1237" s="16" t="str">
        <v>未匹配</v>
      </c>
      <c r="S1237" s="16" t="str">
        <v>停售</v>
      </c>
      <c r="T1237" s="16" t="str">
        <v>1S01</v>
      </c>
      <c r="U1237" s="16" t="str">
        <v>裸粉色</v>
      </c>
      <c r="V1237" s="16" t="n">
        <v>10</v>
      </c>
      <c r="W1237" s="8" t="str">
        <v>2026-10-08 至 2026-10-17</v>
      </c>
      <c r="X1237" s="8" t="str">
        <v>2026-10-08、2026-10-09、2026-10-10、2026-10-11、2026-10-14、2026-10-15、2026-10-17</v>
      </c>
      <c r="Y1237" s="8" t="str">
        <v>2026-10-12 有记录的停售日；2026-10-13 有记录的停售日；2026-10-16 有记录的停售日</v>
      </c>
      <c r="Z1237" s="8" t="n">
        <v>0</v>
      </c>
      <c r="AA1237" s="8" t="n">
        <v>0</v>
      </c>
      <c r="AB1237" s="8" t="n">
        <v>7</v>
      </c>
      <c r="AC1237" s="8" t="str">
        <v>2026-09-29 至 2026-10-17</v>
      </c>
      <c r="AD1237" s="8" t="str">
        <v>2026-09-29、2026-09-30、2026-10-01、2026-10-02、2026-10-03、2026-10-04、2026-10-05、2026-10-08、2026-10-09、2026-10-10、2026-10-11、2026-10-14、2026-10-15、2026-10-17</v>
      </c>
      <c r="AE1237" s="8" t="str">
        <v>2026-10-06 大促；2026-10-07 大促；2026-10-12 有记录的停售日；2026-10-13 有记录的停售日；2026-10-16 有记录的停售日</v>
      </c>
      <c r="AF1237" s="8" t="n">
        <v>0</v>
      </c>
      <c r="AG1237" s="8" t="n">
        <v>0</v>
      </c>
      <c r="AH1237" s="8" t="n">
        <v>14</v>
      </c>
      <c r="AI1237" s="8" t="str">
        <v>2026-09-13 至 2026-10-17</v>
      </c>
      <c r="AJ123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7" s="8" t="str">
        <v>2026-10-06 大促；2026-10-07 大促；2026-10-12 有记录的停售日；2026-10-13 有记录的停售日；2026-10-16 有记录的停售日</v>
      </c>
      <c r="AL1237" s="8" t="n">
        <v>0</v>
      </c>
      <c r="AM1237" s="8" t="n">
        <v>0</v>
      </c>
      <c r="AN1237" s="8" t="n">
        <v>30</v>
      </c>
      <c r="AO1237" s="8" t="str">
        <v>1S01 / 裸粉色PU / 13120</v>
      </c>
      <c r="AP1237" s="11" t="n">
        <v>0.8729500662042875</v>
      </c>
      <c r="AQ1237" s="11" t="n">
        <v>0.9355747145678367</v>
      </c>
      <c r="AR1237" s="11" t="n">
        <v>1.135973589331194</v>
      </c>
      <c r="AS1237" s="11" t="n">
        <f>IF(AND(COUNT(I1237:K1237,AP1237:AR1237)=6,MIN(AP1237:AR1237)&gt;0),I1237/7/AP1237*0.5+J1237/14/AQ1237*0.3+K1237/30/AR1237*0.2,"")</f>
        <v>0</v>
      </c>
      <c r="AT1237" s="8" t="n">
        <v>0</v>
      </c>
      <c r="AU1237" s="8" t="n">
        <v>0</v>
      </c>
      <c r="AV1237" s="8" t="n">
        <v>85</v>
      </c>
      <c r="AW1237" s="11" t="n">
        <f>IF(AND(COUNT(AT1237:AV1237)=3,AT1237&gt;=AU1237,AU1237&gt;=0,AV1237&gt;0),(AT1237-AU1237)/AV1237,"")</f>
        <v>0</v>
      </c>
      <c r="AX1237" s="8" t="n">
        <v>0</v>
      </c>
      <c r="AY1237" s="8" t="n">
        <v>0</v>
      </c>
      <c r="AZ1237" s="8" t="n">
        <v>175</v>
      </c>
      <c r="BA1237" s="11" t="n">
        <f>IF(AND(COUNT(AX1237:AZ1237)=3,AX1237&gt;=AY1237,AY1237&gt;=0,AZ1237&gt;0),(AX1237-AY1237)/AZ1237,"")</f>
        <v>0</v>
      </c>
      <c r="BB1237" s="8" t="n">
        <f>IF(COUNT(AS1237,AW1237,BA1237)=3,1,0)</f>
        <v>1</v>
      </c>
      <c r="BC1237" s="11" t="n">
        <f>IF(SUMIF($AO$11:$AO$1309,AO1237,$BB$11:$BB$1309)=COUNTIF($AO$11:$AO$1309,AO1237),SUMIF($AO$11:$AO$1309,AO1237,$AS$11:$AS$1309),"")</f>
        <v>0</v>
      </c>
      <c r="BD1237" s="11" t="n">
        <f>IF(SUMIF($AO$11:$AO$1309,AO1237,$BB$11:$BB$1309)=COUNTIF($AO$11:$AO$1309,AO1237),SUMIF($AO$11:$AO$1309,AO1237,$AW$11:$AW$1309),"")</f>
        <v>0</v>
      </c>
      <c r="BE1237" s="11" t="n">
        <f>IF(SUMIF($AO$11:$AO$1309,AO1237,$BB$11:$BB$1309)=COUNTIF($AO$11:$AO$1309,AO1237),SUMIF($AO$11:$AO$1309,AO1237,$BA$11:$BA$1309),"")</f>
        <v>0</v>
      </c>
      <c r="BF1237" s="12" t="n">
        <f>IF(COUNT(BD1237:BE1237)&lt;&gt;2,"",IF(AND(BD1237&gt;0,BE1237&gt;0),0.7*AW1237/BD1237+0.3*BA1237/BE1237,IF(BD1237&gt;0,AW1237/BD1237,IF(BE1237&gt;0,BA1237/BE1237,IF(AND(ISNUMBER(BH1237),BH1237=0),0,"")))))</f>
        <v>0</v>
      </c>
      <c r="BG1237" s="11" t="n">
        <f>IF(AND(COUNT(BN1237:BU1237)=8,MIN(BN1237:BU1237)&gt;=0),SUMPRODUCT(BN1237:BQ1237,BR1237:BU1237),"")</f>
        <v>63.935996265425516</v>
      </c>
      <c r="BH1237" s="11" t="n">
        <f>IF(COUNT(BC1237,BG1237)=2,BC1237*BG1237,"")</f>
        <v>0</v>
      </c>
      <c r="BI1237" s="11" t="n">
        <f>IF(ISNUMBER(CI1237),CI1237,"")</f>
        <v>0</v>
      </c>
      <c r="BJ1237" s="8" t="str">
        <v>近180天本色销量0双（＜90），无有效新采购，请运营判断</v>
      </c>
      <c r="BK1237" s="8" t="str">
        <v>90天：2026-07-20 至 2026-10-17；180天：2026-04-21 至 2026-10-17</v>
      </c>
      <c r="BL1237" s="8" t="str">
        <v>90天：2026-10-06、2026-10-07、2026-10-12、2026-10-13、2026-10-16；180天：2026-10-06、2026-10-07、2026-10-12、2026-10-13、2026-10-16</v>
      </c>
      <c r="BM1237" s="8" t="str">
        <v>2026-10：12天 × 0.8729500662042875；2026-11：30天 × 0.8057375774163482；2026-12：31天 × 0.532550303142279；2027-01：17天 × 0.7517299265337036</v>
      </c>
      <c r="BN1237" s="11" t="n">
        <v>0.8729500662042875</v>
      </c>
      <c r="BO1237" s="11" t="n">
        <v>0.8057375774163482</v>
      </c>
      <c r="BP1237" s="11" t="n">
        <v>0.532550303142279</v>
      </c>
      <c r="BQ1237" s="11" t="n">
        <v>0.7517299265337036</v>
      </c>
      <c r="BR1237" s="8" t="n">
        <v>12</v>
      </c>
      <c r="BS1237" s="8" t="n">
        <v>30</v>
      </c>
      <c r="BT1237" s="8" t="n">
        <v>31</v>
      </c>
      <c r="BU1237" s="8" t="n">
        <v>17</v>
      </c>
      <c r="BV1237" s="11" t="n">
        <f>IF(COUNT(BC1237,BF1237)=2,BC1237*BF1237,"")</f>
        <v>0</v>
      </c>
      <c r="BW1237" s="11" t="n">
        <f>IF(ISNUMBER(BN1237),BN1237,"")</f>
        <v>0.8729500662042875</v>
      </c>
      <c r="BX1237" s="14" t="n">
        <f>IF(ISNUMBER(BR1237),BR1237,"")</f>
        <v>12</v>
      </c>
      <c r="BY1237" s="13" t="n">
        <f>IF(AND(COUNT(BV1237,BW1237,BX1237)=3,MIN(BV1237,BW1237,BX1237)&gt;=0),BV1237*BW1237*BX1237,"")</f>
        <v>0</v>
      </c>
      <c r="BZ1237" s="11" t="n">
        <f>IF(ISNUMBER(BO1237),BO1237,"")</f>
        <v>0.8057375774163482</v>
      </c>
      <c r="CA1237" s="14" t="n">
        <f>IF(ISNUMBER(BS1237),BS1237,"")</f>
        <v>30</v>
      </c>
      <c r="CB1237" s="13" t="n">
        <f>IF(AND(COUNT(BV1237,BZ1237,CA1237)=3,MIN(BV1237,BZ1237,CA1237)&gt;=0),BV1237*BZ1237*CA1237,"")</f>
        <v>0</v>
      </c>
      <c r="CC1237" s="11" t="n">
        <f>IF(ISNUMBER(BP1237),BP1237,"")</f>
        <v>0.532550303142279</v>
      </c>
      <c r="CD1237" s="14" t="n">
        <f>IF(ISNUMBER(BT1237),BT1237,"")</f>
        <v>31</v>
      </c>
      <c r="CE1237" s="13" t="n">
        <f>IF(AND(COUNT(BV1237,CC1237,CD1237)=3,MIN(BV1237,CC1237,CD1237)&gt;=0),BV1237*CC1237*CD1237,"")</f>
        <v>0</v>
      </c>
      <c r="CF1237" s="11" t="n">
        <f>IF(ISNUMBER(BQ1237),BQ1237,"")</f>
        <v>0.7517299265337036</v>
      </c>
      <c r="CG1237" s="14" t="n">
        <f>IF(ISNUMBER(BU1237),BU1237,"")</f>
        <v>17</v>
      </c>
      <c r="CH1237" s="13" t="n">
        <f>IF(AND(COUNT(BV1237,CF1237,CG1237)=3,MIN(BV1237,CF1237,CG1237)&gt;=0),BV1237*CF1237*CG1237,"")</f>
        <v>0</v>
      </c>
      <c r="CI1237" s="13" t="n">
        <f>IF(COUNT(BY1237,CB1237,CE1237,CH1237)=4,SUM(BY1237,CB1237,CE1237,CH1237),"")</f>
        <v>0</v>
      </c>
    </row>
    <row r="1238" ht="72" customHeight="1">
      <c r="A1238" s="16" t="str">
        <v>1S01-NP-41.5</v>
      </c>
      <c r="B1238" s="16" t="str">
        <v>1店-MUSSHOE-US</v>
      </c>
      <c r="C1238" s="16" t="str">
        <v>徐新怡</v>
      </c>
      <c r="D1238" s="26" t="str">
        <f>IF(NOT(ISNUMBER(E1238)),"",IF(OR(E1238&lt;=0,L1238=0),0,IF(OR(NOT(ISNUMBER(F1238)),F1238&lt;0),"",MIN(E1238,INT(F1238)))))</f>
      </c>
      <c r="E1238" s="27" t="str">
        <f>IF(OR(NOT(ISNUMBER(L1238)),COUNT(M1238:O1238)&lt;&gt;3,MIN(M1238:O1238)&lt;0),"",ROUNDUP(ROUND(BI1238-SUM(M1238:O1238),10),0))</f>
      </c>
      <c r="F1238" s="28"/>
      <c r="G1238" s="28" t="str">
        <f>IF(AND(ISNUMBER(D1238),ISNUMBER(E1238)),IF(OR(E1238&lt;=0,L1238=0),0,E1238-D1238),"")</f>
      </c>
      <c r="H1238" s="16" t="str">
        <f>IF(NOT(ISNUMBER(E1238)),"销量或海外库存待补",IF(OR(E1238&lt;=0,L1238=0),IF(L1238=0,"零日销，本批不发","本批无需补货"),IF(NOT(ISNUMBER(D1238)),"国内库存待补",IF(D1238=0,"国内无可用库存",IF(G1238&gt;0,"先发国内现货","按建议量发货")))))</f>
        <v>销量或海外库存待补</v>
      </c>
      <c r="I1238" s="28" t="n">
        <f>IF(AND(COUNT(Z1238,AA1238,AB1238)=3,Z1238&gt;=AA1238,AA1238&gt;=0,AB1238=7),Z1238-AA1238,"")</f>
        <v>0</v>
      </c>
      <c r="J1238" s="28" t="n">
        <f>IF(AND(COUNT(AF1238,AG1238,AH1238)=3,AF1238&gt;=AG1238,AG1238&gt;=0,AH1238=14),AF1238-AG1238,"")</f>
        <v>0</v>
      </c>
      <c r="K1238" s="28" t="n">
        <f>IF(AND(COUNT(AL1238,AM1238,AN1238)=3,AL1238&gt;=AM1238,AM1238&gt;=0,AN1238=30),AL1238-AM1238,"")</f>
        <v>0</v>
      </c>
      <c r="L1238" s="29" t="n">
        <f>IF(ISNUMBER(BI1238),BI1238/90,"")</f>
        <v>0</v>
      </c>
      <c r="M1238" s="28"/>
      <c r="N1238" s="28"/>
      <c r="O1238" s="28"/>
      <c r="P1238" s="30" t="str">
        <f>IF(AND(ISNUMBER(L1238),L1238&gt;0,COUNT(M1238:O1238)=3,MIN(M1238:O1238)&gt;=0),SUM(M1238:O1238)/L1238,"")</f>
      </c>
      <c r="Q1238" s="16" t="str">
        <v>按本SKU唯一未删除Listing店铺核实</v>
      </c>
      <c r="R1238" s="16" t="str">
        <v>未匹配</v>
      </c>
      <c r="S1238" s="16" t="str">
        <v>停售</v>
      </c>
      <c r="T1238" s="16" t="str">
        <v>1S01</v>
      </c>
      <c r="U1238" s="16" t="str">
        <v>裸粉色</v>
      </c>
      <c r="V1238" s="16" t="n">
        <v>10.5</v>
      </c>
      <c r="W1238" s="8" t="str">
        <v>2026-10-08 至 2026-10-17</v>
      </c>
      <c r="X1238" s="8" t="str">
        <v>2026-10-08、2026-10-09、2026-10-10、2026-10-11、2026-10-14、2026-10-15、2026-10-17</v>
      </c>
      <c r="Y1238" s="8" t="str">
        <v>2026-10-12 有记录的停售日；2026-10-13 有记录的停售日；2026-10-16 有记录的停售日</v>
      </c>
      <c r="Z1238" s="8" t="n">
        <v>0</v>
      </c>
      <c r="AA1238" s="8" t="n">
        <v>0</v>
      </c>
      <c r="AB1238" s="8" t="n">
        <v>7</v>
      </c>
      <c r="AC1238" s="8" t="str">
        <v>2026-09-29 至 2026-10-17</v>
      </c>
      <c r="AD1238" s="8" t="str">
        <v>2026-09-29、2026-09-30、2026-10-01、2026-10-02、2026-10-03、2026-10-04、2026-10-05、2026-10-08、2026-10-09、2026-10-10、2026-10-11、2026-10-14、2026-10-15、2026-10-17</v>
      </c>
      <c r="AE1238" s="8" t="str">
        <v>2026-10-06 大促；2026-10-07 大促；2026-10-12 有记录的停售日；2026-10-13 有记录的停售日；2026-10-16 有记录的停售日</v>
      </c>
      <c r="AF1238" s="8" t="n">
        <v>0</v>
      </c>
      <c r="AG1238" s="8" t="n">
        <v>0</v>
      </c>
      <c r="AH1238" s="8" t="n">
        <v>14</v>
      </c>
      <c r="AI1238" s="8" t="str">
        <v>2026-09-13 至 2026-10-17</v>
      </c>
      <c r="AJ123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8" s="8" t="str">
        <v>2026-10-06 大促；2026-10-07 大促；2026-10-12 有记录的停售日；2026-10-13 有记录的停售日；2026-10-16 有记录的停售日</v>
      </c>
      <c r="AL1238" s="8" t="n">
        <v>0</v>
      </c>
      <c r="AM1238" s="8" t="n">
        <v>0</v>
      </c>
      <c r="AN1238" s="8" t="n">
        <v>30</v>
      </c>
      <c r="AO1238" s="8" t="str">
        <v>1S01 / 裸粉色PU / 13120</v>
      </c>
      <c r="AP1238" s="11" t="n">
        <v>0.8729500662042875</v>
      </c>
      <c r="AQ1238" s="11" t="n">
        <v>0.9355747145678367</v>
      </c>
      <c r="AR1238" s="11" t="n">
        <v>1.135973589331194</v>
      </c>
      <c r="AS1238" s="11" t="n">
        <f>IF(AND(COUNT(I1238:K1238,AP1238:AR1238)=6,MIN(AP1238:AR1238)&gt;0),I1238/7/AP1238*0.5+J1238/14/AQ1238*0.3+K1238/30/AR1238*0.2,"")</f>
        <v>0</v>
      </c>
      <c r="AT1238" s="8" t="n">
        <v>0</v>
      </c>
      <c r="AU1238" s="8" t="n">
        <v>0</v>
      </c>
      <c r="AV1238" s="8" t="n">
        <v>85</v>
      </c>
      <c r="AW1238" s="11" t="n">
        <f>IF(AND(COUNT(AT1238:AV1238)=3,AT1238&gt;=AU1238,AU1238&gt;=0,AV1238&gt;0),(AT1238-AU1238)/AV1238,"")</f>
        <v>0</v>
      </c>
      <c r="AX1238" s="8" t="n">
        <v>0</v>
      </c>
      <c r="AY1238" s="8" t="n">
        <v>0</v>
      </c>
      <c r="AZ1238" s="8" t="n">
        <v>175</v>
      </c>
      <c r="BA1238" s="11" t="n">
        <f>IF(AND(COUNT(AX1238:AZ1238)=3,AX1238&gt;=AY1238,AY1238&gt;=0,AZ1238&gt;0),(AX1238-AY1238)/AZ1238,"")</f>
        <v>0</v>
      </c>
      <c r="BB1238" s="8" t="n">
        <f>IF(COUNT(AS1238,AW1238,BA1238)=3,1,0)</f>
        <v>1</v>
      </c>
      <c r="BC1238" s="11" t="n">
        <f>IF(SUMIF($AO$11:$AO$1309,AO1238,$BB$11:$BB$1309)=COUNTIF($AO$11:$AO$1309,AO1238),SUMIF($AO$11:$AO$1309,AO1238,$AS$11:$AS$1309),"")</f>
        <v>0</v>
      </c>
      <c r="BD1238" s="11" t="n">
        <f>IF(SUMIF($AO$11:$AO$1309,AO1238,$BB$11:$BB$1309)=COUNTIF($AO$11:$AO$1309,AO1238),SUMIF($AO$11:$AO$1309,AO1238,$AW$11:$AW$1309),"")</f>
        <v>0</v>
      </c>
      <c r="BE1238" s="11" t="n">
        <f>IF(SUMIF($AO$11:$AO$1309,AO1238,$BB$11:$BB$1309)=COUNTIF($AO$11:$AO$1309,AO1238),SUMIF($AO$11:$AO$1309,AO1238,$BA$11:$BA$1309),"")</f>
        <v>0</v>
      </c>
      <c r="BF1238" s="12" t="n">
        <f>IF(COUNT(BD1238:BE1238)&lt;&gt;2,"",IF(AND(BD1238&gt;0,BE1238&gt;0),0.7*AW1238/BD1238+0.3*BA1238/BE1238,IF(BD1238&gt;0,AW1238/BD1238,IF(BE1238&gt;0,BA1238/BE1238,IF(AND(ISNUMBER(BH1238),BH1238=0),0,"")))))</f>
        <v>0</v>
      </c>
      <c r="BG1238" s="11" t="n">
        <f>IF(AND(COUNT(BN1238:BU1238)=8,MIN(BN1238:BU1238)&gt;=0),SUMPRODUCT(BN1238:BQ1238,BR1238:BU1238),"")</f>
        <v>63.935996265425516</v>
      </c>
      <c r="BH1238" s="11" t="n">
        <f>IF(COUNT(BC1238,BG1238)=2,BC1238*BG1238,"")</f>
        <v>0</v>
      </c>
      <c r="BI1238" s="11" t="n">
        <f>IF(ISNUMBER(CI1238),CI1238,"")</f>
        <v>0</v>
      </c>
      <c r="BJ1238" s="8" t="str">
        <v>近180天本色销量0双（＜90），无有效新采购，请运营判断</v>
      </c>
      <c r="BK1238" s="8" t="str">
        <v>90天：2026-07-20 至 2026-10-17；180天：2026-04-21 至 2026-10-17</v>
      </c>
      <c r="BL1238" s="8" t="str">
        <v>90天：2026-10-06、2026-10-07、2026-10-12、2026-10-13、2026-10-16；180天：2026-10-06、2026-10-07、2026-10-12、2026-10-13、2026-10-16</v>
      </c>
      <c r="BM1238" s="8" t="str">
        <v>2026-10：12天 × 0.8729500662042875；2026-11：30天 × 0.8057375774163482；2026-12：31天 × 0.532550303142279；2027-01：17天 × 0.7517299265337036</v>
      </c>
      <c r="BN1238" s="11" t="n">
        <v>0.8729500662042875</v>
      </c>
      <c r="BO1238" s="11" t="n">
        <v>0.8057375774163482</v>
      </c>
      <c r="BP1238" s="11" t="n">
        <v>0.532550303142279</v>
      </c>
      <c r="BQ1238" s="11" t="n">
        <v>0.7517299265337036</v>
      </c>
      <c r="BR1238" s="8" t="n">
        <v>12</v>
      </c>
      <c r="BS1238" s="8" t="n">
        <v>30</v>
      </c>
      <c r="BT1238" s="8" t="n">
        <v>31</v>
      </c>
      <c r="BU1238" s="8" t="n">
        <v>17</v>
      </c>
      <c r="BV1238" s="11" t="n">
        <f>IF(COUNT(BC1238,BF1238)=2,BC1238*BF1238,"")</f>
        <v>0</v>
      </c>
      <c r="BW1238" s="11" t="n">
        <f>IF(ISNUMBER(BN1238),BN1238,"")</f>
        <v>0.8729500662042875</v>
      </c>
      <c r="BX1238" s="14" t="n">
        <f>IF(ISNUMBER(BR1238),BR1238,"")</f>
        <v>12</v>
      </c>
      <c r="BY1238" s="13" t="n">
        <f>IF(AND(COUNT(BV1238,BW1238,BX1238)=3,MIN(BV1238,BW1238,BX1238)&gt;=0),BV1238*BW1238*BX1238,"")</f>
        <v>0</v>
      </c>
      <c r="BZ1238" s="11" t="n">
        <f>IF(ISNUMBER(BO1238),BO1238,"")</f>
        <v>0.8057375774163482</v>
      </c>
      <c r="CA1238" s="14" t="n">
        <f>IF(ISNUMBER(BS1238),BS1238,"")</f>
        <v>30</v>
      </c>
      <c r="CB1238" s="13" t="n">
        <f>IF(AND(COUNT(BV1238,BZ1238,CA1238)=3,MIN(BV1238,BZ1238,CA1238)&gt;=0),BV1238*BZ1238*CA1238,"")</f>
        <v>0</v>
      </c>
      <c r="CC1238" s="11" t="n">
        <f>IF(ISNUMBER(BP1238),BP1238,"")</f>
        <v>0.532550303142279</v>
      </c>
      <c r="CD1238" s="14" t="n">
        <f>IF(ISNUMBER(BT1238),BT1238,"")</f>
        <v>31</v>
      </c>
      <c r="CE1238" s="13" t="n">
        <f>IF(AND(COUNT(BV1238,CC1238,CD1238)=3,MIN(BV1238,CC1238,CD1238)&gt;=0),BV1238*CC1238*CD1238,"")</f>
        <v>0</v>
      </c>
      <c r="CF1238" s="11" t="n">
        <f>IF(ISNUMBER(BQ1238),BQ1238,"")</f>
        <v>0.7517299265337036</v>
      </c>
      <c r="CG1238" s="14" t="n">
        <f>IF(ISNUMBER(BU1238),BU1238,"")</f>
        <v>17</v>
      </c>
      <c r="CH1238" s="13" t="n">
        <f>IF(AND(COUNT(BV1238,CF1238,CG1238)=3,MIN(BV1238,CF1238,CG1238)&gt;=0),BV1238*CF1238*CG1238,"")</f>
        <v>0</v>
      </c>
      <c r="CI1238" s="13" t="n">
        <f>IF(COUNT(BY1238,CB1238,CE1238,CH1238)=4,SUM(BY1238,CB1238,CE1238,CH1238),"")</f>
        <v>0</v>
      </c>
    </row>
    <row r="1239" ht="72" customHeight="1">
      <c r="A1239" s="16" t="str">
        <v>1S01-NP-42</v>
      </c>
      <c r="B1239" s="16" t="str">
        <v>1店-MUSSHOE-US</v>
      </c>
      <c r="C1239" s="16" t="str">
        <v>徐新怡</v>
      </c>
      <c r="D1239" s="26" t="str">
        <f>IF(NOT(ISNUMBER(E1239)),"",IF(OR(E1239&lt;=0,L1239=0),0,IF(OR(NOT(ISNUMBER(F1239)),F1239&lt;0),"",MIN(E1239,INT(F1239)))))</f>
      </c>
      <c r="E1239" s="27" t="str">
        <f>IF(OR(NOT(ISNUMBER(L1239)),COUNT(M1239:O1239)&lt;&gt;3,MIN(M1239:O1239)&lt;0),"",ROUNDUP(ROUND(BI1239-SUM(M1239:O1239),10),0))</f>
      </c>
      <c r="F1239" s="28"/>
      <c r="G1239" s="28" t="str">
        <f>IF(AND(ISNUMBER(D1239),ISNUMBER(E1239)),IF(OR(E1239&lt;=0,L1239=0),0,E1239-D1239),"")</f>
      </c>
      <c r="H1239" s="16" t="str">
        <f>IF(NOT(ISNUMBER(E1239)),"销量或海外库存待补",IF(OR(E1239&lt;=0,L1239=0),IF(L1239=0,"零日销，本批不发","本批无需补货"),IF(NOT(ISNUMBER(D1239)),"国内库存待补",IF(D1239=0,"国内无可用库存",IF(G1239&gt;0,"先发国内现货","按建议量发货")))))</f>
        <v>销量或海外库存待补</v>
      </c>
      <c r="I1239" s="28" t="n">
        <f>IF(AND(COUNT(Z1239,AA1239,AB1239)=3,Z1239&gt;=AA1239,AA1239&gt;=0,AB1239=7),Z1239-AA1239,"")</f>
        <v>0</v>
      </c>
      <c r="J1239" s="28" t="n">
        <f>IF(AND(COUNT(AF1239,AG1239,AH1239)=3,AF1239&gt;=AG1239,AG1239&gt;=0,AH1239=14),AF1239-AG1239,"")</f>
        <v>0</v>
      </c>
      <c r="K1239" s="28" t="n">
        <f>IF(AND(COUNT(AL1239,AM1239,AN1239)=3,AL1239&gt;=AM1239,AM1239&gt;=0,AN1239=30),AL1239-AM1239,"")</f>
        <v>0</v>
      </c>
      <c r="L1239" s="29" t="n">
        <f>IF(ISNUMBER(BI1239),BI1239/90,"")</f>
        <v>0</v>
      </c>
      <c r="M1239" s="28"/>
      <c r="N1239" s="28"/>
      <c r="O1239" s="28"/>
      <c r="P1239" s="30" t="str">
        <f>IF(AND(ISNUMBER(L1239),L1239&gt;0,COUNT(M1239:O1239)=3,MIN(M1239:O1239)&gt;=0),SUM(M1239:O1239)/L1239,"")</f>
      </c>
      <c r="Q1239" s="16" t="str">
        <v>按本SKU唯一未删除Listing店铺核实</v>
      </c>
      <c r="R1239" s="16" t="str">
        <v>未匹配</v>
      </c>
      <c r="S1239" s="16" t="str">
        <v>停售</v>
      </c>
      <c r="T1239" s="16" t="str">
        <v>1S01</v>
      </c>
      <c r="U1239" s="16" t="str">
        <v>裸粉色</v>
      </c>
      <c r="V1239" s="16" t="n">
        <v>11</v>
      </c>
      <c r="W1239" s="8" t="str">
        <v>2026-10-08 至 2026-10-17</v>
      </c>
      <c r="X1239" s="8" t="str">
        <v>2026-10-08、2026-10-09、2026-10-10、2026-10-11、2026-10-14、2026-10-15、2026-10-17</v>
      </c>
      <c r="Y1239" s="8" t="str">
        <v>2026-10-12 有记录的停售日；2026-10-13 有记录的停售日；2026-10-16 有记录的停售日</v>
      </c>
      <c r="Z1239" s="8" t="n">
        <v>0</v>
      </c>
      <c r="AA1239" s="8" t="n">
        <v>0</v>
      </c>
      <c r="AB1239" s="8" t="n">
        <v>7</v>
      </c>
      <c r="AC1239" s="8" t="str">
        <v>2026-09-29 至 2026-10-17</v>
      </c>
      <c r="AD1239" s="8" t="str">
        <v>2026-09-29、2026-09-30、2026-10-01、2026-10-02、2026-10-03、2026-10-04、2026-10-05、2026-10-08、2026-10-09、2026-10-10、2026-10-11、2026-10-14、2026-10-15、2026-10-17</v>
      </c>
      <c r="AE1239" s="8" t="str">
        <v>2026-10-06 大促；2026-10-07 大促；2026-10-12 有记录的停售日；2026-10-13 有记录的停售日；2026-10-16 有记录的停售日</v>
      </c>
      <c r="AF1239" s="8" t="n">
        <v>0</v>
      </c>
      <c r="AG1239" s="8" t="n">
        <v>0</v>
      </c>
      <c r="AH1239" s="8" t="n">
        <v>14</v>
      </c>
      <c r="AI1239" s="8" t="str">
        <v>2026-09-13 至 2026-10-17</v>
      </c>
      <c r="AJ123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39" s="8" t="str">
        <v>2026-10-06 大促；2026-10-07 大促；2026-10-12 有记录的停售日；2026-10-13 有记录的停售日；2026-10-16 有记录的停售日</v>
      </c>
      <c r="AL1239" s="8" t="n">
        <v>0</v>
      </c>
      <c r="AM1239" s="8" t="n">
        <v>0</v>
      </c>
      <c r="AN1239" s="8" t="n">
        <v>30</v>
      </c>
      <c r="AO1239" s="8" t="str">
        <v>1S01 / 裸粉色PU / 13120</v>
      </c>
      <c r="AP1239" s="11" t="n">
        <v>0.8729500662042875</v>
      </c>
      <c r="AQ1239" s="11" t="n">
        <v>0.9355747145678367</v>
      </c>
      <c r="AR1239" s="11" t="n">
        <v>1.135973589331194</v>
      </c>
      <c r="AS1239" s="11" t="n">
        <f>IF(AND(COUNT(I1239:K1239,AP1239:AR1239)=6,MIN(AP1239:AR1239)&gt;0),I1239/7/AP1239*0.5+J1239/14/AQ1239*0.3+K1239/30/AR1239*0.2,"")</f>
        <v>0</v>
      </c>
      <c r="AT1239" s="8" t="n">
        <v>0</v>
      </c>
      <c r="AU1239" s="8" t="n">
        <v>0</v>
      </c>
      <c r="AV1239" s="8" t="n">
        <v>85</v>
      </c>
      <c r="AW1239" s="11" t="n">
        <f>IF(AND(COUNT(AT1239:AV1239)=3,AT1239&gt;=AU1239,AU1239&gt;=0,AV1239&gt;0),(AT1239-AU1239)/AV1239,"")</f>
        <v>0</v>
      </c>
      <c r="AX1239" s="8" t="n">
        <v>0</v>
      </c>
      <c r="AY1239" s="8" t="n">
        <v>0</v>
      </c>
      <c r="AZ1239" s="8" t="n">
        <v>175</v>
      </c>
      <c r="BA1239" s="11" t="n">
        <f>IF(AND(COUNT(AX1239:AZ1239)=3,AX1239&gt;=AY1239,AY1239&gt;=0,AZ1239&gt;0),(AX1239-AY1239)/AZ1239,"")</f>
        <v>0</v>
      </c>
      <c r="BB1239" s="8" t="n">
        <f>IF(COUNT(AS1239,AW1239,BA1239)=3,1,0)</f>
        <v>1</v>
      </c>
      <c r="BC1239" s="11" t="n">
        <f>IF(SUMIF($AO$11:$AO$1309,AO1239,$BB$11:$BB$1309)=COUNTIF($AO$11:$AO$1309,AO1239),SUMIF($AO$11:$AO$1309,AO1239,$AS$11:$AS$1309),"")</f>
        <v>0</v>
      </c>
      <c r="BD1239" s="11" t="n">
        <f>IF(SUMIF($AO$11:$AO$1309,AO1239,$BB$11:$BB$1309)=COUNTIF($AO$11:$AO$1309,AO1239),SUMIF($AO$11:$AO$1309,AO1239,$AW$11:$AW$1309),"")</f>
        <v>0</v>
      </c>
      <c r="BE1239" s="11" t="n">
        <f>IF(SUMIF($AO$11:$AO$1309,AO1239,$BB$11:$BB$1309)=COUNTIF($AO$11:$AO$1309,AO1239),SUMIF($AO$11:$AO$1309,AO1239,$BA$11:$BA$1309),"")</f>
        <v>0</v>
      </c>
      <c r="BF1239" s="12" t="n">
        <f>IF(COUNT(BD1239:BE1239)&lt;&gt;2,"",IF(AND(BD1239&gt;0,BE1239&gt;0),0.7*AW1239/BD1239+0.3*BA1239/BE1239,IF(BD1239&gt;0,AW1239/BD1239,IF(BE1239&gt;0,BA1239/BE1239,IF(AND(ISNUMBER(BH1239),BH1239=0),0,"")))))</f>
        <v>0</v>
      </c>
      <c r="BG1239" s="11" t="n">
        <f>IF(AND(COUNT(BN1239:BU1239)=8,MIN(BN1239:BU1239)&gt;=0),SUMPRODUCT(BN1239:BQ1239,BR1239:BU1239),"")</f>
        <v>63.935996265425516</v>
      </c>
      <c r="BH1239" s="11" t="n">
        <f>IF(COUNT(BC1239,BG1239)=2,BC1239*BG1239,"")</f>
        <v>0</v>
      </c>
      <c r="BI1239" s="11" t="n">
        <f>IF(ISNUMBER(CI1239),CI1239,"")</f>
        <v>0</v>
      </c>
      <c r="BJ1239" s="8" t="str">
        <v>近180天本色销量0双（＜90），无有效新采购，请运营判断</v>
      </c>
      <c r="BK1239" s="8" t="str">
        <v>90天：2026-07-20 至 2026-10-17；180天：2026-04-21 至 2026-10-17</v>
      </c>
      <c r="BL1239" s="8" t="str">
        <v>90天：2026-10-06、2026-10-07、2026-10-12、2026-10-13、2026-10-16；180天：2026-10-06、2026-10-07、2026-10-12、2026-10-13、2026-10-16</v>
      </c>
      <c r="BM1239" s="8" t="str">
        <v>2026-10：12天 × 0.8729500662042875；2026-11：30天 × 0.8057375774163482；2026-12：31天 × 0.532550303142279；2027-01：17天 × 0.7517299265337036</v>
      </c>
      <c r="BN1239" s="11" t="n">
        <v>0.8729500662042875</v>
      </c>
      <c r="BO1239" s="11" t="n">
        <v>0.8057375774163482</v>
      </c>
      <c r="BP1239" s="11" t="n">
        <v>0.532550303142279</v>
      </c>
      <c r="BQ1239" s="11" t="n">
        <v>0.7517299265337036</v>
      </c>
      <c r="BR1239" s="8" t="n">
        <v>12</v>
      </c>
      <c r="BS1239" s="8" t="n">
        <v>30</v>
      </c>
      <c r="BT1239" s="8" t="n">
        <v>31</v>
      </c>
      <c r="BU1239" s="8" t="n">
        <v>17</v>
      </c>
      <c r="BV1239" s="11" t="n">
        <f>IF(COUNT(BC1239,BF1239)=2,BC1239*BF1239,"")</f>
        <v>0</v>
      </c>
      <c r="BW1239" s="11" t="n">
        <f>IF(ISNUMBER(BN1239),BN1239,"")</f>
        <v>0.8729500662042875</v>
      </c>
      <c r="BX1239" s="14" t="n">
        <f>IF(ISNUMBER(BR1239),BR1239,"")</f>
        <v>12</v>
      </c>
      <c r="BY1239" s="13" t="n">
        <f>IF(AND(COUNT(BV1239,BW1239,BX1239)=3,MIN(BV1239,BW1239,BX1239)&gt;=0),BV1239*BW1239*BX1239,"")</f>
        <v>0</v>
      </c>
      <c r="BZ1239" s="11" t="n">
        <f>IF(ISNUMBER(BO1239),BO1239,"")</f>
        <v>0.8057375774163482</v>
      </c>
      <c r="CA1239" s="14" t="n">
        <f>IF(ISNUMBER(BS1239),BS1239,"")</f>
        <v>30</v>
      </c>
      <c r="CB1239" s="13" t="n">
        <f>IF(AND(COUNT(BV1239,BZ1239,CA1239)=3,MIN(BV1239,BZ1239,CA1239)&gt;=0),BV1239*BZ1239*CA1239,"")</f>
        <v>0</v>
      </c>
      <c r="CC1239" s="11" t="n">
        <f>IF(ISNUMBER(BP1239),BP1239,"")</f>
        <v>0.532550303142279</v>
      </c>
      <c r="CD1239" s="14" t="n">
        <f>IF(ISNUMBER(BT1239),BT1239,"")</f>
        <v>31</v>
      </c>
      <c r="CE1239" s="13" t="n">
        <f>IF(AND(COUNT(BV1239,CC1239,CD1239)=3,MIN(BV1239,CC1239,CD1239)&gt;=0),BV1239*CC1239*CD1239,"")</f>
        <v>0</v>
      </c>
      <c r="CF1239" s="11" t="n">
        <f>IF(ISNUMBER(BQ1239),BQ1239,"")</f>
        <v>0.7517299265337036</v>
      </c>
      <c r="CG1239" s="14" t="n">
        <f>IF(ISNUMBER(BU1239),BU1239,"")</f>
        <v>17</v>
      </c>
      <c r="CH1239" s="13" t="n">
        <f>IF(AND(COUNT(BV1239,CF1239,CG1239)=3,MIN(BV1239,CF1239,CG1239)&gt;=0),BV1239*CF1239*CG1239,"")</f>
        <v>0</v>
      </c>
      <c r="CI1239" s="13" t="n">
        <f>IF(COUNT(BY1239,CB1239,CE1239,CH1239)=4,SUM(BY1239,CB1239,CE1239,CH1239),"")</f>
        <v>0</v>
      </c>
    </row>
    <row r="1240" ht="72" customHeight="1">
      <c r="A1240" s="16" t="str">
        <v>1S01-PK-10</v>
      </c>
      <c r="B1240" s="16" t="str">
        <v>1店-MUSSHOE-US</v>
      </c>
      <c r="C1240" s="16" t="str">
        <v>徐新怡</v>
      </c>
      <c r="D1240" s="26" t="str">
        <f>IF(NOT(ISNUMBER(E1240)),"",IF(OR(E1240&lt;=0,L1240=0),0,IF(OR(NOT(ISNUMBER(F1240)),F1240&lt;0),"",MIN(E1240,INT(F1240)))))</f>
      </c>
      <c r="E1240" s="27" t="str">
        <f>IF(OR(NOT(ISNUMBER(L1240)),COUNT(M1240:O1240)&lt;&gt;3,MIN(M1240:O1240)&lt;0),"",ROUNDUP(ROUND(BI1240-SUM(M1240:O1240),10),0))</f>
      </c>
      <c r="F1240" s="28"/>
      <c r="G1240" s="28" t="str">
        <f>IF(AND(ISNUMBER(D1240),ISNUMBER(E1240)),IF(OR(E1240&lt;=0,L1240=0),0,E1240-D1240),"")</f>
      </c>
      <c r="H1240" s="16" t="str">
        <f>IF(NOT(ISNUMBER(E1240)),"销量或海外库存待补",IF(OR(E1240&lt;=0,L1240=0),IF(L1240=0,"零日销，本批不发","本批无需补货"),IF(NOT(ISNUMBER(D1240)),"国内库存待补",IF(D1240=0,"国内无可用库存",IF(G1240&gt;0,"先发国内现货","按建议量发货")))))</f>
        <v>销量或海外库存待补</v>
      </c>
      <c r="I1240" s="28" t="n">
        <f>IF(AND(COUNT(Z1240,AA1240,AB1240)=3,Z1240&gt;=AA1240,AA1240&gt;=0,AB1240=7),Z1240-AA1240,"")</f>
        <v>0</v>
      </c>
      <c r="J1240" s="28" t="n">
        <f>IF(AND(COUNT(AF1240,AG1240,AH1240)=3,AF1240&gt;=AG1240,AG1240&gt;=0,AH1240=14),AF1240-AG1240,"")</f>
        <v>0</v>
      </c>
      <c r="K1240" s="28" t="n">
        <f>IF(AND(COUNT(AL1240,AM1240,AN1240)=3,AL1240&gt;=AM1240,AM1240&gt;=0,AN1240=30),AL1240-AM1240,"")</f>
        <v>0</v>
      </c>
      <c r="L1240" s="29" t="n">
        <f>IF(ISNUMBER(BI1240),BI1240/90,"")</f>
        <v>0</v>
      </c>
      <c r="M1240" s="28"/>
      <c r="N1240" s="28"/>
      <c r="O1240" s="28"/>
      <c r="P1240" s="30" t="str">
        <f>IF(AND(ISNUMBER(L1240),L1240&gt;0,COUNT(M1240:O1240)=3,MIN(M1240:O1240)&gt;=0),SUM(M1240:O1240)/L1240,"")</f>
      </c>
      <c r="Q1240" s="16" t="str">
        <v>按本SKU唯一未删除Listing店铺核实</v>
      </c>
      <c r="R1240" s="16" t="str">
        <v>未匹配</v>
      </c>
      <c r="S1240" s="16" t="str">
        <v>停售</v>
      </c>
      <c r="T1240" s="16" t="str">
        <v>1S01</v>
      </c>
      <c r="U1240" s="16" t="str">
        <v>粉色</v>
      </c>
      <c r="V1240" s="16" t="n">
        <v>10</v>
      </c>
      <c r="W1240" s="8" t="str">
        <v>2026-10-08 至 2026-10-17</v>
      </c>
      <c r="X1240" s="8" t="str">
        <v>2026-10-08、2026-10-09、2026-10-10、2026-10-11、2026-10-14、2026-10-15、2026-10-17</v>
      </c>
      <c r="Y1240" s="8" t="str">
        <v>2026-10-12 有记录的停售日；2026-10-13 有记录的停售日；2026-10-16 有记录的停售日</v>
      </c>
      <c r="Z1240" s="8" t="n">
        <v>0</v>
      </c>
      <c r="AA1240" s="8" t="n">
        <v>0</v>
      </c>
      <c r="AB1240" s="8" t="n">
        <v>7</v>
      </c>
      <c r="AC1240" s="8" t="str">
        <v>2026-09-29 至 2026-10-17</v>
      </c>
      <c r="AD1240" s="8" t="str">
        <v>2026-09-29、2026-09-30、2026-10-01、2026-10-02、2026-10-03、2026-10-04、2026-10-05、2026-10-08、2026-10-09、2026-10-10、2026-10-11、2026-10-14、2026-10-15、2026-10-17</v>
      </c>
      <c r="AE1240" s="8" t="str">
        <v>2026-10-06 大促；2026-10-07 大促；2026-10-12 有记录的停售日；2026-10-13 有记录的停售日；2026-10-16 有记录的停售日</v>
      </c>
      <c r="AF1240" s="8" t="n">
        <v>0</v>
      </c>
      <c r="AG1240" s="8" t="n">
        <v>0</v>
      </c>
      <c r="AH1240" s="8" t="n">
        <v>14</v>
      </c>
      <c r="AI1240" s="8" t="str">
        <v>2026-09-13 至 2026-10-17</v>
      </c>
      <c r="AJ124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0" s="8" t="str">
        <v>2026-10-06 大促；2026-10-07 大促；2026-10-12 有记录的停售日；2026-10-13 有记录的停售日；2026-10-16 有记录的停售日</v>
      </c>
      <c r="AL1240" s="8" t="n">
        <v>0</v>
      </c>
      <c r="AM1240" s="8" t="n">
        <v>0</v>
      </c>
      <c r="AN1240" s="8" t="n">
        <v>30</v>
      </c>
      <c r="AO1240" s="8" t="str">
        <v>1S01 / 粉色PU / 13120</v>
      </c>
      <c r="AP1240" s="11" t="n">
        <v>0.8729500662042875</v>
      </c>
      <c r="AQ1240" s="11" t="n">
        <v>0.9355747145678367</v>
      </c>
      <c r="AR1240" s="11" t="n">
        <v>1.135973589331194</v>
      </c>
      <c r="AS1240" s="11" t="n">
        <f>IF(AND(COUNT(I1240:K1240,AP1240:AR1240)=6,MIN(AP1240:AR1240)&gt;0),I1240/7/AP1240*0.5+J1240/14/AQ1240*0.3+K1240/30/AR1240*0.2,"")</f>
        <v>0</v>
      </c>
      <c r="AT1240" s="8" t="n">
        <v>0</v>
      </c>
      <c r="AU1240" s="8" t="n">
        <v>0</v>
      </c>
      <c r="AV1240" s="8" t="n">
        <v>85</v>
      </c>
      <c r="AW1240" s="11" t="n">
        <f>IF(AND(COUNT(AT1240:AV1240)=3,AT1240&gt;=AU1240,AU1240&gt;=0,AV1240&gt;0),(AT1240-AU1240)/AV1240,"")</f>
        <v>0</v>
      </c>
      <c r="AX1240" s="8" t="n">
        <v>0</v>
      </c>
      <c r="AY1240" s="8" t="n">
        <v>0</v>
      </c>
      <c r="AZ1240" s="8" t="n">
        <v>175</v>
      </c>
      <c r="BA1240" s="11" t="n">
        <f>IF(AND(COUNT(AX1240:AZ1240)=3,AX1240&gt;=AY1240,AY1240&gt;=0,AZ1240&gt;0),(AX1240-AY1240)/AZ1240,"")</f>
        <v>0</v>
      </c>
      <c r="BB1240" s="8" t="n">
        <f>IF(COUNT(AS1240,AW1240,BA1240)=3,1,0)</f>
        <v>1</v>
      </c>
      <c r="BC1240" s="11" t="n">
        <f>IF(SUMIF($AO$11:$AO$1309,AO1240,$BB$11:$BB$1309)=COUNTIF($AO$11:$AO$1309,AO1240),SUMIF($AO$11:$AO$1309,AO1240,$AS$11:$AS$1309),"")</f>
        <v>0</v>
      </c>
      <c r="BD1240" s="11" t="n">
        <f>IF(SUMIF($AO$11:$AO$1309,AO1240,$BB$11:$BB$1309)=COUNTIF($AO$11:$AO$1309,AO1240),SUMIF($AO$11:$AO$1309,AO1240,$AW$11:$AW$1309),"")</f>
        <v>0</v>
      </c>
      <c r="BE1240" s="11" t="n">
        <f>IF(SUMIF($AO$11:$AO$1309,AO1240,$BB$11:$BB$1309)=COUNTIF($AO$11:$AO$1309,AO1240),SUMIF($AO$11:$AO$1309,AO1240,$BA$11:$BA$1309),"")</f>
        <v>0</v>
      </c>
      <c r="BF1240" s="12" t="n">
        <f>IF(COUNT(BD1240:BE1240)&lt;&gt;2,"",IF(AND(BD1240&gt;0,BE1240&gt;0),0.7*AW1240/BD1240+0.3*BA1240/BE1240,IF(BD1240&gt;0,AW1240/BD1240,IF(BE1240&gt;0,BA1240/BE1240,IF(AND(ISNUMBER(BH1240),BH1240=0),0,"")))))</f>
        <v>0</v>
      </c>
      <c r="BG1240" s="11" t="n">
        <f>IF(AND(COUNT(BN1240:BU1240)=8,MIN(BN1240:BU1240)&gt;=0),SUMPRODUCT(BN1240:BQ1240,BR1240:BU1240),"")</f>
        <v>63.935996265425516</v>
      </c>
      <c r="BH1240" s="11" t="n">
        <f>IF(COUNT(BC1240,BG1240)=2,BC1240*BG1240,"")</f>
        <v>0</v>
      </c>
      <c r="BI1240" s="11" t="n">
        <f>IF(ISNUMBER(CI1240),CI1240,"")</f>
        <v>0</v>
      </c>
      <c r="BJ1240" s="8" t="str">
        <v>近180天本色销量0双（＜90），无有效新采购，请运营判断</v>
      </c>
      <c r="BK1240" s="8" t="str">
        <v>90天：2026-07-20 至 2026-10-17；180天：2026-04-21 至 2026-10-17</v>
      </c>
      <c r="BL1240" s="8" t="str">
        <v>90天：2026-10-06、2026-10-07、2026-10-12、2026-10-13、2026-10-16；180天：2026-10-06、2026-10-07、2026-10-12、2026-10-13、2026-10-16</v>
      </c>
      <c r="BM1240" s="8" t="str">
        <v>2026-10：12天 × 0.8729500662042875；2026-11：30天 × 0.8057375774163482；2026-12：31天 × 0.532550303142279；2027-01：17天 × 0.7517299265337036</v>
      </c>
      <c r="BN1240" s="11" t="n">
        <v>0.8729500662042875</v>
      </c>
      <c r="BO1240" s="11" t="n">
        <v>0.8057375774163482</v>
      </c>
      <c r="BP1240" s="11" t="n">
        <v>0.532550303142279</v>
      </c>
      <c r="BQ1240" s="11" t="n">
        <v>0.7517299265337036</v>
      </c>
      <c r="BR1240" s="8" t="n">
        <v>12</v>
      </c>
      <c r="BS1240" s="8" t="n">
        <v>30</v>
      </c>
      <c r="BT1240" s="8" t="n">
        <v>31</v>
      </c>
      <c r="BU1240" s="8" t="n">
        <v>17</v>
      </c>
      <c r="BV1240" s="11" t="n">
        <f>IF(COUNT(BC1240,BF1240)=2,BC1240*BF1240,"")</f>
        <v>0</v>
      </c>
      <c r="BW1240" s="11" t="n">
        <f>IF(ISNUMBER(BN1240),BN1240,"")</f>
        <v>0.8729500662042875</v>
      </c>
      <c r="BX1240" s="14" t="n">
        <f>IF(ISNUMBER(BR1240),BR1240,"")</f>
        <v>12</v>
      </c>
      <c r="BY1240" s="13" t="n">
        <f>IF(AND(COUNT(BV1240,BW1240,BX1240)=3,MIN(BV1240,BW1240,BX1240)&gt;=0),BV1240*BW1240*BX1240,"")</f>
        <v>0</v>
      </c>
      <c r="BZ1240" s="11" t="n">
        <f>IF(ISNUMBER(BO1240),BO1240,"")</f>
        <v>0.8057375774163482</v>
      </c>
      <c r="CA1240" s="14" t="n">
        <f>IF(ISNUMBER(BS1240),BS1240,"")</f>
        <v>30</v>
      </c>
      <c r="CB1240" s="13" t="n">
        <f>IF(AND(COUNT(BV1240,BZ1240,CA1240)=3,MIN(BV1240,BZ1240,CA1240)&gt;=0),BV1240*BZ1240*CA1240,"")</f>
        <v>0</v>
      </c>
      <c r="CC1240" s="11" t="n">
        <f>IF(ISNUMBER(BP1240),BP1240,"")</f>
        <v>0.532550303142279</v>
      </c>
      <c r="CD1240" s="14" t="n">
        <f>IF(ISNUMBER(BT1240),BT1240,"")</f>
        <v>31</v>
      </c>
      <c r="CE1240" s="13" t="n">
        <f>IF(AND(COUNT(BV1240,CC1240,CD1240)=3,MIN(BV1240,CC1240,CD1240)&gt;=0),BV1240*CC1240*CD1240,"")</f>
        <v>0</v>
      </c>
      <c r="CF1240" s="11" t="n">
        <f>IF(ISNUMBER(BQ1240),BQ1240,"")</f>
        <v>0.7517299265337036</v>
      </c>
      <c r="CG1240" s="14" t="n">
        <f>IF(ISNUMBER(BU1240),BU1240,"")</f>
        <v>17</v>
      </c>
      <c r="CH1240" s="13" t="n">
        <f>IF(AND(COUNT(BV1240,CF1240,CG1240)=3,MIN(BV1240,CF1240,CG1240)&gt;=0),BV1240*CF1240*CG1240,"")</f>
        <v>0</v>
      </c>
      <c r="CI1240" s="13" t="n">
        <f>IF(COUNT(BY1240,CB1240,CE1240,CH1240)=4,SUM(BY1240,CB1240,CE1240,CH1240),"")</f>
        <v>0</v>
      </c>
    </row>
    <row r="1241" ht="72" customHeight="1">
      <c r="A1241" s="16" t="str">
        <v>1S01-PK-11</v>
      </c>
      <c r="B1241" s="16" t="str">
        <v>1店-MUSSHOE-US</v>
      </c>
      <c r="C1241" s="16" t="str">
        <v>徐新怡</v>
      </c>
      <c r="D1241" s="26" t="str">
        <f>IF(NOT(ISNUMBER(E1241)),"",IF(OR(E1241&lt;=0,L1241=0),0,IF(OR(NOT(ISNUMBER(F1241)),F1241&lt;0),"",MIN(E1241,INT(F1241)))))</f>
      </c>
      <c r="E1241" s="27" t="str">
        <f>IF(OR(NOT(ISNUMBER(L1241)),COUNT(M1241:O1241)&lt;&gt;3,MIN(M1241:O1241)&lt;0),"",ROUNDUP(ROUND(BI1241-SUM(M1241:O1241),10),0))</f>
      </c>
      <c r="F1241" s="28"/>
      <c r="G1241" s="28" t="str">
        <f>IF(AND(ISNUMBER(D1241),ISNUMBER(E1241)),IF(OR(E1241&lt;=0,L1241=0),0,E1241-D1241),"")</f>
      </c>
      <c r="H1241" s="16" t="str">
        <f>IF(NOT(ISNUMBER(E1241)),"销量或海外库存待补",IF(OR(E1241&lt;=0,L1241=0),IF(L1241=0,"零日销，本批不发","本批无需补货"),IF(NOT(ISNUMBER(D1241)),"国内库存待补",IF(D1241=0,"国内无可用库存",IF(G1241&gt;0,"先发国内现货","按建议量发货")))))</f>
        <v>销量或海外库存待补</v>
      </c>
      <c r="I1241" s="28" t="n">
        <f>IF(AND(COUNT(Z1241,AA1241,AB1241)=3,Z1241&gt;=AA1241,AA1241&gt;=0,AB1241=7),Z1241-AA1241,"")</f>
        <v>0</v>
      </c>
      <c r="J1241" s="28" t="n">
        <f>IF(AND(COUNT(AF1241,AG1241,AH1241)=3,AF1241&gt;=AG1241,AG1241&gt;=0,AH1241=14),AF1241-AG1241,"")</f>
        <v>0</v>
      </c>
      <c r="K1241" s="28" t="n">
        <f>IF(AND(COUNT(AL1241,AM1241,AN1241)=3,AL1241&gt;=AM1241,AM1241&gt;=0,AN1241=30),AL1241-AM1241,"")</f>
        <v>0</v>
      </c>
      <c r="L1241" s="29" t="n">
        <f>IF(ISNUMBER(BI1241),BI1241/90,"")</f>
        <v>0</v>
      </c>
      <c r="M1241" s="28"/>
      <c r="N1241" s="28"/>
      <c r="O1241" s="28"/>
      <c r="P1241" s="30" t="str">
        <f>IF(AND(ISNUMBER(L1241),L1241&gt;0,COUNT(M1241:O1241)=3,MIN(M1241:O1241)&gt;=0),SUM(M1241:O1241)/L1241,"")</f>
      </c>
      <c r="Q1241" s="16" t="str">
        <v>按本SKU唯一未删除Listing店铺核实</v>
      </c>
      <c r="R1241" s="16" t="str">
        <v>未匹配</v>
      </c>
      <c r="S1241" s="16" t="str">
        <v>停售</v>
      </c>
      <c r="T1241" s="16" t="str">
        <v>1S01</v>
      </c>
      <c r="U1241" s="16" t="str">
        <v>粉色</v>
      </c>
      <c r="V1241" s="16" t="n">
        <v>11</v>
      </c>
      <c r="W1241" s="8" t="str">
        <v>2026-10-08 至 2026-10-17</v>
      </c>
      <c r="X1241" s="8" t="str">
        <v>2026-10-08、2026-10-09、2026-10-10、2026-10-11、2026-10-14、2026-10-15、2026-10-17</v>
      </c>
      <c r="Y1241" s="8" t="str">
        <v>2026-10-12 有记录的停售日；2026-10-13 有记录的停售日；2026-10-16 有记录的停售日</v>
      </c>
      <c r="Z1241" s="8" t="n">
        <v>0</v>
      </c>
      <c r="AA1241" s="8" t="n">
        <v>0</v>
      </c>
      <c r="AB1241" s="8" t="n">
        <v>7</v>
      </c>
      <c r="AC1241" s="8" t="str">
        <v>2026-09-29 至 2026-10-17</v>
      </c>
      <c r="AD1241" s="8" t="str">
        <v>2026-09-29、2026-09-30、2026-10-01、2026-10-02、2026-10-03、2026-10-04、2026-10-05、2026-10-08、2026-10-09、2026-10-10、2026-10-11、2026-10-14、2026-10-15、2026-10-17</v>
      </c>
      <c r="AE1241" s="8" t="str">
        <v>2026-10-06 大促；2026-10-07 大促；2026-10-12 有记录的停售日；2026-10-13 有记录的停售日；2026-10-16 有记录的停售日</v>
      </c>
      <c r="AF1241" s="8" t="n">
        <v>0</v>
      </c>
      <c r="AG1241" s="8" t="n">
        <v>0</v>
      </c>
      <c r="AH1241" s="8" t="n">
        <v>14</v>
      </c>
      <c r="AI1241" s="8" t="str">
        <v>2026-09-13 至 2026-10-17</v>
      </c>
      <c r="AJ124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1" s="8" t="str">
        <v>2026-10-06 大促；2026-10-07 大促；2026-10-12 有记录的停售日；2026-10-13 有记录的停售日；2026-10-16 有记录的停售日</v>
      </c>
      <c r="AL1241" s="8" t="n">
        <v>0</v>
      </c>
      <c r="AM1241" s="8" t="n">
        <v>0</v>
      </c>
      <c r="AN1241" s="8" t="n">
        <v>30</v>
      </c>
      <c r="AO1241" s="8" t="str">
        <v>1S01 / 粉色PU / 13120</v>
      </c>
      <c r="AP1241" s="11" t="n">
        <v>0.8729500662042875</v>
      </c>
      <c r="AQ1241" s="11" t="n">
        <v>0.9355747145678367</v>
      </c>
      <c r="AR1241" s="11" t="n">
        <v>1.135973589331194</v>
      </c>
      <c r="AS1241" s="11" t="n">
        <f>IF(AND(COUNT(I1241:K1241,AP1241:AR1241)=6,MIN(AP1241:AR1241)&gt;0),I1241/7/AP1241*0.5+J1241/14/AQ1241*0.3+K1241/30/AR1241*0.2,"")</f>
        <v>0</v>
      </c>
      <c r="AT1241" s="8" t="n">
        <v>0</v>
      </c>
      <c r="AU1241" s="8" t="n">
        <v>0</v>
      </c>
      <c r="AV1241" s="8" t="n">
        <v>85</v>
      </c>
      <c r="AW1241" s="11" t="n">
        <f>IF(AND(COUNT(AT1241:AV1241)=3,AT1241&gt;=AU1241,AU1241&gt;=0,AV1241&gt;0),(AT1241-AU1241)/AV1241,"")</f>
        <v>0</v>
      </c>
      <c r="AX1241" s="8" t="n">
        <v>0</v>
      </c>
      <c r="AY1241" s="8" t="n">
        <v>0</v>
      </c>
      <c r="AZ1241" s="8" t="n">
        <v>175</v>
      </c>
      <c r="BA1241" s="11" t="n">
        <f>IF(AND(COUNT(AX1241:AZ1241)=3,AX1241&gt;=AY1241,AY1241&gt;=0,AZ1241&gt;0),(AX1241-AY1241)/AZ1241,"")</f>
        <v>0</v>
      </c>
      <c r="BB1241" s="8" t="n">
        <f>IF(COUNT(AS1241,AW1241,BA1241)=3,1,0)</f>
        <v>1</v>
      </c>
      <c r="BC1241" s="11" t="n">
        <f>IF(SUMIF($AO$11:$AO$1309,AO1241,$BB$11:$BB$1309)=COUNTIF($AO$11:$AO$1309,AO1241),SUMIF($AO$11:$AO$1309,AO1241,$AS$11:$AS$1309),"")</f>
        <v>0</v>
      </c>
      <c r="BD1241" s="11" t="n">
        <f>IF(SUMIF($AO$11:$AO$1309,AO1241,$BB$11:$BB$1309)=COUNTIF($AO$11:$AO$1309,AO1241),SUMIF($AO$11:$AO$1309,AO1241,$AW$11:$AW$1309),"")</f>
        <v>0</v>
      </c>
      <c r="BE1241" s="11" t="n">
        <f>IF(SUMIF($AO$11:$AO$1309,AO1241,$BB$11:$BB$1309)=COUNTIF($AO$11:$AO$1309,AO1241),SUMIF($AO$11:$AO$1309,AO1241,$BA$11:$BA$1309),"")</f>
        <v>0</v>
      </c>
      <c r="BF1241" s="12" t="n">
        <f>IF(COUNT(BD1241:BE1241)&lt;&gt;2,"",IF(AND(BD1241&gt;0,BE1241&gt;0),0.7*AW1241/BD1241+0.3*BA1241/BE1241,IF(BD1241&gt;0,AW1241/BD1241,IF(BE1241&gt;0,BA1241/BE1241,IF(AND(ISNUMBER(BH1241),BH1241=0),0,"")))))</f>
        <v>0</v>
      </c>
      <c r="BG1241" s="11" t="n">
        <f>IF(AND(COUNT(BN1241:BU1241)=8,MIN(BN1241:BU1241)&gt;=0),SUMPRODUCT(BN1241:BQ1241,BR1241:BU1241),"")</f>
        <v>63.935996265425516</v>
      </c>
      <c r="BH1241" s="11" t="n">
        <f>IF(COUNT(BC1241,BG1241)=2,BC1241*BG1241,"")</f>
        <v>0</v>
      </c>
      <c r="BI1241" s="11" t="n">
        <f>IF(ISNUMBER(CI1241),CI1241,"")</f>
        <v>0</v>
      </c>
      <c r="BJ1241" s="8" t="str">
        <v>近180天本色销量0双（＜90），无有效新采购，请运营判断</v>
      </c>
      <c r="BK1241" s="8" t="str">
        <v>90天：2026-07-20 至 2026-10-17；180天：2026-04-21 至 2026-10-17</v>
      </c>
      <c r="BL1241" s="8" t="str">
        <v>90天：2026-10-06、2026-10-07、2026-10-12、2026-10-13、2026-10-16；180天：2026-10-06、2026-10-07、2026-10-12、2026-10-13、2026-10-16</v>
      </c>
      <c r="BM1241" s="8" t="str">
        <v>2026-10：12天 × 0.8729500662042875；2026-11：30天 × 0.8057375774163482；2026-12：31天 × 0.532550303142279；2027-01：17天 × 0.7517299265337036</v>
      </c>
      <c r="BN1241" s="11" t="n">
        <v>0.8729500662042875</v>
      </c>
      <c r="BO1241" s="11" t="n">
        <v>0.8057375774163482</v>
      </c>
      <c r="BP1241" s="11" t="n">
        <v>0.532550303142279</v>
      </c>
      <c r="BQ1241" s="11" t="n">
        <v>0.7517299265337036</v>
      </c>
      <c r="BR1241" s="8" t="n">
        <v>12</v>
      </c>
      <c r="BS1241" s="8" t="n">
        <v>30</v>
      </c>
      <c r="BT1241" s="8" t="n">
        <v>31</v>
      </c>
      <c r="BU1241" s="8" t="n">
        <v>17</v>
      </c>
      <c r="BV1241" s="11" t="n">
        <f>IF(COUNT(BC1241,BF1241)=2,BC1241*BF1241,"")</f>
        <v>0</v>
      </c>
      <c r="BW1241" s="11" t="n">
        <f>IF(ISNUMBER(BN1241),BN1241,"")</f>
        <v>0.8729500662042875</v>
      </c>
      <c r="BX1241" s="14" t="n">
        <f>IF(ISNUMBER(BR1241),BR1241,"")</f>
        <v>12</v>
      </c>
      <c r="BY1241" s="13" t="n">
        <f>IF(AND(COUNT(BV1241,BW1241,BX1241)=3,MIN(BV1241,BW1241,BX1241)&gt;=0),BV1241*BW1241*BX1241,"")</f>
        <v>0</v>
      </c>
      <c r="BZ1241" s="11" t="n">
        <f>IF(ISNUMBER(BO1241),BO1241,"")</f>
        <v>0.8057375774163482</v>
      </c>
      <c r="CA1241" s="14" t="n">
        <f>IF(ISNUMBER(BS1241),BS1241,"")</f>
        <v>30</v>
      </c>
      <c r="CB1241" s="13" t="n">
        <f>IF(AND(COUNT(BV1241,BZ1241,CA1241)=3,MIN(BV1241,BZ1241,CA1241)&gt;=0),BV1241*BZ1241*CA1241,"")</f>
        <v>0</v>
      </c>
      <c r="CC1241" s="11" t="n">
        <f>IF(ISNUMBER(BP1241),BP1241,"")</f>
        <v>0.532550303142279</v>
      </c>
      <c r="CD1241" s="14" t="n">
        <f>IF(ISNUMBER(BT1241),BT1241,"")</f>
        <v>31</v>
      </c>
      <c r="CE1241" s="13" t="n">
        <f>IF(AND(COUNT(BV1241,CC1241,CD1241)=3,MIN(BV1241,CC1241,CD1241)&gt;=0),BV1241*CC1241*CD1241,"")</f>
        <v>0</v>
      </c>
      <c r="CF1241" s="11" t="n">
        <f>IF(ISNUMBER(BQ1241),BQ1241,"")</f>
        <v>0.7517299265337036</v>
      </c>
      <c r="CG1241" s="14" t="n">
        <f>IF(ISNUMBER(BU1241),BU1241,"")</f>
        <v>17</v>
      </c>
      <c r="CH1241" s="13" t="n">
        <f>IF(AND(COUNT(BV1241,CF1241,CG1241)=3,MIN(BV1241,CF1241,CG1241)&gt;=0),BV1241*CF1241*CG1241,"")</f>
        <v>0</v>
      </c>
      <c r="CI1241" s="13" t="n">
        <f>IF(COUNT(BY1241,CB1241,CE1241,CH1241)=4,SUM(BY1241,CB1241,CE1241,CH1241),"")</f>
        <v>0</v>
      </c>
    </row>
    <row r="1242" ht="72" customHeight="1">
      <c r="A1242" s="16" t="str">
        <v>1S01-PK-6</v>
      </c>
      <c r="B1242" s="16" t="str">
        <v>1店-MUSSHOE-US</v>
      </c>
      <c r="C1242" s="16" t="str">
        <v>徐新怡</v>
      </c>
      <c r="D1242" s="26" t="str">
        <f>IF(NOT(ISNUMBER(E1242)),"",IF(OR(E1242&lt;=0,L1242=0),0,IF(OR(NOT(ISNUMBER(F1242)),F1242&lt;0),"",MIN(E1242,INT(F1242)))))</f>
      </c>
      <c r="E1242" s="27" t="str">
        <f>IF(OR(NOT(ISNUMBER(L1242)),COUNT(M1242:O1242)&lt;&gt;3,MIN(M1242:O1242)&lt;0),"",ROUNDUP(ROUND(BI1242-SUM(M1242:O1242),10),0))</f>
      </c>
      <c r="F1242" s="28"/>
      <c r="G1242" s="28" t="str">
        <f>IF(AND(ISNUMBER(D1242),ISNUMBER(E1242)),IF(OR(E1242&lt;=0,L1242=0),0,E1242-D1242),"")</f>
      </c>
      <c r="H1242" s="16" t="str">
        <f>IF(NOT(ISNUMBER(E1242)),"销量或海外库存待补",IF(OR(E1242&lt;=0,L1242=0),IF(L1242=0,"零日销，本批不发","本批无需补货"),IF(NOT(ISNUMBER(D1242)),"国内库存待补",IF(D1242=0,"国内无可用库存",IF(G1242&gt;0,"先发国内现货","按建议量发货")))))</f>
        <v>销量或海外库存待补</v>
      </c>
      <c r="I1242" s="28" t="n">
        <f>IF(AND(COUNT(Z1242,AA1242,AB1242)=3,Z1242&gt;=AA1242,AA1242&gt;=0,AB1242=7),Z1242-AA1242,"")</f>
        <v>0</v>
      </c>
      <c r="J1242" s="28" t="n">
        <f>IF(AND(COUNT(AF1242,AG1242,AH1242)=3,AF1242&gt;=AG1242,AG1242&gt;=0,AH1242=14),AF1242-AG1242,"")</f>
        <v>0</v>
      </c>
      <c r="K1242" s="28" t="n">
        <f>IF(AND(COUNT(AL1242,AM1242,AN1242)=3,AL1242&gt;=AM1242,AM1242&gt;=0,AN1242=30),AL1242-AM1242,"")</f>
        <v>0</v>
      </c>
      <c r="L1242" s="29" t="n">
        <f>IF(ISNUMBER(BI1242),BI1242/90,"")</f>
        <v>0</v>
      </c>
      <c r="M1242" s="28"/>
      <c r="N1242" s="28"/>
      <c r="O1242" s="28"/>
      <c r="P1242" s="30" t="str">
        <f>IF(AND(ISNUMBER(L1242),L1242&gt;0,COUNT(M1242:O1242)=3,MIN(M1242:O1242)&gt;=0),SUM(M1242:O1242)/L1242,"")</f>
      </c>
      <c r="Q1242" s="16" t="str">
        <v>按本SKU唯一未删除Listing店铺核实</v>
      </c>
      <c r="R1242" s="16" t="str">
        <v>未匹配</v>
      </c>
      <c r="S1242" s="16" t="str">
        <v>停售</v>
      </c>
      <c r="T1242" s="16" t="str">
        <v>1S01</v>
      </c>
      <c r="U1242" s="16" t="str">
        <v>粉色</v>
      </c>
      <c r="V1242" s="16" t="n">
        <v>6</v>
      </c>
      <c r="W1242" s="8" t="str">
        <v>2026-10-08 至 2026-10-17</v>
      </c>
      <c r="X1242" s="8" t="str">
        <v>2026-10-08、2026-10-09、2026-10-10、2026-10-11、2026-10-14、2026-10-15、2026-10-17</v>
      </c>
      <c r="Y1242" s="8" t="str">
        <v>2026-10-12 有记录的停售日；2026-10-13 有记录的停售日；2026-10-16 有记录的停售日</v>
      </c>
      <c r="Z1242" s="8" t="n">
        <v>0</v>
      </c>
      <c r="AA1242" s="8" t="n">
        <v>0</v>
      </c>
      <c r="AB1242" s="8" t="n">
        <v>7</v>
      </c>
      <c r="AC1242" s="8" t="str">
        <v>2026-09-29 至 2026-10-17</v>
      </c>
      <c r="AD1242" s="8" t="str">
        <v>2026-09-29、2026-09-30、2026-10-01、2026-10-02、2026-10-03、2026-10-04、2026-10-05、2026-10-08、2026-10-09、2026-10-10、2026-10-11、2026-10-14、2026-10-15、2026-10-17</v>
      </c>
      <c r="AE1242" s="8" t="str">
        <v>2026-10-06 大促；2026-10-07 大促；2026-10-12 有记录的停售日；2026-10-13 有记录的停售日；2026-10-16 有记录的停售日</v>
      </c>
      <c r="AF1242" s="8" t="n">
        <v>0</v>
      </c>
      <c r="AG1242" s="8" t="n">
        <v>0</v>
      </c>
      <c r="AH1242" s="8" t="n">
        <v>14</v>
      </c>
      <c r="AI1242" s="8" t="str">
        <v>2026-09-13 至 2026-10-17</v>
      </c>
      <c r="AJ124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2" s="8" t="str">
        <v>2026-10-06 大促；2026-10-07 大促；2026-10-12 有记录的停售日；2026-10-13 有记录的停售日；2026-10-16 有记录的停售日</v>
      </c>
      <c r="AL1242" s="8" t="n">
        <v>0</v>
      </c>
      <c r="AM1242" s="8" t="n">
        <v>0</v>
      </c>
      <c r="AN1242" s="8" t="n">
        <v>30</v>
      </c>
      <c r="AO1242" s="8" t="str">
        <v>1S01 / 粉色PU / 13120</v>
      </c>
      <c r="AP1242" s="11" t="n">
        <v>0.8729500662042875</v>
      </c>
      <c r="AQ1242" s="11" t="n">
        <v>0.9355747145678367</v>
      </c>
      <c r="AR1242" s="11" t="n">
        <v>1.135973589331194</v>
      </c>
      <c r="AS1242" s="11" t="n">
        <f>IF(AND(COUNT(I1242:K1242,AP1242:AR1242)=6,MIN(AP1242:AR1242)&gt;0),I1242/7/AP1242*0.5+J1242/14/AQ1242*0.3+K1242/30/AR1242*0.2,"")</f>
        <v>0</v>
      </c>
      <c r="AT1242" s="8" t="n">
        <v>0</v>
      </c>
      <c r="AU1242" s="8" t="n">
        <v>0</v>
      </c>
      <c r="AV1242" s="8" t="n">
        <v>85</v>
      </c>
      <c r="AW1242" s="11" t="n">
        <f>IF(AND(COUNT(AT1242:AV1242)=3,AT1242&gt;=AU1242,AU1242&gt;=0,AV1242&gt;0),(AT1242-AU1242)/AV1242,"")</f>
        <v>0</v>
      </c>
      <c r="AX1242" s="8" t="n">
        <v>0</v>
      </c>
      <c r="AY1242" s="8" t="n">
        <v>0</v>
      </c>
      <c r="AZ1242" s="8" t="n">
        <v>175</v>
      </c>
      <c r="BA1242" s="11" t="n">
        <f>IF(AND(COUNT(AX1242:AZ1242)=3,AX1242&gt;=AY1242,AY1242&gt;=0,AZ1242&gt;0),(AX1242-AY1242)/AZ1242,"")</f>
        <v>0</v>
      </c>
      <c r="BB1242" s="8" t="n">
        <f>IF(COUNT(AS1242,AW1242,BA1242)=3,1,0)</f>
        <v>1</v>
      </c>
      <c r="BC1242" s="11" t="n">
        <f>IF(SUMIF($AO$11:$AO$1309,AO1242,$BB$11:$BB$1309)=COUNTIF($AO$11:$AO$1309,AO1242),SUMIF($AO$11:$AO$1309,AO1242,$AS$11:$AS$1309),"")</f>
        <v>0</v>
      </c>
      <c r="BD1242" s="11" t="n">
        <f>IF(SUMIF($AO$11:$AO$1309,AO1242,$BB$11:$BB$1309)=COUNTIF($AO$11:$AO$1309,AO1242),SUMIF($AO$11:$AO$1309,AO1242,$AW$11:$AW$1309),"")</f>
        <v>0</v>
      </c>
      <c r="BE1242" s="11" t="n">
        <f>IF(SUMIF($AO$11:$AO$1309,AO1242,$BB$11:$BB$1309)=COUNTIF($AO$11:$AO$1309,AO1242),SUMIF($AO$11:$AO$1309,AO1242,$BA$11:$BA$1309),"")</f>
        <v>0</v>
      </c>
      <c r="BF1242" s="12" t="n">
        <f>IF(COUNT(BD1242:BE1242)&lt;&gt;2,"",IF(AND(BD1242&gt;0,BE1242&gt;0),0.7*AW1242/BD1242+0.3*BA1242/BE1242,IF(BD1242&gt;0,AW1242/BD1242,IF(BE1242&gt;0,BA1242/BE1242,IF(AND(ISNUMBER(BH1242),BH1242=0),0,"")))))</f>
        <v>0</v>
      </c>
      <c r="BG1242" s="11" t="n">
        <f>IF(AND(COUNT(BN1242:BU1242)=8,MIN(BN1242:BU1242)&gt;=0),SUMPRODUCT(BN1242:BQ1242,BR1242:BU1242),"")</f>
        <v>63.935996265425516</v>
      </c>
      <c r="BH1242" s="11" t="n">
        <f>IF(COUNT(BC1242,BG1242)=2,BC1242*BG1242,"")</f>
        <v>0</v>
      </c>
      <c r="BI1242" s="11" t="n">
        <f>IF(ISNUMBER(CI1242),CI1242,"")</f>
        <v>0</v>
      </c>
      <c r="BJ1242" s="8" t="str">
        <v>近180天本色销量0双（＜90），无有效新采购，请运营判断</v>
      </c>
      <c r="BK1242" s="8" t="str">
        <v>90天：2026-07-20 至 2026-10-17；180天：2026-04-21 至 2026-10-17</v>
      </c>
      <c r="BL1242" s="8" t="str">
        <v>90天：2026-10-06、2026-10-07、2026-10-12、2026-10-13、2026-10-16；180天：2026-10-06、2026-10-07、2026-10-12、2026-10-13、2026-10-16</v>
      </c>
      <c r="BM1242" s="8" t="str">
        <v>2026-10：12天 × 0.8729500662042875；2026-11：30天 × 0.8057375774163482；2026-12：31天 × 0.532550303142279；2027-01：17天 × 0.7517299265337036</v>
      </c>
      <c r="BN1242" s="11" t="n">
        <v>0.8729500662042875</v>
      </c>
      <c r="BO1242" s="11" t="n">
        <v>0.8057375774163482</v>
      </c>
      <c r="BP1242" s="11" t="n">
        <v>0.532550303142279</v>
      </c>
      <c r="BQ1242" s="11" t="n">
        <v>0.7517299265337036</v>
      </c>
      <c r="BR1242" s="8" t="n">
        <v>12</v>
      </c>
      <c r="BS1242" s="8" t="n">
        <v>30</v>
      </c>
      <c r="BT1242" s="8" t="n">
        <v>31</v>
      </c>
      <c r="BU1242" s="8" t="n">
        <v>17</v>
      </c>
      <c r="BV1242" s="11" t="n">
        <f>IF(COUNT(BC1242,BF1242)=2,BC1242*BF1242,"")</f>
        <v>0</v>
      </c>
      <c r="BW1242" s="11" t="n">
        <f>IF(ISNUMBER(BN1242),BN1242,"")</f>
        <v>0.8729500662042875</v>
      </c>
      <c r="BX1242" s="14" t="n">
        <f>IF(ISNUMBER(BR1242),BR1242,"")</f>
        <v>12</v>
      </c>
      <c r="BY1242" s="13" t="n">
        <f>IF(AND(COUNT(BV1242,BW1242,BX1242)=3,MIN(BV1242,BW1242,BX1242)&gt;=0),BV1242*BW1242*BX1242,"")</f>
        <v>0</v>
      </c>
      <c r="BZ1242" s="11" t="n">
        <f>IF(ISNUMBER(BO1242),BO1242,"")</f>
        <v>0.8057375774163482</v>
      </c>
      <c r="CA1242" s="14" t="n">
        <f>IF(ISNUMBER(BS1242),BS1242,"")</f>
        <v>30</v>
      </c>
      <c r="CB1242" s="13" t="n">
        <f>IF(AND(COUNT(BV1242,BZ1242,CA1242)=3,MIN(BV1242,BZ1242,CA1242)&gt;=0),BV1242*BZ1242*CA1242,"")</f>
        <v>0</v>
      </c>
      <c r="CC1242" s="11" t="n">
        <f>IF(ISNUMBER(BP1242),BP1242,"")</f>
        <v>0.532550303142279</v>
      </c>
      <c r="CD1242" s="14" t="n">
        <f>IF(ISNUMBER(BT1242),BT1242,"")</f>
        <v>31</v>
      </c>
      <c r="CE1242" s="13" t="n">
        <f>IF(AND(COUNT(BV1242,CC1242,CD1242)=3,MIN(BV1242,CC1242,CD1242)&gt;=0),BV1242*CC1242*CD1242,"")</f>
        <v>0</v>
      </c>
      <c r="CF1242" s="11" t="n">
        <f>IF(ISNUMBER(BQ1242),BQ1242,"")</f>
        <v>0.7517299265337036</v>
      </c>
      <c r="CG1242" s="14" t="n">
        <f>IF(ISNUMBER(BU1242),BU1242,"")</f>
        <v>17</v>
      </c>
      <c r="CH1242" s="13" t="n">
        <f>IF(AND(COUNT(BV1242,CF1242,CG1242)=3,MIN(BV1242,CF1242,CG1242)&gt;=0),BV1242*CF1242*CG1242,"")</f>
        <v>0</v>
      </c>
      <c r="CI1242" s="13" t="n">
        <f>IF(COUNT(BY1242,CB1242,CE1242,CH1242)=4,SUM(BY1242,CB1242,CE1242,CH1242),"")</f>
        <v>0</v>
      </c>
    </row>
    <row r="1243" ht="72" customHeight="1">
      <c r="A1243" s="16" t="str">
        <v>1S01-PK-7</v>
      </c>
      <c r="B1243" s="16" t="str">
        <v>1店-MUSSHOE-US</v>
      </c>
      <c r="C1243" s="16" t="str">
        <v>徐新怡</v>
      </c>
      <c r="D1243" s="26" t="str">
        <f>IF(NOT(ISNUMBER(E1243)),"",IF(OR(E1243&lt;=0,L1243=0),0,IF(OR(NOT(ISNUMBER(F1243)),F1243&lt;0),"",MIN(E1243,INT(F1243)))))</f>
      </c>
      <c r="E1243" s="27" t="str">
        <f>IF(OR(NOT(ISNUMBER(L1243)),COUNT(M1243:O1243)&lt;&gt;3,MIN(M1243:O1243)&lt;0),"",ROUNDUP(ROUND(BI1243-SUM(M1243:O1243),10),0))</f>
      </c>
      <c r="F1243" s="28"/>
      <c r="G1243" s="28" t="str">
        <f>IF(AND(ISNUMBER(D1243),ISNUMBER(E1243)),IF(OR(E1243&lt;=0,L1243=0),0,E1243-D1243),"")</f>
      </c>
      <c r="H1243" s="16" t="str">
        <f>IF(NOT(ISNUMBER(E1243)),"销量或海外库存待补",IF(OR(E1243&lt;=0,L1243=0),IF(L1243=0,"零日销，本批不发","本批无需补货"),IF(NOT(ISNUMBER(D1243)),"国内库存待补",IF(D1243=0,"国内无可用库存",IF(G1243&gt;0,"先发国内现货","按建议量发货")))))</f>
        <v>销量或海外库存待补</v>
      </c>
      <c r="I1243" s="28" t="n">
        <f>IF(AND(COUNT(Z1243,AA1243,AB1243)=3,Z1243&gt;=AA1243,AA1243&gt;=0,AB1243=7),Z1243-AA1243,"")</f>
        <v>0</v>
      </c>
      <c r="J1243" s="28" t="n">
        <f>IF(AND(COUNT(AF1243,AG1243,AH1243)=3,AF1243&gt;=AG1243,AG1243&gt;=0,AH1243=14),AF1243-AG1243,"")</f>
        <v>0</v>
      </c>
      <c r="K1243" s="28" t="n">
        <f>IF(AND(COUNT(AL1243,AM1243,AN1243)=3,AL1243&gt;=AM1243,AM1243&gt;=0,AN1243=30),AL1243-AM1243,"")</f>
        <v>0</v>
      </c>
      <c r="L1243" s="29" t="n">
        <f>IF(ISNUMBER(BI1243),BI1243/90,"")</f>
        <v>0</v>
      </c>
      <c r="M1243" s="28"/>
      <c r="N1243" s="28"/>
      <c r="O1243" s="28"/>
      <c r="P1243" s="30" t="str">
        <f>IF(AND(ISNUMBER(L1243),L1243&gt;0,COUNT(M1243:O1243)=3,MIN(M1243:O1243)&gt;=0),SUM(M1243:O1243)/L1243,"")</f>
      </c>
      <c r="Q1243" s="16" t="str">
        <v>按本SKU唯一未删除Listing店铺核实</v>
      </c>
      <c r="R1243" s="16" t="str">
        <v>未匹配</v>
      </c>
      <c r="S1243" s="16" t="str">
        <v>停售</v>
      </c>
      <c r="T1243" s="16" t="str">
        <v>1S01</v>
      </c>
      <c r="U1243" s="16" t="str">
        <v>粉色</v>
      </c>
      <c r="V1243" s="16" t="n">
        <v>7</v>
      </c>
      <c r="W1243" s="8" t="str">
        <v>2026-10-08 至 2026-10-17</v>
      </c>
      <c r="X1243" s="8" t="str">
        <v>2026-10-08、2026-10-09、2026-10-10、2026-10-11、2026-10-14、2026-10-15、2026-10-17</v>
      </c>
      <c r="Y1243" s="8" t="str">
        <v>2026-10-12 有记录的停售日；2026-10-13 有记录的停售日；2026-10-16 有记录的停售日</v>
      </c>
      <c r="Z1243" s="8" t="n">
        <v>0</v>
      </c>
      <c r="AA1243" s="8" t="n">
        <v>0</v>
      </c>
      <c r="AB1243" s="8" t="n">
        <v>7</v>
      </c>
      <c r="AC1243" s="8" t="str">
        <v>2026-09-29 至 2026-10-17</v>
      </c>
      <c r="AD1243" s="8" t="str">
        <v>2026-09-29、2026-09-30、2026-10-01、2026-10-02、2026-10-03、2026-10-04、2026-10-05、2026-10-08、2026-10-09、2026-10-10、2026-10-11、2026-10-14、2026-10-15、2026-10-17</v>
      </c>
      <c r="AE1243" s="8" t="str">
        <v>2026-10-06 大促；2026-10-07 大促；2026-10-12 有记录的停售日；2026-10-13 有记录的停售日；2026-10-16 有记录的停售日</v>
      </c>
      <c r="AF1243" s="8" t="n">
        <v>0</v>
      </c>
      <c r="AG1243" s="8" t="n">
        <v>0</v>
      </c>
      <c r="AH1243" s="8" t="n">
        <v>14</v>
      </c>
      <c r="AI1243" s="8" t="str">
        <v>2026-09-13 至 2026-10-17</v>
      </c>
      <c r="AJ124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3" s="8" t="str">
        <v>2026-10-06 大促；2026-10-07 大促；2026-10-12 有记录的停售日；2026-10-13 有记录的停售日；2026-10-16 有记录的停售日</v>
      </c>
      <c r="AL1243" s="8" t="n">
        <v>0</v>
      </c>
      <c r="AM1243" s="8" t="n">
        <v>0</v>
      </c>
      <c r="AN1243" s="8" t="n">
        <v>30</v>
      </c>
      <c r="AO1243" s="8" t="str">
        <v>1S01 / 粉色PU / 13120</v>
      </c>
      <c r="AP1243" s="11" t="n">
        <v>0.8729500662042875</v>
      </c>
      <c r="AQ1243" s="11" t="n">
        <v>0.9355747145678367</v>
      </c>
      <c r="AR1243" s="11" t="n">
        <v>1.135973589331194</v>
      </c>
      <c r="AS1243" s="11" t="n">
        <f>IF(AND(COUNT(I1243:K1243,AP1243:AR1243)=6,MIN(AP1243:AR1243)&gt;0),I1243/7/AP1243*0.5+J1243/14/AQ1243*0.3+K1243/30/AR1243*0.2,"")</f>
        <v>0</v>
      </c>
      <c r="AT1243" s="8" t="n">
        <v>0</v>
      </c>
      <c r="AU1243" s="8" t="n">
        <v>0</v>
      </c>
      <c r="AV1243" s="8" t="n">
        <v>85</v>
      </c>
      <c r="AW1243" s="11" t="n">
        <f>IF(AND(COUNT(AT1243:AV1243)=3,AT1243&gt;=AU1243,AU1243&gt;=0,AV1243&gt;0),(AT1243-AU1243)/AV1243,"")</f>
        <v>0</v>
      </c>
      <c r="AX1243" s="8" t="n">
        <v>0</v>
      </c>
      <c r="AY1243" s="8" t="n">
        <v>0</v>
      </c>
      <c r="AZ1243" s="8" t="n">
        <v>175</v>
      </c>
      <c r="BA1243" s="11" t="n">
        <f>IF(AND(COUNT(AX1243:AZ1243)=3,AX1243&gt;=AY1243,AY1243&gt;=0,AZ1243&gt;0),(AX1243-AY1243)/AZ1243,"")</f>
        <v>0</v>
      </c>
      <c r="BB1243" s="8" t="n">
        <f>IF(COUNT(AS1243,AW1243,BA1243)=3,1,0)</f>
        <v>1</v>
      </c>
      <c r="BC1243" s="11" t="n">
        <f>IF(SUMIF($AO$11:$AO$1309,AO1243,$BB$11:$BB$1309)=COUNTIF($AO$11:$AO$1309,AO1243),SUMIF($AO$11:$AO$1309,AO1243,$AS$11:$AS$1309),"")</f>
        <v>0</v>
      </c>
      <c r="BD1243" s="11" t="n">
        <f>IF(SUMIF($AO$11:$AO$1309,AO1243,$BB$11:$BB$1309)=COUNTIF($AO$11:$AO$1309,AO1243),SUMIF($AO$11:$AO$1309,AO1243,$AW$11:$AW$1309),"")</f>
        <v>0</v>
      </c>
      <c r="BE1243" s="11" t="n">
        <f>IF(SUMIF($AO$11:$AO$1309,AO1243,$BB$11:$BB$1309)=COUNTIF($AO$11:$AO$1309,AO1243),SUMIF($AO$11:$AO$1309,AO1243,$BA$11:$BA$1309),"")</f>
        <v>0</v>
      </c>
      <c r="BF1243" s="12" t="n">
        <f>IF(COUNT(BD1243:BE1243)&lt;&gt;2,"",IF(AND(BD1243&gt;0,BE1243&gt;0),0.7*AW1243/BD1243+0.3*BA1243/BE1243,IF(BD1243&gt;0,AW1243/BD1243,IF(BE1243&gt;0,BA1243/BE1243,IF(AND(ISNUMBER(BH1243),BH1243=0),0,"")))))</f>
        <v>0</v>
      </c>
      <c r="BG1243" s="11" t="n">
        <f>IF(AND(COUNT(BN1243:BU1243)=8,MIN(BN1243:BU1243)&gt;=0),SUMPRODUCT(BN1243:BQ1243,BR1243:BU1243),"")</f>
        <v>63.935996265425516</v>
      </c>
      <c r="BH1243" s="11" t="n">
        <f>IF(COUNT(BC1243,BG1243)=2,BC1243*BG1243,"")</f>
        <v>0</v>
      </c>
      <c r="BI1243" s="11" t="n">
        <f>IF(ISNUMBER(CI1243),CI1243,"")</f>
        <v>0</v>
      </c>
      <c r="BJ1243" s="8" t="str">
        <v>近180天本色销量0双（＜90），无有效新采购，请运营判断</v>
      </c>
      <c r="BK1243" s="8" t="str">
        <v>90天：2026-07-20 至 2026-10-17；180天：2026-04-21 至 2026-10-17</v>
      </c>
      <c r="BL1243" s="8" t="str">
        <v>90天：2026-10-06、2026-10-07、2026-10-12、2026-10-13、2026-10-16；180天：2026-10-06、2026-10-07、2026-10-12、2026-10-13、2026-10-16</v>
      </c>
      <c r="BM1243" s="8" t="str">
        <v>2026-10：12天 × 0.8729500662042875；2026-11：30天 × 0.8057375774163482；2026-12：31天 × 0.532550303142279；2027-01：17天 × 0.7517299265337036</v>
      </c>
      <c r="BN1243" s="11" t="n">
        <v>0.8729500662042875</v>
      </c>
      <c r="BO1243" s="11" t="n">
        <v>0.8057375774163482</v>
      </c>
      <c r="BP1243" s="11" t="n">
        <v>0.532550303142279</v>
      </c>
      <c r="BQ1243" s="11" t="n">
        <v>0.7517299265337036</v>
      </c>
      <c r="BR1243" s="8" t="n">
        <v>12</v>
      </c>
      <c r="BS1243" s="8" t="n">
        <v>30</v>
      </c>
      <c r="BT1243" s="8" t="n">
        <v>31</v>
      </c>
      <c r="BU1243" s="8" t="n">
        <v>17</v>
      </c>
      <c r="BV1243" s="11" t="n">
        <f>IF(COUNT(BC1243,BF1243)=2,BC1243*BF1243,"")</f>
        <v>0</v>
      </c>
      <c r="BW1243" s="11" t="n">
        <f>IF(ISNUMBER(BN1243),BN1243,"")</f>
        <v>0.8729500662042875</v>
      </c>
      <c r="BX1243" s="14" t="n">
        <f>IF(ISNUMBER(BR1243),BR1243,"")</f>
        <v>12</v>
      </c>
      <c r="BY1243" s="13" t="n">
        <f>IF(AND(COUNT(BV1243,BW1243,BX1243)=3,MIN(BV1243,BW1243,BX1243)&gt;=0),BV1243*BW1243*BX1243,"")</f>
        <v>0</v>
      </c>
      <c r="BZ1243" s="11" t="n">
        <f>IF(ISNUMBER(BO1243),BO1243,"")</f>
        <v>0.8057375774163482</v>
      </c>
      <c r="CA1243" s="14" t="n">
        <f>IF(ISNUMBER(BS1243),BS1243,"")</f>
        <v>30</v>
      </c>
      <c r="CB1243" s="13" t="n">
        <f>IF(AND(COUNT(BV1243,BZ1243,CA1243)=3,MIN(BV1243,BZ1243,CA1243)&gt;=0),BV1243*BZ1243*CA1243,"")</f>
        <v>0</v>
      </c>
      <c r="CC1243" s="11" t="n">
        <f>IF(ISNUMBER(BP1243),BP1243,"")</f>
        <v>0.532550303142279</v>
      </c>
      <c r="CD1243" s="14" t="n">
        <f>IF(ISNUMBER(BT1243),BT1243,"")</f>
        <v>31</v>
      </c>
      <c r="CE1243" s="13" t="n">
        <f>IF(AND(COUNT(BV1243,CC1243,CD1243)=3,MIN(BV1243,CC1243,CD1243)&gt;=0),BV1243*CC1243*CD1243,"")</f>
        <v>0</v>
      </c>
      <c r="CF1243" s="11" t="n">
        <f>IF(ISNUMBER(BQ1243),BQ1243,"")</f>
        <v>0.7517299265337036</v>
      </c>
      <c r="CG1243" s="14" t="n">
        <f>IF(ISNUMBER(BU1243),BU1243,"")</f>
        <v>17</v>
      </c>
      <c r="CH1243" s="13" t="n">
        <f>IF(AND(COUNT(BV1243,CF1243,CG1243)=3,MIN(BV1243,CF1243,CG1243)&gt;=0),BV1243*CF1243*CG1243,"")</f>
        <v>0</v>
      </c>
      <c r="CI1243" s="13" t="n">
        <f>IF(COUNT(BY1243,CB1243,CE1243,CH1243)=4,SUM(BY1243,CB1243,CE1243,CH1243),"")</f>
        <v>0</v>
      </c>
    </row>
    <row r="1244" ht="72" customHeight="1">
      <c r="A1244" s="16" t="str">
        <v>1S01-PK-8</v>
      </c>
      <c r="B1244" s="16" t="str">
        <v>1店-MUSSHOE-US</v>
      </c>
      <c r="C1244" s="16" t="str">
        <v>徐新怡</v>
      </c>
      <c r="D1244" s="26" t="str">
        <f>IF(NOT(ISNUMBER(E1244)),"",IF(OR(E1244&lt;=0,L1244=0),0,IF(OR(NOT(ISNUMBER(F1244)),F1244&lt;0),"",MIN(E1244,INT(F1244)))))</f>
      </c>
      <c r="E1244" s="27" t="str">
        <f>IF(OR(NOT(ISNUMBER(L1244)),COUNT(M1244:O1244)&lt;&gt;3,MIN(M1244:O1244)&lt;0),"",ROUNDUP(ROUND(BI1244-SUM(M1244:O1244),10),0))</f>
      </c>
      <c r="F1244" s="28"/>
      <c r="G1244" s="28" t="str">
        <f>IF(AND(ISNUMBER(D1244),ISNUMBER(E1244)),IF(OR(E1244&lt;=0,L1244=0),0,E1244-D1244),"")</f>
      </c>
      <c r="H1244" s="16" t="str">
        <f>IF(NOT(ISNUMBER(E1244)),"销量或海外库存待补",IF(OR(E1244&lt;=0,L1244=0),IF(L1244=0,"零日销，本批不发","本批无需补货"),IF(NOT(ISNUMBER(D1244)),"国内库存待补",IF(D1244=0,"国内无可用库存",IF(G1244&gt;0,"先发国内现货","按建议量发货")))))</f>
        <v>销量或海外库存待补</v>
      </c>
      <c r="I1244" s="28" t="n">
        <f>IF(AND(COUNT(Z1244,AA1244,AB1244)=3,Z1244&gt;=AA1244,AA1244&gt;=0,AB1244=7),Z1244-AA1244,"")</f>
        <v>0</v>
      </c>
      <c r="J1244" s="28" t="n">
        <f>IF(AND(COUNT(AF1244,AG1244,AH1244)=3,AF1244&gt;=AG1244,AG1244&gt;=0,AH1244=14),AF1244-AG1244,"")</f>
        <v>0</v>
      </c>
      <c r="K1244" s="28" t="n">
        <f>IF(AND(COUNT(AL1244,AM1244,AN1244)=3,AL1244&gt;=AM1244,AM1244&gt;=0,AN1244=30),AL1244-AM1244,"")</f>
        <v>0</v>
      </c>
      <c r="L1244" s="29" t="n">
        <f>IF(ISNUMBER(BI1244),BI1244/90,"")</f>
        <v>0</v>
      </c>
      <c r="M1244" s="28"/>
      <c r="N1244" s="28"/>
      <c r="O1244" s="28"/>
      <c r="P1244" s="30" t="str">
        <f>IF(AND(ISNUMBER(L1244),L1244&gt;0,COUNT(M1244:O1244)=3,MIN(M1244:O1244)&gt;=0),SUM(M1244:O1244)/L1244,"")</f>
      </c>
      <c r="Q1244" s="16" t="str">
        <v>按本SKU唯一未删除Listing店铺核实</v>
      </c>
      <c r="R1244" s="16" t="str">
        <v>未匹配</v>
      </c>
      <c r="S1244" s="16" t="str">
        <v>停售</v>
      </c>
      <c r="T1244" s="16" t="str">
        <v>1S01</v>
      </c>
      <c r="U1244" s="16" t="str">
        <v>粉色</v>
      </c>
      <c r="V1244" s="16" t="n">
        <v>8</v>
      </c>
      <c r="W1244" s="8" t="str">
        <v>2026-10-08 至 2026-10-17</v>
      </c>
      <c r="X1244" s="8" t="str">
        <v>2026-10-08、2026-10-09、2026-10-10、2026-10-11、2026-10-14、2026-10-15、2026-10-17</v>
      </c>
      <c r="Y1244" s="8" t="str">
        <v>2026-10-12 有记录的停售日；2026-10-13 有记录的停售日；2026-10-16 有记录的停售日</v>
      </c>
      <c r="Z1244" s="8" t="n">
        <v>0</v>
      </c>
      <c r="AA1244" s="8" t="n">
        <v>0</v>
      </c>
      <c r="AB1244" s="8" t="n">
        <v>7</v>
      </c>
      <c r="AC1244" s="8" t="str">
        <v>2026-09-29 至 2026-10-17</v>
      </c>
      <c r="AD1244" s="8" t="str">
        <v>2026-09-29、2026-09-30、2026-10-01、2026-10-02、2026-10-03、2026-10-04、2026-10-05、2026-10-08、2026-10-09、2026-10-10、2026-10-11、2026-10-14、2026-10-15、2026-10-17</v>
      </c>
      <c r="AE1244" s="8" t="str">
        <v>2026-10-06 大促；2026-10-07 大促；2026-10-12 有记录的停售日；2026-10-13 有记录的停售日；2026-10-16 有记录的停售日</v>
      </c>
      <c r="AF1244" s="8" t="n">
        <v>0</v>
      </c>
      <c r="AG1244" s="8" t="n">
        <v>0</v>
      </c>
      <c r="AH1244" s="8" t="n">
        <v>14</v>
      </c>
      <c r="AI1244" s="8" t="str">
        <v>2026-09-13 至 2026-10-17</v>
      </c>
      <c r="AJ124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4" s="8" t="str">
        <v>2026-10-06 大促；2026-10-07 大促；2026-10-12 有记录的停售日；2026-10-13 有记录的停售日；2026-10-16 有记录的停售日</v>
      </c>
      <c r="AL1244" s="8" t="n">
        <v>0</v>
      </c>
      <c r="AM1244" s="8" t="n">
        <v>0</v>
      </c>
      <c r="AN1244" s="8" t="n">
        <v>30</v>
      </c>
      <c r="AO1244" s="8" t="str">
        <v>1S01 / 粉色PU / 13120</v>
      </c>
      <c r="AP1244" s="11" t="n">
        <v>0.8729500662042875</v>
      </c>
      <c r="AQ1244" s="11" t="n">
        <v>0.9355747145678367</v>
      </c>
      <c r="AR1244" s="11" t="n">
        <v>1.135973589331194</v>
      </c>
      <c r="AS1244" s="11" t="n">
        <f>IF(AND(COUNT(I1244:K1244,AP1244:AR1244)=6,MIN(AP1244:AR1244)&gt;0),I1244/7/AP1244*0.5+J1244/14/AQ1244*0.3+K1244/30/AR1244*0.2,"")</f>
        <v>0</v>
      </c>
      <c r="AT1244" s="8" t="n">
        <v>0</v>
      </c>
      <c r="AU1244" s="8" t="n">
        <v>0</v>
      </c>
      <c r="AV1244" s="8" t="n">
        <v>85</v>
      </c>
      <c r="AW1244" s="11" t="n">
        <f>IF(AND(COUNT(AT1244:AV1244)=3,AT1244&gt;=AU1244,AU1244&gt;=0,AV1244&gt;0),(AT1244-AU1244)/AV1244,"")</f>
        <v>0</v>
      </c>
      <c r="AX1244" s="8" t="n">
        <v>0</v>
      </c>
      <c r="AY1244" s="8" t="n">
        <v>0</v>
      </c>
      <c r="AZ1244" s="8" t="n">
        <v>175</v>
      </c>
      <c r="BA1244" s="11" t="n">
        <f>IF(AND(COUNT(AX1244:AZ1244)=3,AX1244&gt;=AY1244,AY1244&gt;=0,AZ1244&gt;0),(AX1244-AY1244)/AZ1244,"")</f>
        <v>0</v>
      </c>
      <c r="BB1244" s="8" t="n">
        <f>IF(COUNT(AS1244,AW1244,BA1244)=3,1,0)</f>
        <v>1</v>
      </c>
      <c r="BC1244" s="11" t="n">
        <f>IF(SUMIF($AO$11:$AO$1309,AO1244,$BB$11:$BB$1309)=COUNTIF($AO$11:$AO$1309,AO1244),SUMIF($AO$11:$AO$1309,AO1244,$AS$11:$AS$1309),"")</f>
        <v>0</v>
      </c>
      <c r="BD1244" s="11" t="n">
        <f>IF(SUMIF($AO$11:$AO$1309,AO1244,$BB$11:$BB$1309)=COUNTIF($AO$11:$AO$1309,AO1244),SUMIF($AO$11:$AO$1309,AO1244,$AW$11:$AW$1309),"")</f>
        <v>0</v>
      </c>
      <c r="BE1244" s="11" t="n">
        <f>IF(SUMIF($AO$11:$AO$1309,AO1244,$BB$11:$BB$1309)=COUNTIF($AO$11:$AO$1309,AO1244),SUMIF($AO$11:$AO$1309,AO1244,$BA$11:$BA$1309),"")</f>
        <v>0</v>
      </c>
      <c r="BF1244" s="12" t="n">
        <f>IF(COUNT(BD1244:BE1244)&lt;&gt;2,"",IF(AND(BD1244&gt;0,BE1244&gt;0),0.7*AW1244/BD1244+0.3*BA1244/BE1244,IF(BD1244&gt;0,AW1244/BD1244,IF(BE1244&gt;0,BA1244/BE1244,IF(AND(ISNUMBER(BH1244),BH1244=0),0,"")))))</f>
        <v>0</v>
      </c>
      <c r="BG1244" s="11" t="n">
        <f>IF(AND(COUNT(BN1244:BU1244)=8,MIN(BN1244:BU1244)&gt;=0),SUMPRODUCT(BN1244:BQ1244,BR1244:BU1244),"")</f>
        <v>63.935996265425516</v>
      </c>
      <c r="BH1244" s="11" t="n">
        <f>IF(COUNT(BC1244,BG1244)=2,BC1244*BG1244,"")</f>
        <v>0</v>
      </c>
      <c r="BI1244" s="11" t="n">
        <f>IF(ISNUMBER(CI1244),CI1244,"")</f>
        <v>0</v>
      </c>
      <c r="BJ1244" s="8" t="str">
        <v>近180天本色销量0双（＜90），无有效新采购，请运营判断</v>
      </c>
      <c r="BK1244" s="8" t="str">
        <v>90天：2026-07-20 至 2026-10-17；180天：2026-04-21 至 2026-10-17</v>
      </c>
      <c r="BL1244" s="8" t="str">
        <v>90天：2026-10-06、2026-10-07、2026-10-12、2026-10-13、2026-10-16；180天：2026-10-06、2026-10-07、2026-10-12、2026-10-13、2026-10-16</v>
      </c>
      <c r="BM1244" s="8" t="str">
        <v>2026-10：12天 × 0.8729500662042875；2026-11：30天 × 0.8057375774163482；2026-12：31天 × 0.532550303142279；2027-01：17天 × 0.7517299265337036</v>
      </c>
      <c r="BN1244" s="11" t="n">
        <v>0.8729500662042875</v>
      </c>
      <c r="BO1244" s="11" t="n">
        <v>0.8057375774163482</v>
      </c>
      <c r="BP1244" s="11" t="n">
        <v>0.532550303142279</v>
      </c>
      <c r="BQ1244" s="11" t="n">
        <v>0.7517299265337036</v>
      </c>
      <c r="BR1244" s="8" t="n">
        <v>12</v>
      </c>
      <c r="BS1244" s="8" t="n">
        <v>30</v>
      </c>
      <c r="BT1244" s="8" t="n">
        <v>31</v>
      </c>
      <c r="BU1244" s="8" t="n">
        <v>17</v>
      </c>
      <c r="BV1244" s="11" t="n">
        <f>IF(COUNT(BC1244,BF1244)=2,BC1244*BF1244,"")</f>
        <v>0</v>
      </c>
      <c r="BW1244" s="11" t="n">
        <f>IF(ISNUMBER(BN1244),BN1244,"")</f>
        <v>0.8729500662042875</v>
      </c>
      <c r="BX1244" s="14" t="n">
        <f>IF(ISNUMBER(BR1244),BR1244,"")</f>
        <v>12</v>
      </c>
      <c r="BY1244" s="13" t="n">
        <f>IF(AND(COUNT(BV1244,BW1244,BX1244)=3,MIN(BV1244,BW1244,BX1244)&gt;=0),BV1244*BW1244*BX1244,"")</f>
        <v>0</v>
      </c>
      <c r="BZ1244" s="11" t="n">
        <f>IF(ISNUMBER(BO1244),BO1244,"")</f>
        <v>0.8057375774163482</v>
      </c>
      <c r="CA1244" s="14" t="n">
        <f>IF(ISNUMBER(BS1244),BS1244,"")</f>
        <v>30</v>
      </c>
      <c r="CB1244" s="13" t="n">
        <f>IF(AND(COUNT(BV1244,BZ1244,CA1244)=3,MIN(BV1244,BZ1244,CA1244)&gt;=0),BV1244*BZ1244*CA1244,"")</f>
        <v>0</v>
      </c>
      <c r="CC1244" s="11" t="n">
        <f>IF(ISNUMBER(BP1244),BP1244,"")</f>
        <v>0.532550303142279</v>
      </c>
      <c r="CD1244" s="14" t="n">
        <f>IF(ISNUMBER(BT1244),BT1244,"")</f>
        <v>31</v>
      </c>
      <c r="CE1244" s="13" t="n">
        <f>IF(AND(COUNT(BV1244,CC1244,CD1244)=3,MIN(BV1244,CC1244,CD1244)&gt;=0),BV1244*CC1244*CD1244,"")</f>
        <v>0</v>
      </c>
      <c r="CF1244" s="11" t="n">
        <f>IF(ISNUMBER(BQ1244),BQ1244,"")</f>
        <v>0.7517299265337036</v>
      </c>
      <c r="CG1244" s="14" t="n">
        <f>IF(ISNUMBER(BU1244),BU1244,"")</f>
        <v>17</v>
      </c>
      <c r="CH1244" s="13" t="n">
        <f>IF(AND(COUNT(BV1244,CF1244,CG1244)=3,MIN(BV1244,CF1244,CG1244)&gt;=0),BV1244*CF1244*CG1244,"")</f>
        <v>0</v>
      </c>
      <c r="CI1244" s="13" t="n">
        <f>IF(COUNT(BY1244,CB1244,CE1244,CH1244)=4,SUM(BY1244,CB1244,CE1244,CH1244),"")</f>
        <v>0</v>
      </c>
    </row>
    <row r="1245" ht="72" customHeight="1">
      <c r="A1245" s="16" t="str">
        <v>1S01-PK-9</v>
      </c>
      <c r="B1245" s="16" t="str">
        <v>1店-MUSSHOE-US</v>
      </c>
      <c r="C1245" s="16" t="str">
        <v>徐新怡</v>
      </c>
      <c r="D1245" s="26" t="str">
        <f>IF(NOT(ISNUMBER(E1245)),"",IF(OR(E1245&lt;=0,L1245=0),0,IF(OR(NOT(ISNUMBER(F1245)),F1245&lt;0),"",MIN(E1245,INT(F1245)))))</f>
      </c>
      <c r="E1245" s="27" t="str">
        <f>IF(OR(NOT(ISNUMBER(L1245)),COUNT(M1245:O1245)&lt;&gt;3,MIN(M1245:O1245)&lt;0),"",ROUNDUP(ROUND(BI1245-SUM(M1245:O1245),10),0))</f>
      </c>
      <c r="F1245" s="28"/>
      <c r="G1245" s="28" t="str">
        <f>IF(AND(ISNUMBER(D1245),ISNUMBER(E1245)),IF(OR(E1245&lt;=0,L1245=0),0,E1245-D1245),"")</f>
      </c>
      <c r="H1245" s="16" t="str">
        <f>IF(NOT(ISNUMBER(E1245)),"销量或海外库存待补",IF(OR(E1245&lt;=0,L1245=0),IF(L1245=0,"零日销，本批不发","本批无需补货"),IF(NOT(ISNUMBER(D1245)),"国内库存待补",IF(D1245=0,"国内无可用库存",IF(G1245&gt;0,"先发国内现货","按建议量发货")))))</f>
        <v>销量或海外库存待补</v>
      </c>
      <c r="I1245" s="28" t="n">
        <f>IF(AND(COUNT(Z1245,AA1245,AB1245)=3,Z1245&gt;=AA1245,AA1245&gt;=0,AB1245=7),Z1245-AA1245,"")</f>
        <v>0</v>
      </c>
      <c r="J1245" s="28" t="n">
        <f>IF(AND(COUNT(AF1245,AG1245,AH1245)=3,AF1245&gt;=AG1245,AG1245&gt;=0,AH1245=14),AF1245-AG1245,"")</f>
        <v>0</v>
      </c>
      <c r="K1245" s="28" t="n">
        <f>IF(AND(COUNT(AL1245,AM1245,AN1245)=3,AL1245&gt;=AM1245,AM1245&gt;=0,AN1245=30),AL1245-AM1245,"")</f>
        <v>0</v>
      </c>
      <c r="L1245" s="29" t="n">
        <f>IF(ISNUMBER(BI1245),BI1245/90,"")</f>
        <v>0</v>
      </c>
      <c r="M1245" s="28"/>
      <c r="N1245" s="28"/>
      <c r="O1245" s="28"/>
      <c r="P1245" s="30" t="str">
        <f>IF(AND(ISNUMBER(L1245),L1245&gt;0,COUNT(M1245:O1245)=3,MIN(M1245:O1245)&gt;=0),SUM(M1245:O1245)/L1245,"")</f>
      </c>
      <c r="Q1245" s="16" t="str">
        <v>按本SKU唯一未删除Listing店铺核实</v>
      </c>
      <c r="R1245" s="16" t="str">
        <v>未匹配</v>
      </c>
      <c r="S1245" s="16" t="str">
        <v>停售</v>
      </c>
      <c r="T1245" s="16" t="str">
        <v>1S01</v>
      </c>
      <c r="U1245" s="16" t="str">
        <v>粉色</v>
      </c>
      <c r="V1245" s="16" t="n">
        <v>9</v>
      </c>
      <c r="W1245" s="8" t="str">
        <v>2026-10-08 至 2026-10-17</v>
      </c>
      <c r="X1245" s="8" t="str">
        <v>2026-10-08、2026-10-09、2026-10-10、2026-10-11、2026-10-14、2026-10-15、2026-10-17</v>
      </c>
      <c r="Y1245" s="8" t="str">
        <v>2026-10-12 有记录的停售日；2026-10-13 有记录的停售日；2026-10-16 有记录的停售日</v>
      </c>
      <c r="Z1245" s="8" t="n">
        <v>0</v>
      </c>
      <c r="AA1245" s="8" t="n">
        <v>0</v>
      </c>
      <c r="AB1245" s="8" t="n">
        <v>7</v>
      </c>
      <c r="AC1245" s="8" t="str">
        <v>2026-09-29 至 2026-10-17</v>
      </c>
      <c r="AD1245" s="8" t="str">
        <v>2026-09-29、2026-09-30、2026-10-01、2026-10-02、2026-10-03、2026-10-04、2026-10-05、2026-10-08、2026-10-09、2026-10-10、2026-10-11、2026-10-14、2026-10-15、2026-10-17</v>
      </c>
      <c r="AE1245" s="8" t="str">
        <v>2026-10-06 大促；2026-10-07 大促；2026-10-12 有记录的停售日；2026-10-13 有记录的停售日；2026-10-16 有记录的停售日</v>
      </c>
      <c r="AF1245" s="8" t="n">
        <v>0</v>
      </c>
      <c r="AG1245" s="8" t="n">
        <v>0</v>
      </c>
      <c r="AH1245" s="8" t="n">
        <v>14</v>
      </c>
      <c r="AI1245" s="8" t="str">
        <v>2026-09-13 至 2026-10-17</v>
      </c>
      <c r="AJ124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5" s="8" t="str">
        <v>2026-10-06 大促；2026-10-07 大促；2026-10-12 有记录的停售日；2026-10-13 有记录的停售日；2026-10-16 有记录的停售日</v>
      </c>
      <c r="AL1245" s="8" t="n">
        <v>0</v>
      </c>
      <c r="AM1245" s="8" t="n">
        <v>0</v>
      </c>
      <c r="AN1245" s="8" t="n">
        <v>30</v>
      </c>
      <c r="AO1245" s="8" t="str">
        <v>1S01 / 粉色PU / 13120</v>
      </c>
      <c r="AP1245" s="11" t="n">
        <v>0.8729500662042875</v>
      </c>
      <c r="AQ1245" s="11" t="n">
        <v>0.9355747145678367</v>
      </c>
      <c r="AR1245" s="11" t="n">
        <v>1.135973589331194</v>
      </c>
      <c r="AS1245" s="11" t="n">
        <f>IF(AND(COUNT(I1245:K1245,AP1245:AR1245)=6,MIN(AP1245:AR1245)&gt;0),I1245/7/AP1245*0.5+J1245/14/AQ1245*0.3+K1245/30/AR1245*0.2,"")</f>
        <v>0</v>
      </c>
      <c r="AT1245" s="8" t="n">
        <v>0</v>
      </c>
      <c r="AU1245" s="8" t="n">
        <v>0</v>
      </c>
      <c r="AV1245" s="8" t="n">
        <v>85</v>
      </c>
      <c r="AW1245" s="11" t="n">
        <f>IF(AND(COUNT(AT1245:AV1245)=3,AT1245&gt;=AU1245,AU1245&gt;=0,AV1245&gt;0),(AT1245-AU1245)/AV1245,"")</f>
        <v>0</v>
      </c>
      <c r="AX1245" s="8" t="n">
        <v>0</v>
      </c>
      <c r="AY1245" s="8" t="n">
        <v>0</v>
      </c>
      <c r="AZ1245" s="8" t="n">
        <v>175</v>
      </c>
      <c r="BA1245" s="11" t="n">
        <f>IF(AND(COUNT(AX1245:AZ1245)=3,AX1245&gt;=AY1245,AY1245&gt;=0,AZ1245&gt;0),(AX1245-AY1245)/AZ1245,"")</f>
        <v>0</v>
      </c>
      <c r="BB1245" s="8" t="n">
        <f>IF(COUNT(AS1245,AW1245,BA1245)=3,1,0)</f>
        <v>1</v>
      </c>
      <c r="BC1245" s="11" t="n">
        <f>IF(SUMIF($AO$11:$AO$1309,AO1245,$BB$11:$BB$1309)=COUNTIF($AO$11:$AO$1309,AO1245),SUMIF($AO$11:$AO$1309,AO1245,$AS$11:$AS$1309),"")</f>
        <v>0</v>
      </c>
      <c r="BD1245" s="11" t="n">
        <f>IF(SUMIF($AO$11:$AO$1309,AO1245,$BB$11:$BB$1309)=COUNTIF($AO$11:$AO$1309,AO1245),SUMIF($AO$11:$AO$1309,AO1245,$AW$11:$AW$1309),"")</f>
        <v>0</v>
      </c>
      <c r="BE1245" s="11" t="n">
        <f>IF(SUMIF($AO$11:$AO$1309,AO1245,$BB$11:$BB$1309)=COUNTIF($AO$11:$AO$1309,AO1245),SUMIF($AO$11:$AO$1309,AO1245,$BA$11:$BA$1309),"")</f>
        <v>0</v>
      </c>
      <c r="BF1245" s="12" t="n">
        <f>IF(COUNT(BD1245:BE1245)&lt;&gt;2,"",IF(AND(BD1245&gt;0,BE1245&gt;0),0.7*AW1245/BD1245+0.3*BA1245/BE1245,IF(BD1245&gt;0,AW1245/BD1245,IF(BE1245&gt;0,BA1245/BE1245,IF(AND(ISNUMBER(BH1245),BH1245=0),0,"")))))</f>
        <v>0</v>
      </c>
      <c r="BG1245" s="11" t="n">
        <f>IF(AND(COUNT(BN1245:BU1245)=8,MIN(BN1245:BU1245)&gt;=0),SUMPRODUCT(BN1245:BQ1245,BR1245:BU1245),"")</f>
        <v>63.935996265425516</v>
      </c>
      <c r="BH1245" s="11" t="n">
        <f>IF(COUNT(BC1245,BG1245)=2,BC1245*BG1245,"")</f>
        <v>0</v>
      </c>
      <c r="BI1245" s="11" t="n">
        <f>IF(ISNUMBER(CI1245),CI1245,"")</f>
        <v>0</v>
      </c>
      <c r="BJ1245" s="8" t="str">
        <v>近180天本色销量0双（＜90），无有效新采购，请运营判断</v>
      </c>
      <c r="BK1245" s="8" t="str">
        <v>90天：2026-07-20 至 2026-10-17；180天：2026-04-21 至 2026-10-17</v>
      </c>
      <c r="BL1245" s="8" t="str">
        <v>90天：2026-10-06、2026-10-07、2026-10-12、2026-10-13、2026-10-16；180天：2026-10-06、2026-10-07、2026-10-12、2026-10-13、2026-10-16</v>
      </c>
      <c r="BM1245" s="8" t="str">
        <v>2026-10：12天 × 0.8729500662042875；2026-11：30天 × 0.8057375774163482；2026-12：31天 × 0.532550303142279；2027-01：17天 × 0.7517299265337036</v>
      </c>
      <c r="BN1245" s="11" t="n">
        <v>0.8729500662042875</v>
      </c>
      <c r="BO1245" s="11" t="n">
        <v>0.8057375774163482</v>
      </c>
      <c r="BP1245" s="11" t="n">
        <v>0.532550303142279</v>
      </c>
      <c r="BQ1245" s="11" t="n">
        <v>0.7517299265337036</v>
      </c>
      <c r="BR1245" s="8" t="n">
        <v>12</v>
      </c>
      <c r="BS1245" s="8" t="n">
        <v>30</v>
      </c>
      <c r="BT1245" s="8" t="n">
        <v>31</v>
      </c>
      <c r="BU1245" s="8" t="n">
        <v>17</v>
      </c>
      <c r="BV1245" s="11" t="n">
        <f>IF(COUNT(BC1245,BF1245)=2,BC1245*BF1245,"")</f>
        <v>0</v>
      </c>
      <c r="BW1245" s="11" t="n">
        <f>IF(ISNUMBER(BN1245),BN1245,"")</f>
        <v>0.8729500662042875</v>
      </c>
      <c r="BX1245" s="14" t="n">
        <f>IF(ISNUMBER(BR1245),BR1245,"")</f>
        <v>12</v>
      </c>
      <c r="BY1245" s="13" t="n">
        <f>IF(AND(COUNT(BV1245,BW1245,BX1245)=3,MIN(BV1245,BW1245,BX1245)&gt;=0),BV1245*BW1245*BX1245,"")</f>
        <v>0</v>
      </c>
      <c r="BZ1245" s="11" t="n">
        <f>IF(ISNUMBER(BO1245),BO1245,"")</f>
        <v>0.8057375774163482</v>
      </c>
      <c r="CA1245" s="14" t="n">
        <f>IF(ISNUMBER(BS1245),BS1245,"")</f>
        <v>30</v>
      </c>
      <c r="CB1245" s="13" t="n">
        <f>IF(AND(COUNT(BV1245,BZ1245,CA1245)=3,MIN(BV1245,BZ1245,CA1245)&gt;=0),BV1245*BZ1245*CA1245,"")</f>
        <v>0</v>
      </c>
      <c r="CC1245" s="11" t="n">
        <f>IF(ISNUMBER(BP1245),BP1245,"")</f>
        <v>0.532550303142279</v>
      </c>
      <c r="CD1245" s="14" t="n">
        <f>IF(ISNUMBER(BT1245),BT1245,"")</f>
        <v>31</v>
      </c>
      <c r="CE1245" s="13" t="n">
        <f>IF(AND(COUNT(BV1245,CC1245,CD1245)=3,MIN(BV1245,CC1245,CD1245)&gt;=0),BV1245*CC1245*CD1245,"")</f>
        <v>0</v>
      </c>
      <c r="CF1245" s="11" t="n">
        <f>IF(ISNUMBER(BQ1245),BQ1245,"")</f>
        <v>0.7517299265337036</v>
      </c>
      <c r="CG1245" s="14" t="n">
        <f>IF(ISNUMBER(BU1245),BU1245,"")</f>
        <v>17</v>
      </c>
      <c r="CH1245" s="13" t="n">
        <f>IF(AND(COUNT(BV1245,CF1245,CG1245)=3,MIN(BV1245,CF1245,CG1245)&gt;=0),BV1245*CF1245*CG1245,"")</f>
        <v>0</v>
      </c>
      <c r="CI1245" s="13" t="n">
        <f>IF(COUNT(BY1245,CB1245,CE1245,CH1245)=4,SUM(BY1245,CB1245,CE1245,CH1245),"")</f>
        <v>0</v>
      </c>
    </row>
    <row r="1246" ht="72" customHeight="1">
      <c r="A1246" s="16" t="str">
        <v>1S01-TV-37</v>
      </c>
      <c r="B1246" s="16" t="str">
        <v>1店-MUSSHOE-US</v>
      </c>
      <c r="C1246" s="16" t="str">
        <v>徐新怡</v>
      </c>
      <c r="D1246" s="26" t="str">
        <f>IF(NOT(ISNUMBER(E1246)),"",IF(OR(E1246&lt;=0,L1246=0),0,IF(OR(NOT(ISNUMBER(F1246)),F1246&lt;0),"",MIN(E1246,INT(F1246)))))</f>
      </c>
      <c r="E1246" s="27" t="str">
        <f>IF(OR(NOT(ISNUMBER(L1246)),COUNT(M1246:O1246)&lt;&gt;3,MIN(M1246:O1246)&lt;0),"",ROUNDUP(ROUND(BI1246-SUM(M1246:O1246),10),0))</f>
      </c>
      <c r="F1246" s="28"/>
      <c r="G1246" s="28" t="str">
        <f>IF(AND(ISNUMBER(D1246),ISNUMBER(E1246)),IF(OR(E1246&lt;=0,L1246=0),0,E1246-D1246),"")</f>
      </c>
      <c r="H1246" s="16" t="str">
        <f>IF(NOT(ISNUMBER(E1246)),"销量或海外库存待补",IF(OR(E1246&lt;=0,L1246=0),IF(L1246=0,"零日销，本批不发","本批无需补货"),IF(NOT(ISNUMBER(D1246)),"国内库存待补",IF(D1246=0,"国内无可用库存",IF(G1246&gt;0,"先发国内现货","按建议量发货")))))</f>
        <v>销量或海外库存待补</v>
      </c>
      <c r="I1246" s="28" t="n">
        <f>IF(AND(COUNT(Z1246,AA1246,AB1246)=3,Z1246&gt;=AA1246,AA1246&gt;=0,AB1246=7),Z1246-AA1246,"")</f>
        <v>0</v>
      </c>
      <c r="J1246" s="28" t="n">
        <f>IF(AND(COUNT(AF1246,AG1246,AH1246)=3,AF1246&gt;=AG1246,AG1246&gt;=0,AH1246=14),AF1246-AG1246,"")</f>
        <v>0</v>
      </c>
      <c r="K1246" s="28" t="n">
        <f>IF(AND(COUNT(AL1246,AM1246,AN1246)=3,AL1246&gt;=AM1246,AM1246&gt;=0,AN1246=30),AL1246-AM1246,"")</f>
        <v>0</v>
      </c>
      <c r="L1246" s="29" t="n">
        <f>IF(ISNUMBER(BI1246),BI1246/90,"")</f>
        <v>0</v>
      </c>
      <c r="M1246" s="28"/>
      <c r="N1246" s="28"/>
      <c r="O1246" s="28"/>
      <c r="P1246" s="30" t="str">
        <f>IF(AND(ISNUMBER(L1246),L1246&gt;0,COUNT(M1246:O1246)=3,MIN(M1246:O1246)&gt;=0),SUM(M1246:O1246)/L1246,"")</f>
      </c>
      <c r="Q1246" s="16" t="str">
        <v>按本SKU唯一未删除Listing店铺核实</v>
      </c>
      <c r="R1246" s="16" t="str">
        <v>未匹配</v>
      </c>
      <c r="S1246" s="16" t="str">
        <v>停售</v>
      </c>
      <c r="T1246" s="16" t="str">
        <v>1S01</v>
      </c>
      <c r="U1246" s="16" t="str">
        <v>银色金属</v>
      </c>
      <c r="V1246" s="16" t="n">
        <v>6</v>
      </c>
      <c r="W1246" s="8" t="str">
        <v>2026-10-08 至 2026-10-17</v>
      </c>
      <c r="X1246" s="8" t="str">
        <v>2026-10-08、2026-10-09、2026-10-10、2026-10-11、2026-10-14、2026-10-15、2026-10-17</v>
      </c>
      <c r="Y1246" s="8" t="str">
        <v>2026-10-12 有记录的停售日；2026-10-13 有记录的停售日；2026-10-16 有记录的停售日</v>
      </c>
      <c r="Z1246" s="8" t="n">
        <v>0</v>
      </c>
      <c r="AA1246" s="8" t="n">
        <v>0</v>
      </c>
      <c r="AB1246" s="8" t="n">
        <v>7</v>
      </c>
      <c r="AC1246" s="8" t="str">
        <v>2026-09-29 至 2026-10-17</v>
      </c>
      <c r="AD1246" s="8" t="str">
        <v>2026-09-29、2026-09-30、2026-10-01、2026-10-02、2026-10-03、2026-10-04、2026-10-05、2026-10-08、2026-10-09、2026-10-10、2026-10-11、2026-10-14、2026-10-15、2026-10-17</v>
      </c>
      <c r="AE1246" s="8" t="str">
        <v>2026-10-06 大促；2026-10-07 大促；2026-10-12 有记录的停售日；2026-10-13 有记录的停售日；2026-10-16 有记录的停售日</v>
      </c>
      <c r="AF1246" s="8" t="n">
        <v>0</v>
      </c>
      <c r="AG1246" s="8" t="n">
        <v>0</v>
      </c>
      <c r="AH1246" s="8" t="n">
        <v>14</v>
      </c>
      <c r="AI1246" s="8" t="str">
        <v>2026-09-13 至 2026-10-17</v>
      </c>
      <c r="AJ124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6" s="8" t="str">
        <v>2026-10-06 大促；2026-10-07 大促；2026-10-12 有记录的停售日；2026-10-13 有记录的停售日；2026-10-16 有记录的停售日</v>
      </c>
      <c r="AL1246" s="8" t="n">
        <v>0</v>
      </c>
      <c r="AM1246" s="8" t="n">
        <v>0</v>
      </c>
      <c r="AN1246" s="8" t="n">
        <v>30</v>
      </c>
      <c r="AO1246" s="8" t="str">
        <v>1S01 / 银色金属PU / 13120</v>
      </c>
      <c r="AP1246" s="11" t="n">
        <v>0.8729500662042875</v>
      </c>
      <c r="AQ1246" s="11" t="n">
        <v>0.9355747145678367</v>
      </c>
      <c r="AR1246" s="11" t="n">
        <v>1.135973589331194</v>
      </c>
      <c r="AS1246" s="11" t="n">
        <f>IF(AND(COUNT(I1246:K1246,AP1246:AR1246)=6,MIN(AP1246:AR1246)&gt;0),I1246/7/AP1246*0.5+J1246/14/AQ1246*0.3+K1246/30/AR1246*0.2,"")</f>
        <v>0</v>
      </c>
      <c r="AT1246" s="8" t="n">
        <v>0</v>
      </c>
      <c r="AU1246" s="8" t="n">
        <v>0</v>
      </c>
      <c r="AV1246" s="8" t="n">
        <v>85</v>
      </c>
      <c r="AW1246" s="11" t="n">
        <f>IF(AND(COUNT(AT1246:AV1246)=3,AT1246&gt;=AU1246,AU1246&gt;=0,AV1246&gt;0),(AT1246-AU1246)/AV1246,"")</f>
        <v>0</v>
      </c>
      <c r="AX1246" s="8" t="n">
        <v>0</v>
      </c>
      <c r="AY1246" s="8" t="n">
        <v>0</v>
      </c>
      <c r="AZ1246" s="8" t="n">
        <v>175</v>
      </c>
      <c r="BA1246" s="11" t="n">
        <f>IF(AND(COUNT(AX1246:AZ1246)=3,AX1246&gt;=AY1246,AY1246&gt;=0,AZ1246&gt;0),(AX1246-AY1246)/AZ1246,"")</f>
        <v>0</v>
      </c>
      <c r="BB1246" s="8" t="n">
        <f>IF(COUNT(AS1246,AW1246,BA1246)=3,1,0)</f>
        <v>1</v>
      </c>
      <c r="BC1246" s="11" t="n">
        <f>IF(SUMIF($AO$11:$AO$1309,AO1246,$BB$11:$BB$1309)=COUNTIF($AO$11:$AO$1309,AO1246),SUMIF($AO$11:$AO$1309,AO1246,$AS$11:$AS$1309),"")</f>
        <v>0</v>
      </c>
      <c r="BD1246" s="11" t="n">
        <f>IF(SUMIF($AO$11:$AO$1309,AO1246,$BB$11:$BB$1309)=COUNTIF($AO$11:$AO$1309,AO1246),SUMIF($AO$11:$AO$1309,AO1246,$AW$11:$AW$1309),"")</f>
        <v>0</v>
      </c>
      <c r="BE1246" s="11" t="n">
        <f>IF(SUMIF($AO$11:$AO$1309,AO1246,$BB$11:$BB$1309)=COUNTIF($AO$11:$AO$1309,AO1246),SUMIF($AO$11:$AO$1309,AO1246,$BA$11:$BA$1309),"")</f>
        <v>0</v>
      </c>
      <c r="BF1246" s="12" t="n">
        <f>IF(COUNT(BD1246:BE1246)&lt;&gt;2,"",IF(AND(BD1246&gt;0,BE1246&gt;0),0.7*AW1246/BD1246+0.3*BA1246/BE1246,IF(BD1246&gt;0,AW1246/BD1246,IF(BE1246&gt;0,BA1246/BE1246,IF(AND(ISNUMBER(BH1246),BH1246=0),0,"")))))</f>
        <v>0</v>
      </c>
      <c r="BG1246" s="11" t="n">
        <f>IF(AND(COUNT(BN1246:BU1246)=8,MIN(BN1246:BU1246)&gt;=0),SUMPRODUCT(BN1246:BQ1246,BR1246:BU1246),"")</f>
        <v>63.935996265425516</v>
      </c>
      <c r="BH1246" s="11" t="n">
        <f>IF(COUNT(BC1246,BG1246)=2,BC1246*BG1246,"")</f>
        <v>0</v>
      </c>
      <c r="BI1246" s="11" t="n">
        <f>IF(ISNUMBER(CI1246),CI1246,"")</f>
        <v>0</v>
      </c>
      <c r="BJ1246" s="8" t="str">
        <v>近180天本色销量0双（＜90），无有效新采购，请运营判断</v>
      </c>
      <c r="BK1246" s="8" t="str">
        <v>90天：2026-07-20 至 2026-10-17；180天：2026-04-21 至 2026-10-17</v>
      </c>
      <c r="BL1246" s="8" t="str">
        <v>90天：2026-10-06、2026-10-07、2026-10-12、2026-10-13、2026-10-16；180天：2026-10-06、2026-10-07、2026-10-12、2026-10-13、2026-10-16</v>
      </c>
      <c r="BM1246" s="8" t="str">
        <v>2026-10：12天 × 0.8729500662042875；2026-11：30天 × 0.8057375774163482；2026-12：31天 × 0.532550303142279；2027-01：17天 × 0.7517299265337036</v>
      </c>
      <c r="BN1246" s="11" t="n">
        <v>0.8729500662042875</v>
      </c>
      <c r="BO1246" s="11" t="n">
        <v>0.8057375774163482</v>
      </c>
      <c r="BP1246" s="11" t="n">
        <v>0.532550303142279</v>
      </c>
      <c r="BQ1246" s="11" t="n">
        <v>0.7517299265337036</v>
      </c>
      <c r="BR1246" s="8" t="n">
        <v>12</v>
      </c>
      <c r="BS1246" s="8" t="n">
        <v>30</v>
      </c>
      <c r="BT1246" s="8" t="n">
        <v>31</v>
      </c>
      <c r="BU1246" s="8" t="n">
        <v>17</v>
      </c>
      <c r="BV1246" s="11" t="n">
        <f>IF(COUNT(BC1246,BF1246)=2,BC1246*BF1246,"")</f>
        <v>0</v>
      </c>
      <c r="BW1246" s="11" t="n">
        <f>IF(ISNUMBER(BN1246),BN1246,"")</f>
        <v>0.8729500662042875</v>
      </c>
      <c r="BX1246" s="14" t="n">
        <f>IF(ISNUMBER(BR1246),BR1246,"")</f>
        <v>12</v>
      </c>
      <c r="BY1246" s="13" t="n">
        <f>IF(AND(COUNT(BV1246,BW1246,BX1246)=3,MIN(BV1246,BW1246,BX1246)&gt;=0),BV1246*BW1246*BX1246,"")</f>
        <v>0</v>
      </c>
      <c r="BZ1246" s="11" t="n">
        <f>IF(ISNUMBER(BO1246),BO1246,"")</f>
        <v>0.8057375774163482</v>
      </c>
      <c r="CA1246" s="14" t="n">
        <f>IF(ISNUMBER(BS1246),BS1246,"")</f>
        <v>30</v>
      </c>
      <c r="CB1246" s="13" t="n">
        <f>IF(AND(COUNT(BV1246,BZ1246,CA1246)=3,MIN(BV1246,BZ1246,CA1246)&gt;=0),BV1246*BZ1246*CA1246,"")</f>
        <v>0</v>
      </c>
      <c r="CC1246" s="11" t="n">
        <f>IF(ISNUMBER(BP1246),BP1246,"")</f>
        <v>0.532550303142279</v>
      </c>
      <c r="CD1246" s="14" t="n">
        <f>IF(ISNUMBER(BT1246),BT1246,"")</f>
        <v>31</v>
      </c>
      <c r="CE1246" s="13" t="n">
        <f>IF(AND(COUNT(BV1246,CC1246,CD1246)=3,MIN(BV1246,CC1246,CD1246)&gt;=0),BV1246*CC1246*CD1246,"")</f>
        <v>0</v>
      </c>
      <c r="CF1246" s="11" t="n">
        <f>IF(ISNUMBER(BQ1246),BQ1246,"")</f>
        <v>0.7517299265337036</v>
      </c>
      <c r="CG1246" s="14" t="n">
        <f>IF(ISNUMBER(BU1246),BU1246,"")</f>
        <v>17</v>
      </c>
      <c r="CH1246" s="13" t="n">
        <f>IF(AND(COUNT(BV1246,CF1246,CG1246)=3,MIN(BV1246,CF1246,CG1246)&gt;=0),BV1246*CF1246*CG1246,"")</f>
        <v>0</v>
      </c>
      <c r="CI1246" s="13" t="n">
        <f>IF(COUNT(BY1246,CB1246,CE1246,CH1246)=4,SUM(BY1246,CB1246,CE1246,CH1246),"")</f>
        <v>0</v>
      </c>
    </row>
    <row r="1247" ht="72" customHeight="1">
      <c r="A1247" s="16" t="str">
        <v>1S01-TV-37.5</v>
      </c>
      <c r="B1247" s="16" t="str">
        <v>1店-MUSSHOE-US</v>
      </c>
      <c r="C1247" s="16" t="str">
        <v>徐新怡</v>
      </c>
      <c r="D1247" s="26" t="str">
        <f>IF(NOT(ISNUMBER(E1247)),"",IF(OR(E1247&lt;=0,L1247=0),0,IF(OR(NOT(ISNUMBER(F1247)),F1247&lt;0),"",MIN(E1247,INT(F1247)))))</f>
      </c>
      <c r="E1247" s="27" t="str">
        <f>IF(OR(NOT(ISNUMBER(L1247)),COUNT(M1247:O1247)&lt;&gt;3,MIN(M1247:O1247)&lt;0),"",ROUNDUP(ROUND(BI1247-SUM(M1247:O1247),10),0))</f>
      </c>
      <c r="F1247" s="28"/>
      <c r="G1247" s="28" t="str">
        <f>IF(AND(ISNUMBER(D1247),ISNUMBER(E1247)),IF(OR(E1247&lt;=0,L1247=0),0,E1247-D1247),"")</f>
      </c>
      <c r="H1247" s="16" t="str">
        <f>IF(NOT(ISNUMBER(E1247)),"销量或海外库存待补",IF(OR(E1247&lt;=0,L1247=0),IF(L1247=0,"零日销，本批不发","本批无需补货"),IF(NOT(ISNUMBER(D1247)),"国内库存待补",IF(D1247=0,"国内无可用库存",IF(G1247&gt;0,"先发国内现货","按建议量发货")))))</f>
        <v>销量或海外库存待补</v>
      </c>
      <c r="I1247" s="28" t="n">
        <f>IF(AND(COUNT(Z1247,AA1247,AB1247)=3,Z1247&gt;=AA1247,AA1247&gt;=0,AB1247=7),Z1247-AA1247,"")</f>
        <v>0</v>
      </c>
      <c r="J1247" s="28" t="n">
        <f>IF(AND(COUNT(AF1247,AG1247,AH1247)=3,AF1247&gt;=AG1247,AG1247&gt;=0,AH1247=14),AF1247-AG1247,"")</f>
        <v>0</v>
      </c>
      <c r="K1247" s="28" t="n">
        <f>IF(AND(COUNT(AL1247,AM1247,AN1247)=3,AL1247&gt;=AM1247,AM1247&gt;=0,AN1247=30),AL1247-AM1247,"")</f>
        <v>0</v>
      </c>
      <c r="L1247" s="29" t="n">
        <f>IF(ISNUMBER(BI1247),BI1247/90,"")</f>
        <v>0</v>
      </c>
      <c r="M1247" s="28"/>
      <c r="N1247" s="28"/>
      <c r="O1247" s="28"/>
      <c r="P1247" s="30" t="str">
        <f>IF(AND(ISNUMBER(L1247),L1247&gt;0,COUNT(M1247:O1247)=3,MIN(M1247:O1247)&gt;=0),SUM(M1247:O1247)/L1247,"")</f>
      </c>
      <c r="Q1247" s="16" t="str">
        <v>按本SKU唯一未删除Listing店铺核实</v>
      </c>
      <c r="R1247" s="16" t="str">
        <v>未匹配</v>
      </c>
      <c r="S1247" s="16" t="str">
        <v>停售</v>
      </c>
      <c r="T1247" s="16" t="str">
        <v>1S01</v>
      </c>
      <c r="U1247" s="16" t="str">
        <v>银色金属</v>
      </c>
      <c r="V1247" s="16" t="n">
        <v>6.5</v>
      </c>
      <c r="W1247" s="8" t="str">
        <v>2026-10-08 至 2026-10-17</v>
      </c>
      <c r="X1247" s="8" t="str">
        <v>2026-10-08、2026-10-09、2026-10-10、2026-10-11、2026-10-14、2026-10-15、2026-10-17</v>
      </c>
      <c r="Y1247" s="8" t="str">
        <v>2026-10-12 有记录的停售日；2026-10-13 有记录的停售日；2026-10-16 有记录的停售日</v>
      </c>
      <c r="Z1247" s="8" t="n">
        <v>0</v>
      </c>
      <c r="AA1247" s="8" t="n">
        <v>0</v>
      </c>
      <c r="AB1247" s="8" t="n">
        <v>7</v>
      </c>
      <c r="AC1247" s="8" t="str">
        <v>2026-09-29 至 2026-10-17</v>
      </c>
      <c r="AD1247" s="8" t="str">
        <v>2026-09-29、2026-09-30、2026-10-01、2026-10-02、2026-10-03、2026-10-04、2026-10-05、2026-10-08、2026-10-09、2026-10-10、2026-10-11、2026-10-14、2026-10-15、2026-10-17</v>
      </c>
      <c r="AE1247" s="8" t="str">
        <v>2026-10-06 大促；2026-10-07 大促；2026-10-12 有记录的停售日；2026-10-13 有记录的停售日；2026-10-16 有记录的停售日</v>
      </c>
      <c r="AF1247" s="8" t="n">
        <v>0</v>
      </c>
      <c r="AG1247" s="8" t="n">
        <v>0</v>
      </c>
      <c r="AH1247" s="8" t="n">
        <v>14</v>
      </c>
      <c r="AI1247" s="8" t="str">
        <v>2026-09-13 至 2026-10-17</v>
      </c>
      <c r="AJ124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7" s="8" t="str">
        <v>2026-10-06 大促；2026-10-07 大促；2026-10-12 有记录的停售日；2026-10-13 有记录的停售日；2026-10-16 有记录的停售日</v>
      </c>
      <c r="AL1247" s="8" t="n">
        <v>0</v>
      </c>
      <c r="AM1247" s="8" t="n">
        <v>0</v>
      </c>
      <c r="AN1247" s="8" t="n">
        <v>30</v>
      </c>
      <c r="AO1247" s="8" t="str">
        <v>1S01 / 银色金属PU / 13120</v>
      </c>
      <c r="AP1247" s="11" t="n">
        <v>0.8729500662042875</v>
      </c>
      <c r="AQ1247" s="11" t="n">
        <v>0.9355747145678367</v>
      </c>
      <c r="AR1247" s="11" t="n">
        <v>1.135973589331194</v>
      </c>
      <c r="AS1247" s="11" t="n">
        <f>IF(AND(COUNT(I1247:K1247,AP1247:AR1247)=6,MIN(AP1247:AR1247)&gt;0),I1247/7/AP1247*0.5+J1247/14/AQ1247*0.3+K1247/30/AR1247*0.2,"")</f>
        <v>0</v>
      </c>
      <c r="AT1247" s="8" t="n">
        <v>0</v>
      </c>
      <c r="AU1247" s="8" t="n">
        <v>0</v>
      </c>
      <c r="AV1247" s="8" t="n">
        <v>85</v>
      </c>
      <c r="AW1247" s="11" t="n">
        <f>IF(AND(COUNT(AT1247:AV1247)=3,AT1247&gt;=AU1247,AU1247&gt;=0,AV1247&gt;0),(AT1247-AU1247)/AV1247,"")</f>
        <v>0</v>
      </c>
      <c r="AX1247" s="8" t="n">
        <v>0</v>
      </c>
      <c r="AY1247" s="8" t="n">
        <v>0</v>
      </c>
      <c r="AZ1247" s="8" t="n">
        <v>175</v>
      </c>
      <c r="BA1247" s="11" t="n">
        <f>IF(AND(COUNT(AX1247:AZ1247)=3,AX1247&gt;=AY1247,AY1247&gt;=0,AZ1247&gt;0),(AX1247-AY1247)/AZ1247,"")</f>
        <v>0</v>
      </c>
      <c r="BB1247" s="8" t="n">
        <f>IF(COUNT(AS1247,AW1247,BA1247)=3,1,0)</f>
        <v>1</v>
      </c>
      <c r="BC1247" s="11" t="n">
        <f>IF(SUMIF($AO$11:$AO$1309,AO1247,$BB$11:$BB$1309)=COUNTIF($AO$11:$AO$1309,AO1247),SUMIF($AO$11:$AO$1309,AO1247,$AS$11:$AS$1309),"")</f>
        <v>0</v>
      </c>
      <c r="BD1247" s="11" t="n">
        <f>IF(SUMIF($AO$11:$AO$1309,AO1247,$BB$11:$BB$1309)=COUNTIF($AO$11:$AO$1309,AO1247),SUMIF($AO$11:$AO$1309,AO1247,$AW$11:$AW$1309),"")</f>
        <v>0</v>
      </c>
      <c r="BE1247" s="11" t="n">
        <f>IF(SUMIF($AO$11:$AO$1309,AO1247,$BB$11:$BB$1309)=COUNTIF($AO$11:$AO$1309,AO1247),SUMIF($AO$11:$AO$1309,AO1247,$BA$11:$BA$1309),"")</f>
        <v>0</v>
      </c>
      <c r="BF1247" s="12" t="n">
        <f>IF(COUNT(BD1247:BE1247)&lt;&gt;2,"",IF(AND(BD1247&gt;0,BE1247&gt;0),0.7*AW1247/BD1247+0.3*BA1247/BE1247,IF(BD1247&gt;0,AW1247/BD1247,IF(BE1247&gt;0,BA1247/BE1247,IF(AND(ISNUMBER(BH1247),BH1247=0),0,"")))))</f>
        <v>0</v>
      </c>
      <c r="BG1247" s="11" t="n">
        <f>IF(AND(COUNT(BN1247:BU1247)=8,MIN(BN1247:BU1247)&gt;=0),SUMPRODUCT(BN1247:BQ1247,BR1247:BU1247),"")</f>
        <v>63.935996265425516</v>
      </c>
      <c r="BH1247" s="11" t="n">
        <f>IF(COUNT(BC1247,BG1247)=2,BC1247*BG1247,"")</f>
        <v>0</v>
      </c>
      <c r="BI1247" s="11" t="n">
        <f>IF(ISNUMBER(CI1247),CI1247,"")</f>
        <v>0</v>
      </c>
      <c r="BJ1247" s="8" t="str">
        <v>近180天本色销量0双（＜90），无有效新采购，请运营判断</v>
      </c>
      <c r="BK1247" s="8" t="str">
        <v>90天：2026-07-20 至 2026-10-17；180天：2026-04-21 至 2026-10-17</v>
      </c>
      <c r="BL1247" s="8" t="str">
        <v>90天：2026-10-06、2026-10-07、2026-10-12、2026-10-13、2026-10-16；180天：2026-10-06、2026-10-07、2026-10-12、2026-10-13、2026-10-16</v>
      </c>
      <c r="BM1247" s="8" t="str">
        <v>2026-10：12天 × 0.8729500662042875；2026-11：30天 × 0.8057375774163482；2026-12：31天 × 0.532550303142279；2027-01：17天 × 0.7517299265337036</v>
      </c>
      <c r="BN1247" s="11" t="n">
        <v>0.8729500662042875</v>
      </c>
      <c r="BO1247" s="11" t="n">
        <v>0.8057375774163482</v>
      </c>
      <c r="BP1247" s="11" t="n">
        <v>0.532550303142279</v>
      </c>
      <c r="BQ1247" s="11" t="n">
        <v>0.7517299265337036</v>
      </c>
      <c r="BR1247" s="8" t="n">
        <v>12</v>
      </c>
      <c r="BS1247" s="8" t="n">
        <v>30</v>
      </c>
      <c r="BT1247" s="8" t="n">
        <v>31</v>
      </c>
      <c r="BU1247" s="8" t="n">
        <v>17</v>
      </c>
      <c r="BV1247" s="11" t="n">
        <f>IF(COUNT(BC1247,BF1247)=2,BC1247*BF1247,"")</f>
        <v>0</v>
      </c>
      <c r="BW1247" s="11" t="n">
        <f>IF(ISNUMBER(BN1247),BN1247,"")</f>
        <v>0.8729500662042875</v>
      </c>
      <c r="BX1247" s="14" t="n">
        <f>IF(ISNUMBER(BR1247),BR1247,"")</f>
        <v>12</v>
      </c>
      <c r="BY1247" s="13" t="n">
        <f>IF(AND(COUNT(BV1247,BW1247,BX1247)=3,MIN(BV1247,BW1247,BX1247)&gt;=0),BV1247*BW1247*BX1247,"")</f>
        <v>0</v>
      </c>
      <c r="BZ1247" s="11" t="n">
        <f>IF(ISNUMBER(BO1247),BO1247,"")</f>
        <v>0.8057375774163482</v>
      </c>
      <c r="CA1247" s="14" t="n">
        <f>IF(ISNUMBER(BS1247),BS1247,"")</f>
        <v>30</v>
      </c>
      <c r="CB1247" s="13" t="n">
        <f>IF(AND(COUNT(BV1247,BZ1247,CA1247)=3,MIN(BV1247,BZ1247,CA1247)&gt;=0),BV1247*BZ1247*CA1247,"")</f>
        <v>0</v>
      </c>
      <c r="CC1247" s="11" t="n">
        <f>IF(ISNUMBER(BP1247),BP1247,"")</f>
        <v>0.532550303142279</v>
      </c>
      <c r="CD1247" s="14" t="n">
        <f>IF(ISNUMBER(BT1247),BT1247,"")</f>
        <v>31</v>
      </c>
      <c r="CE1247" s="13" t="n">
        <f>IF(AND(COUNT(BV1247,CC1247,CD1247)=3,MIN(BV1247,CC1247,CD1247)&gt;=0),BV1247*CC1247*CD1247,"")</f>
        <v>0</v>
      </c>
      <c r="CF1247" s="11" t="n">
        <f>IF(ISNUMBER(BQ1247),BQ1247,"")</f>
        <v>0.7517299265337036</v>
      </c>
      <c r="CG1247" s="14" t="n">
        <f>IF(ISNUMBER(BU1247),BU1247,"")</f>
        <v>17</v>
      </c>
      <c r="CH1247" s="13" t="n">
        <f>IF(AND(COUNT(BV1247,CF1247,CG1247)=3,MIN(BV1247,CF1247,CG1247)&gt;=0),BV1247*CF1247*CG1247,"")</f>
        <v>0</v>
      </c>
      <c r="CI1247" s="13" t="n">
        <f>IF(COUNT(BY1247,CB1247,CE1247,CH1247)=4,SUM(BY1247,CB1247,CE1247,CH1247),"")</f>
        <v>0</v>
      </c>
    </row>
    <row r="1248" ht="72" customHeight="1">
      <c r="A1248" s="16" t="str">
        <v>1S01-TV-38</v>
      </c>
      <c r="B1248" s="16" t="str">
        <v>1店-MUSSHOE-US</v>
      </c>
      <c r="C1248" s="16" t="str">
        <v>徐新怡</v>
      </c>
      <c r="D1248" s="26" t="str">
        <f>IF(NOT(ISNUMBER(E1248)),"",IF(OR(E1248&lt;=0,L1248=0),0,IF(OR(NOT(ISNUMBER(F1248)),F1248&lt;0),"",MIN(E1248,INT(F1248)))))</f>
      </c>
      <c r="E1248" s="27" t="str">
        <f>IF(OR(NOT(ISNUMBER(L1248)),COUNT(M1248:O1248)&lt;&gt;3,MIN(M1248:O1248)&lt;0),"",ROUNDUP(ROUND(BI1248-SUM(M1248:O1248),10),0))</f>
      </c>
      <c r="F1248" s="28"/>
      <c r="G1248" s="28" t="str">
        <f>IF(AND(ISNUMBER(D1248),ISNUMBER(E1248)),IF(OR(E1248&lt;=0,L1248=0),0,E1248-D1248),"")</f>
      </c>
      <c r="H1248" s="16" t="str">
        <f>IF(NOT(ISNUMBER(E1248)),"销量或海外库存待补",IF(OR(E1248&lt;=0,L1248=0),IF(L1248=0,"零日销，本批不发","本批无需补货"),IF(NOT(ISNUMBER(D1248)),"国内库存待补",IF(D1248=0,"国内无可用库存",IF(G1248&gt;0,"先发国内现货","按建议量发货")))))</f>
        <v>销量或海外库存待补</v>
      </c>
      <c r="I1248" s="28" t="n">
        <f>IF(AND(COUNT(Z1248,AA1248,AB1248)=3,Z1248&gt;=AA1248,AA1248&gt;=0,AB1248=7),Z1248-AA1248,"")</f>
        <v>0</v>
      </c>
      <c r="J1248" s="28" t="n">
        <f>IF(AND(COUNT(AF1248,AG1248,AH1248)=3,AF1248&gt;=AG1248,AG1248&gt;=0,AH1248=14),AF1248-AG1248,"")</f>
        <v>0</v>
      </c>
      <c r="K1248" s="28" t="n">
        <f>IF(AND(COUNT(AL1248,AM1248,AN1248)=3,AL1248&gt;=AM1248,AM1248&gt;=0,AN1248=30),AL1248-AM1248,"")</f>
        <v>0</v>
      </c>
      <c r="L1248" s="29" t="n">
        <f>IF(ISNUMBER(BI1248),BI1248/90,"")</f>
        <v>0</v>
      </c>
      <c r="M1248" s="28"/>
      <c r="N1248" s="28"/>
      <c r="O1248" s="28"/>
      <c r="P1248" s="30" t="str">
        <f>IF(AND(ISNUMBER(L1248),L1248&gt;0,COUNT(M1248:O1248)=3,MIN(M1248:O1248)&gt;=0),SUM(M1248:O1248)/L1248,"")</f>
      </c>
      <c r="Q1248" s="16" t="str">
        <v>按本SKU唯一未删除Listing店铺核实</v>
      </c>
      <c r="R1248" s="16" t="str">
        <v>未匹配</v>
      </c>
      <c r="S1248" s="16" t="str">
        <v>停售</v>
      </c>
      <c r="T1248" s="16" t="str">
        <v>1S01</v>
      </c>
      <c r="U1248" s="16" t="str">
        <v>银色金属</v>
      </c>
      <c r="V1248" s="16" t="n">
        <v>7</v>
      </c>
      <c r="W1248" s="8" t="str">
        <v>2026-10-08 至 2026-10-17</v>
      </c>
      <c r="X1248" s="8" t="str">
        <v>2026-10-08、2026-10-09、2026-10-10、2026-10-11、2026-10-14、2026-10-15、2026-10-17</v>
      </c>
      <c r="Y1248" s="8" t="str">
        <v>2026-10-12 有记录的停售日；2026-10-13 有记录的停售日；2026-10-16 有记录的停售日</v>
      </c>
      <c r="Z1248" s="8" t="n">
        <v>0</v>
      </c>
      <c r="AA1248" s="8" t="n">
        <v>0</v>
      </c>
      <c r="AB1248" s="8" t="n">
        <v>7</v>
      </c>
      <c r="AC1248" s="8" t="str">
        <v>2026-09-29 至 2026-10-17</v>
      </c>
      <c r="AD1248" s="8" t="str">
        <v>2026-09-29、2026-09-30、2026-10-01、2026-10-02、2026-10-03、2026-10-04、2026-10-05、2026-10-08、2026-10-09、2026-10-10、2026-10-11、2026-10-14、2026-10-15、2026-10-17</v>
      </c>
      <c r="AE1248" s="8" t="str">
        <v>2026-10-06 大促；2026-10-07 大促；2026-10-12 有记录的停售日；2026-10-13 有记录的停售日；2026-10-16 有记录的停售日</v>
      </c>
      <c r="AF1248" s="8" t="n">
        <v>0</v>
      </c>
      <c r="AG1248" s="8" t="n">
        <v>0</v>
      </c>
      <c r="AH1248" s="8" t="n">
        <v>14</v>
      </c>
      <c r="AI1248" s="8" t="str">
        <v>2026-09-13 至 2026-10-17</v>
      </c>
      <c r="AJ124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8" s="8" t="str">
        <v>2026-10-06 大促；2026-10-07 大促；2026-10-12 有记录的停售日；2026-10-13 有记录的停售日；2026-10-16 有记录的停售日</v>
      </c>
      <c r="AL1248" s="8" t="n">
        <v>0</v>
      </c>
      <c r="AM1248" s="8" t="n">
        <v>0</v>
      </c>
      <c r="AN1248" s="8" t="n">
        <v>30</v>
      </c>
      <c r="AO1248" s="8" t="str">
        <v>1S01 / 银色金属PU / 13120</v>
      </c>
      <c r="AP1248" s="11" t="n">
        <v>0.8729500662042875</v>
      </c>
      <c r="AQ1248" s="11" t="n">
        <v>0.9355747145678367</v>
      </c>
      <c r="AR1248" s="11" t="n">
        <v>1.135973589331194</v>
      </c>
      <c r="AS1248" s="11" t="n">
        <f>IF(AND(COUNT(I1248:K1248,AP1248:AR1248)=6,MIN(AP1248:AR1248)&gt;0),I1248/7/AP1248*0.5+J1248/14/AQ1248*0.3+K1248/30/AR1248*0.2,"")</f>
        <v>0</v>
      </c>
      <c r="AT1248" s="8" t="n">
        <v>0</v>
      </c>
      <c r="AU1248" s="8" t="n">
        <v>0</v>
      </c>
      <c r="AV1248" s="8" t="n">
        <v>85</v>
      </c>
      <c r="AW1248" s="11" t="n">
        <f>IF(AND(COUNT(AT1248:AV1248)=3,AT1248&gt;=AU1248,AU1248&gt;=0,AV1248&gt;0),(AT1248-AU1248)/AV1248,"")</f>
        <v>0</v>
      </c>
      <c r="AX1248" s="8" t="n">
        <v>0</v>
      </c>
      <c r="AY1248" s="8" t="n">
        <v>0</v>
      </c>
      <c r="AZ1248" s="8" t="n">
        <v>175</v>
      </c>
      <c r="BA1248" s="11" t="n">
        <f>IF(AND(COUNT(AX1248:AZ1248)=3,AX1248&gt;=AY1248,AY1248&gt;=0,AZ1248&gt;0),(AX1248-AY1248)/AZ1248,"")</f>
        <v>0</v>
      </c>
      <c r="BB1248" s="8" t="n">
        <f>IF(COUNT(AS1248,AW1248,BA1248)=3,1,0)</f>
        <v>1</v>
      </c>
      <c r="BC1248" s="11" t="n">
        <f>IF(SUMIF($AO$11:$AO$1309,AO1248,$BB$11:$BB$1309)=COUNTIF($AO$11:$AO$1309,AO1248),SUMIF($AO$11:$AO$1309,AO1248,$AS$11:$AS$1309),"")</f>
        <v>0</v>
      </c>
      <c r="BD1248" s="11" t="n">
        <f>IF(SUMIF($AO$11:$AO$1309,AO1248,$BB$11:$BB$1309)=COUNTIF($AO$11:$AO$1309,AO1248),SUMIF($AO$11:$AO$1309,AO1248,$AW$11:$AW$1309),"")</f>
        <v>0</v>
      </c>
      <c r="BE1248" s="11" t="n">
        <f>IF(SUMIF($AO$11:$AO$1309,AO1248,$BB$11:$BB$1309)=COUNTIF($AO$11:$AO$1309,AO1248),SUMIF($AO$11:$AO$1309,AO1248,$BA$11:$BA$1309),"")</f>
        <v>0</v>
      </c>
      <c r="BF1248" s="12" t="n">
        <f>IF(COUNT(BD1248:BE1248)&lt;&gt;2,"",IF(AND(BD1248&gt;0,BE1248&gt;0),0.7*AW1248/BD1248+0.3*BA1248/BE1248,IF(BD1248&gt;0,AW1248/BD1248,IF(BE1248&gt;0,BA1248/BE1248,IF(AND(ISNUMBER(BH1248),BH1248=0),0,"")))))</f>
        <v>0</v>
      </c>
      <c r="BG1248" s="11" t="n">
        <f>IF(AND(COUNT(BN1248:BU1248)=8,MIN(BN1248:BU1248)&gt;=0),SUMPRODUCT(BN1248:BQ1248,BR1248:BU1248),"")</f>
        <v>63.935996265425516</v>
      </c>
      <c r="BH1248" s="11" t="n">
        <f>IF(COUNT(BC1248,BG1248)=2,BC1248*BG1248,"")</f>
        <v>0</v>
      </c>
      <c r="BI1248" s="11" t="n">
        <f>IF(ISNUMBER(CI1248),CI1248,"")</f>
        <v>0</v>
      </c>
      <c r="BJ1248" s="8" t="str">
        <v>近180天本色销量0双（＜90），无有效新采购，请运营判断</v>
      </c>
      <c r="BK1248" s="8" t="str">
        <v>90天：2026-07-20 至 2026-10-17；180天：2026-04-21 至 2026-10-17</v>
      </c>
      <c r="BL1248" s="8" t="str">
        <v>90天：2026-10-06、2026-10-07、2026-10-12、2026-10-13、2026-10-16；180天：2026-10-06、2026-10-07、2026-10-12、2026-10-13、2026-10-16</v>
      </c>
      <c r="BM1248" s="8" t="str">
        <v>2026-10：12天 × 0.8729500662042875；2026-11：30天 × 0.8057375774163482；2026-12：31天 × 0.532550303142279；2027-01：17天 × 0.7517299265337036</v>
      </c>
      <c r="BN1248" s="11" t="n">
        <v>0.8729500662042875</v>
      </c>
      <c r="BO1248" s="11" t="n">
        <v>0.8057375774163482</v>
      </c>
      <c r="BP1248" s="11" t="n">
        <v>0.532550303142279</v>
      </c>
      <c r="BQ1248" s="11" t="n">
        <v>0.7517299265337036</v>
      </c>
      <c r="BR1248" s="8" t="n">
        <v>12</v>
      </c>
      <c r="BS1248" s="8" t="n">
        <v>30</v>
      </c>
      <c r="BT1248" s="8" t="n">
        <v>31</v>
      </c>
      <c r="BU1248" s="8" t="n">
        <v>17</v>
      </c>
      <c r="BV1248" s="11" t="n">
        <f>IF(COUNT(BC1248,BF1248)=2,BC1248*BF1248,"")</f>
        <v>0</v>
      </c>
      <c r="BW1248" s="11" t="n">
        <f>IF(ISNUMBER(BN1248),BN1248,"")</f>
        <v>0.8729500662042875</v>
      </c>
      <c r="BX1248" s="14" t="n">
        <f>IF(ISNUMBER(BR1248),BR1248,"")</f>
        <v>12</v>
      </c>
      <c r="BY1248" s="13" t="n">
        <f>IF(AND(COUNT(BV1248,BW1248,BX1248)=3,MIN(BV1248,BW1248,BX1248)&gt;=0),BV1248*BW1248*BX1248,"")</f>
        <v>0</v>
      </c>
      <c r="BZ1248" s="11" t="n">
        <f>IF(ISNUMBER(BO1248),BO1248,"")</f>
        <v>0.8057375774163482</v>
      </c>
      <c r="CA1248" s="14" t="n">
        <f>IF(ISNUMBER(BS1248),BS1248,"")</f>
        <v>30</v>
      </c>
      <c r="CB1248" s="13" t="n">
        <f>IF(AND(COUNT(BV1248,BZ1248,CA1248)=3,MIN(BV1248,BZ1248,CA1248)&gt;=0),BV1248*BZ1248*CA1248,"")</f>
        <v>0</v>
      </c>
      <c r="CC1248" s="11" t="n">
        <f>IF(ISNUMBER(BP1248),BP1248,"")</f>
        <v>0.532550303142279</v>
      </c>
      <c r="CD1248" s="14" t="n">
        <f>IF(ISNUMBER(BT1248),BT1248,"")</f>
        <v>31</v>
      </c>
      <c r="CE1248" s="13" t="n">
        <f>IF(AND(COUNT(BV1248,CC1248,CD1248)=3,MIN(BV1248,CC1248,CD1248)&gt;=0),BV1248*CC1248*CD1248,"")</f>
        <v>0</v>
      </c>
      <c r="CF1248" s="11" t="n">
        <f>IF(ISNUMBER(BQ1248),BQ1248,"")</f>
        <v>0.7517299265337036</v>
      </c>
      <c r="CG1248" s="14" t="n">
        <f>IF(ISNUMBER(BU1248),BU1248,"")</f>
        <v>17</v>
      </c>
      <c r="CH1248" s="13" t="n">
        <f>IF(AND(COUNT(BV1248,CF1248,CG1248)=3,MIN(BV1248,CF1248,CG1248)&gt;=0),BV1248*CF1248*CG1248,"")</f>
        <v>0</v>
      </c>
      <c r="CI1248" s="13" t="n">
        <f>IF(COUNT(BY1248,CB1248,CE1248,CH1248)=4,SUM(BY1248,CB1248,CE1248,CH1248),"")</f>
        <v>0</v>
      </c>
    </row>
    <row r="1249" ht="72" customHeight="1">
      <c r="A1249" s="16" t="str">
        <v>1S01-TV-38.5</v>
      </c>
      <c r="B1249" s="16" t="str">
        <v>1店-MUSSHOE-US</v>
      </c>
      <c r="C1249" s="16" t="str">
        <v>徐新怡</v>
      </c>
      <c r="D1249" s="26" t="str">
        <f>IF(NOT(ISNUMBER(E1249)),"",IF(OR(E1249&lt;=0,L1249=0),0,IF(OR(NOT(ISNUMBER(F1249)),F1249&lt;0),"",MIN(E1249,INT(F1249)))))</f>
      </c>
      <c r="E1249" s="27" t="str">
        <f>IF(OR(NOT(ISNUMBER(L1249)),COUNT(M1249:O1249)&lt;&gt;3,MIN(M1249:O1249)&lt;0),"",ROUNDUP(ROUND(BI1249-SUM(M1249:O1249),10),0))</f>
      </c>
      <c r="F1249" s="28"/>
      <c r="G1249" s="28" t="str">
        <f>IF(AND(ISNUMBER(D1249),ISNUMBER(E1249)),IF(OR(E1249&lt;=0,L1249=0),0,E1249-D1249),"")</f>
      </c>
      <c r="H1249" s="16" t="str">
        <f>IF(NOT(ISNUMBER(E1249)),"销量或海外库存待补",IF(OR(E1249&lt;=0,L1249=0),IF(L1249=0,"零日销，本批不发","本批无需补货"),IF(NOT(ISNUMBER(D1249)),"国内库存待补",IF(D1249=0,"国内无可用库存",IF(G1249&gt;0,"先发国内现货","按建议量发货")))))</f>
        <v>销量或海外库存待补</v>
      </c>
      <c r="I1249" s="28" t="n">
        <f>IF(AND(COUNT(Z1249,AA1249,AB1249)=3,Z1249&gt;=AA1249,AA1249&gt;=0,AB1249=7),Z1249-AA1249,"")</f>
        <v>0</v>
      </c>
      <c r="J1249" s="28" t="n">
        <f>IF(AND(COUNT(AF1249,AG1249,AH1249)=3,AF1249&gt;=AG1249,AG1249&gt;=0,AH1249=14),AF1249-AG1249,"")</f>
        <v>0</v>
      </c>
      <c r="K1249" s="28" t="n">
        <f>IF(AND(COUNT(AL1249,AM1249,AN1249)=3,AL1249&gt;=AM1249,AM1249&gt;=0,AN1249=30),AL1249-AM1249,"")</f>
        <v>0</v>
      </c>
      <c r="L1249" s="29" t="n">
        <f>IF(ISNUMBER(BI1249),BI1249/90,"")</f>
        <v>0</v>
      </c>
      <c r="M1249" s="28"/>
      <c r="N1249" s="28"/>
      <c r="O1249" s="28"/>
      <c r="P1249" s="30" t="str">
        <f>IF(AND(ISNUMBER(L1249),L1249&gt;0,COUNT(M1249:O1249)=3,MIN(M1249:O1249)&gt;=0),SUM(M1249:O1249)/L1249,"")</f>
      </c>
      <c r="Q1249" s="16" t="str">
        <v>按本SKU唯一未删除Listing店铺核实</v>
      </c>
      <c r="R1249" s="16" t="str">
        <v>未匹配</v>
      </c>
      <c r="S1249" s="16" t="str">
        <v>停售</v>
      </c>
      <c r="T1249" s="16" t="str">
        <v>1S01</v>
      </c>
      <c r="U1249" s="16" t="str">
        <v>银色金属</v>
      </c>
      <c r="V1249" s="16" t="n">
        <v>7.5</v>
      </c>
      <c r="W1249" s="8" t="str">
        <v>2026-10-08 至 2026-10-17</v>
      </c>
      <c r="X1249" s="8" t="str">
        <v>2026-10-08、2026-10-09、2026-10-10、2026-10-11、2026-10-14、2026-10-15、2026-10-17</v>
      </c>
      <c r="Y1249" s="8" t="str">
        <v>2026-10-12 有记录的停售日；2026-10-13 有记录的停售日；2026-10-16 有记录的停售日</v>
      </c>
      <c r="Z1249" s="8" t="n">
        <v>0</v>
      </c>
      <c r="AA1249" s="8" t="n">
        <v>0</v>
      </c>
      <c r="AB1249" s="8" t="n">
        <v>7</v>
      </c>
      <c r="AC1249" s="8" t="str">
        <v>2026-09-29 至 2026-10-17</v>
      </c>
      <c r="AD1249" s="8" t="str">
        <v>2026-09-29、2026-09-30、2026-10-01、2026-10-02、2026-10-03、2026-10-04、2026-10-05、2026-10-08、2026-10-09、2026-10-10、2026-10-11、2026-10-14、2026-10-15、2026-10-17</v>
      </c>
      <c r="AE1249" s="8" t="str">
        <v>2026-10-06 大促；2026-10-07 大促；2026-10-12 有记录的停售日；2026-10-13 有记录的停售日；2026-10-16 有记录的停售日</v>
      </c>
      <c r="AF1249" s="8" t="n">
        <v>0</v>
      </c>
      <c r="AG1249" s="8" t="n">
        <v>0</v>
      </c>
      <c r="AH1249" s="8" t="n">
        <v>14</v>
      </c>
      <c r="AI1249" s="8" t="str">
        <v>2026-09-13 至 2026-10-17</v>
      </c>
      <c r="AJ124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49" s="8" t="str">
        <v>2026-10-06 大促；2026-10-07 大促；2026-10-12 有记录的停售日；2026-10-13 有记录的停售日；2026-10-16 有记录的停售日</v>
      </c>
      <c r="AL1249" s="8" t="n">
        <v>0</v>
      </c>
      <c r="AM1249" s="8" t="n">
        <v>0</v>
      </c>
      <c r="AN1249" s="8" t="n">
        <v>30</v>
      </c>
      <c r="AO1249" s="8" t="str">
        <v>1S01 / 银色金属PU / 13120</v>
      </c>
      <c r="AP1249" s="11" t="n">
        <v>0.8729500662042875</v>
      </c>
      <c r="AQ1249" s="11" t="n">
        <v>0.9355747145678367</v>
      </c>
      <c r="AR1249" s="11" t="n">
        <v>1.135973589331194</v>
      </c>
      <c r="AS1249" s="11" t="n">
        <f>IF(AND(COUNT(I1249:K1249,AP1249:AR1249)=6,MIN(AP1249:AR1249)&gt;0),I1249/7/AP1249*0.5+J1249/14/AQ1249*0.3+K1249/30/AR1249*0.2,"")</f>
        <v>0</v>
      </c>
      <c r="AT1249" s="8" t="n">
        <v>0</v>
      </c>
      <c r="AU1249" s="8" t="n">
        <v>0</v>
      </c>
      <c r="AV1249" s="8" t="n">
        <v>85</v>
      </c>
      <c r="AW1249" s="11" t="n">
        <f>IF(AND(COUNT(AT1249:AV1249)=3,AT1249&gt;=AU1249,AU1249&gt;=0,AV1249&gt;0),(AT1249-AU1249)/AV1249,"")</f>
        <v>0</v>
      </c>
      <c r="AX1249" s="8" t="n">
        <v>0</v>
      </c>
      <c r="AY1249" s="8" t="n">
        <v>0</v>
      </c>
      <c r="AZ1249" s="8" t="n">
        <v>175</v>
      </c>
      <c r="BA1249" s="11" t="n">
        <f>IF(AND(COUNT(AX1249:AZ1249)=3,AX1249&gt;=AY1249,AY1249&gt;=0,AZ1249&gt;0),(AX1249-AY1249)/AZ1249,"")</f>
        <v>0</v>
      </c>
      <c r="BB1249" s="8" t="n">
        <f>IF(COUNT(AS1249,AW1249,BA1249)=3,1,0)</f>
        <v>1</v>
      </c>
      <c r="BC1249" s="11" t="n">
        <f>IF(SUMIF($AO$11:$AO$1309,AO1249,$BB$11:$BB$1309)=COUNTIF($AO$11:$AO$1309,AO1249),SUMIF($AO$11:$AO$1309,AO1249,$AS$11:$AS$1309),"")</f>
        <v>0</v>
      </c>
      <c r="BD1249" s="11" t="n">
        <f>IF(SUMIF($AO$11:$AO$1309,AO1249,$BB$11:$BB$1309)=COUNTIF($AO$11:$AO$1309,AO1249),SUMIF($AO$11:$AO$1309,AO1249,$AW$11:$AW$1309),"")</f>
        <v>0</v>
      </c>
      <c r="BE1249" s="11" t="n">
        <f>IF(SUMIF($AO$11:$AO$1309,AO1249,$BB$11:$BB$1309)=COUNTIF($AO$11:$AO$1309,AO1249),SUMIF($AO$11:$AO$1309,AO1249,$BA$11:$BA$1309),"")</f>
        <v>0</v>
      </c>
      <c r="BF1249" s="12" t="n">
        <f>IF(COUNT(BD1249:BE1249)&lt;&gt;2,"",IF(AND(BD1249&gt;0,BE1249&gt;0),0.7*AW1249/BD1249+0.3*BA1249/BE1249,IF(BD1249&gt;0,AW1249/BD1249,IF(BE1249&gt;0,BA1249/BE1249,IF(AND(ISNUMBER(BH1249),BH1249=0),0,"")))))</f>
        <v>0</v>
      </c>
      <c r="BG1249" s="11" t="n">
        <f>IF(AND(COUNT(BN1249:BU1249)=8,MIN(BN1249:BU1249)&gt;=0),SUMPRODUCT(BN1249:BQ1249,BR1249:BU1249),"")</f>
        <v>63.935996265425516</v>
      </c>
      <c r="BH1249" s="11" t="n">
        <f>IF(COUNT(BC1249,BG1249)=2,BC1249*BG1249,"")</f>
        <v>0</v>
      </c>
      <c r="BI1249" s="11" t="n">
        <f>IF(ISNUMBER(CI1249),CI1249,"")</f>
        <v>0</v>
      </c>
      <c r="BJ1249" s="8" t="str">
        <v>近180天本色销量0双（＜90），无有效新采购，请运营判断</v>
      </c>
      <c r="BK1249" s="8" t="str">
        <v>90天：2026-07-20 至 2026-10-17；180天：2026-04-21 至 2026-10-17</v>
      </c>
      <c r="BL1249" s="8" t="str">
        <v>90天：2026-10-06、2026-10-07、2026-10-12、2026-10-13、2026-10-16；180天：2026-10-06、2026-10-07、2026-10-12、2026-10-13、2026-10-16</v>
      </c>
      <c r="BM1249" s="8" t="str">
        <v>2026-10：12天 × 0.8729500662042875；2026-11：30天 × 0.8057375774163482；2026-12：31天 × 0.532550303142279；2027-01：17天 × 0.7517299265337036</v>
      </c>
      <c r="BN1249" s="11" t="n">
        <v>0.8729500662042875</v>
      </c>
      <c r="BO1249" s="11" t="n">
        <v>0.8057375774163482</v>
      </c>
      <c r="BP1249" s="11" t="n">
        <v>0.532550303142279</v>
      </c>
      <c r="BQ1249" s="11" t="n">
        <v>0.7517299265337036</v>
      </c>
      <c r="BR1249" s="8" t="n">
        <v>12</v>
      </c>
      <c r="BS1249" s="8" t="n">
        <v>30</v>
      </c>
      <c r="BT1249" s="8" t="n">
        <v>31</v>
      </c>
      <c r="BU1249" s="8" t="n">
        <v>17</v>
      </c>
      <c r="BV1249" s="11" t="n">
        <f>IF(COUNT(BC1249,BF1249)=2,BC1249*BF1249,"")</f>
        <v>0</v>
      </c>
      <c r="BW1249" s="11" t="n">
        <f>IF(ISNUMBER(BN1249),BN1249,"")</f>
        <v>0.8729500662042875</v>
      </c>
      <c r="BX1249" s="14" t="n">
        <f>IF(ISNUMBER(BR1249),BR1249,"")</f>
        <v>12</v>
      </c>
      <c r="BY1249" s="13" t="n">
        <f>IF(AND(COUNT(BV1249,BW1249,BX1249)=3,MIN(BV1249,BW1249,BX1249)&gt;=0),BV1249*BW1249*BX1249,"")</f>
        <v>0</v>
      </c>
      <c r="BZ1249" s="11" t="n">
        <f>IF(ISNUMBER(BO1249),BO1249,"")</f>
        <v>0.8057375774163482</v>
      </c>
      <c r="CA1249" s="14" t="n">
        <f>IF(ISNUMBER(BS1249),BS1249,"")</f>
        <v>30</v>
      </c>
      <c r="CB1249" s="13" t="n">
        <f>IF(AND(COUNT(BV1249,BZ1249,CA1249)=3,MIN(BV1249,BZ1249,CA1249)&gt;=0),BV1249*BZ1249*CA1249,"")</f>
        <v>0</v>
      </c>
      <c r="CC1249" s="11" t="n">
        <f>IF(ISNUMBER(BP1249),BP1249,"")</f>
        <v>0.532550303142279</v>
      </c>
      <c r="CD1249" s="14" t="n">
        <f>IF(ISNUMBER(BT1249),BT1249,"")</f>
        <v>31</v>
      </c>
      <c r="CE1249" s="13" t="n">
        <f>IF(AND(COUNT(BV1249,CC1249,CD1249)=3,MIN(BV1249,CC1249,CD1249)&gt;=0),BV1249*CC1249*CD1249,"")</f>
        <v>0</v>
      </c>
      <c r="CF1249" s="11" t="n">
        <f>IF(ISNUMBER(BQ1249),BQ1249,"")</f>
        <v>0.7517299265337036</v>
      </c>
      <c r="CG1249" s="14" t="n">
        <f>IF(ISNUMBER(BU1249),BU1249,"")</f>
        <v>17</v>
      </c>
      <c r="CH1249" s="13" t="n">
        <f>IF(AND(COUNT(BV1249,CF1249,CG1249)=3,MIN(BV1249,CF1249,CG1249)&gt;=0),BV1249*CF1249*CG1249,"")</f>
        <v>0</v>
      </c>
      <c r="CI1249" s="13" t="n">
        <f>IF(COUNT(BY1249,CB1249,CE1249,CH1249)=4,SUM(BY1249,CB1249,CE1249,CH1249),"")</f>
        <v>0</v>
      </c>
    </row>
    <row r="1250" ht="72" customHeight="1">
      <c r="A1250" s="16" t="str">
        <v>1S01-TV-39</v>
      </c>
      <c r="B1250" s="16" t="str">
        <v>1店-MUSSHOE-US</v>
      </c>
      <c r="C1250" s="16" t="str">
        <v>徐新怡</v>
      </c>
      <c r="D1250" s="26" t="str">
        <f>IF(NOT(ISNUMBER(E1250)),"",IF(OR(E1250&lt;=0,L1250=0),0,IF(OR(NOT(ISNUMBER(F1250)),F1250&lt;0),"",MIN(E1250,INT(F1250)))))</f>
      </c>
      <c r="E1250" s="27" t="str">
        <f>IF(OR(NOT(ISNUMBER(L1250)),COUNT(M1250:O1250)&lt;&gt;3,MIN(M1250:O1250)&lt;0),"",ROUNDUP(ROUND(BI1250-SUM(M1250:O1250),10),0))</f>
      </c>
      <c r="F1250" s="28"/>
      <c r="G1250" s="28" t="str">
        <f>IF(AND(ISNUMBER(D1250),ISNUMBER(E1250)),IF(OR(E1250&lt;=0,L1250=0),0,E1250-D1250),"")</f>
      </c>
      <c r="H1250" s="16" t="str">
        <f>IF(NOT(ISNUMBER(E1250)),"销量或海外库存待补",IF(OR(E1250&lt;=0,L1250=0),IF(L1250=0,"零日销，本批不发","本批无需补货"),IF(NOT(ISNUMBER(D1250)),"国内库存待补",IF(D1250=0,"国内无可用库存",IF(G1250&gt;0,"先发国内现货","按建议量发货")))))</f>
        <v>销量或海外库存待补</v>
      </c>
      <c r="I1250" s="28" t="n">
        <f>IF(AND(COUNT(Z1250,AA1250,AB1250)=3,Z1250&gt;=AA1250,AA1250&gt;=0,AB1250=7),Z1250-AA1250,"")</f>
        <v>0</v>
      </c>
      <c r="J1250" s="28" t="n">
        <f>IF(AND(COUNT(AF1250,AG1250,AH1250)=3,AF1250&gt;=AG1250,AG1250&gt;=0,AH1250=14),AF1250-AG1250,"")</f>
        <v>0</v>
      </c>
      <c r="K1250" s="28" t="n">
        <f>IF(AND(COUNT(AL1250,AM1250,AN1250)=3,AL1250&gt;=AM1250,AM1250&gt;=0,AN1250=30),AL1250-AM1250,"")</f>
        <v>0</v>
      </c>
      <c r="L1250" s="29" t="n">
        <f>IF(ISNUMBER(BI1250),BI1250/90,"")</f>
        <v>0</v>
      </c>
      <c r="M1250" s="28"/>
      <c r="N1250" s="28"/>
      <c r="O1250" s="28"/>
      <c r="P1250" s="30" t="str">
        <f>IF(AND(ISNUMBER(L1250),L1250&gt;0,COUNT(M1250:O1250)=3,MIN(M1250:O1250)&gt;=0),SUM(M1250:O1250)/L1250,"")</f>
      </c>
      <c r="Q1250" s="16" t="str">
        <v>按本SKU唯一未删除Listing店铺核实</v>
      </c>
      <c r="R1250" s="16" t="str">
        <v>未匹配</v>
      </c>
      <c r="S1250" s="16" t="str">
        <v>停售</v>
      </c>
      <c r="T1250" s="16" t="str">
        <v>1S01</v>
      </c>
      <c r="U1250" s="16" t="str">
        <v>银色金属</v>
      </c>
      <c r="V1250" s="16" t="n">
        <v>8</v>
      </c>
      <c r="W1250" s="8" t="str">
        <v>2026-10-08 至 2026-10-17</v>
      </c>
      <c r="X1250" s="8" t="str">
        <v>2026-10-08、2026-10-09、2026-10-10、2026-10-11、2026-10-14、2026-10-15、2026-10-17</v>
      </c>
      <c r="Y1250" s="8" t="str">
        <v>2026-10-12 有记录的停售日；2026-10-13 有记录的停售日；2026-10-16 有记录的停售日</v>
      </c>
      <c r="Z1250" s="8" t="n">
        <v>0</v>
      </c>
      <c r="AA1250" s="8" t="n">
        <v>0</v>
      </c>
      <c r="AB1250" s="8" t="n">
        <v>7</v>
      </c>
      <c r="AC1250" s="8" t="str">
        <v>2026-09-29 至 2026-10-17</v>
      </c>
      <c r="AD1250" s="8" t="str">
        <v>2026-09-29、2026-09-30、2026-10-01、2026-10-02、2026-10-03、2026-10-04、2026-10-05、2026-10-08、2026-10-09、2026-10-10、2026-10-11、2026-10-14、2026-10-15、2026-10-17</v>
      </c>
      <c r="AE1250" s="8" t="str">
        <v>2026-10-06 大促；2026-10-07 大促；2026-10-12 有记录的停售日；2026-10-13 有记录的停售日；2026-10-16 有记录的停售日</v>
      </c>
      <c r="AF1250" s="8" t="n">
        <v>0</v>
      </c>
      <c r="AG1250" s="8" t="n">
        <v>0</v>
      </c>
      <c r="AH1250" s="8" t="n">
        <v>14</v>
      </c>
      <c r="AI1250" s="8" t="str">
        <v>2026-09-13 至 2026-10-17</v>
      </c>
      <c r="AJ125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0" s="8" t="str">
        <v>2026-10-06 大促；2026-10-07 大促；2026-10-12 有记录的停售日；2026-10-13 有记录的停售日；2026-10-16 有记录的停售日</v>
      </c>
      <c r="AL1250" s="8" t="n">
        <v>0</v>
      </c>
      <c r="AM1250" s="8" t="n">
        <v>0</v>
      </c>
      <c r="AN1250" s="8" t="n">
        <v>30</v>
      </c>
      <c r="AO1250" s="8" t="str">
        <v>1S01 / 银色金属PU / 13120</v>
      </c>
      <c r="AP1250" s="11" t="n">
        <v>0.8729500662042875</v>
      </c>
      <c r="AQ1250" s="11" t="n">
        <v>0.9355747145678367</v>
      </c>
      <c r="AR1250" s="11" t="n">
        <v>1.135973589331194</v>
      </c>
      <c r="AS1250" s="11" t="n">
        <f>IF(AND(COUNT(I1250:K1250,AP1250:AR1250)=6,MIN(AP1250:AR1250)&gt;0),I1250/7/AP1250*0.5+J1250/14/AQ1250*0.3+K1250/30/AR1250*0.2,"")</f>
        <v>0</v>
      </c>
      <c r="AT1250" s="8" t="n">
        <v>0</v>
      </c>
      <c r="AU1250" s="8" t="n">
        <v>0</v>
      </c>
      <c r="AV1250" s="8" t="n">
        <v>85</v>
      </c>
      <c r="AW1250" s="11" t="n">
        <f>IF(AND(COUNT(AT1250:AV1250)=3,AT1250&gt;=AU1250,AU1250&gt;=0,AV1250&gt;0),(AT1250-AU1250)/AV1250,"")</f>
        <v>0</v>
      </c>
      <c r="AX1250" s="8" t="n">
        <v>0</v>
      </c>
      <c r="AY1250" s="8" t="n">
        <v>0</v>
      </c>
      <c r="AZ1250" s="8" t="n">
        <v>175</v>
      </c>
      <c r="BA1250" s="11" t="n">
        <f>IF(AND(COUNT(AX1250:AZ1250)=3,AX1250&gt;=AY1250,AY1250&gt;=0,AZ1250&gt;0),(AX1250-AY1250)/AZ1250,"")</f>
        <v>0</v>
      </c>
      <c r="BB1250" s="8" t="n">
        <f>IF(COUNT(AS1250,AW1250,BA1250)=3,1,0)</f>
        <v>1</v>
      </c>
      <c r="BC1250" s="11" t="n">
        <f>IF(SUMIF($AO$11:$AO$1309,AO1250,$BB$11:$BB$1309)=COUNTIF($AO$11:$AO$1309,AO1250),SUMIF($AO$11:$AO$1309,AO1250,$AS$11:$AS$1309),"")</f>
        <v>0</v>
      </c>
      <c r="BD1250" s="11" t="n">
        <f>IF(SUMIF($AO$11:$AO$1309,AO1250,$BB$11:$BB$1309)=COUNTIF($AO$11:$AO$1309,AO1250),SUMIF($AO$11:$AO$1309,AO1250,$AW$11:$AW$1309),"")</f>
        <v>0</v>
      </c>
      <c r="BE1250" s="11" t="n">
        <f>IF(SUMIF($AO$11:$AO$1309,AO1250,$BB$11:$BB$1309)=COUNTIF($AO$11:$AO$1309,AO1250),SUMIF($AO$11:$AO$1309,AO1250,$BA$11:$BA$1309),"")</f>
        <v>0</v>
      </c>
      <c r="BF1250" s="12" t="n">
        <f>IF(COUNT(BD1250:BE1250)&lt;&gt;2,"",IF(AND(BD1250&gt;0,BE1250&gt;0),0.7*AW1250/BD1250+0.3*BA1250/BE1250,IF(BD1250&gt;0,AW1250/BD1250,IF(BE1250&gt;0,BA1250/BE1250,IF(AND(ISNUMBER(BH1250),BH1250=0),0,"")))))</f>
        <v>0</v>
      </c>
      <c r="BG1250" s="11" t="n">
        <f>IF(AND(COUNT(BN1250:BU1250)=8,MIN(BN1250:BU1250)&gt;=0),SUMPRODUCT(BN1250:BQ1250,BR1250:BU1250),"")</f>
        <v>63.935996265425516</v>
      </c>
      <c r="BH1250" s="11" t="n">
        <f>IF(COUNT(BC1250,BG1250)=2,BC1250*BG1250,"")</f>
        <v>0</v>
      </c>
      <c r="BI1250" s="11" t="n">
        <f>IF(ISNUMBER(CI1250),CI1250,"")</f>
        <v>0</v>
      </c>
      <c r="BJ1250" s="8" t="str">
        <v>近180天本色销量0双（＜90），无有效新采购，请运营判断</v>
      </c>
      <c r="BK1250" s="8" t="str">
        <v>90天：2026-07-20 至 2026-10-17；180天：2026-04-21 至 2026-10-17</v>
      </c>
      <c r="BL1250" s="8" t="str">
        <v>90天：2026-10-06、2026-10-07、2026-10-12、2026-10-13、2026-10-16；180天：2026-10-06、2026-10-07、2026-10-12、2026-10-13、2026-10-16</v>
      </c>
      <c r="BM1250" s="8" t="str">
        <v>2026-10：12天 × 0.8729500662042875；2026-11：30天 × 0.8057375774163482；2026-12：31天 × 0.532550303142279；2027-01：17天 × 0.7517299265337036</v>
      </c>
      <c r="BN1250" s="11" t="n">
        <v>0.8729500662042875</v>
      </c>
      <c r="BO1250" s="11" t="n">
        <v>0.8057375774163482</v>
      </c>
      <c r="BP1250" s="11" t="n">
        <v>0.532550303142279</v>
      </c>
      <c r="BQ1250" s="11" t="n">
        <v>0.7517299265337036</v>
      </c>
      <c r="BR1250" s="8" t="n">
        <v>12</v>
      </c>
      <c r="BS1250" s="8" t="n">
        <v>30</v>
      </c>
      <c r="BT1250" s="8" t="n">
        <v>31</v>
      </c>
      <c r="BU1250" s="8" t="n">
        <v>17</v>
      </c>
      <c r="BV1250" s="11" t="n">
        <f>IF(COUNT(BC1250,BF1250)=2,BC1250*BF1250,"")</f>
        <v>0</v>
      </c>
      <c r="BW1250" s="11" t="n">
        <f>IF(ISNUMBER(BN1250),BN1250,"")</f>
        <v>0.8729500662042875</v>
      </c>
      <c r="BX1250" s="14" t="n">
        <f>IF(ISNUMBER(BR1250),BR1250,"")</f>
        <v>12</v>
      </c>
      <c r="BY1250" s="13" t="n">
        <f>IF(AND(COUNT(BV1250,BW1250,BX1250)=3,MIN(BV1250,BW1250,BX1250)&gt;=0),BV1250*BW1250*BX1250,"")</f>
        <v>0</v>
      </c>
      <c r="BZ1250" s="11" t="n">
        <f>IF(ISNUMBER(BO1250),BO1250,"")</f>
        <v>0.8057375774163482</v>
      </c>
      <c r="CA1250" s="14" t="n">
        <f>IF(ISNUMBER(BS1250),BS1250,"")</f>
        <v>30</v>
      </c>
      <c r="CB1250" s="13" t="n">
        <f>IF(AND(COUNT(BV1250,BZ1250,CA1250)=3,MIN(BV1250,BZ1250,CA1250)&gt;=0),BV1250*BZ1250*CA1250,"")</f>
        <v>0</v>
      </c>
      <c r="CC1250" s="11" t="n">
        <f>IF(ISNUMBER(BP1250),BP1250,"")</f>
        <v>0.532550303142279</v>
      </c>
      <c r="CD1250" s="14" t="n">
        <f>IF(ISNUMBER(BT1250),BT1250,"")</f>
        <v>31</v>
      </c>
      <c r="CE1250" s="13" t="n">
        <f>IF(AND(COUNT(BV1250,CC1250,CD1250)=3,MIN(BV1250,CC1250,CD1250)&gt;=0),BV1250*CC1250*CD1250,"")</f>
        <v>0</v>
      </c>
      <c r="CF1250" s="11" t="n">
        <f>IF(ISNUMBER(BQ1250),BQ1250,"")</f>
        <v>0.7517299265337036</v>
      </c>
      <c r="CG1250" s="14" t="n">
        <f>IF(ISNUMBER(BU1250),BU1250,"")</f>
        <v>17</v>
      </c>
      <c r="CH1250" s="13" t="n">
        <f>IF(AND(COUNT(BV1250,CF1250,CG1250)=3,MIN(BV1250,CF1250,CG1250)&gt;=0),BV1250*CF1250*CG1250,"")</f>
        <v>0</v>
      </c>
      <c r="CI1250" s="13" t="n">
        <f>IF(COUNT(BY1250,CB1250,CE1250,CH1250)=4,SUM(BY1250,CB1250,CE1250,CH1250),"")</f>
        <v>0</v>
      </c>
    </row>
    <row r="1251" ht="72" customHeight="1">
      <c r="A1251" s="16" t="str">
        <v>1S01-TV-39.5</v>
      </c>
      <c r="B1251" s="16" t="str">
        <v>1店-MUSSHOE-US</v>
      </c>
      <c r="C1251" s="16" t="str">
        <v>徐新怡</v>
      </c>
      <c r="D1251" s="26" t="str">
        <f>IF(NOT(ISNUMBER(E1251)),"",IF(OR(E1251&lt;=0,L1251=0),0,IF(OR(NOT(ISNUMBER(F1251)),F1251&lt;0),"",MIN(E1251,INT(F1251)))))</f>
      </c>
      <c r="E1251" s="27" t="str">
        <f>IF(OR(NOT(ISNUMBER(L1251)),COUNT(M1251:O1251)&lt;&gt;3,MIN(M1251:O1251)&lt;0),"",ROUNDUP(ROUND(BI1251-SUM(M1251:O1251),10),0))</f>
      </c>
      <c r="F1251" s="28"/>
      <c r="G1251" s="28" t="str">
        <f>IF(AND(ISNUMBER(D1251),ISNUMBER(E1251)),IF(OR(E1251&lt;=0,L1251=0),0,E1251-D1251),"")</f>
      </c>
      <c r="H1251" s="16" t="str">
        <f>IF(NOT(ISNUMBER(E1251)),"销量或海外库存待补",IF(OR(E1251&lt;=0,L1251=0),IF(L1251=0,"零日销，本批不发","本批无需补货"),IF(NOT(ISNUMBER(D1251)),"国内库存待补",IF(D1251=0,"国内无可用库存",IF(G1251&gt;0,"先发国内现货","按建议量发货")))))</f>
        <v>销量或海外库存待补</v>
      </c>
      <c r="I1251" s="28" t="n">
        <f>IF(AND(COUNT(Z1251,AA1251,AB1251)=3,Z1251&gt;=AA1251,AA1251&gt;=0,AB1251=7),Z1251-AA1251,"")</f>
        <v>0</v>
      </c>
      <c r="J1251" s="28" t="n">
        <f>IF(AND(COUNT(AF1251,AG1251,AH1251)=3,AF1251&gt;=AG1251,AG1251&gt;=0,AH1251=14),AF1251-AG1251,"")</f>
        <v>0</v>
      </c>
      <c r="K1251" s="28" t="n">
        <f>IF(AND(COUNT(AL1251,AM1251,AN1251)=3,AL1251&gt;=AM1251,AM1251&gt;=0,AN1251=30),AL1251-AM1251,"")</f>
        <v>0</v>
      </c>
      <c r="L1251" s="29" t="n">
        <f>IF(ISNUMBER(BI1251),BI1251/90,"")</f>
        <v>0</v>
      </c>
      <c r="M1251" s="28"/>
      <c r="N1251" s="28"/>
      <c r="O1251" s="28"/>
      <c r="P1251" s="30" t="str">
        <f>IF(AND(ISNUMBER(L1251),L1251&gt;0,COUNT(M1251:O1251)=3,MIN(M1251:O1251)&gt;=0),SUM(M1251:O1251)/L1251,"")</f>
      </c>
      <c r="Q1251" s="16" t="str">
        <v>按本SKU唯一未删除Listing店铺核实</v>
      </c>
      <c r="R1251" s="16" t="str">
        <v>未匹配</v>
      </c>
      <c r="S1251" s="16" t="str">
        <v>停售</v>
      </c>
      <c r="T1251" s="16" t="str">
        <v>1S01</v>
      </c>
      <c r="U1251" s="16" t="str">
        <v>银色金属</v>
      </c>
      <c r="V1251" s="16" t="n">
        <v>8.5</v>
      </c>
      <c r="W1251" s="8" t="str">
        <v>2026-10-08 至 2026-10-17</v>
      </c>
      <c r="X1251" s="8" t="str">
        <v>2026-10-08、2026-10-09、2026-10-10、2026-10-11、2026-10-14、2026-10-15、2026-10-17</v>
      </c>
      <c r="Y1251" s="8" t="str">
        <v>2026-10-12 有记录的停售日；2026-10-13 有记录的停售日；2026-10-16 有记录的停售日</v>
      </c>
      <c r="Z1251" s="8" t="n">
        <v>0</v>
      </c>
      <c r="AA1251" s="8" t="n">
        <v>0</v>
      </c>
      <c r="AB1251" s="8" t="n">
        <v>7</v>
      </c>
      <c r="AC1251" s="8" t="str">
        <v>2026-09-29 至 2026-10-17</v>
      </c>
      <c r="AD1251" s="8" t="str">
        <v>2026-09-29、2026-09-30、2026-10-01、2026-10-02、2026-10-03、2026-10-04、2026-10-05、2026-10-08、2026-10-09、2026-10-10、2026-10-11、2026-10-14、2026-10-15、2026-10-17</v>
      </c>
      <c r="AE1251" s="8" t="str">
        <v>2026-10-06 大促；2026-10-07 大促；2026-10-12 有记录的停售日；2026-10-13 有记录的停售日；2026-10-16 有记录的停售日</v>
      </c>
      <c r="AF1251" s="8" t="n">
        <v>0</v>
      </c>
      <c r="AG1251" s="8" t="n">
        <v>0</v>
      </c>
      <c r="AH1251" s="8" t="n">
        <v>14</v>
      </c>
      <c r="AI1251" s="8" t="str">
        <v>2026-09-13 至 2026-10-17</v>
      </c>
      <c r="AJ125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1" s="8" t="str">
        <v>2026-10-06 大促；2026-10-07 大促；2026-10-12 有记录的停售日；2026-10-13 有记录的停售日；2026-10-16 有记录的停售日</v>
      </c>
      <c r="AL1251" s="8" t="n">
        <v>0</v>
      </c>
      <c r="AM1251" s="8" t="n">
        <v>0</v>
      </c>
      <c r="AN1251" s="8" t="n">
        <v>30</v>
      </c>
      <c r="AO1251" s="8" t="str">
        <v>1S01 / 银色金属PU / 13120</v>
      </c>
      <c r="AP1251" s="11" t="n">
        <v>0.8729500662042875</v>
      </c>
      <c r="AQ1251" s="11" t="n">
        <v>0.9355747145678367</v>
      </c>
      <c r="AR1251" s="11" t="n">
        <v>1.135973589331194</v>
      </c>
      <c r="AS1251" s="11" t="n">
        <f>IF(AND(COUNT(I1251:K1251,AP1251:AR1251)=6,MIN(AP1251:AR1251)&gt;0),I1251/7/AP1251*0.5+J1251/14/AQ1251*0.3+K1251/30/AR1251*0.2,"")</f>
        <v>0</v>
      </c>
      <c r="AT1251" s="8" t="n">
        <v>0</v>
      </c>
      <c r="AU1251" s="8" t="n">
        <v>0</v>
      </c>
      <c r="AV1251" s="8" t="n">
        <v>85</v>
      </c>
      <c r="AW1251" s="11" t="n">
        <f>IF(AND(COUNT(AT1251:AV1251)=3,AT1251&gt;=AU1251,AU1251&gt;=0,AV1251&gt;0),(AT1251-AU1251)/AV1251,"")</f>
        <v>0</v>
      </c>
      <c r="AX1251" s="8" t="n">
        <v>0</v>
      </c>
      <c r="AY1251" s="8" t="n">
        <v>0</v>
      </c>
      <c r="AZ1251" s="8" t="n">
        <v>175</v>
      </c>
      <c r="BA1251" s="11" t="n">
        <f>IF(AND(COUNT(AX1251:AZ1251)=3,AX1251&gt;=AY1251,AY1251&gt;=0,AZ1251&gt;0),(AX1251-AY1251)/AZ1251,"")</f>
        <v>0</v>
      </c>
      <c r="BB1251" s="8" t="n">
        <f>IF(COUNT(AS1251,AW1251,BA1251)=3,1,0)</f>
        <v>1</v>
      </c>
      <c r="BC1251" s="11" t="n">
        <f>IF(SUMIF($AO$11:$AO$1309,AO1251,$BB$11:$BB$1309)=COUNTIF($AO$11:$AO$1309,AO1251),SUMIF($AO$11:$AO$1309,AO1251,$AS$11:$AS$1309),"")</f>
        <v>0</v>
      </c>
      <c r="BD1251" s="11" t="n">
        <f>IF(SUMIF($AO$11:$AO$1309,AO1251,$BB$11:$BB$1309)=COUNTIF($AO$11:$AO$1309,AO1251),SUMIF($AO$11:$AO$1309,AO1251,$AW$11:$AW$1309),"")</f>
        <v>0</v>
      </c>
      <c r="BE1251" s="11" t="n">
        <f>IF(SUMIF($AO$11:$AO$1309,AO1251,$BB$11:$BB$1309)=COUNTIF($AO$11:$AO$1309,AO1251),SUMIF($AO$11:$AO$1309,AO1251,$BA$11:$BA$1309),"")</f>
        <v>0</v>
      </c>
      <c r="BF1251" s="12" t="n">
        <f>IF(COUNT(BD1251:BE1251)&lt;&gt;2,"",IF(AND(BD1251&gt;0,BE1251&gt;0),0.7*AW1251/BD1251+0.3*BA1251/BE1251,IF(BD1251&gt;0,AW1251/BD1251,IF(BE1251&gt;0,BA1251/BE1251,IF(AND(ISNUMBER(BH1251),BH1251=0),0,"")))))</f>
        <v>0</v>
      </c>
      <c r="BG1251" s="11" t="n">
        <f>IF(AND(COUNT(BN1251:BU1251)=8,MIN(BN1251:BU1251)&gt;=0),SUMPRODUCT(BN1251:BQ1251,BR1251:BU1251),"")</f>
        <v>63.935996265425516</v>
      </c>
      <c r="BH1251" s="11" t="n">
        <f>IF(COUNT(BC1251,BG1251)=2,BC1251*BG1251,"")</f>
        <v>0</v>
      </c>
      <c r="BI1251" s="11" t="n">
        <f>IF(ISNUMBER(CI1251),CI1251,"")</f>
        <v>0</v>
      </c>
      <c r="BJ1251" s="8" t="str">
        <v>近180天本色销量0双（＜90），无有效新采购，请运营判断</v>
      </c>
      <c r="BK1251" s="8" t="str">
        <v>90天：2026-07-20 至 2026-10-17；180天：2026-04-21 至 2026-10-17</v>
      </c>
      <c r="BL1251" s="8" t="str">
        <v>90天：2026-10-06、2026-10-07、2026-10-12、2026-10-13、2026-10-16；180天：2026-10-06、2026-10-07、2026-10-12、2026-10-13、2026-10-16</v>
      </c>
      <c r="BM1251" s="8" t="str">
        <v>2026-10：12天 × 0.8729500662042875；2026-11：30天 × 0.8057375774163482；2026-12：31天 × 0.532550303142279；2027-01：17天 × 0.7517299265337036</v>
      </c>
      <c r="BN1251" s="11" t="n">
        <v>0.8729500662042875</v>
      </c>
      <c r="BO1251" s="11" t="n">
        <v>0.8057375774163482</v>
      </c>
      <c r="BP1251" s="11" t="n">
        <v>0.532550303142279</v>
      </c>
      <c r="BQ1251" s="11" t="n">
        <v>0.7517299265337036</v>
      </c>
      <c r="BR1251" s="8" t="n">
        <v>12</v>
      </c>
      <c r="BS1251" s="8" t="n">
        <v>30</v>
      </c>
      <c r="BT1251" s="8" t="n">
        <v>31</v>
      </c>
      <c r="BU1251" s="8" t="n">
        <v>17</v>
      </c>
      <c r="BV1251" s="11" t="n">
        <f>IF(COUNT(BC1251,BF1251)=2,BC1251*BF1251,"")</f>
        <v>0</v>
      </c>
      <c r="BW1251" s="11" t="n">
        <f>IF(ISNUMBER(BN1251),BN1251,"")</f>
        <v>0.8729500662042875</v>
      </c>
      <c r="BX1251" s="14" t="n">
        <f>IF(ISNUMBER(BR1251),BR1251,"")</f>
        <v>12</v>
      </c>
      <c r="BY1251" s="13" t="n">
        <f>IF(AND(COUNT(BV1251,BW1251,BX1251)=3,MIN(BV1251,BW1251,BX1251)&gt;=0),BV1251*BW1251*BX1251,"")</f>
        <v>0</v>
      </c>
      <c r="BZ1251" s="11" t="n">
        <f>IF(ISNUMBER(BO1251),BO1251,"")</f>
        <v>0.8057375774163482</v>
      </c>
      <c r="CA1251" s="14" t="n">
        <f>IF(ISNUMBER(BS1251),BS1251,"")</f>
        <v>30</v>
      </c>
      <c r="CB1251" s="13" t="n">
        <f>IF(AND(COUNT(BV1251,BZ1251,CA1251)=3,MIN(BV1251,BZ1251,CA1251)&gt;=0),BV1251*BZ1251*CA1251,"")</f>
        <v>0</v>
      </c>
      <c r="CC1251" s="11" t="n">
        <f>IF(ISNUMBER(BP1251),BP1251,"")</f>
        <v>0.532550303142279</v>
      </c>
      <c r="CD1251" s="14" t="n">
        <f>IF(ISNUMBER(BT1251),BT1251,"")</f>
        <v>31</v>
      </c>
      <c r="CE1251" s="13" t="n">
        <f>IF(AND(COUNT(BV1251,CC1251,CD1251)=3,MIN(BV1251,CC1251,CD1251)&gt;=0),BV1251*CC1251*CD1251,"")</f>
        <v>0</v>
      </c>
      <c r="CF1251" s="11" t="n">
        <f>IF(ISNUMBER(BQ1251),BQ1251,"")</f>
        <v>0.7517299265337036</v>
      </c>
      <c r="CG1251" s="14" t="n">
        <f>IF(ISNUMBER(BU1251),BU1251,"")</f>
        <v>17</v>
      </c>
      <c r="CH1251" s="13" t="n">
        <f>IF(AND(COUNT(BV1251,CF1251,CG1251)=3,MIN(BV1251,CF1251,CG1251)&gt;=0),BV1251*CF1251*CG1251,"")</f>
        <v>0</v>
      </c>
      <c r="CI1251" s="13" t="n">
        <f>IF(COUNT(BY1251,CB1251,CE1251,CH1251)=4,SUM(BY1251,CB1251,CE1251,CH1251),"")</f>
        <v>0</v>
      </c>
    </row>
    <row r="1252" ht="72" customHeight="1">
      <c r="A1252" s="16" t="str">
        <v>1S01-TV-40</v>
      </c>
      <c r="B1252" s="16" t="str">
        <v>1店-MUSSHOE-US</v>
      </c>
      <c r="C1252" s="16" t="str">
        <v>徐新怡</v>
      </c>
      <c r="D1252" s="26" t="str">
        <f>IF(NOT(ISNUMBER(E1252)),"",IF(OR(E1252&lt;=0,L1252=0),0,IF(OR(NOT(ISNUMBER(F1252)),F1252&lt;0),"",MIN(E1252,INT(F1252)))))</f>
      </c>
      <c r="E1252" s="27" t="str">
        <f>IF(OR(NOT(ISNUMBER(L1252)),COUNT(M1252:O1252)&lt;&gt;3,MIN(M1252:O1252)&lt;0),"",ROUNDUP(ROUND(BI1252-SUM(M1252:O1252),10),0))</f>
      </c>
      <c r="F1252" s="28"/>
      <c r="G1252" s="28" t="str">
        <f>IF(AND(ISNUMBER(D1252),ISNUMBER(E1252)),IF(OR(E1252&lt;=0,L1252=0),0,E1252-D1252),"")</f>
      </c>
      <c r="H1252" s="16" t="str">
        <f>IF(NOT(ISNUMBER(E1252)),"销量或海外库存待补",IF(OR(E1252&lt;=0,L1252=0),IF(L1252=0,"零日销，本批不发","本批无需补货"),IF(NOT(ISNUMBER(D1252)),"国内库存待补",IF(D1252=0,"国内无可用库存",IF(G1252&gt;0,"先发国内现货","按建议量发货")))))</f>
        <v>销量或海外库存待补</v>
      </c>
      <c r="I1252" s="28" t="n">
        <f>IF(AND(COUNT(Z1252,AA1252,AB1252)=3,Z1252&gt;=AA1252,AA1252&gt;=0,AB1252=7),Z1252-AA1252,"")</f>
        <v>0</v>
      </c>
      <c r="J1252" s="28" t="n">
        <f>IF(AND(COUNT(AF1252,AG1252,AH1252)=3,AF1252&gt;=AG1252,AG1252&gt;=0,AH1252=14),AF1252-AG1252,"")</f>
        <v>0</v>
      </c>
      <c r="K1252" s="28" t="n">
        <f>IF(AND(COUNT(AL1252,AM1252,AN1252)=3,AL1252&gt;=AM1252,AM1252&gt;=0,AN1252=30),AL1252-AM1252,"")</f>
        <v>0</v>
      </c>
      <c r="L1252" s="29" t="n">
        <f>IF(ISNUMBER(BI1252),BI1252/90,"")</f>
        <v>0</v>
      </c>
      <c r="M1252" s="28"/>
      <c r="N1252" s="28"/>
      <c r="O1252" s="28"/>
      <c r="P1252" s="30" t="str">
        <f>IF(AND(ISNUMBER(L1252),L1252&gt;0,COUNT(M1252:O1252)=3,MIN(M1252:O1252)&gt;=0),SUM(M1252:O1252)/L1252,"")</f>
      </c>
      <c r="Q1252" s="16" t="str">
        <v>按本SKU唯一未删除Listing店铺核实</v>
      </c>
      <c r="R1252" s="16" t="str">
        <v>未匹配</v>
      </c>
      <c r="S1252" s="16" t="str">
        <v>停售</v>
      </c>
      <c r="T1252" s="16" t="str">
        <v>1S01</v>
      </c>
      <c r="U1252" s="16" t="str">
        <v>银色金属</v>
      </c>
      <c r="V1252" s="16" t="n">
        <v>9</v>
      </c>
      <c r="W1252" s="8" t="str">
        <v>2026-10-08 至 2026-10-17</v>
      </c>
      <c r="X1252" s="8" t="str">
        <v>2026-10-08、2026-10-09、2026-10-10、2026-10-11、2026-10-14、2026-10-15、2026-10-17</v>
      </c>
      <c r="Y1252" s="8" t="str">
        <v>2026-10-12 有记录的停售日；2026-10-13 有记录的停售日；2026-10-16 有记录的停售日</v>
      </c>
      <c r="Z1252" s="8" t="n">
        <v>0</v>
      </c>
      <c r="AA1252" s="8" t="n">
        <v>0</v>
      </c>
      <c r="AB1252" s="8" t="n">
        <v>7</v>
      </c>
      <c r="AC1252" s="8" t="str">
        <v>2026-09-29 至 2026-10-17</v>
      </c>
      <c r="AD1252" s="8" t="str">
        <v>2026-09-29、2026-09-30、2026-10-01、2026-10-02、2026-10-03、2026-10-04、2026-10-05、2026-10-08、2026-10-09、2026-10-10、2026-10-11、2026-10-14、2026-10-15、2026-10-17</v>
      </c>
      <c r="AE1252" s="8" t="str">
        <v>2026-10-06 大促；2026-10-07 大促；2026-10-12 有记录的停售日；2026-10-13 有记录的停售日；2026-10-16 有记录的停售日</v>
      </c>
      <c r="AF1252" s="8" t="n">
        <v>0</v>
      </c>
      <c r="AG1252" s="8" t="n">
        <v>0</v>
      </c>
      <c r="AH1252" s="8" t="n">
        <v>14</v>
      </c>
      <c r="AI1252" s="8" t="str">
        <v>2026-09-13 至 2026-10-17</v>
      </c>
      <c r="AJ125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2" s="8" t="str">
        <v>2026-10-06 大促；2026-10-07 大促；2026-10-12 有记录的停售日；2026-10-13 有记录的停售日；2026-10-16 有记录的停售日</v>
      </c>
      <c r="AL1252" s="8" t="n">
        <v>0</v>
      </c>
      <c r="AM1252" s="8" t="n">
        <v>0</v>
      </c>
      <c r="AN1252" s="8" t="n">
        <v>30</v>
      </c>
      <c r="AO1252" s="8" t="str">
        <v>1S01 / 银色金属PU / 13120</v>
      </c>
      <c r="AP1252" s="11" t="n">
        <v>0.8729500662042875</v>
      </c>
      <c r="AQ1252" s="11" t="n">
        <v>0.9355747145678367</v>
      </c>
      <c r="AR1252" s="11" t="n">
        <v>1.135973589331194</v>
      </c>
      <c r="AS1252" s="11" t="n">
        <f>IF(AND(COUNT(I1252:K1252,AP1252:AR1252)=6,MIN(AP1252:AR1252)&gt;0),I1252/7/AP1252*0.5+J1252/14/AQ1252*0.3+K1252/30/AR1252*0.2,"")</f>
        <v>0</v>
      </c>
      <c r="AT1252" s="8" t="n">
        <v>0</v>
      </c>
      <c r="AU1252" s="8" t="n">
        <v>0</v>
      </c>
      <c r="AV1252" s="8" t="n">
        <v>85</v>
      </c>
      <c r="AW1252" s="11" t="n">
        <f>IF(AND(COUNT(AT1252:AV1252)=3,AT1252&gt;=AU1252,AU1252&gt;=0,AV1252&gt;0),(AT1252-AU1252)/AV1252,"")</f>
        <v>0</v>
      </c>
      <c r="AX1252" s="8" t="n">
        <v>0</v>
      </c>
      <c r="AY1252" s="8" t="n">
        <v>0</v>
      </c>
      <c r="AZ1252" s="8" t="n">
        <v>175</v>
      </c>
      <c r="BA1252" s="11" t="n">
        <f>IF(AND(COUNT(AX1252:AZ1252)=3,AX1252&gt;=AY1252,AY1252&gt;=0,AZ1252&gt;0),(AX1252-AY1252)/AZ1252,"")</f>
        <v>0</v>
      </c>
      <c r="BB1252" s="8" t="n">
        <f>IF(COUNT(AS1252,AW1252,BA1252)=3,1,0)</f>
        <v>1</v>
      </c>
      <c r="BC1252" s="11" t="n">
        <f>IF(SUMIF($AO$11:$AO$1309,AO1252,$BB$11:$BB$1309)=COUNTIF($AO$11:$AO$1309,AO1252),SUMIF($AO$11:$AO$1309,AO1252,$AS$11:$AS$1309),"")</f>
        <v>0</v>
      </c>
      <c r="BD1252" s="11" t="n">
        <f>IF(SUMIF($AO$11:$AO$1309,AO1252,$BB$11:$BB$1309)=COUNTIF($AO$11:$AO$1309,AO1252),SUMIF($AO$11:$AO$1309,AO1252,$AW$11:$AW$1309),"")</f>
        <v>0</v>
      </c>
      <c r="BE1252" s="11" t="n">
        <f>IF(SUMIF($AO$11:$AO$1309,AO1252,$BB$11:$BB$1309)=COUNTIF($AO$11:$AO$1309,AO1252),SUMIF($AO$11:$AO$1309,AO1252,$BA$11:$BA$1309),"")</f>
        <v>0</v>
      </c>
      <c r="BF1252" s="12" t="n">
        <f>IF(COUNT(BD1252:BE1252)&lt;&gt;2,"",IF(AND(BD1252&gt;0,BE1252&gt;0),0.7*AW1252/BD1252+0.3*BA1252/BE1252,IF(BD1252&gt;0,AW1252/BD1252,IF(BE1252&gt;0,BA1252/BE1252,IF(AND(ISNUMBER(BH1252),BH1252=0),0,"")))))</f>
        <v>0</v>
      </c>
      <c r="BG1252" s="11" t="n">
        <f>IF(AND(COUNT(BN1252:BU1252)=8,MIN(BN1252:BU1252)&gt;=0),SUMPRODUCT(BN1252:BQ1252,BR1252:BU1252),"")</f>
        <v>63.935996265425516</v>
      </c>
      <c r="BH1252" s="11" t="n">
        <f>IF(COUNT(BC1252,BG1252)=2,BC1252*BG1252,"")</f>
        <v>0</v>
      </c>
      <c r="BI1252" s="11" t="n">
        <f>IF(ISNUMBER(CI1252),CI1252,"")</f>
        <v>0</v>
      </c>
      <c r="BJ1252" s="8" t="str">
        <v>近180天本色销量0双（＜90），无有效新采购，请运营判断</v>
      </c>
      <c r="BK1252" s="8" t="str">
        <v>90天：2026-07-20 至 2026-10-17；180天：2026-04-21 至 2026-10-17</v>
      </c>
      <c r="BL1252" s="8" t="str">
        <v>90天：2026-10-06、2026-10-07、2026-10-12、2026-10-13、2026-10-16；180天：2026-10-06、2026-10-07、2026-10-12、2026-10-13、2026-10-16</v>
      </c>
      <c r="BM1252" s="8" t="str">
        <v>2026-10：12天 × 0.8729500662042875；2026-11：30天 × 0.8057375774163482；2026-12：31天 × 0.532550303142279；2027-01：17天 × 0.7517299265337036</v>
      </c>
      <c r="BN1252" s="11" t="n">
        <v>0.8729500662042875</v>
      </c>
      <c r="BO1252" s="11" t="n">
        <v>0.8057375774163482</v>
      </c>
      <c r="BP1252" s="11" t="n">
        <v>0.532550303142279</v>
      </c>
      <c r="BQ1252" s="11" t="n">
        <v>0.7517299265337036</v>
      </c>
      <c r="BR1252" s="8" t="n">
        <v>12</v>
      </c>
      <c r="BS1252" s="8" t="n">
        <v>30</v>
      </c>
      <c r="BT1252" s="8" t="n">
        <v>31</v>
      </c>
      <c r="BU1252" s="8" t="n">
        <v>17</v>
      </c>
      <c r="BV1252" s="11" t="n">
        <f>IF(COUNT(BC1252,BF1252)=2,BC1252*BF1252,"")</f>
        <v>0</v>
      </c>
      <c r="BW1252" s="11" t="n">
        <f>IF(ISNUMBER(BN1252),BN1252,"")</f>
        <v>0.8729500662042875</v>
      </c>
      <c r="BX1252" s="14" t="n">
        <f>IF(ISNUMBER(BR1252),BR1252,"")</f>
        <v>12</v>
      </c>
      <c r="BY1252" s="13" t="n">
        <f>IF(AND(COUNT(BV1252,BW1252,BX1252)=3,MIN(BV1252,BW1252,BX1252)&gt;=0),BV1252*BW1252*BX1252,"")</f>
        <v>0</v>
      </c>
      <c r="BZ1252" s="11" t="n">
        <f>IF(ISNUMBER(BO1252),BO1252,"")</f>
        <v>0.8057375774163482</v>
      </c>
      <c r="CA1252" s="14" t="n">
        <f>IF(ISNUMBER(BS1252),BS1252,"")</f>
        <v>30</v>
      </c>
      <c r="CB1252" s="13" t="n">
        <f>IF(AND(COUNT(BV1252,BZ1252,CA1252)=3,MIN(BV1252,BZ1252,CA1252)&gt;=0),BV1252*BZ1252*CA1252,"")</f>
        <v>0</v>
      </c>
      <c r="CC1252" s="11" t="n">
        <f>IF(ISNUMBER(BP1252),BP1252,"")</f>
        <v>0.532550303142279</v>
      </c>
      <c r="CD1252" s="14" t="n">
        <f>IF(ISNUMBER(BT1252),BT1252,"")</f>
        <v>31</v>
      </c>
      <c r="CE1252" s="13" t="n">
        <f>IF(AND(COUNT(BV1252,CC1252,CD1252)=3,MIN(BV1252,CC1252,CD1252)&gt;=0),BV1252*CC1252*CD1252,"")</f>
        <v>0</v>
      </c>
      <c r="CF1252" s="11" t="n">
        <f>IF(ISNUMBER(BQ1252),BQ1252,"")</f>
        <v>0.7517299265337036</v>
      </c>
      <c r="CG1252" s="14" t="n">
        <f>IF(ISNUMBER(BU1252),BU1252,"")</f>
        <v>17</v>
      </c>
      <c r="CH1252" s="13" t="n">
        <f>IF(AND(COUNT(BV1252,CF1252,CG1252)=3,MIN(BV1252,CF1252,CG1252)&gt;=0),BV1252*CF1252*CG1252,"")</f>
        <v>0</v>
      </c>
      <c r="CI1252" s="13" t="n">
        <f>IF(COUNT(BY1252,CB1252,CE1252,CH1252)=4,SUM(BY1252,CB1252,CE1252,CH1252),"")</f>
        <v>0</v>
      </c>
    </row>
    <row r="1253" ht="72" customHeight="1">
      <c r="A1253" s="16" t="str">
        <v>1S01-TV-40.5</v>
      </c>
      <c r="B1253" s="16" t="str">
        <v>1店-MUSSHOE-US</v>
      </c>
      <c r="C1253" s="16" t="str">
        <v>徐新怡</v>
      </c>
      <c r="D1253" s="26" t="str">
        <f>IF(NOT(ISNUMBER(E1253)),"",IF(OR(E1253&lt;=0,L1253=0),0,IF(OR(NOT(ISNUMBER(F1253)),F1253&lt;0),"",MIN(E1253,INT(F1253)))))</f>
      </c>
      <c r="E1253" s="27" t="str">
        <f>IF(OR(NOT(ISNUMBER(L1253)),COUNT(M1253:O1253)&lt;&gt;3,MIN(M1253:O1253)&lt;0),"",ROUNDUP(ROUND(BI1253-SUM(M1253:O1253),10),0))</f>
      </c>
      <c r="F1253" s="28"/>
      <c r="G1253" s="28" t="str">
        <f>IF(AND(ISNUMBER(D1253),ISNUMBER(E1253)),IF(OR(E1253&lt;=0,L1253=0),0,E1253-D1253),"")</f>
      </c>
      <c r="H1253" s="16" t="str">
        <f>IF(NOT(ISNUMBER(E1253)),"销量或海外库存待补",IF(OR(E1253&lt;=0,L1253=0),IF(L1253=0,"零日销，本批不发","本批无需补货"),IF(NOT(ISNUMBER(D1253)),"国内库存待补",IF(D1253=0,"国内无可用库存",IF(G1253&gt;0,"先发国内现货","按建议量发货")))))</f>
        <v>销量或海外库存待补</v>
      </c>
      <c r="I1253" s="28" t="n">
        <f>IF(AND(COUNT(Z1253,AA1253,AB1253)=3,Z1253&gt;=AA1253,AA1253&gt;=0,AB1253=7),Z1253-AA1253,"")</f>
        <v>0</v>
      </c>
      <c r="J1253" s="28" t="n">
        <f>IF(AND(COUNT(AF1253,AG1253,AH1253)=3,AF1253&gt;=AG1253,AG1253&gt;=0,AH1253=14),AF1253-AG1253,"")</f>
        <v>0</v>
      </c>
      <c r="K1253" s="28" t="n">
        <f>IF(AND(COUNT(AL1253,AM1253,AN1253)=3,AL1253&gt;=AM1253,AM1253&gt;=0,AN1253=30),AL1253-AM1253,"")</f>
        <v>0</v>
      </c>
      <c r="L1253" s="29" t="n">
        <f>IF(ISNUMBER(BI1253),BI1253/90,"")</f>
        <v>0</v>
      </c>
      <c r="M1253" s="28"/>
      <c r="N1253" s="28"/>
      <c r="O1253" s="28"/>
      <c r="P1253" s="30" t="str">
        <f>IF(AND(ISNUMBER(L1253),L1253&gt;0,COUNT(M1253:O1253)=3,MIN(M1253:O1253)&gt;=0),SUM(M1253:O1253)/L1253,"")</f>
      </c>
      <c r="Q1253" s="16" t="str">
        <v>按本SKU唯一未删除Listing店铺核实</v>
      </c>
      <c r="R1253" s="16" t="str">
        <v>未匹配</v>
      </c>
      <c r="S1253" s="16" t="str">
        <v>停售</v>
      </c>
      <c r="T1253" s="16" t="str">
        <v>1S01</v>
      </c>
      <c r="U1253" s="16" t="str">
        <v>银色金属</v>
      </c>
      <c r="V1253" s="16" t="n">
        <v>9.5</v>
      </c>
      <c r="W1253" s="8" t="str">
        <v>2026-10-08 至 2026-10-17</v>
      </c>
      <c r="X1253" s="8" t="str">
        <v>2026-10-08、2026-10-09、2026-10-10、2026-10-11、2026-10-14、2026-10-15、2026-10-17</v>
      </c>
      <c r="Y1253" s="8" t="str">
        <v>2026-10-12 有记录的停售日；2026-10-13 有记录的停售日；2026-10-16 有记录的停售日</v>
      </c>
      <c r="Z1253" s="8" t="n">
        <v>0</v>
      </c>
      <c r="AA1253" s="8" t="n">
        <v>0</v>
      </c>
      <c r="AB1253" s="8" t="n">
        <v>7</v>
      </c>
      <c r="AC1253" s="8" t="str">
        <v>2026-09-29 至 2026-10-17</v>
      </c>
      <c r="AD1253" s="8" t="str">
        <v>2026-09-29、2026-09-30、2026-10-01、2026-10-02、2026-10-03、2026-10-04、2026-10-05、2026-10-08、2026-10-09、2026-10-10、2026-10-11、2026-10-14、2026-10-15、2026-10-17</v>
      </c>
      <c r="AE1253" s="8" t="str">
        <v>2026-10-06 大促；2026-10-07 大促；2026-10-12 有记录的停售日；2026-10-13 有记录的停售日；2026-10-16 有记录的停售日</v>
      </c>
      <c r="AF1253" s="8" t="n">
        <v>0</v>
      </c>
      <c r="AG1253" s="8" t="n">
        <v>0</v>
      </c>
      <c r="AH1253" s="8" t="n">
        <v>14</v>
      </c>
      <c r="AI1253" s="8" t="str">
        <v>2026-09-13 至 2026-10-17</v>
      </c>
      <c r="AJ125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3" s="8" t="str">
        <v>2026-10-06 大促；2026-10-07 大促；2026-10-12 有记录的停售日；2026-10-13 有记录的停售日；2026-10-16 有记录的停售日</v>
      </c>
      <c r="AL1253" s="8" t="n">
        <v>0</v>
      </c>
      <c r="AM1253" s="8" t="n">
        <v>0</v>
      </c>
      <c r="AN1253" s="8" t="n">
        <v>30</v>
      </c>
      <c r="AO1253" s="8" t="str">
        <v>1S01 / 银色金属PU / 13120</v>
      </c>
      <c r="AP1253" s="11" t="n">
        <v>0.8729500662042875</v>
      </c>
      <c r="AQ1253" s="11" t="n">
        <v>0.9355747145678367</v>
      </c>
      <c r="AR1253" s="11" t="n">
        <v>1.135973589331194</v>
      </c>
      <c r="AS1253" s="11" t="n">
        <f>IF(AND(COUNT(I1253:K1253,AP1253:AR1253)=6,MIN(AP1253:AR1253)&gt;0),I1253/7/AP1253*0.5+J1253/14/AQ1253*0.3+K1253/30/AR1253*0.2,"")</f>
        <v>0</v>
      </c>
      <c r="AT1253" s="8" t="n">
        <v>0</v>
      </c>
      <c r="AU1253" s="8" t="n">
        <v>0</v>
      </c>
      <c r="AV1253" s="8" t="n">
        <v>85</v>
      </c>
      <c r="AW1253" s="11" t="n">
        <f>IF(AND(COUNT(AT1253:AV1253)=3,AT1253&gt;=AU1253,AU1253&gt;=0,AV1253&gt;0),(AT1253-AU1253)/AV1253,"")</f>
        <v>0</v>
      </c>
      <c r="AX1253" s="8" t="n">
        <v>0</v>
      </c>
      <c r="AY1253" s="8" t="n">
        <v>0</v>
      </c>
      <c r="AZ1253" s="8" t="n">
        <v>175</v>
      </c>
      <c r="BA1253" s="11" t="n">
        <f>IF(AND(COUNT(AX1253:AZ1253)=3,AX1253&gt;=AY1253,AY1253&gt;=0,AZ1253&gt;0),(AX1253-AY1253)/AZ1253,"")</f>
        <v>0</v>
      </c>
      <c r="BB1253" s="8" t="n">
        <f>IF(COUNT(AS1253,AW1253,BA1253)=3,1,0)</f>
        <v>1</v>
      </c>
      <c r="BC1253" s="11" t="n">
        <f>IF(SUMIF($AO$11:$AO$1309,AO1253,$BB$11:$BB$1309)=COUNTIF($AO$11:$AO$1309,AO1253),SUMIF($AO$11:$AO$1309,AO1253,$AS$11:$AS$1309),"")</f>
        <v>0</v>
      </c>
      <c r="BD1253" s="11" t="n">
        <f>IF(SUMIF($AO$11:$AO$1309,AO1253,$BB$11:$BB$1309)=COUNTIF($AO$11:$AO$1309,AO1253),SUMIF($AO$11:$AO$1309,AO1253,$AW$11:$AW$1309),"")</f>
        <v>0</v>
      </c>
      <c r="BE1253" s="11" t="n">
        <f>IF(SUMIF($AO$11:$AO$1309,AO1253,$BB$11:$BB$1309)=COUNTIF($AO$11:$AO$1309,AO1253),SUMIF($AO$11:$AO$1309,AO1253,$BA$11:$BA$1309),"")</f>
        <v>0</v>
      </c>
      <c r="BF1253" s="12" t="n">
        <f>IF(COUNT(BD1253:BE1253)&lt;&gt;2,"",IF(AND(BD1253&gt;0,BE1253&gt;0),0.7*AW1253/BD1253+0.3*BA1253/BE1253,IF(BD1253&gt;0,AW1253/BD1253,IF(BE1253&gt;0,BA1253/BE1253,IF(AND(ISNUMBER(BH1253),BH1253=0),0,"")))))</f>
        <v>0</v>
      </c>
      <c r="BG1253" s="11" t="n">
        <f>IF(AND(COUNT(BN1253:BU1253)=8,MIN(BN1253:BU1253)&gt;=0),SUMPRODUCT(BN1253:BQ1253,BR1253:BU1253),"")</f>
        <v>63.935996265425516</v>
      </c>
      <c r="BH1253" s="11" t="n">
        <f>IF(COUNT(BC1253,BG1253)=2,BC1253*BG1253,"")</f>
        <v>0</v>
      </c>
      <c r="BI1253" s="11" t="n">
        <f>IF(ISNUMBER(CI1253),CI1253,"")</f>
        <v>0</v>
      </c>
      <c r="BJ1253" s="8" t="str">
        <v>近180天本色销量0双（＜90），无有效新采购，请运营判断</v>
      </c>
      <c r="BK1253" s="8" t="str">
        <v>90天：2026-07-20 至 2026-10-17；180天：2026-04-21 至 2026-10-17</v>
      </c>
      <c r="BL1253" s="8" t="str">
        <v>90天：2026-10-06、2026-10-07、2026-10-12、2026-10-13、2026-10-16；180天：2026-10-06、2026-10-07、2026-10-12、2026-10-13、2026-10-16</v>
      </c>
      <c r="BM1253" s="8" t="str">
        <v>2026-10：12天 × 0.8729500662042875；2026-11：30天 × 0.8057375774163482；2026-12：31天 × 0.532550303142279；2027-01：17天 × 0.7517299265337036</v>
      </c>
      <c r="BN1253" s="11" t="n">
        <v>0.8729500662042875</v>
      </c>
      <c r="BO1253" s="11" t="n">
        <v>0.8057375774163482</v>
      </c>
      <c r="BP1253" s="11" t="n">
        <v>0.532550303142279</v>
      </c>
      <c r="BQ1253" s="11" t="n">
        <v>0.7517299265337036</v>
      </c>
      <c r="BR1253" s="8" t="n">
        <v>12</v>
      </c>
      <c r="BS1253" s="8" t="n">
        <v>30</v>
      </c>
      <c r="BT1253" s="8" t="n">
        <v>31</v>
      </c>
      <c r="BU1253" s="8" t="n">
        <v>17</v>
      </c>
      <c r="BV1253" s="11" t="n">
        <f>IF(COUNT(BC1253,BF1253)=2,BC1253*BF1253,"")</f>
        <v>0</v>
      </c>
      <c r="BW1253" s="11" t="n">
        <f>IF(ISNUMBER(BN1253),BN1253,"")</f>
        <v>0.8729500662042875</v>
      </c>
      <c r="BX1253" s="14" t="n">
        <f>IF(ISNUMBER(BR1253),BR1253,"")</f>
        <v>12</v>
      </c>
      <c r="BY1253" s="13" t="n">
        <f>IF(AND(COUNT(BV1253,BW1253,BX1253)=3,MIN(BV1253,BW1253,BX1253)&gt;=0),BV1253*BW1253*BX1253,"")</f>
        <v>0</v>
      </c>
      <c r="BZ1253" s="11" t="n">
        <f>IF(ISNUMBER(BO1253),BO1253,"")</f>
        <v>0.8057375774163482</v>
      </c>
      <c r="CA1253" s="14" t="n">
        <f>IF(ISNUMBER(BS1253),BS1253,"")</f>
        <v>30</v>
      </c>
      <c r="CB1253" s="13" t="n">
        <f>IF(AND(COUNT(BV1253,BZ1253,CA1253)=3,MIN(BV1253,BZ1253,CA1253)&gt;=0),BV1253*BZ1253*CA1253,"")</f>
        <v>0</v>
      </c>
      <c r="CC1253" s="11" t="n">
        <f>IF(ISNUMBER(BP1253),BP1253,"")</f>
        <v>0.532550303142279</v>
      </c>
      <c r="CD1253" s="14" t="n">
        <f>IF(ISNUMBER(BT1253),BT1253,"")</f>
        <v>31</v>
      </c>
      <c r="CE1253" s="13" t="n">
        <f>IF(AND(COUNT(BV1253,CC1253,CD1253)=3,MIN(BV1253,CC1253,CD1253)&gt;=0),BV1253*CC1253*CD1253,"")</f>
        <v>0</v>
      </c>
      <c r="CF1253" s="11" t="n">
        <f>IF(ISNUMBER(BQ1253),BQ1253,"")</f>
        <v>0.7517299265337036</v>
      </c>
      <c r="CG1253" s="14" t="n">
        <f>IF(ISNUMBER(BU1253),BU1253,"")</f>
        <v>17</v>
      </c>
      <c r="CH1253" s="13" t="n">
        <f>IF(AND(COUNT(BV1253,CF1253,CG1253)=3,MIN(BV1253,CF1253,CG1253)&gt;=0),BV1253*CF1253*CG1253,"")</f>
        <v>0</v>
      </c>
      <c r="CI1253" s="13" t="n">
        <f>IF(COUNT(BY1253,CB1253,CE1253,CH1253)=4,SUM(BY1253,CB1253,CE1253,CH1253),"")</f>
        <v>0</v>
      </c>
    </row>
    <row r="1254" ht="72" customHeight="1">
      <c r="A1254" s="16" t="str">
        <v>1S01-TV-41</v>
      </c>
      <c r="B1254" s="16" t="str">
        <v>1店-MUSSHOE-US</v>
      </c>
      <c r="C1254" s="16" t="str">
        <v>徐新怡</v>
      </c>
      <c r="D1254" s="26" t="str">
        <f>IF(NOT(ISNUMBER(E1254)),"",IF(OR(E1254&lt;=0,L1254=0),0,IF(OR(NOT(ISNUMBER(F1254)),F1254&lt;0),"",MIN(E1254,INT(F1254)))))</f>
      </c>
      <c r="E1254" s="27" t="str">
        <f>IF(OR(NOT(ISNUMBER(L1254)),COUNT(M1254:O1254)&lt;&gt;3,MIN(M1254:O1254)&lt;0),"",ROUNDUP(ROUND(BI1254-SUM(M1254:O1254),10),0))</f>
      </c>
      <c r="F1254" s="28"/>
      <c r="G1254" s="28" t="str">
        <f>IF(AND(ISNUMBER(D1254),ISNUMBER(E1254)),IF(OR(E1254&lt;=0,L1254=0),0,E1254-D1254),"")</f>
      </c>
      <c r="H1254" s="16" t="str">
        <f>IF(NOT(ISNUMBER(E1254)),"销量或海外库存待补",IF(OR(E1254&lt;=0,L1254=0),IF(L1254=0,"零日销，本批不发","本批无需补货"),IF(NOT(ISNUMBER(D1254)),"国内库存待补",IF(D1254=0,"国内无可用库存",IF(G1254&gt;0,"先发国内现货","按建议量发货")))))</f>
        <v>销量或海外库存待补</v>
      </c>
      <c r="I1254" s="28" t="n">
        <f>IF(AND(COUNT(Z1254,AA1254,AB1254)=3,Z1254&gt;=AA1254,AA1254&gt;=0,AB1254=7),Z1254-AA1254,"")</f>
        <v>0</v>
      </c>
      <c r="J1254" s="28" t="n">
        <f>IF(AND(COUNT(AF1254,AG1254,AH1254)=3,AF1254&gt;=AG1254,AG1254&gt;=0,AH1254=14),AF1254-AG1254,"")</f>
        <v>0</v>
      </c>
      <c r="K1254" s="28" t="n">
        <f>IF(AND(COUNT(AL1254,AM1254,AN1254)=3,AL1254&gt;=AM1254,AM1254&gt;=0,AN1254=30),AL1254-AM1254,"")</f>
        <v>0</v>
      </c>
      <c r="L1254" s="29" t="n">
        <f>IF(ISNUMBER(BI1254),BI1254/90,"")</f>
        <v>0</v>
      </c>
      <c r="M1254" s="28"/>
      <c r="N1254" s="28"/>
      <c r="O1254" s="28"/>
      <c r="P1254" s="30" t="str">
        <f>IF(AND(ISNUMBER(L1254),L1254&gt;0,COUNT(M1254:O1254)=3,MIN(M1254:O1254)&gt;=0),SUM(M1254:O1254)/L1254,"")</f>
      </c>
      <c r="Q1254" s="16" t="str">
        <v>按本SKU唯一未删除Listing店铺核实</v>
      </c>
      <c r="R1254" s="16" t="str">
        <v>未匹配</v>
      </c>
      <c r="S1254" s="16" t="str">
        <v>停售</v>
      </c>
      <c r="T1254" s="16" t="str">
        <v>1S01</v>
      </c>
      <c r="U1254" s="16" t="str">
        <v>银色金属</v>
      </c>
      <c r="V1254" s="16" t="n">
        <v>10</v>
      </c>
      <c r="W1254" s="8" t="str">
        <v>2026-10-08 至 2026-10-17</v>
      </c>
      <c r="X1254" s="8" t="str">
        <v>2026-10-08、2026-10-09、2026-10-10、2026-10-11、2026-10-14、2026-10-15、2026-10-17</v>
      </c>
      <c r="Y1254" s="8" t="str">
        <v>2026-10-12 有记录的停售日；2026-10-13 有记录的停售日；2026-10-16 有记录的停售日</v>
      </c>
      <c r="Z1254" s="8" t="n">
        <v>0</v>
      </c>
      <c r="AA1254" s="8" t="n">
        <v>0</v>
      </c>
      <c r="AB1254" s="8" t="n">
        <v>7</v>
      </c>
      <c r="AC1254" s="8" t="str">
        <v>2026-09-29 至 2026-10-17</v>
      </c>
      <c r="AD1254" s="8" t="str">
        <v>2026-09-29、2026-09-30、2026-10-01、2026-10-02、2026-10-03、2026-10-04、2026-10-05、2026-10-08、2026-10-09、2026-10-10、2026-10-11、2026-10-14、2026-10-15、2026-10-17</v>
      </c>
      <c r="AE1254" s="8" t="str">
        <v>2026-10-06 大促；2026-10-07 大促；2026-10-12 有记录的停售日；2026-10-13 有记录的停售日；2026-10-16 有记录的停售日</v>
      </c>
      <c r="AF1254" s="8" t="n">
        <v>0</v>
      </c>
      <c r="AG1254" s="8" t="n">
        <v>0</v>
      </c>
      <c r="AH1254" s="8" t="n">
        <v>14</v>
      </c>
      <c r="AI1254" s="8" t="str">
        <v>2026-09-13 至 2026-10-17</v>
      </c>
      <c r="AJ125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4" s="8" t="str">
        <v>2026-10-06 大促；2026-10-07 大促；2026-10-12 有记录的停售日；2026-10-13 有记录的停售日；2026-10-16 有记录的停售日</v>
      </c>
      <c r="AL1254" s="8" t="n">
        <v>0</v>
      </c>
      <c r="AM1254" s="8" t="n">
        <v>0</v>
      </c>
      <c r="AN1254" s="8" t="n">
        <v>30</v>
      </c>
      <c r="AO1254" s="8" t="str">
        <v>1S01 / 银色金属PU / 13120</v>
      </c>
      <c r="AP1254" s="11" t="n">
        <v>0.8729500662042875</v>
      </c>
      <c r="AQ1254" s="11" t="n">
        <v>0.9355747145678367</v>
      </c>
      <c r="AR1254" s="11" t="n">
        <v>1.135973589331194</v>
      </c>
      <c r="AS1254" s="11" t="n">
        <f>IF(AND(COUNT(I1254:K1254,AP1254:AR1254)=6,MIN(AP1254:AR1254)&gt;0),I1254/7/AP1254*0.5+J1254/14/AQ1254*0.3+K1254/30/AR1254*0.2,"")</f>
        <v>0</v>
      </c>
      <c r="AT1254" s="8" t="n">
        <v>0</v>
      </c>
      <c r="AU1254" s="8" t="n">
        <v>0</v>
      </c>
      <c r="AV1254" s="8" t="n">
        <v>85</v>
      </c>
      <c r="AW1254" s="11" t="n">
        <f>IF(AND(COUNT(AT1254:AV1254)=3,AT1254&gt;=AU1254,AU1254&gt;=0,AV1254&gt;0),(AT1254-AU1254)/AV1254,"")</f>
        <v>0</v>
      </c>
      <c r="AX1254" s="8" t="n">
        <v>0</v>
      </c>
      <c r="AY1254" s="8" t="n">
        <v>0</v>
      </c>
      <c r="AZ1254" s="8" t="n">
        <v>175</v>
      </c>
      <c r="BA1254" s="11" t="n">
        <f>IF(AND(COUNT(AX1254:AZ1254)=3,AX1254&gt;=AY1254,AY1254&gt;=0,AZ1254&gt;0),(AX1254-AY1254)/AZ1254,"")</f>
        <v>0</v>
      </c>
      <c r="BB1254" s="8" t="n">
        <f>IF(COUNT(AS1254,AW1254,BA1254)=3,1,0)</f>
        <v>1</v>
      </c>
      <c r="BC1254" s="11" t="n">
        <f>IF(SUMIF($AO$11:$AO$1309,AO1254,$BB$11:$BB$1309)=COUNTIF($AO$11:$AO$1309,AO1254),SUMIF($AO$11:$AO$1309,AO1254,$AS$11:$AS$1309),"")</f>
        <v>0</v>
      </c>
      <c r="BD1254" s="11" t="n">
        <f>IF(SUMIF($AO$11:$AO$1309,AO1254,$BB$11:$BB$1309)=COUNTIF($AO$11:$AO$1309,AO1254),SUMIF($AO$11:$AO$1309,AO1254,$AW$11:$AW$1309),"")</f>
        <v>0</v>
      </c>
      <c r="BE1254" s="11" t="n">
        <f>IF(SUMIF($AO$11:$AO$1309,AO1254,$BB$11:$BB$1309)=COUNTIF($AO$11:$AO$1309,AO1254),SUMIF($AO$11:$AO$1309,AO1254,$BA$11:$BA$1309),"")</f>
        <v>0</v>
      </c>
      <c r="BF1254" s="12" t="n">
        <f>IF(COUNT(BD1254:BE1254)&lt;&gt;2,"",IF(AND(BD1254&gt;0,BE1254&gt;0),0.7*AW1254/BD1254+0.3*BA1254/BE1254,IF(BD1254&gt;0,AW1254/BD1254,IF(BE1254&gt;0,BA1254/BE1254,IF(AND(ISNUMBER(BH1254),BH1254=0),0,"")))))</f>
        <v>0</v>
      </c>
      <c r="BG1254" s="11" t="n">
        <f>IF(AND(COUNT(BN1254:BU1254)=8,MIN(BN1254:BU1254)&gt;=0),SUMPRODUCT(BN1254:BQ1254,BR1254:BU1254),"")</f>
        <v>63.935996265425516</v>
      </c>
      <c r="BH1254" s="11" t="n">
        <f>IF(COUNT(BC1254,BG1254)=2,BC1254*BG1254,"")</f>
        <v>0</v>
      </c>
      <c r="BI1254" s="11" t="n">
        <f>IF(ISNUMBER(CI1254),CI1254,"")</f>
        <v>0</v>
      </c>
      <c r="BJ1254" s="8" t="str">
        <v>近180天本色销量0双（＜90），无有效新采购，请运营判断</v>
      </c>
      <c r="BK1254" s="8" t="str">
        <v>90天：2026-07-20 至 2026-10-17；180天：2026-04-21 至 2026-10-17</v>
      </c>
      <c r="BL1254" s="8" t="str">
        <v>90天：2026-10-06、2026-10-07、2026-10-12、2026-10-13、2026-10-16；180天：2026-10-06、2026-10-07、2026-10-12、2026-10-13、2026-10-16</v>
      </c>
      <c r="BM1254" s="8" t="str">
        <v>2026-10：12天 × 0.8729500662042875；2026-11：30天 × 0.8057375774163482；2026-12：31天 × 0.532550303142279；2027-01：17天 × 0.7517299265337036</v>
      </c>
      <c r="BN1254" s="11" t="n">
        <v>0.8729500662042875</v>
      </c>
      <c r="BO1254" s="11" t="n">
        <v>0.8057375774163482</v>
      </c>
      <c r="BP1254" s="11" t="n">
        <v>0.532550303142279</v>
      </c>
      <c r="BQ1254" s="11" t="n">
        <v>0.7517299265337036</v>
      </c>
      <c r="BR1254" s="8" t="n">
        <v>12</v>
      </c>
      <c r="BS1254" s="8" t="n">
        <v>30</v>
      </c>
      <c r="BT1254" s="8" t="n">
        <v>31</v>
      </c>
      <c r="BU1254" s="8" t="n">
        <v>17</v>
      </c>
      <c r="BV1254" s="11" t="n">
        <f>IF(COUNT(BC1254,BF1254)=2,BC1254*BF1254,"")</f>
        <v>0</v>
      </c>
      <c r="BW1254" s="11" t="n">
        <f>IF(ISNUMBER(BN1254),BN1254,"")</f>
        <v>0.8729500662042875</v>
      </c>
      <c r="BX1254" s="14" t="n">
        <f>IF(ISNUMBER(BR1254),BR1254,"")</f>
        <v>12</v>
      </c>
      <c r="BY1254" s="13" t="n">
        <f>IF(AND(COUNT(BV1254,BW1254,BX1254)=3,MIN(BV1254,BW1254,BX1254)&gt;=0),BV1254*BW1254*BX1254,"")</f>
        <v>0</v>
      </c>
      <c r="BZ1254" s="11" t="n">
        <f>IF(ISNUMBER(BO1254),BO1254,"")</f>
        <v>0.8057375774163482</v>
      </c>
      <c r="CA1254" s="14" t="n">
        <f>IF(ISNUMBER(BS1254),BS1254,"")</f>
        <v>30</v>
      </c>
      <c r="CB1254" s="13" t="n">
        <f>IF(AND(COUNT(BV1254,BZ1254,CA1254)=3,MIN(BV1254,BZ1254,CA1254)&gt;=0),BV1254*BZ1254*CA1254,"")</f>
        <v>0</v>
      </c>
      <c r="CC1254" s="11" t="n">
        <f>IF(ISNUMBER(BP1254),BP1254,"")</f>
        <v>0.532550303142279</v>
      </c>
      <c r="CD1254" s="14" t="n">
        <f>IF(ISNUMBER(BT1254),BT1254,"")</f>
        <v>31</v>
      </c>
      <c r="CE1254" s="13" t="n">
        <f>IF(AND(COUNT(BV1254,CC1254,CD1254)=3,MIN(BV1254,CC1254,CD1254)&gt;=0),BV1254*CC1254*CD1254,"")</f>
        <v>0</v>
      </c>
      <c r="CF1254" s="11" t="n">
        <f>IF(ISNUMBER(BQ1254),BQ1254,"")</f>
        <v>0.7517299265337036</v>
      </c>
      <c r="CG1254" s="14" t="n">
        <f>IF(ISNUMBER(BU1254),BU1254,"")</f>
        <v>17</v>
      </c>
      <c r="CH1254" s="13" t="n">
        <f>IF(AND(COUNT(BV1254,CF1254,CG1254)=3,MIN(BV1254,CF1254,CG1254)&gt;=0),BV1254*CF1254*CG1254,"")</f>
        <v>0</v>
      </c>
      <c r="CI1254" s="13" t="n">
        <f>IF(COUNT(BY1254,CB1254,CE1254,CH1254)=4,SUM(BY1254,CB1254,CE1254,CH1254),"")</f>
        <v>0</v>
      </c>
    </row>
    <row r="1255" ht="72" customHeight="1">
      <c r="A1255" s="16" t="str">
        <v>1S01-TV-41.5</v>
      </c>
      <c r="B1255" s="16" t="str">
        <v>1店-MUSSHOE-US</v>
      </c>
      <c r="C1255" s="16" t="str">
        <v>徐新怡</v>
      </c>
      <c r="D1255" s="26" t="str">
        <f>IF(NOT(ISNUMBER(E1255)),"",IF(OR(E1255&lt;=0,L1255=0),0,IF(OR(NOT(ISNUMBER(F1255)),F1255&lt;0),"",MIN(E1255,INT(F1255)))))</f>
      </c>
      <c r="E1255" s="27" t="str">
        <f>IF(OR(NOT(ISNUMBER(L1255)),COUNT(M1255:O1255)&lt;&gt;3,MIN(M1255:O1255)&lt;0),"",ROUNDUP(ROUND(BI1255-SUM(M1255:O1255),10),0))</f>
      </c>
      <c r="F1255" s="28"/>
      <c r="G1255" s="28" t="str">
        <f>IF(AND(ISNUMBER(D1255),ISNUMBER(E1255)),IF(OR(E1255&lt;=0,L1255=0),0,E1255-D1255),"")</f>
      </c>
      <c r="H1255" s="16" t="str">
        <f>IF(NOT(ISNUMBER(E1255)),"销量或海外库存待补",IF(OR(E1255&lt;=0,L1255=0),IF(L1255=0,"零日销，本批不发","本批无需补货"),IF(NOT(ISNUMBER(D1255)),"国内库存待补",IF(D1255=0,"国内无可用库存",IF(G1255&gt;0,"先发国内现货","按建议量发货")))))</f>
        <v>销量或海外库存待补</v>
      </c>
      <c r="I1255" s="28" t="n">
        <f>IF(AND(COUNT(Z1255,AA1255,AB1255)=3,Z1255&gt;=AA1255,AA1255&gt;=0,AB1255=7),Z1255-AA1255,"")</f>
        <v>0</v>
      </c>
      <c r="J1255" s="28" t="n">
        <f>IF(AND(COUNT(AF1255,AG1255,AH1255)=3,AF1255&gt;=AG1255,AG1255&gt;=0,AH1255=14),AF1255-AG1255,"")</f>
        <v>0</v>
      </c>
      <c r="K1255" s="28" t="n">
        <f>IF(AND(COUNT(AL1255,AM1255,AN1255)=3,AL1255&gt;=AM1255,AM1255&gt;=0,AN1255=30),AL1255-AM1255,"")</f>
        <v>0</v>
      </c>
      <c r="L1255" s="29" t="n">
        <f>IF(ISNUMBER(BI1255),BI1255/90,"")</f>
        <v>0</v>
      </c>
      <c r="M1255" s="28"/>
      <c r="N1255" s="28"/>
      <c r="O1255" s="28"/>
      <c r="P1255" s="30" t="str">
        <f>IF(AND(ISNUMBER(L1255),L1255&gt;0,COUNT(M1255:O1255)=3,MIN(M1255:O1255)&gt;=0),SUM(M1255:O1255)/L1255,"")</f>
      </c>
      <c r="Q1255" s="16" t="str">
        <v>按本SKU唯一未删除Listing店铺核实</v>
      </c>
      <c r="R1255" s="16" t="str">
        <v>未匹配</v>
      </c>
      <c r="S1255" s="16" t="str">
        <v>停售</v>
      </c>
      <c r="T1255" s="16" t="str">
        <v>1S01</v>
      </c>
      <c r="U1255" s="16" t="str">
        <v>银色金属</v>
      </c>
      <c r="V1255" s="16" t="n">
        <v>10.5</v>
      </c>
      <c r="W1255" s="8" t="str">
        <v>2026-10-08 至 2026-10-17</v>
      </c>
      <c r="X1255" s="8" t="str">
        <v>2026-10-08、2026-10-09、2026-10-10、2026-10-11、2026-10-14、2026-10-15、2026-10-17</v>
      </c>
      <c r="Y1255" s="8" t="str">
        <v>2026-10-12 有记录的停售日；2026-10-13 有记录的停售日；2026-10-16 有记录的停售日</v>
      </c>
      <c r="Z1255" s="8" t="n">
        <v>0</v>
      </c>
      <c r="AA1255" s="8" t="n">
        <v>0</v>
      </c>
      <c r="AB1255" s="8" t="n">
        <v>7</v>
      </c>
      <c r="AC1255" s="8" t="str">
        <v>2026-09-29 至 2026-10-17</v>
      </c>
      <c r="AD1255" s="8" t="str">
        <v>2026-09-29、2026-09-30、2026-10-01、2026-10-02、2026-10-03、2026-10-04、2026-10-05、2026-10-08、2026-10-09、2026-10-10、2026-10-11、2026-10-14、2026-10-15、2026-10-17</v>
      </c>
      <c r="AE1255" s="8" t="str">
        <v>2026-10-06 大促；2026-10-07 大促；2026-10-12 有记录的停售日；2026-10-13 有记录的停售日；2026-10-16 有记录的停售日</v>
      </c>
      <c r="AF1255" s="8" t="n">
        <v>0</v>
      </c>
      <c r="AG1255" s="8" t="n">
        <v>0</v>
      </c>
      <c r="AH1255" s="8" t="n">
        <v>14</v>
      </c>
      <c r="AI1255" s="8" t="str">
        <v>2026-09-13 至 2026-10-17</v>
      </c>
      <c r="AJ125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5" s="8" t="str">
        <v>2026-10-06 大促；2026-10-07 大促；2026-10-12 有记录的停售日；2026-10-13 有记录的停售日；2026-10-16 有记录的停售日</v>
      </c>
      <c r="AL1255" s="8" t="n">
        <v>0</v>
      </c>
      <c r="AM1255" s="8" t="n">
        <v>0</v>
      </c>
      <c r="AN1255" s="8" t="n">
        <v>30</v>
      </c>
      <c r="AO1255" s="8" t="str">
        <v>1S01 / 银色金属PU / 13120</v>
      </c>
      <c r="AP1255" s="11" t="n">
        <v>0.8729500662042875</v>
      </c>
      <c r="AQ1255" s="11" t="n">
        <v>0.9355747145678367</v>
      </c>
      <c r="AR1255" s="11" t="n">
        <v>1.135973589331194</v>
      </c>
      <c r="AS1255" s="11" t="n">
        <f>IF(AND(COUNT(I1255:K1255,AP1255:AR1255)=6,MIN(AP1255:AR1255)&gt;0),I1255/7/AP1255*0.5+J1255/14/AQ1255*0.3+K1255/30/AR1255*0.2,"")</f>
        <v>0</v>
      </c>
      <c r="AT1255" s="8" t="n">
        <v>0</v>
      </c>
      <c r="AU1255" s="8" t="n">
        <v>0</v>
      </c>
      <c r="AV1255" s="8" t="n">
        <v>85</v>
      </c>
      <c r="AW1255" s="11" t="n">
        <f>IF(AND(COUNT(AT1255:AV1255)=3,AT1255&gt;=AU1255,AU1255&gt;=0,AV1255&gt;0),(AT1255-AU1255)/AV1255,"")</f>
        <v>0</v>
      </c>
      <c r="AX1255" s="8" t="n">
        <v>0</v>
      </c>
      <c r="AY1255" s="8" t="n">
        <v>0</v>
      </c>
      <c r="AZ1255" s="8" t="n">
        <v>175</v>
      </c>
      <c r="BA1255" s="11" t="n">
        <f>IF(AND(COUNT(AX1255:AZ1255)=3,AX1255&gt;=AY1255,AY1255&gt;=0,AZ1255&gt;0),(AX1255-AY1255)/AZ1255,"")</f>
        <v>0</v>
      </c>
      <c r="BB1255" s="8" t="n">
        <f>IF(COUNT(AS1255,AW1255,BA1255)=3,1,0)</f>
        <v>1</v>
      </c>
      <c r="BC1255" s="11" t="n">
        <f>IF(SUMIF($AO$11:$AO$1309,AO1255,$BB$11:$BB$1309)=COUNTIF($AO$11:$AO$1309,AO1255),SUMIF($AO$11:$AO$1309,AO1255,$AS$11:$AS$1309),"")</f>
        <v>0</v>
      </c>
      <c r="BD1255" s="11" t="n">
        <f>IF(SUMIF($AO$11:$AO$1309,AO1255,$BB$11:$BB$1309)=COUNTIF($AO$11:$AO$1309,AO1255),SUMIF($AO$11:$AO$1309,AO1255,$AW$11:$AW$1309),"")</f>
        <v>0</v>
      </c>
      <c r="BE1255" s="11" t="n">
        <f>IF(SUMIF($AO$11:$AO$1309,AO1255,$BB$11:$BB$1309)=COUNTIF($AO$11:$AO$1309,AO1255),SUMIF($AO$11:$AO$1309,AO1255,$BA$11:$BA$1309),"")</f>
        <v>0</v>
      </c>
      <c r="BF1255" s="12" t="n">
        <f>IF(COUNT(BD1255:BE1255)&lt;&gt;2,"",IF(AND(BD1255&gt;0,BE1255&gt;0),0.7*AW1255/BD1255+0.3*BA1255/BE1255,IF(BD1255&gt;0,AW1255/BD1255,IF(BE1255&gt;0,BA1255/BE1255,IF(AND(ISNUMBER(BH1255),BH1255=0),0,"")))))</f>
        <v>0</v>
      </c>
      <c r="BG1255" s="11" t="n">
        <f>IF(AND(COUNT(BN1255:BU1255)=8,MIN(BN1255:BU1255)&gt;=0),SUMPRODUCT(BN1255:BQ1255,BR1255:BU1255),"")</f>
        <v>63.935996265425516</v>
      </c>
      <c r="BH1255" s="11" t="n">
        <f>IF(COUNT(BC1255,BG1255)=2,BC1255*BG1255,"")</f>
        <v>0</v>
      </c>
      <c r="BI1255" s="11" t="n">
        <f>IF(ISNUMBER(CI1255),CI1255,"")</f>
        <v>0</v>
      </c>
      <c r="BJ1255" s="8" t="str">
        <v>近180天本色销量0双（＜90），无有效新采购，请运营判断</v>
      </c>
      <c r="BK1255" s="8" t="str">
        <v>90天：2026-07-20 至 2026-10-17；180天：2026-04-21 至 2026-10-17</v>
      </c>
      <c r="BL1255" s="8" t="str">
        <v>90天：2026-10-06、2026-10-07、2026-10-12、2026-10-13、2026-10-16；180天：2026-10-06、2026-10-07、2026-10-12、2026-10-13、2026-10-16</v>
      </c>
      <c r="BM1255" s="8" t="str">
        <v>2026-10：12天 × 0.8729500662042875；2026-11：30天 × 0.8057375774163482；2026-12：31天 × 0.532550303142279；2027-01：17天 × 0.7517299265337036</v>
      </c>
      <c r="BN1255" s="11" t="n">
        <v>0.8729500662042875</v>
      </c>
      <c r="BO1255" s="11" t="n">
        <v>0.8057375774163482</v>
      </c>
      <c r="BP1255" s="11" t="n">
        <v>0.532550303142279</v>
      </c>
      <c r="BQ1255" s="11" t="n">
        <v>0.7517299265337036</v>
      </c>
      <c r="BR1255" s="8" t="n">
        <v>12</v>
      </c>
      <c r="BS1255" s="8" t="n">
        <v>30</v>
      </c>
      <c r="BT1255" s="8" t="n">
        <v>31</v>
      </c>
      <c r="BU1255" s="8" t="n">
        <v>17</v>
      </c>
      <c r="BV1255" s="11" t="n">
        <f>IF(COUNT(BC1255,BF1255)=2,BC1255*BF1255,"")</f>
        <v>0</v>
      </c>
      <c r="BW1255" s="11" t="n">
        <f>IF(ISNUMBER(BN1255),BN1255,"")</f>
        <v>0.8729500662042875</v>
      </c>
      <c r="BX1255" s="14" t="n">
        <f>IF(ISNUMBER(BR1255),BR1255,"")</f>
        <v>12</v>
      </c>
      <c r="BY1255" s="13" t="n">
        <f>IF(AND(COUNT(BV1255,BW1255,BX1255)=3,MIN(BV1255,BW1255,BX1255)&gt;=0),BV1255*BW1255*BX1255,"")</f>
        <v>0</v>
      </c>
      <c r="BZ1255" s="11" t="n">
        <f>IF(ISNUMBER(BO1255),BO1255,"")</f>
        <v>0.8057375774163482</v>
      </c>
      <c r="CA1255" s="14" t="n">
        <f>IF(ISNUMBER(BS1255),BS1255,"")</f>
        <v>30</v>
      </c>
      <c r="CB1255" s="13" t="n">
        <f>IF(AND(COUNT(BV1255,BZ1255,CA1255)=3,MIN(BV1255,BZ1255,CA1255)&gt;=0),BV1255*BZ1255*CA1255,"")</f>
        <v>0</v>
      </c>
      <c r="CC1255" s="11" t="n">
        <f>IF(ISNUMBER(BP1255),BP1255,"")</f>
        <v>0.532550303142279</v>
      </c>
      <c r="CD1255" s="14" t="n">
        <f>IF(ISNUMBER(BT1255),BT1255,"")</f>
        <v>31</v>
      </c>
      <c r="CE1255" s="13" t="n">
        <f>IF(AND(COUNT(BV1255,CC1255,CD1255)=3,MIN(BV1255,CC1255,CD1255)&gt;=0),BV1255*CC1255*CD1255,"")</f>
        <v>0</v>
      </c>
      <c r="CF1255" s="11" t="n">
        <f>IF(ISNUMBER(BQ1255),BQ1255,"")</f>
        <v>0.7517299265337036</v>
      </c>
      <c r="CG1255" s="14" t="n">
        <f>IF(ISNUMBER(BU1255),BU1255,"")</f>
        <v>17</v>
      </c>
      <c r="CH1255" s="13" t="n">
        <f>IF(AND(COUNT(BV1255,CF1255,CG1255)=3,MIN(BV1255,CF1255,CG1255)&gt;=0),BV1255*CF1255*CG1255,"")</f>
        <v>0</v>
      </c>
      <c r="CI1255" s="13" t="n">
        <f>IF(COUNT(BY1255,CB1255,CE1255,CH1255)=4,SUM(BY1255,CB1255,CE1255,CH1255),"")</f>
        <v>0</v>
      </c>
    </row>
    <row r="1256" ht="72" customHeight="1">
      <c r="A1256" s="16" t="str">
        <v>1S01-TV-42</v>
      </c>
      <c r="B1256" s="16" t="str">
        <v>1店-MUSSHOE-US</v>
      </c>
      <c r="C1256" s="16" t="str">
        <v>徐新怡</v>
      </c>
      <c r="D1256" s="26" t="str">
        <f>IF(NOT(ISNUMBER(E1256)),"",IF(OR(E1256&lt;=0,L1256=0),0,IF(OR(NOT(ISNUMBER(F1256)),F1256&lt;0),"",MIN(E1256,INT(F1256)))))</f>
      </c>
      <c r="E1256" s="27" t="str">
        <f>IF(OR(NOT(ISNUMBER(L1256)),COUNT(M1256:O1256)&lt;&gt;3,MIN(M1256:O1256)&lt;0),"",ROUNDUP(ROUND(BI1256-SUM(M1256:O1256),10),0))</f>
      </c>
      <c r="F1256" s="28"/>
      <c r="G1256" s="28" t="str">
        <f>IF(AND(ISNUMBER(D1256),ISNUMBER(E1256)),IF(OR(E1256&lt;=0,L1256=0),0,E1256-D1256),"")</f>
      </c>
      <c r="H1256" s="16" t="str">
        <f>IF(NOT(ISNUMBER(E1256)),"销量或海外库存待补",IF(OR(E1256&lt;=0,L1256=0),IF(L1256=0,"零日销，本批不发","本批无需补货"),IF(NOT(ISNUMBER(D1256)),"国内库存待补",IF(D1256=0,"国内无可用库存",IF(G1256&gt;0,"先发国内现货","按建议量发货")))))</f>
        <v>销量或海外库存待补</v>
      </c>
      <c r="I1256" s="28" t="n">
        <f>IF(AND(COUNT(Z1256,AA1256,AB1256)=3,Z1256&gt;=AA1256,AA1256&gt;=0,AB1256=7),Z1256-AA1256,"")</f>
        <v>0</v>
      </c>
      <c r="J1256" s="28" t="n">
        <f>IF(AND(COUNT(AF1256,AG1256,AH1256)=3,AF1256&gt;=AG1256,AG1256&gt;=0,AH1256=14),AF1256-AG1256,"")</f>
        <v>0</v>
      </c>
      <c r="K1256" s="28" t="n">
        <f>IF(AND(COUNT(AL1256,AM1256,AN1256)=3,AL1256&gt;=AM1256,AM1256&gt;=0,AN1256=30),AL1256-AM1256,"")</f>
        <v>0</v>
      </c>
      <c r="L1256" s="29" t="n">
        <f>IF(ISNUMBER(BI1256),BI1256/90,"")</f>
        <v>0</v>
      </c>
      <c r="M1256" s="28"/>
      <c r="N1256" s="28"/>
      <c r="O1256" s="28"/>
      <c r="P1256" s="30" t="str">
        <f>IF(AND(ISNUMBER(L1256),L1256&gt;0,COUNT(M1256:O1256)=3,MIN(M1256:O1256)&gt;=0),SUM(M1256:O1256)/L1256,"")</f>
      </c>
      <c r="Q1256" s="16" t="str">
        <v>按本SKU唯一未删除Listing店铺核实</v>
      </c>
      <c r="R1256" s="16" t="str">
        <v>未匹配</v>
      </c>
      <c r="S1256" s="16" t="str">
        <v>停售</v>
      </c>
      <c r="T1256" s="16" t="str">
        <v>1S01</v>
      </c>
      <c r="U1256" s="16" t="str">
        <v>银色金属</v>
      </c>
      <c r="V1256" s="16" t="n">
        <v>11</v>
      </c>
      <c r="W1256" s="8" t="str">
        <v>2026-10-08 至 2026-10-17</v>
      </c>
      <c r="X1256" s="8" t="str">
        <v>2026-10-08、2026-10-09、2026-10-10、2026-10-11、2026-10-14、2026-10-15、2026-10-17</v>
      </c>
      <c r="Y1256" s="8" t="str">
        <v>2026-10-12 有记录的停售日；2026-10-13 有记录的停售日；2026-10-16 有记录的停售日</v>
      </c>
      <c r="Z1256" s="8" t="n">
        <v>0</v>
      </c>
      <c r="AA1256" s="8" t="n">
        <v>0</v>
      </c>
      <c r="AB1256" s="8" t="n">
        <v>7</v>
      </c>
      <c r="AC1256" s="8" t="str">
        <v>2026-09-29 至 2026-10-17</v>
      </c>
      <c r="AD1256" s="8" t="str">
        <v>2026-09-29、2026-09-30、2026-10-01、2026-10-02、2026-10-03、2026-10-04、2026-10-05、2026-10-08、2026-10-09、2026-10-10、2026-10-11、2026-10-14、2026-10-15、2026-10-17</v>
      </c>
      <c r="AE1256" s="8" t="str">
        <v>2026-10-06 大促；2026-10-07 大促；2026-10-12 有记录的停售日；2026-10-13 有记录的停售日；2026-10-16 有记录的停售日</v>
      </c>
      <c r="AF1256" s="8" t="n">
        <v>0</v>
      </c>
      <c r="AG1256" s="8" t="n">
        <v>0</v>
      </c>
      <c r="AH1256" s="8" t="n">
        <v>14</v>
      </c>
      <c r="AI1256" s="8" t="str">
        <v>2026-09-13 至 2026-10-17</v>
      </c>
      <c r="AJ125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6" s="8" t="str">
        <v>2026-10-06 大促；2026-10-07 大促；2026-10-12 有记录的停售日；2026-10-13 有记录的停售日；2026-10-16 有记录的停售日</v>
      </c>
      <c r="AL1256" s="8" t="n">
        <v>0</v>
      </c>
      <c r="AM1256" s="8" t="n">
        <v>0</v>
      </c>
      <c r="AN1256" s="8" t="n">
        <v>30</v>
      </c>
      <c r="AO1256" s="8" t="str">
        <v>1S01 / 银色金属PU / 13120</v>
      </c>
      <c r="AP1256" s="11" t="n">
        <v>0.8729500662042875</v>
      </c>
      <c r="AQ1256" s="11" t="n">
        <v>0.9355747145678367</v>
      </c>
      <c r="AR1256" s="11" t="n">
        <v>1.135973589331194</v>
      </c>
      <c r="AS1256" s="11" t="n">
        <f>IF(AND(COUNT(I1256:K1256,AP1256:AR1256)=6,MIN(AP1256:AR1256)&gt;0),I1256/7/AP1256*0.5+J1256/14/AQ1256*0.3+K1256/30/AR1256*0.2,"")</f>
        <v>0</v>
      </c>
      <c r="AT1256" s="8" t="n">
        <v>0</v>
      </c>
      <c r="AU1256" s="8" t="n">
        <v>0</v>
      </c>
      <c r="AV1256" s="8" t="n">
        <v>85</v>
      </c>
      <c r="AW1256" s="11" t="n">
        <f>IF(AND(COUNT(AT1256:AV1256)=3,AT1256&gt;=AU1256,AU1256&gt;=0,AV1256&gt;0),(AT1256-AU1256)/AV1256,"")</f>
        <v>0</v>
      </c>
      <c r="AX1256" s="8" t="n">
        <v>0</v>
      </c>
      <c r="AY1256" s="8" t="n">
        <v>0</v>
      </c>
      <c r="AZ1256" s="8" t="n">
        <v>175</v>
      </c>
      <c r="BA1256" s="11" t="n">
        <f>IF(AND(COUNT(AX1256:AZ1256)=3,AX1256&gt;=AY1256,AY1256&gt;=0,AZ1256&gt;0),(AX1256-AY1256)/AZ1256,"")</f>
        <v>0</v>
      </c>
      <c r="BB1256" s="8" t="n">
        <f>IF(COUNT(AS1256,AW1256,BA1256)=3,1,0)</f>
        <v>1</v>
      </c>
      <c r="BC1256" s="11" t="n">
        <f>IF(SUMIF($AO$11:$AO$1309,AO1256,$BB$11:$BB$1309)=COUNTIF($AO$11:$AO$1309,AO1256),SUMIF($AO$11:$AO$1309,AO1256,$AS$11:$AS$1309),"")</f>
        <v>0</v>
      </c>
      <c r="BD1256" s="11" t="n">
        <f>IF(SUMIF($AO$11:$AO$1309,AO1256,$BB$11:$BB$1309)=COUNTIF($AO$11:$AO$1309,AO1256),SUMIF($AO$11:$AO$1309,AO1256,$AW$11:$AW$1309),"")</f>
        <v>0</v>
      </c>
      <c r="BE1256" s="11" t="n">
        <f>IF(SUMIF($AO$11:$AO$1309,AO1256,$BB$11:$BB$1309)=COUNTIF($AO$11:$AO$1309,AO1256),SUMIF($AO$11:$AO$1309,AO1256,$BA$11:$BA$1309),"")</f>
        <v>0</v>
      </c>
      <c r="BF1256" s="12" t="n">
        <f>IF(COUNT(BD1256:BE1256)&lt;&gt;2,"",IF(AND(BD1256&gt;0,BE1256&gt;0),0.7*AW1256/BD1256+0.3*BA1256/BE1256,IF(BD1256&gt;0,AW1256/BD1256,IF(BE1256&gt;0,BA1256/BE1256,IF(AND(ISNUMBER(BH1256),BH1256=0),0,"")))))</f>
        <v>0</v>
      </c>
      <c r="BG1256" s="11" t="n">
        <f>IF(AND(COUNT(BN1256:BU1256)=8,MIN(BN1256:BU1256)&gt;=0),SUMPRODUCT(BN1256:BQ1256,BR1256:BU1256),"")</f>
        <v>63.935996265425516</v>
      </c>
      <c r="BH1256" s="11" t="n">
        <f>IF(COUNT(BC1256,BG1256)=2,BC1256*BG1256,"")</f>
        <v>0</v>
      </c>
      <c r="BI1256" s="11" t="n">
        <f>IF(ISNUMBER(CI1256),CI1256,"")</f>
        <v>0</v>
      </c>
      <c r="BJ1256" s="8" t="str">
        <v>近180天本色销量0双（＜90），无有效新采购，请运营判断</v>
      </c>
      <c r="BK1256" s="8" t="str">
        <v>90天：2026-07-20 至 2026-10-17；180天：2026-04-21 至 2026-10-17</v>
      </c>
      <c r="BL1256" s="8" t="str">
        <v>90天：2026-10-06、2026-10-07、2026-10-12、2026-10-13、2026-10-16；180天：2026-10-06、2026-10-07、2026-10-12、2026-10-13、2026-10-16</v>
      </c>
      <c r="BM1256" s="8" t="str">
        <v>2026-10：12天 × 0.8729500662042875；2026-11：30天 × 0.8057375774163482；2026-12：31天 × 0.532550303142279；2027-01：17天 × 0.7517299265337036</v>
      </c>
      <c r="BN1256" s="11" t="n">
        <v>0.8729500662042875</v>
      </c>
      <c r="BO1256" s="11" t="n">
        <v>0.8057375774163482</v>
      </c>
      <c r="BP1256" s="11" t="n">
        <v>0.532550303142279</v>
      </c>
      <c r="BQ1256" s="11" t="n">
        <v>0.7517299265337036</v>
      </c>
      <c r="BR1256" s="8" t="n">
        <v>12</v>
      </c>
      <c r="BS1256" s="8" t="n">
        <v>30</v>
      </c>
      <c r="BT1256" s="8" t="n">
        <v>31</v>
      </c>
      <c r="BU1256" s="8" t="n">
        <v>17</v>
      </c>
      <c r="BV1256" s="11" t="n">
        <f>IF(COUNT(BC1256,BF1256)=2,BC1256*BF1256,"")</f>
        <v>0</v>
      </c>
      <c r="BW1256" s="11" t="n">
        <f>IF(ISNUMBER(BN1256),BN1256,"")</f>
        <v>0.8729500662042875</v>
      </c>
      <c r="BX1256" s="14" t="n">
        <f>IF(ISNUMBER(BR1256),BR1256,"")</f>
        <v>12</v>
      </c>
      <c r="BY1256" s="13" t="n">
        <f>IF(AND(COUNT(BV1256,BW1256,BX1256)=3,MIN(BV1256,BW1256,BX1256)&gt;=0),BV1256*BW1256*BX1256,"")</f>
        <v>0</v>
      </c>
      <c r="BZ1256" s="11" t="n">
        <f>IF(ISNUMBER(BO1256),BO1256,"")</f>
        <v>0.8057375774163482</v>
      </c>
      <c r="CA1256" s="14" t="n">
        <f>IF(ISNUMBER(BS1256),BS1256,"")</f>
        <v>30</v>
      </c>
      <c r="CB1256" s="13" t="n">
        <f>IF(AND(COUNT(BV1256,BZ1256,CA1256)=3,MIN(BV1256,BZ1256,CA1256)&gt;=0),BV1256*BZ1256*CA1256,"")</f>
        <v>0</v>
      </c>
      <c r="CC1256" s="11" t="n">
        <f>IF(ISNUMBER(BP1256),BP1256,"")</f>
        <v>0.532550303142279</v>
      </c>
      <c r="CD1256" s="14" t="n">
        <f>IF(ISNUMBER(BT1256),BT1256,"")</f>
        <v>31</v>
      </c>
      <c r="CE1256" s="13" t="n">
        <f>IF(AND(COUNT(BV1256,CC1256,CD1256)=3,MIN(BV1256,CC1256,CD1256)&gt;=0),BV1256*CC1256*CD1256,"")</f>
        <v>0</v>
      </c>
      <c r="CF1256" s="11" t="n">
        <f>IF(ISNUMBER(BQ1256),BQ1256,"")</f>
        <v>0.7517299265337036</v>
      </c>
      <c r="CG1256" s="14" t="n">
        <f>IF(ISNUMBER(BU1256),BU1256,"")</f>
        <v>17</v>
      </c>
      <c r="CH1256" s="13" t="n">
        <f>IF(AND(COUNT(BV1256,CF1256,CG1256)=3,MIN(BV1256,CF1256,CG1256)&gt;=0),BV1256*CF1256*CG1256,"")</f>
        <v>0</v>
      </c>
      <c r="CI1256" s="13" t="n">
        <f>IF(COUNT(BY1256,CB1256,CE1256,CH1256)=4,SUM(BY1256,CB1256,CE1256,CH1256),"")</f>
        <v>0</v>
      </c>
    </row>
    <row r="1257" ht="72" customHeight="1">
      <c r="A1257" s="16" t="str">
        <v>1S01-YL-37</v>
      </c>
      <c r="B1257" s="16" t="str">
        <v>1店-MUSSHOE-US</v>
      </c>
      <c r="C1257" s="16" t="str">
        <v>徐新怡</v>
      </c>
      <c r="D1257" s="26" t="str">
        <f>IF(NOT(ISNUMBER(E1257)),"",IF(OR(E1257&lt;=0,L1257=0),0,IF(OR(NOT(ISNUMBER(F1257)),F1257&lt;0),"",MIN(E1257,INT(F1257)))))</f>
      </c>
      <c r="E1257" s="27" t="str">
        <f>IF(OR(NOT(ISNUMBER(L1257)),COUNT(M1257:O1257)&lt;&gt;3,MIN(M1257:O1257)&lt;0),"",ROUNDUP(ROUND(BI1257-SUM(M1257:O1257),10),0))</f>
      </c>
      <c r="F1257" s="28"/>
      <c r="G1257" s="28" t="str">
        <f>IF(AND(ISNUMBER(D1257),ISNUMBER(E1257)),IF(OR(E1257&lt;=0,L1257=0),0,E1257-D1257),"")</f>
      </c>
      <c r="H1257" s="16" t="str">
        <f>IF(NOT(ISNUMBER(E1257)),"销量或海外库存待补",IF(OR(E1257&lt;=0,L1257=0),IF(L1257=0,"零日销，本批不发","本批无需补货"),IF(NOT(ISNUMBER(D1257)),"国内库存待补",IF(D1257=0,"国内无可用库存",IF(G1257&gt;0,"先发国内现货","按建议量发货")))))</f>
        <v>销量或海外库存待补</v>
      </c>
      <c r="I1257" s="28" t="n">
        <f>IF(AND(COUNT(Z1257,AA1257,AB1257)=3,Z1257&gt;=AA1257,AA1257&gt;=0,AB1257=7),Z1257-AA1257,"")</f>
        <v>0</v>
      </c>
      <c r="J1257" s="28" t="n">
        <f>IF(AND(COUNT(AF1257,AG1257,AH1257)=3,AF1257&gt;=AG1257,AG1257&gt;=0,AH1257=14),AF1257-AG1257,"")</f>
        <v>0</v>
      </c>
      <c r="K1257" s="28" t="n">
        <f>IF(AND(COUNT(AL1257,AM1257,AN1257)=3,AL1257&gt;=AM1257,AM1257&gt;=0,AN1257=30),AL1257-AM1257,"")</f>
        <v>0</v>
      </c>
      <c r="L1257" s="29" t="n">
        <f>IF(ISNUMBER(BI1257),BI1257/90,"")</f>
        <v>0</v>
      </c>
      <c r="M1257" s="28"/>
      <c r="N1257" s="28"/>
      <c r="O1257" s="28"/>
      <c r="P1257" s="30" t="str">
        <f>IF(AND(ISNUMBER(L1257),L1257&gt;0,COUNT(M1257:O1257)=3,MIN(M1257:O1257)&gt;=0),SUM(M1257:O1257)/L1257,"")</f>
      </c>
      <c r="Q1257" s="16" t="str">
        <v>按本SKU唯一未删除Listing店铺核实</v>
      </c>
      <c r="R1257" s="16" t="str">
        <v>未匹配</v>
      </c>
      <c r="S1257" s="16" t="str">
        <v>停售</v>
      </c>
      <c r="T1257" s="16" t="str">
        <v>1S01</v>
      </c>
      <c r="U1257" s="16" t="str">
        <v>黄色</v>
      </c>
      <c r="V1257" s="16" t="n">
        <v>6</v>
      </c>
      <c r="W1257" s="8" t="str">
        <v>2026-10-08 至 2026-10-17</v>
      </c>
      <c r="X1257" s="8" t="str">
        <v>2026-10-08、2026-10-09、2026-10-10、2026-10-11、2026-10-14、2026-10-15、2026-10-17</v>
      </c>
      <c r="Y1257" s="8" t="str">
        <v>2026-10-12 有记录的停售日；2026-10-13 有记录的停售日；2026-10-16 有记录的停售日</v>
      </c>
      <c r="Z1257" s="8" t="n">
        <v>0</v>
      </c>
      <c r="AA1257" s="8" t="n">
        <v>0</v>
      </c>
      <c r="AB1257" s="8" t="n">
        <v>7</v>
      </c>
      <c r="AC1257" s="8" t="str">
        <v>2026-09-29 至 2026-10-17</v>
      </c>
      <c r="AD1257" s="8" t="str">
        <v>2026-09-29、2026-09-30、2026-10-01、2026-10-02、2026-10-03、2026-10-04、2026-10-05、2026-10-08、2026-10-09、2026-10-10、2026-10-11、2026-10-14、2026-10-15、2026-10-17</v>
      </c>
      <c r="AE1257" s="8" t="str">
        <v>2026-10-06 大促；2026-10-07 大促；2026-10-12 有记录的停售日；2026-10-13 有记录的停售日；2026-10-16 有记录的停售日</v>
      </c>
      <c r="AF1257" s="8" t="n">
        <v>0</v>
      </c>
      <c r="AG1257" s="8" t="n">
        <v>0</v>
      </c>
      <c r="AH1257" s="8" t="n">
        <v>14</v>
      </c>
      <c r="AI1257" s="8" t="str">
        <v>2026-09-13 至 2026-10-17</v>
      </c>
      <c r="AJ125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7" s="8" t="str">
        <v>2026-10-06 大促；2026-10-07 大促；2026-10-12 有记录的停售日；2026-10-13 有记录的停售日；2026-10-16 有记录的停售日</v>
      </c>
      <c r="AL1257" s="8" t="n">
        <v>0</v>
      </c>
      <c r="AM1257" s="8" t="n">
        <v>0</v>
      </c>
      <c r="AN1257" s="8" t="n">
        <v>30</v>
      </c>
      <c r="AO1257" s="8" t="str">
        <v>1S01 / 黄色PU / 13120</v>
      </c>
      <c r="AP1257" s="11" t="n">
        <v>0.8729500662042875</v>
      </c>
      <c r="AQ1257" s="11" t="n">
        <v>0.9355747145678367</v>
      </c>
      <c r="AR1257" s="11" t="n">
        <v>1.135973589331194</v>
      </c>
      <c r="AS1257" s="11" t="n">
        <f>IF(AND(COUNT(I1257:K1257,AP1257:AR1257)=6,MIN(AP1257:AR1257)&gt;0),I1257/7/AP1257*0.5+J1257/14/AQ1257*0.3+K1257/30/AR1257*0.2,"")</f>
        <v>0</v>
      </c>
      <c r="AT1257" s="8" t="n">
        <v>0</v>
      </c>
      <c r="AU1257" s="8" t="n">
        <v>0</v>
      </c>
      <c r="AV1257" s="8" t="n">
        <v>85</v>
      </c>
      <c r="AW1257" s="11" t="n">
        <f>IF(AND(COUNT(AT1257:AV1257)=3,AT1257&gt;=AU1257,AU1257&gt;=0,AV1257&gt;0),(AT1257-AU1257)/AV1257,"")</f>
        <v>0</v>
      </c>
      <c r="AX1257" s="8" t="n">
        <v>0</v>
      </c>
      <c r="AY1257" s="8" t="n">
        <v>0</v>
      </c>
      <c r="AZ1257" s="8" t="n">
        <v>175</v>
      </c>
      <c r="BA1257" s="11" t="n">
        <f>IF(AND(COUNT(AX1257:AZ1257)=3,AX1257&gt;=AY1257,AY1257&gt;=0,AZ1257&gt;0),(AX1257-AY1257)/AZ1257,"")</f>
        <v>0</v>
      </c>
      <c r="BB1257" s="8" t="n">
        <f>IF(COUNT(AS1257,AW1257,BA1257)=3,1,0)</f>
        <v>1</v>
      </c>
      <c r="BC1257" s="11" t="n">
        <f>IF(SUMIF($AO$11:$AO$1309,AO1257,$BB$11:$BB$1309)=COUNTIF($AO$11:$AO$1309,AO1257),SUMIF($AO$11:$AO$1309,AO1257,$AS$11:$AS$1309),"")</f>
        <v>0</v>
      </c>
      <c r="BD1257" s="11" t="n">
        <f>IF(SUMIF($AO$11:$AO$1309,AO1257,$BB$11:$BB$1309)=COUNTIF($AO$11:$AO$1309,AO1257),SUMIF($AO$11:$AO$1309,AO1257,$AW$11:$AW$1309),"")</f>
        <v>0</v>
      </c>
      <c r="BE1257" s="11" t="n">
        <f>IF(SUMIF($AO$11:$AO$1309,AO1257,$BB$11:$BB$1309)=COUNTIF($AO$11:$AO$1309,AO1257),SUMIF($AO$11:$AO$1309,AO1257,$BA$11:$BA$1309),"")</f>
        <v>0</v>
      </c>
      <c r="BF1257" s="12" t="n">
        <f>IF(COUNT(BD1257:BE1257)&lt;&gt;2,"",IF(AND(BD1257&gt;0,BE1257&gt;0),0.7*AW1257/BD1257+0.3*BA1257/BE1257,IF(BD1257&gt;0,AW1257/BD1257,IF(BE1257&gt;0,BA1257/BE1257,IF(AND(ISNUMBER(BH1257),BH1257=0),0,"")))))</f>
        <v>0</v>
      </c>
      <c r="BG1257" s="11" t="n">
        <f>IF(AND(COUNT(BN1257:BU1257)=8,MIN(BN1257:BU1257)&gt;=0),SUMPRODUCT(BN1257:BQ1257,BR1257:BU1257),"")</f>
        <v>63.935996265425516</v>
      </c>
      <c r="BH1257" s="11" t="n">
        <f>IF(COUNT(BC1257,BG1257)=2,BC1257*BG1257,"")</f>
        <v>0</v>
      </c>
      <c r="BI1257" s="11" t="n">
        <f>IF(ISNUMBER(CI1257),CI1257,"")</f>
        <v>0</v>
      </c>
      <c r="BJ1257" s="8" t="str">
        <v>近180天本色销量0双（＜90），无有效新采购，请运营判断</v>
      </c>
      <c r="BK1257" s="8" t="str">
        <v>90天：2026-07-20 至 2026-10-17；180天：2026-04-21 至 2026-10-17</v>
      </c>
      <c r="BL1257" s="8" t="str">
        <v>90天：2026-10-06、2026-10-07、2026-10-12、2026-10-13、2026-10-16；180天：2026-10-06、2026-10-07、2026-10-12、2026-10-13、2026-10-16</v>
      </c>
      <c r="BM1257" s="8" t="str">
        <v>2026-10：12天 × 0.8729500662042875；2026-11：30天 × 0.8057375774163482；2026-12：31天 × 0.532550303142279；2027-01：17天 × 0.7517299265337036</v>
      </c>
      <c r="BN1257" s="11" t="n">
        <v>0.8729500662042875</v>
      </c>
      <c r="BO1257" s="11" t="n">
        <v>0.8057375774163482</v>
      </c>
      <c r="BP1257" s="11" t="n">
        <v>0.532550303142279</v>
      </c>
      <c r="BQ1257" s="11" t="n">
        <v>0.7517299265337036</v>
      </c>
      <c r="BR1257" s="8" t="n">
        <v>12</v>
      </c>
      <c r="BS1257" s="8" t="n">
        <v>30</v>
      </c>
      <c r="BT1257" s="8" t="n">
        <v>31</v>
      </c>
      <c r="BU1257" s="8" t="n">
        <v>17</v>
      </c>
      <c r="BV1257" s="11" t="n">
        <f>IF(COUNT(BC1257,BF1257)=2,BC1257*BF1257,"")</f>
        <v>0</v>
      </c>
      <c r="BW1257" s="11" t="n">
        <f>IF(ISNUMBER(BN1257),BN1257,"")</f>
        <v>0.8729500662042875</v>
      </c>
      <c r="BX1257" s="14" t="n">
        <f>IF(ISNUMBER(BR1257),BR1257,"")</f>
        <v>12</v>
      </c>
      <c r="BY1257" s="13" t="n">
        <f>IF(AND(COUNT(BV1257,BW1257,BX1257)=3,MIN(BV1257,BW1257,BX1257)&gt;=0),BV1257*BW1257*BX1257,"")</f>
        <v>0</v>
      </c>
      <c r="BZ1257" s="11" t="n">
        <f>IF(ISNUMBER(BO1257),BO1257,"")</f>
        <v>0.8057375774163482</v>
      </c>
      <c r="CA1257" s="14" t="n">
        <f>IF(ISNUMBER(BS1257),BS1257,"")</f>
        <v>30</v>
      </c>
      <c r="CB1257" s="13" t="n">
        <f>IF(AND(COUNT(BV1257,BZ1257,CA1257)=3,MIN(BV1257,BZ1257,CA1257)&gt;=0),BV1257*BZ1257*CA1257,"")</f>
        <v>0</v>
      </c>
      <c r="CC1257" s="11" t="n">
        <f>IF(ISNUMBER(BP1257),BP1257,"")</f>
        <v>0.532550303142279</v>
      </c>
      <c r="CD1257" s="14" t="n">
        <f>IF(ISNUMBER(BT1257),BT1257,"")</f>
        <v>31</v>
      </c>
      <c r="CE1257" s="13" t="n">
        <f>IF(AND(COUNT(BV1257,CC1257,CD1257)=3,MIN(BV1257,CC1257,CD1257)&gt;=0),BV1257*CC1257*CD1257,"")</f>
        <v>0</v>
      </c>
      <c r="CF1257" s="11" t="n">
        <f>IF(ISNUMBER(BQ1257),BQ1257,"")</f>
        <v>0.7517299265337036</v>
      </c>
      <c r="CG1257" s="14" t="n">
        <f>IF(ISNUMBER(BU1257),BU1257,"")</f>
        <v>17</v>
      </c>
      <c r="CH1257" s="13" t="n">
        <f>IF(AND(COUNT(BV1257,CF1257,CG1257)=3,MIN(BV1257,CF1257,CG1257)&gt;=0),BV1257*CF1257*CG1257,"")</f>
        <v>0</v>
      </c>
      <c r="CI1257" s="13" t="n">
        <f>IF(COUNT(BY1257,CB1257,CE1257,CH1257)=4,SUM(BY1257,CB1257,CE1257,CH1257),"")</f>
        <v>0</v>
      </c>
    </row>
    <row r="1258" ht="72" customHeight="1">
      <c r="A1258" s="16" t="str">
        <v>1S01-YL-37.5</v>
      </c>
      <c r="B1258" s="16" t="str">
        <v>1店-MUSSHOE-US</v>
      </c>
      <c r="C1258" s="16" t="str">
        <v>徐新怡</v>
      </c>
      <c r="D1258" s="26" t="str">
        <f>IF(NOT(ISNUMBER(E1258)),"",IF(OR(E1258&lt;=0,L1258=0),0,IF(OR(NOT(ISNUMBER(F1258)),F1258&lt;0),"",MIN(E1258,INT(F1258)))))</f>
      </c>
      <c r="E1258" s="27" t="str">
        <f>IF(OR(NOT(ISNUMBER(L1258)),COUNT(M1258:O1258)&lt;&gt;3,MIN(M1258:O1258)&lt;0),"",ROUNDUP(ROUND(BI1258-SUM(M1258:O1258),10),0))</f>
      </c>
      <c r="F1258" s="28"/>
      <c r="G1258" s="28" t="str">
        <f>IF(AND(ISNUMBER(D1258),ISNUMBER(E1258)),IF(OR(E1258&lt;=0,L1258=0),0,E1258-D1258),"")</f>
      </c>
      <c r="H1258" s="16" t="str">
        <f>IF(NOT(ISNUMBER(E1258)),"销量或海外库存待补",IF(OR(E1258&lt;=0,L1258=0),IF(L1258=0,"零日销，本批不发","本批无需补货"),IF(NOT(ISNUMBER(D1258)),"国内库存待补",IF(D1258=0,"国内无可用库存",IF(G1258&gt;0,"先发国内现货","按建议量发货")))))</f>
        <v>销量或海外库存待补</v>
      </c>
      <c r="I1258" s="28" t="n">
        <f>IF(AND(COUNT(Z1258,AA1258,AB1258)=3,Z1258&gt;=AA1258,AA1258&gt;=0,AB1258=7),Z1258-AA1258,"")</f>
        <v>0</v>
      </c>
      <c r="J1258" s="28" t="n">
        <f>IF(AND(COUNT(AF1258,AG1258,AH1258)=3,AF1258&gt;=AG1258,AG1258&gt;=0,AH1258=14),AF1258-AG1258,"")</f>
        <v>0</v>
      </c>
      <c r="K1258" s="28" t="n">
        <f>IF(AND(COUNT(AL1258,AM1258,AN1258)=3,AL1258&gt;=AM1258,AM1258&gt;=0,AN1258=30),AL1258-AM1258,"")</f>
        <v>0</v>
      </c>
      <c r="L1258" s="29" t="n">
        <f>IF(ISNUMBER(BI1258),BI1258/90,"")</f>
        <v>0</v>
      </c>
      <c r="M1258" s="28"/>
      <c r="N1258" s="28"/>
      <c r="O1258" s="28"/>
      <c r="P1258" s="30" t="str">
        <f>IF(AND(ISNUMBER(L1258),L1258&gt;0,COUNT(M1258:O1258)=3,MIN(M1258:O1258)&gt;=0),SUM(M1258:O1258)/L1258,"")</f>
      </c>
      <c r="Q1258" s="16" t="str">
        <v>按本SKU唯一未删除Listing店铺核实</v>
      </c>
      <c r="R1258" s="16" t="str">
        <v>未匹配</v>
      </c>
      <c r="S1258" s="16" t="str">
        <v>停售</v>
      </c>
      <c r="T1258" s="16" t="str">
        <v>1S01</v>
      </c>
      <c r="U1258" s="16" t="str">
        <v>黄色</v>
      </c>
      <c r="V1258" s="16" t="n">
        <v>6.5</v>
      </c>
      <c r="W1258" s="8" t="str">
        <v>2026-10-08 至 2026-10-17</v>
      </c>
      <c r="X1258" s="8" t="str">
        <v>2026-10-08、2026-10-09、2026-10-10、2026-10-11、2026-10-14、2026-10-15、2026-10-17</v>
      </c>
      <c r="Y1258" s="8" t="str">
        <v>2026-10-12 有记录的停售日；2026-10-13 有记录的停售日；2026-10-16 有记录的停售日</v>
      </c>
      <c r="Z1258" s="8" t="n">
        <v>0</v>
      </c>
      <c r="AA1258" s="8" t="n">
        <v>0</v>
      </c>
      <c r="AB1258" s="8" t="n">
        <v>7</v>
      </c>
      <c r="AC1258" s="8" t="str">
        <v>2026-09-29 至 2026-10-17</v>
      </c>
      <c r="AD1258" s="8" t="str">
        <v>2026-09-29、2026-09-30、2026-10-01、2026-10-02、2026-10-03、2026-10-04、2026-10-05、2026-10-08、2026-10-09、2026-10-10、2026-10-11、2026-10-14、2026-10-15、2026-10-17</v>
      </c>
      <c r="AE1258" s="8" t="str">
        <v>2026-10-06 大促；2026-10-07 大促；2026-10-12 有记录的停售日；2026-10-13 有记录的停售日；2026-10-16 有记录的停售日</v>
      </c>
      <c r="AF1258" s="8" t="n">
        <v>0</v>
      </c>
      <c r="AG1258" s="8" t="n">
        <v>0</v>
      </c>
      <c r="AH1258" s="8" t="n">
        <v>14</v>
      </c>
      <c r="AI1258" s="8" t="str">
        <v>2026-09-13 至 2026-10-17</v>
      </c>
      <c r="AJ125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8" s="8" t="str">
        <v>2026-10-06 大促；2026-10-07 大促；2026-10-12 有记录的停售日；2026-10-13 有记录的停售日；2026-10-16 有记录的停售日</v>
      </c>
      <c r="AL1258" s="8" t="n">
        <v>0</v>
      </c>
      <c r="AM1258" s="8" t="n">
        <v>0</v>
      </c>
      <c r="AN1258" s="8" t="n">
        <v>30</v>
      </c>
      <c r="AO1258" s="8" t="str">
        <v>1S01 / 黄色PU / 13120</v>
      </c>
      <c r="AP1258" s="11" t="n">
        <v>0.8729500662042875</v>
      </c>
      <c r="AQ1258" s="11" t="n">
        <v>0.9355747145678367</v>
      </c>
      <c r="AR1258" s="11" t="n">
        <v>1.135973589331194</v>
      </c>
      <c r="AS1258" s="11" t="n">
        <f>IF(AND(COUNT(I1258:K1258,AP1258:AR1258)=6,MIN(AP1258:AR1258)&gt;0),I1258/7/AP1258*0.5+J1258/14/AQ1258*0.3+K1258/30/AR1258*0.2,"")</f>
        <v>0</v>
      </c>
      <c r="AT1258" s="8" t="n">
        <v>0</v>
      </c>
      <c r="AU1258" s="8" t="n">
        <v>0</v>
      </c>
      <c r="AV1258" s="8" t="n">
        <v>85</v>
      </c>
      <c r="AW1258" s="11" t="n">
        <f>IF(AND(COUNT(AT1258:AV1258)=3,AT1258&gt;=AU1258,AU1258&gt;=0,AV1258&gt;0),(AT1258-AU1258)/AV1258,"")</f>
        <v>0</v>
      </c>
      <c r="AX1258" s="8" t="n">
        <v>0</v>
      </c>
      <c r="AY1258" s="8" t="n">
        <v>0</v>
      </c>
      <c r="AZ1258" s="8" t="n">
        <v>175</v>
      </c>
      <c r="BA1258" s="11" t="n">
        <f>IF(AND(COUNT(AX1258:AZ1258)=3,AX1258&gt;=AY1258,AY1258&gt;=0,AZ1258&gt;0),(AX1258-AY1258)/AZ1258,"")</f>
        <v>0</v>
      </c>
      <c r="BB1258" s="8" t="n">
        <f>IF(COUNT(AS1258,AW1258,BA1258)=3,1,0)</f>
        <v>1</v>
      </c>
      <c r="BC1258" s="11" t="n">
        <f>IF(SUMIF($AO$11:$AO$1309,AO1258,$BB$11:$BB$1309)=COUNTIF($AO$11:$AO$1309,AO1258),SUMIF($AO$11:$AO$1309,AO1258,$AS$11:$AS$1309),"")</f>
        <v>0</v>
      </c>
      <c r="BD1258" s="11" t="n">
        <f>IF(SUMIF($AO$11:$AO$1309,AO1258,$BB$11:$BB$1309)=COUNTIF($AO$11:$AO$1309,AO1258),SUMIF($AO$11:$AO$1309,AO1258,$AW$11:$AW$1309),"")</f>
        <v>0</v>
      </c>
      <c r="BE1258" s="11" t="n">
        <f>IF(SUMIF($AO$11:$AO$1309,AO1258,$BB$11:$BB$1309)=COUNTIF($AO$11:$AO$1309,AO1258),SUMIF($AO$11:$AO$1309,AO1258,$BA$11:$BA$1309),"")</f>
        <v>0</v>
      </c>
      <c r="BF1258" s="12" t="n">
        <f>IF(COUNT(BD1258:BE1258)&lt;&gt;2,"",IF(AND(BD1258&gt;0,BE1258&gt;0),0.7*AW1258/BD1258+0.3*BA1258/BE1258,IF(BD1258&gt;0,AW1258/BD1258,IF(BE1258&gt;0,BA1258/BE1258,IF(AND(ISNUMBER(BH1258),BH1258=0),0,"")))))</f>
        <v>0</v>
      </c>
      <c r="BG1258" s="11" t="n">
        <f>IF(AND(COUNT(BN1258:BU1258)=8,MIN(BN1258:BU1258)&gt;=0),SUMPRODUCT(BN1258:BQ1258,BR1258:BU1258),"")</f>
        <v>63.935996265425516</v>
      </c>
      <c r="BH1258" s="11" t="n">
        <f>IF(COUNT(BC1258,BG1258)=2,BC1258*BG1258,"")</f>
        <v>0</v>
      </c>
      <c r="BI1258" s="11" t="n">
        <f>IF(ISNUMBER(CI1258),CI1258,"")</f>
        <v>0</v>
      </c>
      <c r="BJ1258" s="8" t="str">
        <v>近180天本色销量0双（＜90），无有效新采购，请运营判断</v>
      </c>
      <c r="BK1258" s="8" t="str">
        <v>90天：2026-07-20 至 2026-10-17；180天：2026-04-21 至 2026-10-17</v>
      </c>
      <c r="BL1258" s="8" t="str">
        <v>90天：2026-10-06、2026-10-07、2026-10-12、2026-10-13、2026-10-16；180天：2026-10-06、2026-10-07、2026-10-12、2026-10-13、2026-10-16</v>
      </c>
      <c r="BM1258" s="8" t="str">
        <v>2026-10：12天 × 0.8729500662042875；2026-11：30天 × 0.8057375774163482；2026-12：31天 × 0.532550303142279；2027-01：17天 × 0.7517299265337036</v>
      </c>
      <c r="BN1258" s="11" t="n">
        <v>0.8729500662042875</v>
      </c>
      <c r="BO1258" s="11" t="n">
        <v>0.8057375774163482</v>
      </c>
      <c r="BP1258" s="11" t="n">
        <v>0.532550303142279</v>
      </c>
      <c r="BQ1258" s="11" t="n">
        <v>0.7517299265337036</v>
      </c>
      <c r="BR1258" s="8" t="n">
        <v>12</v>
      </c>
      <c r="BS1258" s="8" t="n">
        <v>30</v>
      </c>
      <c r="BT1258" s="8" t="n">
        <v>31</v>
      </c>
      <c r="BU1258" s="8" t="n">
        <v>17</v>
      </c>
      <c r="BV1258" s="11" t="n">
        <f>IF(COUNT(BC1258,BF1258)=2,BC1258*BF1258,"")</f>
        <v>0</v>
      </c>
      <c r="BW1258" s="11" t="n">
        <f>IF(ISNUMBER(BN1258),BN1258,"")</f>
        <v>0.8729500662042875</v>
      </c>
      <c r="BX1258" s="14" t="n">
        <f>IF(ISNUMBER(BR1258),BR1258,"")</f>
        <v>12</v>
      </c>
      <c r="BY1258" s="13" t="n">
        <f>IF(AND(COUNT(BV1258,BW1258,BX1258)=3,MIN(BV1258,BW1258,BX1258)&gt;=0),BV1258*BW1258*BX1258,"")</f>
        <v>0</v>
      </c>
      <c r="BZ1258" s="11" t="n">
        <f>IF(ISNUMBER(BO1258),BO1258,"")</f>
        <v>0.8057375774163482</v>
      </c>
      <c r="CA1258" s="14" t="n">
        <f>IF(ISNUMBER(BS1258),BS1258,"")</f>
        <v>30</v>
      </c>
      <c r="CB1258" s="13" t="n">
        <f>IF(AND(COUNT(BV1258,BZ1258,CA1258)=3,MIN(BV1258,BZ1258,CA1258)&gt;=0),BV1258*BZ1258*CA1258,"")</f>
        <v>0</v>
      </c>
      <c r="CC1258" s="11" t="n">
        <f>IF(ISNUMBER(BP1258),BP1258,"")</f>
        <v>0.532550303142279</v>
      </c>
      <c r="CD1258" s="14" t="n">
        <f>IF(ISNUMBER(BT1258),BT1258,"")</f>
        <v>31</v>
      </c>
      <c r="CE1258" s="13" t="n">
        <f>IF(AND(COUNT(BV1258,CC1258,CD1258)=3,MIN(BV1258,CC1258,CD1258)&gt;=0),BV1258*CC1258*CD1258,"")</f>
        <v>0</v>
      </c>
      <c r="CF1258" s="11" t="n">
        <f>IF(ISNUMBER(BQ1258),BQ1258,"")</f>
        <v>0.7517299265337036</v>
      </c>
      <c r="CG1258" s="14" t="n">
        <f>IF(ISNUMBER(BU1258),BU1258,"")</f>
        <v>17</v>
      </c>
      <c r="CH1258" s="13" t="n">
        <f>IF(AND(COUNT(BV1258,CF1258,CG1258)=3,MIN(BV1258,CF1258,CG1258)&gt;=0),BV1258*CF1258*CG1258,"")</f>
        <v>0</v>
      </c>
      <c r="CI1258" s="13" t="n">
        <f>IF(COUNT(BY1258,CB1258,CE1258,CH1258)=4,SUM(BY1258,CB1258,CE1258,CH1258),"")</f>
        <v>0</v>
      </c>
    </row>
    <row r="1259" ht="72" customHeight="1">
      <c r="A1259" s="16" t="str">
        <v>1S01-YL-38</v>
      </c>
      <c r="B1259" s="16" t="str">
        <v>1店-MUSSHOE-US</v>
      </c>
      <c r="C1259" s="16" t="str">
        <v>徐新怡</v>
      </c>
      <c r="D1259" s="26" t="str">
        <f>IF(NOT(ISNUMBER(E1259)),"",IF(OR(E1259&lt;=0,L1259=0),0,IF(OR(NOT(ISNUMBER(F1259)),F1259&lt;0),"",MIN(E1259,INT(F1259)))))</f>
      </c>
      <c r="E1259" s="27" t="str">
        <f>IF(OR(NOT(ISNUMBER(L1259)),COUNT(M1259:O1259)&lt;&gt;3,MIN(M1259:O1259)&lt;0),"",ROUNDUP(ROUND(BI1259-SUM(M1259:O1259),10),0))</f>
      </c>
      <c r="F1259" s="28"/>
      <c r="G1259" s="28" t="str">
        <f>IF(AND(ISNUMBER(D1259),ISNUMBER(E1259)),IF(OR(E1259&lt;=0,L1259=0),0,E1259-D1259),"")</f>
      </c>
      <c r="H1259" s="16" t="str">
        <f>IF(NOT(ISNUMBER(E1259)),"销量或海外库存待补",IF(OR(E1259&lt;=0,L1259=0),IF(L1259=0,"零日销，本批不发","本批无需补货"),IF(NOT(ISNUMBER(D1259)),"国内库存待补",IF(D1259=0,"国内无可用库存",IF(G1259&gt;0,"先发国内现货","按建议量发货")))))</f>
        <v>销量或海外库存待补</v>
      </c>
      <c r="I1259" s="28" t="n">
        <f>IF(AND(COUNT(Z1259,AA1259,AB1259)=3,Z1259&gt;=AA1259,AA1259&gt;=0,AB1259=7),Z1259-AA1259,"")</f>
        <v>0</v>
      </c>
      <c r="J1259" s="28" t="n">
        <f>IF(AND(COUNT(AF1259,AG1259,AH1259)=3,AF1259&gt;=AG1259,AG1259&gt;=0,AH1259=14),AF1259-AG1259,"")</f>
        <v>0</v>
      </c>
      <c r="K1259" s="28" t="n">
        <f>IF(AND(COUNT(AL1259,AM1259,AN1259)=3,AL1259&gt;=AM1259,AM1259&gt;=0,AN1259=30),AL1259-AM1259,"")</f>
        <v>0</v>
      </c>
      <c r="L1259" s="29" t="n">
        <f>IF(ISNUMBER(BI1259),BI1259/90,"")</f>
        <v>0</v>
      </c>
      <c r="M1259" s="28"/>
      <c r="N1259" s="28"/>
      <c r="O1259" s="28"/>
      <c r="P1259" s="30" t="str">
        <f>IF(AND(ISNUMBER(L1259),L1259&gt;0,COUNT(M1259:O1259)=3,MIN(M1259:O1259)&gt;=0),SUM(M1259:O1259)/L1259,"")</f>
      </c>
      <c r="Q1259" s="16" t="str">
        <v>按本SKU唯一未删除Listing店铺核实</v>
      </c>
      <c r="R1259" s="16" t="str">
        <v>未匹配</v>
      </c>
      <c r="S1259" s="16" t="str">
        <v>停售</v>
      </c>
      <c r="T1259" s="16" t="str">
        <v>1S01</v>
      </c>
      <c r="U1259" s="16" t="str">
        <v>黄色</v>
      </c>
      <c r="V1259" s="16" t="n">
        <v>7</v>
      </c>
      <c r="W1259" s="8" t="str">
        <v>2026-10-08 至 2026-10-17</v>
      </c>
      <c r="X1259" s="8" t="str">
        <v>2026-10-08、2026-10-09、2026-10-10、2026-10-11、2026-10-14、2026-10-15、2026-10-17</v>
      </c>
      <c r="Y1259" s="8" t="str">
        <v>2026-10-12 有记录的停售日；2026-10-13 有记录的停售日；2026-10-16 有记录的停售日</v>
      </c>
      <c r="Z1259" s="8" t="n">
        <v>0</v>
      </c>
      <c r="AA1259" s="8" t="n">
        <v>0</v>
      </c>
      <c r="AB1259" s="8" t="n">
        <v>7</v>
      </c>
      <c r="AC1259" s="8" t="str">
        <v>2026-09-29 至 2026-10-17</v>
      </c>
      <c r="AD1259" s="8" t="str">
        <v>2026-09-29、2026-09-30、2026-10-01、2026-10-02、2026-10-03、2026-10-04、2026-10-05、2026-10-08、2026-10-09、2026-10-10、2026-10-11、2026-10-14、2026-10-15、2026-10-17</v>
      </c>
      <c r="AE1259" s="8" t="str">
        <v>2026-10-06 大促；2026-10-07 大促；2026-10-12 有记录的停售日；2026-10-13 有记录的停售日；2026-10-16 有记录的停售日</v>
      </c>
      <c r="AF1259" s="8" t="n">
        <v>0</v>
      </c>
      <c r="AG1259" s="8" t="n">
        <v>0</v>
      </c>
      <c r="AH1259" s="8" t="n">
        <v>14</v>
      </c>
      <c r="AI1259" s="8" t="str">
        <v>2026-09-13 至 2026-10-17</v>
      </c>
      <c r="AJ1259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59" s="8" t="str">
        <v>2026-10-06 大促；2026-10-07 大促；2026-10-12 有记录的停售日；2026-10-13 有记录的停售日；2026-10-16 有记录的停售日</v>
      </c>
      <c r="AL1259" s="8" t="n">
        <v>0</v>
      </c>
      <c r="AM1259" s="8" t="n">
        <v>0</v>
      </c>
      <c r="AN1259" s="8" t="n">
        <v>30</v>
      </c>
      <c r="AO1259" s="8" t="str">
        <v>1S01 / 黄色PU / 13120</v>
      </c>
      <c r="AP1259" s="11" t="n">
        <v>0.8729500662042875</v>
      </c>
      <c r="AQ1259" s="11" t="n">
        <v>0.9355747145678367</v>
      </c>
      <c r="AR1259" s="11" t="n">
        <v>1.135973589331194</v>
      </c>
      <c r="AS1259" s="11" t="n">
        <f>IF(AND(COUNT(I1259:K1259,AP1259:AR1259)=6,MIN(AP1259:AR1259)&gt;0),I1259/7/AP1259*0.5+J1259/14/AQ1259*0.3+K1259/30/AR1259*0.2,"")</f>
        <v>0</v>
      </c>
      <c r="AT1259" s="8" t="n">
        <v>0</v>
      </c>
      <c r="AU1259" s="8" t="n">
        <v>0</v>
      </c>
      <c r="AV1259" s="8" t="n">
        <v>85</v>
      </c>
      <c r="AW1259" s="11" t="n">
        <f>IF(AND(COUNT(AT1259:AV1259)=3,AT1259&gt;=AU1259,AU1259&gt;=0,AV1259&gt;0),(AT1259-AU1259)/AV1259,"")</f>
        <v>0</v>
      </c>
      <c r="AX1259" s="8" t="n">
        <v>0</v>
      </c>
      <c r="AY1259" s="8" t="n">
        <v>0</v>
      </c>
      <c r="AZ1259" s="8" t="n">
        <v>175</v>
      </c>
      <c r="BA1259" s="11" t="n">
        <f>IF(AND(COUNT(AX1259:AZ1259)=3,AX1259&gt;=AY1259,AY1259&gt;=0,AZ1259&gt;0),(AX1259-AY1259)/AZ1259,"")</f>
        <v>0</v>
      </c>
      <c r="BB1259" s="8" t="n">
        <f>IF(COUNT(AS1259,AW1259,BA1259)=3,1,0)</f>
        <v>1</v>
      </c>
      <c r="BC1259" s="11" t="n">
        <f>IF(SUMIF($AO$11:$AO$1309,AO1259,$BB$11:$BB$1309)=COUNTIF($AO$11:$AO$1309,AO1259),SUMIF($AO$11:$AO$1309,AO1259,$AS$11:$AS$1309),"")</f>
        <v>0</v>
      </c>
      <c r="BD1259" s="11" t="n">
        <f>IF(SUMIF($AO$11:$AO$1309,AO1259,$BB$11:$BB$1309)=COUNTIF($AO$11:$AO$1309,AO1259),SUMIF($AO$11:$AO$1309,AO1259,$AW$11:$AW$1309),"")</f>
        <v>0</v>
      </c>
      <c r="BE1259" s="11" t="n">
        <f>IF(SUMIF($AO$11:$AO$1309,AO1259,$BB$11:$BB$1309)=COUNTIF($AO$11:$AO$1309,AO1259),SUMIF($AO$11:$AO$1309,AO1259,$BA$11:$BA$1309),"")</f>
        <v>0</v>
      </c>
      <c r="BF1259" s="12" t="n">
        <f>IF(COUNT(BD1259:BE1259)&lt;&gt;2,"",IF(AND(BD1259&gt;0,BE1259&gt;0),0.7*AW1259/BD1259+0.3*BA1259/BE1259,IF(BD1259&gt;0,AW1259/BD1259,IF(BE1259&gt;0,BA1259/BE1259,IF(AND(ISNUMBER(BH1259),BH1259=0),0,"")))))</f>
        <v>0</v>
      </c>
      <c r="BG1259" s="11" t="n">
        <f>IF(AND(COUNT(BN1259:BU1259)=8,MIN(BN1259:BU1259)&gt;=0),SUMPRODUCT(BN1259:BQ1259,BR1259:BU1259),"")</f>
        <v>63.935996265425516</v>
      </c>
      <c r="BH1259" s="11" t="n">
        <f>IF(COUNT(BC1259,BG1259)=2,BC1259*BG1259,"")</f>
        <v>0</v>
      </c>
      <c r="BI1259" s="11" t="n">
        <f>IF(ISNUMBER(CI1259),CI1259,"")</f>
        <v>0</v>
      </c>
      <c r="BJ1259" s="8" t="str">
        <v>近180天本色销量0双（＜90），无有效新采购，请运营判断</v>
      </c>
      <c r="BK1259" s="8" t="str">
        <v>90天：2026-07-20 至 2026-10-17；180天：2026-04-21 至 2026-10-17</v>
      </c>
      <c r="BL1259" s="8" t="str">
        <v>90天：2026-10-06、2026-10-07、2026-10-12、2026-10-13、2026-10-16；180天：2026-10-06、2026-10-07、2026-10-12、2026-10-13、2026-10-16</v>
      </c>
      <c r="BM1259" s="8" t="str">
        <v>2026-10：12天 × 0.8729500662042875；2026-11：30天 × 0.8057375774163482；2026-12：31天 × 0.532550303142279；2027-01：17天 × 0.7517299265337036</v>
      </c>
      <c r="BN1259" s="11" t="n">
        <v>0.8729500662042875</v>
      </c>
      <c r="BO1259" s="11" t="n">
        <v>0.8057375774163482</v>
      </c>
      <c r="BP1259" s="11" t="n">
        <v>0.532550303142279</v>
      </c>
      <c r="BQ1259" s="11" t="n">
        <v>0.7517299265337036</v>
      </c>
      <c r="BR1259" s="8" t="n">
        <v>12</v>
      </c>
      <c r="BS1259" s="8" t="n">
        <v>30</v>
      </c>
      <c r="BT1259" s="8" t="n">
        <v>31</v>
      </c>
      <c r="BU1259" s="8" t="n">
        <v>17</v>
      </c>
      <c r="BV1259" s="11" t="n">
        <f>IF(COUNT(BC1259,BF1259)=2,BC1259*BF1259,"")</f>
        <v>0</v>
      </c>
      <c r="BW1259" s="11" t="n">
        <f>IF(ISNUMBER(BN1259),BN1259,"")</f>
        <v>0.8729500662042875</v>
      </c>
      <c r="BX1259" s="14" t="n">
        <f>IF(ISNUMBER(BR1259),BR1259,"")</f>
        <v>12</v>
      </c>
      <c r="BY1259" s="13" t="n">
        <f>IF(AND(COUNT(BV1259,BW1259,BX1259)=3,MIN(BV1259,BW1259,BX1259)&gt;=0),BV1259*BW1259*BX1259,"")</f>
        <v>0</v>
      </c>
      <c r="BZ1259" s="11" t="n">
        <f>IF(ISNUMBER(BO1259),BO1259,"")</f>
        <v>0.8057375774163482</v>
      </c>
      <c r="CA1259" s="14" t="n">
        <f>IF(ISNUMBER(BS1259),BS1259,"")</f>
        <v>30</v>
      </c>
      <c r="CB1259" s="13" t="n">
        <f>IF(AND(COUNT(BV1259,BZ1259,CA1259)=3,MIN(BV1259,BZ1259,CA1259)&gt;=0),BV1259*BZ1259*CA1259,"")</f>
        <v>0</v>
      </c>
      <c r="CC1259" s="11" t="n">
        <f>IF(ISNUMBER(BP1259),BP1259,"")</f>
        <v>0.532550303142279</v>
      </c>
      <c r="CD1259" s="14" t="n">
        <f>IF(ISNUMBER(BT1259),BT1259,"")</f>
        <v>31</v>
      </c>
      <c r="CE1259" s="13" t="n">
        <f>IF(AND(COUNT(BV1259,CC1259,CD1259)=3,MIN(BV1259,CC1259,CD1259)&gt;=0),BV1259*CC1259*CD1259,"")</f>
        <v>0</v>
      </c>
      <c r="CF1259" s="11" t="n">
        <f>IF(ISNUMBER(BQ1259),BQ1259,"")</f>
        <v>0.7517299265337036</v>
      </c>
      <c r="CG1259" s="14" t="n">
        <f>IF(ISNUMBER(BU1259),BU1259,"")</f>
        <v>17</v>
      </c>
      <c r="CH1259" s="13" t="n">
        <f>IF(AND(COUNT(BV1259,CF1259,CG1259)=3,MIN(BV1259,CF1259,CG1259)&gt;=0),BV1259*CF1259*CG1259,"")</f>
        <v>0</v>
      </c>
      <c r="CI1259" s="13" t="n">
        <f>IF(COUNT(BY1259,CB1259,CE1259,CH1259)=4,SUM(BY1259,CB1259,CE1259,CH1259),"")</f>
        <v>0</v>
      </c>
    </row>
    <row r="1260" ht="72" customHeight="1">
      <c r="A1260" s="16" t="str">
        <v>1S01-YL-38.5</v>
      </c>
      <c r="B1260" s="16" t="str">
        <v>1店-MUSSHOE-US</v>
      </c>
      <c r="C1260" s="16" t="str">
        <v>徐新怡</v>
      </c>
      <c r="D1260" s="26" t="str">
        <f>IF(NOT(ISNUMBER(E1260)),"",IF(OR(E1260&lt;=0,L1260=0),0,IF(OR(NOT(ISNUMBER(F1260)),F1260&lt;0),"",MIN(E1260,INT(F1260)))))</f>
      </c>
      <c r="E1260" s="27" t="str">
        <f>IF(OR(NOT(ISNUMBER(L1260)),COUNT(M1260:O1260)&lt;&gt;3,MIN(M1260:O1260)&lt;0),"",ROUNDUP(ROUND(BI1260-SUM(M1260:O1260),10),0))</f>
      </c>
      <c r="F1260" s="28"/>
      <c r="G1260" s="28" t="str">
        <f>IF(AND(ISNUMBER(D1260),ISNUMBER(E1260)),IF(OR(E1260&lt;=0,L1260=0),0,E1260-D1260),"")</f>
      </c>
      <c r="H1260" s="16" t="str">
        <f>IF(NOT(ISNUMBER(E1260)),"销量或海外库存待补",IF(OR(E1260&lt;=0,L1260=0),IF(L1260=0,"零日销，本批不发","本批无需补货"),IF(NOT(ISNUMBER(D1260)),"国内库存待补",IF(D1260=0,"国内无可用库存",IF(G1260&gt;0,"先发国内现货","按建议量发货")))))</f>
        <v>销量或海外库存待补</v>
      </c>
      <c r="I1260" s="28" t="n">
        <f>IF(AND(COUNT(Z1260,AA1260,AB1260)=3,Z1260&gt;=AA1260,AA1260&gt;=0,AB1260=7),Z1260-AA1260,"")</f>
        <v>0</v>
      </c>
      <c r="J1260" s="28" t="n">
        <f>IF(AND(COUNT(AF1260,AG1260,AH1260)=3,AF1260&gt;=AG1260,AG1260&gt;=0,AH1260=14),AF1260-AG1260,"")</f>
        <v>0</v>
      </c>
      <c r="K1260" s="28" t="n">
        <f>IF(AND(COUNT(AL1260,AM1260,AN1260)=3,AL1260&gt;=AM1260,AM1260&gt;=0,AN1260=30),AL1260-AM1260,"")</f>
        <v>0</v>
      </c>
      <c r="L1260" s="29" t="n">
        <f>IF(ISNUMBER(BI1260),BI1260/90,"")</f>
        <v>0</v>
      </c>
      <c r="M1260" s="28"/>
      <c r="N1260" s="28"/>
      <c r="O1260" s="28"/>
      <c r="P1260" s="30" t="str">
        <f>IF(AND(ISNUMBER(L1260),L1260&gt;0,COUNT(M1260:O1260)=3,MIN(M1260:O1260)&gt;=0),SUM(M1260:O1260)/L1260,"")</f>
      </c>
      <c r="Q1260" s="16" t="str">
        <v>按本SKU唯一未删除Listing店铺核实</v>
      </c>
      <c r="R1260" s="16" t="str">
        <v>未匹配</v>
      </c>
      <c r="S1260" s="16" t="str">
        <v>停售</v>
      </c>
      <c r="T1260" s="16" t="str">
        <v>1S01</v>
      </c>
      <c r="U1260" s="16" t="str">
        <v>黄色</v>
      </c>
      <c r="V1260" s="16" t="n">
        <v>7.5</v>
      </c>
      <c r="W1260" s="8" t="str">
        <v>2026-10-08 至 2026-10-17</v>
      </c>
      <c r="X1260" s="8" t="str">
        <v>2026-10-08、2026-10-09、2026-10-10、2026-10-11、2026-10-14、2026-10-15、2026-10-17</v>
      </c>
      <c r="Y1260" s="8" t="str">
        <v>2026-10-12 有记录的停售日；2026-10-13 有记录的停售日；2026-10-16 有记录的停售日</v>
      </c>
      <c r="Z1260" s="8" t="n">
        <v>0</v>
      </c>
      <c r="AA1260" s="8" t="n">
        <v>0</v>
      </c>
      <c r="AB1260" s="8" t="n">
        <v>7</v>
      </c>
      <c r="AC1260" s="8" t="str">
        <v>2026-09-29 至 2026-10-17</v>
      </c>
      <c r="AD1260" s="8" t="str">
        <v>2026-09-29、2026-09-30、2026-10-01、2026-10-02、2026-10-03、2026-10-04、2026-10-05、2026-10-08、2026-10-09、2026-10-10、2026-10-11、2026-10-14、2026-10-15、2026-10-17</v>
      </c>
      <c r="AE1260" s="8" t="str">
        <v>2026-10-06 大促；2026-10-07 大促；2026-10-12 有记录的停售日；2026-10-13 有记录的停售日；2026-10-16 有记录的停售日</v>
      </c>
      <c r="AF1260" s="8" t="n">
        <v>0</v>
      </c>
      <c r="AG1260" s="8" t="n">
        <v>0</v>
      </c>
      <c r="AH1260" s="8" t="n">
        <v>14</v>
      </c>
      <c r="AI1260" s="8" t="str">
        <v>2026-09-13 至 2026-10-17</v>
      </c>
      <c r="AJ126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0" s="8" t="str">
        <v>2026-10-06 大促；2026-10-07 大促；2026-10-12 有记录的停售日；2026-10-13 有记录的停售日；2026-10-16 有记录的停售日</v>
      </c>
      <c r="AL1260" s="8" t="n">
        <v>0</v>
      </c>
      <c r="AM1260" s="8" t="n">
        <v>0</v>
      </c>
      <c r="AN1260" s="8" t="n">
        <v>30</v>
      </c>
      <c r="AO1260" s="8" t="str">
        <v>1S01 / 黄色PU / 13120</v>
      </c>
      <c r="AP1260" s="11" t="n">
        <v>0.8729500662042875</v>
      </c>
      <c r="AQ1260" s="11" t="n">
        <v>0.9355747145678367</v>
      </c>
      <c r="AR1260" s="11" t="n">
        <v>1.135973589331194</v>
      </c>
      <c r="AS1260" s="11" t="n">
        <f>IF(AND(COUNT(I1260:K1260,AP1260:AR1260)=6,MIN(AP1260:AR1260)&gt;0),I1260/7/AP1260*0.5+J1260/14/AQ1260*0.3+K1260/30/AR1260*0.2,"")</f>
        <v>0</v>
      </c>
      <c r="AT1260" s="8" t="n">
        <v>0</v>
      </c>
      <c r="AU1260" s="8" t="n">
        <v>0</v>
      </c>
      <c r="AV1260" s="8" t="n">
        <v>85</v>
      </c>
      <c r="AW1260" s="11" t="n">
        <f>IF(AND(COUNT(AT1260:AV1260)=3,AT1260&gt;=AU1260,AU1260&gt;=0,AV1260&gt;0),(AT1260-AU1260)/AV1260,"")</f>
        <v>0</v>
      </c>
      <c r="AX1260" s="8" t="n">
        <v>0</v>
      </c>
      <c r="AY1260" s="8" t="n">
        <v>0</v>
      </c>
      <c r="AZ1260" s="8" t="n">
        <v>175</v>
      </c>
      <c r="BA1260" s="11" t="n">
        <f>IF(AND(COUNT(AX1260:AZ1260)=3,AX1260&gt;=AY1260,AY1260&gt;=0,AZ1260&gt;0),(AX1260-AY1260)/AZ1260,"")</f>
        <v>0</v>
      </c>
      <c r="BB1260" s="8" t="n">
        <f>IF(COUNT(AS1260,AW1260,BA1260)=3,1,0)</f>
        <v>1</v>
      </c>
      <c r="BC1260" s="11" t="n">
        <f>IF(SUMIF($AO$11:$AO$1309,AO1260,$BB$11:$BB$1309)=COUNTIF($AO$11:$AO$1309,AO1260),SUMIF($AO$11:$AO$1309,AO1260,$AS$11:$AS$1309),"")</f>
        <v>0</v>
      </c>
      <c r="BD1260" s="11" t="n">
        <f>IF(SUMIF($AO$11:$AO$1309,AO1260,$BB$11:$BB$1309)=COUNTIF($AO$11:$AO$1309,AO1260),SUMIF($AO$11:$AO$1309,AO1260,$AW$11:$AW$1309),"")</f>
        <v>0</v>
      </c>
      <c r="BE1260" s="11" t="n">
        <f>IF(SUMIF($AO$11:$AO$1309,AO1260,$BB$11:$BB$1309)=COUNTIF($AO$11:$AO$1309,AO1260),SUMIF($AO$11:$AO$1309,AO1260,$BA$11:$BA$1309),"")</f>
        <v>0</v>
      </c>
      <c r="BF1260" s="12" t="n">
        <f>IF(COUNT(BD1260:BE1260)&lt;&gt;2,"",IF(AND(BD1260&gt;0,BE1260&gt;0),0.7*AW1260/BD1260+0.3*BA1260/BE1260,IF(BD1260&gt;0,AW1260/BD1260,IF(BE1260&gt;0,BA1260/BE1260,IF(AND(ISNUMBER(BH1260),BH1260=0),0,"")))))</f>
        <v>0</v>
      </c>
      <c r="BG1260" s="11" t="n">
        <f>IF(AND(COUNT(BN1260:BU1260)=8,MIN(BN1260:BU1260)&gt;=0),SUMPRODUCT(BN1260:BQ1260,BR1260:BU1260),"")</f>
        <v>63.935996265425516</v>
      </c>
      <c r="BH1260" s="11" t="n">
        <f>IF(COUNT(BC1260,BG1260)=2,BC1260*BG1260,"")</f>
        <v>0</v>
      </c>
      <c r="BI1260" s="11" t="n">
        <f>IF(ISNUMBER(CI1260),CI1260,"")</f>
        <v>0</v>
      </c>
      <c r="BJ1260" s="8" t="str">
        <v>近180天本色销量0双（＜90），无有效新采购，请运营判断</v>
      </c>
      <c r="BK1260" s="8" t="str">
        <v>90天：2026-07-20 至 2026-10-17；180天：2026-04-21 至 2026-10-17</v>
      </c>
      <c r="BL1260" s="8" t="str">
        <v>90天：2026-10-06、2026-10-07、2026-10-12、2026-10-13、2026-10-16；180天：2026-10-06、2026-10-07、2026-10-12、2026-10-13、2026-10-16</v>
      </c>
      <c r="BM1260" s="8" t="str">
        <v>2026-10：12天 × 0.8729500662042875；2026-11：30天 × 0.8057375774163482；2026-12：31天 × 0.532550303142279；2027-01：17天 × 0.7517299265337036</v>
      </c>
      <c r="BN1260" s="11" t="n">
        <v>0.8729500662042875</v>
      </c>
      <c r="BO1260" s="11" t="n">
        <v>0.8057375774163482</v>
      </c>
      <c r="BP1260" s="11" t="n">
        <v>0.532550303142279</v>
      </c>
      <c r="BQ1260" s="11" t="n">
        <v>0.7517299265337036</v>
      </c>
      <c r="BR1260" s="8" t="n">
        <v>12</v>
      </c>
      <c r="BS1260" s="8" t="n">
        <v>30</v>
      </c>
      <c r="BT1260" s="8" t="n">
        <v>31</v>
      </c>
      <c r="BU1260" s="8" t="n">
        <v>17</v>
      </c>
      <c r="BV1260" s="11" t="n">
        <f>IF(COUNT(BC1260,BF1260)=2,BC1260*BF1260,"")</f>
        <v>0</v>
      </c>
      <c r="BW1260" s="11" t="n">
        <f>IF(ISNUMBER(BN1260),BN1260,"")</f>
        <v>0.8729500662042875</v>
      </c>
      <c r="BX1260" s="14" t="n">
        <f>IF(ISNUMBER(BR1260),BR1260,"")</f>
        <v>12</v>
      </c>
      <c r="BY1260" s="13" t="n">
        <f>IF(AND(COUNT(BV1260,BW1260,BX1260)=3,MIN(BV1260,BW1260,BX1260)&gt;=0),BV1260*BW1260*BX1260,"")</f>
        <v>0</v>
      </c>
      <c r="BZ1260" s="11" t="n">
        <f>IF(ISNUMBER(BO1260),BO1260,"")</f>
        <v>0.8057375774163482</v>
      </c>
      <c r="CA1260" s="14" t="n">
        <f>IF(ISNUMBER(BS1260),BS1260,"")</f>
        <v>30</v>
      </c>
      <c r="CB1260" s="13" t="n">
        <f>IF(AND(COUNT(BV1260,BZ1260,CA1260)=3,MIN(BV1260,BZ1260,CA1260)&gt;=0),BV1260*BZ1260*CA1260,"")</f>
        <v>0</v>
      </c>
      <c r="CC1260" s="11" t="n">
        <f>IF(ISNUMBER(BP1260),BP1260,"")</f>
        <v>0.532550303142279</v>
      </c>
      <c r="CD1260" s="14" t="n">
        <f>IF(ISNUMBER(BT1260),BT1260,"")</f>
        <v>31</v>
      </c>
      <c r="CE1260" s="13" t="n">
        <f>IF(AND(COUNT(BV1260,CC1260,CD1260)=3,MIN(BV1260,CC1260,CD1260)&gt;=0),BV1260*CC1260*CD1260,"")</f>
        <v>0</v>
      </c>
      <c r="CF1260" s="11" t="n">
        <f>IF(ISNUMBER(BQ1260),BQ1260,"")</f>
        <v>0.7517299265337036</v>
      </c>
      <c r="CG1260" s="14" t="n">
        <f>IF(ISNUMBER(BU1260),BU1260,"")</f>
        <v>17</v>
      </c>
      <c r="CH1260" s="13" t="n">
        <f>IF(AND(COUNT(BV1260,CF1260,CG1260)=3,MIN(BV1260,CF1260,CG1260)&gt;=0),BV1260*CF1260*CG1260,"")</f>
        <v>0</v>
      </c>
      <c r="CI1260" s="13" t="n">
        <f>IF(COUNT(BY1260,CB1260,CE1260,CH1260)=4,SUM(BY1260,CB1260,CE1260,CH1260),"")</f>
        <v>0</v>
      </c>
    </row>
    <row r="1261" ht="72" customHeight="1">
      <c r="A1261" s="16" t="str">
        <v>1S01-YL-39</v>
      </c>
      <c r="B1261" s="16" t="str">
        <v>1店-MUSSHOE-US</v>
      </c>
      <c r="C1261" s="16" t="str">
        <v>徐新怡</v>
      </c>
      <c r="D1261" s="26" t="str">
        <f>IF(NOT(ISNUMBER(E1261)),"",IF(OR(E1261&lt;=0,L1261=0),0,IF(OR(NOT(ISNUMBER(F1261)),F1261&lt;0),"",MIN(E1261,INT(F1261)))))</f>
      </c>
      <c r="E1261" s="27" t="str">
        <f>IF(OR(NOT(ISNUMBER(L1261)),COUNT(M1261:O1261)&lt;&gt;3,MIN(M1261:O1261)&lt;0),"",ROUNDUP(ROUND(BI1261-SUM(M1261:O1261),10),0))</f>
      </c>
      <c r="F1261" s="28"/>
      <c r="G1261" s="28" t="str">
        <f>IF(AND(ISNUMBER(D1261),ISNUMBER(E1261)),IF(OR(E1261&lt;=0,L1261=0),0,E1261-D1261),"")</f>
      </c>
      <c r="H1261" s="16" t="str">
        <f>IF(NOT(ISNUMBER(E1261)),"销量或海外库存待补",IF(OR(E1261&lt;=0,L1261=0),IF(L1261=0,"零日销，本批不发","本批无需补货"),IF(NOT(ISNUMBER(D1261)),"国内库存待补",IF(D1261=0,"国内无可用库存",IF(G1261&gt;0,"先发国内现货","按建议量发货")))))</f>
        <v>销量或海外库存待补</v>
      </c>
      <c r="I1261" s="28" t="n">
        <f>IF(AND(COUNT(Z1261,AA1261,AB1261)=3,Z1261&gt;=AA1261,AA1261&gt;=0,AB1261=7),Z1261-AA1261,"")</f>
        <v>0</v>
      </c>
      <c r="J1261" s="28" t="n">
        <f>IF(AND(COUNT(AF1261,AG1261,AH1261)=3,AF1261&gt;=AG1261,AG1261&gt;=0,AH1261=14),AF1261-AG1261,"")</f>
        <v>0</v>
      </c>
      <c r="K1261" s="28" t="n">
        <f>IF(AND(COUNT(AL1261,AM1261,AN1261)=3,AL1261&gt;=AM1261,AM1261&gt;=0,AN1261=30),AL1261-AM1261,"")</f>
        <v>0</v>
      </c>
      <c r="L1261" s="29" t="n">
        <f>IF(ISNUMBER(BI1261),BI1261/90,"")</f>
        <v>0</v>
      </c>
      <c r="M1261" s="28"/>
      <c r="N1261" s="28"/>
      <c r="O1261" s="28"/>
      <c r="P1261" s="30" t="str">
        <f>IF(AND(ISNUMBER(L1261),L1261&gt;0,COUNT(M1261:O1261)=3,MIN(M1261:O1261)&gt;=0),SUM(M1261:O1261)/L1261,"")</f>
      </c>
      <c r="Q1261" s="16" t="str">
        <v>按本SKU唯一未删除Listing店铺核实</v>
      </c>
      <c r="R1261" s="16" t="str">
        <v>未匹配</v>
      </c>
      <c r="S1261" s="16" t="str">
        <v>停售</v>
      </c>
      <c r="T1261" s="16" t="str">
        <v>1S01</v>
      </c>
      <c r="U1261" s="16" t="str">
        <v>黄色</v>
      </c>
      <c r="V1261" s="16" t="n">
        <v>8</v>
      </c>
      <c r="W1261" s="8" t="str">
        <v>2026-10-08 至 2026-10-17</v>
      </c>
      <c r="X1261" s="8" t="str">
        <v>2026-10-08、2026-10-09、2026-10-10、2026-10-11、2026-10-14、2026-10-15、2026-10-17</v>
      </c>
      <c r="Y1261" s="8" t="str">
        <v>2026-10-12 有记录的停售日；2026-10-13 有记录的停售日；2026-10-16 有记录的停售日</v>
      </c>
      <c r="Z1261" s="8" t="n">
        <v>0</v>
      </c>
      <c r="AA1261" s="8" t="n">
        <v>0</v>
      </c>
      <c r="AB1261" s="8" t="n">
        <v>7</v>
      </c>
      <c r="AC1261" s="8" t="str">
        <v>2026-09-29 至 2026-10-17</v>
      </c>
      <c r="AD1261" s="8" t="str">
        <v>2026-09-29、2026-09-30、2026-10-01、2026-10-02、2026-10-03、2026-10-04、2026-10-05、2026-10-08、2026-10-09、2026-10-10、2026-10-11、2026-10-14、2026-10-15、2026-10-17</v>
      </c>
      <c r="AE1261" s="8" t="str">
        <v>2026-10-06 大促；2026-10-07 大促；2026-10-12 有记录的停售日；2026-10-13 有记录的停售日；2026-10-16 有记录的停售日</v>
      </c>
      <c r="AF1261" s="8" t="n">
        <v>0</v>
      </c>
      <c r="AG1261" s="8" t="n">
        <v>0</v>
      </c>
      <c r="AH1261" s="8" t="n">
        <v>14</v>
      </c>
      <c r="AI1261" s="8" t="str">
        <v>2026-09-13 至 2026-10-17</v>
      </c>
      <c r="AJ1261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1" s="8" t="str">
        <v>2026-10-06 大促；2026-10-07 大促；2026-10-12 有记录的停售日；2026-10-13 有记录的停售日；2026-10-16 有记录的停售日</v>
      </c>
      <c r="AL1261" s="8" t="n">
        <v>0</v>
      </c>
      <c r="AM1261" s="8" t="n">
        <v>0</v>
      </c>
      <c r="AN1261" s="8" t="n">
        <v>30</v>
      </c>
      <c r="AO1261" s="8" t="str">
        <v>1S01 / 黄色PU / 13120</v>
      </c>
      <c r="AP1261" s="11" t="n">
        <v>0.8729500662042875</v>
      </c>
      <c r="AQ1261" s="11" t="n">
        <v>0.9355747145678367</v>
      </c>
      <c r="AR1261" s="11" t="n">
        <v>1.135973589331194</v>
      </c>
      <c r="AS1261" s="11" t="n">
        <f>IF(AND(COUNT(I1261:K1261,AP1261:AR1261)=6,MIN(AP1261:AR1261)&gt;0),I1261/7/AP1261*0.5+J1261/14/AQ1261*0.3+K1261/30/AR1261*0.2,"")</f>
        <v>0</v>
      </c>
      <c r="AT1261" s="8" t="n">
        <v>0</v>
      </c>
      <c r="AU1261" s="8" t="n">
        <v>0</v>
      </c>
      <c r="AV1261" s="8" t="n">
        <v>85</v>
      </c>
      <c r="AW1261" s="11" t="n">
        <f>IF(AND(COUNT(AT1261:AV1261)=3,AT1261&gt;=AU1261,AU1261&gt;=0,AV1261&gt;0),(AT1261-AU1261)/AV1261,"")</f>
        <v>0</v>
      </c>
      <c r="AX1261" s="8" t="n">
        <v>0</v>
      </c>
      <c r="AY1261" s="8" t="n">
        <v>0</v>
      </c>
      <c r="AZ1261" s="8" t="n">
        <v>175</v>
      </c>
      <c r="BA1261" s="11" t="n">
        <f>IF(AND(COUNT(AX1261:AZ1261)=3,AX1261&gt;=AY1261,AY1261&gt;=0,AZ1261&gt;0),(AX1261-AY1261)/AZ1261,"")</f>
        <v>0</v>
      </c>
      <c r="BB1261" s="8" t="n">
        <f>IF(COUNT(AS1261,AW1261,BA1261)=3,1,0)</f>
        <v>1</v>
      </c>
      <c r="BC1261" s="11" t="n">
        <f>IF(SUMIF($AO$11:$AO$1309,AO1261,$BB$11:$BB$1309)=COUNTIF($AO$11:$AO$1309,AO1261),SUMIF($AO$11:$AO$1309,AO1261,$AS$11:$AS$1309),"")</f>
        <v>0</v>
      </c>
      <c r="BD1261" s="11" t="n">
        <f>IF(SUMIF($AO$11:$AO$1309,AO1261,$BB$11:$BB$1309)=COUNTIF($AO$11:$AO$1309,AO1261),SUMIF($AO$11:$AO$1309,AO1261,$AW$11:$AW$1309),"")</f>
        <v>0</v>
      </c>
      <c r="BE1261" s="11" t="n">
        <f>IF(SUMIF($AO$11:$AO$1309,AO1261,$BB$11:$BB$1309)=COUNTIF($AO$11:$AO$1309,AO1261),SUMIF($AO$11:$AO$1309,AO1261,$BA$11:$BA$1309),"")</f>
        <v>0</v>
      </c>
      <c r="BF1261" s="12" t="n">
        <f>IF(COUNT(BD1261:BE1261)&lt;&gt;2,"",IF(AND(BD1261&gt;0,BE1261&gt;0),0.7*AW1261/BD1261+0.3*BA1261/BE1261,IF(BD1261&gt;0,AW1261/BD1261,IF(BE1261&gt;0,BA1261/BE1261,IF(AND(ISNUMBER(BH1261),BH1261=0),0,"")))))</f>
        <v>0</v>
      </c>
      <c r="BG1261" s="11" t="n">
        <f>IF(AND(COUNT(BN1261:BU1261)=8,MIN(BN1261:BU1261)&gt;=0),SUMPRODUCT(BN1261:BQ1261,BR1261:BU1261),"")</f>
        <v>63.935996265425516</v>
      </c>
      <c r="BH1261" s="11" t="n">
        <f>IF(COUNT(BC1261,BG1261)=2,BC1261*BG1261,"")</f>
        <v>0</v>
      </c>
      <c r="BI1261" s="11" t="n">
        <f>IF(ISNUMBER(CI1261),CI1261,"")</f>
        <v>0</v>
      </c>
      <c r="BJ1261" s="8" t="str">
        <v>近180天本色销量0双（＜90），无有效新采购，请运营判断</v>
      </c>
      <c r="BK1261" s="8" t="str">
        <v>90天：2026-07-20 至 2026-10-17；180天：2026-04-21 至 2026-10-17</v>
      </c>
      <c r="BL1261" s="8" t="str">
        <v>90天：2026-10-06、2026-10-07、2026-10-12、2026-10-13、2026-10-16；180天：2026-10-06、2026-10-07、2026-10-12、2026-10-13、2026-10-16</v>
      </c>
      <c r="BM1261" s="8" t="str">
        <v>2026-10：12天 × 0.8729500662042875；2026-11：30天 × 0.8057375774163482；2026-12：31天 × 0.532550303142279；2027-01：17天 × 0.7517299265337036</v>
      </c>
      <c r="BN1261" s="11" t="n">
        <v>0.8729500662042875</v>
      </c>
      <c r="BO1261" s="11" t="n">
        <v>0.8057375774163482</v>
      </c>
      <c r="BP1261" s="11" t="n">
        <v>0.532550303142279</v>
      </c>
      <c r="BQ1261" s="11" t="n">
        <v>0.7517299265337036</v>
      </c>
      <c r="BR1261" s="8" t="n">
        <v>12</v>
      </c>
      <c r="BS1261" s="8" t="n">
        <v>30</v>
      </c>
      <c r="BT1261" s="8" t="n">
        <v>31</v>
      </c>
      <c r="BU1261" s="8" t="n">
        <v>17</v>
      </c>
      <c r="BV1261" s="11" t="n">
        <f>IF(COUNT(BC1261,BF1261)=2,BC1261*BF1261,"")</f>
        <v>0</v>
      </c>
      <c r="BW1261" s="11" t="n">
        <f>IF(ISNUMBER(BN1261),BN1261,"")</f>
        <v>0.8729500662042875</v>
      </c>
      <c r="BX1261" s="14" t="n">
        <f>IF(ISNUMBER(BR1261),BR1261,"")</f>
        <v>12</v>
      </c>
      <c r="BY1261" s="13" t="n">
        <f>IF(AND(COUNT(BV1261,BW1261,BX1261)=3,MIN(BV1261,BW1261,BX1261)&gt;=0),BV1261*BW1261*BX1261,"")</f>
        <v>0</v>
      </c>
      <c r="BZ1261" s="11" t="n">
        <f>IF(ISNUMBER(BO1261),BO1261,"")</f>
        <v>0.8057375774163482</v>
      </c>
      <c r="CA1261" s="14" t="n">
        <f>IF(ISNUMBER(BS1261),BS1261,"")</f>
        <v>30</v>
      </c>
      <c r="CB1261" s="13" t="n">
        <f>IF(AND(COUNT(BV1261,BZ1261,CA1261)=3,MIN(BV1261,BZ1261,CA1261)&gt;=0),BV1261*BZ1261*CA1261,"")</f>
        <v>0</v>
      </c>
      <c r="CC1261" s="11" t="n">
        <f>IF(ISNUMBER(BP1261),BP1261,"")</f>
        <v>0.532550303142279</v>
      </c>
      <c r="CD1261" s="14" t="n">
        <f>IF(ISNUMBER(BT1261),BT1261,"")</f>
        <v>31</v>
      </c>
      <c r="CE1261" s="13" t="n">
        <f>IF(AND(COUNT(BV1261,CC1261,CD1261)=3,MIN(BV1261,CC1261,CD1261)&gt;=0),BV1261*CC1261*CD1261,"")</f>
        <v>0</v>
      </c>
      <c r="CF1261" s="11" t="n">
        <f>IF(ISNUMBER(BQ1261),BQ1261,"")</f>
        <v>0.7517299265337036</v>
      </c>
      <c r="CG1261" s="14" t="n">
        <f>IF(ISNUMBER(BU1261),BU1261,"")</f>
        <v>17</v>
      </c>
      <c r="CH1261" s="13" t="n">
        <f>IF(AND(COUNT(BV1261,CF1261,CG1261)=3,MIN(BV1261,CF1261,CG1261)&gt;=0),BV1261*CF1261*CG1261,"")</f>
        <v>0</v>
      </c>
      <c r="CI1261" s="13" t="n">
        <f>IF(COUNT(BY1261,CB1261,CE1261,CH1261)=4,SUM(BY1261,CB1261,CE1261,CH1261),"")</f>
        <v>0</v>
      </c>
    </row>
    <row r="1262" ht="72" customHeight="1">
      <c r="A1262" s="16" t="str">
        <v>1S01-YL-39.5</v>
      </c>
      <c r="B1262" s="16" t="str">
        <v>1店-MUSSHOE-US</v>
      </c>
      <c r="C1262" s="16" t="str">
        <v>徐新怡</v>
      </c>
      <c r="D1262" s="26" t="str">
        <f>IF(NOT(ISNUMBER(E1262)),"",IF(OR(E1262&lt;=0,L1262=0),0,IF(OR(NOT(ISNUMBER(F1262)),F1262&lt;0),"",MIN(E1262,INT(F1262)))))</f>
      </c>
      <c r="E1262" s="27" t="str">
        <f>IF(OR(NOT(ISNUMBER(L1262)),COUNT(M1262:O1262)&lt;&gt;3,MIN(M1262:O1262)&lt;0),"",ROUNDUP(ROUND(BI1262-SUM(M1262:O1262),10),0))</f>
      </c>
      <c r="F1262" s="28"/>
      <c r="G1262" s="28" t="str">
        <f>IF(AND(ISNUMBER(D1262),ISNUMBER(E1262)),IF(OR(E1262&lt;=0,L1262=0),0,E1262-D1262),"")</f>
      </c>
      <c r="H1262" s="16" t="str">
        <f>IF(NOT(ISNUMBER(E1262)),"销量或海外库存待补",IF(OR(E1262&lt;=0,L1262=0),IF(L1262=0,"零日销，本批不发","本批无需补货"),IF(NOT(ISNUMBER(D1262)),"国内库存待补",IF(D1262=0,"国内无可用库存",IF(G1262&gt;0,"先发国内现货","按建议量发货")))))</f>
        <v>销量或海外库存待补</v>
      </c>
      <c r="I1262" s="28" t="n">
        <f>IF(AND(COUNT(Z1262,AA1262,AB1262)=3,Z1262&gt;=AA1262,AA1262&gt;=0,AB1262=7),Z1262-AA1262,"")</f>
        <v>0</v>
      </c>
      <c r="J1262" s="28" t="n">
        <f>IF(AND(COUNT(AF1262,AG1262,AH1262)=3,AF1262&gt;=AG1262,AG1262&gt;=0,AH1262=14),AF1262-AG1262,"")</f>
        <v>0</v>
      </c>
      <c r="K1262" s="28" t="n">
        <f>IF(AND(COUNT(AL1262,AM1262,AN1262)=3,AL1262&gt;=AM1262,AM1262&gt;=0,AN1262=30),AL1262-AM1262,"")</f>
        <v>0</v>
      </c>
      <c r="L1262" s="29" t="n">
        <f>IF(ISNUMBER(BI1262),BI1262/90,"")</f>
        <v>0</v>
      </c>
      <c r="M1262" s="28"/>
      <c r="N1262" s="28"/>
      <c r="O1262" s="28"/>
      <c r="P1262" s="30" t="str">
        <f>IF(AND(ISNUMBER(L1262),L1262&gt;0,COUNT(M1262:O1262)=3,MIN(M1262:O1262)&gt;=0),SUM(M1262:O1262)/L1262,"")</f>
      </c>
      <c r="Q1262" s="16" t="str">
        <v>按本SKU唯一未删除Listing店铺核实</v>
      </c>
      <c r="R1262" s="16" t="str">
        <v>未匹配</v>
      </c>
      <c r="S1262" s="16" t="str">
        <v>停售</v>
      </c>
      <c r="T1262" s="16" t="str">
        <v>1S01</v>
      </c>
      <c r="U1262" s="16" t="str">
        <v>黄色</v>
      </c>
      <c r="V1262" s="16" t="n">
        <v>8.5</v>
      </c>
      <c r="W1262" s="8" t="str">
        <v>2026-10-08 至 2026-10-17</v>
      </c>
      <c r="X1262" s="8" t="str">
        <v>2026-10-08、2026-10-09、2026-10-10、2026-10-11、2026-10-14、2026-10-15、2026-10-17</v>
      </c>
      <c r="Y1262" s="8" t="str">
        <v>2026-10-12 有记录的停售日；2026-10-13 有记录的停售日；2026-10-16 有记录的停售日</v>
      </c>
      <c r="Z1262" s="8" t="n">
        <v>0</v>
      </c>
      <c r="AA1262" s="8" t="n">
        <v>0</v>
      </c>
      <c r="AB1262" s="8" t="n">
        <v>7</v>
      </c>
      <c r="AC1262" s="8" t="str">
        <v>2026-09-29 至 2026-10-17</v>
      </c>
      <c r="AD1262" s="8" t="str">
        <v>2026-09-29、2026-09-30、2026-10-01、2026-10-02、2026-10-03、2026-10-04、2026-10-05、2026-10-08、2026-10-09、2026-10-10、2026-10-11、2026-10-14、2026-10-15、2026-10-17</v>
      </c>
      <c r="AE1262" s="8" t="str">
        <v>2026-10-06 大促；2026-10-07 大促；2026-10-12 有记录的停售日；2026-10-13 有记录的停售日；2026-10-16 有记录的停售日</v>
      </c>
      <c r="AF1262" s="8" t="n">
        <v>0</v>
      </c>
      <c r="AG1262" s="8" t="n">
        <v>0</v>
      </c>
      <c r="AH1262" s="8" t="n">
        <v>14</v>
      </c>
      <c r="AI1262" s="8" t="str">
        <v>2026-09-13 至 2026-10-17</v>
      </c>
      <c r="AJ1262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2" s="8" t="str">
        <v>2026-10-06 大促；2026-10-07 大促；2026-10-12 有记录的停售日；2026-10-13 有记录的停售日；2026-10-16 有记录的停售日</v>
      </c>
      <c r="AL1262" s="8" t="n">
        <v>0</v>
      </c>
      <c r="AM1262" s="8" t="n">
        <v>0</v>
      </c>
      <c r="AN1262" s="8" t="n">
        <v>30</v>
      </c>
      <c r="AO1262" s="8" t="str">
        <v>1S01 / 黄色PU / 13120</v>
      </c>
      <c r="AP1262" s="11" t="n">
        <v>0.8729500662042875</v>
      </c>
      <c r="AQ1262" s="11" t="n">
        <v>0.9355747145678367</v>
      </c>
      <c r="AR1262" s="11" t="n">
        <v>1.135973589331194</v>
      </c>
      <c r="AS1262" s="11" t="n">
        <f>IF(AND(COUNT(I1262:K1262,AP1262:AR1262)=6,MIN(AP1262:AR1262)&gt;0),I1262/7/AP1262*0.5+J1262/14/AQ1262*0.3+K1262/30/AR1262*0.2,"")</f>
        <v>0</v>
      </c>
      <c r="AT1262" s="8" t="n">
        <v>0</v>
      </c>
      <c r="AU1262" s="8" t="n">
        <v>0</v>
      </c>
      <c r="AV1262" s="8" t="n">
        <v>85</v>
      </c>
      <c r="AW1262" s="11" t="n">
        <f>IF(AND(COUNT(AT1262:AV1262)=3,AT1262&gt;=AU1262,AU1262&gt;=0,AV1262&gt;0),(AT1262-AU1262)/AV1262,"")</f>
        <v>0</v>
      </c>
      <c r="AX1262" s="8" t="n">
        <v>0</v>
      </c>
      <c r="AY1262" s="8" t="n">
        <v>0</v>
      </c>
      <c r="AZ1262" s="8" t="n">
        <v>175</v>
      </c>
      <c r="BA1262" s="11" t="n">
        <f>IF(AND(COUNT(AX1262:AZ1262)=3,AX1262&gt;=AY1262,AY1262&gt;=0,AZ1262&gt;0),(AX1262-AY1262)/AZ1262,"")</f>
        <v>0</v>
      </c>
      <c r="BB1262" s="8" t="n">
        <f>IF(COUNT(AS1262,AW1262,BA1262)=3,1,0)</f>
        <v>1</v>
      </c>
      <c r="BC1262" s="11" t="n">
        <f>IF(SUMIF($AO$11:$AO$1309,AO1262,$BB$11:$BB$1309)=COUNTIF($AO$11:$AO$1309,AO1262),SUMIF($AO$11:$AO$1309,AO1262,$AS$11:$AS$1309),"")</f>
        <v>0</v>
      </c>
      <c r="BD1262" s="11" t="n">
        <f>IF(SUMIF($AO$11:$AO$1309,AO1262,$BB$11:$BB$1309)=COUNTIF($AO$11:$AO$1309,AO1262),SUMIF($AO$11:$AO$1309,AO1262,$AW$11:$AW$1309),"")</f>
        <v>0</v>
      </c>
      <c r="BE1262" s="11" t="n">
        <f>IF(SUMIF($AO$11:$AO$1309,AO1262,$BB$11:$BB$1309)=COUNTIF($AO$11:$AO$1309,AO1262),SUMIF($AO$11:$AO$1309,AO1262,$BA$11:$BA$1309),"")</f>
        <v>0</v>
      </c>
      <c r="BF1262" s="12" t="n">
        <f>IF(COUNT(BD1262:BE1262)&lt;&gt;2,"",IF(AND(BD1262&gt;0,BE1262&gt;0),0.7*AW1262/BD1262+0.3*BA1262/BE1262,IF(BD1262&gt;0,AW1262/BD1262,IF(BE1262&gt;0,BA1262/BE1262,IF(AND(ISNUMBER(BH1262),BH1262=0),0,"")))))</f>
        <v>0</v>
      </c>
      <c r="BG1262" s="11" t="n">
        <f>IF(AND(COUNT(BN1262:BU1262)=8,MIN(BN1262:BU1262)&gt;=0),SUMPRODUCT(BN1262:BQ1262,BR1262:BU1262),"")</f>
        <v>63.935996265425516</v>
      </c>
      <c r="BH1262" s="11" t="n">
        <f>IF(COUNT(BC1262,BG1262)=2,BC1262*BG1262,"")</f>
        <v>0</v>
      </c>
      <c r="BI1262" s="11" t="n">
        <f>IF(ISNUMBER(CI1262),CI1262,"")</f>
        <v>0</v>
      </c>
      <c r="BJ1262" s="8" t="str">
        <v>近180天本色销量0双（＜90），无有效新采购，请运营判断</v>
      </c>
      <c r="BK1262" s="8" t="str">
        <v>90天：2026-07-20 至 2026-10-17；180天：2026-04-21 至 2026-10-17</v>
      </c>
      <c r="BL1262" s="8" t="str">
        <v>90天：2026-10-06、2026-10-07、2026-10-12、2026-10-13、2026-10-16；180天：2026-10-06、2026-10-07、2026-10-12、2026-10-13、2026-10-16</v>
      </c>
      <c r="BM1262" s="8" t="str">
        <v>2026-10：12天 × 0.8729500662042875；2026-11：30天 × 0.8057375774163482；2026-12：31天 × 0.532550303142279；2027-01：17天 × 0.7517299265337036</v>
      </c>
      <c r="BN1262" s="11" t="n">
        <v>0.8729500662042875</v>
      </c>
      <c r="BO1262" s="11" t="n">
        <v>0.8057375774163482</v>
      </c>
      <c r="BP1262" s="11" t="n">
        <v>0.532550303142279</v>
      </c>
      <c r="BQ1262" s="11" t="n">
        <v>0.7517299265337036</v>
      </c>
      <c r="BR1262" s="8" t="n">
        <v>12</v>
      </c>
      <c r="BS1262" s="8" t="n">
        <v>30</v>
      </c>
      <c r="BT1262" s="8" t="n">
        <v>31</v>
      </c>
      <c r="BU1262" s="8" t="n">
        <v>17</v>
      </c>
      <c r="BV1262" s="11" t="n">
        <f>IF(COUNT(BC1262,BF1262)=2,BC1262*BF1262,"")</f>
        <v>0</v>
      </c>
      <c r="BW1262" s="11" t="n">
        <f>IF(ISNUMBER(BN1262),BN1262,"")</f>
        <v>0.8729500662042875</v>
      </c>
      <c r="BX1262" s="14" t="n">
        <f>IF(ISNUMBER(BR1262),BR1262,"")</f>
        <v>12</v>
      </c>
      <c r="BY1262" s="13" t="n">
        <f>IF(AND(COUNT(BV1262,BW1262,BX1262)=3,MIN(BV1262,BW1262,BX1262)&gt;=0),BV1262*BW1262*BX1262,"")</f>
        <v>0</v>
      </c>
      <c r="BZ1262" s="11" t="n">
        <f>IF(ISNUMBER(BO1262),BO1262,"")</f>
        <v>0.8057375774163482</v>
      </c>
      <c r="CA1262" s="14" t="n">
        <f>IF(ISNUMBER(BS1262),BS1262,"")</f>
        <v>30</v>
      </c>
      <c r="CB1262" s="13" t="n">
        <f>IF(AND(COUNT(BV1262,BZ1262,CA1262)=3,MIN(BV1262,BZ1262,CA1262)&gt;=0),BV1262*BZ1262*CA1262,"")</f>
        <v>0</v>
      </c>
      <c r="CC1262" s="11" t="n">
        <f>IF(ISNUMBER(BP1262),BP1262,"")</f>
        <v>0.532550303142279</v>
      </c>
      <c r="CD1262" s="14" t="n">
        <f>IF(ISNUMBER(BT1262),BT1262,"")</f>
        <v>31</v>
      </c>
      <c r="CE1262" s="13" t="n">
        <f>IF(AND(COUNT(BV1262,CC1262,CD1262)=3,MIN(BV1262,CC1262,CD1262)&gt;=0),BV1262*CC1262*CD1262,"")</f>
        <v>0</v>
      </c>
      <c r="CF1262" s="11" t="n">
        <f>IF(ISNUMBER(BQ1262),BQ1262,"")</f>
        <v>0.7517299265337036</v>
      </c>
      <c r="CG1262" s="14" t="n">
        <f>IF(ISNUMBER(BU1262),BU1262,"")</f>
        <v>17</v>
      </c>
      <c r="CH1262" s="13" t="n">
        <f>IF(AND(COUNT(BV1262,CF1262,CG1262)=3,MIN(BV1262,CF1262,CG1262)&gt;=0),BV1262*CF1262*CG1262,"")</f>
        <v>0</v>
      </c>
      <c r="CI1262" s="13" t="n">
        <f>IF(COUNT(BY1262,CB1262,CE1262,CH1262)=4,SUM(BY1262,CB1262,CE1262,CH1262),"")</f>
        <v>0</v>
      </c>
    </row>
    <row r="1263" ht="72" customHeight="1">
      <c r="A1263" s="16" t="str">
        <v>1S01-YL-40</v>
      </c>
      <c r="B1263" s="16" t="str">
        <v>1店-MUSSHOE-US</v>
      </c>
      <c r="C1263" s="16" t="str">
        <v>徐新怡</v>
      </c>
      <c r="D1263" s="26" t="str">
        <f>IF(NOT(ISNUMBER(E1263)),"",IF(OR(E1263&lt;=0,L1263=0),0,IF(OR(NOT(ISNUMBER(F1263)),F1263&lt;0),"",MIN(E1263,INT(F1263)))))</f>
      </c>
      <c r="E1263" s="27" t="str">
        <f>IF(OR(NOT(ISNUMBER(L1263)),COUNT(M1263:O1263)&lt;&gt;3,MIN(M1263:O1263)&lt;0),"",ROUNDUP(ROUND(BI1263-SUM(M1263:O1263),10),0))</f>
      </c>
      <c r="F1263" s="28"/>
      <c r="G1263" s="28" t="str">
        <f>IF(AND(ISNUMBER(D1263),ISNUMBER(E1263)),IF(OR(E1263&lt;=0,L1263=0),0,E1263-D1263),"")</f>
      </c>
      <c r="H1263" s="16" t="str">
        <f>IF(NOT(ISNUMBER(E1263)),"销量或海外库存待补",IF(OR(E1263&lt;=0,L1263=0),IF(L1263=0,"零日销，本批不发","本批无需补货"),IF(NOT(ISNUMBER(D1263)),"国内库存待补",IF(D1263=0,"国内无可用库存",IF(G1263&gt;0,"先发国内现货","按建议量发货")))))</f>
        <v>销量或海外库存待补</v>
      </c>
      <c r="I1263" s="28" t="n">
        <f>IF(AND(COUNT(Z1263,AA1263,AB1263)=3,Z1263&gt;=AA1263,AA1263&gt;=0,AB1263=7),Z1263-AA1263,"")</f>
        <v>0</v>
      </c>
      <c r="J1263" s="28" t="n">
        <f>IF(AND(COUNT(AF1263,AG1263,AH1263)=3,AF1263&gt;=AG1263,AG1263&gt;=0,AH1263=14),AF1263-AG1263,"")</f>
        <v>0</v>
      </c>
      <c r="K1263" s="28" t="n">
        <f>IF(AND(COUNT(AL1263,AM1263,AN1263)=3,AL1263&gt;=AM1263,AM1263&gt;=0,AN1263=30),AL1263-AM1263,"")</f>
        <v>0</v>
      </c>
      <c r="L1263" s="29" t="n">
        <f>IF(ISNUMBER(BI1263),BI1263/90,"")</f>
        <v>0</v>
      </c>
      <c r="M1263" s="28"/>
      <c r="N1263" s="28"/>
      <c r="O1263" s="28"/>
      <c r="P1263" s="30" t="str">
        <f>IF(AND(ISNUMBER(L1263),L1263&gt;0,COUNT(M1263:O1263)=3,MIN(M1263:O1263)&gt;=0),SUM(M1263:O1263)/L1263,"")</f>
      </c>
      <c r="Q1263" s="16" t="str">
        <v>按本SKU唯一未删除Listing店铺核实</v>
      </c>
      <c r="R1263" s="16" t="str">
        <v>未匹配</v>
      </c>
      <c r="S1263" s="16" t="str">
        <v>停售</v>
      </c>
      <c r="T1263" s="16" t="str">
        <v>1S01</v>
      </c>
      <c r="U1263" s="16" t="str">
        <v>黄色</v>
      </c>
      <c r="V1263" s="16" t="n">
        <v>9</v>
      </c>
      <c r="W1263" s="8" t="str">
        <v>2026-10-08 至 2026-10-17</v>
      </c>
      <c r="X1263" s="8" t="str">
        <v>2026-10-08、2026-10-09、2026-10-10、2026-10-11、2026-10-14、2026-10-15、2026-10-17</v>
      </c>
      <c r="Y1263" s="8" t="str">
        <v>2026-10-12 有记录的停售日；2026-10-13 有记录的停售日；2026-10-16 有记录的停售日</v>
      </c>
      <c r="Z1263" s="8" t="n">
        <v>0</v>
      </c>
      <c r="AA1263" s="8" t="n">
        <v>0</v>
      </c>
      <c r="AB1263" s="8" t="n">
        <v>7</v>
      </c>
      <c r="AC1263" s="8" t="str">
        <v>2026-09-29 至 2026-10-17</v>
      </c>
      <c r="AD1263" s="8" t="str">
        <v>2026-09-29、2026-09-30、2026-10-01、2026-10-02、2026-10-03、2026-10-04、2026-10-05、2026-10-08、2026-10-09、2026-10-10、2026-10-11、2026-10-14、2026-10-15、2026-10-17</v>
      </c>
      <c r="AE1263" s="8" t="str">
        <v>2026-10-06 大促；2026-10-07 大促；2026-10-12 有记录的停售日；2026-10-13 有记录的停售日；2026-10-16 有记录的停售日</v>
      </c>
      <c r="AF1263" s="8" t="n">
        <v>0</v>
      </c>
      <c r="AG1263" s="8" t="n">
        <v>0</v>
      </c>
      <c r="AH1263" s="8" t="n">
        <v>14</v>
      </c>
      <c r="AI1263" s="8" t="str">
        <v>2026-09-13 至 2026-10-17</v>
      </c>
      <c r="AJ1263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3" s="8" t="str">
        <v>2026-10-06 大促；2026-10-07 大促；2026-10-12 有记录的停售日；2026-10-13 有记录的停售日；2026-10-16 有记录的停售日</v>
      </c>
      <c r="AL1263" s="8" t="n">
        <v>0</v>
      </c>
      <c r="AM1263" s="8" t="n">
        <v>0</v>
      </c>
      <c r="AN1263" s="8" t="n">
        <v>30</v>
      </c>
      <c r="AO1263" s="8" t="str">
        <v>1S01 / 黄色PU / 13120</v>
      </c>
      <c r="AP1263" s="11" t="n">
        <v>0.8729500662042875</v>
      </c>
      <c r="AQ1263" s="11" t="n">
        <v>0.9355747145678367</v>
      </c>
      <c r="AR1263" s="11" t="n">
        <v>1.135973589331194</v>
      </c>
      <c r="AS1263" s="11" t="n">
        <f>IF(AND(COUNT(I1263:K1263,AP1263:AR1263)=6,MIN(AP1263:AR1263)&gt;0),I1263/7/AP1263*0.5+J1263/14/AQ1263*0.3+K1263/30/AR1263*0.2,"")</f>
        <v>0</v>
      </c>
      <c r="AT1263" s="8" t="n">
        <v>0</v>
      </c>
      <c r="AU1263" s="8" t="n">
        <v>0</v>
      </c>
      <c r="AV1263" s="8" t="n">
        <v>85</v>
      </c>
      <c r="AW1263" s="11" t="n">
        <f>IF(AND(COUNT(AT1263:AV1263)=3,AT1263&gt;=AU1263,AU1263&gt;=0,AV1263&gt;0),(AT1263-AU1263)/AV1263,"")</f>
        <v>0</v>
      </c>
      <c r="AX1263" s="8" t="n">
        <v>0</v>
      </c>
      <c r="AY1263" s="8" t="n">
        <v>0</v>
      </c>
      <c r="AZ1263" s="8" t="n">
        <v>175</v>
      </c>
      <c r="BA1263" s="11" t="n">
        <f>IF(AND(COUNT(AX1263:AZ1263)=3,AX1263&gt;=AY1263,AY1263&gt;=0,AZ1263&gt;0),(AX1263-AY1263)/AZ1263,"")</f>
        <v>0</v>
      </c>
      <c r="BB1263" s="8" t="n">
        <f>IF(COUNT(AS1263,AW1263,BA1263)=3,1,0)</f>
        <v>1</v>
      </c>
      <c r="BC1263" s="11" t="n">
        <f>IF(SUMIF($AO$11:$AO$1309,AO1263,$BB$11:$BB$1309)=COUNTIF($AO$11:$AO$1309,AO1263),SUMIF($AO$11:$AO$1309,AO1263,$AS$11:$AS$1309),"")</f>
        <v>0</v>
      </c>
      <c r="BD1263" s="11" t="n">
        <f>IF(SUMIF($AO$11:$AO$1309,AO1263,$BB$11:$BB$1309)=COUNTIF($AO$11:$AO$1309,AO1263),SUMIF($AO$11:$AO$1309,AO1263,$AW$11:$AW$1309),"")</f>
        <v>0</v>
      </c>
      <c r="BE1263" s="11" t="n">
        <f>IF(SUMIF($AO$11:$AO$1309,AO1263,$BB$11:$BB$1309)=COUNTIF($AO$11:$AO$1309,AO1263),SUMIF($AO$11:$AO$1309,AO1263,$BA$11:$BA$1309),"")</f>
        <v>0</v>
      </c>
      <c r="BF1263" s="12" t="n">
        <f>IF(COUNT(BD1263:BE1263)&lt;&gt;2,"",IF(AND(BD1263&gt;0,BE1263&gt;0),0.7*AW1263/BD1263+0.3*BA1263/BE1263,IF(BD1263&gt;0,AW1263/BD1263,IF(BE1263&gt;0,BA1263/BE1263,IF(AND(ISNUMBER(BH1263),BH1263=0),0,"")))))</f>
        <v>0</v>
      </c>
      <c r="BG1263" s="11" t="n">
        <f>IF(AND(COUNT(BN1263:BU1263)=8,MIN(BN1263:BU1263)&gt;=0),SUMPRODUCT(BN1263:BQ1263,BR1263:BU1263),"")</f>
        <v>63.935996265425516</v>
      </c>
      <c r="BH1263" s="11" t="n">
        <f>IF(COUNT(BC1263,BG1263)=2,BC1263*BG1263,"")</f>
        <v>0</v>
      </c>
      <c r="BI1263" s="11" t="n">
        <f>IF(ISNUMBER(CI1263),CI1263,"")</f>
        <v>0</v>
      </c>
      <c r="BJ1263" s="8" t="str">
        <v>近180天本色销量0双（＜90），无有效新采购，请运营判断</v>
      </c>
      <c r="BK1263" s="8" t="str">
        <v>90天：2026-07-20 至 2026-10-17；180天：2026-04-21 至 2026-10-17</v>
      </c>
      <c r="BL1263" s="8" t="str">
        <v>90天：2026-10-06、2026-10-07、2026-10-12、2026-10-13、2026-10-16；180天：2026-10-06、2026-10-07、2026-10-12、2026-10-13、2026-10-16</v>
      </c>
      <c r="BM1263" s="8" t="str">
        <v>2026-10：12天 × 0.8729500662042875；2026-11：30天 × 0.8057375774163482；2026-12：31天 × 0.532550303142279；2027-01：17天 × 0.7517299265337036</v>
      </c>
      <c r="BN1263" s="11" t="n">
        <v>0.8729500662042875</v>
      </c>
      <c r="BO1263" s="11" t="n">
        <v>0.8057375774163482</v>
      </c>
      <c r="BP1263" s="11" t="n">
        <v>0.532550303142279</v>
      </c>
      <c r="BQ1263" s="11" t="n">
        <v>0.7517299265337036</v>
      </c>
      <c r="BR1263" s="8" t="n">
        <v>12</v>
      </c>
      <c r="BS1263" s="8" t="n">
        <v>30</v>
      </c>
      <c r="BT1263" s="8" t="n">
        <v>31</v>
      </c>
      <c r="BU1263" s="8" t="n">
        <v>17</v>
      </c>
      <c r="BV1263" s="11" t="n">
        <f>IF(COUNT(BC1263,BF1263)=2,BC1263*BF1263,"")</f>
        <v>0</v>
      </c>
      <c r="BW1263" s="11" t="n">
        <f>IF(ISNUMBER(BN1263),BN1263,"")</f>
        <v>0.8729500662042875</v>
      </c>
      <c r="BX1263" s="14" t="n">
        <f>IF(ISNUMBER(BR1263),BR1263,"")</f>
        <v>12</v>
      </c>
      <c r="BY1263" s="13" t="n">
        <f>IF(AND(COUNT(BV1263,BW1263,BX1263)=3,MIN(BV1263,BW1263,BX1263)&gt;=0),BV1263*BW1263*BX1263,"")</f>
        <v>0</v>
      </c>
      <c r="BZ1263" s="11" t="n">
        <f>IF(ISNUMBER(BO1263),BO1263,"")</f>
        <v>0.8057375774163482</v>
      </c>
      <c r="CA1263" s="14" t="n">
        <f>IF(ISNUMBER(BS1263),BS1263,"")</f>
        <v>30</v>
      </c>
      <c r="CB1263" s="13" t="n">
        <f>IF(AND(COUNT(BV1263,BZ1263,CA1263)=3,MIN(BV1263,BZ1263,CA1263)&gt;=0),BV1263*BZ1263*CA1263,"")</f>
        <v>0</v>
      </c>
      <c r="CC1263" s="11" t="n">
        <f>IF(ISNUMBER(BP1263),BP1263,"")</f>
        <v>0.532550303142279</v>
      </c>
      <c r="CD1263" s="14" t="n">
        <f>IF(ISNUMBER(BT1263),BT1263,"")</f>
        <v>31</v>
      </c>
      <c r="CE1263" s="13" t="n">
        <f>IF(AND(COUNT(BV1263,CC1263,CD1263)=3,MIN(BV1263,CC1263,CD1263)&gt;=0),BV1263*CC1263*CD1263,"")</f>
        <v>0</v>
      </c>
      <c r="CF1263" s="11" t="n">
        <f>IF(ISNUMBER(BQ1263),BQ1263,"")</f>
        <v>0.7517299265337036</v>
      </c>
      <c r="CG1263" s="14" t="n">
        <f>IF(ISNUMBER(BU1263),BU1263,"")</f>
        <v>17</v>
      </c>
      <c r="CH1263" s="13" t="n">
        <f>IF(AND(COUNT(BV1263,CF1263,CG1263)=3,MIN(BV1263,CF1263,CG1263)&gt;=0),BV1263*CF1263*CG1263,"")</f>
        <v>0</v>
      </c>
      <c r="CI1263" s="13" t="n">
        <f>IF(COUNT(BY1263,CB1263,CE1263,CH1263)=4,SUM(BY1263,CB1263,CE1263,CH1263),"")</f>
        <v>0</v>
      </c>
    </row>
    <row r="1264" ht="72" customHeight="1">
      <c r="A1264" s="16" t="str">
        <v>1S01-YL-40.5</v>
      </c>
      <c r="B1264" s="16" t="str">
        <v>1店-MUSSHOE-US</v>
      </c>
      <c r="C1264" s="16" t="str">
        <v>徐新怡</v>
      </c>
      <c r="D1264" s="26" t="str">
        <f>IF(NOT(ISNUMBER(E1264)),"",IF(OR(E1264&lt;=0,L1264=0),0,IF(OR(NOT(ISNUMBER(F1264)),F1264&lt;0),"",MIN(E1264,INT(F1264)))))</f>
      </c>
      <c r="E1264" s="27" t="str">
        <f>IF(OR(NOT(ISNUMBER(L1264)),COUNT(M1264:O1264)&lt;&gt;3,MIN(M1264:O1264)&lt;0),"",ROUNDUP(ROUND(BI1264-SUM(M1264:O1264),10),0))</f>
      </c>
      <c r="F1264" s="28"/>
      <c r="G1264" s="28" t="str">
        <f>IF(AND(ISNUMBER(D1264),ISNUMBER(E1264)),IF(OR(E1264&lt;=0,L1264=0),0,E1264-D1264),"")</f>
      </c>
      <c r="H1264" s="16" t="str">
        <f>IF(NOT(ISNUMBER(E1264)),"销量或海外库存待补",IF(OR(E1264&lt;=0,L1264=0),IF(L1264=0,"零日销，本批不发","本批无需补货"),IF(NOT(ISNUMBER(D1264)),"国内库存待补",IF(D1264=0,"国内无可用库存",IF(G1264&gt;0,"先发国内现货","按建议量发货")))))</f>
        <v>销量或海外库存待补</v>
      </c>
      <c r="I1264" s="28" t="n">
        <f>IF(AND(COUNT(Z1264,AA1264,AB1264)=3,Z1264&gt;=AA1264,AA1264&gt;=0,AB1264=7),Z1264-AA1264,"")</f>
        <v>0</v>
      </c>
      <c r="J1264" s="28" t="n">
        <f>IF(AND(COUNT(AF1264,AG1264,AH1264)=3,AF1264&gt;=AG1264,AG1264&gt;=0,AH1264=14),AF1264-AG1264,"")</f>
        <v>0</v>
      </c>
      <c r="K1264" s="28" t="n">
        <f>IF(AND(COUNT(AL1264,AM1264,AN1264)=3,AL1264&gt;=AM1264,AM1264&gt;=0,AN1264=30),AL1264-AM1264,"")</f>
        <v>0</v>
      </c>
      <c r="L1264" s="29" t="n">
        <f>IF(ISNUMBER(BI1264),BI1264/90,"")</f>
        <v>0</v>
      </c>
      <c r="M1264" s="28"/>
      <c r="N1264" s="28"/>
      <c r="O1264" s="28"/>
      <c r="P1264" s="30" t="str">
        <f>IF(AND(ISNUMBER(L1264),L1264&gt;0,COUNT(M1264:O1264)=3,MIN(M1264:O1264)&gt;=0),SUM(M1264:O1264)/L1264,"")</f>
      </c>
      <c r="Q1264" s="16" t="str">
        <v>按本SKU唯一未删除Listing店铺核实</v>
      </c>
      <c r="R1264" s="16" t="str">
        <v>未匹配</v>
      </c>
      <c r="S1264" s="16" t="str">
        <v>停售</v>
      </c>
      <c r="T1264" s="16" t="str">
        <v>1S01</v>
      </c>
      <c r="U1264" s="16" t="str">
        <v>黄色</v>
      </c>
      <c r="V1264" s="16" t="n">
        <v>9.5</v>
      </c>
      <c r="W1264" s="8" t="str">
        <v>2026-10-08 至 2026-10-17</v>
      </c>
      <c r="X1264" s="8" t="str">
        <v>2026-10-08、2026-10-09、2026-10-10、2026-10-11、2026-10-14、2026-10-15、2026-10-17</v>
      </c>
      <c r="Y1264" s="8" t="str">
        <v>2026-10-12 有记录的停售日；2026-10-13 有记录的停售日；2026-10-16 有记录的停售日</v>
      </c>
      <c r="Z1264" s="8" t="n">
        <v>0</v>
      </c>
      <c r="AA1264" s="8" t="n">
        <v>0</v>
      </c>
      <c r="AB1264" s="8" t="n">
        <v>7</v>
      </c>
      <c r="AC1264" s="8" t="str">
        <v>2026-09-29 至 2026-10-17</v>
      </c>
      <c r="AD1264" s="8" t="str">
        <v>2026-09-29、2026-09-30、2026-10-01、2026-10-02、2026-10-03、2026-10-04、2026-10-05、2026-10-08、2026-10-09、2026-10-10、2026-10-11、2026-10-14、2026-10-15、2026-10-17</v>
      </c>
      <c r="AE1264" s="8" t="str">
        <v>2026-10-06 大促；2026-10-07 大促；2026-10-12 有记录的停售日；2026-10-13 有记录的停售日；2026-10-16 有记录的停售日</v>
      </c>
      <c r="AF1264" s="8" t="n">
        <v>0</v>
      </c>
      <c r="AG1264" s="8" t="n">
        <v>0</v>
      </c>
      <c r="AH1264" s="8" t="n">
        <v>14</v>
      </c>
      <c r="AI1264" s="8" t="str">
        <v>2026-09-13 至 2026-10-17</v>
      </c>
      <c r="AJ1264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4" s="8" t="str">
        <v>2026-10-06 大促；2026-10-07 大促；2026-10-12 有记录的停售日；2026-10-13 有记录的停售日；2026-10-16 有记录的停售日</v>
      </c>
      <c r="AL1264" s="8" t="n">
        <v>0</v>
      </c>
      <c r="AM1264" s="8" t="n">
        <v>0</v>
      </c>
      <c r="AN1264" s="8" t="n">
        <v>30</v>
      </c>
      <c r="AO1264" s="8" t="str">
        <v>1S01 / 黄色PU / 13120</v>
      </c>
      <c r="AP1264" s="11" t="n">
        <v>0.8729500662042875</v>
      </c>
      <c r="AQ1264" s="11" t="n">
        <v>0.9355747145678367</v>
      </c>
      <c r="AR1264" s="11" t="n">
        <v>1.135973589331194</v>
      </c>
      <c r="AS1264" s="11" t="n">
        <f>IF(AND(COUNT(I1264:K1264,AP1264:AR1264)=6,MIN(AP1264:AR1264)&gt;0),I1264/7/AP1264*0.5+J1264/14/AQ1264*0.3+K1264/30/AR1264*0.2,"")</f>
        <v>0</v>
      </c>
      <c r="AT1264" s="8" t="n">
        <v>0</v>
      </c>
      <c r="AU1264" s="8" t="n">
        <v>0</v>
      </c>
      <c r="AV1264" s="8" t="n">
        <v>85</v>
      </c>
      <c r="AW1264" s="11" t="n">
        <f>IF(AND(COUNT(AT1264:AV1264)=3,AT1264&gt;=AU1264,AU1264&gt;=0,AV1264&gt;0),(AT1264-AU1264)/AV1264,"")</f>
        <v>0</v>
      </c>
      <c r="AX1264" s="8" t="n">
        <v>0</v>
      </c>
      <c r="AY1264" s="8" t="n">
        <v>0</v>
      </c>
      <c r="AZ1264" s="8" t="n">
        <v>175</v>
      </c>
      <c r="BA1264" s="11" t="n">
        <f>IF(AND(COUNT(AX1264:AZ1264)=3,AX1264&gt;=AY1264,AY1264&gt;=0,AZ1264&gt;0),(AX1264-AY1264)/AZ1264,"")</f>
        <v>0</v>
      </c>
      <c r="BB1264" s="8" t="n">
        <f>IF(COUNT(AS1264,AW1264,BA1264)=3,1,0)</f>
        <v>1</v>
      </c>
      <c r="BC1264" s="11" t="n">
        <f>IF(SUMIF($AO$11:$AO$1309,AO1264,$BB$11:$BB$1309)=COUNTIF($AO$11:$AO$1309,AO1264),SUMIF($AO$11:$AO$1309,AO1264,$AS$11:$AS$1309),"")</f>
        <v>0</v>
      </c>
      <c r="BD1264" s="11" t="n">
        <f>IF(SUMIF($AO$11:$AO$1309,AO1264,$BB$11:$BB$1309)=COUNTIF($AO$11:$AO$1309,AO1264),SUMIF($AO$11:$AO$1309,AO1264,$AW$11:$AW$1309),"")</f>
        <v>0</v>
      </c>
      <c r="BE1264" s="11" t="n">
        <f>IF(SUMIF($AO$11:$AO$1309,AO1264,$BB$11:$BB$1309)=COUNTIF($AO$11:$AO$1309,AO1264),SUMIF($AO$11:$AO$1309,AO1264,$BA$11:$BA$1309),"")</f>
        <v>0</v>
      </c>
      <c r="BF1264" s="12" t="n">
        <f>IF(COUNT(BD1264:BE1264)&lt;&gt;2,"",IF(AND(BD1264&gt;0,BE1264&gt;0),0.7*AW1264/BD1264+0.3*BA1264/BE1264,IF(BD1264&gt;0,AW1264/BD1264,IF(BE1264&gt;0,BA1264/BE1264,IF(AND(ISNUMBER(BH1264),BH1264=0),0,"")))))</f>
        <v>0</v>
      </c>
      <c r="BG1264" s="11" t="n">
        <f>IF(AND(COUNT(BN1264:BU1264)=8,MIN(BN1264:BU1264)&gt;=0),SUMPRODUCT(BN1264:BQ1264,BR1264:BU1264),"")</f>
        <v>63.935996265425516</v>
      </c>
      <c r="BH1264" s="11" t="n">
        <f>IF(COUNT(BC1264,BG1264)=2,BC1264*BG1264,"")</f>
        <v>0</v>
      </c>
      <c r="BI1264" s="11" t="n">
        <f>IF(ISNUMBER(CI1264),CI1264,"")</f>
        <v>0</v>
      </c>
      <c r="BJ1264" s="8" t="str">
        <v>近180天本色销量0双（＜90），无有效新采购，请运营判断</v>
      </c>
      <c r="BK1264" s="8" t="str">
        <v>90天：2026-07-20 至 2026-10-17；180天：2026-04-21 至 2026-10-17</v>
      </c>
      <c r="BL1264" s="8" t="str">
        <v>90天：2026-10-06、2026-10-07、2026-10-12、2026-10-13、2026-10-16；180天：2026-10-06、2026-10-07、2026-10-12、2026-10-13、2026-10-16</v>
      </c>
      <c r="BM1264" s="8" t="str">
        <v>2026-10：12天 × 0.8729500662042875；2026-11：30天 × 0.8057375774163482；2026-12：31天 × 0.532550303142279；2027-01：17天 × 0.7517299265337036</v>
      </c>
      <c r="BN1264" s="11" t="n">
        <v>0.8729500662042875</v>
      </c>
      <c r="BO1264" s="11" t="n">
        <v>0.8057375774163482</v>
      </c>
      <c r="BP1264" s="11" t="n">
        <v>0.532550303142279</v>
      </c>
      <c r="BQ1264" s="11" t="n">
        <v>0.7517299265337036</v>
      </c>
      <c r="BR1264" s="8" t="n">
        <v>12</v>
      </c>
      <c r="BS1264" s="8" t="n">
        <v>30</v>
      </c>
      <c r="BT1264" s="8" t="n">
        <v>31</v>
      </c>
      <c r="BU1264" s="8" t="n">
        <v>17</v>
      </c>
      <c r="BV1264" s="11" t="n">
        <f>IF(COUNT(BC1264,BF1264)=2,BC1264*BF1264,"")</f>
        <v>0</v>
      </c>
      <c r="BW1264" s="11" t="n">
        <f>IF(ISNUMBER(BN1264),BN1264,"")</f>
        <v>0.8729500662042875</v>
      </c>
      <c r="BX1264" s="14" t="n">
        <f>IF(ISNUMBER(BR1264),BR1264,"")</f>
        <v>12</v>
      </c>
      <c r="BY1264" s="13" t="n">
        <f>IF(AND(COUNT(BV1264,BW1264,BX1264)=3,MIN(BV1264,BW1264,BX1264)&gt;=0),BV1264*BW1264*BX1264,"")</f>
        <v>0</v>
      </c>
      <c r="BZ1264" s="11" t="n">
        <f>IF(ISNUMBER(BO1264),BO1264,"")</f>
        <v>0.8057375774163482</v>
      </c>
      <c r="CA1264" s="14" t="n">
        <f>IF(ISNUMBER(BS1264),BS1264,"")</f>
        <v>30</v>
      </c>
      <c r="CB1264" s="13" t="n">
        <f>IF(AND(COUNT(BV1264,BZ1264,CA1264)=3,MIN(BV1264,BZ1264,CA1264)&gt;=0),BV1264*BZ1264*CA1264,"")</f>
        <v>0</v>
      </c>
      <c r="CC1264" s="11" t="n">
        <f>IF(ISNUMBER(BP1264),BP1264,"")</f>
        <v>0.532550303142279</v>
      </c>
      <c r="CD1264" s="14" t="n">
        <f>IF(ISNUMBER(BT1264),BT1264,"")</f>
        <v>31</v>
      </c>
      <c r="CE1264" s="13" t="n">
        <f>IF(AND(COUNT(BV1264,CC1264,CD1264)=3,MIN(BV1264,CC1264,CD1264)&gt;=0),BV1264*CC1264*CD1264,"")</f>
        <v>0</v>
      </c>
      <c r="CF1264" s="11" t="n">
        <f>IF(ISNUMBER(BQ1264),BQ1264,"")</f>
        <v>0.7517299265337036</v>
      </c>
      <c r="CG1264" s="14" t="n">
        <f>IF(ISNUMBER(BU1264),BU1264,"")</f>
        <v>17</v>
      </c>
      <c r="CH1264" s="13" t="n">
        <f>IF(AND(COUNT(BV1264,CF1264,CG1264)=3,MIN(BV1264,CF1264,CG1264)&gt;=0),BV1264*CF1264*CG1264,"")</f>
        <v>0</v>
      </c>
      <c r="CI1264" s="13" t="n">
        <f>IF(COUNT(BY1264,CB1264,CE1264,CH1264)=4,SUM(BY1264,CB1264,CE1264,CH1264),"")</f>
        <v>0</v>
      </c>
    </row>
    <row r="1265" ht="72" customHeight="1">
      <c r="A1265" s="16" t="str">
        <v>1S01-YL-41</v>
      </c>
      <c r="B1265" s="16" t="str">
        <v>1店-MUSSHOE-US</v>
      </c>
      <c r="C1265" s="16" t="str">
        <v>徐新怡</v>
      </c>
      <c r="D1265" s="26" t="str">
        <f>IF(NOT(ISNUMBER(E1265)),"",IF(OR(E1265&lt;=0,L1265=0),0,IF(OR(NOT(ISNUMBER(F1265)),F1265&lt;0),"",MIN(E1265,INT(F1265)))))</f>
      </c>
      <c r="E1265" s="27" t="str">
        <f>IF(OR(NOT(ISNUMBER(L1265)),COUNT(M1265:O1265)&lt;&gt;3,MIN(M1265:O1265)&lt;0),"",ROUNDUP(ROUND(BI1265-SUM(M1265:O1265),10),0))</f>
      </c>
      <c r="F1265" s="28"/>
      <c r="G1265" s="28" t="str">
        <f>IF(AND(ISNUMBER(D1265),ISNUMBER(E1265)),IF(OR(E1265&lt;=0,L1265=0),0,E1265-D1265),"")</f>
      </c>
      <c r="H1265" s="16" t="str">
        <f>IF(NOT(ISNUMBER(E1265)),"销量或海外库存待补",IF(OR(E1265&lt;=0,L1265=0),IF(L1265=0,"零日销，本批不发","本批无需补货"),IF(NOT(ISNUMBER(D1265)),"国内库存待补",IF(D1265=0,"国内无可用库存",IF(G1265&gt;0,"先发国内现货","按建议量发货")))))</f>
        <v>销量或海外库存待补</v>
      </c>
      <c r="I1265" s="28" t="n">
        <f>IF(AND(COUNT(Z1265,AA1265,AB1265)=3,Z1265&gt;=AA1265,AA1265&gt;=0,AB1265=7),Z1265-AA1265,"")</f>
        <v>0</v>
      </c>
      <c r="J1265" s="28" t="n">
        <f>IF(AND(COUNT(AF1265,AG1265,AH1265)=3,AF1265&gt;=AG1265,AG1265&gt;=0,AH1265=14),AF1265-AG1265,"")</f>
        <v>0</v>
      </c>
      <c r="K1265" s="28" t="n">
        <f>IF(AND(COUNT(AL1265,AM1265,AN1265)=3,AL1265&gt;=AM1265,AM1265&gt;=0,AN1265=30),AL1265-AM1265,"")</f>
        <v>0</v>
      </c>
      <c r="L1265" s="29" t="n">
        <f>IF(ISNUMBER(BI1265),BI1265/90,"")</f>
        <v>0</v>
      </c>
      <c r="M1265" s="28"/>
      <c r="N1265" s="28"/>
      <c r="O1265" s="28"/>
      <c r="P1265" s="30" t="str">
        <f>IF(AND(ISNUMBER(L1265),L1265&gt;0,COUNT(M1265:O1265)=3,MIN(M1265:O1265)&gt;=0),SUM(M1265:O1265)/L1265,"")</f>
      </c>
      <c r="Q1265" s="16" t="str">
        <v>按本SKU唯一未删除Listing店铺核实</v>
      </c>
      <c r="R1265" s="16" t="str">
        <v>未匹配</v>
      </c>
      <c r="S1265" s="16" t="str">
        <v>停售</v>
      </c>
      <c r="T1265" s="16" t="str">
        <v>1S01</v>
      </c>
      <c r="U1265" s="16" t="str">
        <v>黄色</v>
      </c>
      <c r="V1265" s="16" t="n">
        <v>10</v>
      </c>
      <c r="W1265" s="8" t="str">
        <v>2026-10-08 至 2026-10-17</v>
      </c>
      <c r="X1265" s="8" t="str">
        <v>2026-10-08、2026-10-09、2026-10-10、2026-10-11、2026-10-14、2026-10-15、2026-10-17</v>
      </c>
      <c r="Y1265" s="8" t="str">
        <v>2026-10-12 有记录的停售日；2026-10-13 有记录的停售日；2026-10-16 有记录的停售日</v>
      </c>
      <c r="Z1265" s="8" t="n">
        <v>0</v>
      </c>
      <c r="AA1265" s="8" t="n">
        <v>0</v>
      </c>
      <c r="AB1265" s="8" t="n">
        <v>7</v>
      </c>
      <c r="AC1265" s="8" t="str">
        <v>2026-09-29 至 2026-10-17</v>
      </c>
      <c r="AD1265" s="8" t="str">
        <v>2026-09-29、2026-09-30、2026-10-01、2026-10-02、2026-10-03、2026-10-04、2026-10-05、2026-10-08、2026-10-09、2026-10-10、2026-10-11、2026-10-14、2026-10-15、2026-10-17</v>
      </c>
      <c r="AE1265" s="8" t="str">
        <v>2026-10-06 大促；2026-10-07 大促；2026-10-12 有记录的停售日；2026-10-13 有记录的停售日；2026-10-16 有记录的停售日</v>
      </c>
      <c r="AF1265" s="8" t="n">
        <v>0</v>
      </c>
      <c r="AG1265" s="8" t="n">
        <v>0</v>
      </c>
      <c r="AH1265" s="8" t="n">
        <v>14</v>
      </c>
      <c r="AI1265" s="8" t="str">
        <v>2026-09-13 至 2026-10-17</v>
      </c>
      <c r="AJ1265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5" s="8" t="str">
        <v>2026-10-06 大促；2026-10-07 大促；2026-10-12 有记录的停售日；2026-10-13 有记录的停售日；2026-10-16 有记录的停售日</v>
      </c>
      <c r="AL1265" s="8" t="n">
        <v>0</v>
      </c>
      <c r="AM1265" s="8" t="n">
        <v>0</v>
      </c>
      <c r="AN1265" s="8" t="n">
        <v>30</v>
      </c>
      <c r="AO1265" s="8" t="str">
        <v>1S01 / 黄色PU / 13120</v>
      </c>
      <c r="AP1265" s="11" t="n">
        <v>0.8729500662042875</v>
      </c>
      <c r="AQ1265" s="11" t="n">
        <v>0.9355747145678367</v>
      </c>
      <c r="AR1265" s="11" t="n">
        <v>1.135973589331194</v>
      </c>
      <c r="AS1265" s="11" t="n">
        <f>IF(AND(COUNT(I1265:K1265,AP1265:AR1265)=6,MIN(AP1265:AR1265)&gt;0),I1265/7/AP1265*0.5+J1265/14/AQ1265*0.3+K1265/30/AR1265*0.2,"")</f>
        <v>0</v>
      </c>
      <c r="AT1265" s="8" t="n">
        <v>0</v>
      </c>
      <c r="AU1265" s="8" t="n">
        <v>0</v>
      </c>
      <c r="AV1265" s="8" t="n">
        <v>85</v>
      </c>
      <c r="AW1265" s="11" t="n">
        <f>IF(AND(COUNT(AT1265:AV1265)=3,AT1265&gt;=AU1265,AU1265&gt;=0,AV1265&gt;0),(AT1265-AU1265)/AV1265,"")</f>
        <v>0</v>
      </c>
      <c r="AX1265" s="8" t="n">
        <v>0</v>
      </c>
      <c r="AY1265" s="8" t="n">
        <v>0</v>
      </c>
      <c r="AZ1265" s="8" t="n">
        <v>175</v>
      </c>
      <c r="BA1265" s="11" t="n">
        <f>IF(AND(COUNT(AX1265:AZ1265)=3,AX1265&gt;=AY1265,AY1265&gt;=0,AZ1265&gt;0),(AX1265-AY1265)/AZ1265,"")</f>
        <v>0</v>
      </c>
      <c r="BB1265" s="8" t="n">
        <f>IF(COUNT(AS1265,AW1265,BA1265)=3,1,0)</f>
        <v>1</v>
      </c>
      <c r="BC1265" s="11" t="n">
        <f>IF(SUMIF($AO$11:$AO$1309,AO1265,$BB$11:$BB$1309)=COUNTIF($AO$11:$AO$1309,AO1265),SUMIF($AO$11:$AO$1309,AO1265,$AS$11:$AS$1309),"")</f>
        <v>0</v>
      </c>
      <c r="BD1265" s="11" t="n">
        <f>IF(SUMIF($AO$11:$AO$1309,AO1265,$BB$11:$BB$1309)=COUNTIF($AO$11:$AO$1309,AO1265),SUMIF($AO$11:$AO$1309,AO1265,$AW$11:$AW$1309),"")</f>
        <v>0</v>
      </c>
      <c r="BE1265" s="11" t="n">
        <f>IF(SUMIF($AO$11:$AO$1309,AO1265,$BB$11:$BB$1309)=COUNTIF($AO$11:$AO$1309,AO1265),SUMIF($AO$11:$AO$1309,AO1265,$BA$11:$BA$1309),"")</f>
        <v>0</v>
      </c>
      <c r="BF1265" s="12" t="n">
        <f>IF(COUNT(BD1265:BE1265)&lt;&gt;2,"",IF(AND(BD1265&gt;0,BE1265&gt;0),0.7*AW1265/BD1265+0.3*BA1265/BE1265,IF(BD1265&gt;0,AW1265/BD1265,IF(BE1265&gt;0,BA1265/BE1265,IF(AND(ISNUMBER(BH1265),BH1265=0),0,"")))))</f>
        <v>0</v>
      </c>
      <c r="BG1265" s="11" t="n">
        <f>IF(AND(COUNT(BN1265:BU1265)=8,MIN(BN1265:BU1265)&gt;=0),SUMPRODUCT(BN1265:BQ1265,BR1265:BU1265),"")</f>
        <v>63.935996265425516</v>
      </c>
      <c r="BH1265" s="11" t="n">
        <f>IF(COUNT(BC1265,BG1265)=2,BC1265*BG1265,"")</f>
        <v>0</v>
      </c>
      <c r="BI1265" s="11" t="n">
        <f>IF(ISNUMBER(CI1265),CI1265,"")</f>
        <v>0</v>
      </c>
      <c r="BJ1265" s="8" t="str">
        <v>近180天本色销量0双（＜90），无有效新采购，请运营判断</v>
      </c>
      <c r="BK1265" s="8" t="str">
        <v>90天：2026-07-20 至 2026-10-17；180天：2026-04-21 至 2026-10-17</v>
      </c>
      <c r="BL1265" s="8" t="str">
        <v>90天：2026-10-06、2026-10-07、2026-10-12、2026-10-13、2026-10-16；180天：2026-10-06、2026-10-07、2026-10-12、2026-10-13、2026-10-16</v>
      </c>
      <c r="BM1265" s="8" t="str">
        <v>2026-10：12天 × 0.8729500662042875；2026-11：30天 × 0.8057375774163482；2026-12：31天 × 0.532550303142279；2027-01：17天 × 0.7517299265337036</v>
      </c>
      <c r="BN1265" s="11" t="n">
        <v>0.8729500662042875</v>
      </c>
      <c r="BO1265" s="11" t="n">
        <v>0.8057375774163482</v>
      </c>
      <c r="BP1265" s="11" t="n">
        <v>0.532550303142279</v>
      </c>
      <c r="BQ1265" s="11" t="n">
        <v>0.7517299265337036</v>
      </c>
      <c r="BR1265" s="8" t="n">
        <v>12</v>
      </c>
      <c r="BS1265" s="8" t="n">
        <v>30</v>
      </c>
      <c r="BT1265" s="8" t="n">
        <v>31</v>
      </c>
      <c r="BU1265" s="8" t="n">
        <v>17</v>
      </c>
      <c r="BV1265" s="11" t="n">
        <f>IF(COUNT(BC1265,BF1265)=2,BC1265*BF1265,"")</f>
        <v>0</v>
      </c>
      <c r="BW1265" s="11" t="n">
        <f>IF(ISNUMBER(BN1265),BN1265,"")</f>
        <v>0.8729500662042875</v>
      </c>
      <c r="BX1265" s="14" t="n">
        <f>IF(ISNUMBER(BR1265),BR1265,"")</f>
        <v>12</v>
      </c>
      <c r="BY1265" s="13" t="n">
        <f>IF(AND(COUNT(BV1265,BW1265,BX1265)=3,MIN(BV1265,BW1265,BX1265)&gt;=0),BV1265*BW1265*BX1265,"")</f>
        <v>0</v>
      </c>
      <c r="BZ1265" s="11" t="n">
        <f>IF(ISNUMBER(BO1265),BO1265,"")</f>
        <v>0.8057375774163482</v>
      </c>
      <c r="CA1265" s="14" t="n">
        <f>IF(ISNUMBER(BS1265),BS1265,"")</f>
        <v>30</v>
      </c>
      <c r="CB1265" s="13" t="n">
        <f>IF(AND(COUNT(BV1265,BZ1265,CA1265)=3,MIN(BV1265,BZ1265,CA1265)&gt;=0),BV1265*BZ1265*CA1265,"")</f>
        <v>0</v>
      </c>
      <c r="CC1265" s="11" t="n">
        <f>IF(ISNUMBER(BP1265),BP1265,"")</f>
        <v>0.532550303142279</v>
      </c>
      <c r="CD1265" s="14" t="n">
        <f>IF(ISNUMBER(BT1265),BT1265,"")</f>
        <v>31</v>
      </c>
      <c r="CE1265" s="13" t="n">
        <f>IF(AND(COUNT(BV1265,CC1265,CD1265)=3,MIN(BV1265,CC1265,CD1265)&gt;=0),BV1265*CC1265*CD1265,"")</f>
        <v>0</v>
      </c>
      <c r="CF1265" s="11" t="n">
        <f>IF(ISNUMBER(BQ1265),BQ1265,"")</f>
        <v>0.7517299265337036</v>
      </c>
      <c r="CG1265" s="14" t="n">
        <f>IF(ISNUMBER(BU1265),BU1265,"")</f>
        <v>17</v>
      </c>
      <c r="CH1265" s="13" t="n">
        <f>IF(AND(COUNT(BV1265,CF1265,CG1265)=3,MIN(BV1265,CF1265,CG1265)&gt;=0),BV1265*CF1265*CG1265,"")</f>
        <v>0</v>
      </c>
      <c r="CI1265" s="13" t="n">
        <f>IF(COUNT(BY1265,CB1265,CE1265,CH1265)=4,SUM(BY1265,CB1265,CE1265,CH1265),"")</f>
        <v>0</v>
      </c>
    </row>
    <row r="1266" ht="72" customHeight="1">
      <c r="A1266" s="16" t="str">
        <v>1S01-YL-41.5</v>
      </c>
      <c r="B1266" s="16" t="str">
        <v>1店-MUSSHOE-US</v>
      </c>
      <c r="C1266" s="16" t="str">
        <v>徐新怡</v>
      </c>
      <c r="D1266" s="26" t="str">
        <f>IF(NOT(ISNUMBER(E1266)),"",IF(OR(E1266&lt;=0,L1266=0),0,IF(OR(NOT(ISNUMBER(F1266)),F1266&lt;0),"",MIN(E1266,INT(F1266)))))</f>
      </c>
      <c r="E1266" s="27" t="str">
        <f>IF(OR(NOT(ISNUMBER(L1266)),COUNT(M1266:O1266)&lt;&gt;3,MIN(M1266:O1266)&lt;0),"",ROUNDUP(ROUND(BI1266-SUM(M1266:O1266),10),0))</f>
      </c>
      <c r="F1266" s="28"/>
      <c r="G1266" s="28" t="str">
        <f>IF(AND(ISNUMBER(D1266),ISNUMBER(E1266)),IF(OR(E1266&lt;=0,L1266=0),0,E1266-D1266),"")</f>
      </c>
      <c r="H1266" s="16" t="str">
        <f>IF(NOT(ISNUMBER(E1266)),"销量或海外库存待补",IF(OR(E1266&lt;=0,L1266=0),IF(L1266=0,"零日销，本批不发","本批无需补货"),IF(NOT(ISNUMBER(D1266)),"国内库存待补",IF(D1266=0,"国内无可用库存",IF(G1266&gt;0,"先发国内现货","按建议量发货")))))</f>
        <v>销量或海外库存待补</v>
      </c>
      <c r="I1266" s="28" t="n">
        <f>IF(AND(COUNT(Z1266,AA1266,AB1266)=3,Z1266&gt;=AA1266,AA1266&gt;=0,AB1266=7),Z1266-AA1266,"")</f>
        <v>0</v>
      </c>
      <c r="J1266" s="28" t="n">
        <f>IF(AND(COUNT(AF1266,AG1266,AH1266)=3,AF1266&gt;=AG1266,AG1266&gt;=0,AH1266=14),AF1266-AG1266,"")</f>
        <v>0</v>
      </c>
      <c r="K1266" s="28" t="n">
        <f>IF(AND(COUNT(AL1266,AM1266,AN1266)=3,AL1266&gt;=AM1266,AM1266&gt;=0,AN1266=30),AL1266-AM1266,"")</f>
        <v>0</v>
      </c>
      <c r="L1266" s="29" t="n">
        <f>IF(ISNUMBER(BI1266),BI1266/90,"")</f>
        <v>0</v>
      </c>
      <c r="M1266" s="28"/>
      <c r="N1266" s="28"/>
      <c r="O1266" s="28"/>
      <c r="P1266" s="30" t="str">
        <f>IF(AND(ISNUMBER(L1266),L1266&gt;0,COUNT(M1266:O1266)=3,MIN(M1266:O1266)&gt;=0),SUM(M1266:O1266)/L1266,"")</f>
      </c>
      <c r="Q1266" s="16" t="str">
        <v>按本SKU唯一未删除Listing店铺核实</v>
      </c>
      <c r="R1266" s="16" t="str">
        <v>未匹配</v>
      </c>
      <c r="S1266" s="16" t="str">
        <v>停售</v>
      </c>
      <c r="T1266" s="16" t="str">
        <v>1S01</v>
      </c>
      <c r="U1266" s="16" t="str">
        <v>黄色</v>
      </c>
      <c r="V1266" s="16" t="n">
        <v>10.5</v>
      </c>
      <c r="W1266" s="8" t="str">
        <v>2026-10-08 至 2026-10-17</v>
      </c>
      <c r="X1266" s="8" t="str">
        <v>2026-10-08、2026-10-09、2026-10-10、2026-10-11、2026-10-14、2026-10-15、2026-10-17</v>
      </c>
      <c r="Y1266" s="8" t="str">
        <v>2026-10-12 有记录的停售日；2026-10-13 有记录的停售日；2026-10-16 有记录的停售日</v>
      </c>
      <c r="Z1266" s="8" t="n">
        <v>0</v>
      </c>
      <c r="AA1266" s="8" t="n">
        <v>0</v>
      </c>
      <c r="AB1266" s="8" t="n">
        <v>7</v>
      </c>
      <c r="AC1266" s="8" t="str">
        <v>2026-09-29 至 2026-10-17</v>
      </c>
      <c r="AD1266" s="8" t="str">
        <v>2026-09-29、2026-09-30、2026-10-01、2026-10-02、2026-10-03、2026-10-04、2026-10-05、2026-10-08、2026-10-09、2026-10-10、2026-10-11、2026-10-14、2026-10-15、2026-10-17</v>
      </c>
      <c r="AE1266" s="8" t="str">
        <v>2026-10-06 大促；2026-10-07 大促；2026-10-12 有记录的停售日；2026-10-13 有记录的停售日；2026-10-16 有记录的停售日</v>
      </c>
      <c r="AF1266" s="8" t="n">
        <v>0</v>
      </c>
      <c r="AG1266" s="8" t="n">
        <v>0</v>
      </c>
      <c r="AH1266" s="8" t="n">
        <v>14</v>
      </c>
      <c r="AI1266" s="8" t="str">
        <v>2026-09-13 至 2026-10-17</v>
      </c>
      <c r="AJ1266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6" s="8" t="str">
        <v>2026-10-06 大促；2026-10-07 大促；2026-10-12 有记录的停售日；2026-10-13 有记录的停售日；2026-10-16 有记录的停售日</v>
      </c>
      <c r="AL1266" s="8" t="n">
        <v>0</v>
      </c>
      <c r="AM1266" s="8" t="n">
        <v>0</v>
      </c>
      <c r="AN1266" s="8" t="n">
        <v>30</v>
      </c>
      <c r="AO1266" s="8" t="str">
        <v>1S01 / 黄色PU / 13120</v>
      </c>
      <c r="AP1266" s="11" t="n">
        <v>0.8729500662042875</v>
      </c>
      <c r="AQ1266" s="11" t="n">
        <v>0.9355747145678367</v>
      </c>
      <c r="AR1266" s="11" t="n">
        <v>1.135973589331194</v>
      </c>
      <c r="AS1266" s="11" t="n">
        <f>IF(AND(COUNT(I1266:K1266,AP1266:AR1266)=6,MIN(AP1266:AR1266)&gt;0),I1266/7/AP1266*0.5+J1266/14/AQ1266*0.3+K1266/30/AR1266*0.2,"")</f>
        <v>0</v>
      </c>
      <c r="AT1266" s="8" t="n">
        <v>0</v>
      </c>
      <c r="AU1266" s="8" t="n">
        <v>0</v>
      </c>
      <c r="AV1266" s="8" t="n">
        <v>85</v>
      </c>
      <c r="AW1266" s="11" t="n">
        <f>IF(AND(COUNT(AT1266:AV1266)=3,AT1266&gt;=AU1266,AU1266&gt;=0,AV1266&gt;0),(AT1266-AU1266)/AV1266,"")</f>
        <v>0</v>
      </c>
      <c r="AX1266" s="8" t="n">
        <v>0</v>
      </c>
      <c r="AY1266" s="8" t="n">
        <v>0</v>
      </c>
      <c r="AZ1266" s="8" t="n">
        <v>175</v>
      </c>
      <c r="BA1266" s="11" t="n">
        <f>IF(AND(COUNT(AX1266:AZ1266)=3,AX1266&gt;=AY1266,AY1266&gt;=0,AZ1266&gt;0),(AX1266-AY1266)/AZ1266,"")</f>
        <v>0</v>
      </c>
      <c r="BB1266" s="8" t="n">
        <f>IF(COUNT(AS1266,AW1266,BA1266)=3,1,0)</f>
        <v>1</v>
      </c>
      <c r="BC1266" s="11" t="n">
        <f>IF(SUMIF($AO$11:$AO$1309,AO1266,$BB$11:$BB$1309)=COUNTIF($AO$11:$AO$1309,AO1266),SUMIF($AO$11:$AO$1309,AO1266,$AS$11:$AS$1309),"")</f>
        <v>0</v>
      </c>
      <c r="BD1266" s="11" t="n">
        <f>IF(SUMIF($AO$11:$AO$1309,AO1266,$BB$11:$BB$1309)=COUNTIF($AO$11:$AO$1309,AO1266),SUMIF($AO$11:$AO$1309,AO1266,$AW$11:$AW$1309),"")</f>
        <v>0</v>
      </c>
      <c r="BE1266" s="11" t="n">
        <f>IF(SUMIF($AO$11:$AO$1309,AO1266,$BB$11:$BB$1309)=COUNTIF($AO$11:$AO$1309,AO1266),SUMIF($AO$11:$AO$1309,AO1266,$BA$11:$BA$1309),"")</f>
        <v>0</v>
      </c>
      <c r="BF1266" s="12" t="n">
        <f>IF(COUNT(BD1266:BE1266)&lt;&gt;2,"",IF(AND(BD1266&gt;0,BE1266&gt;0),0.7*AW1266/BD1266+0.3*BA1266/BE1266,IF(BD1266&gt;0,AW1266/BD1266,IF(BE1266&gt;0,BA1266/BE1266,IF(AND(ISNUMBER(BH1266),BH1266=0),0,"")))))</f>
        <v>0</v>
      </c>
      <c r="BG1266" s="11" t="n">
        <f>IF(AND(COUNT(BN1266:BU1266)=8,MIN(BN1266:BU1266)&gt;=0),SUMPRODUCT(BN1266:BQ1266,BR1266:BU1266),"")</f>
        <v>63.935996265425516</v>
      </c>
      <c r="BH1266" s="11" t="n">
        <f>IF(COUNT(BC1266,BG1266)=2,BC1266*BG1266,"")</f>
        <v>0</v>
      </c>
      <c r="BI1266" s="11" t="n">
        <f>IF(ISNUMBER(CI1266),CI1266,"")</f>
        <v>0</v>
      </c>
      <c r="BJ1266" s="8" t="str">
        <v>近180天本色销量0双（＜90），无有效新采购，请运营判断</v>
      </c>
      <c r="BK1266" s="8" t="str">
        <v>90天：2026-07-20 至 2026-10-17；180天：2026-04-21 至 2026-10-17</v>
      </c>
      <c r="BL1266" s="8" t="str">
        <v>90天：2026-10-06、2026-10-07、2026-10-12、2026-10-13、2026-10-16；180天：2026-10-06、2026-10-07、2026-10-12、2026-10-13、2026-10-16</v>
      </c>
      <c r="BM1266" s="8" t="str">
        <v>2026-10：12天 × 0.8729500662042875；2026-11：30天 × 0.8057375774163482；2026-12：31天 × 0.532550303142279；2027-01：17天 × 0.7517299265337036</v>
      </c>
      <c r="BN1266" s="11" t="n">
        <v>0.8729500662042875</v>
      </c>
      <c r="BO1266" s="11" t="n">
        <v>0.8057375774163482</v>
      </c>
      <c r="BP1266" s="11" t="n">
        <v>0.532550303142279</v>
      </c>
      <c r="BQ1266" s="11" t="n">
        <v>0.7517299265337036</v>
      </c>
      <c r="BR1266" s="8" t="n">
        <v>12</v>
      </c>
      <c r="BS1266" s="8" t="n">
        <v>30</v>
      </c>
      <c r="BT1266" s="8" t="n">
        <v>31</v>
      </c>
      <c r="BU1266" s="8" t="n">
        <v>17</v>
      </c>
      <c r="BV1266" s="11" t="n">
        <f>IF(COUNT(BC1266,BF1266)=2,BC1266*BF1266,"")</f>
        <v>0</v>
      </c>
      <c r="BW1266" s="11" t="n">
        <f>IF(ISNUMBER(BN1266),BN1266,"")</f>
        <v>0.8729500662042875</v>
      </c>
      <c r="BX1266" s="14" t="n">
        <f>IF(ISNUMBER(BR1266),BR1266,"")</f>
        <v>12</v>
      </c>
      <c r="BY1266" s="13" t="n">
        <f>IF(AND(COUNT(BV1266,BW1266,BX1266)=3,MIN(BV1266,BW1266,BX1266)&gt;=0),BV1266*BW1266*BX1266,"")</f>
        <v>0</v>
      </c>
      <c r="BZ1266" s="11" t="n">
        <f>IF(ISNUMBER(BO1266),BO1266,"")</f>
        <v>0.8057375774163482</v>
      </c>
      <c r="CA1266" s="14" t="n">
        <f>IF(ISNUMBER(BS1266),BS1266,"")</f>
        <v>30</v>
      </c>
      <c r="CB1266" s="13" t="n">
        <f>IF(AND(COUNT(BV1266,BZ1266,CA1266)=3,MIN(BV1266,BZ1266,CA1266)&gt;=0),BV1266*BZ1266*CA1266,"")</f>
        <v>0</v>
      </c>
      <c r="CC1266" s="11" t="n">
        <f>IF(ISNUMBER(BP1266),BP1266,"")</f>
        <v>0.532550303142279</v>
      </c>
      <c r="CD1266" s="14" t="n">
        <f>IF(ISNUMBER(BT1266),BT1266,"")</f>
        <v>31</v>
      </c>
      <c r="CE1266" s="13" t="n">
        <f>IF(AND(COUNT(BV1266,CC1266,CD1266)=3,MIN(BV1266,CC1266,CD1266)&gt;=0),BV1266*CC1266*CD1266,"")</f>
        <v>0</v>
      </c>
      <c r="CF1266" s="11" t="n">
        <f>IF(ISNUMBER(BQ1266),BQ1266,"")</f>
        <v>0.7517299265337036</v>
      </c>
      <c r="CG1266" s="14" t="n">
        <f>IF(ISNUMBER(BU1266),BU1266,"")</f>
        <v>17</v>
      </c>
      <c r="CH1266" s="13" t="n">
        <f>IF(AND(COUNT(BV1266,CF1266,CG1266)=3,MIN(BV1266,CF1266,CG1266)&gt;=0),BV1266*CF1266*CG1266,"")</f>
        <v>0</v>
      </c>
      <c r="CI1266" s="13" t="n">
        <f>IF(COUNT(BY1266,CB1266,CE1266,CH1266)=4,SUM(BY1266,CB1266,CE1266,CH1266),"")</f>
        <v>0</v>
      </c>
    </row>
    <row r="1267" ht="72" customHeight="1">
      <c r="A1267" s="16" t="str">
        <v>1S01-YL-42</v>
      </c>
      <c r="B1267" s="16" t="str">
        <v>1店-MUSSHOE-US</v>
      </c>
      <c r="C1267" s="16" t="str">
        <v>徐新怡</v>
      </c>
      <c r="D1267" s="26" t="str">
        <f>IF(NOT(ISNUMBER(E1267)),"",IF(OR(E1267&lt;=0,L1267=0),0,IF(OR(NOT(ISNUMBER(F1267)),F1267&lt;0),"",MIN(E1267,INT(F1267)))))</f>
      </c>
      <c r="E1267" s="27" t="str">
        <f>IF(OR(NOT(ISNUMBER(L1267)),COUNT(M1267:O1267)&lt;&gt;3,MIN(M1267:O1267)&lt;0),"",ROUNDUP(ROUND(BI1267-SUM(M1267:O1267),10),0))</f>
      </c>
      <c r="F1267" s="28"/>
      <c r="G1267" s="28" t="str">
        <f>IF(AND(ISNUMBER(D1267),ISNUMBER(E1267)),IF(OR(E1267&lt;=0,L1267=0),0,E1267-D1267),"")</f>
      </c>
      <c r="H1267" s="16" t="str">
        <f>IF(NOT(ISNUMBER(E1267)),"销量或海外库存待补",IF(OR(E1267&lt;=0,L1267=0),IF(L1267=0,"零日销，本批不发","本批无需补货"),IF(NOT(ISNUMBER(D1267)),"国内库存待补",IF(D1267=0,"国内无可用库存",IF(G1267&gt;0,"先发国内现货","按建议量发货")))))</f>
        <v>销量或海外库存待补</v>
      </c>
      <c r="I1267" s="28" t="n">
        <f>IF(AND(COUNT(Z1267,AA1267,AB1267)=3,Z1267&gt;=AA1267,AA1267&gt;=0,AB1267=7),Z1267-AA1267,"")</f>
        <v>0</v>
      </c>
      <c r="J1267" s="28" t="n">
        <f>IF(AND(COUNT(AF1267,AG1267,AH1267)=3,AF1267&gt;=AG1267,AG1267&gt;=0,AH1267=14),AF1267-AG1267,"")</f>
        <v>0</v>
      </c>
      <c r="K1267" s="28" t="n">
        <f>IF(AND(COUNT(AL1267,AM1267,AN1267)=3,AL1267&gt;=AM1267,AM1267&gt;=0,AN1267=30),AL1267-AM1267,"")</f>
        <v>0</v>
      </c>
      <c r="L1267" s="29" t="n">
        <f>IF(ISNUMBER(BI1267),BI1267/90,"")</f>
        <v>0</v>
      </c>
      <c r="M1267" s="28"/>
      <c r="N1267" s="28"/>
      <c r="O1267" s="28"/>
      <c r="P1267" s="30" t="str">
        <f>IF(AND(ISNUMBER(L1267),L1267&gt;0,COUNT(M1267:O1267)=3,MIN(M1267:O1267)&gt;=0),SUM(M1267:O1267)/L1267,"")</f>
      </c>
      <c r="Q1267" s="16" t="str">
        <v>按本SKU唯一未删除Listing店铺核实</v>
      </c>
      <c r="R1267" s="16" t="str">
        <v>未匹配</v>
      </c>
      <c r="S1267" s="16" t="str">
        <v>停售</v>
      </c>
      <c r="T1267" s="16" t="str">
        <v>1S01</v>
      </c>
      <c r="U1267" s="16" t="str">
        <v>黄色</v>
      </c>
      <c r="V1267" s="16" t="n">
        <v>11</v>
      </c>
      <c r="W1267" s="8" t="str">
        <v>2026-10-08 至 2026-10-17</v>
      </c>
      <c r="X1267" s="8" t="str">
        <v>2026-10-08、2026-10-09、2026-10-10、2026-10-11、2026-10-14、2026-10-15、2026-10-17</v>
      </c>
      <c r="Y1267" s="8" t="str">
        <v>2026-10-12 有记录的停售日；2026-10-13 有记录的停售日；2026-10-16 有记录的停售日</v>
      </c>
      <c r="Z1267" s="8" t="n">
        <v>0</v>
      </c>
      <c r="AA1267" s="8" t="n">
        <v>0</v>
      </c>
      <c r="AB1267" s="8" t="n">
        <v>7</v>
      </c>
      <c r="AC1267" s="8" t="str">
        <v>2026-09-29 至 2026-10-17</v>
      </c>
      <c r="AD1267" s="8" t="str">
        <v>2026-09-29、2026-09-30、2026-10-01、2026-10-02、2026-10-03、2026-10-04、2026-10-05、2026-10-08、2026-10-09、2026-10-10、2026-10-11、2026-10-14、2026-10-15、2026-10-17</v>
      </c>
      <c r="AE1267" s="8" t="str">
        <v>2026-10-06 大促；2026-10-07 大促；2026-10-12 有记录的停售日；2026-10-13 有记录的停售日；2026-10-16 有记录的停售日</v>
      </c>
      <c r="AF1267" s="8" t="n">
        <v>0</v>
      </c>
      <c r="AG1267" s="8" t="n">
        <v>0</v>
      </c>
      <c r="AH1267" s="8" t="n">
        <v>14</v>
      </c>
      <c r="AI1267" s="8" t="str">
        <v>2026-09-13 至 2026-10-17</v>
      </c>
      <c r="AJ1267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7" s="8" t="str">
        <v>2026-10-06 大促；2026-10-07 大促；2026-10-12 有记录的停售日；2026-10-13 有记录的停售日；2026-10-16 有记录的停售日</v>
      </c>
      <c r="AL1267" s="8" t="n">
        <v>0</v>
      </c>
      <c r="AM1267" s="8" t="n">
        <v>0</v>
      </c>
      <c r="AN1267" s="8" t="n">
        <v>30</v>
      </c>
      <c r="AO1267" s="8" t="str">
        <v>1S01 / 黄色PU / 13120</v>
      </c>
      <c r="AP1267" s="11" t="n">
        <v>0.8729500662042875</v>
      </c>
      <c r="AQ1267" s="11" t="n">
        <v>0.9355747145678367</v>
      </c>
      <c r="AR1267" s="11" t="n">
        <v>1.135973589331194</v>
      </c>
      <c r="AS1267" s="11" t="n">
        <f>IF(AND(COUNT(I1267:K1267,AP1267:AR1267)=6,MIN(AP1267:AR1267)&gt;0),I1267/7/AP1267*0.5+J1267/14/AQ1267*0.3+K1267/30/AR1267*0.2,"")</f>
        <v>0</v>
      </c>
      <c r="AT1267" s="8" t="n">
        <v>0</v>
      </c>
      <c r="AU1267" s="8" t="n">
        <v>0</v>
      </c>
      <c r="AV1267" s="8" t="n">
        <v>85</v>
      </c>
      <c r="AW1267" s="11" t="n">
        <f>IF(AND(COUNT(AT1267:AV1267)=3,AT1267&gt;=AU1267,AU1267&gt;=0,AV1267&gt;0),(AT1267-AU1267)/AV1267,"")</f>
        <v>0</v>
      </c>
      <c r="AX1267" s="8" t="n">
        <v>0</v>
      </c>
      <c r="AY1267" s="8" t="n">
        <v>0</v>
      </c>
      <c r="AZ1267" s="8" t="n">
        <v>175</v>
      </c>
      <c r="BA1267" s="11" t="n">
        <f>IF(AND(COUNT(AX1267:AZ1267)=3,AX1267&gt;=AY1267,AY1267&gt;=0,AZ1267&gt;0),(AX1267-AY1267)/AZ1267,"")</f>
        <v>0</v>
      </c>
      <c r="BB1267" s="8" t="n">
        <f>IF(COUNT(AS1267,AW1267,BA1267)=3,1,0)</f>
        <v>1</v>
      </c>
      <c r="BC1267" s="11" t="n">
        <f>IF(SUMIF($AO$11:$AO$1309,AO1267,$BB$11:$BB$1309)=COUNTIF($AO$11:$AO$1309,AO1267),SUMIF($AO$11:$AO$1309,AO1267,$AS$11:$AS$1309),"")</f>
        <v>0</v>
      </c>
      <c r="BD1267" s="11" t="n">
        <f>IF(SUMIF($AO$11:$AO$1309,AO1267,$BB$11:$BB$1309)=COUNTIF($AO$11:$AO$1309,AO1267),SUMIF($AO$11:$AO$1309,AO1267,$AW$11:$AW$1309),"")</f>
        <v>0</v>
      </c>
      <c r="BE1267" s="11" t="n">
        <f>IF(SUMIF($AO$11:$AO$1309,AO1267,$BB$11:$BB$1309)=COUNTIF($AO$11:$AO$1309,AO1267),SUMIF($AO$11:$AO$1309,AO1267,$BA$11:$BA$1309),"")</f>
        <v>0</v>
      </c>
      <c r="BF1267" s="12" t="n">
        <f>IF(COUNT(BD1267:BE1267)&lt;&gt;2,"",IF(AND(BD1267&gt;0,BE1267&gt;0),0.7*AW1267/BD1267+0.3*BA1267/BE1267,IF(BD1267&gt;0,AW1267/BD1267,IF(BE1267&gt;0,BA1267/BE1267,IF(AND(ISNUMBER(BH1267),BH1267=0),0,"")))))</f>
        <v>0</v>
      </c>
      <c r="BG1267" s="11" t="n">
        <f>IF(AND(COUNT(BN1267:BU1267)=8,MIN(BN1267:BU1267)&gt;=0),SUMPRODUCT(BN1267:BQ1267,BR1267:BU1267),"")</f>
        <v>63.935996265425516</v>
      </c>
      <c r="BH1267" s="11" t="n">
        <f>IF(COUNT(BC1267,BG1267)=2,BC1267*BG1267,"")</f>
        <v>0</v>
      </c>
      <c r="BI1267" s="11" t="n">
        <f>IF(ISNUMBER(CI1267),CI1267,"")</f>
        <v>0</v>
      </c>
      <c r="BJ1267" s="8" t="str">
        <v>近180天本色销量0双（＜90），无有效新采购，请运营判断</v>
      </c>
      <c r="BK1267" s="8" t="str">
        <v>90天：2026-07-20 至 2026-10-17；180天：2026-04-21 至 2026-10-17</v>
      </c>
      <c r="BL1267" s="8" t="str">
        <v>90天：2026-10-06、2026-10-07、2026-10-12、2026-10-13、2026-10-16；180天：2026-10-06、2026-10-07、2026-10-12、2026-10-13、2026-10-16</v>
      </c>
      <c r="BM1267" s="8" t="str">
        <v>2026-10：12天 × 0.8729500662042875；2026-11：30天 × 0.8057375774163482；2026-12：31天 × 0.532550303142279；2027-01：17天 × 0.7517299265337036</v>
      </c>
      <c r="BN1267" s="11" t="n">
        <v>0.8729500662042875</v>
      </c>
      <c r="BO1267" s="11" t="n">
        <v>0.8057375774163482</v>
      </c>
      <c r="BP1267" s="11" t="n">
        <v>0.532550303142279</v>
      </c>
      <c r="BQ1267" s="11" t="n">
        <v>0.7517299265337036</v>
      </c>
      <c r="BR1267" s="8" t="n">
        <v>12</v>
      </c>
      <c r="BS1267" s="8" t="n">
        <v>30</v>
      </c>
      <c r="BT1267" s="8" t="n">
        <v>31</v>
      </c>
      <c r="BU1267" s="8" t="n">
        <v>17</v>
      </c>
      <c r="BV1267" s="11" t="n">
        <f>IF(COUNT(BC1267,BF1267)=2,BC1267*BF1267,"")</f>
        <v>0</v>
      </c>
      <c r="BW1267" s="11" t="n">
        <f>IF(ISNUMBER(BN1267),BN1267,"")</f>
        <v>0.8729500662042875</v>
      </c>
      <c r="BX1267" s="14" t="n">
        <f>IF(ISNUMBER(BR1267),BR1267,"")</f>
        <v>12</v>
      </c>
      <c r="BY1267" s="13" t="n">
        <f>IF(AND(COUNT(BV1267,BW1267,BX1267)=3,MIN(BV1267,BW1267,BX1267)&gt;=0),BV1267*BW1267*BX1267,"")</f>
        <v>0</v>
      </c>
      <c r="BZ1267" s="11" t="n">
        <f>IF(ISNUMBER(BO1267),BO1267,"")</f>
        <v>0.8057375774163482</v>
      </c>
      <c r="CA1267" s="14" t="n">
        <f>IF(ISNUMBER(BS1267),BS1267,"")</f>
        <v>30</v>
      </c>
      <c r="CB1267" s="13" t="n">
        <f>IF(AND(COUNT(BV1267,BZ1267,CA1267)=3,MIN(BV1267,BZ1267,CA1267)&gt;=0),BV1267*BZ1267*CA1267,"")</f>
        <v>0</v>
      </c>
      <c r="CC1267" s="11" t="n">
        <f>IF(ISNUMBER(BP1267),BP1267,"")</f>
        <v>0.532550303142279</v>
      </c>
      <c r="CD1267" s="14" t="n">
        <f>IF(ISNUMBER(BT1267),BT1267,"")</f>
        <v>31</v>
      </c>
      <c r="CE1267" s="13" t="n">
        <f>IF(AND(COUNT(BV1267,CC1267,CD1267)=3,MIN(BV1267,CC1267,CD1267)&gt;=0),BV1267*CC1267*CD1267,"")</f>
        <v>0</v>
      </c>
      <c r="CF1267" s="11" t="n">
        <f>IF(ISNUMBER(BQ1267),BQ1267,"")</f>
        <v>0.7517299265337036</v>
      </c>
      <c r="CG1267" s="14" t="n">
        <f>IF(ISNUMBER(BU1267),BU1267,"")</f>
        <v>17</v>
      </c>
      <c r="CH1267" s="13" t="n">
        <f>IF(AND(COUNT(BV1267,CF1267,CG1267)=3,MIN(BV1267,CF1267,CG1267)&gt;=0),BV1267*CF1267*CG1267,"")</f>
        <v>0</v>
      </c>
      <c r="CI1267" s="13" t="n">
        <f>IF(COUNT(BY1267,CB1267,CE1267,CH1267)=4,SUM(BY1267,CB1267,CE1267,CH1267),"")</f>
        <v>0</v>
      </c>
    </row>
    <row r="1268" ht="72" customHeight="1">
      <c r="A1268" s="16" t="str">
        <v>2311062-RD-P-O-10</v>
      </c>
      <c r="B1268" s="16" t="str">
        <v>4店-彬郁-US</v>
      </c>
      <c r="C1268" s="16" t="str">
        <v>陈晨</v>
      </c>
      <c r="D1268" s="26" t="str">
        <f>IF(NOT(ISNUMBER(E1268)),"",IF(OR(E1268&lt;=0,L1268=0),0,IF(OR(NOT(ISNUMBER(F1268)),F1268&lt;0),"",MIN(E1268,INT(F1268)))))</f>
      </c>
      <c r="E1268" s="27" t="str">
        <f>IF(OR(NOT(ISNUMBER(L1268)),COUNT(M1268:O1268)&lt;&gt;3,MIN(M1268:O1268)&lt;0),"",ROUNDUP(ROUND(BI1268-SUM(M1268:O1268),10),0))</f>
      </c>
      <c r="F1268" s="28" t="n">
        <v>0</v>
      </c>
      <c r="G1268" s="28" t="str">
        <f>IF(AND(ISNUMBER(D1268),ISNUMBER(E1268)),IF(OR(E1268&lt;=0,L1268=0),0,E1268-D1268),"")</f>
      </c>
      <c r="H1268" s="16" t="str">
        <f>IF(NOT(ISNUMBER(E1268)),"销量或海外库存待补",IF(OR(E1268&lt;=0,L1268=0),IF(L1268=0,"零日销，本批不发","本批无需补货"),IF(NOT(ISNUMBER(D1268)),"国内库存待补",IF(D1268=0,"国内无可用库存",IF(G1268&gt;0,"先发国内现货","按建议量发货")))))</f>
        <v>销量或海外库存待补</v>
      </c>
      <c r="I1268" s="28" t="n">
        <f>IF(AND(COUNT(Z1268,AA1268,AB1268)=3,Z1268&gt;=AA1268,AA1268&gt;=0,AB1268=7),Z1268-AA1268,"")</f>
        <v>0</v>
      </c>
      <c r="J1268" s="28" t="n">
        <f>IF(AND(COUNT(AF1268,AG1268,AH1268)=3,AF1268&gt;=AG1268,AG1268&gt;=0,AH1268=14),AF1268-AG1268,"")</f>
        <v>0</v>
      </c>
      <c r="K1268" s="28" t="n">
        <f>IF(AND(COUNT(AL1268,AM1268,AN1268)=3,AL1268&gt;=AM1268,AM1268&gt;=0,AN1268=30),AL1268-AM1268,"")</f>
        <v>0</v>
      </c>
      <c r="L1268" s="29" t="str">
        <f>IF(ISNUMBER(BI1268),BI1268/90,"")</f>
      </c>
      <c r="M1268" s="28" t="n">
        <v>0</v>
      </c>
      <c r="N1268" s="28" t="n">
        <v>0</v>
      </c>
      <c r="O1268" s="28" t="n">
        <v>0</v>
      </c>
      <c r="P1268" s="30" t="str">
        <f>IF(AND(ISNUMBER(L1268),L1268&gt;0,COUNT(M1268:O1268)=3,MIN(M1268:O1268)&gt;=0),SUM(M1268:O1268)/L1268,"")</f>
      </c>
      <c r="Q1268" s="16" t="str">
        <v>按本SKU唯一未删除Listing店铺核实</v>
      </c>
      <c r="R1268" s="16" t="str">
        <v>已匹配</v>
      </c>
      <c r="S1268" s="16" t="str">
        <v>停售</v>
      </c>
      <c r="T1268" s="16" t="str">
        <v>2311062</v>
      </c>
      <c r="U1268" s="16" t="str">
        <v>酒红 PU</v>
      </c>
      <c r="V1268" s="16" t="n">
        <v>10</v>
      </c>
      <c r="W1268" s="8" t="str">
        <v>2026-10-08 至 2026-10-17</v>
      </c>
      <c r="X1268" s="8" t="str">
        <v>2026-10-08、2026-10-09、2026-10-10、2026-10-11、2026-10-14、2026-10-15、2026-10-17</v>
      </c>
      <c r="Y1268" s="8" t="str">
        <v>2026-10-12 有记录的停售日；2026-10-13 有记录的停售日；2026-10-16 有记录的停售日</v>
      </c>
      <c r="Z1268" s="8" t="n">
        <v>0</v>
      </c>
      <c r="AA1268" s="8" t="n">
        <v>0</v>
      </c>
      <c r="AB1268" s="8" t="n">
        <v>7</v>
      </c>
      <c r="AC1268" s="8" t="str">
        <v>2026-09-29 至 2026-10-17</v>
      </c>
      <c r="AD1268" s="8" t="str">
        <v>2026-09-29、2026-09-30、2026-10-01、2026-10-02、2026-10-03、2026-10-04、2026-10-05、2026-10-08、2026-10-09、2026-10-10、2026-10-11、2026-10-14、2026-10-15、2026-10-17</v>
      </c>
      <c r="AE1268" s="8" t="str">
        <v>2026-10-06 大促；2026-10-07 大促；2026-10-12 有记录的停售日；2026-10-13 有记录的停售日；2026-10-16 有记录的停售日</v>
      </c>
      <c r="AF1268" s="8" t="n">
        <v>0</v>
      </c>
      <c r="AG1268" s="8" t="n">
        <v>0</v>
      </c>
      <c r="AH1268" s="8" t="n">
        <v>14</v>
      </c>
      <c r="AI1268" s="8" t="str">
        <v>2026-09-13 至 2026-10-17</v>
      </c>
      <c r="AJ1268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68" s="8" t="str">
        <v>2026-10-06 大促；2026-10-07 大促；2026-10-12 有记录的停售日；2026-10-13 有记录的停售日；2026-10-16 有记录的停售日</v>
      </c>
      <c r="AL1268" s="8" t="n">
        <v>0</v>
      </c>
      <c r="AM1268" s="8" t="n">
        <v>0</v>
      </c>
      <c r="AN1268" s="8" t="n">
        <v>30</v>
      </c>
      <c r="AO1268" s="8" t="str">
        <v>2311062 / 酒红PU / 13306</v>
      </c>
      <c r="AP1268" s="11" t="n">
        <v>1.4758912429949873</v>
      </c>
      <c r="AQ1268" s="11" t="n">
        <v>1.4577708171548116</v>
      </c>
      <c r="AR1268" s="11" t="n">
        <v>1.39978545446625</v>
      </c>
      <c r="AS1268" s="11" t="n">
        <f>IF(AND(COUNT(I1268:K1268,AP1268:AR1268)=6,MIN(AP1268:AR1268)&gt;0),I1268/7/AP1268*0.5+J1268/14/AQ1268*0.3+K1268/30/AR1268*0.2,"")</f>
        <v>0</v>
      </c>
      <c r="AT1268" s="8" t="n">
        <v>0</v>
      </c>
      <c r="AU1268" s="8" t="n">
        <v>0</v>
      </c>
      <c r="AV1268" s="8" t="n">
        <v>85</v>
      </c>
      <c r="AW1268" s="11" t="n">
        <f>IF(AND(COUNT(AT1268:AV1268)=3,AT1268&gt;=AU1268,AU1268&gt;=0,AV1268&gt;0),(AT1268-AU1268)/AV1268,"")</f>
        <v>0</v>
      </c>
      <c r="AX1268" s="8" t="n">
        <v>0</v>
      </c>
      <c r="AY1268" s="8" t="n">
        <v>0</v>
      </c>
      <c r="AZ1268" s="8" t="n">
        <v>175</v>
      </c>
      <c r="BA1268" s="11" t="n">
        <f>IF(AND(COUNT(AX1268:AZ1268)=3,AX1268&gt;=AY1268,AY1268&gt;=0,AZ1268&gt;0),(AX1268-AY1268)/AZ1268,"")</f>
        <v>0</v>
      </c>
      <c r="BB1268" s="8" t="n">
        <f>IF(COUNT(AS1268,AW1268,BA1268)=3,1,0)</f>
        <v>1</v>
      </c>
      <c r="BC1268" s="11" t="str">
        <f>IF(SUMIF($AO$11:$AO$1309,AO1268,$BB$11:$BB$1309)=COUNTIF($AO$11:$AO$1309,AO1268),SUMIF($AO$11:$AO$1309,AO1268,$AS$11:$AS$1309),"")</f>
      </c>
      <c r="BD1268" s="11" t="str">
        <f>IF(SUMIF($AO$11:$AO$1309,AO1268,$BB$11:$BB$1309)=COUNTIF($AO$11:$AO$1309,AO1268),SUMIF($AO$11:$AO$1309,AO1268,$AW$11:$AW$1309),"")</f>
      </c>
      <c r="BE1268" s="11" t="str">
        <f>IF(SUMIF($AO$11:$AO$1309,AO1268,$BB$11:$BB$1309)=COUNTIF($AO$11:$AO$1309,AO1268),SUMIF($AO$11:$AO$1309,AO1268,$BA$11:$BA$1309),"")</f>
      </c>
      <c r="BF1268" s="12" t="str">
        <f>IF(COUNT(BD1268:BE1268)&lt;&gt;2,"",IF(AND(BD1268&gt;0,BE1268&gt;0),0.7*AW1268/BD1268+0.3*BA1268/BE1268,IF(BD1268&gt;0,AW1268/BD1268,IF(BE1268&gt;0,BA1268/BE1268,IF(AND(ISNUMBER(BH1268),BH1268=0),0,"")))))</f>
      </c>
      <c r="BG1268" s="11" t="n">
        <f>IF(AND(COUNT(BN1268:BU1268)=8,MIN(BN1268:BU1268)&gt;=0),SUMPRODUCT(BN1268:BQ1268,BR1268:BU1268),"")</f>
        <v>83.81006574832674</v>
      </c>
      <c r="BH1268" s="11" t="str">
        <f>IF(COUNT(BC1268,BG1268)=2,BC1268*BG1268,"")</f>
      </c>
      <c r="BI1268" s="11" t="str">
        <f>IF(ISNUMBER(CI1268),CI1268,"")</f>
      </c>
      <c r="BJ1268" s="8" t="str">
        <v>同组销量待核：2311062-RD-P-O-11；低销提醒依据不完整</v>
      </c>
      <c r="BK1268" s="8" t="str">
        <v>90天：2026-07-20 至 2026-10-17；180天：2026-04-21 至 2026-10-17</v>
      </c>
      <c r="BL1268" s="8" t="str">
        <v>90天：2026-10-06、2026-10-07、2026-10-12、2026-10-13、2026-10-16；180天：2026-10-06、2026-10-07、2026-10-12、2026-10-13、2026-10-16</v>
      </c>
      <c r="BM1268" s="8" t="str">
        <v>2026-10：12天 × 1.4758912429949873；2026-11：30天 × 0.906602681585801；2026-12：31天 × 0.6189770892129804；2027-01：17天 × 1.1595882717182624</v>
      </c>
      <c r="BN1268" s="11" t="n">
        <v>1.4758912429949873</v>
      </c>
      <c r="BO1268" s="11" t="n">
        <v>0.906602681585801</v>
      </c>
      <c r="BP1268" s="11" t="n">
        <v>0.6189770892129804</v>
      </c>
      <c r="BQ1268" s="11" t="n">
        <v>1.1595882717182624</v>
      </c>
      <c r="BR1268" s="8" t="n">
        <v>12</v>
      </c>
      <c r="BS1268" s="8" t="n">
        <v>30</v>
      </c>
      <c r="BT1268" s="8" t="n">
        <v>31</v>
      </c>
      <c r="BU1268" s="8" t="n">
        <v>17</v>
      </c>
      <c r="BV1268" s="11" t="str">
        <f>IF(COUNT(BC1268,BF1268)=2,BC1268*BF1268,"")</f>
      </c>
      <c r="BW1268" s="11" t="n">
        <f>IF(ISNUMBER(BN1268),BN1268,"")</f>
        <v>1.4758912429949873</v>
      </c>
      <c r="BX1268" s="14" t="n">
        <f>IF(ISNUMBER(BR1268),BR1268,"")</f>
        <v>12</v>
      </c>
      <c r="BY1268" s="13" t="str">
        <f>IF(AND(COUNT(BV1268,BW1268,BX1268)=3,MIN(BV1268,BW1268,BX1268)&gt;=0),BV1268*BW1268*BX1268,"")</f>
      </c>
      <c r="BZ1268" s="11" t="n">
        <f>IF(ISNUMBER(BO1268),BO1268,"")</f>
        <v>0.906602681585801</v>
      </c>
      <c r="CA1268" s="14" t="n">
        <f>IF(ISNUMBER(BS1268),BS1268,"")</f>
        <v>30</v>
      </c>
      <c r="CB1268" s="13" t="str">
        <f>IF(AND(COUNT(BV1268,BZ1268,CA1268)=3,MIN(BV1268,BZ1268,CA1268)&gt;=0),BV1268*BZ1268*CA1268,"")</f>
      </c>
      <c r="CC1268" s="11" t="n">
        <f>IF(ISNUMBER(BP1268),BP1268,"")</f>
        <v>0.6189770892129804</v>
      </c>
      <c r="CD1268" s="14" t="n">
        <f>IF(ISNUMBER(BT1268),BT1268,"")</f>
        <v>31</v>
      </c>
      <c r="CE1268" s="13" t="str">
        <f>IF(AND(COUNT(BV1268,CC1268,CD1268)=3,MIN(BV1268,CC1268,CD1268)&gt;=0),BV1268*CC1268*CD1268,"")</f>
      </c>
      <c r="CF1268" s="11" t="n">
        <f>IF(ISNUMBER(BQ1268),BQ1268,"")</f>
        <v>1.1595882717182624</v>
      </c>
      <c r="CG1268" s="14" t="n">
        <f>IF(ISNUMBER(BU1268),BU1268,"")</f>
        <v>17</v>
      </c>
      <c r="CH1268" s="13" t="str">
        <f>IF(AND(COUNT(BV1268,CF1268,CG1268)=3,MIN(BV1268,CF1268,CG1268)&gt;=0),BV1268*CF1268*CG1268,"")</f>
      </c>
      <c r="CI1268" s="13" t="str">
        <f>IF(COUNT(BY1268,CB1268,CE1268,CH1268)=4,SUM(BY1268,CB1268,CE1268,CH1268),"")</f>
      </c>
    </row>
    <row r="1269" ht="72" customHeight="1">
      <c r="A1269" s="16" t="str">
        <v>2311062-RD-P-O-11</v>
      </c>
      <c r="B1269" s="16" t="str">
        <v>4店-彬郁-US</v>
      </c>
      <c r="C1269" s="16" t="str">
        <v>陈晨</v>
      </c>
      <c r="D1269" s="26" t="str">
        <f>IF(NOT(ISNUMBER(E1269)),"",IF(OR(E1269&lt;=0,L1269=0),0,IF(OR(NOT(ISNUMBER(F1269)),F1269&lt;0),"",MIN(E1269,INT(F1269)))))</f>
      </c>
      <c r="E1269" s="27" t="str">
        <f>IF(OR(NOT(ISNUMBER(L1269)),COUNT(M1269:O1269)&lt;&gt;3,MIN(M1269:O1269)&lt;0),"",ROUNDUP(ROUND(BI1269-SUM(M1269:O1269),10),0))</f>
      </c>
      <c r="F1269" s="28"/>
      <c r="G1269" s="28" t="str">
        <f>IF(AND(ISNUMBER(D1269),ISNUMBER(E1269)),IF(OR(E1269&lt;=0,L1269=0),0,E1269-D1269),"")</f>
      </c>
      <c r="H1269" s="16" t="str">
        <f>IF(NOT(ISNUMBER(E1269)),"销量或海外库存待补",IF(OR(E1269&lt;=0,L1269=0),IF(L1269=0,"零日销，本批不发","本批无需补货"),IF(NOT(ISNUMBER(D1269)),"国内库存待补",IF(D1269=0,"国内无可用库存",IF(G1269&gt;0,"先发国内现货","按建议量发货")))))</f>
        <v>销量或海外库存待补</v>
      </c>
      <c r="I1269" s="28" t="str">
        <f>IF(AND(COUNT(Z1269,AA1269,AB1269)=3,Z1269&gt;=AA1269,AA1269&gt;=0,AB1269=7),Z1269-AA1269,"")</f>
      </c>
      <c r="J1269" s="28" t="str">
        <f>IF(AND(COUNT(AF1269,AG1269,AH1269)=3,AF1269&gt;=AG1269,AG1269&gt;=0,AH1269=14),AF1269-AG1269,"")</f>
      </c>
      <c r="K1269" s="28" t="str">
        <f>IF(AND(COUNT(AL1269,AM1269,AN1269)=3,AL1269&gt;=AM1269,AM1269&gt;=0,AN1269=30),AL1269-AM1269,"")</f>
      </c>
      <c r="L1269" s="29" t="str">
        <f>IF(ISNUMBER(BI1269),BI1269/90,"")</f>
      </c>
      <c r="M1269" s="28"/>
      <c r="N1269" s="28"/>
      <c r="O1269" s="28"/>
      <c r="P1269" s="30" t="str">
        <f>IF(AND(ISNUMBER(L1269),L1269&gt;0,COUNT(M1269:O1269)=3,MIN(M1269:O1269)&gt;=0),SUM(M1269:O1269)/L1269,"")</f>
      </c>
      <c r="Q1269" s="16" t="str">
        <v>沿用同SPU原计划店铺</v>
      </c>
      <c r="R1269" s="16" t="str">
        <v>未匹配</v>
      </c>
      <c r="S1269" s="16" t="str">
        <v>未匹配Listing</v>
      </c>
      <c r="T1269" s="16" t="str">
        <v>2311062</v>
      </c>
      <c r="U1269" s="16" t="str">
        <v>酒红 PU</v>
      </c>
      <c r="V1269" s="16" t="n">
        <v>11</v>
      </c>
      <c r="W1269" s="8" t="str">
        <v>2026-10-11 至 2026-10-17</v>
      </c>
      <c r="X1269" s="8" t="str">
        <v>2026-10-11、2026-10-12、2026-10-13、2026-10-14、2026-10-15、2026-10-16、2026-10-17</v>
      </c>
      <c r="Y1269" s="8" t="str">
        <v>无</v>
      </c>
      <c r="Z1269" s="8"/>
      <c r="AA1269" s="8" t="n">
        <v>0</v>
      </c>
      <c r="AB1269" s="8"/>
      <c r="AC1269" s="8" t="str">
        <v>2026-10-02 至 2026-10-17</v>
      </c>
      <c r="AD1269" s="8" t="str">
        <v>2026-10-02、2026-10-03、2026-10-04、2026-10-05、2026-10-08、2026-10-09、2026-10-10、2026-10-11、2026-10-12、2026-10-13、2026-10-14、2026-10-15、2026-10-16、2026-10-17</v>
      </c>
      <c r="AE1269" s="8" t="str">
        <v>2026-10-06 大促；2026-10-07 大促</v>
      </c>
      <c r="AF1269" s="8"/>
      <c r="AG1269" s="8"/>
      <c r="AH1269" s="8"/>
      <c r="AI1269" s="8" t="str">
        <v>2026-09-16 至 2026-10-17</v>
      </c>
      <c r="AJ126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69" s="8" t="str">
        <v>2026-10-06 大促；2026-10-07 大促</v>
      </c>
      <c r="AL1269" s="8"/>
      <c r="AM1269" s="8"/>
      <c r="AN1269" s="8"/>
      <c r="AO1269" s="8" t="str">
        <v>2311062 / 酒红PU / 13306</v>
      </c>
      <c r="AP1269" s="11" t="n">
        <v>1.4758912429949873</v>
      </c>
      <c r="AQ1269" s="11" t="n">
        <v>1.4758912429949873</v>
      </c>
      <c r="AR1269" s="11" t="n">
        <v>1.4124697525543728</v>
      </c>
      <c r="AS1269" s="11" t="str">
        <f>IF(AND(COUNT(I1269:K1269,AP1269:AR1269)=6,MIN(AP1269:AR1269)&gt;0),I1269/7/AP1269*0.5+J1269/14/AQ1269*0.3+K1269/30/AR1269*0.2,"")</f>
      </c>
      <c r="AT1269" s="8"/>
      <c r="AU1269" s="8"/>
      <c r="AV1269" s="8"/>
      <c r="AW1269" s="11" t="str">
        <f>IF(AND(COUNT(AT1269:AV1269)=3,AT1269&gt;=AU1269,AU1269&gt;=0,AV1269&gt;0),(AT1269-AU1269)/AV1269,"")</f>
      </c>
      <c r="AX1269" s="8"/>
      <c r="AY1269" s="8"/>
      <c r="AZ1269" s="8"/>
      <c r="BA1269" s="11" t="str">
        <f>IF(AND(COUNT(AX1269:AZ1269)=3,AX1269&gt;=AY1269,AY1269&gt;=0,AZ1269&gt;0),(AX1269-AY1269)/AZ1269,"")</f>
      </c>
      <c r="BB1269" s="8" t="n">
        <f>IF(COUNT(AS1269,AW1269,BA1269)=3,1,0)</f>
        <v>0</v>
      </c>
      <c r="BC1269" s="11" t="str">
        <f>IF(SUMIF($AO$11:$AO$1309,AO1269,$BB$11:$BB$1309)=COUNTIF($AO$11:$AO$1309,AO1269),SUMIF($AO$11:$AO$1309,AO1269,$AS$11:$AS$1309),"")</f>
      </c>
      <c r="BD1269" s="11" t="str">
        <f>IF(SUMIF($AO$11:$AO$1309,AO1269,$BB$11:$BB$1309)=COUNTIF($AO$11:$AO$1309,AO1269),SUMIF($AO$11:$AO$1309,AO1269,$AW$11:$AW$1309),"")</f>
      </c>
      <c r="BE1269" s="11" t="str">
        <f>IF(SUMIF($AO$11:$AO$1309,AO1269,$BB$11:$BB$1309)=COUNTIF($AO$11:$AO$1309,AO1269),SUMIF($AO$11:$AO$1309,AO1269,$BA$11:$BA$1309),"")</f>
      </c>
      <c r="BF1269" s="12" t="str">
        <f>IF(COUNT(BD1269:BE1269)&lt;&gt;2,"",IF(AND(BD1269&gt;0,BE1269&gt;0),0.7*AW1269/BD1269+0.3*BA1269/BE1269,IF(BD1269&gt;0,AW1269/BD1269,IF(BE1269&gt;0,BA1269/BE1269,IF(AND(ISNUMBER(BH1269),BH1269=0),0,"")))))</f>
      </c>
      <c r="BG1269" s="11" t="n">
        <f>IF(AND(COUNT(BN1269:BU1269)=8,MIN(BN1269:BU1269)&gt;=0),SUMPRODUCT(BN1269:BQ1269,BR1269:BU1269),"")</f>
        <v>83.81006574832674</v>
      </c>
      <c r="BH1269" s="11" t="str">
        <f>IF(COUNT(BC1269,BG1269)=2,BC1269*BG1269,"")</f>
      </c>
      <c r="BI1269" s="11" t="str">
        <f>IF(ISNUMBER(CI1269),CI1269,"")</f>
      </c>
      <c r="BJ1269" s="8" t="str">
        <v>同组销量待核：2311062-RD-P-O-11；低销提醒依据不完整</v>
      </c>
      <c r="BK1269" s="8" t="str">
        <v>90天：2026-07-20 至 2026-10-17；180天：2026-04-21 至 2026-10-17</v>
      </c>
      <c r="BL1269" s="8" t="str">
        <v>90天：2026-10-06、2026-10-07；180天：2026-10-06、2026-10-07</v>
      </c>
      <c r="BM1269" s="8" t="str">
        <v>2026-10：12天 × 1.4758912429949873；2026-11：30天 × 0.906602681585801；2026-12：31天 × 0.6189770892129804；2027-01：17天 × 1.1595882717182624</v>
      </c>
      <c r="BN1269" s="11" t="n">
        <v>1.4758912429949873</v>
      </c>
      <c r="BO1269" s="11" t="n">
        <v>0.906602681585801</v>
      </c>
      <c r="BP1269" s="11" t="n">
        <v>0.6189770892129804</v>
      </c>
      <c r="BQ1269" s="11" t="n">
        <v>1.1595882717182624</v>
      </c>
      <c r="BR1269" s="8" t="n">
        <v>12</v>
      </c>
      <c r="BS1269" s="8" t="n">
        <v>30</v>
      </c>
      <c r="BT1269" s="8" t="n">
        <v>31</v>
      </c>
      <c r="BU1269" s="8" t="n">
        <v>17</v>
      </c>
      <c r="BV1269" s="11" t="str">
        <f>IF(COUNT(BC1269,BF1269)=2,BC1269*BF1269,"")</f>
      </c>
      <c r="BW1269" s="11" t="n">
        <f>IF(ISNUMBER(BN1269),BN1269,"")</f>
        <v>1.4758912429949873</v>
      </c>
      <c r="BX1269" s="14" t="n">
        <f>IF(ISNUMBER(BR1269),BR1269,"")</f>
        <v>12</v>
      </c>
      <c r="BY1269" s="13" t="str">
        <f>IF(AND(COUNT(BV1269,BW1269,BX1269)=3,MIN(BV1269,BW1269,BX1269)&gt;=0),BV1269*BW1269*BX1269,"")</f>
      </c>
      <c r="BZ1269" s="11" t="n">
        <f>IF(ISNUMBER(BO1269),BO1269,"")</f>
        <v>0.906602681585801</v>
      </c>
      <c r="CA1269" s="14" t="n">
        <f>IF(ISNUMBER(BS1269),BS1269,"")</f>
        <v>30</v>
      </c>
      <c r="CB1269" s="13" t="str">
        <f>IF(AND(COUNT(BV1269,BZ1269,CA1269)=3,MIN(BV1269,BZ1269,CA1269)&gt;=0),BV1269*BZ1269*CA1269,"")</f>
      </c>
      <c r="CC1269" s="11" t="n">
        <f>IF(ISNUMBER(BP1269),BP1269,"")</f>
        <v>0.6189770892129804</v>
      </c>
      <c r="CD1269" s="14" t="n">
        <f>IF(ISNUMBER(BT1269),BT1269,"")</f>
        <v>31</v>
      </c>
      <c r="CE1269" s="13" t="str">
        <f>IF(AND(COUNT(BV1269,CC1269,CD1269)=3,MIN(BV1269,CC1269,CD1269)&gt;=0),BV1269*CC1269*CD1269,"")</f>
      </c>
      <c r="CF1269" s="11" t="n">
        <f>IF(ISNUMBER(BQ1269),BQ1269,"")</f>
        <v>1.1595882717182624</v>
      </c>
      <c r="CG1269" s="14" t="n">
        <f>IF(ISNUMBER(BU1269),BU1269,"")</f>
        <v>17</v>
      </c>
      <c r="CH1269" s="13" t="str">
        <f>IF(AND(COUNT(BV1269,CF1269,CG1269)=3,MIN(BV1269,CF1269,CG1269)&gt;=0),BV1269*CF1269*CG1269,"")</f>
      </c>
      <c r="CI1269" s="13" t="str">
        <f>IF(COUNT(BY1269,CB1269,CE1269,CH1269)=4,SUM(BY1269,CB1269,CE1269,CH1269),"")</f>
      </c>
    </row>
    <row r="1270" ht="72" customHeight="1">
      <c r="A1270" s="16" t="str">
        <v>2311062-RD-P-O-6</v>
      </c>
      <c r="B1270" s="16" t="str">
        <v>4店-彬郁-US</v>
      </c>
      <c r="C1270" s="16" t="str">
        <v>陈晨</v>
      </c>
      <c r="D1270" s="26" t="str">
        <f>IF(NOT(ISNUMBER(E1270)),"",IF(OR(E1270&lt;=0,L1270=0),0,IF(OR(NOT(ISNUMBER(F1270)),F1270&lt;0),"",MIN(E1270,INT(F1270)))))</f>
      </c>
      <c r="E1270" s="27" t="str">
        <f>IF(OR(NOT(ISNUMBER(L1270)),COUNT(M1270:O1270)&lt;&gt;3,MIN(M1270:O1270)&lt;0),"",ROUNDUP(ROUND(BI1270-SUM(M1270:O1270),10),0))</f>
      </c>
      <c r="F1270" s="28" t="n">
        <v>0</v>
      </c>
      <c r="G1270" s="28" t="str">
        <f>IF(AND(ISNUMBER(D1270),ISNUMBER(E1270)),IF(OR(E1270&lt;=0,L1270=0),0,E1270-D1270),"")</f>
      </c>
      <c r="H1270" s="16" t="str">
        <f>IF(NOT(ISNUMBER(E1270)),"销量或海外库存待补",IF(OR(E1270&lt;=0,L1270=0),IF(L1270=0,"零日销，本批不发","本批无需补货"),IF(NOT(ISNUMBER(D1270)),"国内库存待补",IF(D1270=0,"国内无可用库存",IF(G1270&gt;0,"先发国内现货","按建议量发货")))))</f>
        <v>销量或海外库存待补</v>
      </c>
      <c r="I1270" s="28" t="n">
        <f>IF(AND(COUNT(Z1270,AA1270,AB1270)=3,Z1270&gt;=AA1270,AA1270&gt;=0,AB1270=7),Z1270-AA1270,"")</f>
        <v>0</v>
      </c>
      <c r="J1270" s="28" t="n">
        <f>IF(AND(COUNT(AF1270,AG1270,AH1270)=3,AF1270&gt;=AG1270,AG1270&gt;=0,AH1270=14),AF1270-AG1270,"")</f>
        <v>0</v>
      </c>
      <c r="K1270" s="28" t="n">
        <f>IF(AND(COUNT(AL1270,AM1270,AN1270)=3,AL1270&gt;=AM1270,AM1270&gt;=0,AN1270=30),AL1270-AM1270,"")</f>
        <v>0</v>
      </c>
      <c r="L1270" s="29" t="str">
        <f>IF(ISNUMBER(BI1270),BI1270/90,"")</f>
      </c>
      <c r="M1270" s="28" t="n">
        <v>0</v>
      </c>
      <c r="N1270" s="28" t="n">
        <v>0</v>
      </c>
      <c r="O1270" s="28" t="n">
        <v>0</v>
      </c>
      <c r="P1270" s="30" t="str">
        <f>IF(AND(ISNUMBER(L1270),L1270&gt;0,COUNT(M1270:O1270)=3,MIN(M1270:O1270)&gt;=0),SUM(M1270:O1270)/L1270,"")</f>
      </c>
      <c r="Q1270" s="16" t="str">
        <v>按本SKU唯一未删除Listing店铺核实</v>
      </c>
      <c r="R1270" s="16" t="str">
        <v>已匹配</v>
      </c>
      <c r="S1270" s="16" t="str">
        <v>停售</v>
      </c>
      <c r="T1270" s="16" t="str">
        <v>2311062</v>
      </c>
      <c r="U1270" s="16" t="str">
        <v>酒红 PU</v>
      </c>
      <c r="V1270" s="16" t="n">
        <v>6</v>
      </c>
      <c r="W1270" s="8" t="str">
        <v>2026-10-08 至 2026-10-17</v>
      </c>
      <c r="X1270" s="8" t="str">
        <v>2026-10-08、2026-10-09、2026-10-10、2026-10-11、2026-10-14、2026-10-15、2026-10-17</v>
      </c>
      <c r="Y1270" s="8" t="str">
        <v>2026-10-12 有记录的停售日；2026-10-13 有记录的停售日；2026-10-16 有记录的停售日</v>
      </c>
      <c r="Z1270" s="8" t="n">
        <v>0</v>
      </c>
      <c r="AA1270" s="8" t="n">
        <v>0</v>
      </c>
      <c r="AB1270" s="8" t="n">
        <v>7</v>
      </c>
      <c r="AC1270" s="8" t="str">
        <v>2026-09-29 至 2026-10-17</v>
      </c>
      <c r="AD1270" s="8" t="str">
        <v>2026-09-29、2026-09-30、2026-10-01、2026-10-02、2026-10-03、2026-10-04、2026-10-05、2026-10-08、2026-10-09、2026-10-10、2026-10-11、2026-10-14、2026-10-15、2026-10-17</v>
      </c>
      <c r="AE1270" s="8" t="str">
        <v>2026-10-06 大促；2026-10-07 大促；2026-10-12 有记录的停售日；2026-10-13 有记录的停售日；2026-10-16 有记录的停售日</v>
      </c>
      <c r="AF1270" s="8" t="n">
        <v>0</v>
      </c>
      <c r="AG1270" s="8" t="n">
        <v>0</v>
      </c>
      <c r="AH1270" s="8" t="n">
        <v>14</v>
      </c>
      <c r="AI1270" s="8" t="str">
        <v>2026-09-13 至 2026-10-17</v>
      </c>
      <c r="AJ1270" s="8" t="str">
        <v>2026-09-13、2026-09-14、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-14、2026-10-15、2026-10-17</v>
      </c>
      <c r="AK1270" s="8" t="str">
        <v>2026-10-06 大促；2026-10-07 大促；2026-10-12 有记录的停售日；2026-10-13 有记录的停售日；2026-10-16 有记录的停售日</v>
      </c>
      <c r="AL1270" s="8" t="n">
        <v>0</v>
      </c>
      <c r="AM1270" s="8" t="n">
        <v>0</v>
      </c>
      <c r="AN1270" s="8" t="n">
        <v>30</v>
      </c>
      <c r="AO1270" s="8" t="str">
        <v>2311062 / 酒红PU / 13306</v>
      </c>
      <c r="AP1270" s="11" t="n">
        <v>1.4758912429949873</v>
      </c>
      <c r="AQ1270" s="11" t="n">
        <v>1.4577708171548116</v>
      </c>
      <c r="AR1270" s="11" t="n">
        <v>1.39978545446625</v>
      </c>
      <c r="AS1270" s="11" t="n">
        <f>IF(AND(COUNT(I1270:K1270,AP1270:AR1270)=6,MIN(AP1270:AR1270)&gt;0),I1270/7/AP1270*0.5+J1270/14/AQ1270*0.3+K1270/30/AR1270*0.2,"")</f>
        <v>0</v>
      </c>
      <c r="AT1270" s="8" t="n">
        <v>0</v>
      </c>
      <c r="AU1270" s="8" t="n">
        <v>0</v>
      </c>
      <c r="AV1270" s="8" t="n">
        <v>85</v>
      </c>
      <c r="AW1270" s="11" t="n">
        <f>IF(AND(COUNT(AT1270:AV1270)=3,AT1270&gt;=AU1270,AU1270&gt;=0,AV1270&gt;0),(AT1270-AU1270)/AV1270,"")</f>
        <v>0</v>
      </c>
      <c r="AX1270" s="8" t="n">
        <v>0</v>
      </c>
      <c r="AY1270" s="8" t="n">
        <v>0</v>
      </c>
      <c r="AZ1270" s="8" t="n">
        <v>175</v>
      </c>
      <c r="BA1270" s="11" t="n">
        <f>IF(AND(COUNT(AX1270:AZ1270)=3,AX1270&gt;=AY1270,AY1270&gt;=0,AZ1270&gt;0),(AX1270-AY1270)/AZ1270,"")</f>
        <v>0</v>
      </c>
      <c r="BB1270" s="8" t="n">
        <f>IF(COUNT(AS1270,AW1270,BA1270)=3,1,0)</f>
        <v>1</v>
      </c>
      <c r="BC1270" s="11" t="str">
        <f>IF(SUMIF($AO$11:$AO$1309,AO1270,$BB$11:$BB$1309)=COUNTIF($AO$11:$AO$1309,AO1270),SUMIF($AO$11:$AO$1309,AO1270,$AS$11:$AS$1309),"")</f>
      </c>
      <c r="BD1270" s="11" t="str">
        <f>IF(SUMIF($AO$11:$AO$1309,AO1270,$BB$11:$BB$1309)=COUNTIF($AO$11:$AO$1309,AO1270),SUMIF($AO$11:$AO$1309,AO1270,$AW$11:$AW$1309),"")</f>
      </c>
      <c r="BE1270" s="11" t="str">
        <f>IF(SUMIF($AO$11:$AO$1309,AO1270,$BB$11:$BB$1309)=COUNTIF($AO$11:$AO$1309,AO1270),SUMIF($AO$11:$AO$1309,AO1270,$BA$11:$BA$1309),"")</f>
      </c>
      <c r="BF1270" s="12" t="str">
        <f>IF(COUNT(BD1270:BE1270)&lt;&gt;2,"",IF(AND(BD1270&gt;0,BE1270&gt;0),0.7*AW1270/BD1270+0.3*BA1270/BE1270,IF(BD1270&gt;0,AW1270/BD1270,IF(BE1270&gt;0,BA1270/BE1270,IF(AND(ISNUMBER(BH1270),BH1270=0),0,"")))))</f>
      </c>
      <c r="BG1270" s="11" t="n">
        <f>IF(AND(COUNT(BN1270:BU1270)=8,MIN(BN1270:BU1270)&gt;=0),SUMPRODUCT(BN1270:BQ1270,BR1270:BU1270),"")</f>
        <v>83.81006574832674</v>
      </c>
      <c r="BH1270" s="11" t="str">
        <f>IF(COUNT(BC1270,BG1270)=2,BC1270*BG1270,"")</f>
      </c>
      <c r="BI1270" s="11" t="str">
        <f>IF(ISNUMBER(CI1270),CI1270,"")</f>
      </c>
      <c r="BJ1270" s="8" t="str">
        <v>同组销量待核：2311062-RD-P-O-11；低销提醒依据不完整</v>
      </c>
      <c r="BK1270" s="8" t="str">
        <v>90天：2026-07-20 至 2026-10-17；180天：2026-04-21 至 2026-10-17</v>
      </c>
      <c r="BL1270" s="8" t="str">
        <v>90天：2026-10-06、2026-10-07、2026-10-12、2026-10-13、2026-10-16；180天：2026-10-06、2026-10-07、2026-10-12、2026-10-13、2026-10-16</v>
      </c>
      <c r="BM1270" s="8" t="str">
        <v>2026-10：12天 × 1.4758912429949873；2026-11：30天 × 0.906602681585801；2026-12：31天 × 0.6189770892129804；2027-01：17天 × 1.1595882717182624</v>
      </c>
      <c r="BN1270" s="11" t="n">
        <v>1.4758912429949873</v>
      </c>
      <c r="BO1270" s="11" t="n">
        <v>0.906602681585801</v>
      </c>
      <c r="BP1270" s="11" t="n">
        <v>0.6189770892129804</v>
      </c>
      <c r="BQ1270" s="11" t="n">
        <v>1.1595882717182624</v>
      </c>
      <c r="BR1270" s="8" t="n">
        <v>12</v>
      </c>
      <c r="BS1270" s="8" t="n">
        <v>30</v>
      </c>
      <c r="BT1270" s="8" t="n">
        <v>31</v>
      </c>
      <c r="BU1270" s="8" t="n">
        <v>17</v>
      </c>
      <c r="BV1270" s="11" t="str">
        <f>IF(COUNT(BC1270,BF1270)=2,BC1270*BF1270,"")</f>
      </c>
      <c r="BW1270" s="11" t="n">
        <f>IF(ISNUMBER(BN1270),BN1270,"")</f>
        <v>1.4758912429949873</v>
      </c>
      <c r="BX1270" s="14" t="n">
        <f>IF(ISNUMBER(BR1270),BR1270,"")</f>
        <v>12</v>
      </c>
      <c r="BY1270" s="13" t="str">
        <f>IF(AND(COUNT(BV1270,BW1270,BX1270)=3,MIN(BV1270,BW1270,BX1270)&gt;=0),BV1270*BW1270*BX1270,"")</f>
      </c>
      <c r="BZ1270" s="11" t="n">
        <f>IF(ISNUMBER(BO1270),BO1270,"")</f>
        <v>0.906602681585801</v>
      </c>
      <c r="CA1270" s="14" t="n">
        <f>IF(ISNUMBER(BS1270),BS1270,"")</f>
        <v>30</v>
      </c>
      <c r="CB1270" s="13" t="str">
        <f>IF(AND(COUNT(BV1270,BZ1270,CA1270)=3,MIN(BV1270,BZ1270,CA1270)&gt;=0),BV1270*BZ1270*CA1270,"")</f>
      </c>
      <c r="CC1270" s="11" t="n">
        <f>IF(ISNUMBER(BP1270),BP1270,"")</f>
        <v>0.6189770892129804</v>
      </c>
      <c r="CD1270" s="14" t="n">
        <f>IF(ISNUMBER(BT1270),BT1270,"")</f>
        <v>31</v>
      </c>
      <c r="CE1270" s="13" t="str">
        <f>IF(AND(COUNT(BV1270,CC1270,CD1270)=3,MIN(BV1270,CC1270,CD1270)&gt;=0),BV1270*CC1270*CD1270,"")</f>
      </c>
      <c r="CF1270" s="11" t="n">
        <f>IF(ISNUMBER(BQ1270),BQ1270,"")</f>
        <v>1.1595882717182624</v>
      </c>
      <c r="CG1270" s="14" t="n">
        <f>IF(ISNUMBER(BU1270),BU1270,"")</f>
        <v>17</v>
      </c>
      <c r="CH1270" s="13" t="str">
        <f>IF(AND(COUNT(BV1270,CF1270,CG1270)=3,MIN(BV1270,CF1270,CG1270)&gt;=0),BV1270*CF1270*CG1270,"")</f>
      </c>
      <c r="CI1270" s="13" t="str">
        <f>IF(COUNT(BY1270,CB1270,CE1270,CH1270)=4,SUM(BY1270,CB1270,CE1270,CH1270),"")</f>
      </c>
    </row>
    <row r="1271" ht="72" customHeight="1">
      <c r="A1271" s="16" t="str">
        <v>2311062-RD-P-O-7</v>
      </c>
      <c r="B1271" s="16" t="str">
        <v>4店-彬郁-US</v>
      </c>
      <c r="C1271" s="16" t="str">
        <v>陈晨</v>
      </c>
      <c r="D1271" s="26" t="str">
        <f>IF(NOT(ISNUMBER(E1271)),"",IF(OR(E1271&lt;=0,L1271=0),0,IF(OR(NOT(ISNUMBER(F1271)),F1271&lt;0),"",MIN(E1271,INT(F1271)))))</f>
      </c>
      <c r="E1271" s="27" t="str">
        <f>IF(OR(NOT(ISNUMBER(L1271)),COUNT(M1271:O1271)&lt;&gt;3,MIN(M1271:O1271)&lt;0),"",ROUNDUP(ROUND(BI1271-SUM(M1271:O1271),10),0))</f>
      </c>
      <c r="F1271" s="28" t="n">
        <v>0</v>
      </c>
      <c r="G1271" s="28" t="str">
        <f>IF(AND(ISNUMBER(D1271),ISNUMBER(E1271)),IF(OR(E1271&lt;=0,L1271=0),0,E1271-D1271),"")</f>
      </c>
      <c r="H1271" s="16" t="str">
        <f>IF(NOT(ISNUMBER(E1271)),"销量或海外库存待补",IF(OR(E1271&lt;=0,L1271=0),IF(L1271=0,"零日销，本批不发","本批无需补货"),IF(NOT(ISNUMBER(D1271)),"国内库存待补",IF(D1271=0,"国内无可用库存",IF(G1271&gt;0,"先发国内现货","按建议量发货")))))</f>
        <v>销量或海外库存待补</v>
      </c>
      <c r="I1271" s="28" t="n">
        <f>IF(AND(COUNT(Z1271,AA1271,AB1271)=3,Z1271&gt;=AA1271,AA1271&gt;=0,AB1271=7),Z1271-AA1271,"")</f>
        <v>0</v>
      </c>
      <c r="J1271" s="28" t="n">
        <f>IF(AND(COUNT(AF1271,AG1271,AH1271)=3,AF1271&gt;=AG1271,AG1271&gt;=0,AH1271=14),AF1271-AG1271,"")</f>
        <v>0</v>
      </c>
      <c r="K1271" s="28" t="n">
        <f>IF(AND(COUNT(AL1271,AM1271,AN1271)=3,AL1271&gt;=AM1271,AM1271&gt;=0,AN1271=30),AL1271-AM1271,"")</f>
        <v>1</v>
      </c>
      <c r="L1271" s="29" t="str">
        <f>IF(ISNUMBER(BI1271),BI1271/90,"")</f>
      </c>
      <c r="M1271" s="28" t="n">
        <v>0</v>
      </c>
      <c r="N1271" s="28" t="n">
        <v>0</v>
      </c>
      <c r="O1271" s="28" t="n">
        <v>40</v>
      </c>
      <c r="P1271" s="30" t="str">
        <f>IF(AND(ISNUMBER(L1271),L1271&gt;0,COUNT(M1271:O1271)=3,MIN(M1271:O1271)&gt;=0),SUM(M1271:O1271)/L1271,"")</f>
      </c>
      <c r="Q1271" s="16" t="str">
        <v>沿用原计划SKU店铺</v>
      </c>
      <c r="R1271" s="16" t="str">
        <v>已匹配</v>
      </c>
      <c r="S1271" s="16" t="str">
        <v>在售</v>
      </c>
      <c r="T1271" s="16" t="str">
        <v>2311062</v>
      </c>
      <c r="U1271" s="16" t="str">
        <v>酒红 PU</v>
      </c>
      <c r="V1271" s="16" t="n">
        <v>7</v>
      </c>
      <c r="W1271" s="8" t="str">
        <v>2026-10-11 至 2026-10-17</v>
      </c>
      <c r="X1271" s="8" t="str">
        <v>2026-10-11、2026-10-12、2026-10-13、2026-10-14、2026-10-15、2026-10-16、2026-10-17</v>
      </c>
      <c r="Y1271" s="8" t="str">
        <v>无</v>
      </c>
      <c r="Z1271" s="8" t="n">
        <v>0</v>
      </c>
      <c r="AA1271" s="8" t="n">
        <v>0</v>
      </c>
      <c r="AB1271" s="8" t="n">
        <v>7</v>
      </c>
      <c r="AC1271" s="8" t="str">
        <v>2026-10-02 至 2026-10-17</v>
      </c>
      <c r="AD1271" s="8" t="str">
        <v>2026-10-02、2026-10-03、2026-10-04、2026-10-05、2026-10-08、2026-10-09、2026-10-10、2026-10-11、2026-10-12、2026-10-13、2026-10-14、2026-10-15、2026-10-16、2026-10-17</v>
      </c>
      <c r="AE1271" s="8" t="str">
        <v>2026-10-06 大促；2026-10-07 大促</v>
      </c>
      <c r="AF1271" s="8" t="n">
        <v>0</v>
      </c>
      <c r="AG1271" s="8" t="n">
        <v>0</v>
      </c>
      <c r="AH1271" s="8" t="n">
        <v>14</v>
      </c>
      <c r="AI1271" s="8" t="str">
        <v>2026-09-16 至 2026-10-17</v>
      </c>
      <c r="AJ127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1" s="8" t="str">
        <v>2026-10-06 大促；2026-10-07 大促</v>
      </c>
      <c r="AL1271" s="8" t="n">
        <v>1</v>
      </c>
      <c r="AM1271" s="8" t="n">
        <v>0</v>
      </c>
      <c r="AN1271" s="8" t="n">
        <v>30</v>
      </c>
      <c r="AO1271" s="8" t="str">
        <v>2311062 / 酒红PU / 13306</v>
      </c>
      <c r="AP1271" s="11" t="n">
        <v>1.4758912429949873</v>
      </c>
      <c r="AQ1271" s="11" t="n">
        <v>1.4758912429949873</v>
      </c>
      <c r="AR1271" s="11" t="n">
        <v>1.4124697525543728</v>
      </c>
      <c r="AS1271" s="11" t="n">
        <f>IF(AND(COUNT(I1271:K1271,AP1271:AR1271)=6,MIN(AP1271:AR1271)&gt;0),I1271/7/AP1271*0.5+J1271/14/AQ1271*0.3+K1271/30/AR1271*0.2,"")</f>
        <v>0.00471986508356046</v>
      </c>
      <c r="AT1271" s="8" t="n">
        <v>1</v>
      </c>
      <c r="AU1271" s="8" t="n">
        <v>0</v>
      </c>
      <c r="AV1271" s="8" t="n">
        <v>88</v>
      </c>
      <c r="AW1271" s="11" t="n">
        <f>IF(AND(COUNT(AT1271:AV1271)=3,AT1271&gt;=AU1271,AU1271&gt;=0,AV1271&gt;0),(AT1271-AU1271)/AV1271,"")</f>
        <v>0.011363636363636364</v>
      </c>
      <c r="AX1271" s="8" t="n">
        <v>16</v>
      </c>
      <c r="AY1271" s="8" t="n">
        <v>0</v>
      </c>
      <c r="AZ1271" s="8" t="n">
        <v>178</v>
      </c>
      <c r="BA1271" s="11" t="n">
        <f>IF(AND(COUNT(AX1271:AZ1271)=3,AX1271&gt;=AY1271,AY1271&gt;=0,AZ1271&gt;0),(AX1271-AY1271)/AZ1271,"")</f>
        <v>0.0898876404494382</v>
      </c>
      <c r="BB1271" s="8" t="n">
        <f>IF(COUNT(AS1271,AW1271,BA1271)=3,1,0)</f>
        <v>1</v>
      </c>
      <c r="BC1271" s="11" t="str">
        <f>IF(SUMIF($AO$11:$AO$1309,AO1271,$BB$11:$BB$1309)=COUNTIF($AO$11:$AO$1309,AO1271),SUMIF($AO$11:$AO$1309,AO1271,$AS$11:$AS$1309),"")</f>
      </c>
      <c r="BD1271" s="11" t="str">
        <f>IF(SUMIF($AO$11:$AO$1309,AO1271,$BB$11:$BB$1309)=COUNTIF($AO$11:$AO$1309,AO1271),SUMIF($AO$11:$AO$1309,AO1271,$AW$11:$AW$1309),"")</f>
      </c>
      <c r="BE1271" s="11" t="str">
        <f>IF(SUMIF($AO$11:$AO$1309,AO1271,$BB$11:$BB$1309)=COUNTIF($AO$11:$AO$1309,AO1271),SUMIF($AO$11:$AO$1309,AO1271,$BA$11:$BA$1309),"")</f>
      </c>
      <c r="BF1271" s="12" t="str">
        <f>IF(COUNT(BD1271:BE1271)&lt;&gt;2,"",IF(AND(BD1271&gt;0,BE1271&gt;0),0.7*AW1271/BD1271+0.3*BA1271/BE1271,IF(BD1271&gt;0,AW1271/BD1271,IF(BE1271&gt;0,BA1271/BE1271,IF(AND(ISNUMBER(BH1271),BH1271=0),0,"")))))</f>
      </c>
      <c r="BG1271" s="11" t="n">
        <f>IF(AND(COUNT(BN1271:BU1271)=8,MIN(BN1271:BU1271)&gt;=0),SUMPRODUCT(BN1271:BQ1271,BR1271:BU1271),"")</f>
        <v>83.81006574832674</v>
      </c>
      <c r="BH1271" s="11" t="str">
        <f>IF(COUNT(BC1271,BG1271)=2,BC1271*BG1271,"")</f>
      </c>
      <c r="BI1271" s="11" t="str">
        <f>IF(ISNUMBER(CI1271),CI1271,"")</f>
      </c>
      <c r="BJ1271" s="8" t="str">
        <v>同组销量待核：2311062-RD-P-O-11；低销提醒依据不完整</v>
      </c>
      <c r="BK1271" s="8" t="str">
        <v>90天：2026-07-20 至 2026-10-17；180天：2026-04-21 至 2026-10-17</v>
      </c>
      <c r="BL1271" s="8" t="str">
        <v>90天：2026-10-06、2026-10-07；180天：2026-10-06、2026-10-07</v>
      </c>
      <c r="BM1271" s="8" t="str">
        <v>2026-10：12天 × 1.4758912429949873；2026-11：30天 × 0.906602681585801；2026-12：31天 × 0.6189770892129804；2027-01：17天 × 1.1595882717182624</v>
      </c>
      <c r="BN1271" s="11" t="n">
        <v>1.4758912429949873</v>
      </c>
      <c r="BO1271" s="11" t="n">
        <v>0.906602681585801</v>
      </c>
      <c r="BP1271" s="11" t="n">
        <v>0.6189770892129804</v>
      </c>
      <c r="BQ1271" s="11" t="n">
        <v>1.1595882717182624</v>
      </c>
      <c r="BR1271" s="8" t="n">
        <v>12</v>
      </c>
      <c r="BS1271" s="8" t="n">
        <v>30</v>
      </c>
      <c r="BT1271" s="8" t="n">
        <v>31</v>
      </c>
      <c r="BU1271" s="8" t="n">
        <v>17</v>
      </c>
      <c r="BV1271" s="11" t="str">
        <f>IF(COUNT(BC1271,BF1271)=2,BC1271*BF1271,"")</f>
      </c>
      <c r="BW1271" s="11" t="n">
        <f>IF(ISNUMBER(BN1271),BN1271,"")</f>
        <v>1.4758912429949873</v>
      </c>
      <c r="BX1271" s="14" t="n">
        <f>IF(ISNUMBER(BR1271),BR1271,"")</f>
        <v>12</v>
      </c>
      <c r="BY1271" s="13" t="str">
        <f>IF(AND(COUNT(BV1271,BW1271,BX1271)=3,MIN(BV1271,BW1271,BX1271)&gt;=0),BV1271*BW1271*BX1271,"")</f>
      </c>
      <c r="BZ1271" s="11" t="n">
        <f>IF(ISNUMBER(BO1271),BO1271,"")</f>
        <v>0.906602681585801</v>
      </c>
      <c r="CA1271" s="14" t="n">
        <f>IF(ISNUMBER(BS1271),BS1271,"")</f>
        <v>30</v>
      </c>
      <c r="CB1271" s="13" t="str">
        <f>IF(AND(COUNT(BV1271,BZ1271,CA1271)=3,MIN(BV1271,BZ1271,CA1271)&gt;=0),BV1271*BZ1271*CA1271,"")</f>
      </c>
      <c r="CC1271" s="11" t="n">
        <f>IF(ISNUMBER(BP1271),BP1271,"")</f>
        <v>0.6189770892129804</v>
      </c>
      <c r="CD1271" s="14" t="n">
        <f>IF(ISNUMBER(BT1271),BT1271,"")</f>
        <v>31</v>
      </c>
      <c r="CE1271" s="13" t="str">
        <f>IF(AND(COUNT(BV1271,CC1271,CD1271)=3,MIN(BV1271,CC1271,CD1271)&gt;=0),BV1271*CC1271*CD1271,"")</f>
      </c>
      <c r="CF1271" s="11" t="n">
        <f>IF(ISNUMBER(BQ1271),BQ1271,"")</f>
        <v>1.1595882717182624</v>
      </c>
      <c r="CG1271" s="14" t="n">
        <f>IF(ISNUMBER(BU1271),BU1271,"")</f>
        <v>17</v>
      </c>
      <c r="CH1271" s="13" t="str">
        <f>IF(AND(COUNT(BV1271,CF1271,CG1271)=3,MIN(BV1271,CF1271,CG1271)&gt;=0),BV1271*CF1271*CG1271,"")</f>
      </c>
      <c r="CI1271" s="13" t="str">
        <f>IF(COUNT(BY1271,CB1271,CE1271,CH1271)=4,SUM(BY1271,CB1271,CE1271,CH1271),"")</f>
      </c>
    </row>
    <row r="1272" ht="72" customHeight="1">
      <c r="A1272" s="16" t="str">
        <v>2311062-RD-P-O-8</v>
      </c>
      <c r="B1272" s="16" t="str">
        <v>4店-彬郁-US</v>
      </c>
      <c r="C1272" s="16" t="str">
        <v>陈晨</v>
      </c>
      <c r="D1272" s="26" t="str">
        <f>IF(NOT(ISNUMBER(E1272)),"",IF(OR(E1272&lt;=0,L1272=0),0,IF(OR(NOT(ISNUMBER(F1272)),F1272&lt;0),"",MIN(E1272,INT(F1272)))))</f>
      </c>
      <c r="E1272" s="27" t="str">
        <f>IF(OR(NOT(ISNUMBER(L1272)),COUNT(M1272:O1272)&lt;&gt;3,MIN(M1272:O1272)&lt;0),"",ROUNDUP(ROUND(BI1272-SUM(M1272:O1272),10),0))</f>
      </c>
      <c r="F1272" s="28" t="n">
        <v>0</v>
      </c>
      <c r="G1272" s="28" t="str">
        <f>IF(AND(ISNUMBER(D1272),ISNUMBER(E1272)),IF(OR(E1272&lt;=0,L1272=0),0,E1272-D1272),"")</f>
      </c>
      <c r="H1272" s="16" t="str">
        <f>IF(NOT(ISNUMBER(E1272)),"销量或海外库存待补",IF(OR(E1272&lt;=0,L1272=0),IF(L1272=0,"零日销，本批不发","本批无需补货"),IF(NOT(ISNUMBER(D1272)),"国内库存待补",IF(D1272=0,"国内无可用库存",IF(G1272&gt;0,"先发国内现货","按建议量发货")))))</f>
        <v>销量或海外库存待补</v>
      </c>
      <c r="I1272" s="28" t="n">
        <f>IF(AND(COUNT(Z1272,AA1272,AB1272)=3,Z1272&gt;=AA1272,AA1272&gt;=0,AB1272=7),Z1272-AA1272,"")</f>
        <v>0</v>
      </c>
      <c r="J1272" s="28" t="n">
        <f>IF(AND(COUNT(AF1272,AG1272,AH1272)=3,AF1272&gt;=AG1272,AG1272&gt;=0,AH1272=14),AF1272-AG1272,"")</f>
        <v>0</v>
      </c>
      <c r="K1272" s="28" t="n">
        <f>IF(AND(COUNT(AL1272,AM1272,AN1272)=3,AL1272&gt;=AM1272,AM1272&gt;=0,AN1272=30),AL1272-AM1272,"")</f>
        <v>1</v>
      </c>
      <c r="L1272" s="29" t="str">
        <f>IF(ISNUMBER(BI1272),BI1272/90,"")</f>
      </c>
      <c r="M1272" s="28" t="n">
        <v>0</v>
      </c>
      <c r="N1272" s="28" t="n">
        <v>0</v>
      </c>
      <c r="O1272" s="28" t="n">
        <v>71</v>
      </c>
      <c r="P1272" s="30" t="str">
        <f>IF(AND(ISNUMBER(L1272),L1272&gt;0,COUNT(M1272:O1272)=3,MIN(M1272:O1272)&gt;=0),SUM(M1272:O1272)/L1272,"")</f>
      </c>
      <c r="Q1272" s="16" t="str">
        <v>沿用原计划SKU店铺</v>
      </c>
      <c r="R1272" s="16" t="str">
        <v>已匹配</v>
      </c>
      <c r="S1272" s="16" t="str">
        <v>在售</v>
      </c>
      <c r="T1272" s="16" t="str">
        <v>2311062</v>
      </c>
      <c r="U1272" s="16" t="str">
        <v>酒红 PU</v>
      </c>
      <c r="V1272" s="16" t="n">
        <v>8</v>
      </c>
      <c r="W1272" s="8" t="str">
        <v>2026-10-11 至 2026-10-17</v>
      </c>
      <c r="X1272" s="8" t="str">
        <v>2026-10-11、2026-10-12、2026-10-13、2026-10-14、2026-10-15、2026-10-16、2026-10-17</v>
      </c>
      <c r="Y1272" s="8" t="str">
        <v>无</v>
      </c>
      <c r="Z1272" s="8" t="n">
        <v>0</v>
      </c>
      <c r="AA1272" s="8" t="n">
        <v>0</v>
      </c>
      <c r="AB1272" s="8" t="n">
        <v>7</v>
      </c>
      <c r="AC1272" s="8" t="str">
        <v>2026-10-02 至 2026-10-17</v>
      </c>
      <c r="AD1272" s="8" t="str">
        <v>2026-10-02、2026-10-03、2026-10-04、2026-10-05、2026-10-08、2026-10-09、2026-10-10、2026-10-11、2026-10-12、2026-10-13、2026-10-14、2026-10-15、2026-10-16、2026-10-17</v>
      </c>
      <c r="AE1272" s="8" t="str">
        <v>2026-10-06 大促；2026-10-07 大促</v>
      </c>
      <c r="AF1272" s="8" t="n">
        <v>0</v>
      </c>
      <c r="AG1272" s="8" t="n">
        <v>0</v>
      </c>
      <c r="AH1272" s="8" t="n">
        <v>14</v>
      </c>
      <c r="AI1272" s="8" t="str">
        <v>2026-09-16 至 2026-10-17</v>
      </c>
      <c r="AJ127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2" s="8" t="str">
        <v>2026-10-06 大促；2026-10-07 大促</v>
      </c>
      <c r="AL1272" s="8" t="n">
        <v>1</v>
      </c>
      <c r="AM1272" s="8" t="n">
        <v>0</v>
      </c>
      <c r="AN1272" s="8" t="n">
        <v>30</v>
      </c>
      <c r="AO1272" s="8" t="str">
        <v>2311062 / 酒红PU / 13306</v>
      </c>
      <c r="AP1272" s="11" t="n">
        <v>1.4758912429949873</v>
      </c>
      <c r="AQ1272" s="11" t="n">
        <v>1.4758912429949873</v>
      </c>
      <c r="AR1272" s="11" t="n">
        <v>1.4124697525543728</v>
      </c>
      <c r="AS1272" s="11" t="n">
        <f>IF(AND(COUNT(I1272:K1272,AP1272:AR1272)=6,MIN(AP1272:AR1272)&gt;0),I1272/7/AP1272*0.5+J1272/14/AQ1272*0.3+K1272/30/AR1272*0.2,"")</f>
        <v>0.00471986508356046</v>
      </c>
      <c r="AT1272" s="8" t="n">
        <v>14</v>
      </c>
      <c r="AU1272" s="8" t="n">
        <v>0</v>
      </c>
      <c r="AV1272" s="8" t="n">
        <v>88</v>
      </c>
      <c r="AW1272" s="11" t="n">
        <f>IF(AND(COUNT(AT1272:AV1272)=3,AT1272&gt;=AU1272,AU1272&gt;=0,AV1272&gt;0),(AT1272-AU1272)/AV1272,"")</f>
        <v>0.1590909090909091</v>
      </c>
      <c r="AX1272" s="8" t="n">
        <v>31</v>
      </c>
      <c r="AY1272" s="8" t="n">
        <v>0</v>
      </c>
      <c r="AZ1272" s="8" t="n">
        <v>178</v>
      </c>
      <c r="BA1272" s="11" t="n">
        <f>IF(AND(COUNT(AX1272:AZ1272)=3,AX1272&gt;=AY1272,AY1272&gt;=0,AZ1272&gt;0),(AX1272-AY1272)/AZ1272,"")</f>
        <v>0.17415730337078653</v>
      </c>
      <c r="BB1272" s="8" t="n">
        <f>IF(COUNT(AS1272,AW1272,BA1272)=3,1,0)</f>
        <v>1</v>
      </c>
      <c r="BC1272" s="11" t="str">
        <f>IF(SUMIF($AO$11:$AO$1309,AO1272,$BB$11:$BB$1309)=COUNTIF($AO$11:$AO$1309,AO1272),SUMIF($AO$11:$AO$1309,AO1272,$AS$11:$AS$1309),"")</f>
      </c>
      <c r="BD1272" s="11" t="str">
        <f>IF(SUMIF($AO$11:$AO$1309,AO1272,$BB$11:$BB$1309)=COUNTIF($AO$11:$AO$1309,AO1272),SUMIF($AO$11:$AO$1309,AO1272,$AW$11:$AW$1309),"")</f>
      </c>
      <c r="BE1272" s="11" t="str">
        <f>IF(SUMIF($AO$11:$AO$1309,AO1272,$BB$11:$BB$1309)=COUNTIF($AO$11:$AO$1309,AO1272),SUMIF($AO$11:$AO$1309,AO1272,$BA$11:$BA$1309),"")</f>
      </c>
      <c r="BF1272" s="12" t="str">
        <f>IF(COUNT(BD1272:BE1272)&lt;&gt;2,"",IF(AND(BD1272&gt;0,BE1272&gt;0),0.7*AW1272/BD1272+0.3*BA1272/BE1272,IF(BD1272&gt;0,AW1272/BD1272,IF(BE1272&gt;0,BA1272/BE1272,IF(AND(ISNUMBER(BH1272),BH1272=0),0,"")))))</f>
      </c>
      <c r="BG1272" s="11" t="n">
        <f>IF(AND(COUNT(BN1272:BU1272)=8,MIN(BN1272:BU1272)&gt;=0),SUMPRODUCT(BN1272:BQ1272,BR1272:BU1272),"")</f>
        <v>83.81006574832674</v>
      </c>
      <c r="BH1272" s="11" t="str">
        <f>IF(COUNT(BC1272,BG1272)=2,BC1272*BG1272,"")</f>
      </c>
      <c r="BI1272" s="11" t="str">
        <f>IF(ISNUMBER(CI1272),CI1272,"")</f>
      </c>
      <c r="BJ1272" s="8" t="str">
        <v>同组销量待核：2311062-RD-P-O-11；低销提醒依据不完整</v>
      </c>
      <c r="BK1272" s="8" t="str">
        <v>90天：2026-07-20 至 2026-10-17；180天：2026-04-21 至 2026-10-17</v>
      </c>
      <c r="BL1272" s="8" t="str">
        <v>90天：2026-10-06、2026-10-07；180天：2026-10-06、2026-10-07</v>
      </c>
      <c r="BM1272" s="8" t="str">
        <v>2026-10：12天 × 1.4758912429949873；2026-11：30天 × 0.906602681585801；2026-12：31天 × 0.6189770892129804；2027-01：17天 × 1.1595882717182624</v>
      </c>
      <c r="BN1272" s="11" t="n">
        <v>1.4758912429949873</v>
      </c>
      <c r="BO1272" s="11" t="n">
        <v>0.906602681585801</v>
      </c>
      <c r="BP1272" s="11" t="n">
        <v>0.6189770892129804</v>
      </c>
      <c r="BQ1272" s="11" t="n">
        <v>1.1595882717182624</v>
      </c>
      <c r="BR1272" s="8" t="n">
        <v>12</v>
      </c>
      <c r="BS1272" s="8" t="n">
        <v>30</v>
      </c>
      <c r="BT1272" s="8" t="n">
        <v>31</v>
      </c>
      <c r="BU1272" s="8" t="n">
        <v>17</v>
      </c>
      <c r="BV1272" s="11" t="str">
        <f>IF(COUNT(BC1272,BF1272)=2,BC1272*BF1272,"")</f>
      </c>
      <c r="BW1272" s="11" t="n">
        <f>IF(ISNUMBER(BN1272),BN1272,"")</f>
        <v>1.4758912429949873</v>
      </c>
      <c r="BX1272" s="14" t="n">
        <f>IF(ISNUMBER(BR1272),BR1272,"")</f>
        <v>12</v>
      </c>
      <c r="BY1272" s="13" t="str">
        <f>IF(AND(COUNT(BV1272,BW1272,BX1272)=3,MIN(BV1272,BW1272,BX1272)&gt;=0),BV1272*BW1272*BX1272,"")</f>
      </c>
      <c r="BZ1272" s="11" t="n">
        <f>IF(ISNUMBER(BO1272),BO1272,"")</f>
        <v>0.906602681585801</v>
      </c>
      <c r="CA1272" s="14" t="n">
        <f>IF(ISNUMBER(BS1272),BS1272,"")</f>
        <v>30</v>
      </c>
      <c r="CB1272" s="13" t="str">
        <f>IF(AND(COUNT(BV1272,BZ1272,CA1272)=3,MIN(BV1272,BZ1272,CA1272)&gt;=0),BV1272*BZ1272*CA1272,"")</f>
      </c>
      <c r="CC1272" s="11" t="n">
        <f>IF(ISNUMBER(BP1272),BP1272,"")</f>
        <v>0.6189770892129804</v>
      </c>
      <c r="CD1272" s="14" t="n">
        <f>IF(ISNUMBER(BT1272),BT1272,"")</f>
        <v>31</v>
      </c>
      <c r="CE1272" s="13" t="str">
        <f>IF(AND(COUNT(BV1272,CC1272,CD1272)=3,MIN(BV1272,CC1272,CD1272)&gt;=0),BV1272*CC1272*CD1272,"")</f>
      </c>
      <c r="CF1272" s="11" t="n">
        <f>IF(ISNUMBER(BQ1272),BQ1272,"")</f>
        <v>1.1595882717182624</v>
      </c>
      <c r="CG1272" s="14" t="n">
        <f>IF(ISNUMBER(BU1272),BU1272,"")</f>
        <v>17</v>
      </c>
      <c r="CH1272" s="13" t="str">
        <f>IF(AND(COUNT(BV1272,CF1272,CG1272)=3,MIN(BV1272,CF1272,CG1272)&gt;=0),BV1272*CF1272*CG1272,"")</f>
      </c>
      <c r="CI1272" s="13" t="str">
        <f>IF(COUNT(BY1272,CB1272,CE1272,CH1272)=4,SUM(BY1272,CB1272,CE1272,CH1272),"")</f>
      </c>
    </row>
    <row r="1273" ht="72" customHeight="1">
      <c r="A1273" s="16" t="str">
        <v>2311062-RD-P-O-9</v>
      </c>
      <c r="B1273" s="16" t="str">
        <v>4店-彬郁-US</v>
      </c>
      <c r="C1273" s="16" t="str">
        <v>陈晨</v>
      </c>
      <c r="D1273" s="26" t="str">
        <f>IF(NOT(ISNUMBER(E1273)),"",IF(OR(E1273&lt;=0,L1273=0),0,IF(OR(NOT(ISNUMBER(F1273)),F1273&lt;0),"",MIN(E1273,INT(F1273)))))</f>
      </c>
      <c r="E1273" s="27" t="str">
        <f>IF(OR(NOT(ISNUMBER(L1273)),COUNT(M1273:O1273)&lt;&gt;3,MIN(M1273:O1273)&lt;0),"",ROUNDUP(ROUND(BI1273-SUM(M1273:O1273),10),0))</f>
      </c>
      <c r="F1273" s="28" t="n">
        <v>1</v>
      </c>
      <c r="G1273" s="28" t="str">
        <f>IF(AND(ISNUMBER(D1273),ISNUMBER(E1273)),IF(OR(E1273&lt;=0,L1273=0),0,E1273-D1273),"")</f>
      </c>
      <c r="H1273" s="16" t="str">
        <f>IF(NOT(ISNUMBER(E1273)),"销量或海外库存待补",IF(OR(E1273&lt;=0,L1273=0),IF(L1273=0,"零日销，本批不发","本批无需补货"),IF(NOT(ISNUMBER(D1273)),"国内库存待补",IF(D1273=0,"国内无可用库存",IF(G1273&gt;0,"先发国内现货","按建议量发货")))))</f>
        <v>销量或海外库存待补</v>
      </c>
      <c r="I1273" s="28" t="n">
        <f>IF(AND(COUNT(Z1273,AA1273,AB1273)=3,Z1273&gt;=AA1273,AA1273&gt;=0,AB1273=7),Z1273-AA1273,"")</f>
        <v>0</v>
      </c>
      <c r="J1273" s="28" t="n">
        <f>IF(AND(COUNT(AF1273,AG1273,AH1273)=3,AF1273&gt;=AG1273,AG1273&gt;=0,AH1273=14),AF1273-AG1273,"")</f>
        <v>0</v>
      </c>
      <c r="K1273" s="28" t="n">
        <f>IF(AND(COUNT(AL1273,AM1273,AN1273)=3,AL1273&gt;=AM1273,AM1273&gt;=0,AN1273=30),AL1273-AM1273,"")</f>
        <v>1</v>
      </c>
      <c r="L1273" s="29" t="str">
        <f>IF(ISNUMBER(BI1273),BI1273/90,"")</f>
      </c>
      <c r="M1273" s="28" t="n">
        <v>0</v>
      </c>
      <c r="N1273" s="28" t="n">
        <v>0</v>
      </c>
      <c r="O1273" s="28" t="n">
        <v>80</v>
      </c>
      <c r="P1273" s="30" t="str">
        <f>IF(AND(ISNUMBER(L1273),L1273&gt;0,COUNT(M1273:O1273)=3,MIN(M1273:O1273)&gt;=0),SUM(M1273:O1273)/L1273,"")</f>
      </c>
      <c r="Q1273" s="16" t="str">
        <v>沿用原计划SKU店铺</v>
      </c>
      <c r="R1273" s="16" t="str">
        <v>已匹配</v>
      </c>
      <c r="S1273" s="16" t="str">
        <v>在售</v>
      </c>
      <c r="T1273" s="16" t="str">
        <v>2311062</v>
      </c>
      <c r="U1273" s="16" t="str">
        <v>酒红 PU</v>
      </c>
      <c r="V1273" s="16" t="n">
        <v>9</v>
      </c>
      <c r="W1273" s="8" t="str">
        <v>2026-10-11 至 2026-10-17</v>
      </c>
      <c r="X1273" s="8" t="str">
        <v>2026-10-11、2026-10-12、2026-10-13、2026-10-14、2026-10-15、2026-10-16、2026-10-17</v>
      </c>
      <c r="Y1273" s="8" t="str">
        <v>无</v>
      </c>
      <c r="Z1273" s="8" t="n">
        <v>0</v>
      </c>
      <c r="AA1273" s="8" t="n">
        <v>0</v>
      </c>
      <c r="AB1273" s="8" t="n">
        <v>7</v>
      </c>
      <c r="AC1273" s="8" t="str">
        <v>2026-10-02 至 2026-10-17</v>
      </c>
      <c r="AD1273" s="8" t="str">
        <v>2026-10-02、2026-10-03、2026-10-04、2026-10-05、2026-10-08、2026-10-09、2026-10-10、2026-10-11、2026-10-12、2026-10-13、2026-10-14、2026-10-15、2026-10-16、2026-10-17</v>
      </c>
      <c r="AE1273" s="8" t="str">
        <v>2026-10-06 大促；2026-10-07 大促</v>
      </c>
      <c r="AF1273" s="8" t="n">
        <v>0</v>
      </c>
      <c r="AG1273" s="8" t="n">
        <v>0</v>
      </c>
      <c r="AH1273" s="8" t="n">
        <v>14</v>
      </c>
      <c r="AI1273" s="8" t="str">
        <v>2026-09-16 至 2026-10-17</v>
      </c>
      <c r="AJ127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3" s="8" t="str">
        <v>2026-10-06 大促；2026-10-07 大促</v>
      </c>
      <c r="AL1273" s="8" t="n">
        <v>1</v>
      </c>
      <c r="AM1273" s="8" t="n">
        <v>0</v>
      </c>
      <c r="AN1273" s="8" t="n">
        <v>30</v>
      </c>
      <c r="AO1273" s="8" t="str">
        <v>2311062 / 酒红PU / 13306</v>
      </c>
      <c r="AP1273" s="11" t="n">
        <v>1.4758912429949873</v>
      </c>
      <c r="AQ1273" s="11" t="n">
        <v>1.4758912429949873</v>
      </c>
      <c r="AR1273" s="11" t="n">
        <v>1.4124697525543728</v>
      </c>
      <c r="AS1273" s="11" t="n">
        <f>IF(AND(COUNT(I1273:K1273,AP1273:AR1273)=6,MIN(AP1273:AR1273)&gt;0),I1273/7/AP1273*0.5+J1273/14/AQ1273*0.3+K1273/30/AR1273*0.2,"")</f>
        <v>0.00471986508356046</v>
      </c>
      <c r="AT1273" s="8" t="n">
        <v>5</v>
      </c>
      <c r="AU1273" s="8" t="n">
        <v>0</v>
      </c>
      <c r="AV1273" s="8" t="n">
        <v>88</v>
      </c>
      <c r="AW1273" s="11" t="n">
        <f>IF(AND(COUNT(AT1273:AV1273)=3,AT1273&gt;=AU1273,AU1273&gt;=0,AV1273&gt;0),(AT1273-AU1273)/AV1273,"")</f>
        <v>0.056818181818181816</v>
      </c>
      <c r="AX1273" s="8" t="n">
        <v>14</v>
      </c>
      <c r="AY1273" s="8" t="n">
        <v>0</v>
      </c>
      <c r="AZ1273" s="8" t="n">
        <v>178</v>
      </c>
      <c r="BA1273" s="11" t="n">
        <f>IF(AND(COUNT(AX1273:AZ1273)=3,AX1273&gt;=AY1273,AY1273&gt;=0,AZ1273&gt;0),(AX1273-AY1273)/AZ1273,"")</f>
        <v>0.07865168539325842</v>
      </c>
      <c r="BB1273" s="8" t="n">
        <f>IF(COUNT(AS1273,AW1273,BA1273)=3,1,0)</f>
        <v>1</v>
      </c>
      <c r="BC1273" s="11" t="str">
        <f>IF(SUMIF($AO$11:$AO$1309,AO1273,$BB$11:$BB$1309)=COUNTIF($AO$11:$AO$1309,AO1273),SUMIF($AO$11:$AO$1309,AO1273,$AS$11:$AS$1309),"")</f>
      </c>
      <c r="BD1273" s="11" t="str">
        <f>IF(SUMIF($AO$11:$AO$1309,AO1273,$BB$11:$BB$1309)=COUNTIF($AO$11:$AO$1309,AO1273),SUMIF($AO$11:$AO$1309,AO1273,$AW$11:$AW$1309),"")</f>
      </c>
      <c r="BE1273" s="11" t="str">
        <f>IF(SUMIF($AO$11:$AO$1309,AO1273,$BB$11:$BB$1309)=COUNTIF($AO$11:$AO$1309,AO1273),SUMIF($AO$11:$AO$1309,AO1273,$BA$11:$BA$1309),"")</f>
      </c>
      <c r="BF1273" s="12" t="str">
        <f>IF(COUNT(BD1273:BE1273)&lt;&gt;2,"",IF(AND(BD1273&gt;0,BE1273&gt;0),0.7*AW1273/BD1273+0.3*BA1273/BE1273,IF(BD1273&gt;0,AW1273/BD1273,IF(BE1273&gt;0,BA1273/BE1273,IF(AND(ISNUMBER(BH1273),BH1273=0),0,"")))))</f>
      </c>
      <c r="BG1273" s="11" t="n">
        <f>IF(AND(COUNT(BN1273:BU1273)=8,MIN(BN1273:BU1273)&gt;=0),SUMPRODUCT(BN1273:BQ1273,BR1273:BU1273),"")</f>
        <v>83.81006574832674</v>
      </c>
      <c r="BH1273" s="11" t="str">
        <f>IF(COUNT(BC1273,BG1273)=2,BC1273*BG1273,"")</f>
      </c>
      <c r="BI1273" s="11" t="str">
        <f>IF(ISNUMBER(CI1273),CI1273,"")</f>
      </c>
      <c r="BJ1273" s="8" t="str">
        <v>同组销量待核：2311062-RD-P-O-11；低销提醒依据不完整</v>
      </c>
      <c r="BK1273" s="8" t="str">
        <v>90天：2026-07-20 至 2026-10-17；180天：2026-04-21 至 2026-10-17</v>
      </c>
      <c r="BL1273" s="8" t="str">
        <v>90天：2026-10-06、2026-10-07；180天：2026-10-06、2026-10-07</v>
      </c>
      <c r="BM1273" s="8" t="str">
        <v>2026-10：12天 × 1.4758912429949873；2026-11：30天 × 0.906602681585801；2026-12：31天 × 0.6189770892129804；2027-01：17天 × 1.1595882717182624</v>
      </c>
      <c r="BN1273" s="11" t="n">
        <v>1.4758912429949873</v>
      </c>
      <c r="BO1273" s="11" t="n">
        <v>0.906602681585801</v>
      </c>
      <c r="BP1273" s="11" t="n">
        <v>0.6189770892129804</v>
      </c>
      <c r="BQ1273" s="11" t="n">
        <v>1.1595882717182624</v>
      </c>
      <c r="BR1273" s="8" t="n">
        <v>12</v>
      </c>
      <c r="BS1273" s="8" t="n">
        <v>30</v>
      </c>
      <c r="BT1273" s="8" t="n">
        <v>31</v>
      </c>
      <c r="BU1273" s="8" t="n">
        <v>17</v>
      </c>
      <c r="BV1273" s="11" t="str">
        <f>IF(COUNT(BC1273,BF1273)=2,BC1273*BF1273,"")</f>
      </c>
      <c r="BW1273" s="11" t="n">
        <f>IF(ISNUMBER(BN1273),BN1273,"")</f>
        <v>1.4758912429949873</v>
      </c>
      <c r="BX1273" s="14" t="n">
        <f>IF(ISNUMBER(BR1273),BR1273,"")</f>
        <v>12</v>
      </c>
      <c r="BY1273" s="13" t="str">
        <f>IF(AND(COUNT(BV1273,BW1273,BX1273)=3,MIN(BV1273,BW1273,BX1273)&gt;=0),BV1273*BW1273*BX1273,"")</f>
      </c>
      <c r="BZ1273" s="11" t="n">
        <f>IF(ISNUMBER(BO1273),BO1273,"")</f>
        <v>0.906602681585801</v>
      </c>
      <c r="CA1273" s="14" t="n">
        <f>IF(ISNUMBER(BS1273),BS1273,"")</f>
        <v>30</v>
      </c>
      <c r="CB1273" s="13" t="str">
        <f>IF(AND(COUNT(BV1273,BZ1273,CA1273)=3,MIN(BV1273,BZ1273,CA1273)&gt;=0),BV1273*BZ1273*CA1273,"")</f>
      </c>
      <c r="CC1273" s="11" t="n">
        <f>IF(ISNUMBER(BP1273),BP1273,"")</f>
        <v>0.6189770892129804</v>
      </c>
      <c r="CD1273" s="14" t="n">
        <f>IF(ISNUMBER(BT1273),BT1273,"")</f>
        <v>31</v>
      </c>
      <c r="CE1273" s="13" t="str">
        <f>IF(AND(COUNT(BV1273,CC1273,CD1273)=3,MIN(BV1273,CC1273,CD1273)&gt;=0),BV1273*CC1273*CD1273,"")</f>
      </c>
      <c r="CF1273" s="11" t="n">
        <f>IF(ISNUMBER(BQ1273),BQ1273,"")</f>
        <v>1.1595882717182624</v>
      </c>
      <c r="CG1273" s="14" t="n">
        <f>IF(ISNUMBER(BU1273),BU1273,"")</f>
        <v>17</v>
      </c>
      <c r="CH1273" s="13" t="str">
        <f>IF(AND(COUNT(BV1273,CF1273,CG1273)=3,MIN(BV1273,CF1273,CG1273)&gt;=0),BV1273*CF1273*CG1273,"")</f>
      </c>
      <c r="CI1273" s="13" t="str">
        <f>IF(COUNT(BY1273,CB1273,CE1273,CH1273)=4,SUM(BY1273,CB1273,CE1273,CH1273),"")</f>
      </c>
    </row>
    <row r="1274" ht="72" customHeight="1">
      <c r="A1274" s="16" t="str">
        <v>2311062-TN-P-O-10</v>
      </c>
      <c r="B1274" s="16" t="str">
        <v>4店-彬郁-US</v>
      </c>
      <c r="C1274" s="16" t="str">
        <v>陈晨</v>
      </c>
      <c r="D1274" s="26" t="str">
        <f>IF(NOT(ISNUMBER(E1274)),"",IF(OR(E1274&lt;=0,L1274=0),0,IF(OR(NOT(ISNUMBER(F1274)),F1274&lt;0),"",MIN(E1274,INT(F1274)))))</f>
      </c>
      <c r="E1274" s="27" t="str">
        <f>IF(OR(NOT(ISNUMBER(L1274)),COUNT(M1274:O1274)&lt;&gt;3,MIN(M1274:O1274)&lt;0),"",ROUNDUP(ROUND(BI1274-SUM(M1274:O1274),10),0))</f>
      </c>
      <c r="F1274" s="28"/>
      <c r="G1274" s="28" t="str">
        <f>IF(AND(ISNUMBER(D1274),ISNUMBER(E1274)),IF(OR(E1274&lt;=0,L1274=0),0,E1274-D1274),"")</f>
      </c>
      <c r="H1274" s="16" t="str">
        <f>IF(NOT(ISNUMBER(E1274)),"销量或海外库存待补",IF(OR(E1274&lt;=0,L1274=0),IF(L1274=0,"零日销，本批不发","本批无需补货"),IF(NOT(ISNUMBER(D1274)),"国内库存待补",IF(D1274=0,"国内无可用库存",IF(G1274&gt;0,"先发国内现货","按建议量发货")))))</f>
        <v>销量或海外库存待补</v>
      </c>
      <c r="I1274" s="28" t="str">
        <f>IF(AND(COUNT(Z1274,AA1274,AB1274)=3,Z1274&gt;=AA1274,AA1274&gt;=0,AB1274=7),Z1274-AA1274,"")</f>
      </c>
      <c r="J1274" s="28" t="str">
        <f>IF(AND(COUNT(AF1274,AG1274,AH1274)=3,AF1274&gt;=AG1274,AG1274&gt;=0,AH1274=14),AF1274-AG1274,"")</f>
      </c>
      <c r="K1274" s="28" t="str">
        <f>IF(AND(COUNT(AL1274,AM1274,AN1274)=3,AL1274&gt;=AM1274,AM1274&gt;=0,AN1274=30),AL1274-AM1274,"")</f>
      </c>
      <c r="L1274" s="29" t="str">
        <f>IF(ISNUMBER(BI1274),BI1274/90,"")</f>
      </c>
      <c r="M1274" s="28"/>
      <c r="N1274" s="28"/>
      <c r="O1274" s="28"/>
      <c r="P1274" s="30" t="str">
        <f>IF(AND(ISNUMBER(L1274),L1274&gt;0,COUNT(M1274:O1274)=3,MIN(M1274:O1274)&gt;=0),SUM(M1274:O1274)/L1274,"")</f>
      </c>
      <c r="Q1274" s="16" t="str">
        <v>沿用同SPU原计划店铺</v>
      </c>
      <c r="R1274" s="16" t="str">
        <v>未匹配</v>
      </c>
      <c r="S1274" s="16" t="str">
        <v>未匹配Listing</v>
      </c>
      <c r="T1274" s="16" t="str">
        <v>2311062</v>
      </c>
      <c r="U1274" s="16" t="str">
        <v>驼色 PU</v>
      </c>
      <c r="V1274" s="16" t="n">
        <v>10</v>
      </c>
      <c r="W1274" s="8" t="str">
        <v>2026-10-11 至 2026-10-17</v>
      </c>
      <c r="X1274" s="8" t="str">
        <v>2026-10-11、2026-10-12、2026-10-13、2026-10-14、2026-10-15、2026-10-16、2026-10-17</v>
      </c>
      <c r="Y1274" s="8" t="str">
        <v>无</v>
      </c>
      <c r="Z1274" s="8"/>
      <c r="AA1274" s="8" t="n">
        <v>0</v>
      </c>
      <c r="AB1274" s="8"/>
      <c r="AC1274" s="8" t="str">
        <v>2026-10-02 至 2026-10-17</v>
      </c>
      <c r="AD1274" s="8" t="str">
        <v>2026-10-02、2026-10-03、2026-10-04、2026-10-05、2026-10-08、2026-10-09、2026-10-10、2026-10-11、2026-10-12、2026-10-13、2026-10-14、2026-10-15、2026-10-16、2026-10-17</v>
      </c>
      <c r="AE1274" s="8" t="str">
        <v>2026-10-06 大促；2026-10-07 大促</v>
      </c>
      <c r="AF1274" s="8"/>
      <c r="AG1274" s="8"/>
      <c r="AH1274" s="8"/>
      <c r="AI1274" s="8" t="str">
        <v>2026-09-16 至 2026-10-17</v>
      </c>
      <c r="AJ127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4" s="8" t="str">
        <v>2026-10-06 大促；2026-10-07 大促</v>
      </c>
      <c r="AL1274" s="8"/>
      <c r="AM1274" s="8"/>
      <c r="AN1274" s="8"/>
      <c r="AO1274" s="8" t="str">
        <v>2311062 / 驼色PU / 13306</v>
      </c>
      <c r="AP1274" s="11" t="n">
        <v>1.4758912429949873</v>
      </c>
      <c r="AQ1274" s="11" t="n">
        <v>1.4758912429949873</v>
      </c>
      <c r="AR1274" s="11" t="n">
        <v>1.4124697525543728</v>
      </c>
      <c r="AS1274" s="11" t="str">
        <f>IF(AND(COUNT(I1274:K1274,AP1274:AR1274)=6,MIN(AP1274:AR1274)&gt;0),I1274/7/AP1274*0.5+J1274/14/AQ1274*0.3+K1274/30/AR1274*0.2,"")</f>
      </c>
      <c r="AT1274" s="8"/>
      <c r="AU1274" s="8"/>
      <c r="AV1274" s="8"/>
      <c r="AW1274" s="11" t="str">
        <f>IF(AND(COUNT(AT1274:AV1274)=3,AT1274&gt;=AU1274,AU1274&gt;=0,AV1274&gt;0),(AT1274-AU1274)/AV1274,"")</f>
      </c>
      <c r="AX1274" s="8"/>
      <c r="AY1274" s="8"/>
      <c r="AZ1274" s="8"/>
      <c r="BA1274" s="11" t="str">
        <f>IF(AND(COUNT(AX1274:AZ1274)=3,AX1274&gt;=AY1274,AY1274&gt;=0,AZ1274&gt;0),(AX1274-AY1274)/AZ1274,"")</f>
      </c>
      <c r="BB1274" s="8" t="n">
        <f>IF(COUNT(AS1274,AW1274,BA1274)=3,1,0)</f>
        <v>0</v>
      </c>
      <c r="BC1274" s="11" t="str">
        <f>IF(SUMIF($AO$11:$AO$1309,AO1274,$BB$11:$BB$1309)=COUNTIF($AO$11:$AO$1309,AO1274),SUMIF($AO$11:$AO$1309,AO1274,$AS$11:$AS$1309),"")</f>
      </c>
      <c r="BD1274" s="11" t="str">
        <f>IF(SUMIF($AO$11:$AO$1309,AO1274,$BB$11:$BB$1309)=COUNTIF($AO$11:$AO$1309,AO1274),SUMIF($AO$11:$AO$1309,AO1274,$AW$11:$AW$1309),"")</f>
      </c>
      <c r="BE1274" s="11" t="str">
        <f>IF(SUMIF($AO$11:$AO$1309,AO1274,$BB$11:$BB$1309)=COUNTIF($AO$11:$AO$1309,AO1274),SUMIF($AO$11:$AO$1309,AO1274,$BA$11:$BA$1309),"")</f>
      </c>
      <c r="BF1274" s="12" t="str">
        <f>IF(COUNT(BD1274:BE1274)&lt;&gt;2,"",IF(AND(BD1274&gt;0,BE1274&gt;0),0.7*AW1274/BD1274+0.3*BA1274/BE1274,IF(BD1274&gt;0,AW1274/BD1274,IF(BE1274&gt;0,BA1274/BE1274,IF(AND(ISNUMBER(BH1274),BH1274=0),0,"")))))</f>
      </c>
      <c r="BG1274" s="11" t="n">
        <f>IF(AND(COUNT(BN1274:BU1274)=8,MIN(BN1274:BU1274)&gt;=0),SUMPRODUCT(BN1274:BQ1274,BR1274:BU1274),"")</f>
        <v>83.81006574832674</v>
      </c>
      <c r="BH1274" s="11" t="str">
        <f>IF(COUNT(BC1274,BG1274)=2,BC1274*BG1274,"")</f>
      </c>
      <c r="BI1274" s="11" t="str">
        <f>IF(ISNUMBER(CI1274),CI1274,"")</f>
      </c>
      <c r="BJ1274" s="8" t="str">
        <v>同组销量待核：2311062-TN-P-O-10、2311062-TN-P-O-11；低销提醒依据不完整</v>
      </c>
      <c r="BK1274" s="8" t="str">
        <v>90天：2026-07-20 至 2026-10-17；180天：2026-04-21 至 2026-10-17</v>
      </c>
      <c r="BL1274" s="8" t="str">
        <v>90天：2026-10-06、2026-10-07；180天：2026-10-06、2026-10-07</v>
      </c>
      <c r="BM1274" s="8" t="str">
        <v>2026-10：12天 × 1.4758912429949873；2026-11：30天 × 0.906602681585801；2026-12：31天 × 0.6189770892129804；2027-01：17天 × 1.1595882717182624</v>
      </c>
      <c r="BN1274" s="11" t="n">
        <v>1.4758912429949873</v>
      </c>
      <c r="BO1274" s="11" t="n">
        <v>0.906602681585801</v>
      </c>
      <c r="BP1274" s="11" t="n">
        <v>0.6189770892129804</v>
      </c>
      <c r="BQ1274" s="11" t="n">
        <v>1.1595882717182624</v>
      </c>
      <c r="BR1274" s="8" t="n">
        <v>12</v>
      </c>
      <c r="BS1274" s="8" t="n">
        <v>30</v>
      </c>
      <c r="BT1274" s="8" t="n">
        <v>31</v>
      </c>
      <c r="BU1274" s="8" t="n">
        <v>17</v>
      </c>
      <c r="BV1274" s="11" t="str">
        <f>IF(COUNT(BC1274,BF1274)=2,BC1274*BF1274,"")</f>
      </c>
      <c r="BW1274" s="11" t="n">
        <f>IF(ISNUMBER(BN1274),BN1274,"")</f>
        <v>1.4758912429949873</v>
      </c>
      <c r="BX1274" s="14" t="n">
        <f>IF(ISNUMBER(BR1274),BR1274,"")</f>
        <v>12</v>
      </c>
      <c r="BY1274" s="13" t="str">
        <f>IF(AND(COUNT(BV1274,BW1274,BX1274)=3,MIN(BV1274,BW1274,BX1274)&gt;=0),BV1274*BW1274*BX1274,"")</f>
      </c>
      <c r="BZ1274" s="11" t="n">
        <f>IF(ISNUMBER(BO1274),BO1274,"")</f>
        <v>0.906602681585801</v>
      </c>
      <c r="CA1274" s="14" t="n">
        <f>IF(ISNUMBER(BS1274),BS1274,"")</f>
        <v>30</v>
      </c>
      <c r="CB1274" s="13" t="str">
        <f>IF(AND(COUNT(BV1274,BZ1274,CA1274)=3,MIN(BV1274,BZ1274,CA1274)&gt;=0),BV1274*BZ1274*CA1274,"")</f>
      </c>
      <c r="CC1274" s="11" t="n">
        <f>IF(ISNUMBER(BP1274),BP1274,"")</f>
        <v>0.6189770892129804</v>
      </c>
      <c r="CD1274" s="14" t="n">
        <f>IF(ISNUMBER(BT1274),BT1274,"")</f>
        <v>31</v>
      </c>
      <c r="CE1274" s="13" t="str">
        <f>IF(AND(COUNT(BV1274,CC1274,CD1274)=3,MIN(BV1274,CC1274,CD1274)&gt;=0),BV1274*CC1274*CD1274,"")</f>
      </c>
      <c r="CF1274" s="11" t="n">
        <f>IF(ISNUMBER(BQ1274),BQ1274,"")</f>
        <v>1.1595882717182624</v>
      </c>
      <c r="CG1274" s="14" t="n">
        <f>IF(ISNUMBER(BU1274),BU1274,"")</f>
        <v>17</v>
      </c>
      <c r="CH1274" s="13" t="str">
        <f>IF(AND(COUNT(BV1274,CF1274,CG1274)=3,MIN(BV1274,CF1274,CG1274)&gt;=0),BV1274*CF1274*CG1274,"")</f>
      </c>
      <c r="CI1274" s="13" t="str">
        <f>IF(COUNT(BY1274,CB1274,CE1274,CH1274)=4,SUM(BY1274,CB1274,CE1274,CH1274),"")</f>
      </c>
    </row>
    <row r="1275" ht="72" customHeight="1">
      <c r="A1275" s="16" t="str">
        <v>2311062-TN-P-O-11</v>
      </c>
      <c r="B1275" s="16" t="str">
        <v>4店-彬郁-US</v>
      </c>
      <c r="C1275" s="16" t="str">
        <v>陈晨</v>
      </c>
      <c r="D1275" s="26" t="str">
        <f>IF(NOT(ISNUMBER(E1275)),"",IF(OR(E1275&lt;=0,L1275=0),0,IF(OR(NOT(ISNUMBER(F1275)),F1275&lt;0),"",MIN(E1275,INT(F1275)))))</f>
      </c>
      <c r="E1275" s="27" t="str">
        <f>IF(OR(NOT(ISNUMBER(L1275)),COUNT(M1275:O1275)&lt;&gt;3,MIN(M1275:O1275)&lt;0),"",ROUNDUP(ROUND(BI1275-SUM(M1275:O1275),10),0))</f>
      </c>
      <c r="F1275" s="28"/>
      <c r="G1275" s="28" t="str">
        <f>IF(AND(ISNUMBER(D1275),ISNUMBER(E1275)),IF(OR(E1275&lt;=0,L1275=0),0,E1275-D1275),"")</f>
      </c>
      <c r="H1275" s="16" t="str">
        <f>IF(NOT(ISNUMBER(E1275)),"销量或海外库存待补",IF(OR(E1275&lt;=0,L1275=0),IF(L1275=0,"零日销，本批不发","本批无需补货"),IF(NOT(ISNUMBER(D1275)),"国内库存待补",IF(D1275=0,"国内无可用库存",IF(G1275&gt;0,"先发国内现货","按建议量发货")))))</f>
        <v>销量或海外库存待补</v>
      </c>
      <c r="I1275" s="28" t="str">
        <f>IF(AND(COUNT(Z1275,AA1275,AB1275)=3,Z1275&gt;=AA1275,AA1275&gt;=0,AB1275=7),Z1275-AA1275,"")</f>
      </c>
      <c r="J1275" s="28" t="str">
        <f>IF(AND(COUNT(AF1275,AG1275,AH1275)=3,AF1275&gt;=AG1275,AG1275&gt;=0,AH1275=14),AF1275-AG1275,"")</f>
      </c>
      <c r="K1275" s="28" t="str">
        <f>IF(AND(COUNT(AL1275,AM1275,AN1275)=3,AL1275&gt;=AM1275,AM1275&gt;=0,AN1275=30),AL1275-AM1275,"")</f>
      </c>
      <c r="L1275" s="29" t="str">
        <f>IF(ISNUMBER(BI1275),BI1275/90,"")</f>
      </c>
      <c r="M1275" s="28"/>
      <c r="N1275" s="28"/>
      <c r="O1275" s="28"/>
      <c r="P1275" s="30" t="str">
        <f>IF(AND(ISNUMBER(L1275),L1275&gt;0,COUNT(M1275:O1275)=3,MIN(M1275:O1275)&gt;=0),SUM(M1275:O1275)/L1275,"")</f>
      </c>
      <c r="Q1275" s="16" t="str">
        <v>沿用同SPU原计划店铺</v>
      </c>
      <c r="R1275" s="16" t="str">
        <v>未匹配</v>
      </c>
      <c r="S1275" s="16" t="str">
        <v>未匹配Listing</v>
      </c>
      <c r="T1275" s="16" t="str">
        <v>2311062</v>
      </c>
      <c r="U1275" s="16" t="str">
        <v>驼色 PU</v>
      </c>
      <c r="V1275" s="16" t="n">
        <v>11</v>
      </c>
      <c r="W1275" s="8" t="str">
        <v>2026-10-11 至 2026-10-17</v>
      </c>
      <c r="X1275" s="8" t="str">
        <v>2026-10-11、2026-10-12、2026-10-13、2026-10-14、2026-10-15、2026-10-16、2026-10-17</v>
      </c>
      <c r="Y1275" s="8" t="str">
        <v>无</v>
      </c>
      <c r="Z1275" s="8"/>
      <c r="AA1275" s="8" t="n">
        <v>0</v>
      </c>
      <c r="AB1275" s="8"/>
      <c r="AC1275" s="8" t="str">
        <v>2026-10-02 至 2026-10-17</v>
      </c>
      <c r="AD1275" s="8" t="str">
        <v>2026-10-02、2026-10-03、2026-10-04、2026-10-05、2026-10-08、2026-10-09、2026-10-10、2026-10-11、2026-10-12、2026-10-13、2026-10-14、2026-10-15、2026-10-16、2026-10-17</v>
      </c>
      <c r="AE1275" s="8" t="str">
        <v>2026-10-06 大促；2026-10-07 大促</v>
      </c>
      <c r="AF1275" s="8"/>
      <c r="AG1275" s="8"/>
      <c r="AH1275" s="8"/>
      <c r="AI1275" s="8" t="str">
        <v>2026-09-16 至 2026-10-17</v>
      </c>
      <c r="AJ127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5" s="8" t="str">
        <v>2026-10-06 大促；2026-10-07 大促</v>
      </c>
      <c r="AL1275" s="8"/>
      <c r="AM1275" s="8"/>
      <c r="AN1275" s="8"/>
      <c r="AO1275" s="8" t="str">
        <v>2311062 / 驼色PU / 13306</v>
      </c>
      <c r="AP1275" s="11" t="n">
        <v>1.4758912429949873</v>
      </c>
      <c r="AQ1275" s="11" t="n">
        <v>1.4758912429949873</v>
      </c>
      <c r="AR1275" s="11" t="n">
        <v>1.4124697525543728</v>
      </c>
      <c r="AS1275" s="11" t="str">
        <f>IF(AND(COUNT(I1275:K1275,AP1275:AR1275)=6,MIN(AP1275:AR1275)&gt;0),I1275/7/AP1275*0.5+J1275/14/AQ1275*0.3+K1275/30/AR1275*0.2,"")</f>
      </c>
      <c r="AT1275" s="8"/>
      <c r="AU1275" s="8"/>
      <c r="AV1275" s="8"/>
      <c r="AW1275" s="11" t="str">
        <f>IF(AND(COUNT(AT1275:AV1275)=3,AT1275&gt;=AU1275,AU1275&gt;=0,AV1275&gt;0),(AT1275-AU1275)/AV1275,"")</f>
      </c>
      <c r="AX1275" s="8"/>
      <c r="AY1275" s="8"/>
      <c r="AZ1275" s="8"/>
      <c r="BA1275" s="11" t="str">
        <f>IF(AND(COUNT(AX1275:AZ1275)=3,AX1275&gt;=AY1275,AY1275&gt;=0,AZ1275&gt;0),(AX1275-AY1275)/AZ1275,"")</f>
      </c>
      <c r="BB1275" s="8" t="n">
        <f>IF(COUNT(AS1275,AW1275,BA1275)=3,1,0)</f>
        <v>0</v>
      </c>
      <c r="BC1275" s="11" t="str">
        <f>IF(SUMIF($AO$11:$AO$1309,AO1275,$BB$11:$BB$1309)=COUNTIF($AO$11:$AO$1309,AO1275),SUMIF($AO$11:$AO$1309,AO1275,$AS$11:$AS$1309),"")</f>
      </c>
      <c r="BD1275" s="11" t="str">
        <f>IF(SUMIF($AO$11:$AO$1309,AO1275,$BB$11:$BB$1309)=COUNTIF($AO$11:$AO$1309,AO1275),SUMIF($AO$11:$AO$1309,AO1275,$AW$11:$AW$1309),"")</f>
      </c>
      <c r="BE1275" s="11" t="str">
        <f>IF(SUMIF($AO$11:$AO$1309,AO1275,$BB$11:$BB$1309)=COUNTIF($AO$11:$AO$1309,AO1275),SUMIF($AO$11:$AO$1309,AO1275,$BA$11:$BA$1309),"")</f>
      </c>
      <c r="BF1275" s="12" t="str">
        <f>IF(COUNT(BD1275:BE1275)&lt;&gt;2,"",IF(AND(BD1275&gt;0,BE1275&gt;0),0.7*AW1275/BD1275+0.3*BA1275/BE1275,IF(BD1275&gt;0,AW1275/BD1275,IF(BE1275&gt;0,BA1275/BE1275,IF(AND(ISNUMBER(BH1275),BH1275=0),0,"")))))</f>
      </c>
      <c r="BG1275" s="11" t="n">
        <f>IF(AND(COUNT(BN1275:BU1275)=8,MIN(BN1275:BU1275)&gt;=0),SUMPRODUCT(BN1275:BQ1275,BR1275:BU1275),"")</f>
        <v>83.81006574832674</v>
      </c>
      <c r="BH1275" s="11" t="str">
        <f>IF(COUNT(BC1275,BG1275)=2,BC1275*BG1275,"")</f>
      </c>
      <c r="BI1275" s="11" t="str">
        <f>IF(ISNUMBER(CI1275),CI1275,"")</f>
      </c>
      <c r="BJ1275" s="8" t="str">
        <v>同组销量待核：2311062-TN-P-O-10、2311062-TN-P-O-11；低销提醒依据不完整</v>
      </c>
      <c r="BK1275" s="8" t="str">
        <v>90天：2026-07-20 至 2026-10-17；180天：2026-04-21 至 2026-10-17</v>
      </c>
      <c r="BL1275" s="8" t="str">
        <v>90天：2026-10-06、2026-10-07；180天：2026-10-06、2026-10-07</v>
      </c>
      <c r="BM1275" s="8" t="str">
        <v>2026-10：12天 × 1.4758912429949873；2026-11：30天 × 0.906602681585801；2026-12：31天 × 0.6189770892129804；2027-01：17天 × 1.1595882717182624</v>
      </c>
      <c r="BN1275" s="11" t="n">
        <v>1.4758912429949873</v>
      </c>
      <c r="BO1275" s="11" t="n">
        <v>0.906602681585801</v>
      </c>
      <c r="BP1275" s="11" t="n">
        <v>0.6189770892129804</v>
      </c>
      <c r="BQ1275" s="11" t="n">
        <v>1.1595882717182624</v>
      </c>
      <c r="BR1275" s="8" t="n">
        <v>12</v>
      </c>
      <c r="BS1275" s="8" t="n">
        <v>30</v>
      </c>
      <c r="BT1275" s="8" t="n">
        <v>31</v>
      </c>
      <c r="BU1275" s="8" t="n">
        <v>17</v>
      </c>
      <c r="BV1275" s="11" t="str">
        <f>IF(COUNT(BC1275,BF1275)=2,BC1275*BF1275,"")</f>
      </c>
      <c r="BW1275" s="11" t="n">
        <f>IF(ISNUMBER(BN1275),BN1275,"")</f>
        <v>1.4758912429949873</v>
      </c>
      <c r="BX1275" s="14" t="n">
        <f>IF(ISNUMBER(BR1275),BR1275,"")</f>
        <v>12</v>
      </c>
      <c r="BY1275" s="13" t="str">
        <f>IF(AND(COUNT(BV1275,BW1275,BX1275)=3,MIN(BV1275,BW1275,BX1275)&gt;=0),BV1275*BW1275*BX1275,"")</f>
      </c>
      <c r="BZ1275" s="11" t="n">
        <f>IF(ISNUMBER(BO1275),BO1275,"")</f>
        <v>0.906602681585801</v>
      </c>
      <c r="CA1275" s="14" t="n">
        <f>IF(ISNUMBER(BS1275),BS1275,"")</f>
        <v>30</v>
      </c>
      <c r="CB1275" s="13" t="str">
        <f>IF(AND(COUNT(BV1275,BZ1275,CA1275)=3,MIN(BV1275,BZ1275,CA1275)&gt;=0),BV1275*BZ1275*CA1275,"")</f>
      </c>
      <c r="CC1275" s="11" t="n">
        <f>IF(ISNUMBER(BP1275),BP1275,"")</f>
        <v>0.6189770892129804</v>
      </c>
      <c r="CD1275" s="14" t="n">
        <f>IF(ISNUMBER(BT1275),BT1275,"")</f>
        <v>31</v>
      </c>
      <c r="CE1275" s="13" t="str">
        <f>IF(AND(COUNT(BV1275,CC1275,CD1275)=3,MIN(BV1275,CC1275,CD1275)&gt;=0),BV1275*CC1275*CD1275,"")</f>
      </c>
      <c r="CF1275" s="11" t="n">
        <f>IF(ISNUMBER(BQ1275),BQ1275,"")</f>
        <v>1.1595882717182624</v>
      </c>
      <c r="CG1275" s="14" t="n">
        <f>IF(ISNUMBER(BU1275),BU1275,"")</f>
        <v>17</v>
      </c>
      <c r="CH1275" s="13" t="str">
        <f>IF(AND(COUNT(BV1275,CF1275,CG1275)=3,MIN(BV1275,CF1275,CG1275)&gt;=0),BV1275*CF1275*CG1275,"")</f>
      </c>
      <c r="CI1275" s="13" t="str">
        <f>IF(COUNT(BY1275,CB1275,CE1275,CH1275)=4,SUM(BY1275,CB1275,CE1275,CH1275),"")</f>
      </c>
    </row>
    <row r="1276" ht="72" customHeight="1">
      <c r="A1276" s="16" t="str">
        <v>2311062-TN-P-O-6</v>
      </c>
      <c r="B1276" s="16" t="str">
        <v>4店-彬郁-US</v>
      </c>
      <c r="C1276" s="16" t="str">
        <v>陈晨</v>
      </c>
      <c r="D1276" s="26" t="str">
        <f>IF(NOT(ISNUMBER(E1276)),"",IF(OR(E1276&lt;=0,L1276=0),0,IF(OR(NOT(ISNUMBER(F1276)),F1276&lt;0),"",MIN(E1276,INT(F1276)))))</f>
      </c>
      <c r="E1276" s="27" t="str">
        <f>IF(OR(NOT(ISNUMBER(L1276)),COUNT(M1276:O1276)&lt;&gt;3,MIN(M1276:O1276)&lt;0),"",ROUNDUP(ROUND(BI1276-SUM(M1276:O1276),10),0))</f>
      </c>
      <c r="F1276" s="28"/>
      <c r="G1276" s="28" t="str">
        <f>IF(AND(ISNUMBER(D1276),ISNUMBER(E1276)),IF(OR(E1276&lt;=0,L1276=0),0,E1276-D1276),"")</f>
      </c>
      <c r="H1276" s="16" t="str">
        <f>IF(NOT(ISNUMBER(E1276)),"销量或海外库存待补",IF(OR(E1276&lt;=0,L1276=0),IF(L1276=0,"零日销，本批不发","本批无需补货"),IF(NOT(ISNUMBER(D1276)),"国内库存待补",IF(D1276=0,"国内无可用库存",IF(G1276&gt;0,"先发国内现货","按建议量发货")))))</f>
        <v>销量或海外库存待补</v>
      </c>
      <c r="I1276" s="28" t="n">
        <f>IF(AND(COUNT(Z1276,AA1276,AB1276)=3,Z1276&gt;=AA1276,AA1276&gt;=0,AB1276=7),Z1276-AA1276,"")</f>
        <v>0</v>
      </c>
      <c r="J1276" s="28" t="n">
        <f>IF(AND(COUNT(AF1276,AG1276,AH1276)=3,AF1276&gt;=AG1276,AG1276&gt;=0,AH1276=14),AF1276-AG1276,"")</f>
        <v>0</v>
      </c>
      <c r="K1276" s="28" t="n">
        <f>IF(AND(COUNT(AL1276,AM1276,AN1276)=3,AL1276&gt;=AM1276,AM1276&gt;=0,AN1276=30),AL1276-AM1276,"")</f>
        <v>0</v>
      </c>
      <c r="L1276" s="29" t="str">
        <f>IF(ISNUMBER(BI1276),BI1276/90,"")</f>
      </c>
      <c r="M1276" s="28" t="n">
        <v>0</v>
      </c>
      <c r="N1276" s="28" t="n">
        <v>0</v>
      </c>
      <c r="O1276" s="28" t="n">
        <v>0</v>
      </c>
      <c r="P1276" s="30" t="str">
        <f>IF(AND(ISNUMBER(L1276),L1276&gt;0,COUNT(M1276:O1276)=3,MIN(M1276:O1276)&gt;=0),SUM(M1276:O1276)/L1276,"")</f>
      </c>
      <c r="Q1276" s="16" t="str">
        <v>按本SKU唯一未删除Listing店铺核实</v>
      </c>
      <c r="R1276" s="16" t="str">
        <v>未匹配</v>
      </c>
      <c r="S1276" s="16" t="str">
        <v>停售</v>
      </c>
      <c r="T1276" s="16" t="str">
        <v>2311062</v>
      </c>
      <c r="U1276" s="16" t="str">
        <v>驼色 PU</v>
      </c>
      <c r="V1276" s="16" t="n">
        <v>6</v>
      </c>
      <c r="W1276" s="8" t="str">
        <v>2026-10-10 至 2026-10-17</v>
      </c>
      <c r="X1276" s="8" t="str">
        <v>2026-10-10、2026-10-11、2026-10-12、2026-10-13、2026-10-14、2026-10-15、2026-10-17</v>
      </c>
      <c r="Y1276" s="8" t="str">
        <v>2026-10-16 有记录的停售日</v>
      </c>
      <c r="Z1276" s="8" t="n">
        <v>0</v>
      </c>
      <c r="AA1276" s="8" t="n">
        <v>0</v>
      </c>
      <c r="AB1276" s="8" t="n">
        <v>7</v>
      </c>
      <c r="AC1276" s="8" t="str">
        <v>2026-10-01 至 2026-10-17</v>
      </c>
      <c r="AD1276" s="8" t="str">
        <v>2026-10-01、2026-10-02、2026-10-03、2026-10-04、2026-10-05、2026-10-08、2026-10-09、2026-10-10、2026-10-11、2026-10-12、2026-10-13、2026-10-14、2026-10-15、2026-10-17</v>
      </c>
      <c r="AE1276" s="8" t="str">
        <v>2026-10-06 大促；2026-10-07 大促；2026-10-16 有记录的停售日</v>
      </c>
      <c r="AF1276" s="8" t="n">
        <v>0</v>
      </c>
      <c r="AG1276" s="8" t="n">
        <v>0</v>
      </c>
      <c r="AH1276" s="8" t="n">
        <v>14</v>
      </c>
      <c r="AI1276" s="8" t="str">
        <v>2026-09-15 至 2026-10-17</v>
      </c>
      <c r="AJ1276" s="8" t="str">
        <v>2026-09-15、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-17</v>
      </c>
      <c r="AK1276" s="8" t="str">
        <v>2026-10-06 大促；2026-10-07 大促；2026-10-16 有记录的停售日</v>
      </c>
      <c r="AL1276" s="8" t="n">
        <v>0</v>
      </c>
      <c r="AM1276" s="8" t="n">
        <v>0</v>
      </c>
      <c r="AN1276" s="8" t="n">
        <v>30</v>
      </c>
      <c r="AO1276" s="8" t="str">
        <v>2311062 / 驼色PU / 13306</v>
      </c>
      <c r="AP1276" s="11" t="n">
        <v>1.4758912429949873</v>
      </c>
      <c r="AQ1276" s="11" t="n">
        <v>1.4758912429949873</v>
      </c>
      <c r="AR1276" s="11" t="n">
        <v>1.4082416531916653</v>
      </c>
      <c r="AS1276" s="11" t="n">
        <f>IF(AND(COUNT(I1276:K1276,AP1276:AR1276)=6,MIN(AP1276:AR1276)&gt;0),I1276/7/AP1276*0.5+J1276/14/AQ1276*0.3+K1276/30/AR1276*0.2,"")</f>
        <v>0</v>
      </c>
      <c r="AT1276" s="8" t="n">
        <v>0</v>
      </c>
      <c r="AU1276" s="8" t="n">
        <v>0</v>
      </c>
      <c r="AV1276" s="8" t="n">
        <v>87</v>
      </c>
      <c r="AW1276" s="11" t="n">
        <f>IF(AND(COUNT(AT1276:AV1276)=3,AT1276&gt;=AU1276,AU1276&gt;=0,AV1276&gt;0),(AT1276-AU1276)/AV1276,"")</f>
        <v>0</v>
      </c>
      <c r="AX1276" s="8" t="n">
        <v>0</v>
      </c>
      <c r="AY1276" s="8" t="n">
        <v>0</v>
      </c>
      <c r="AZ1276" s="8" t="n">
        <v>177</v>
      </c>
      <c r="BA1276" s="11" t="n">
        <f>IF(AND(COUNT(AX1276:AZ1276)=3,AX1276&gt;=AY1276,AY1276&gt;=0,AZ1276&gt;0),(AX1276-AY1276)/AZ1276,"")</f>
        <v>0</v>
      </c>
      <c r="BB1276" s="8" t="n">
        <f>IF(COUNT(AS1276,AW1276,BA1276)=3,1,0)</f>
        <v>1</v>
      </c>
      <c r="BC1276" s="11" t="str">
        <f>IF(SUMIF($AO$11:$AO$1309,AO1276,$BB$11:$BB$1309)=COUNTIF($AO$11:$AO$1309,AO1276),SUMIF($AO$11:$AO$1309,AO1276,$AS$11:$AS$1309),"")</f>
      </c>
      <c r="BD1276" s="11" t="str">
        <f>IF(SUMIF($AO$11:$AO$1309,AO1276,$BB$11:$BB$1309)=COUNTIF($AO$11:$AO$1309,AO1276),SUMIF($AO$11:$AO$1309,AO1276,$AW$11:$AW$1309),"")</f>
      </c>
      <c r="BE1276" s="11" t="str">
        <f>IF(SUMIF($AO$11:$AO$1309,AO1276,$BB$11:$BB$1309)=COUNTIF($AO$11:$AO$1309,AO1276),SUMIF($AO$11:$AO$1309,AO1276,$BA$11:$BA$1309),"")</f>
      </c>
      <c r="BF1276" s="12" t="str">
        <f>IF(COUNT(BD1276:BE1276)&lt;&gt;2,"",IF(AND(BD1276&gt;0,BE1276&gt;0),0.7*AW1276/BD1276+0.3*BA1276/BE1276,IF(BD1276&gt;0,AW1276/BD1276,IF(BE1276&gt;0,BA1276/BE1276,IF(AND(ISNUMBER(BH1276),BH1276=0),0,"")))))</f>
      </c>
      <c r="BG1276" s="11" t="n">
        <f>IF(AND(COUNT(BN1276:BU1276)=8,MIN(BN1276:BU1276)&gt;=0),SUMPRODUCT(BN1276:BQ1276,BR1276:BU1276),"")</f>
        <v>83.81006574832674</v>
      </c>
      <c r="BH1276" s="11" t="str">
        <f>IF(COUNT(BC1276,BG1276)=2,BC1276*BG1276,"")</f>
      </c>
      <c r="BI1276" s="11" t="str">
        <f>IF(ISNUMBER(CI1276),CI1276,"")</f>
      </c>
      <c r="BJ1276" s="8" t="str">
        <v>同组销量待核：2311062-TN-P-O-10、2311062-TN-P-O-11；低销提醒依据不完整</v>
      </c>
      <c r="BK1276" s="8" t="str">
        <v>90天：2026-07-20 至 2026-10-17；180天：2026-04-21 至 2026-10-17</v>
      </c>
      <c r="BL1276" s="8" t="str">
        <v>90天：2026-10-06、2026-10-07、2026-10-16；180天：2026-10-06、2026-10-07、2026-10-16</v>
      </c>
      <c r="BM1276" s="8" t="str">
        <v>2026-10：12天 × 1.4758912429949873；2026-11：30天 × 0.906602681585801；2026-12：31天 × 0.6189770892129804；2027-01：17天 × 1.1595882717182624</v>
      </c>
      <c r="BN1276" s="11" t="n">
        <v>1.4758912429949873</v>
      </c>
      <c r="BO1276" s="11" t="n">
        <v>0.906602681585801</v>
      </c>
      <c r="BP1276" s="11" t="n">
        <v>0.6189770892129804</v>
      </c>
      <c r="BQ1276" s="11" t="n">
        <v>1.1595882717182624</v>
      </c>
      <c r="BR1276" s="8" t="n">
        <v>12</v>
      </c>
      <c r="BS1276" s="8" t="n">
        <v>30</v>
      </c>
      <c r="BT1276" s="8" t="n">
        <v>31</v>
      </c>
      <c r="BU1276" s="8" t="n">
        <v>17</v>
      </c>
      <c r="BV1276" s="11" t="str">
        <f>IF(COUNT(BC1276,BF1276)=2,BC1276*BF1276,"")</f>
      </c>
      <c r="BW1276" s="11" t="n">
        <f>IF(ISNUMBER(BN1276),BN1276,"")</f>
        <v>1.4758912429949873</v>
      </c>
      <c r="BX1276" s="14" t="n">
        <f>IF(ISNUMBER(BR1276),BR1276,"")</f>
        <v>12</v>
      </c>
      <c r="BY1276" s="13" t="str">
        <f>IF(AND(COUNT(BV1276,BW1276,BX1276)=3,MIN(BV1276,BW1276,BX1276)&gt;=0),BV1276*BW1276*BX1276,"")</f>
      </c>
      <c r="BZ1276" s="11" t="n">
        <f>IF(ISNUMBER(BO1276),BO1276,"")</f>
        <v>0.906602681585801</v>
      </c>
      <c r="CA1276" s="14" t="n">
        <f>IF(ISNUMBER(BS1276),BS1276,"")</f>
        <v>30</v>
      </c>
      <c r="CB1276" s="13" t="str">
        <f>IF(AND(COUNT(BV1276,BZ1276,CA1276)=3,MIN(BV1276,BZ1276,CA1276)&gt;=0),BV1276*BZ1276*CA1276,"")</f>
      </c>
      <c r="CC1276" s="11" t="n">
        <f>IF(ISNUMBER(BP1276),BP1276,"")</f>
        <v>0.6189770892129804</v>
      </c>
      <c r="CD1276" s="14" t="n">
        <f>IF(ISNUMBER(BT1276),BT1276,"")</f>
        <v>31</v>
      </c>
      <c r="CE1276" s="13" t="str">
        <f>IF(AND(COUNT(BV1276,CC1276,CD1276)=3,MIN(BV1276,CC1276,CD1276)&gt;=0),BV1276*CC1276*CD1276,"")</f>
      </c>
      <c r="CF1276" s="11" t="n">
        <f>IF(ISNUMBER(BQ1276),BQ1276,"")</f>
        <v>1.1595882717182624</v>
      </c>
      <c r="CG1276" s="14" t="n">
        <f>IF(ISNUMBER(BU1276),BU1276,"")</f>
        <v>17</v>
      </c>
      <c r="CH1276" s="13" t="str">
        <f>IF(AND(COUNT(BV1276,CF1276,CG1276)=3,MIN(BV1276,CF1276,CG1276)&gt;=0),BV1276*CF1276*CG1276,"")</f>
      </c>
      <c r="CI1276" s="13" t="str">
        <f>IF(COUNT(BY1276,CB1276,CE1276,CH1276)=4,SUM(BY1276,CB1276,CE1276,CH1276),"")</f>
      </c>
    </row>
    <row r="1277" ht="72" customHeight="1">
      <c r="A1277" s="16" t="str">
        <v>2311062-TN-P-O-7</v>
      </c>
      <c r="B1277" s="16" t="str">
        <v>4店-彬郁-US</v>
      </c>
      <c r="C1277" s="16" t="str">
        <v>陈晨</v>
      </c>
      <c r="D1277" s="26" t="str">
        <f>IF(NOT(ISNUMBER(E1277)),"",IF(OR(E1277&lt;=0,L1277=0),0,IF(OR(NOT(ISNUMBER(F1277)),F1277&lt;0),"",MIN(E1277,INT(F1277)))))</f>
      </c>
      <c r="E1277" s="27" t="str">
        <f>IF(OR(NOT(ISNUMBER(L1277)),COUNT(M1277:O1277)&lt;&gt;3,MIN(M1277:O1277)&lt;0),"",ROUNDUP(ROUND(BI1277-SUM(M1277:O1277),10),0))</f>
      </c>
      <c r="F1277" s="28" t="n">
        <v>0</v>
      </c>
      <c r="G1277" s="28" t="str">
        <f>IF(AND(ISNUMBER(D1277),ISNUMBER(E1277)),IF(OR(E1277&lt;=0,L1277=0),0,E1277-D1277),"")</f>
      </c>
      <c r="H1277" s="16" t="str">
        <f>IF(NOT(ISNUMBER(E1277)),"销量或海外库存待补",IF(OR(E1277&lt;=0,L1277=0),IF(L1277=0,"零日销，本批不发","本批无需补货"),IF(NOT(ISNUMBER(D1277)),"国内库存待补",IF(D1277=0,"国内无可用库存",IF(G1277&gt;0,"先发国内现货","按建议量发货")))))</f>
        <v>销量或海外库存待补</v>
      </c>
      <c r="I1277" s="28" t="n">
        <f>IF(AND(COUNT(Z1277,AA1277,AB1277)=3,Z1277&gt;=AA1277,AA1277&gt;=0,AB1277=7),Z1277-AA1277,"")</f>
        <v>0</v>
      </c>
      <c r="J1277" s="28" t="n">
        <f>IF(AND(COUNT(AF1277,AG1277,AH1277)=3,AF1277&gt;=AG1277,AG1277&gt;=0,AH1277=14),AF1277-AG1277,"")</f>
        <v>0</v>
      </c>
      <c r="K1277" s="28" t="n">
        <f>IF(AND(COUNT(AL1277,AM1277,AN1277)=3,AL1277&gt;=AM1277,AM1277&gt;=0,AN1277=30),AL1277-AM1277,"")</f>
        <v>4</v>
      </c>
      <c r="L1277" s="29" t="str">
        <f>IF(ISNUMBER(BI1277),BI1277/90,"")</f>
      </c>
      <c r="M1277" s="28" t="n">
        <v>31</v>
      </c>
      <c r="N1277" s="28" t="n">
        <v>0</v>
      </c>
      <c r="O1277" s="28" t="n">
        <v>19</v>
      </c>
      <c r="P1277" s="30" t="str">
        <f>IF(AND(ISNUMBER(L1277),L1277&gt;0,COUNT(M1277:O1277)=3,MIN(M1277:O1277)&gt;=0),SUM(M1277:O1277)/L1277,"")</f>
      </c>
      <c r="Q1277" s="16" t="str">
        <v>沿用原计划SKU店铺</v>
      </c>
      <c r="R1277" s="16" t="str">
        <v>已匹配</v>
      </c>
      <c r="S1277" s="16" t="str">
        <v>在售</v>
      </c>
      <c r="T1277" s="16" t="str">
        <v>2311062</v>
      </c>
      <c r="U1277" s="16" t="str">
        <v>驼色 PU</v>
      </c>
      <c r="V1277" s="16" t="n">
        <v>7</v>
      </c>
      <c r="W1277" s="8" t="str">
        <v>2026-10-11 至 2026-10-17</v>
      </c>
      <c r="X1277" s="8" t="str">
        <v>2026-10-11、2026-10-12、2026-10-13、2026-10-14、2026-10-15、2026-10-16、2026-10-17</v>
      </c>
      <c r="Y1277" s="8" t="str">
        <v>无</v>
      </c>
      <c r="Z1277" s="8" t="n">
        <v>0</v>
      </c>
      <c r="AA1277" s="8" t="n">
        <v>0</v>
      </c>
      <c r="AB1277" s="8" t="n">
        <v>7</v>
      </c>
      <c r="AC1277" s="8" t="str">
        <v>2026-10-02 至 2026-10-17</v>
      </c>
      <c r="AD1277" s="8" t="str">
        <v>2026-10-02、2026-10-03、2026-10-04、2026-10-05、2026-10-08、2026-10-09、2026-10-10、2026-10-11、2026-10-12、2026-10-13、2026-10-14、2026-10-15、2026-10-16、2026-10-17</v>
      </c>
      <c r="AE1277" s="8" t="str">
        <v>2026-10-06 大促；2026-10-07 大促</v>
      </c>
      <c r="AF1277" s="8" t="n">
        <v>0</v>
      </c>
      <c r="AG1277" s="8" t="n">
        <v>0</v>
      </c>
      <c r="AH1277" s="8" t="n">
        <v>14</v>
      </c>
      <c r="AI1277" s="8" t="str">
        <v>2026-09-16 至 2026-10-17</v>
      </c>
      <c r="AJ127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7" s="8" t="str">
        <v>2026-10-06 大促；2026-10-07 大促</v>
      </c>
      <c r="AL1277" s="8" t="n">
        <v>4</v>
      </c>
      <c r="AM1277" s="8" t="n">
        <v>0</v>
      </c>
      <c r="AN1277" s="8" t="n">
        <v>30</v>
      </c>
      <c r="AO1277" s="8" t="str">
        <v>2311062 / 驼色PU / 13306</v>
      </c>
      <c r="AP1277" s="11" t="n">
        <v>1.4758912429949873</v>
      </c>
      <c r="AQ1277" s="11" t="n">
        <v>1.4758912429949873</v>
      </c>
      <c r="AR1277" s="11" t="n">
        <v>1.4124697525543728</v>
      </c>
      <c r="AS1277" s="11" t="n">
        <f>IF(AND(COUNT(I1277:K1277,AP1277:AR1277)=6,MIN(AP1277:AR1277)&gt;0),I1277/7/AP1277*0.5+J1277/14/AQ1277*0.3+K1277/30/AR1277*0.2,"")</f>
        <v>0.01887946033424184</v>
      </c>
      <c r="AT1277" s="8" t="n">
        <v>14</v>
      </c>
      <c r="AU1277" s="8" t="n">
        <v>0</v>
      </c>
      <c r="AV1277" s="8" t="n">
        <v>88</v>
      </c>
      <c r="AW1277" s="11" t="n">
        <f>IF(AND(COUNT(AT1277:AV1277)=3,AT1277&gt;=AU1277,AU1277&gt;=0,AV1277&gt;0),(AT1277-AU1277)/AV1277,"")</f>
        <v>0.1590909090909091</v>
      </c>
      <c r="AX1277" s="8" t="n">
        <v>29</v>
      </c>
      <c r="AY1277" s="8" t="n">
        <v>0</v>
      </c>
      <c r="AZ1277" s="8" t="n">
        <v>178</v>
      </c>
      <c r="BA1277" s="11" t="n">
        <f>IF(AND(COUNT(AX1277:AZ1277)=3,AX1277&gt;=AY1277,AY1277&gt;=0,AZ1277&gt;0),(AX1277-AY1277)/AZ1277,"")</f>
        <v>0.16292134831460675</v>
      </c>
      <c r="BB1277" s="8" t="n">
        <f>IF(COUNT(AS1277,AW1277,BA1277)=3,1,0)</f>
        <v>1</v>
      </c>
      <c r="BC1277" s="11" t="str">
        <f>IF(SUMIF($AO$11:$AO$1309,AO1277,$BB$11:$BB$1309)=COUNTIF($AO$11:$AO$1309,AO1277),SUMIF($AO$11:$AO$1309,AO1277,$AS$11:$AS$1309),"")</f>
      </c>
      <c r="BD1277" s="11" t="str">
        <f>IF(SUMIF($AO$11:$AO$1309,AO1277,$BB$11:$BB$1309)=COUNTIF($AO$11:$AO$1309,AO1277),SUMIF($AO$11:$AO$1309,AO1277,$AW$11:$AW$1309),"")</f>
      </c>
      <c r="BE1277" s="11" t="str">
        <f>IF(SUMIF($AO$11:$AO$1309,AO1277,$BB$11:$BB$1309)=COUNTIF($AO$11:$AO$1309,AO1277),SUMIF($AO$11:$AO$1309,AO1277,$BA$11:$BA$1309),"")</f>
      </c>
      <c r="BF1277" s="12" t="str">
        <f>IF(COUNT(BD1277:BE1277)&lt;&gt;2,"",IF(AND(BD1277&gt;0,BE1277&gt;0),0.7*AW1277/BD1277+0.3*BA1277/BE1277,IF(BD1277&gt;0,AW1277/BD1277,IF(BE1277&gt;0,BA1277/BE1277,IF(AND(ISNUMBER(BH1277),BH1277=0),0,"")))))</f>
      </c>
      <c r="BG1277" s="11" t="n">
        <f>IF(AND(COUNT(BN1277:BU1277)=8,MIN(BN1277:BU1277)&gt;=0),SUMPRODUCT(BN1277:BQ1277,BR1277:BU1277),"")</f>
        <v>83.81006574832674</v>
      </c>
      <c r="BH1277" s="11" t="str">
        <f>IF(COUNT(BC1277,BG1277)=2,BC1277*BG1277,"")</f>
      </c>
      <c r="BI1277" s="11" t="str">
        <f>IF(ISNUMBER(CI1277),CI1277,"")</f>
      </c>
      <c r="BJ1277" s="8" t="str">
        <v>同组销量待核：2311062-TN-P-O-10、2311062-TN-P-O-11；低销提醒依据不完整</v>
      </c>
      <c r="BK1277" s="8" t="str">
        <v>90天：2026-07-20 至 2026-10-17；180天：2026-04-21 至 2026-10-17</v>
      </c>
      <c r="BL1277" s="8" t="str">
        <v>90天：2026-10-06、2026-10-07；180天：2026-10-06、2026-10-07</v>
      </c>
      <c r="BM1277" s="8" t="str">
        <v>2026-10：12天 × 1.4758912429949873；2026-11：30天 × 0.906602681585801；2026-12：31天 × 0.6189770892129804；2027-01：17天 × 1.1595882717182624</v>
      </c>
      <c r="BN1277" s="11" t="n">
        <v>1.4758912429949873</v>
      </c>
      <c r="BO1277" s="11" t="n">
        <v>0.906602681585801</v>
      </c>
      <c r="BP1277" s="11" t="n">
        <v>0.6189770892129804</v>
      </c>
      <c r="BQ1277" s="11" t="n">
        <v>1.1595882717182624</v>
      </c>
      <c r="BR1277" s="8" t="n">
        <v>12</v>
      </c>
      <c r="BS1277" s="8" t="n">
        <v>30</v>
      </c>
      <c r="BT1277" s="8" t="n">
        <v>31</v>
      </c>
      <c r="BU1277" s="8" t="n">
        <v>17</v>
      </c>
      <c r="BV1277" s="11" t="str">
        <f>IF(COUNT(BC1277,BF1277)=2,BC1277*BF1277,"")</f>
      </c>
      <c r="BW1277" s="11" t="n">
        <f>IF(ISNUMBER(BN1277),BN1277,"")</f>
        <v>1.4758912429949873</v>
      </c>
      <c r="BX1277" s="14" t="n">
        <f>IF(ISNUMBER(BR1277),BR1277,"")</f>
        <v>12</v>
      </c>
      <c r="BY1277" s="13" t="str">
        <f>IF(AND(COUNT(BV1277,BW1277,BX1277)=3,MIN(BV1277,BW1277,BX1277)&gt;=0),BV1277*BW1277*BX1277,"")</f>
      </c>
      <c r="BZ1277" s="11" t="n">
        <f>IF(ISNUMBER(BO1277),BO1277,"")</f>
        <v>0.906602681585801</v>
      </c>
      <c r="CA1277" s="14" t="n">
        <f>IF(ISNUMBER(BS1277),BS1277,"")</f>
        <v>30</v>
      </c>
      <c r="CB1277" s="13" t="str">
        <f>IF(AND(COUNT(BV1277,BZ1277,CA1277)=3,MIN(BV1277,BZ1277,CA1277)&gt;=0),BV1277*BZ1277*CA1277,"")</f>
      </c>
      <c r="CC1277" s="11" t="n">
        <f>IF(ISNUMBER(BP1277),BP1277,"")</f>
        <v>0.6189770892129804</v>
      </c>
      <c r="CD1277" s="14" t="n">
        <f>IF(ISNUMBER(BT1277),BT1277,"")</f>
        <v>31</v>
      </c>
      <c r="CE1277" s="13" t="str">
        <f>IF(AND(COUNT(BV1277,CC1277,CD1277)=3,MIN(BV1277,CC1277,CD1277)&gt;=0),BV1277*CC1277*CD1277,"")</f>
      </c>
      <c r="CF1277" s="11" t="n">
        <f>IF(ISNUMBER(BQ1277),BQ1277,"")</f>
        <v>1.1595882717182624</v>
      </c>
      <c r="CG1277" s="14" t="n">
        <f>IF(ISNUMBER(BU1277),BU1277,"")</f>
        <v>17</v>
      </c>
      <c r="CH1277" s="13" t="str">
        <f>IF(AND(COUNT(BV1277,CF1277,CG1277)=3,MIN(BV1277,CF1277,CG1277)&gt;=0),BV1277*CF1277*CG1277,"")</f>
      </c>
      <c r="CI1277" s="13" t="str">
        <f>IF(COUNT(BY1277,CB1277,CE1277,CH1277)=4,SUM(BY1277,CB1277,CE1277,CH1277),"")</f>
      </c>
    </row>
    <row r="1278" ht="72" customHeight="1">
      <c r="A1278" s="16" t="str">
        <v>2311062-TN-P-O-8</v>
      </c>
      <c r="B1278" s="16" t="str">
        <v>4店-彬郁-US</v>
      </c>
      <c r="C1278" s="16" t="str">
        <v>陈晨</v>
      </c>
      <c r="D1278" s="26" t="str">
        <f>IF(NOT(ISNUMBER(E1278)),"",IF(OR(E1278&lt;=0,L1278=0),0,IF(OR(NOT(ISNUMBER(F1278)),F1278&lt;0),"",MIN(E1278,INT(F1278)))))</f>
      </c>
      <c r="E1278" s="27" t="str">
        <f>IF(OR(NOT(ISNUMBER(L1278)),COUNT(M1278:O1278)&lt;&gt;3,MIN(M1278:O1278)&lt;0),"",ROUNDUP(ROUND(BI1278-SUM(M1278:O1278),10),0))</f>
      </c>
      <c r="F1278" s="28" t="n">
        <v>0</v>
      </c>
      <c r="G1278" s="28" t="str">
        <f>IF(AND(ISNUMBER(D1278),ISNUMBER(E1278)),IF(OR(E1278&lt;=0,L1278=0),0,E1278-D1278),"")</f>
      </c>
      <c r="H1278" s="16" t="str">
        <f>IF(NOT(ISNUMBER(E1278)),"销量或海外库存待补",IF(OR(E1278&lt;=0,L1278=0),IF(L1278=0,"零日销，本批不发","本批无需补货"),IF(NOT(ISNUMBER(D1278)),"国内库存待补",IF(D1278=0,"国内无可用库存",IF(G1278&gt;0,"先发国内现货","按建议量发货")))))</f>
        <v>销量或海外库存待补</v>
      </c>
      <c r="I1278" s="28" t="n">
        <f>IF(AND(COUNT(Z1278,AA1278,AB1278)=3,Z1278&gt;=AA1278,AA1278&gt;=0,AB1278=7),Z1278-AA1278,"")</f>
        <v>4</v>
      </c>
      <c r="J1278" s="28" t="n">
        <f>IF(AND(COUNT(AF1278,AG1278,AH1278)=3,AF1278&gt;=AG1278,AG1278&gt;=0,AH1278=14),AF1278-AG1278,"")</f>
        <v>7</v>
      </c>
      <c r="K1278" s="28" t="n">
        <f>IF(AND(COUNT(AL1278,AM1278,AN1278)=3,AL1278&gt;=AM1278,AM1278&gt;=0,AN1278=30),AL1278-AM1278,"")</f>
        <v>15</v>
      </c>
      <c r="L1278" s="29" t="str">
        <f>IF(ISNUMBER(BI1278),BI1278/90,"")</f>
      </c>
      <c r="M1278" s="28" t="n">
        <v>44</v>
      </c>
      <c r="N1278" s="28" t="n">
        <v>0</v>
      </c>
      <c r="O1278" s="28" t="n">
        <v>76</v>
      </c>
      <c r="P1278" s="30" t="str">
        <f>IF(AND(ISNUMBER(L1278),L1278&gt;0,COUNT(M1278:O1278)=3,MIN(M1278:O1278)&gt;=0),SUM(M1278:O1278)/L1278,"")</f>
      </c>
      <c r="Q1278" s="16" t="str">
        <v>沿用原计划SKU店铺</v>
      </c>
      <c r="R1278" s="16" t="str">
        <v>已匹配</v>
      </c>
      <c r="S1278" s="16" t="str">
        <v>在售</v>
      </c>
      <c r="T1278" s="16" t="str">
        <v>2311062</v>
      </c>
      <c r="U1278" s="16" t="str">
        <v>驼色 PU</v>
      </c>
      <c r="V1278" s="16" t="n">
        <v>8</v>
      </c>
      <c r="W1278" s="8" t="str">
        <v>2026-10-11 至 2026-10-17</v>
      </c>
      <c r="X1278" s="8" t="str">
        <v>2026-10-11、2026-10-12、2026-10-13、2026-10-14、2026-10-15、2026-10-16、2026-10-17</v>
      </c>
      <c r="Y1278" s="8" t="str">
        <v>无</v>
      </c>
      <c r="Z1278" s="8" t="n">
        <v>4</v>
      </c>
      <c r="AA1278" s="8" t="n">
        <v>0</v>
      </c>
      <c r="AB1278" s="8" t="n">
        <v>7</v>
      </c>
      <c r="AC1278" s="8" t="str">
        <v>2026-10-02 至 2026-10-17</v>
      </c>
      <c r="AD1278" s="8" t="str">
        <v>2026-10-02、2026-10-03、2026-10-04、2026-10-05、2026-10-08、2026-10-09、2026-10-10、2026-10-11、2026-10-12、2026-10-13、2026-10-14、2026-10-15、2026-10-16、2026-10-17</v>
      </c>
      <c r="AE1278" s="8" t="str">
        <v>2026-10-06 大促；2026-10-07 大促</v>
      </c>
      <c r="AF1278" s="8" t="n">
        <v>10</v>
      </c>
      <c r="AG1278" s="8" t="n">
        <v>3</v>
      </c>
      <c r="AH1278" s="8" t="n">
        <v>14</v>
      </c>
      <c r="AI1278" s="8" t="str">
        <v>2026-09-16 至 2026-10-17</v>
      </c>
      <c r="AJ127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8" s="8" t="str">
        <v>2026-10-06 大促；2026-10-07 大促</v>
      </c>
      <c r="AL1278" s="8" t="n">
        <v>18</v>
      </c>
      <c r="AM1278" s="8" t="n">
        <v>3</v>
      </c>
      <c r="AN1278" s="8" t="n">
        <v>30</v>
      </c>
      <c r="AO1278" s="8" t="str">
        <v>2311062 / 驼色PU / 13306</v>
      </c>
      <c r="AP1278" s="11" t="n">
        <v>1.4758912429949873</v>
      </c>
      <c r="AQ1278" s="11" t="n">
        <v>1.4758912429949873</v>
      </c>
      <c r="AR1278" s="11" t="n">
        <v>1.4124697525543728</v>
      </c>
      <c r="AS1278" s="11" t="n">
        <f>IF(AND(COUNT(I1278:K1278,AP1278:AR1278)=6,MIN(AP1278:AR1278)&gt;0),I1278/7/AP1278*0.5+J1278/14/AQ1278*0.3+K1278/30/AR1278*0.2,"")</f>
        <v>0.3660191097768379</v>
      </c>
      <c r="AT1278" s="8" t="n">
        <v>36</v>
      </c>
      <c r="AU1278" s="8" t="n">
        <v>3</v>
      </c>
      <c r="AV1278" s="8" t="n">
        <v>88</v>
      </c>
      <c r="AW1278" s="11" t="n">
        <f>IF(AND(COUNT(AT1278:AV1278)=3,AT1278&gt;=AU1278,AU1278&gt;=0,AV1278&gt;0),(AT1278-AU1278)/AV1278,"")</f>
        <v>0.375</v>
      </c>
      <c r="AX1278" s="8" t="n">
        <v>53</v>
      </c>
      <c r="AY1278" s="8" t="n">
        <v>3</v>
      </c>
      <c r="AZ1278" s="8" t="n">
        <v>178</v>
      </c>
      <c r="BA1278" s="11" t="n">
        <f>IF(AND(COUNT(AX1278:AZ1278)=3,AX1278&gt;=AY1278,AY1278&gt;=0,AZ1278&gt;0),(AX1278-AY1278)/AZ1278,"")</f>
        <v>0.2808988764044944</v>
      </c>
      <c r="BB1278" s="8" t="n">
        <f>IF(COUNT(AS1278,AW1278,BA1278)=3,1,0)</f>
        <v>1</v>
      </c>
      <c r="BC1278" s="11" t="str">
        <f>IF(SUMIF($AO$11:$AO$1309,AO1278,$BB$11:$BB$1309)=COUNTIF($AO$11:$AO$1309,AO1278),SUMIF($AO$11:$AO$1309,AO1278,$AS$11:$AS$1309),"")</f>
      </c>
      <c r="BD1278" s="11" t="str">
        <f>IF(SUMIF($AO$11:$AO$1309,AO1278,$BB$11:$BB$1309)=COUNTIF($AO$11:$AO$1309,AO1278),SUMIF($AO$11:$AO$1309,AO1278,$AW$11:$AW$1309),"")</f>
      </c>
      <c r="BE1278" s="11" t="str">
        <f>IF(SUMIF($AO$11:$AO$1309,AO1278,$BB$11:$BB$1309)=COUNTIF($AO$11:$AO$1309,AO1278),SUMIF($AO$11:$AO$1309,AO1278,$BA$11:$BA$1309),"")</f>
      </c>
      <c r="BF1278" s="12" t="str">
        <f>IF(COUNT(BD1278:BE1278)&lt;&gt;2,"",IF(AND(BD1278&gt;0,BE1278&gt;0),0.7*AW1278/BD1278+0.3*BA1278/BE1278,IF(BD1278&gt;0,AW1278/BD1278,IF(BE1278&gt;0,BA1278/BE1278,IF(AND(ISNUMBER(BH1278),BH1278=0),0,"")))))</f>
      </c>
      <c r="BG1278" s="11" t="n">
        <f>IF(AND(COUNT(BN1278:BU1278)=8,MIN(BN1278:BU1278)&gt;=0),SUMPRODUCT(BN1278:BQ1278,BR1278:BU1278),"")</f>
        <v>83.81006574832674</v>
      </c>
      <c r="BH1278" s="11" t="str">
        <f>IF(COUNT(BC1278,BG1278)=2,BC1278*BG1278,"")</f>
      </c>
      <c r="BI1278" s="11" t="str">
        <f>IF(ISNUMBER(CI1278),CI1278,"")</f>
      </c>
      <c r="BJ1278" s="8" t="str">
        <v>同组销量待核：2311062-TN-P-O-10、2311062-TN-P-O-11；低销提醒依据不完整</v>
      </c>
      <c r="BK1278" s="8" t="str">
        <v>90天：2026-07-20 至 2026-10-17；180天：2026-04-21 至 2026-10-17</v>
      </c>
      <c r="BL1278" s="8" t="str">
        <v>90天：2026-10-06、2026-10-07；180天：2026-10-06、2026-10-07</v>
      </c>
      <c r="BM1278" s="8" t="str">
        <v>2026-10：12天 × 1.4758912429949873；2026-11：30天 × 0.906602681585801；2026-12：31天 × 0.6189770892129804；2027-01：17天 × 1.1595882717182624</v>
      </c>
      <c r="BN1278" s="11" t="n">
        <v>1.4758912429949873</v>
      </c>
      <c r="BO1278" s="11" t="n">
        <v>0.906602681585801</v>
      </c>
      <c r="BP1278" s="11" t="n">
        <v>0.6189770892129804</v>
      </c>
      <c r="BQ1278" s="11" t="n">
        <v>1.1595882717182624</v>
      </c>
      <c r="BR1278" s="8" t="n">
        <v>12</v>
      </c>
      <c r="BS1278" s="8" t="n">
        <v>30</v>
      </c>
      <c r="BT1278" s="8" t="n">
        <v>31</v>
      </c>
      <c r="BU1278" s="8" t="n">
        <v>17</v>
      </c>
      <c r="BV1278" s="11" t="str">
        <f>IF(COUNT(BC1278,BF1278)=2,BC1278*BF1278,"")</f>
      </c>
      <c r="BW1278" s="11" t="n">
        <f>IF(ISNUMBER(BN1278),BN1278,"")</f>
        <v>1.4758912429949873</v>
      </c>
      <c r="BX1278" s="14" t="n">
        <f>IF(ISNUMBER(BR1278),BR1278,"")</f>
        <v>12</v>
      </c>
      <c r="BY1278" s="13" t="str">
        <f>IF(AND(COUNT(BV1278,BW1278,BX1278)=3,MIN(BV1278,BW1278,BX1278)&gt;=0),BV1278*BW1278*BX1278,"")</f>
      </c>
      <c r="BZ1278" s="11" t="n">
        <f>IF(ISNUMBER(BO1278),BO1278,"")</f>
        <v>0.906602681585801</v>
      </c>
      <c r="CA1278" s="14" t="n">
        <f>IF(ISNUMBER(BS1278),BS1278,"")</f>
        <v>30</v>
      </c>
      <c r="CB1278" s="13" t="str">
        <f>IF(AND(COUNT(BV1278,BZ1278,CA1278)=3,MIN(BV1278,BZ1278,CA1278)&gt;=0),BV1278*BZ1278*CA1278,"")</f>
      </c>
      <c r="CC1278" s="11" t="n">
        <f>IF(ISNUMBER(BP1278),BP1278,"")</f>
        <v>0.6189770892129804</v>
      </c>
      <c r="CD1278" s="14" t="n">
        <f>IF(ISNUMBER(BT1278),BT1278,"")</f>
        <v>31</v>
      </c>
      <c r="CE1278" s="13" t="str">
        <f>IF(AND(COUNT(BV1278,CC1278,CD1278)=3,MIN(BV1278,CC1278,CD1278)&gt;=0),BV1278*CC1278*CD1278,"")</f>
      </c>
      <c r="CF1278" s="11" t="n">
        <f>IF(ISNUMBER(BQ1278),BQ1278,"")</f>
        <v>1.1595882717182624</v>
      </c>
      <c r="CG1278" s="14" t="n">
        <f>IF(ISNUMBER(BU1278),BU1278,"")</f>
        <v>17</v>
      </c>
      <c r="CH1278" s="13" t="str">
        <f>IF(AND(COUNT(BV1278,CF1278,CG1278)=3,MIN(BV1278,CF1278,CG1278)&gt;=0),BV1278*CF1278*CG1278,"")</f>
      </c>
      <c r="CI1278" s="13" t="str">
        <f>IF(COUNT(BY1278,CB1278,CE1278,CH1278)=4,SUM(BY1278,CB1278,CE1278,CH1278),"")</f>
      </c>
    </row>
    <row r="1279" ht="72" customHeight="1">
      <c r="A1279" s="16" t="str">
        <v>2311062-TN-P-O-9</v>
      </c>
      <c r="B1279" s="16" t="str">
        <v>4店-彬郁-US</v>
      </c>
      <c r="C1279" s="16" t="str">
        <v>陈晨</v>
      </c>
      <c r="D1279" s="26" t="str">
        <f>IF(NOT(ISNUMBER(E1279)),"",IF(OR(E1279&lt;=0,L1279=0),0,IF(OR(NOT(ISNUMBER(F1279)),F1279&lt;0),"",MIN(E1279,INT(F1279)))))</f>
      </c>
      <c r="E1279" s="27" t="str">
        <f>IF(OR(NOT(ISNUMBER(L1279)),COUNT(M1279:O1279)&lt;&gt;3,MIN(M1279:O1279)&lt;0),"",ROUNDUP(ROUND(BI1279-SUM(M1279:O1279),10),0))</f>
      </c>
      <c r="F1279" s="28" t="n">
        <v>0</v>
      </c>
      <c r="G1279" s="28" t="str">
        <f>IF(AND(ISNUMBER(D1279),ISNUMBER(E1279)),IF(OR(E1279&lt;=0,L1279=0),0,E1279-D1279),"")</f>
      </c>
      <c r="H1279" s="16" t="str">
        <f>IF(NOT(ISNUMBER(E1279)),"销量或海外库存待补",IF(OR(E1279&lt;=0,L1279=0),IF(L1279=0,"零日销，本批不发","本批无需补货"),IF(NOT(ISNUMBER(D1279)),"国内库存待补",IF(D1279=0,"国内无可用库存",IF(G1279&gt;0,"先发国内现货","按建议量发货")))))</f>
        <v>销量或海外库存待补</v>
      </c>
      <c r="I1279" s="28" t="n">
        <f>IF(AND(COUNT(Z1279,AA1279,AB1279)=3,Z1279&gt;=AA1279,AA1279&gt;=0,AB1279=7),Z1279-AA1279,"")</f>
        <v>2</v>
      </c>
      <c r="J1279" s="28" t="n">
        <f>IF(AND(COUNT(AF1279,AG1279,AH1279)=3,AF1279&gt;=AG1279,AG1279&gt;=0,AH1279=14),AF1279-AG1279,"")</f>
        <v>5</v>
      </c>
      <c r="K1279" s="28" t="n">
        <f>IF(AND(COUNT(AL1279,AM1279,AN1279)=3,AL1279&gt;=AM1279,AM1279&gt;=0,AN1279=30),AL1279-AM1279,"")</f>
        <v>6</v>
      </c>
      <c r="L1279" s="29" t="str">
        <f>IF(ISNUMBER(BI1279),BI1279/90,"")</f>
      </c>
      <c r="M1279" s="28" t="n">
        <v>10</v>
      </c>
      <c r="N1279" s="28" t="n">
        <v>0</v>
      </c>
      <c r="O1279" s="28" t="n">
        <v>78</v>
      </c>
      <c r="P1279" s="30" t="str">
        <f>IF(AND(ISNUMBER(L1279),L1279&gt;0,COUNT(M1279:O1279)=3,MIN(M1279:O1279)&gt;=0),SUM(M1279:O1279)/L1279,"")</f>
      </c>
      <c r="Q1279" s="16" t="str">
        <v>沿用原计划SKU店铺</v>
      </c>
      <c r="R1279" s="16" t="str">
        <v>已匹配</v>
      </c>
      <c r="S1279" s="16" t="str">
        <v>在售</v>
      </c>
      <c r="T1279" s="16" t="str">
        <v>2311062</v>
      </c>
      <c r="U1279" s="16" t="str">
        <v>驼色 PU</v>
      </c>
      <c r="V1279" s="16" t="n">
        <v>9</v>
      </c>
      <c r="W1279" s="8" t="str">
        <v>2026-10-11 至 2026-10-17</v>
      </c>
      <c r="X1279" s="8" t="str">
        <v>2026-10-11、2026-10-12、2026-10-13、2026-10-14、2026-10-15、2026-10-16、2026-10-17</v>
      </c>
      <c r="Y1279" s="8" t="str">
        <v>无</v>
      </c>
      <c r="Z1279" s="8" t="n">
        <v>2</v>
      </c>
      <c r="AA1279" s="8" t="n">
        <v>0</v>
      </c>
      <c r="AB1279" s="8" t="n">
        <v>7</v>
      </c>
      <c r="AC1279" s="8" t="str">
        <v>2026-10-02 至 2026-10-17</v>
      </c>
      <c r="AD1279" s="8" t="str">
        <v>2026-10-02、2026-10-03、2026-10-04、2026-10-05、2026-10-08、2026-10-09、2026-10-10、2026-10-11、2026-10-12、2026-10-13、2026-10-14、2026-10-15、2026-10-16、2026-10-17</v>
      </c>
      <c r="AE1279" s="8" t="str">
        <v>2026-10-06 大促；2026-10-07 大促</v>
      </c>
      <c r="AF1279" s="8" t="n">
        <v>7</v>
      </c>
      <c r="AG1279" s="8" t="n">
        <v>2</v>
      </c>
      <c r="AH1279" s="8" t="n">
        <v>14</v>
      </c>
      <c r="AI1279" s="8" t="str">
        <v>2026-09-16 至 2026-10-17</v>
      </c>
      <c r="AJ127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79" s="8" t="str">
        <v>2026-10-06 大促；2026-10-07 大促</v>
      </c>
      <c r="AL1279" s="8" t="n">
        <v>8</v>
      </c>
      <c r="AM1279" s="8" t="n">
        <v>2</v>
      </c>
      <c r="AN1279" s="8" t="n">
        <v>30</v>
      </c>
      <c r="AO1279" s="8" t="str">
        <v>2311062 / 驼色PU / 13306</v>
      </c>
      <c r="AP1279" s="11" t="n">
        <v>1.4758912429949873</v>
      </c>
      <c r="AQ1279" s="11" t="n">
        <v>1.4758912429949873</v>
      </c>
      <c r="AR1279" s="11" t="n">
        <v>1.4124697525543728</v>
      </c>
      <c r="AS1279" s="11" t="n">
        <f>IF(AND(COUNT(I1279:K1279,AP1279:AR1279)=6,MIN(AP1279:AR1279)&gt;0),I1279/7/AP1279*0.5+J1279/14/AQ1279*0.3+K1279/30/AR1279*0.2,"")</f>
        <v>0.1977083654738232</v>
      </c>
      <c r="AT1279" s="8" t="n">
        <v>20</v>
      </c>
      <c r="AU1279" s="8" t="n">
        <v>2</v>
      </c>
      <c r="AV1279" s="8" t="n">
        <v>88</v>
      </c>
      <c r="AW1279" s="11" t="n">
        <f>IF(AND(COUNT(AT1279:AV1279)=3,AT1279&gt;=AU1279,AU1279&gt;=0,AV1279&gt;0),(AT1279-AU1279)/AV1279,"")</f>
        <v>0.20454545454545456</v>
      </c>
      <c r="AX1279" s="8" t="n">
        <v>32</v>
      </c>
      <c r="AY1279" s="8" t="n">
        <v>2</v>
      </c>
      <c r="AZ1279" s="8" t="n">
        <v>178</v>
      </c>
      <c r="BA1279" s="11" t="n">
        <f>IF(AND(COUNT(AX1279:AZ1279)=3,AX1279&gt;=AY1279,AY1279&gt;=0,AZ1279&gt;0),(AX1279-AY1279)/AZ1279,"")</f>
        <v>0.16853932584269662</v>
      </c>
      <c r="BB1279" s="8" t="n">
        <f>IF(COUNT(AS1279,AW1279,BA1279)=3,1,0)</f>
        <v>1</v>
      </c>
      <c r="BC1279" s="11" t="str">
        <f>IF(SUMIF($AO$11:$AO$1309,AO1279,$BB$11:$BB$1309)=COUNTIF($AO$11:$AO$1309,AO1279),SUMIF($AO$11:$AO$1309,AO1279,$AS$11:$AS$1309),"")</f>
      </c>
      <c r="BD1279" s="11" t="str">
        <f>IF(SUMIF($AO$11:$AO$1309,AO1279,$BB$11:$BB$1309)=COUNTIF($AO$11:$AO$1309,AO1279),SUMIF($AO$11:$AO$1309,AO1279,$AW$11:$AW$1309),"")</f>
      </c>
      <c r="BE1279" s="11" t="str">
        <f>IF(SUMIF($AO$11:$AO$1309,AO1279,$BB$11:$BB$1309)=COUNTIF($AO$11:$AO$1309,AO1279),SUMIF($AO$11:$AO$1309,AO1279,$BA$11:$BA$1309),"")</f>
      </c>
      <c r="BF1279" s="12" t="str">
        <f>IF(COUNT(BD1279:BE1279)&lt;&gt;2,"",IF(AND(BD1279&gt;0,BE1279&gt;0),0.7*AW1279/BD1279+0.3*BA1279/BE1279,IF(BD1279&gt;0,AW1279/BD1279,IF(BE1279&gt;0,BA1279/BE1279,IF(AND(ISNUMBER(BH1279),BH1279=0),0,"")))))</f>
      </c>
      <c r="BG1279" s="11" t="n">
        <f>IF(AND(COUNT(BN1279:BU1279)=8,MIN(BN1279:BU1279)&gt;=0),SUMPRODUCT(BN1279:BQ1279,BR1279:BU1279),"")</f>
        <v>83.81006574832674</v>
      </c>
      <c r="BH1279" s="11" t="str">
        <f>IF(COUNT(BC1279,BG1279)=2,BC1279*BG1279,"")</f>
      </c>
      <c r="BI1279" s="11" t="str">
        <f>IF(ISNUMBER(CI1279),CI1279,"")</f>
      </c>
      <c r="BJ1279" s="8" t="str">
        <v>同组销量待核：2311062-TN-P-O-10、2311062-TN-P-O-11；低销提醒依据不完整</v>
      </c>
      <c r="BK1279" s="8" t="str">
        <v>90天：2026-07-20 至 2026-10-17；180天：2026-04-21 至 2026-10-17</v>
      </c>
      <c r="BL1279" s="8" t="str">
        <v>90天：2026-10-06、2026-10-07；180天：2026-10-06、2026-10-07</v>
      </c>
      <c r="BM1279" s="8" t="str">
        <v>2026-10：12天 × 1.4758912429949873；2026-11：30天 × 0.906602681585801；2026-12：31天 × 0.6189770892129804；2027-01：17天 × 1.1595882717182624</v>
      </c>
      <c r="BN1279" s="11" t="n">
        <v>1.4758912429949873</v>
      </c>
      <c r="BO1279" s="11" t="n">
        <v>0.906602681585801</v>
      </c>
      <c r="BP1279" s="11" t="n">
        <v>0.6189770892129804</v>
      </c>
      <c r="BQ1279" s="11" t="n">
        <v>1.1595882717182624</v>
      </c>
      <c r="BR1279" s="8" t="n">
        <v>12</v>
      </c>
      <c r="BS1279" s="8" t="n">
        <v>30</v>
      </c>
      <c r="BT1279" s="8" t="n">
        <v>31</v>
      </c>
      <c r="BU1279" s="8" t="n">
        <v>17</v>
      </c>
      <c r="BV1279" s="11" t="str">
        <f>IF(COUNT(BC1279,BF1279)=2,BC1279*BF1279,"")</f>
      </c>
      <c r="BW1279" s="11" t="n">
        <f>IF(ISNUMBER(BN1279),BN1279,"")</f>
        <v>1.4758912429949873</v>
      </c>
      <c r="BX1279" s="14" t="n">
        <f>IF(ISNUMBER(BR1279),BR1279,"")</f>
        <v>12</v>
      </c>
      <c r="BY1279" s="13" t="str">
        <f>IF(AND(COUNT(BV1279,BW1279,BX1279)=3,MIN(BV1279,BW1279,BX1279)&gt;=0),BV1279*BW1279*BX1279,"")</f>
      </c>
      <c r="BZ1279" s="11" t="n">
        <f>IF(ISNUMBER(BO1279),BO1279,"")</f>
        <v>0.906602681585801</v>
      </c>
      <c r="CA1279" s="14" t="n">
        <f>IF(ISNUMBER(BS1279),BS1279,"")</f>
        <v>30</v>
      </c>
      <c r="CB1279" s="13" t="str">
        <f>IF(AND(COUNT(BV1279,BZ1279,CA1279)=3,MIN(BV1279,BZ1279,CA1279)&gt;=0),BV1279*BZ1279*CA1279,"")</f>
      </c>
      <c r="CC1279" s="11" t="n">
        <f>IF(ISNUMBER(BP1279),BP1279,"")</f>
        <v>0.6189770892129804</v>
      </c>
      <c r="CD1279" s="14" t="n">
        <f>IF(ISNUMBER(BT1279),BT1279,"")</f>
        <v>31</v>
      </c>
      <c r="CE1279" s="13" t="str">
        <f>IF(AND(COUNT(BV1279,CC1279,CD1279)=3,MIN(BV1279,CC1279,CD1279)&gt;=0),BV1279*CC1279*CD1279,"")</f>
      </c>
      <c r="CF1279" s="11" t="n">
        <f>IF(ISNUMBER(BQ1279),BQ1279,"")</f>
        <v>1.1595882717182624</v>
      </c>
      <c r="CG1279" s="14" t="n">
        <f>IF(ISNUMBER(BU1279),BU1279,"")</f>
        <v>17</v>
      </c>
      <c r="CH1279" s="13" t="str">
        <f>IF(AND(COUNT(BV1279,CF1279,CG1279)=3,MIN(BV1279,CF1279,CG1279)&gt;=0),BV1279*CF1279*CG1279,"")</f>
      </c>
      <c r="CI1279" s="13" t="str">
        <f>IF(COUNT(BY1279,CB1279,CE1279,CH1279)=4,SUM(BY1279,CB1279,CE1279,CH1279),"")</f>
      </c>
    </row>
    <row r="1280" ht="72" customHeight="1">
      <c r="A1280" s="16" t="str">
        <v>8392-BK-38.5</v>
      </c>
      <c r="B1280" s="16" t="str">
        <v>3店-SANDIEX-US</v>
      </c>
      <c r="C1280" s="16" t="str">
        <v>徐新怡</v>
      </c>
      <c r="D1280" s="26" t="str">
        <f>IF(NOT(ISNUMBER(E1280)),"",IF(OR(E1280&lt;=0,L1280=0),0,IF(OR(NOT(ISNUMBER(F1280)),F1280&lt;0),"",MIN(E1280,INT(F1280)))))</f>
      </c>
      <c r="E1280" s="27" t="str">
        <f>IF(OR(NOT(ISNUMBER(L1280)),COUNT(M1280:O1280)&lt;&gt;3,MIN(M1280:O1280)&lt;0),"",ROUNDUP(ROUND(BI1280-SUM(M1280:O1280),10),0))</f>
      </c>
      <c r="F1280" s="28" t="n">
        <v>0</v>
      </c>
      <c r="G1280" s="28" t="str">
        <f>IF(AND(ISNUMBER(D1280),ISNUMBER(E1280)),IF(OR(E1280&lt;=0,L1280=0),0,E1280-D1280),"")</f>
      </c>
      <c r="H1280" s="16" t="str">
        <f>IF(NOT(ISNUMBER(E1280)),"销量或海外库存待补",IF(OR(E1280&lt;=0,L1280=0),IF(L1280=0,"零日销，本批不发","本批无需补货"),IF(NOT(ISNUMBER(D1280)),"国内库存待补",IF(D1280=0,"国内无可用库存",IF(G1280&gt;0,"先发国内现货","按建议量发货")))))</f>
        <v>销量或海外库存待补</v>
      </c>
      <c r="I1280" s="28" t="n">
        <f>IF(AND(COUNT(Z1280,AA1280,AB1280)=3,Z1280&gt;=AA1280,AA1280&gt;=0,AB1280=7),Z1280-AA1280,"")</f>
        <v>0</v>
      </c>
      <c r="J1280" s="28" t="n">
        <f>IF(AND(COUNT(AF1280,AG1280,AH1280)=3,AF1280&gt;=AG1280,AG1280&gt;=0,AH1280=14),AF1280-AG1280,"")</f>
        <v>0</v>
      </c>
      <c r="K1280" s="28" t="n">
        <f>IF(AND(COUNT(AL1280,AM1280,AN1280)=3,AL1280&gt;=AM1280,AM1280&gt;=0,AN1280=30),AL1280-AM1280,"")</f>
        <v>0</v>
      </c>
      <c r="L1280" s="29" t="n">
        <f>IF(ISNUMBER(BI1280),BI1280/90,"")</f>
        <v>0</v>
      </c>
      <c r="M1280" s="28"/>
      <c r="N1280" s="28"/>
      <c r="O1280" s="28"/>
      <c r="P1280" s="30" t="str">
        <f>IF(AND(ISNUMBER(L1280),L1280&gt;0,COUNT(M1280:O1280)=3,MIN(M1280:O1280)&gt;=0),SUM(M1280:O1280)/L1280,"")</f>
      </c>
      <c r="Q1280" s="16" t="str">
        <v>新增SPU唯一在售店铺</v>
      </c>
      <c r="R1280" s="16" t="str">
        <v>已匹配</v>
      </c>
      <c r="S1280" s="16" t="str">
        <v>未匹配Listing</v>
      </c>
      <c r="T1280" s="16" t="str">
        <v>8392</v>
      </c>
      <c r="U1280" s="16" t="str">
        <v>黑色</v>
      </c>
      <c r="V1280" s="16" t="n">
        <v>7.5</v>
      </c>
      <c r="W1280" s="8" t="str">
        <v>2026-10-11 至 2026-10-17</v>
      </c>
      <c r="X1280" s="8" t="str">
        <v>2026-10-11、2026-10-12、2026-10-13、2026-10-14、2026-10-15、2026-10-16、2026-10-17</v>
      </c>
      <c r="Y1280" s="8" t="str">
        <v>无</v>
      </c>
      <c r="Z1280" s="8" t="n">
        <v>0</v>
      </c>
      <c r="AA1280" s="8" t="n">
        <v>0</v>
      </c>
      <c r="AB1280" s="8" t="n">
        <v>7</v>
      </c>
      <c r="AC1280" s="8" t="str">
        <v>2026-10-02 至 2026-10-17</v>
      </c>
      <c r="AD1280" s="8" t="str">
        <v>2026-10-02、2026-10-03、2026-10-04、2026-10-05、2026-10-08、2026-10-09、2026-10-10、2026-10-11、2026-10-12、2026-10-13、2026-10-14、2026-10-15、2026-10-16、2026-10-17</v>
      </c>
      <c r="AE1280" s="8" t="str">
        <v>2026-10-06 大促；2026-10-07 大促</v>
      </c>
      <c r="AF1280" s="8" t="n">
        <v>0</v>
      </c>
      <c r="AG1280" s="8" t="n">
        <v>0</v>
      </c>
      <c r="AH1280" s="8" t="n">
        <v>14</v>
      </c>
      <c r="AI1280" s="8" t="str">
        <v>2026-09-16 至 2026-10-17</v>
      </c>
      <c r="AJ128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0" s="8" t="str">
        <v>2026-10-06 大促；2026-10-07 大促</v>
      </c>
      <c r="AL1280" s="8" t="n">
        <v>0</v>
      </c>
      <c r="AM1280" s="8" t="n">
        <v>0</v>
      </c>
      <c r="AN1280" s="8" t="n">
        <v>30</v>
      </c>
      <c r="AO1280" s="8" t="str">
        <v>8392 / 黑色羊京绒 / 6574</v>
      </c>
      <c r="AP1280" s="11" t="n">
        <v>1.1743420411079069</v>
      </c>
      <c r="AQ1280" s="11" t="n">
        <v>1.1743420411079069</v>
      </c>
      <c r="AR1280" s="11" t="n">
        <v>1.144331424468921</v>
      </c>
      <c r="AS1280" s="11" t="n">
        <f>IF(AND(COUNT(I1280:K1280,AP1280:AR1280)=6,MIN(AP1280:AR1280)&gt;0),I1280/7/AP1280*0.5+J1280/14/AQ1280*0.3+K1280/30/AR1280*0.2,"")</f>
        <v>0</v>
      </c>
      <c r="AT1280" s="8" t="n">
        <v>0</v>
      </c>
      <c r="AU1280" s="8" t="n">
        <v>0</v>
      </c>
      <c r="AV1280" s="8" t="n">
        <v>88</v>
      </c>
      <c r="AW1280" s="11" t="n">
        <f>IF(AND(COUNT(AT1280:AV1280)=3,AT1280&gt;=AU1280,AU1280&gt;=0,AV1280&gt;0),(AT1280-AU1280)/AV1280,"")</f>
        <v>0</v>
      </c>
      <c r="AX1280" s="8" t="n">
        <v>0</v>
      </c>
      <c r="AY1280" s="8" t="n">
        <v>0</v>
      </c>
      <c r="AZ1280" s="8" t="n">
        <v>178</v>
      </c>
      <c r="BA1280" s="11" t="n">
        <f>IF(AND(COUNT(AX1280:AZ1280)=3,AX1280&gt;=AY1280,AY1280&gt;=0,AZ1280&gt;0),(AX1280-AY1280)/AZ1280,"")</f>
        <v>0</v>
      </c>
      <c r="BB1280" s="8" t="n">
        <f>IF(COUNT(AS1280,AW1280,BA1280)=3,1,0)</f>
        <v>1</v>
      </c>
      <c r="BC1280" s="11" t="n">
        <f>IF(SUMIF($AO$11:$AO$1309,AO1280,$BB$11:$BB$1309)=COUNTIF($AO$11:$AO$1309,AO1280),SUMIF($AO$11:$AO$1309,AO1280,$AS$11:$AS$1309),"")</f>
        <v>5.8206872914932575</v>
      </c>
      <c r="BD1280" s="11" t="n">
        <f>IF(SUMIF($AO$11:$AO$1309,AO1280,$BB$11:$BB$1309)=COUNTIF($AO$11:$AO$1309,AO1280),SUMIF($AO$11:$AO$1309,AO1280,$AW$11:$AW$1309),"")</f>
        <v>2.7613636363636367</v>
      </c>
      <c r="BE1280" s="11" t="n">
        <f>IF(SUMIF($AO$11:$AO$1309,AO1280,$BB$11:$BB$1309)=COUNTIF($AO$11:$AO$1309,AO1280),SUMIF($AO$11:$AO$1309,AO1280,$BA$11:$BA$1309),"")</f>
        <v>2.2696629213483144</v>
      </c>
      <c r="BF1280" s="12" t="n">
        <f>IF(COUNT(BD1280:BE1280)&lt;&gt;2,"",IF(AND(BD1280&gt;0,BE1280&gt;0),0.7*AW1280/BD1280+0.3*BA1280/BE1280,IF(BD1280&gt;0,AW1280/BD1280,IF(BE1280&gt;0,BA1280/BE1280,IF(AND(ISNUMBER(BH1280),BH1280=0),0,"")))))</f>
        <v>0</v>
      </c>
      <c r="BG1280" s="11" t="n">
        <f>IF(AND(COUNT(BN1280:BU1280)=8,MIN(BN1280:BU1280)&gt;=0),SUMPRODUCT(BN1280:BQ1280,BR1280:BU1280),"")</f>
        <v>96.68059267618935</v>
      </c>
      <c r="BH1280" s="11" t="n">
        <f>IF(COUNT(BC1280,BG1280)=2,BC1280*BG1280,"")</f>
        <v>562.7474971243314</v>
      </c>
      <c r="BI1280" s="11" t="n">
        <f>IF(ISNUMBER(CI1280),CI1280,"")</f>
        <v>0</v>
      </c>
      <c r="BJ1280" s="8" t="str"/>
      <c r="BK1280" s="8" t="str">
        <v>90天：2026-07-20 至 2026-10-17；180天：2026-04-21 至 2026-10-17</v>
      </c>
      <c r="BL1280" s="8" t="str">
        <v>90天：2026-10-06、2026-10-07；180天：2026-10-06、2026-10-07</v>
      </c>
      <c r="BM1280" s="8" t="str">
        <v>2026-10：12天 × 1.1743420411079069；2026-11：30天 × 1.281694931279211；2026-12：31天 × 0.9007634642750235；2027-01：17天 × 0.9537631089407297</v>
      </c>
      <c r="BN1280" s="11" t="n">
        <v>1.1743420411079069</v>
      </c>
      <c r="BO1280" s="11" t="n">
        <v>1.281694931279211</v>
      </c>
      <c r="BP1280" s="11" t="n">
        <v>0.9007634642750235</v>
      </c>
      <c r="BQ1280" s="11" t="n">
        <v>0.9537631089407297</v>
      </c>
      <c r="BR1280" s="8" t="n">
        <v>12</v>
      </c>
      <c r="BS1280" s="8" t="n">
        <v>30</v>
      </c>
      <c r="BT1280" s="8" t="n">
        <v>31</v>
      </c>
      <c r="BU1280" s="8" t="n">
        <v>17</v>
      </c>
      <c r="BV1280" s="11" t="n">
        <f>IF(COUNT(BC1280,BF1280)=2,BC1280*BF1280,"")</f>
        <v>0</v>
      </c>
      <c r="BW1280" s="11" t="n">
        <f>IF(ISNUMBER(BN1280),BN1280,"")</f>
        <v>1.1743420411079069</v>
      </c>
      <c r="BX1280" s="14" t="n">
        <f>IF(ISNUMBER(BR1280),BR1280,"")</f>
        <v>12</v>
      </c>
      <c r="BY1280" s="13" t="n">
        <f>IF(AND(COUNT(BV1280,BW1280,BX1280)=3,MIN(BV1280,BW1280,BX1280)&gt;=0),BV1280*BW1280*BX1280,"")</f>
        <v>0</v>
      </c>
      <c r="BZ1280" s="11" t="n">
        <f>IF(ISNUMBER(BO1280),BO1280,"")</f>
        <v>1.281694931279211</v>
      </c>
      <c r="CA1280" s="14" t="n">
        <f>IF(ISNUMBER(BS1280),BS1280,"")</f>
        <v>30</v>
      </c>
      <c r="CB1280" s="13" t="n">
        <f>IF(AND(COUNT(BV1280,BZ1280,CA1280)=3,MIN(BV1280,BZ1280,CA1280)&gt;=0),BV1280*BZ1280*CA1280,"")</f>
        <v>0</v>
      </c>
      <c r="CC1280" s="11" t="n">
        <f>IF(ISNUMBER(BP1280),BP1280,"")</f>
        <v>0.9007634642750235</v>
      </c>
      <c r="CD1280" s="14" t="n">
        <f>IF(ISNUMBER(BT1280),BT1280,"")</f>
        <v>31</v>
      </c>
      <c r="CE1280" s="13" t="n">
        <f>IF(AND(COUNT(BV1280,CC1280,CD1280)=3,MIN(BV1280,CC1280,CD1280)&gt;=0),BV1280*CC1280*CD1280,"")</f>
        <v>0</v>
      </c>
      <c r="CF1280" s="11" t="n">
        <f>IF(ISNUMBER(BQ1280),BQ1280,"")</f>
        <v>0.9537631089407297</v>
      </c>
      <c r="CG1280" s="14" t="n">
        <f>IF(ISNUMBER(BU1280),BU1280,"")</f>
        <v>17</v>
      </c>
      <c r="CH1280" s="13" t="n">
        <f>IF(AND(COUNT(BV1280,CF1280,CG1280)=3,MIN(BV1280,CF1280,CG1280)&gt;=0),BV1280*CF1280*CG1280,"")</f>
        <v>0</v>
      </c>
      <c r="CI1280" s="13" t="n">
        <f>IF(COUNT(BY1280,CB1280,CE1280,CH1280)=4,SUM(BY1280,CB1280,CE1280,CH1280),"")</f>
        <v>0</v>
      </c>
    </row>
    <row r="1281" ht="72" customHeight="1">
      <c r="A1281" s="16" t="str">
        <v>8392-BK-40.5</v>
      </c>
      <c r="B1281" s="16" t="str">
        <v>3店-SANDIEX-US</v>
      </c>
      <c r="C1281" s="16" t="str">
        <v>徐新怡</v>
      </c>
      <c r="D1281" s="26" t="str">
        <f>IF(NOT(ISNUMBER(E1281)),"",IF(OR(E1281&lt;=0,L1281=0),0,IF(OR(NOT(ISNUMBER(F1281)),F1281&lt;0),"",MIN(E1281,INT(F1281)))))</f>
      </c>
      <c r="E1281" s="27" t="str">
        <f>IF(OR(NOT(ISNUMBER(L1281)),COUNT(M1281:O1281)&lt;&gt;3,MIN(M1281:O1281)&lt;0),"",ROUNDUP(ROUND(BI1281-SUM(M1281:O1281),10),0))</f>
      </c>
      <c r="F1281" s="28" t="n">
        <v>0</v>
      </c>
      <c r="G1281" s="28" t="str">
        <f>IF(AND(ISNUMBER(D1281),ISNUMBER(E1281)),IF(OR(E1281&lt;=0,L1281=0),0,E1281-D1281),"")</f>
      </c>
      <c r="H1281" s="16" t="str">
        <f>IF(NOT(ISNUMBER(E1281)),"销量或海外库存待补",IF(OR(E1281&lt;=0,L1281=0),IF(L1281=0,"零日销，本批不发","本批无需补货"),IF(NOT(ISNUMBER(D1281)),"国内库存待补",IF(D1281=0,"国内无可用库存",IF(G1281&gt;0,"先发国内现货","按建议量发货")))))</f>
        <v>销量或海外库存待补</v>
      </c>
      <c r="I1281" s="28" t="n">
        <f>IF(AND(COUNT(Z1281,AA1281,AB1281)=3,Z1281&gt;=AA1281,AA1281&gt;=0,AB1281=7),Z1281-AA1281,"")</f>
        <v>0</v>
      </c>
      <c r="J1281" s="28" t="n">
        <f>IF(AND(COUNT(AF1281,AG1281,AH1281)=3,AF1281&gt;=AG1281,AG1281&gt;=0,AH1281=14),AF1281-AG1281,"")</f>
        <v>0</v>
      </c>
      <c r="K1281" s="28" t="n">
        <f>IF(AND(COUNT(AL1281,AM1281,AN1281)=3,AL1281&gt;=AM1281,AM1281&gt;=0,AN1281=30),AL1281-AM1281,"")</f>
        <v>0</v>
      </c>
      <c r="L1281" s="29" t="n">
        <f>IF(ISNUMBER(BI1281),BI1281/90,"")</f>
        <v>0</v>
      </c>
      <c r="M1281" s="28"/>
      <c r="N1281" s="28"/>
      <c r="O1281" s="28"/>
      <c r="P1281" s="30" t="str">
        <f>IF(AND(ISNUMBER(L1281),L1281&gt;0,COUNT(M1281:O1281)=3,MIN(M1281:O1281)&gt;=0),SUM(M1281:O1281)/L1281,"")</f>
      </c>
      <c r="Q1281" s="16" t="str">
        <v>新增SPU唯一在售店铺</v>
      </c>
      <c r="R1281" s="16" t="str">
        <v>已匹配</v>
      </c>
      <c r="S1281" s="16" t="str">
        <v>未匹配Listing</v>
      </c>
      <c r="T1281" s="16" t="str">
        <v>8392</v>
      </c>
      <c r="U1281" s="16" t="str">
        <v>黑色</v>
      </c>
      <c r="V1281" s="16" t="n">
        <v>9.5</v>
      </c>
      <c r="W1281" s="8" t="str">
        <v>2026-10-11 至 2026-10-17</v>
      </c>
      <c r="X1281" s="8" t="str">
        <v>2026-10-11、2026-10-12、2026-10-13、2026-10-14、2026-10-15、2026-10-16、2026-10-17</v>
      </c>
      <c r="Y1281" s="8" t="str">
        <v>无</v>
      </c>
      <c r="Z1281" s="8" t="n">
        <v>0</v>
      </c>
      <c r="AA1281" s="8" t="n">
        <v>0</v>
      </c>
      <c r="AB1281" s="8" t="n">
        <v>7</v>
      </c>
      <c r="AC1281" s="8" t="str">
        <v>2026-10-02 至 2026-10-17</v>
      </c>
      <c r="AD1281" s="8" t="str">
        <v>2026-10-02、2026-10-03、2026-10-04、2026-10-05、2026-10-08、2026-10-09、2026-10-10、2026-10-11、2026-10-12、2026-10-13、2026-10-14、2026-10-15、2026-10-16、2026-10-17</v>
      </c>
      <c r="AE1281" s="8" t="str">
        <v>2026-10-06 大促；2026-10-07 大促</v>
      </c>
      <c r="AF1281" s="8" t="n">
        <v>0</v>
      </c>
      <c r="AG1281" s="8" t="n">
        <v>0</v>
      </c>
      <c r="AH1281" s="8" t="n">
        <v>14</v>
      </c>
      <c r="AI1281" s="8" t="str">
        <v>2026-09-16 至 2026-10-17</v>
      </c>
      <c r="AJ128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1" s="8" t="str">
        <v>2026-10-06 大促；2026-10-07 大促</v>
      </c>
      <c r="AL1281" s="8" t="n">
        <v>0</v>
      </c>
      <c r="AM1281" s="8" t="n">
        <v>0</v>
      </c>
      <c r="AN1281" s="8" t="n">
        <v>30</v>
      </c>
      <c r="AO1281" s="8" t="str">
        <v>8392 / 黑色羊京绒 / 6574</v>
      </c>
      <c r="AP1281" s="11" t="n">
        <v>1.1743420411079069</v>
      </c>
      <c r="AQ1281" s="11" t="n">
        <v>1.1743420411079069</v>
      </c>
      <c r="AR1281" s="11" t="n">
        <v>1.144331424468921</v>
      </c>
      <c r="AS1281" s="11" t="n">
        <f>IF(AND(COUNT(I1281:K1281,AP1281:AR1281)=6,MIN(AP1281:AR1281)&gt;0),I1281/7/AP1281*0.5+J1281/14/AQ1281*0.3+K1281/30/AR1281*0.2,"")</f>
        <v>0</v>
      </c>
      <c r="AT1281" s="8" t="n">
        <v>0</v>
      </c>
      <c r="AU1281" s="8" t="n">
        <v>0</v>
      </c>
      <c r="AV1281" s="8" t="n">
        <v>88</v>
      </c>
      <c r="AW1281" s="11" t="n">
        <f>IF(AND(COUNT(AT1281:AV1281)=3,AT1281&gt;=AU1281,AU1281&gt;=0,AV1281&gt;0),(AT1281-AU1281)/AV1281,"")</f>
        <v>0</v>
      </c>
      <c r="AX1281" s="8" t="n">
        <v>0</v>
      </c>
      <c r="AY1281" s="8" t="n">
        <v>0</v>
      </c>
      <c r="AZ1281" s="8" t="n">
        <v>178</v>
      </c>
      <c r="BA1281" s="11" t="n">
        <f>IF(AND(COUNT(AX1281:AZ1281)=3,AX1281&gt;=AY1281,AY1281&gt;=0,AZ1281&gt;0),(AX1281-AY1281)/AZ1281,"")</f>
        <v>0</v>
      </c>
      <c r="BB1281" s="8" t="n">
        <f>IF(COUNT(AS1281,AW1281,BA1281)=3,1,0)</f>
        <v>1</v>
      </c>
      <c r="BC1281" s="11" t="n">
        <f>IF(SUMIF($AO$11:$AO$1309,AO1281,$BB$11:$BB$1309)=COUNTIF($AO$11:$AO$1309,AO1281),SUMIF($AO$11:$AO$1309,AO1281,$AS$11:$AS$1309),"")</f>
        <v>5.8206872914932575</v>
      </c>
      <c r="BD1281" s="11" t="n">
        <f>IF(SUMIF($AO$11:$AO$1309,AO1281,$BB$11:$BB$1309)=COUNTIF($AO$11:$AO$1309,AO1281),SUMIF($AO$11:$AO$1309,AO1281,$AW$11:$AW$1309),"")</f>
        <v>2.7613636363636367</v>
      </c>
      <c r="BE1281" s="11" t="n">
        <f>IF(SUMIF($AO$11:$AO$1309,AO1281,$BB$11:$BB$1309)=COUNTIF($AO$11:$AO$1309,AO1281),SUMIF($AO$11:$AO$1309,AO1281,$BA$11:$BA$1309),"")</f>
        <v>2.2696629213483144</v>
      </c>
      <c r="BF1281" s="12" t="n">
        <f>IF(COUNT(BD1281:BE1281)&lt;&gt;2,"",IF(AND(BD1281&gt;0,BE1281&gt;0),0.7*AW1281/BD1281+0.3*BA1281/BE1281,IF(BD1281&gt;0,AW1281/BD1281,IF(BE1281&gt;0,BA1281/BE1281,IF(AND(ISNUMBER(BH1281),BH1281=0),0,"")))))</f>
        <v>0</v>
      </c>
      <c r="BG1281" s="11" t="n">
        <f>IF(AND(COUNT(BN1281:BU1281)=8,MIN(BN1281:BU1281)&gt;=0),SUMPRODUCT(BN1281:BQ1281,BR1281:BU1281),"")</f>
        <v>96.68059267618935</v>
      </c>
      <c r="BH1281" s="11" t="n">
        <f>IF(COUNT(BC1281,BG1281)=2,BC1281*BG1281,"")</f>
        <v>562.7474971243314</v>
      </c>
      <c r="BI1281" s="11" t="n">
        <f>IF(ISNUMBER(CI1281),CI1281,"")</f>
        <v>0</v>
      </c>
      <c r="BJ1281" s="8" t="str"/>
      <c r="BK1281" s="8" t="str">
        <v>90天：2026-07-20 至 2026-10-17；180天：2026-04-21 至 2026-10-17</v>
      </c>
      <c r="BL1281" s="8" t="str">
        <v>90天：2026-10-06、2026-10-07；180天：2026-10-06、2026-10-07</v>
      </c>
      <c r="BM1281" s="8" t="str">
        <v>2026-10：12天 × 1.1743420411079069；2026-11：30天 × 1.281694931279211；2026-12：31天 × 0.9007634642750235；2027-01：17天 × 0.9537631089407297</v>
      </c>
      <c r="BN1281" s="11" t="n">
        <v>1.1743420411079069</v>
      </c>
      <c r="BO1281" s="11" t="n">
        <v>1.281694931279211</v>
      </c>
      <c r="BP1281" s="11" t="n">
        <v>0.9007634642750235</v>
      </c>
      <c r="BQ1281" s="11" t="n">
        <v>0.9537631089407297</v>
      </c>
      <c r="BR1281" s="8" t="n">
        <v>12</v>
      </c>
      <c r="BS1281" s="8" t="n">
        <v>30</v>
      </c>
      <c r="BT1281" s="8" t="n">
        <v>31</v>
      </c>
      <c r="BU1281" s="8" t="n">
        <v>17</v>
      </c>
      <c r="BV1281" s="11" t="n">
        <f>IF(COUNT(BC1281,BF1281)=2,BC1281*BF1281,"")</f>
        <v>0</v>
      </c>
      <c r="BW1281" s="11" t="n">
        <f>IF(ISNUMBER(BN1281),BN1281,"")</f>
        <v>1.1743420411079069</v>
      </c>
      <c r="BX1281" s="14" t="n">
        <f>IF(ISNUMBER(BR1281),BR1281,"")</f>
        <v>12</v>
      </c>
      <c r="BY1281" s="13" t="n">
        <f>IF(AND(COUNT(BV1281,BW1281,BX1281)=3,MIN(BV1281,BW1281,BX1281)&gt;=0),BV1281*BW1281*BX1281,"")</f>
        <v>0</v>
      </c>
      <c r="BZ1281" s="11" t="n">
        <f>IF(ISNUMBER(BO1281),BO1281,"")</f>
        <v>1.281694931279211</v>
      </c>
      <c r="CA1281" s="14" t="n">
        <f>IF(ISNUMBER(BS1281),BS1281,"")</f>
        <v>30</v>
      </c>
      <c r="CB1281" s="13" t="n">
        <f>IF(AND(COUNT(BV1281,BZ1281,CA1281)=3,MIN(BV1281,BZ1281,CA1281)&gt;=0),BV1281*BZ1281*CA1281,"")</f>
        <v>0</v>
      </c>
      <c r="CC1281" s="11" t="n">
        <f>IF(ISNUMBER(BP1281),BP1281,"")</f>
        <v>0.9007634642750235</v>
      </c>
      <c r="CD1281" s="14" t="n">
        <f>IF(ISNUMBER(BT1281),BT1281,"")</f>
        <v>31</v>
      </c>
      <c r="CE1281" s="13" t="n">
        <f>IF(AND(COUNT(BV1281,CC1281,CD1281)=3,MIN(BV1281,CC1281,CD1281)&gt;=0),BV1281*CC1281*CD1281,"")</f>
        <v>0</v>
      </c>
      <c r="CF1281" s="11" t="n">
        <f>IF(ISNUMBER(BQ1281),BQ1281,"")</f>
        <v>0.9537631089407297</v>
      </c>
      <c r="CG1281" s="14" t="n">
        <f>IF(ISNUMBER(BU1281),BU1281,"")</f>
        <v>17</v>
      </c>
      <c r="CH1281" s="13" t="n">
        <f>IF(AND(COUNT(BV1281,CF1281,CG1281)=3,MIN(BV1281,CF1281,CG1281)&gt;=0),BV1281*CF1281*CG1281,"")</f>
        <v>0</v>
      </c>
      <c r="CI1281" s="13" t="n">
        <f>IF(COUNT(BY1281,CB1281,CE1281,CH1281)=4,SUM(BY1281,CB1281,CE1281,CH1281),"")</f>
        <v>0</v>
      </c>
    </row>
    <row r="1282" ht="72" customHeight="1">
      <c r="A1282" s="16" t="str">
        <v>8392-BK-41.5</v>
      </c>
      <c r="B1282" s="16" t="str">
        <v>3店-SANDIEX-US</v>
      </c>
      <c r="C1282" s="16" t="str">
        <v>徐新怡</v>
      </c>
      <c r="D1282" s="26" t="str">
        <f>IF(NOT(ISNUMBER(E1282)),"",IF(OR(E1282&lt;=0,L1282=0),0,IF(OR(NOT(ISNUMBER(F1282)),F1282&lt;0),"",MIN(E1282,INT(F1282)))))</f>
      </c>
      <c r="E1282" s="27" t="str">
        <f>IF(OR(NOT(ISNUMBER(L1282)),COUNT(M1282:O1282)&lt;&gt;3,MIN(M1282:O1282)&lt;0),"",ROUNDUP(ROUND(BI1282-SUM(M1282:O1282),10),0))</f>
      </c>
      <c r="F1282" s="28" t="n">
        <v>0</v>
      </c>
      <c r="G1282" s="28" t="str">
        <f>IF(AND(ISNUMBER(D1282),ISNUMBER(E1282)),IF(OR(E1282&lt;=0,L1282=0),0,E1282-D1282),"")</f>
      </c>
      <c r="H1282" s="16" t="str">
        <f>IF(NOT(ISNUMBER(E1282)),"销量或海外库存待补",IF(OR(E1282&lt;=0,L1282=0),IF(L1282=0,"零日销，本批不发","本批无需补货"),IF(NOT(ISNUMBER(D1282)),"国内库存待补",IF(D1282=0,"国内无可用库存",IF(G1282&gt;0,"先发国内现货","按建议量发货")))))</f>
        <v>销量或海外库存待补</v>
      </c>
      <c r="I1282" s="28" t="n">
        <f>IF(AND(COUNT(Z1282,AA1282,AB1282)=3,Z1282&gt;=AA1282,AA1282&gt;=0,AB1282=7),Z1282-AA1282,"")</f>
        <v>0</v>
      </c>
      <c r="J1282" s="28" t="n">
        <f>IF(AND(COUNT(AF1282,AG1282,AH1282)=3,AF1282&gt;=AG1282,AG1282&gt;=0,AH1282=14),AF1282-AG1282,"")</f>
        <v>0</v>
      </c>
      <c r="K1282" s="28" t="n">
        <f>IF(AND(COUNT(AL1282,AM1282,AN1282)=3,AL1282&gt;=AM1282,AM1282&gt;=0,AN1282=30),AL1282-AM1282,"")</f>
        <v>0</v>
      </c>
      <c r="L1282" s="29" t="n">
        <f>IF(ISNUMBER(BI1282),BI1282/90,"")</f>
        <v>0</v>
      </c>
      <c r="M1282" s="28"/>
      <c r="N1282" s="28"/>
      <c r="O1282" s="28"/>
      <c r="P1282" s="30" t="str">
        <f>IF(AND(ISNUMBER(L1282),L1282&gt;0,COUNT(M1282:O1282)=3,MIN(M1282:O1282)&gt;=0),SUM(M1282:O1282)/L1282,"")</f>
      </c>
      <c r="Q1282" s="16" t="str">
        <v>新增SPU唯一在售店铺</v>
      </c>
      <c r="R1282" s="16" t="str">
        <v>已匹配</v>
      </c>
      <c r="S1282" s="16" t="str">
        <v>未匹配Listing</v>
      </c>
      <c r="T1282" s="16" t="str">
        <v>8392</v>
      </c>
      <c r="U1282" s="16" t="str">
        <v>黑色</v>
      </c>
      <c r="V1282" s="16" t="n">
        <v>10.5</v>
      </c>
      <c r="W1282" s="8" t="str">
        <v>2026-10-11 至 2026-10-17</v>
      </c>
      <c r="X1282" s="8" t="str">
        <v>2026-10-11、2026-10-12、2026-10-13、2026-10-14、2026-10-15、2026-10-16、2026-10-17</v>
      </c>
      <c r="Y1282" s="8" t="str">
        <v>无</v>
      </c>
      <c r="Z1282" s="8" t="n">
        <v>0</v>
      </c>
      <c r="AA1282" s="8" t="n">
        <v>0</v>
      </c>
      <c r="AB1282" s="8" t="n">
        <v>7</v>
      </c>
      <c r="AC1282" s="8" t="str">
        <v>2026-10-02 至 2026-10-17</v>
      </c>
      <c r="AD1282" s="8" t="str">
        <v>2026-10-02、2026-10-03、2026-10-04、2026-10-05、2026-10-08、2026-10-09、2026-10-10、2026-10-11、2026-10-12、2026-10-13、2026-10-14、2026-10-15、2026-10-16、2026-10-17</v>
      </c>
      <c r="AE1282" s="8" t="str">
        <v>2026-10-06 大促；2026-10-07 大促</v>
      </c>
      <c r="AF1282" s="8" t="n">
        <v>0</v>
      </c>
      <c r="AG1282" s="8" t="n">
        <v>0</v>
      </c>
      <c r="AH1282" s="8" t="n">
        <v>14</v>
      </c>
      <c r="AI1282" s="8" t="str">
        <v>2026-09-16 至 2026-10-17</v>
      </c>
      <c r="AJ128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2" s="8" t="str">
        <v>2026-10-06 大促；2026-10-07 大促</v>
      </c>
      <c r="AL1282" s="8" t="n">
        <v>0</v>
      </c>
      <c r="AM1282" s="8" t="n">
        <v>0</v>
      </c>
      <c r="AN1282" s="8" t="n">
        <v>30</v>
      </c>
      <c r="AO1282" s="8" t="str">
        <v>8392 / 黑色羊京绒 / 6574</v>
      </c>
      <c r="AP1282" s="11" t="n">
        <v>1.1743420411079069</v>
      </c>
      <c r="AQ1282" s="11" t="n">
        <v>1.1743420411079069</v>
      </c>
      <c r="AR1282" s="11" t="n">
        <v>1.144331424468921</v>
      </c>
      <c r="AS1282" s="11" t="n">
        <f>IF(AND(COUNT(I1282:K1282,AP1282:AR1282)=6,MIN(AP1282:AR1282)&gt;0),I1282/7/AP1282*0.5+J1282/14/AQ1282*0.3+K1282/30/AR1282*0.2,"")</f>
        <v>0</v>
      </c>
      <c r="AT1282" s="8" t="n">
        <v>0</v>
      </c>
      <c r="AU1282" s="8" t="n">
        <v>0</v>
      </c>
      <c r="AV1282" s="8" t="n">
        <v>88</v>
      </c>
      <c r="AW1282" s="11" t="n">
        <f>IF(AND(COUNT(AT1282:AV1282)=3,AT1282&gt;=AU1282,AU1282&gt;=0,AV1282&gt;0),(AT1282-AU1282)/AV1282,"")</f>
        <v>0</v>
      </c>
      <c r="AX1282" s="8" t="n">
        <v>0</v>
      </c>
      <c r="AY1282" s="8" t="n">
        <v>0</v>
      </c>
      <c r="AZ1282" s="8" t="n">
        <v>178</v>
      </c>
      <c r="BA1282" s="11" t="n">
        <f>IF(AND(COUNT(AX1282:AZ1282)=3,AX1282&gt;=AY1282,AY1282&gt;=0,AZ1282&gt;0),(AX1282-AY1282)/AZ1282,"")</f>
        <v>0</v>
      </c>
      <c r="BB1282" s="8" t="n">
        <f>IF(COUNT(AS1282,AW1282,BA1282)=3,1,0)</f>
        <v>1</v>
      </c>
      <c r="BC1282" s="11" t="n">
        <f>IF(SUMIF($AO$11:$AO$1309,AO1282,$BB$11:$BB$1309)=COUNTIF($AO$11:$AO$1309,AO1282),SUMIF($AO$11:$AO$1309,AO1282,$AS$11:$AS$1309),"")</f>
        <v>5.8206872914932575</v>
      </c>
      <c r="BD1282" s="11" t="n">
        <f>IF(SUMIF($AO$11:$AO$1309,AO1282,$BB$11:$BB$1309)=COUNTIF($AO$11:$AO$1309,AO1282),SUMIF($AO$11:$AO$1309,AO1282,$AW$11:$AW$1309),"")</f>
        <v>2.7613636363636367</v>
      </c>
      <c r="BE1282" s="11" t="n">
        <f>IF(SUMIF($AO$11:$AO$1309,AO1282,$BB$11:$BB$1309)=COUNTIF($AO$11:$AO$1309,AO1282),SUMIF($AO$11:$AO$1309,AO1282,$BA$11:$BA$1309),"")</f>
        <v>2.2696629213483144</v>
      </c>
      <c r="BF1282" s="12" t="n">
        <f>IF(COUNT(BD1282:BE1282)&lt;&gt;2,"",IF(AND(BD1282&gt;0,BE1282&gt;0),0.7*AW1282/BD1282+0.3*BA1282/BE1282,IF(BD1282&gt;0,AW1282/BD1282,IF(BE1282&gt;0,BA1282/BE1282,IF(AND(ISNUMBER(BH1282),BH1282=0),0,"")))))</f>
        <v>0</v>
      </c>
      <c r="BG1282" s="11" t="n">
        <f>IF(AND(COUNT(BN1282:BU1282)=8,MIN(BN1282:BU1282)&gt;=0),SUMPRODUCT(BN1282:BQ1282,BR1282:BU1282),"")</f>
        <v>96.68059267618935</v>
      </c>
      <c r="BH1282" s="11" t="n">
        <f>IF(COUNT(BC1282,BG1282)=2,BC1282*BG1282,"")</f>
        <v>562.7474971243314</v>
      </c>
      <c r="BI1282" s="11" t="n">
        <f>IF(ISNUMBER(CI1282),CI1282,"")</f>
        <v>0</v>
      </c>
      <c r="BJ1282" s="8" t="str"/>
      <c r="BK1282" s="8" t="str">
        <v>90天：2026-07-20 至 2026-10-17；180天：2026-04-21 至 2026-10-17</v>
      </c>
      <c r="BL1282" s="8" t="str">
        <v>90天：2026-10-06、2026-10-07；180天：2026-10-06、2026-10-07</v>
      </c>
      <c r="BM1282" s="8" t="str">
        <v>2026-10：12天 × 1.1743420411079069；2026-11：30天 × 1.281694931279211；2026-12：31天 × 0.9007634642750235；2027-01：17天 × 0.9537631089407297</v>
      </c>
      <c r="BN1282" s="11" t="n">
        <v>1.1743420411079069</v>
      </c>
      <c r="BO1282" s="11" t="n">
        <v>1.281694931279211</v>
      </c>
      <c r="BP1282" s="11" t="n">
        <v>0.9007634642750235</v>
      </c>
      <c r="BQ1282" s="11" t="n">
        <v>0.9537631089407297</v>
      </c>
      <c r="BR1282" s="8" t="n">
        <v>12</v>
      </c>
      <c r="BS1282" s="8" t="n">
        <v>30</v>
      </c>
      <c r="BT1282" s="8" t="n">
        <v>31</v>
      </c>
      <c r="BU1282" s="8" t="n">
        <v>17</v>
      </c>
      <c r="BV1282" s="11" t="n">
        <f>IF(COUNT(BC1282,BF1282)=2,BC1282*BF1282,"")</f>
        <v>0</v>
      </c>
      <c r="BW1282" s="11" t="n">
        <f>IF(ISNUMBER(BN1282),BN1282,"")</f>
        <v>1.1743420411079069</v>
      </c>
      <c r="BX1282" s="14" t="n">
        <f>IF(ISNUMBER(BR1282),BR1282,"")</f>
        <v>12</v>
      </c>
      <c r="BY1282" s="13" t="n">
        <f>IF(AND(COUNT(BV1282,BW1282,BX1282)=3,MIN(BV1282,BW1282,BX1282)&gt;=0),BV1282*BW1282*BX1282,"")</f>
        <v>0</v>
      </c>
      <c r="BZ1282" s="11" t="n">
        <f>IF(ISNUMBER(BO1282),BO1282,"")</f>
        <v>1.281694931279211</v>
      </c>
      <c r="CA1282" s="14" t="n">
        <f>IF(ISNUMBER(BS1282),BS1282,"")</f>
        <v>30</v>
      </c>
      <c r="CB1282" s="13" t="n">
        <f>IF(AND(COUNT(BV1282,BZ1282,CA1282)=3,MIN(BV1282,BZ1282,CA1282)&gt;=0),BV1282*BZ1282*CA1282,"")</f>
        <v>0</v>
      </c>
      <c r="CC1282" s="11" t="n">
        <f>IF(ISNUMBER(BP1282),BP1282,"")</f>
        <v>0.9007634642750235</v>
      </c>
      <c r="CD1282" s="14" t="n">
        <f>IF(ISNUMBER(BT1282),BT1282,"")</f>
        <v>31</v>
      </c>
      <c r="CE1282" s="13" t="n">
        <f>IF(AND(COUNT(BV1282,CC1282,CD1282)=3,MIN(BV1282,CC1282,CD1282)&gt;=0),BV1282*CC1282*CD1282,"")</f>
        <v>0</v>
      </c>
      <c r="CF1282" s="11" t="n">
        <f>IF(ISNUMBER(BQ1282),BQ1282,"")</f>
        <v>0.9537631089407297</v>
      </c>
      <c r="CG1282" s="14" t="n">
        <f>IF(ISNUMBER(BU1282),BU1282,"")</f>
        <v>17</v>
      </c>
      <c r="CH1282" s="13" t="n">
        <f>IF(AND(COUNT(BV1282,CF1282,CG1282)=3,MIN(BV1282,CF1282,CG1282)&gt;=0),BV1282*CF1282*CG1282,"")</f>
        <v>0</v>
      </c>
      <c r="CI1282" s="13" t="n">
        <f>IF(COUNT(BY1282,CB1282,CE1282,CH1282)=4,SUM(BY1282,CB1282,CE1282,CH1282),"")</f>
        <v>0</v>
      </c>
    </row>
    <row r="1283" ht="72" customHeight="1">
      <c r="A1283" s="16" t="str">
        <v>8392-GY-S-K-37</v>
      </c>
      <c r="B1283" s="16" t="str">
        <v>3店-SANDIEX-US</v>
      </c>
      <c r="C1283" s="16" t="str">
        <v>徐新怡</v>
      </c>
      <c r="D1283" s="26" t="str">
        <f>IF(NOT(ISNUMBER(E1283)),"",IF(OR(E1283&lt;=0,L1283=0),0,IF(OR(NOT(ISNUMBER(F1283)),F1283&lt;0),"",MIN(E1283,INT(F1283)))))</f>
      </c>
      <c r="E1283" s="27" t="str">
        <f>IF(OR(NOT(ISNUMBER(L1283)),COUNT(M1283:O1283)&lt;&gt;3,MIN(M1283:O1283)&lt;0),"",ROUNDUP(ROUND(BI1283-SUM(M1283:O1283),10),0))</f>
      </c>
      <c r="F1283" s="28"/>
      <c r="G1283" s="28" t="str">
        <f>IF(AND(ISNUMBER(D1283),ISNUMBER(E1283)),IF(OR(E1283&lt;=0,L1283=0),0,E1283-D1283),"")</f>
      </c>
      <c r="H1283" s="16" t="str">
        <f>IF(NOT(ISNUMBER(E1283)),"销量或海外库存待补",IF(OR(E1283&lt;=0,L1283=0),IF(L1283=0,"零日销，本批不发","本批无需补货"),IF(NOT(ISNUMBER(D1283)),"国内库存待补",IF(D1283=0,"国内无可用库存",IF(G1283&gt;0,"先发国内现货","按建议量发货")))))</f>
        <v>销量或海外库存待补</v>
      </c>
      <c r="I1283" s="28" t="n">
        <f>IF(AND(COUNT(Z1283,AA1283,AB1283)=3,Z1283&gt;=AA1283,AA1283&gt;=0,AB1283=7),Z1283-AA1283,"")</f>
        <v>0</v>
      </c>
      <c r="J1283" s="28" t="n">
        <f>IF(AND(COUNT(AF1283,AG1283,AH1283)=3,AF1283&gt;=AG1283,AG1283&gt;=0,AH1283=14),AF1283-AG1283,"")</f>
        <v>0</v>
      </c>
      <c r="K1283" s="28" t="n">
        <f>IF(AND(COUNT(AL1283,AM1283,AN1283)=3,AL1283&gt;=AM1283,AM1283&gt;=0,AN1283=30),AL1283-AM1283,"")</f>
        <v>0</v>
      </c>
      <c r="L1283" s="29" t="n">
        <f>IF(ISNUMBER(BI1283),BI1283/90,"")</f>
        <v>0</v>
      </c>
      <c r="M1283" s="28"/>
      <c r="N1283" s="28"/>
      <c r="O1283" s="28"/>
      <c r="P1283" s="30" t="str">
        <f>IF(AND(ISNUMBER(L1283),L1283&gt;0,COUNT(M1283:O1283)=3,MIN(M1283:O1283)&gt;=0),SUM(M1283:O1283)/L1283,"")</f>
      </c>
      <c r="Q1283" s="16" t="str">
        <v>新增SPU唯一在售店铺</v>
      </c>
      <c r="R1283" s="16" t="str">
        <v>未匹配</v>
      </c>
      <c r="S1283" s="16" t="str">
        <v>未匹配Listing</v>
      </c>
      <c r="T1283" s="16" t="str">
        <v>8392</v>
      </c>
      <c r="U1283" s="16" t="str">
        <v>灰色</v>
      </c>
      <c r="V1283" s="16" t="n">
        <v>6</v>
      </c>
      <c r="W1283" s="8" t="str">
        <v>2026-10-11 至 2026-10-17</v>
      </c>
      <c r="X1283" s="8" t="str">
        <v>2026-10-11、2026-10-12、2026-10-13、2026-10-14、2026-10-15、2026-10-16、2026-10-17</v>
      </c>
      <c r="Y1283" s="8" t="str">
        <v>无</v>
      </c>
      <c r="Z1283" s="8" t="n">
        <v>0</v>
      </c>
      <c r="AA1283" s="8" t="n">
        <v>0</v>
      </c>
      <c r="AB1283" s="8" t="n">
        <v>7</v>
      </c>
      <c r="AC1283" s="8" t="str">
        <v>2026-10-02 至 2026-10-17</v>
      </c>
      <c r="AD1283" s="8" t="str">
        <v>2026-10-02、2026-10-03、2026-10-04、2026-10-05、2026-10-08、2026-10-09、2026-10-10、2026-10-11、2026-10-12、2026-10-13、2026-10-14、2026-10-15、2026-10-16、2026-10-17</v>
      </c>
      <c r="AE1283" s="8" t="str">
        <v>2026-10-06 大促；2026-10-07 大促</v>
      </c>
      <c r="AF1283" s="8" t="n">
        <v>0</v>
      </c>
      <c r="AG1283" s="8" t="n">
        <v>0</v>
      </c>
      <c r="AH1283" s="8" t="n">
        <v>14</v>
      </c>
      <c r="AI1283" s="8" t="str">
        <v>2026-09-16 至 2026-10-17</v>
      </c>
      <c r="AJ128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3" s="8" t="str">
        <v>2026-10-06 大促；2026-10-07 大促</v>
      </c>
      <c r="AL1283" s="8" t="n">
        <v>0</v>
      </c>
      <c r="AM1283" s="8" t="n">
        <v>0</v>
      </c>
      <c r="AN1283" s="8" t="n">
        <v>30</v>
      </c>
      <c r="AO1283" s="8" t="str">
        <v>8392 / 灰色羊京绒 / 6574</v>
      </c>
      <c r="AP1283" s="11" t="n">
        <v>1.1743420411079069</v>
      </c>
      <c r="AQ1283" s="11" t="n">
        <v>1.1743420411079069</v>
      </c>
      <c r="AR1283" s="11" t="n">
        <v>1.144331424468921</v>
      </c>
      <c r="AS1283" s="11" t="n">
        <f>IF(AND(COUNT(I1283:K1283,AP1283:AR1283)=6,MIN(AP1283:AR1283)&gt;0),I1283/7/AP1283*0.5+J1283/14/AQ1283*0.3+K1283/30/AR1283*0.2,"")</f>
        <v>0</v>
      </c>
      <c r="AT1283" s="8" t="n">
        <v>0</v>
      </c>
      <c r="AU1283" s="8" t="n">
        <v>0</v>
      </c>
      <c r="AV1283" s="8" t="n">
        <v>88</v>
      </c>
      <c r="AW1283" s="11" t="n">
        <f>IF(AND(COUNT(AT1283:AV1283)=3,AT1283&gt;=AU1283,AU1283&gt;=0,AV1283&gt;0),(AT1283-AU1283)/AV1283,"")</f>
        <v>0</v>
      </c>
      <c r="AX1283" s="8" t="n">
        <v>0</v>
      </c>
      <c r="AY1283" s="8" t="n">
        <v>0</v>
      </c>
      <c r="AZ1283" s="8" t="n">
        <v>178</v>
      </c>
      <c r="BA1283" s="11" t="n">
        <f>IF(AND(COUNT(AX1283:AZ1283)=3,AX1283&gt;=AY1283,AY1283&gt;=0,AZ1283&gt;0),(AX1283-AY1283)/AZ1283,"")</f>
        <v>0</v>
      </c>
      <c r="BB1283" s="8" t="n">
        <f>IF(COUNT(AS1283,AW1283,BA1283)=3,1,0)</f>
        <v>1</v>
      </c>
      <c r="BC1283" s="11" t="n">
        <f>IF(SUMIF($AO$11:$AO$1309,AO1283,$BB$11:$BB$1309)=COUNTIF($AO$11:$AO$1309,AO1283),SUMIF($AO$11:$AO$1309,AO1283,$AS$11:$AS$1309),"")</f>
        <v>0</v>
      </c>
      <c r="BD1283" s="11" t="n">
        <f>IF(SUMIF($AO$11:$AO$1309,AO1283,$BB$11:$BB$1309)=COUNTIF($AO$11:$AO$1309,AO1283),SUMIF($AO$11:$AO$1309,AO1283,$AW$11:$AW$1309),"")</f>
        <v>0</v>
      </c>
      <c r="BE1283" s="11" t="n">
        <f>IF(SUMIF($AO$11:$AO$1309,AO1283,$BB$11:$BB$1309)=COUNTIF($AO$11:$AO$1309,AO1283),SUMIF($AO$11:$AO$1309,AO1283,$BA$11:$BA$1309),"")</f>
        <v>0.017142857142857144</v>
      </c>
      <c r="BF1283" s="12" t="n">
        <f>IF(COUNT(BD1283:BE1283)&lt;&gt;2,"",IF(AND(BD1283&gt;0,BE1283&gt;0),0.7*AW1283/BD1283+0.3*BA1283/BE1283,IF(BD1283&gt;0,AW1283/BD1283,IF(BE1283&gt;0,BA1283/BE1283,IF(AND(ISNUMBER(BH1283),BH1283=0),0,"")))))</f>
        <v>0</v>
      </c>
      <c r="BG1283" s="11" t="n">
        <f>IF(AND(COUNT(BN1283:BU1283)=8,MIN(BN1283:BU1283)&gt;=0),SUMPRODUCT(BN1283:BQ1283,BR1283:BU1283),"")</f>
        <v>96.68059267618935</v>
      </c>
      <c r="BH1283" s="11" t="n">
        <f>IF(COUNT(BC1283,BG1283)=2,BC1283*BG1283,"")</f>
        <v>0</v>
      </c>
      <c r="BI1283" s="11" t="n">
        <f>IF(ISNUMBER(CI1283),CI1283,"")</f>
        <v>0</v>
      </c>
      <c r="BJ1283" s="8" t="str">
        <v>近180天本色销量5双（＜90），无有效新采购，请运营判断</v>
      </c>
      <c r="BK1283" s="8" t="str">
        <v>90天：2026-07-20 至 2026-10-17；180天：2026-04-21 至 2026-10-17</v>
      </c>
      <c r="BL1283" s="8" t="str">
        <v>90天：2026-10-06、2026-10-07；180天：2026-10-06、2026-10-07</v>
      </c>
      <c r="BM1283" s="8" t="str">
        <v>2026-10：12天 × 1.1743420411079069；2026-11：30天 × 1.281694931279211；2026-12：31天 × 0.9007634642750235；2027-01：17天 × 0.9537631089407297</v>
      </c>
      <c r="BN1283" s="11" t="n">
        <v>1.1743420411079069</v>
      </c>
      <c r="BO1283" s="11" t="n">
        <v>1.281694931279211</v>
      </c>
      <c r="BP1283" s="11" t="n">
        <v>0.9007634642750235</v>
      </c>
      <c r="BQ1283" s="11" t="n">
        <v>0.9537631089407297</v>
      </c>
      <c r="BR1283" s="8" t="n">
        <v>12</v>
      </c>
      <c r="BS1283" s="8" t="n">
        <v>30</v>
      </c>
      <c r="BT1283" s="8" t="n">
        <v>31</v>
      </c>
      <c r="BU1283" s="8" t="n">
        <v>17</v>
      </c>
      <c r="BV1283" s="11" t="n">
        <f>IF(COUNT(BC1283,BF1283)=2,BC1283*BF1283,"")</f>
        <v>0</v>
      </c>
      <c r="BW1283" s="11" t="n">
        <f>IF(ISNUMBER(BN1283),BN1283,"")</f>
        <v>1.1743420411079069</v>
      </c>
      <c r="BX1283" s="14" t="n">
        <f>IF(ISNUMBER(BR1283),BR1283,"")</f>
        <v>12</v>
      </c>
      <c r="BY1283" s="13" t="n">
        <f>IF(AND(COUNT(BV1283,BW1283,BX1283)=3,MIN(BV1283,BW1283,BX1283)&gt;=0),BV1283*BW1283*BX1283,"")</f>
        <v>0</v>
      </c>
      <c r="BZ1283" s="11" t="n">
        <f>IF(ISNUMBER(BO1283),BO1283,"")</f>
        <v>1.281694931279211</v>
      </c>
      <c r="CA1283" s="14" t="n">
        <f>IF(ISNUMBER(BS1283),BS1283,"")</f>
        <v>30</v>
      </c>
      <c r="CB1283" s="13" t="n">
        <f>IF(AND(COUNT(BV1283,BZ1283,CA1283)=3,MIN(BV1283,BZ1283,CA1283)&gt;=0),BV1283*BZ1283*CA1283,"")</f>
        <v>0</v>
      </c>
      <c r="CC1283" s="11" t="n">
        <f>IF(ISNUMBER(BP1283),BP1283,"")</f>
        <v>0.9007634642750235</v>
      </c>
      <c r="CD1283" s="14" t="n">
        <f>IF(ISNUMBER(BT1283),BT1283,"")</f>
        <v>31</v>
      </c>
      <c r="CE1283" s="13" t="n">
        <f>IF(AND(COUNT(BV1283,CC1283,CD1283)=3,MIN(BV1283,CC1283,CD1283)&gt;=0),BV1283*CC1283*CD1283,"")</f>
        <v>0</v>
      </c>
      <c r="CF1283" s="11" t="n">
        <f>IF(ISNUMBER(BQ1283),BQ1283,"")</f>
        <v>0.9537631089407297</v>
      </c>
      <c r="CG1283" s="14" t="n">
        <f>IF(ISNUMBER(BU1283),BU1283,"")</f>
        <v>17</v>
      </c>
      <c r="CH1283" s="13" t="n">
        <f>IF(AND(COUNT(BV1283,CF1283,CG1283)=3,MIN(BV1283,CF1283,CG1283)&gt;=0),BV1283*CF1283*CG1283,"")</f>
        <v>0</v>
      </c>
      <c r="CI1283" s="13" t="n">
        <f>IF(COUNT(BY1283,CB1283,CE1283,CH1283)=4,SUM(BY1283,CB1283,CE1283,CH1283),"")</f>
        <v>0</v>
      </c>
    </row>
    <row r="1284" ht="72" customHeight="1">
      <c r="A1284" s="16" t="str">
        <v>8392-GY-S-K-37.5</v>
      </c>
      <c r="B1284" s="16" t="str">
        <v>3店-SANDIEX-US</v>
      </c>
      <c r="C1284" s="16" t="str">
        <v>徐新怡</v>
      </c>
      <c r="D1284" s="26" t="str">
        <f>IF(NOT(ISNUMBER(E1284)),"",IF(OR(E1284&lt;=0,L1284=0),0,IF(OR(NOT(ISNUMBER(F1284)),F1284&lt;0),"",MIN(E1284,INT(F1284)))))</f>
      </c>
      <c r="E1284" s="27" t="str">
        <f>IF(OR(NOT(ISNUMBER(L1284)),COUNT(M1284:O1284)&lt;&gt;3,MIN(M1284:O1284)&lt;0),"",ROUNDUP(ROUND(BI1284-SUM(M1284:O1284),10),0))</f>
      </c>
      <c r="F1284" s="28"/>
      <c r="G1284" s="28" t="str">
        <f>IF(AND(ISNUMBER(D1284),ISNUMBER(E1284)),IF(OR(E1284&lt;=0,L1284=0),0,E1284-D1284),"")</f>
      </c>
      <c r="H1284" s="16" t="str">
        <f>IF(NOT(ISNUMBER(E1284)),"销量或海外库存待补",IF(OR(E1284&lt;=0,L1284=0),IF(L1284=0,"零日销，本批不发","本批无需补货"),IF(NOT(ISNUMBER(D1284)),"国内库存待补",IF(D1284=0,"国内无可用库存",IF(G1284&gt;0,"先发国内现货","按建议量发货")))))</f>
        <v>销量或海外库存待补</v>
      </c>
      <c r="I1284" s="28" t="n">
        <f>IF(AND(COUNT(Z1284,AA1284,AB1284)=3,Z1284&gt;=AA1284,AA1284&gt;=0,AB1284=7),Z1284-AA1284,"")</f>
        <v>0</v>
      </c>
      <c r="J1284" s="28" t="n">
        <f>IF(AND(COUNT(AF1284,AG1284,AH1284)=3,AF1284&gt;=AG1284,AG1284&gt;=0,AH1284=14),AF1284-AG1284,"")</f>
        <v>0</v>
      </c>
      <c r="K1284" s="28" t="n">
        <f>IF(AND(COUNT(AL1284,AM1284,AN1284)=3,AL1284&gt;=AM1284,AM1284&gt;=0,AN1284=30),AL1284-AM1284,"")</f>
        <v>0</v>
      </c>
      <c r="L1284" s="29" t="n">
        <f>IF(ISNUMBER(BI1284),BI1284/90,"")</f>
        <v>0</v>
      </c>
      <c r="M1284" s="28"/>
      <c r="N1284" s="28"/>
      <c r="O1284" s="28"/>
      <c r="P1284" s="30" t="str">
        <f>IF(AND(ISNUMBER(L1284),L1284&gt;0,COUNT(M1284:O1284)=3,MIN(M1284:O1284)&gt;=0),SUM(M1284:O1284)/L1284,"")</f>
      </c>
      <c r="Q1284" s="16" t="str">
        <v>新增SPU唯一在售店铺</v>
      </c>
      <c r="R1284" s="16" t="str">
        <v>未匹配</v>
      </c>
      <c r="S1284" s="16" t="str">
        <v>未匹配Listing</v>
      </c>
      <c r="T1284" s="16" t="str">
        <v>8392</v>
      </c>
      <c r="U1284" s="16" t="str">
        <v>灰色</v>
      </c>
      <c r="V1284" s="16" t="n">
        <v>6.5</v>
      </c>
      <c r="W1284" s="8" t="str">
        <v>2026-10-11 至 2026-10-17</v>
      </c>
      <c r="X1284" s="8" t="str">
        <v>2026-10-11、2026-10-12、2026-10-13、2026-10-14、2026-10-15、2026-10-16、2026-10-17</v>
      </c>
      <c r="Y1284" s="8" t="str">
        <v>无</v>
      </c>
      <c r="Z1284" s="8" t="n">
        <v>0</v>
      </c>
      <c r="AA1284" s="8" t="n">
        <v>0</v>
      </c>
      <c r="AB1284" s="8" t="n">
        <v>7</v>
      </c>
      <c r="AC1284" s="8" t="str">
        <v>2026-10-02 至 2026-10-17</v>
      </c>
      <c r="AD1284" s="8" t="str">
        <v>2026-10-02、2026-10-03、2026-10-04、2026-10-05、2026-10-08、2026-10-09、2026-10-10、2026-10-11、2026-10-12、2026-10-13、2026-10-14、2026-10-15、2026-10-16、2026-10-17</v>
      </c>
      <c r="AE1284" s="8" t="str">
        <v>2026-10-06 大促；2026-10-07 大促</v>
      </c>
      <c r="AF1284" s="8" t="n">
        <v>0</v>
      </c>
      <c r="AG1284" s="8" t="n">
        <v>0</v>
      </c>
      <c r="AH1284" s="8" t="n">
        <v>14</v>
      </c>
      <c r="AI1284" s="8" t="str">
        <v>2026-09-16 至 2026-10-17</v>
      </c>
      <c r="AJ128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4" s="8" t="str">
        <v>2026-10-06 大促；2026-10-07 大促</v>
      </c>
      <c r="AL1284" s="8" t="n">
        <v>0</v>
      </c>
      <c r="AM1284" s="8" t="n">
        <v>0</v>
      </c>
      <c r="AN1284" s="8" t="n">
        <v>30</v>
      </c>
      <c r="AO1284" s="8" t="str">
        <v>8392 / 灰色羊京绒 / 6574</v>
      </c>
      <c r="AP1284" s="11" t="n">
        <v>1.1743420411079069</v>
      </c>
      <c r="AQ1284" s="11" t="n">
        <v>1.1743420411079069</v>
      </c>
      <c r="AR1284" s="11" t="n">
        <v>1.144331424468921</v>
      </c>
      <c r="AS1284" s="11" t="n">
        <f>IF(AND(COUNT(I1284:K1284,AP1284:AR1284)=6,MIN(AP1284:AR1284)&gt;0),I1284/7/AP1284*0.5+J1284/14/AQ1284*0.3+K1284/30/AR1284*0.2,"")</f>
        <v>0</v>
      </c>
      <c r="AT1284" s="8" t="n">
        <v>0</v>
      </c>
      <c r="AU1284" s="8" t="n">
        <v>0</v>
      </c>
      <c r="AV1284" s="8" t="n">
        <v>88</v>
      </c>
      <c r="AW1284" s="11" t="n">
        <f>IF(AND(COUNT(AT1284:AV1284)=3,AT1284&gt;=AU1284,AU1284&gt;=0,AV1284&gt;0),(AT1284-AU1284)/AV1284,"")</f>
        <v>0</v>
      </c>
      <c r="AX1284" s="8" t="n">
        <v>0</v>
      </c>
      <c r="AY1284" s="8" t="n">
        <v>0</v>
      </c>
      <c r="AZ1284" s="8" t="n">
        <v>178</v>
      </c>
      <c r="BA1284" s="11" t="n">
        <f>IF(AND(COUNT(AX1284:AZ1284)=3,AX1284&gt;=AY1284,AY1284&gt;=0,AZ1284&gt;0),(AX1284-AY1284)/AZ1284,"")</f>
        <v>0</v>
      </c>
      <c r="BB1284" s="8" t="n">
        <f>IF(COUNT(AS1284,AW1284,BA1284)=3,1,0)</f>
        <v>1</v>
      </c>
      <c r="BC1284" s="11" t="n">
        <f>IF(SUMIF($AO$11:$AO$1309,AO1284,$BB$11:$BB$1309)=COUNTIF($AO$11:$AO$1309,AO1284),SUMIF($AO$11:$AO$1309,AO1284,$AS$11:$AS$1309),"")</f>
        <v>0</v>
      </c>
      <c r="BD1284" s="11" t="n">
        <f>IF(SUMIF($AO$11:$AO$1309,AO1284,$BB$11:$BB$1309)=COUNTIF($AO$11:$AO$1309,AO1284),SUMIF($AO$11:$AO$1309,AO1284,$AW$11:$AW$1309),"")</f>
        <v>0</v>
      </c>
      <c r="BE1284" s="11" t="n">
        <f>IF(SUMIF($AO$11:$AO$1309,AO1284,$BB$11:$BB$1309)=COUNTIF($AO$11:$AO$1309,AO1284),SUMIF($AO$11:$AO$1309,AO1284,$BA$11:$BA$1309),"")</f>
        <v>0.017142857142857144</v>
      </c>
      <c r="BF1284" s="12" t="n">
        <f>IF(COUNT(BD1284:BE1284)&lt;&gt;2,"",IF(AND(BD1284&gt;0,BE1284&gt;0),0.7*AW1284/BD1284+0.3*BA1284/BE1284,IF(BD1284&gt;0,AW1284/BD1284,IF(BE1284&gt;0,BA1284/BE1284,IF(AND(ISNUMBER(BH1284),BH1284=0),0,"")))))</f>
        <v>0</v>
      </c>
      <c r="BG1284" s="11" t="n">
        <f>IF(AND(COUNT(BN1284:BU1284)=8,MIN(BN1284:BU1284)&gt;=0),SUMPRODUCT(BN1284:BQ1284,BR1284:BU1284),"")</f>
        <v>96.68059267618935</v>
      </c>
      <c r="BH1284" s="11" t="n">
        <f>IF(COUNT(BC1284,BG1284)=2,BC1284*BG1284,"")</f>
        <v>0</v>
      </c>
      <c r="BI1284" s="11" t="n">
        <f>IF(ISNUMBER(CI1284),CI1284,"")</f>
        <v>0</v>
      </c>
      <c r="BJ1284" s="8" t="str">
        <v>近180天本色销量5双（＜90），无有效新采购，请运营判断</v>
      </c>
      <c r="BK1284" s="8" t="str">
        <v>90天：2026-07-20 至 2026-10-17；180天：2026-04-21 至 2026-10-17</v>
      </c>
      <c r="BL1284" s="8" t="str">
        <v>90天：2026-10-06、2026-10-07；180天：2026-10-06、2026-10-07</v>
      </c>
      <c r="BM1284" s="8" t="str">
        <v>2026-10：12天 × 1.1743420411079069；2026-11：30天 × 1.281694931279211；2026-12：31天 × 0.9007634642750235；2027-01：17天 × 0.9537631089407297</v>
      </c>
      <c r="BN1284" s="11" t="n">
        <v>1.1743420411079069</v>
      </c>
      <c r="BO1284" s="11" t="n">
        <v>1.281694931279211</v>
      </c>
      <c r="BP1284" s="11" t="n">
        <v>0.9007634642750235</v>
      </c>
      <c r="BQ1284" s="11" t="n">
        <v>0.9537631089407297</v>
      </c>
      <c r="BR1284" s="8" t="n">
        <v>12</v>
      </c>
      <c r="BS1284" s="8" t="n">
        <v>30</v>
      </c>
      <c r="BT1284" s="8" t="n">
        <v>31</v>
      </c>
      <c r="BU1284" s="8" t="n">
        <v>17</v>
      </c>
      <c r="BV1284" s="11" t="n">
        <f>IF(COUNT(BC1284,BF1284)=2,BC1284*BF1284,"")</f>
        <v>0</v>
      </c>
      <c r="BW1284" s="11" t="n">
        <f>IF(ISNUMBER(BN1284),BN1284,"")</f>
        <v>1.1743420411079069</v>
      </c>
      <c r="BX1284" s="14" t="n">
        <f>IF(ISNUMBER(BR1284),BR1284,"")</f>
        <v>12</v>
      </c>
      <c r="BY1284" s="13" t="n">
        <f>IF(AND(COUNT(BV1284,BW1284,BX1284)=3,MIN(BV1284,BW1284,BX1284)&gt;=0),BV1284*BW1284*BX1284,"")</f>
        <v>0</v>
      </c>
      <c r="BZ1284" s="11" t="n">
        <f>IF(ISNUMBER(BO1284),BO1284,"")</f>
        <v>1.281694931279211</v>
      </c>
      <c r="CA1284" s="14" t="n">
        <f>IF(ISNUMBER(BS1284),BS1284,"")</f>
        <v>30</v>
      </c>
      <c r="CB1284" s="13" t="n">
        <f>IF(AND(COUNT(BV1284,BZ1284,CA1284)=3,MIN(BV1284,BZ1284,CA1284)&gt;=0),BV1284*BZ1284*CA1284,"")</f>
        <v>0</v>
      </c>
      <c r="CC1284" s="11" t="n">
        <f>IF(ISNUMBER(BP1284),BP1284,"")</f>
        <v>0.9007634642750235</v>
      </c>
      <c r="CD1284" s="14" t="n">
        <f>IF(ISNUMBER(BT1284),BT1284,"")</f>
        <v>31</v>
      </c>
      <c r="CE1284" s="13" t="n">
        <f>IF(AND(COUNT(BV1284,CC1284,CD1284)=3,MIN(BV1284,CC1284,CD1284)&gt;=0),BV1284*CC1284*CD1284,"")</f>
        <v>0</v>
      </c>
      <c r="CF1284" s="11" t="n">
        <f>IF(ISNUMBER(BQ1284),BQ1284,"")</f>
        <v>0.9537631089407297</v>
      </c>
      <c r="CG1284" s="14" t="n">
        <f>IF(ISNUMBER(BU1284),BU1284,"")</f>
        <v>17</v>
      </c>
      <c r="CH1284" s="13" t="n">
        <f>IF(AND(COUNT(BV1284,CF1284,CG1284)=3,MIN(BV1284,CF1284,CG1284)&gt;=0),BV1284*CF1284*CG1284,"")</f>
        <v>0</v>
      </c>
      <c r="CI1284" s="13" t="n">
        <f>IF(COUNT(BY1284,CB1284,CE1284,CH1284)=4,SUM(BY1284,CB1284,CE1284,CH1284),"")</f>
        <v>0</v>
      </c>
    </row>
    <row r="1285" ht="72" customHeight="1">
      <c r="A1285" s="16" t="str">
        <v>8392-GY-S-K-38</v>
      </c>
      <c r="B1285" s="16" t="str">
        <v>3店-SANDIEX-US</v>
      </c>
      <c r="C1285" s="16" t="str">
        <v>徐新怡</v>
      </c>
      <c r="D1285" s="26" t="str">
        <f>IF(NOT(ISNUMBER(E1285)),"",IF(OR(E1285&lt;=0,L1285=0),0,IF(OR(NOT(ISNUMBER(F1285)),F1285&lt;0),"",MIN(E1285,INT(F1285)))))</f>
      </c>
      <c r="E1285" s="27" t="str">
        <f>IF(OR(NOT(ISNUMBER(L1285)),COUNT(M1285:O1285)&lt;&gt;3,MIN(M1285:O1285)&lt;0),"",ROUNDUP(ROUND(BI1285-SUM(M1285:O1285),10),0))</f>
      </c>
      <c r="F1285" s="28"/>
      <c r="G1285" s="28" t="str">
        <f>IF(AND(ISNUMBER(D1285),ISNUMBER(E1285)),IF(OR(E1285&lt;=0,L1285=0),0,E1285-D1285),"")</f>
      </c>
      <c r="H1285" s="16" t="str">
        <f>IF(NOT(ISNUMBER(E1285)),"销量或海外库存待补",IF(OR(E1285&lt;=0,L1285=0),IF(L1285=0,"零日销，本批不发","本批无需补货"),IF(NOT(ISNUMBER(D1285)),"国内库存待补",IF(D1285=0,"国内无可用库存",IF(G1285&gt;0,"先发国内现货","按建议量发货")))))</f>
        <v>销量或海外库存待补</v>
      </c>
      <c r="I1285" s="28" t="n">
        <f>IF(AND(COUNT(Z1285,AA1285,AB1285)=3,Z1285&gt;=AA1285,AA1285&gt;=0,AB1285=7),Z1285-AA1285,"")</f>
        <v>0</v>
      </c>
      <c r="J1285" s="28" t="n">
        <f>IF(AND(COUNT(AF1285,AG1285,AH1285)=3,AF1285&gt;=AG1285,AG1285&gt;=0,AH1285=14),AF1285-AG1285,"")</f>
        <v>0</v>
      </c>
      <c r="K1285" s="28" t="n">
        <f>IF(AND(COUNT(AL1285,AM1285,AN1285)=3,AL1285&gt;=AM1285,AM1285&gt;=0,AN1285=30),AL1285-AM1285,"")</f>
        <v>0</v>
      </c>
      <c r="L1285" s="29" t="n">
        <f>IF(ISNUMBER(BI1285),BI1285/90,"")</f>
        <v>0</v>
      </c>
      <c r="M1285" s="28"/>
      <c r="N1285" s="28"/>
      <c r="O1285" s="28"/>
      <c r="P1285" s="30" t="str">
        <f>IF(AND(ISNUMBER(L1285),L1285&gt;0,COUNT(M1285:O1285)=3,MIN(M1285:O1285)&gt;=0),SUM(M1285:O1285)/L1285,"")</f>
      </c>
      <c r="Q1285" s="16" t="str">
        <v>新增SPU唯一在售店铺</v>
      </c>
      <c r="R1285" s="16" t="str">
        <v>未匹配</v>
      </c>
      <c r="S1285" s="16" t="str">
        <v>未匹配Listing</v>
      </c>
      <c r="T1285" s="16" t="str">
        <v>8392</v>
      </c>
      <c r="U1285" s="16" t="str">
        <v>灰色</v>
      </c>
      <c r="V1285" s="16" t="n">
        <v>7</v>
      </c>
      <c r="W1285" s="8" t="str">
        <v>2026-10-11 至 2026-10-17</v>
      </c>
      <c r="X1285" s="8" t="str">
        <v>2026-10-11、2026-10-12、2026-10-13、2026-10-14、2026-10-15、2026-10-16、2026-10-17</v>
      </c>
      <c r="Y1285" s="8" t="str">
        <v>无</v>
      </c>
      <c r="Z1285" s="8" t="n">
        <v>0</v>
      </c>
      <c r="AA1285" s="8" t="n">
        <v>0</v>
      </c>
      <c r="AB1285" s="8" t="n">
        <v>7</v>
      </c>
      <c r="AC1285" s="8" t="str">
        <v>2026-10-02 至 2026-10-17</v>
      </c>
      <c r="AD1285" s="8" t="str">
        <v>2026-10-02、2026-10-03、2026-10-04、2026-10-05、2026-10-08、2026-10-09、2026-10-10、2026-10-11、2026-10-12、2026-10-13、2026-10-14、2026-10-15、2026-10-16、2026-10-17</v>
      </c>
      <c r="AE1285" s="8" t="str">
        <v>2026-10-06 大促；2026-10-07 大促</v>
      </c>
      <c r="AF1285" s="8" t="n">
        <v>0</v>
      </c>
      <c r="AG1285" s="8" t="n">
        <v>0</v>
      </c>
      <c r="AH1285" s="8" t="n">
        <v>14</v>
      </c>
      <c r="AI1285" s="8" t="str">
        <v>2026-09-16 至 2026-10-17</v>
      </c>
      <c r="AJ128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5" s="8" t="str">
        <v>2026-10-06 大促；2026-10-07 大促</v>
      </c>
      <c r="AL1285" s="8" t="n">
        <v>0</v>
      </c>
      <c r="AM1285" s="8" t="n">
        <v>0</v>
      </c>
      <c r="AN1285" s="8" t="n">
        <v>30</v>
      </c>
      <c r="AO1285" s="8" t="str">
        <v>8392 / 灰色羊京绒 / 6574</v>
      </c>
      <c r="AP1285" s="11" t="n">
        <v>1.1743420411079069</v>
      </c>
      <c r="AQ1285" s="11" t="n">
        <v>1.1743420411079069</v>
      </c>
      <c r="AR1285" s="11" t="n">
        <v>1.144331424468921</v>
      </c>
      <c r="AS1285" s="11" t="n">
        <f>IF(AND(COUNT(I1285:K1285,AP1285:AR1285)=6,MIN(AP1285:AR1285)&gt;0),I1285/7/AP1285*0.5+J1285/14/AQ1285*0.3+K1285/30/AR1285*0.2,"")</f>
        <v>0</v>
      </c>
      <c r="AT1285" s="8" t="n">
        <v>0</v>
      </c>
      <c r="AU1285" s="8" t="n">
        <v>0</v>
      </c>
      <c r="AV1285" s="8" t="n">
        <v>88</v>
      </c>
      <c r="AW1285" s="11" t="n">
        <f>IF(AND(COUNT(AT1285:AV1285)=3,AT1285&gt;=AU1285,AU1285&gt;=0,AV1285&gt;0),(AT1285-AU1285)/AV1285,"")</f>
        <v>0</v>
      </c>
      <c r="AX1285" s="8" t="n">
        <v>0</v>
      </c>
      <c r="AY1285" s="8" t="n">
        <v>0</v>
      </c>
      <c r="AZ1285" s="8" t="n">
        <v>178</v>
      </c>
      <c r="BA1285" s="11" t="n">
        <f>IF(AND(COUNT(AX1285:AZ1285)=3,AX1285&gt;=AY1285,AY1285&gt;=0,AZ1285&gt;0),(AX1285-AY1285)/AZ1285,"")</f>
        <v>0</v>
      </c>
      <c r="BB1285" s="8" t="n">
        <f>IF(COUNT(AS1285,AW1285,BA1285)=3,1,0)</f>
        <v>1</v>
      </c>
      <c r="BC1285" s="11" t="n">
        <f>IF(SUMIF($AO$11:$AO$1309,AO1285,$BB$11:$BB$1309)=COUNTIF($AO$11:$AO$1309,AO1285),SUMIF($AO$11:$AO$1309,AO1285,$AS$11:$AS$1309),"")</f>
        <v>0</v>
      </c>
      <c r="BD1285" s="11" t="n">
        <f>IF(SUMIF($AO$11:$AO$1309,AO1285,$BB$11:$BB$1309)=COUNTIF($AO$11:$AO$1309,AO1285),SUMIF($AO$11:$AO$1309,AO1285,$AW$11:$AW$1309),"")</f>
        <v>0</v>
      </c>
      <c r="BE1285" s="11" t="n">
        <f>IF(SUMIF($AO$11:$AO$1309,AO1285,$BB$11:$BB$1309)=COUNTIF($AO$11:$AO$1309,AO1285),SUMIF($AO$11:$AO$1309,AO1285,$BA$11:$BA$1309),"")</f>
        <v>0.017142857142857144</v>
      </c>
      <c r="BF1285" s="12" t="n">
        <f>IF(COUNT(BD1285:BE1285)&lt;&gt;2,"",IF(AND(BD1285&gt;0,BE1285&gt;0),0.7*AW1285/BD1285+0.3*BA1285/BE1285,IF(BD1285&gt;0,AW1285/BD1285,IF(BE1285&gt;0,BA1285/BE1285,IF(AND(ISNUMBER(BH1285),BH1285=0),0,"")))))</f>
        <v>0</v>
      </c>
      <c r="BG1285" s="11" t="n">
        <f>IF(AND(COUNT(BN1285:BU1285)=8,MIN(BN1285:BU1285)&gt;=0),SUMPRODUCT(BN1285:BQ1285,BR1285:BU1285),"")</f>
        <v>96.68059267618935</v>
      </c>
      <c r="BH1285" s="11" t="n">
        <f>IF(COUNT(BC1285,BG1285)=2,BC1285*BG1285,"")</f>
        <v>0</v>
      </c>
      <c r="BI1285" s="11" t="n">
        <f>IF(ISNUMBER(CI1285),CI1285,"")</f>
        <v>0</v>
      </c>
      <c r="BJ1285" s="8" t="str">
        <v>近180天本色销量5双（＜90），无有效新采购，请运营判断</v>
      </c>
      <c r="BK1285" s="8" t="str">
        <v>90天：2026-07-20 至 2026-10-17；180天：2026-04-21 至 2026-10-17</v>
      </c>
      <c r="BL1285" s="8" t="str">
        <v>90天：2026-10-06、2026-10-07；180天：2026-10-06、2026-10-07</v>
      </c>
      <c r="BM1285" s="8" t="str">
        <v>2026-10：12天 × 1.1743420411079069；2026-11：30天 × 1.281694931279211；2026-12：31天 × 0.9007634642750235；2027-01：17天 × 0.9537631089407297</v>
      </c>
      <c r="BN1285" s="11" t="n">
        <v>1.1743420411079069</v>
      </c>
      <c r="BO1285" s="11" t="n">
        <v>1.281694931279211</v>
      </c>
      <c r="BP1285" s="11" t="n">
        <v>0.9007634642750235</v>
      </c>
      <c r="BQ1285" s="11" t="n">
        <v>0.9537631089407297</v>
      </c>
      <c r="BR1285" s="8" t="n">
        <v>12</v>
      </c>
      <c r="BS1285" s="8" t="n">
        <v>30</v>
      </c>
      <c r="BT1285" s="8" t="n">
        <v>31</v>
      </c>
      <c r="BU1285" s="8" t="n">
        <v>17</v>
      </c>
      <c r="BV1285" s="11" t="n">
        <f>IF(COUNT(BC1285,BF1285)=2,BC1285*BF1285,"")</f>
        <v>0</v>
      </c>
      <c r="BW1285" s="11" t="n">
        <f>IF(ISNUMBER(BN1285),BN1285,"")</f>
        <v>1.1743420411079069</v>
      </c>
      <c r="BX1285" s="14" t="n">
        <f>IF(ISNUMBER(BR1285),BR1285,"")</f>
        <v>12</v>
      </c>
      <c r="BY1285" s="13" t="n">
        <f>IF(AND(COUNT(BV1285,BW1285,BX1285)=3,MIN(BV1285,BW1285,BX1285)&gt;=0),BV1285*BW1285*BX1285,"")</f>
        <v>0</v>
      </c>
      <c r="BZ1285" s="11" t="n">
        <f>IF(ISNUMBER(BO1285),BO1285,"")</f>
        <v>1.281694931279211</v>
      </c>
      <c r="CA1285" s="14" t="n">
        <f>IF(ISNUMBER(BS1285),BS1285,"")</f>
        <v>30</v>
      </c>
      <c r="CB1285" s="13" t="n">
        <f>IF(AND(COUNT(BV1285,BZ1285,CA1285)=3,MIN(BV1285,BZ1285,CA1285)&gt;=0),BV1285*BZ1285*CA1285,"")</f>
        <v>0</v>
      </c>
      <c r="CC1285" s="11" t="n">
        <f>IF(ISNUMBER(BP1285),BP1285,"")</f>
        <v>0.9007634642750235</v>
      </c>
      <c r="CD1285" s="14" t="n">
        <f>IF(ISNUMBER(BT1285),BT1285,"")</f>
        <v>31</v>
      </c>
      <c r="CE1285" s="13" t="n">
        <f>IF(AND(COUNT(BV1285,CC1285,CD1285)=3,MIN(BV1285,CC1285,CD1285)&gt;=0),BV1285*CC1285*CD1285,"")</f>
        <v>0</v>
      </c>
      <c r="CF1285" s="11" t="n">
        <f>IF(ISNUMBER(BQ1285),BQ1285,"")</f>
        <v>0.9537631089407297</v>
      </c>
      <c r="CG1285" s="14" t="n">
        <f>IF(ISNUMBER(BU1285),BU1285,"")</f>
        <v>17</v>
      </c>
      <c r="CH1285" s="13" t="n">
        <f>IF(AND(COUNT(BV1285,CF1285,CG1285)=3,MIN(BV1285,CF1285,CG1285)&gt;=0),BV1285*CF1285*CG1285,"")</f>
        <v>0</v>
      </c>
      <c r="CI1285" s="13" t="n">
        <f>IF(COUNT(BY1285,CB1285,CE1285,CH1285)=4,SUM(BY1285,CB1285,CE1285,CH1285),"")</f>
        <v>0</v>
      </c>
    </row>
    <row r="1286" ht="72" customHeight="1">
      <c r="A1286" s="16" t="str">
        <v>8392-GY-S-K-38.5</v>
      </c>
      <c r="B1286" s="16" t="str">
        <v>3店-SANDIEX-US</v>
      </c>
      <c r="C1286" s="16" t="str">
        <v>徐新怡</v>
      </c>
      <c r="D1286" s="26" t="str">
        <f>IF(NOT(ISNUMBER(E1286)),"",IF(OR(E1286&lt;=0,L1286=0),0,IF(OR(NOT(ISNUMBER(F1286)),F1286&lt;0),"",MIN(E1286,INT(F1286)))))</f>
      </c>
      <c r="E1286" s="27" t="str">
        <f>IF(OR(NOT(ISNUMBER(L1286)),COUNT(M1286:O1286)&lt;&gt;3,MIN(M1286:O1286)&lt;0),"",ROUNDUP(ROUND(BI1286-SUM(M1286:O1286),10),0))</f>
      </c>
      <c r="F1286" s="28"/>
      <c r="G1286" s="28" t="str">
        <f>IF(AND(ISNUMBER(D1286),ISNUMBER(E1286)),IF(OR(E1286&lt;=0,L1286=0),0,E1286-D1286),"")</f>
      </c>
      <c r="H1286" s="16" t="str">
        <f>IF(NOT(ISNUMBER(E1286)),"销量或海外库存待补",IF(OR(E1286&lt;=0,L1286=0),IF(L1286=0,"零日销，本批不发","本批无需补货"),IF(NOT(ISNUMBER(D1286)),"国内库存待补",IF(D1286=0,"国内无可用库存",IF(G1286&gt;0,"先发国内现货","按建议量发货")))))</f>
        <v>销量或海外库存待补</v>
      </c>
      <c r="I1286" s="28" t="n">
        <f>IF(AND(COUNT(Z1286,AA1286,AB1286)=3,Z1286&gt;=AA1286,AA1286&gt;=0,AB1286=7),Z1286-AA1286,"")</f>
        <v>0</v>
      </c>
      <c r="J1286" s="28" t="n">
        <f>IF(AND(COUNT(AF1286,AG1286,AH1286)=3,AF1286&gt;=AG1286,AG1286&gt;=0,AH1286=14),AF1286-AG1286,"")</f>
        <v>0</v>
      </c>
      <c r="K1286" s="28" t="n">
        <f>IF(AND(COUNT(AL1286,AM1286,AN1286)=3,AL1286&gt;=AM1286,AM1286&gt;=0,AN1286=30),AL1286-AM1286,"")</f>
        <v>0</v>
      </c>
      <c r="L1286" s="29" t="n">
        <f>IF(ISNUMBER(BI1286),BI1286/90,"")</f>
        <v>0</v>
      </c>
      <c r="M1286" s="28"/>
      <c r="N1286" s="28"/>
      <c r="O1286" s="28"/>
      <c r="P1286" s="30" t="str">
        <f>IF(AND(ISNUMBER(L1286),L1286&gt;0,COUNT(M1286:O1286)=3,MIN(M1286:O1286)&gt;=0),SUM(M1286:O1286)/L1286,"")</f>
      </c>
      <c r="Q1286" s="16" t="str">
        <v>新增SPU唯一在售店铺</v>
      </c>
      <c r="R1286" s="16" t="str">
        <v>未匹配</v>
      </c>
      <c r="S1286" s="16" t="str">
        <v>未匹配Listing</v>
      </c>
      <c r="T1286" s="16" t="str">
        <v>8392</v>
      </c>
      <c r="U1286" s="16" t="str">
        <v>灰色</v>
      </c>
      <c r="V1286" s="16" t="n">
        <v>7.5</v>
      </c>
      <c r="W1286" s="8" t="str">
        <v>2026-10-11 至 2026-10-17</v>
      </c>
      <c r="X1286" s="8" t="str">
        <v>2026-10-11、2026-10-12、2026-10-13、2026-10-14、2026-10-15、2026-10-16、2026-10-17</v>
      </c>
      <c r="Y1286" s="8" t="str">
        <v>无</v>
      </c>
      <c r="Z1286" s="8" t="n">
        <v>0</v>
      </c>
      <c r="AA1286" s="8" t="n">
        <v>0</v>
      </c>
      <c r="AB1286" s="8" t="n">
        <v>7</v>
      </c>
      <c r="AC1286" s="8" t="str">
        <v>2026-10-02 至 2026-10-17</v>
      </c>
      <c r="AD1286" s="8" t="str">
        <v>2026-10-02、2026-10-03、2026-10-04、2026-10-05、2026-10-08、2026-10-09、2026-10-10、2026-10-11、2026-10-12、2026-10-13、2026-10-14、2026-10-15、2026-10-16、2026-10-17</v>
      </c>
      <c r="AE1286" s="8" t="str">
        <v>2026-10-06 大促；2026-10-07 大促</v>
      </c>
      <c r="AF1286" s="8" t="n">
        <v>0</v>
      </c>
      <c r="AG1286" s="8" t="n">
        <v>0</v>
      </c>
      <c r="AH1286" s="8" t="n">
        <v>14</v>
      </c>
      <c r="AI1286" s="8" t="str">
        <v>2026-09-16 至 2026-10-17</v>
      </c>
      <c r="AJ128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6" s="8" t="str">
        <v>2026-10-06 大促；2026-10-07 大促</v>
      </c>
      <c r="AL1286" s="8" t="n">
        <v>0</v>
      </c>
      <c r="AM1286" s="8" t="n">
        <v>0</v>
      </c>
      <c r="AN1286" s="8" t="n">
        <v>30</v>
      </c>
      <c r="AO1286" s="8" t="str">
        <v>8392 / 灰色羊京绒 / 6574</v>
      </c>
      <c r="AP1286" s="11" t="n">
        <v>1.1743420411079069</v>
      </c>
      <c r="AQ1286" s="11" t="n">
        <v>1.1743420411079069</v>
      </c>
      <c r="AR1286" s="11" t="n">
        <v>1.144331424468921</v>
      </c>
      <c r="AS1286" s="11" t="n">
        <f>IF(AND(COUNT(I1286:K1286,AP1286:AR1286)=6,MIN(AP1286:AR1286)&gt;0),I1286/7/AP1286*0.5+J1286/14/AQ1286*0.3+K1286/30/AR1286*0.2,"")</f>
        <v>0</v>
      </c>
      <c r="AT1286" s="8" t="n">
        <v>0</v>
      </c>
      <c r="AU1286" s="8" t="n">
        <v>0</v>
      </c>
      <c r="AV1286" s="8" t="n">
        <v>88</v>
      </c>
      <c r="AW1286" s="11" t="n">
        <f>IF(AND(COUNT(AT1286:AV1286)=3,AT1286&gt;=AU1286,AU1286&gt;=0,AV1286&gt;0),(AT1286-AU1286)/AV1286,"")</f>
        <v>0</v>
      </c>
      <c r="AX1286" s="8" t="n">
        <v>0</v>
      </c>
      <c r="AY1286" s="8" t="n">
        <v>0</v>
      </c>
      <c r="AZ1286" s="8" t="n">
        <v>178</v>
      </c>
      <c r="BA1286" s="11" t="n">
        <f>IF(AND(COUNT(AX1286:AZ1286)=3,AX1286&gt;=AY1286,AY1286&gt;=0,AZ1286&gt;0),(AX1286-AY1286)/AZ1286,"")</f>
        <v>0</v>
      </c>
      <c r="BB1286" s="8" t="n">
        <f>IF(COUNT(AS1286,AW1286,BA1286)=3,1,0)</f>
        <v>1</v>
      </c>
      <c r="BC1286" s="11" t="n">
        <f>IF(SUMIF($AO$11:$AO$1309,AO1286,$BB$11:$BB$1309)=COUNTIF($AO$11:$AO$1309,AO1286),SUMIF($AO$11:$AO$1309,AO1286,$AS$11:$AS$1309),"")</f>
        <v>0</v>
      </c>
      <c r="BD1286" s="11" t="n">
        <f>IF(SUMIF($AO$11:$AO$1309,AO1286,$BB$11:$BB$1309)=COUNTIF($AO$11:$AO$1309,AO1286),SUMIF($AO$11:$AO$1309,AO1286,$AW$11:$AW$1309),"")</f>
        <v>0</v>
      </c>
      <c r="BE1286" s="11" t="n">
        <f>IF(SUMIF($AO$11:$AO$1309,AO1286,$BB$11:$BB$1309)=COUNTIF($AO$11:$AO$1309,AO1286),SUMIF($AO$11:$AO$1309,AO1286,$BA$11:$BA$1309),"")</f>
        <v>0.017142857142857144</v>
      </c>
      <c r="BF1286" s="12" t="n">
        <f>IF(COUNT(BD1286:BE1286)&lt;&gt;2,"",IF(AND(BD1286&gt;0,BE1286&gt;0),0.7*AW1286/BD1286+0.3*BA1286/BE1286,IF(BD1286&gt;0,AW1286/BD1286,IF(BE1286&gt;0,BA1286/BE1286,IF(AND(ISNUMBER(BH1286),BH1286=0),0,"")))))</f>
        <v>0</v>
      </c>
      <c r="BG1286" s="11" t="n">
        <f>IF(AND(COUNT(BN1286:BU1286)=8,MIN(BN1286:BU1286)&gt;=0),SUMPRODUCT(BN1286:BQ1286,BR1286:BU1286),"")</f>
        <v>96.68059267618935</v>
      </c>
      <c r="BH1286" s="11" t="n">
        <f>IF(COUNT(BC1286,BG1286)=2,BC1286*BG1286,"")</f>
        <v>0</v>
      </c>
      <c r="BI1286" s="11" t="n">
        <f>IF(ISNUMBER(CI1286),CI1286,"")</f>
        <v>0</v>
      </c>
      <c r="BJ1286" s="8" t="str">
        <v>近180天本色销量5双（＜90），无有效新采购，请运营判断</v>
      </c>
      <c r="BK1286" s="8" t="str">
        <v>90天：2026-07-20 至 2026-10-17；180天：2026-04-21 至 2026-10-17</v>
      </c>
      <c r="BL1286" s="8" t="str">
        <v>90天：2026-10-06、2026-10-07；180天：2026-10-06、2026-10-07</v>
      </c>
      <c r="BM1286" s="8" t="str">
        <v>2026-10：12天 × 1.1743420411079069；2026-11：30天 × 1.281694931279211；2026-12：31天 × 0.9007634642750235；2027-01：17天 × 0.9537631089407297</v>
      </c>
      <c r="BN1286" s="11" t="n">
        <v>1.1743420411079069</v>
      </c>
      <c r="BO1286" s="11" t="n">
        <v>1.281694931279211</v>
      </c>
      <c r="BP1286" s="11" t="n">
        <v>0.9007634642750235</v>
      </c>
      <c r="BQ1286" s="11" t="n">
        <v>0.9537631089407297</v>
      </c>
      <c r="BR1286" s="8" t="n">
        <v>12</v>
      </c>
      <c r="BS1286" s="8" t="n">
        <v>30</v>
      </c>
      <c r="BT1286" s="8" t="n">
        <v>31</v>
      </c>
      <c r="BU1286" s="8" t="n">
        <v>17</v>
      </c>
      <c r="BV1286" s="11" t="n">
        <f>IF(COUNT(BC1286,BF1286)=2,BC1286*BF1286,"")</f>
        <v>0</v>
      </c>
      <c r="BW1286" s="11" t="n">
        <f>IF(ISNUMBER(BN1286),BN1286,"")</f>
        <v>1.1743420411079069</v>
      </c>
      <c r="BX1286" s="14" t="n">
        <f>IF(ISNUMBER(BR1286),BR1286,"")</f>
        <v>12</v>
      </c>
      <c r="BY1286" s="13" t="n">
        <f>IF(AND(COUNT(BV1286,BW1286,BX1286)=3,MIN(BV1286,BW1286,BX1286)&gt;=0),BV1286*BW1286*BX1286,"")</f>
        <v>0</v>
      </c>
      <c r="BZ1286" s="11" t="n">
        <f>IF(ISNUMBER(BO1286),BO1286,"")</f>
        <v>1.281694931279211</v>
      </c>
      <c r="CA1286" s="14" t="n">
        <f>IF(ISNUMBER(BS1286),BS1286,"")</f>
        <v>30</v>
      </c>
      <c r="CB1286" s="13" t="n">
        <f>IF(AND(COUNT(BV1286,BZ1286,CA1286)=3,MIN(BV1286,BZ1286,CA1286)&gt;=0),BV1286*BZ1286*CA1286,"")</f>
        <v>0</v>
      </c>
      <c r="CC1286" s="11" t="n">
        <f>IF(ISNUMBER(BP1286),BP1286,"")</f>
        <v>0.9007634642750235</v>
      </c>
      <c r="CD1286" s="14" t="n">
        <f>IF(ISNUMBER(BT1286),BT1286,"")</f>
        <v>31</v>
      </c>
      <c r="CE1286" s="13" t="n">
        <f>IF(AND(COUNT(BV1286,CC1286,CD1286)=3,MIN(BV1286,CC1286,CD1286)&gt;=0),BV1286*CC1286*CD1286,"")</f>
        <v>0</v>
      </c>
      <c r="CF1286" s="11" t="n">
        <f>IF(ISNUMBER(BQ1286),BQ1286,"")</f>
        <v>0.9537631089407297</v>
      </c>
      <c r="CG1286" s="14" t="n">
        <f>IF(ISNUMBER(BU1286),BU1286,"")</f>
        <v>17</v>
      </c>
      <c r="CH1286" s="13" t="n">
        <f>IF(AND(COUNT(BV1286,CF1286,CG1286)=3,MIN(BV1286,CF1286,CG1286)&gt;=0),BV1286*CF1286*CG1286,"")</f>
        <v>0</v>
      </c>
      <c r="CI1286" s="13" t="n">
        <f>IF(COUNT(BY1286,CB1286,CE1286,CH1286)=4,SUM(BY1286,CB1286,CE1286,CH1286),"")</f>
        <v>0</v>
      </c>
    </row>
    <row r="1287" ht="72" customHeight="1">
      <c r="A1287" s="16" t="str">
        <v>8392-GY-S-K-39</v>
      </c>
      <c r="B1287" s="16" t="str">
        <v>3店-SANDIEX-US</v>
      </c>
      <c r="C1287" s="16" t="str">
        <v>徐新怡</v>
      </c>
      <c r="D1287" s="26" t="str">
        <f>IF(NOT(ISNUMBER(E1287)),"",IF(OR(E1287&lt;=0,L1287=0),0,IF(OR(NOT(ISNUMBER(F1287)),F1287&lt;0),"",MIN(E1287,INT(F1287)))))</f>
      </c>
      <c r="E1287" s="27" t="str">
        <f>IF(OR(NOT(ISNUMBER(L1287)),COUNT(M1287:O1287)&lt;&gt;3,MIN(M1287:O1287)&lt;0),"",ROUNDUP(ROUND(BI1287-SUM(M1287:O1287),10),0))</f>
      </c>
      <c r="F1287" s="28"/>
      <c r="G1287" s="28" t="str">
        <f>IF(AND(ISNUMBER(D1287),ISNUMBER(E1287)),IF(OR(E1287&lt;=0,L1287=0),0,E1287-D1287),"")</f>
      </c>
      <c r="H1287" s="16" t="str">
        <f>IF(NOT(ISNUMBER(E1287)),"销量或海外库存待补",IF(OR(E1287&lt;=0,L1287=0),IF(L1287=0,"零日销，本批不发","本批无需补货"),IF(NOT(ISNUMBER(D1287)),"国内库存待补",IF(D1287=0,"国内无可用库存",IF(G1287&gt;0,"先发国内现货","按建议量发货")))))</f>
        <v>销量或海外库存待补</v>
      </c>
      <c r="I1287" s="28" t="n">
        <f>IF(AND(COUNT(Z1287,AA1287,AB1287)=3,Z1287&gt;=AA1287,AA1287&gt;=0,AB1287=7),Z1287-AA1287,"")</f>
        <v>0</v>
      </c>
      <c r="J1287" s="28" t="n">
        <f>IF(AND(COUNT(AF1287,AG1287,AH1287)=3,AF1287&gt;=AG1287,AG1287&gt;=0,AH1287=14),AF1287-AG1287,"")</f>
        <v>0</v>
      </c>
      <c r="K1287" s="28" t="n">
        <f>IF(AND(COUNT(AL1287,AM1287,AN1287)=3,AL1287&gt;=AM1287,AM1287&gt;=0,AN1287=30),AL1287-AM1287,"")</f>
        <v>0</v>
      </c>
      <c r="L1287" s="29" t="n">
        <f>IF(ISNUMBER(BI1287),BI1287/90,"")</f>
        <v>0</v>
      </c>
      <c r="M1287" s="28"/>
      <c r="N1287" s="28"/>
      <c r="O1287" s="28"/>
      <c r="P1287" s="30" t="str">
        <f>IF(AND(ISNUMBER(L1287),L1287&gt;0,COUNT(M1287:O1287)=3,MIN(M1287:O1287)&gt;=0),SUM(M1287:O1287)/L1287,"")</f>
      </c>
      <c r="Q1287" s="16" t="str">
        <v>新增SPU唯一在售店铺</v>
      </c>
      <c r="R1287" s="16" t="str">
        <v>未匹配</v>
      </c>
      <c r="S1287" s="16" t="str">
        <v>未匹配Listing</v>
      </c>
      <c r="T1287" s="16" t="str">
        <v>8392</v>
      </c>
      <c r="U1287" s="16" t="str">
        <v>灰色</v>
      </c>
      <c r="V1287" s="16" t="n">
        <v>8</v>
      </c>
      <c r="W1287" s="8" t="str">
        <v>2026-10-11 至 2026-10-17</v>
      </c>
      <c r="X1287" s="8" t="str">
        <v>2026-10-11、2026-10-12、2026-10-13、2026-10-14、2026-10-15、2026-10-16、2026-10-17</v>
      </c>
      <c r="Y1287" s="8" t="str">
        <v>无</v>
      </c>
      <c r="Z1287" s="8" t="n">
        <v>0</v>
      </c>
      <c r="AA1287" s="8" t="n">
        <v>0</v>
      </c>
      <c r="AB1287" s="8" t="n">
        <v>7</v>
      </c>
      <c r="AC1287" s="8" t="str">
        <v>2026-10-02 至 2026-10-17</v>
      </c>
      <c r="AD1287" s="8" t="str">
        <v>2026-10-02、2026-10-03、2026-10-04、2026-10-05、2026-10-08、2026-10-09、2026-10-10、2026-10-11、2026-10-12、2026-10-13、2026-10-14、2026-10-15、2026-10-16、2026-10-17</v>
      </c>
      <c r="AE1287" s="8" t="str">
        <v>2026-10-06 大促；2026-10-07 大促</v>
      </c>
      <c r="AF1287" s="8" t="n">
        <v>0</v>
      </c>
      <c r="AG1287" s="8" t="n">
        <v>0</v>
      </c>
      <c r="AH1287" s="8" t="n">
        <v>14</v>
      </c>
      <c r="AI1287" s="8" t="str">
        <v>2026-09-16 至 2026-10-17</v>
      </c>
      <c r="AJ128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7" s="8" t="str">
        <v>2026-10-06 大促；2026-10-07 大促</v>
      </c>
      <c r="AL1287" s="8" t="n">
        <v>0</v>
      </c>
      <c r="AM1287" s="8" t="n">
        <v>0</v>
      </c>
      <c r="AN1287" s="8" t="n">
        <v>30</v>
      </c>
      <c r="AO1287" s="8" t="str">
        <v>8392 / 灰色羊京绒 / 6574</v>
      </c>
      <c r="AP1287" s="11" t="n">
        <v>1.1743420411079069</v>
      </c>
      <c r="AQ1287" s="11" t="n">
        <v>1.1743420411079069</v>
      </c>
      <c r="AR1287" s="11" t="n">
        <v>1.144331424468921</v>
      </c>
      <c r="AS1287" s="11" t="n">
        <f>IF(AND(COUNT(I1287:K1287,AP1287:AR1287)=6,MIN(AP1287:AR1287)&gt;0),I1287/7/AP1287*0.5+J1287/14/AQ1287*0.3+K1287/30/AR1287*0.2,"")</f>
        <v>0</v>
      </c>
      <c r="AT1287" s="8" t="n">
        <v>0</v>
      </c>
      <c r="AU1287" s="8" t="n">
        <v>0</v>
      </c>
      <c r="AV1287" s="8" t="n">
        <v>88</v>
      </c>
      <c r="AW1287" s="11" t="n">
        <f>IF(AND(COUNT(AT1287:AV1287)=3,AT1287&gt;=AU1287,AU1287&gt;=0,AV1287&gt;0),(AT1287-AU1287)/AV1287,"")</f>
        <v>0</v>
      </c>
      <c r="AX1287" s="8" t="n">
        <v>0</v>
      </c>
      <c r="AY1287" s="8" t="n">
        <v>0</v>
      </c>
      <c r="AZ1287" s="8" t="n">
        <v>178</v>
      </c>
      <c r="BA1287" s="11" t="n">
        <f>IF(AND(COUNT(AX1287:AZ1287)=3,AX1287&gt;=AY1287,AY1287&gt;=0,AZ1287&gt;0),(AX1287-AY1287)/AZ1287,"")</f>
        <v>0</v>
      </c>
      <c r="BB1287" s="8" t="n">
        <f>IF(COUNT(AS1287,AW1287,BA1287)=3,1,0)</f>
        <v>1</v>
      </c>
      <c r="BC1287" s="11" t="n">
        <f>IF(SUMIF($AO$11:$AO$1309,AO1287,$BB$11:$BB$1309)=COUNTIF($AO$11:$AO$1309,AO1287),SUMIF($AO$11:$AO$1309,AO1287,$AS$11:$AS$1309),"")</f>
        <v>0</v>
      </c>
      <c r="BD1287" s="11" t="n">
        <f>IF(SUMIF($AO$11:$AO$1309,AO1287,$BB$11:$BB$1309)=COUNTIF($AO$11:$AO$1309,AO1287),SUMIF($AO$11:$AO$1309,AO1287,$AW$11:$AW$1309),"")</f>
        <v>0</v>
      </c>
      <c r="BE1287" s="11" t="n">
        <f>IF(SUMIF($AO$11:$AO$1309,AO1287,$BB$11:$BB$1309)=COUNTIF($AO$11:$AO$1309,AO1287),SUMIF($AO$11:$AO$1309,AO1287,$BA$11:$BA$1309),"")</f>
        <v>0.017142857142857144</v>
      </c>
      <c r="BF1287" s="12" t="n">
        <f>IF(COUNT(BD1287:BE1287)&lt;&gt;2,"",IF(AND(BD1287&gt;0,BE1287&gt;0),0.7*AW1287/BD1287+0.3*BA1287/BE1287,IF(BD1287&gt;0,AW1287/BD1287,IF(BE1287&gt;0,BA1287/BE1287,IF(AND(ISNUMBER(BH1287),BH1287=0),0,"")))))</f>
        <v>0</v>
      </c>
      <c r="BG1287" s="11" t="n">
        <f>IF(AND(COUNT(BN1287:BU1287)=8,MIN(BN1287:BU1287)&gt;=0),SUMPRODUCT(BN1287:BQ1287,BR1287:BU1287),"")</f>
        <v>96.68059267618935</v>
      </c>
      <c r="BH1287" s="11" t="n">
        <f>IF(COUNT(BC1287,BG1287)=2,BC1287*BG1287,"")</f>
        <v>0</v>
      </c>
      <c r="BI1287" s="11" t="n">
        <f>IF(ISNUMBER(CI1287),CI1287,"")</f>
        <v>0</v>
      </c>
      <c r="BJ1287" s="8" t="str">
        <v>近180天本色销量5双（＜90），无有效新采购，请运营判断</v>
      </c>
      <c r="BK1287" s="8" t="str">
        <v>90天：2026-07-20 至 2026-10-17；180天：2026-04-21 至 2026-10-17</v>
      </c>
      <c r="BL1287" s="8" t="str">
        <v>90天：2026-10-06、2026-10-07；180天：2026-10-06、2026-10-07</v>
      </c>
      <c r="BM1287" s="8" t="str">
        <v>2026-10：12天 × 1.1743420411079069；2026-11：30天 × 1.281694931279211；2026-12：31天 × 0.9007634642750235；2027-01：17天 × 0.9537631089407297</v>
      </c>
      <c r="BN1287" s="11" t="n">
        <v>1.1743420411079069</v>
      </c>
      <c r="BO1287" s="11" t="n">
        <v>1.281694931279211</v>
      </c>
      <c r="BP1287" s="11" t="n">
        <v>0.9007634642750235</v>
      </c>
      <c r="BQ1287" s="11" t="n">
        <v>0.9537631089407297</v>
      </c>
      <c r="BR1287" s="8" t="n">
        <v>12</v>
      </c>
      <c r="BS1287" s="8" t="n">
        <v>30</v>
      </c>
      <c r="BT1287" s="8" t="n">
        <v>31</v>
      </c>
      <c r="BU1287" s="8" t="n">
        <v>17</v>
      </c>
      <c r="BV1287" s="11" t="n">
        <f>IF(COUNT(BC1287,BF1287)=2,BC1287*BF1287,"")</f>
        <v>0</v>
      </c>
      <c r="BW1287" s="11" t="n">
        <f>IF(ISNUMBER(BN1287),BN1287,"")</f>
        <v>1.1743420411079069</v>
      </c>
      <c r="BX1287" s="14" t="n">
        <f>IF(ISNUMBER(BR1287),BR1287,"")</f>
        <v>12</v>
      </c>
      <c r="BY1287" s="13" t="n">
        <f>IF(AND(COUNT(BV1287,BW1287,BX1287)=3,MIN(BV1287,BW1287,BX1287)&gt;=0),BV1287*BW1287*BX1287,"")</f>
        <v>0</v>
      </c>
      <c r="BZ1287" s="11" t="n">
        <f>IF(ISNUMBER(BO1287),BO1287,"")</f>
        <v>1.281694931279211</v>
      </c>
      <c r="CA1287" s="14" t="n">
        <f>IF(ISNUMBER(BS1287),BS1287,"")</f>
        <v>30</v>
      </c>
      <c r="CB1287" s="13" t="n">
        <f>IF(AND(COUNT(BV1287,BZ1287,CA1287)=3,MIN(BV1287,BZ1287,CA1287)&gt;=0),BV1287*BZ1287*CA1287,"")</f>
        <v>0</v>
      </c>
      <c r="CC1287" s="11" t="n">
        <f>IF(ISNUMBER(BP1287),BP1287,"")</f>
        <v>0.9007634642750235</v>
      </c>
      <c r="CD1287" s="14" t="n">
        <f>IF(ISNUMBER(BT1287),BT1287,"")</f>
        <v>31</v>
      </c>
      <c r="CE1287" s="13" t="n">
        <f>IF(AND(COUNT(BV1287,CC1287,CD1287)=3,MIN(BV1287,CC1287,CD1287)&gt;=0),BV1287*CC1287*CD1287,"")</f>
        <v>0</v>
      </c>
      <c r="CF1287" s="11" t="n">
        <f>IF(ISNUMBER(BQ1287),BQ1287,"")</f>
        <v>0.9537631089407297</v>
      </c>
      <c r="CG1287" s="14" t="n">
        <f>IF(ISNUMBER(BU1287),BU1287,"")</f>
        <v>17</v>
      </c>
      <c r="CH1287" s="13" t="n">
        <f>IF(AND(COUNT(BV1287,CF1287,CG1287)=3,MIN(BV1287,CF1287,CG1287)&gt;=0),BV1287*CF1287*CG1287,"")</f>
        <v>0</v>
      </c>
      <c r="CI1287" s="13" t="n">
        <f>IF(COUNT(BY1287,CB1287,CE1287,CH1287)=4,SUM(BY1287,CB1287,CE1287,CH1287),"")</f>
        <v>0</v>
      </c>
    </row>
    <row r="1288" ht="72" customHeight="1">
      <c r="A1288" s="16" t="str">
        <v>8392-GY-S-K-39.5</v>
      </c>
      <c r="B1288" s="16" t="str">
        <v>3店-SANDIEX-US</v>
      </c>
      <c r="C1288" s="16" t="str">
        <v>徐新怡</v>
      </c>
      <c r="D1288" s="26" t="str">
        <f>IF(NOT(ISNUMBER(E1288)),"",IF(OR(E1288&lt;=0,L1288=0),0,IF(OR(NOT(ISNUMBER(F1288)),F1288&lt;0),"",MIN(E1288,INT(F1288)))))</f>
      </c>
      <c r="E1288" s="27" t="str">
        <f>IF(OR(NOT(ISNUMBER(L1288)),COUNT(M1288:O1288)&lt;&gt;3,MIN(M1288:O1288)&lt;0),"",ROUNDUP(ROUND(BI1288-SUM(M1288:O1288),10),0))</f>
      </c>
      <c r="F1288" s="28" t="n">
        <v>0</v>
      </c>
      <c r="G1288" s="28" t="str">
        <f>IF(AND(ISNUMBER(D1288),ISNUMBER(E1288)),IF(OR(E1288&lt;=0,L1288=0),0,E1288-D1288),"")</f>
      </c>
      <c r="H1288" s="16" t="str">
        <f>IF(NOT(ISNUMBER(E1288)),"销量或海外库存待补",IF(OR(E1288&lt;=0,L1288=0),IF(L1288=0,"零日销，本批不发","本批无需补货"),IF(NOT(ISNUMBER(D1288)),"国内库存待补",IF(D1288=0,"国内无可用库存",IF(G1288&gt;0,"先发国内现货","按建议量发货")))))</f>
        <v>销量或海外库存待补</v>
      </c>
      <c r="I1288" s="28" t="n">
        <f>IF(AND(COUNT(Z1288,AA1288,AB1288)=3,Z1288&gt;=AA1288,AA1288&gt;=0,AB1288=7),Z1288-AA1288,"")</f>
        <v>0</v>
      </c>
      <c r="J1288" s="28" t="n">
        <f>IF(AND(COUNT(AF1288,AG1288,AH1288)=3,AF1288&gt;=AG1288,AG1288&gt;=0,AH1288=14),AF1288-AG1288,"")</f>
        <v>0</v>
      </c>
      <c r="K1288" s="28" t="n">
        <f>IF(AND(COUNT(AL1288,AM1288,AN1288)=3,AL1288&gt;=AM1288,AM1288&gt;=0,AN1288=30),AL1288-AM1288,"")</f>
        <v>0</v>
      </c>
      <c r="L1288" s="29" t="n">
        <f>IF(ISNUMBER(BI1288),BI1288/90,"")</f>
        <v>0</v>
      </c>
      <c r="M1288" s="28"/>
      <c r="N1288" s="28"/>
      <c r="O1288" s="28"/>
      <c r="P1288" s="30" t="str">
        <f>IF(AND(ISNUMBER(L1288),L1288&gt;0,COUNT(M1288:O1288)=3,MIN(M1288:O1288)&gt;=0),SUM(M1288:O1288)/L1288,"")</f>
      </c>
      <c r="Q1288" s="16" t="str">
        <v>新增SPU唯一在售店铺</v>
      </c>
      <c r="R1288" s="16" t="str">
        <v>已匹配</v>
      </c>
      <c r="S1288" s="16" t="str">
        <v>未匹配Listing</v>
      </c>
      <c r="T1288" s="16" t="str">
        <v>8392</v>
      </c>
      <c r="U1288" s="16" t="str">
        <v>灰色</v>
      </c>
      <c r="V1288" s="16" t="n">
        <v>8.5</v>
      </c>
      <c r="W1288" s="8" t="str">
        <v>2026-10-11 至 2026-10-17</v>
      </c>
      <c r="X1288" s="8" t="str">
        <v>2026-10-11、2026-10-12、2026-10-13、2026-10-14、2026-10-15、2026-10-16、2026-10-17</v>
      </c>
      <c r="Y1288" s="8" t="str">
        <v>无</v>
      </c>
      <c r="Z1288" s="8" t="n">
        <v>0</v>
      </c>
      <c r="AA1288" s="8" t="n">
        <v>0</v>
      </c>
      <c r="AB1288" s="8" t="n">
        <v>7</v>
      </c>
      <c r="AC1288" s="8" t="str">
        <v>2026-10-02 至 2026-10-17</v>
      </c>
      <c r="AD1288" s="8" t="str">
        <v>2026-10-02、2026-10-03、2026-10-04、2026-10-05、2026-10-08、2026-10-09、2026-10-10、2026-10-11、2026-10-12、2026-10-13、2026-10-14、2026-10-15、2026-10-16、2026-10-17</v>
      </c>
      <c r="AE1288" s="8" t="str">
        <v>2026-10-06 大促；2026-10-07 大促</v>
      </c>
      <c r="AF1288" s="8" t="n">
        <v>0</v>
      </c>
      <c r="AG1288" s="8" t="n">
        <v>0</v>
      </c>
      <c r="AH1288" s="8" t="n">
        <v>14</v>
      </c>
      <c r="AI1288" s="8" t="str">
        <v>2026-09-16 至 2026-10-17</v>
      </c>
      <c r="AJ128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8" s="8" t="str">
        <v>2026-10-06 大促；2026-10-07 大促</v>
      </c>
      <c r="AL1288" s="8" t="n">
        <v>0</v>
      </c>
      <c r="AM1288" s="8" t="n">
        <v>0</v>
      </c>
      <c r="AN1288" s="8" t="n">
        <v>30</v>
      </c>
      <c r="AO1288" s="8" t="str">
        <v>8392 / 灰色羊京绒 / 6574</v>
      </c>
      <c r="AP1288" s="11" t="n">
        <v>1.1743420411079069</v>
      </c>
      <c r="AQ1288" s="11" t="n">
        <v>1.1743420411079069</v>
      </c>
      <c r="AR1288" s="11" t="n">
        <v>1.144331424468921</v>
      </c>
      <c r="AS1288" s="11" t="n">
        <f>IF(AND(COUNT(I1288:K1288,AP1288:AR1288)=6,MIN(AP1288:AR1288)&gt;0),I1288/7/AP1288*0.5+J1288/14/AQ1288*0.3+K1288/30/AR1288*0.2,"")</f>
        <v>0</v>
      </c>
      <c r="AT1288" s="8" t="n">
        <v>0</v>
      </c>
      <c r="AU1288" s="8" t="n">
        <v>0</v>
      </c>
      <c r="AV1288" s="8" t="n">
        <v>88</v>
      </c>
      <c r="AW1288" s="11" t="n">
        <f>IF(AND(COUNT(AT1288:AV1288)=3,AT1288&gt;=AU1288,AU1288&gt;=0,AV1288&gt;0),(AT1288-AU1288)/AV1288,"")</f>
        <v>0</v>
      </c>
      <c r="AX1288" s="8" t="n">
        <v>0</v>
      </c>
      <c r="AY1288" s="8" t="n">
        <v>0</v>
      </c>
      <c r="AZ1288" s="8" t="n">
        <v>178</v>
      </c>
      <c r="BA1288" s="11" t="n">
        <f>IF(AND(COUNT(AX1288:AZ1288)=3,AX1288&gt;=AY1288,AY1288&gt;=0,AZ1288&gt;0),(AX1288-AY1288)/AZ1288,"")</f>
        <v>0</v>
      </c>
      <c r="BB1288" s="8" t="n">
        <f>IF(COUNT(AS1288,AW1288,BA1288)=3,1,0)</f>
        <v>1</v>
      </c>
      <c r="BC1288" s="11" t="n">
        <f>IF(SUMIF($AO$11:$AO$1309,AO1288,$BB$11:$BB$1309)=COUNTIF($AO$11:$AO$1309,AO1288),SUMIF($AO$11:$AO$1309,AO1288,$AS$11:$AS$1309),"")</f>
        <v>0</v>
      </c>
      <c r="BD1288" s="11" t="n">
        <f>IF(SUMIF($AO$11:$AO$1309,AO1288,$BB$11:$BB$1309)=COUNTIF($AO$11:$AO$1309,AO1288),SUMIF($AO$11:$AO$1309,AO1288,$AW$11:$AW$1309),"")</f>
        <v>0</v>
      </c>
      <c r="BE1288" s="11" t="n">
        <f>IF(SUMIF($AO$11:$AO$1309,AO1288,$BB$11:$BB$1309)=COUNTIF($AO$11:$AO$1309,AO1288),SUMIF($AO$11:$AO$1309,AO1288,$BA$11:$BA$1309),"")</f>
        <v>0.017142857142857144</v>
      </c>
      <c r="BF1288" s="12" t="n">
        <f>IF(COUNT(BD1288:BE1288)&lt;&gt;2,"",IF(AND(BD1288&gt;0,BE1288&gt;0),0.7*AW1288/BD1288+0.3*BA1288/BE1288,IF(BD1288&gt;0,AW1288/BD1288,IF(BE1288&gt;0,BA1288/BE1288,IF(AND(ISNUMBER(BH1288),BH1288=0),0,"")))))</f>
        <v>0</v>
      </c>
      <c r="BG1288" s="11" t="n">
        <f>IF(AND(COUNT(BN1288:BU1288)=8,MIN(BN1288:BU1288)&gt;=0),SUMPRODUCT(BN1288:BQ1288,BR1288:BU1288),"")</f>
        <v>96.68059267618935</v>
      </c>
      <c r="BH1288" s="11" t="n">
        <f>IF(COUNT(BC1288,BG1288)=2,BC1288*BG1288,"")</f>
        <v>0</v>
      </c>
      <c r="BI1288" s="11" t="n">
        <f>IF(ISNUMBER(CI1288),CI1288,"")</f>
        <v>0</v>
      </c>
      <c r="BJ1288" s="8" t="str">
        <v>近180天本色销量5双（＜90），无有效新采购，请运营判断</v>
      </c>
      <c r="BK1288" s="8" t="str">
        <v>90天：2026-07-20 至 2026-10-17；180天：2026-04-21 至 2026-10-17</v>
      </c>
      <c r="BL1288" s="8" t="str">
        <v>90天：2026-10-06、2026-10-07；180天：2026-10-06、2026-10-07</v>
      </c>
      <c r="BM1288" s="8" t="str">
        <v>2026-10：12天 × 1.1743420411079069；2026-11：30天 × 1.281694931279211；2026-12：31天 × 0.9007634642750235；2027-01：17天 × 0.9537631089407297</v>
      </c>
      <c r="BN1288" s="11" t="n">
        <v>1.1743420411079069</v>
      </c>
      <c r="BO1288" s="11" t="n">
        <v>1.281694931279211</v>
      </c>
      <c r="BP1288" s="11" t="n">
        <v>0.9007634642750235</v>
      </c>
      <c r="BQ1288" s="11" t="n">
        <v>0.9537631089407297</v>
      </c>
      <c r="BR1288" s="8" t="n">
        <v>12</v>
      </c>
      <c r="BS1288" s="8" t="n">
        <v>30</v>
      </c>
      <c r="BT1288" s="8" t="n">
        <v>31</v>
      </c>
      <c r="BU1288" s="8" t="n">
        <v>17</v>
      </c>
      <c r="BV1288" s="11" t="n">
        <f>IF(COUNT(BC1288,BF1288)=2,BC1288*BF1288,"")</f>
        <v>0</v>
      </c>
      <c r="BW1288" s="11" t="n">
        <f>IF(ISNUMBER(BN1288),BN1288,"")</f>
        <v>1.1743420411079069</v>
      </c>
      <c r="BX1288" s="14" t="n">
        <f>IF(ISNUMBER(BR1288),BR1288,"")</f>
        <v>12</v>
      </c>
      <c r="BY1288" s="13" t="n">
        <f>IF(AND(COUNT(BV1288,BW1288,BX1288)=3,MIN(BV1288,BW1288,BX1288)&gt;=0),BV1288*BW1288*BX1288,"")</f>
        <v>0</v>
      </c>
      <c r="BZ1288" s="11" t="n">
        <f>IF(ISNUMBER(BO1288),BO1288,"")</f>
        <v>1.281694931279211</v>
      </c>
      <c r="CA1288" s="14" t="n">
        <f>IF(ISNUMBER(BS1288),BS1288,"")</f>
        <v>30</v>
      </c>
      <c r="CB1288" s="13" t="n">
        <f>IF(AND(COUNT(BV1288,BZ1288,CA1288)=3,MIN(BV1288,BZ1288,CA1288)&gt;=0),BV1288*BZ1288*CA1288,"")</f>
        <v>0</v>
      </c>
      <c r="CC1288" s="11" t="n">
        <f>IF(ISNUMBER(BP1288),BP1288,"")</f>
        <v>0.9007634642750235</v>
      </c>
      <c r="CD1288" s="14" t="n">
        <f>IF(ISNUMBER(BT1288),BT1288,"")</f>
        <v>31</v>
      </c>
      <c r="CE1288" s="13" t="n">
        <f>IF(AND(COUNT(BV1288,CC1288,CD1288)=3,MIN(BV1288,CC1288,CD1288)&gt;=0),BV1288*CC1288*CD1288,"")</f>
        <v>0</v>
      </c>
      <c r="CF1288" s="11" t="n">
        <f>IF(ISNUMBER(BQ1288),BQ1288,"")</f>
        <v>0.9537631089407297</v>
      </c>
      <c r="CG1288" s="14" t="n">
        <f>IF(ISNUMBER(BU1288),BU1288,"")</f>
        <v>17</v>
      </c>
      <c r="CH1288" s="13" t="n">
        <f>IF(AND(COUNT(BV1288,CF1288,CG1288)=3,MIN(BV1288,CF1288,CG1288)&gt;=0),BV1288*CF1288*CG1288,"")</f>
        <v>0</v>
      </c>
      <c r="CI1288" s="13" t="n">
        <f>IF(COUNT(BY1288,CB1288,CE1288,CH1288)=4,SUM(BY1288,CB1288,CE1288,CH1288),"")</f>
        <v>0</v>
      </c>
    </row>
    <row r="1289" ht="72" customHeight="1">
      <c r="A1289" s="16" t="str">
        <v>8392-GY-S-K-40.5</v>
      </c>
      <c r="B1289" s="16" t="str">
        <v>3店-SANDIEX-US</v>
      </c>
      <c r="C1289" s="16" t="str">
        <v>徐新怡</v>
      </c>
      <c r="D1289" s="26" t="str">
        <f>IF(NOT(ISNUMBER(E1289)),"",IF(OR(E1289&lt;=0,L1289=0),0,IF(OR(NOT(ISNUMBER(F1289)),F1289&lt;0),"",MIN(E1289,INT(F1289)))))</f>
      </c>
      <c r="E1289" s="27" t="str">
        <f>IF(OR(NOT(ISNUMBER(L1289)),COUNT(M1289:O1289)&lt;&gt;3,MIN(M1289:O1289)&lt;0),"",ROUNDUP(ROUND(BI1289-SUM(M1289:O1289),10),0))</f>
      </c>
      <c r="F1289" s="28"/>
      <c r="G1289" s="28" t="str">
        <f>IF(AND(ISNUMBER(D1289),ISNUMBER(E1289)),IF(OR(E1289&lt;=0,L1289=0),0,E1289-D1289),"")</f>
      </c>
      <c r="H1289" s="16" t="str">
        <f>IF(NOT(ISNUMBER(E1289)),"销量或海外库存待补",IF(OR(E1289&lt;=0,L1289=0),IF(L1289=0,"零日销，本批不发","本批无需补货"),IF(NOT(ISNUMBER(D1289)),"国内库存待补",IF(D1289=0,"国内无可用库存",IF(G1289&gt;0,"先发国内现货","按建议量发货")))))</f>
        <v>销量或海外库存待补</v>
      </c>
      <c r="I1289" s="28" t="n">
        <f>IF(AND(COUNT(Z1289,AA1289,AB1289)=3,Z1289&gt;=AA1289,AA1289&gt;=0,AB1289=7),Z1289-AA1289,"")</f>
        <v>0</v>
      </c>
      <c r="J1289" s="28" t="n">
        <f>IF(AND(COUNT(AF1289,AG1289,AH1289)=3,AF1289&gt;=AG1289,AG1289&gt;=0,AH1289=14),AF1289-AG1289,"")</f>
        <v>0</v>
      </c>
      <c r="K1289" s="28" t="n">
        <f>IF(AND(COUNT(AL1289,AM1289,AN1289)=3,AL1289&gt;=AM1289,AM1289&gt;=0,AN1289=30),AL1289-AM1289,"")</f>
        <v>0</v>
      </c>
      <c r="L1289" s="29" t="n">
        <f>IF(ISNUMBER(BI1289),BI1289/90,"")</f>
        <v>0</v>
      </c>
      <c r="M1289" s="28"/>
      <c r="N1289" s="28"/>
      <c r="O1289" s="28"/>
      <c r="P1289" s="30" t="str">
        <f>IF(AND(ISNUMBER(L1289),L1289&gt;0,COUNT(M1289:O1289)=3,MIN(M1289:O1289)&gt;=0),SUM(M1289:O1289)/L1289,"")</f>
      </c>
      <c r="Q1289" s="16" t="str">
        <v>新增SPU唯一在售店铺</v>
      </c>
      <c r="R1289" s="16" t="str">
        <v>未匹配</v>
      </c>
      <c r="S1289" s="16" t="str">
        <v>未匹配Listing</v>
      </c>
      <c r="T1289" s="16" t="str">
        <v>8392</v>
      </c>
      <c r="U1289" s="16" t="str">
        <v>灰色</v>
      </c>
      <c r="V1289" s="16" t="n">
        <v>9.5</v>
      </c>
      <c r="W1289" s="8" t="str">
        <v>2026-10-11 至 2026-10-17</v>
      </c>
      <c r="X1289" s="8" t="str">
        <v>2026-10-11、2026-10-12、2026-10-13、2026-10-14、2026-10-15、2026-10-16、2026-10-17</v>
      </c>
      <c r="Y1289" s="8" t="str">
        <v>无</v>
      </c>
      <c r="Z1289" s="8" t="n">
        <v>0</v>
      </c>
      <c r="AA1289" s="8" t="n">
        <v>0</v>
      </c>
      <c r="AB1289" s="8" t="n">
        <v>7</v>
      </c>
      <c r="AC1289" s="8" t="str">
        <v>2026-10-02 至 2026-10-17</v>
      </c>
      <c r="AD1289" s="8" t="str">
        <v>2026-10-02、2026-10-03、2026-10-04、2026-10-05、2026-10-08、2026-10-09、2026-10-10、2026-10-11、2026-10-12、2026-10-13、2026-10-14、2026-10-15、2026-10-16、2026-10-17</v>
      </c>
      <c r="AE1289" s="8" t="str">
        <v>2026-10-06 大促；2026-10-07 大促</v>
      </c>
      <c r="AF1289" s="8" t="n">
        <v>0</v>
      </c>
      <c r="AG1289" s="8" t="n">
        <v>0</v>
      </c>
      <c r="AH1289" s="8" t="n">
        <v>14</v>
      </c>
      <c r="AI1289" s="8" t="str">
        <v>2026-09-16 至 2026-10-17</v>
      </c>
      <c r="AJ128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89" s="8" t="str">
        <v>2026-10-06 大促；2026-10-07 大促</v>
      </c>
      <c r="AL1289" s="8" t="n">
        <v>0</v>
      </c>
      <c r="AM1289" s="8" t="n">
        <v>0</v>
      </c>
      <c r="AN1289" s="8" t="n">
        <v>30</v>
      </c>
      <c r="AO1289" s="8" t="str">
        <v>8392 / 灰色羊京绒 / 6574</v>
      </c>
      <c r="AP1289" s="11" t="n">
        <v>1.1743420411079069</v>
      </c>
      <c r="AQ1289" s="11" t="n">
        <v>1.1743420411079069</v>
      </c>
      <c r="AR1289" s="11" t="n">
        <v>1.144331424468921</v>
      </c>
      <c r="AS1289" s="11" t="n">
        <f>IF(AND(COUNT(I1289:K1289,AP1289:AR1289)=6,MIN(AP1289:AR1289)&gt;0),I1289/7/AP1289*0.5+J1289/14/AQ1289*0.3+K1289/30/AR1289*0.2,"")</f>
        <v>0</v>
      </c>
      <c r="AT1289" s="8" t="n">
        <v>0</v>
      </c>
      <c r="AU1289" s="8" t="n">
        <v>0</v>
      </c>
      <c r="AV1289" s="8" t="n">
        <v>88</v>
      </c>
      <c r="AW1289" s="11" t="n">
        <f>IF(AND(COUNT(AT1289:AV1289)=3,AT1289&gt;=AU1289,AU1289&gt;=0,AV1289&gt;0),(AT1289-AU1289)/AV1289,"")</f>
        <v>0</v>
      </c>
      <c r="AX1289" s="8" t="n">
        <v>0</v>
      </c>
      <c r="AY1289" s="8" t="n">
        <v>0</v>
      </c>
      <c r="AZ1289" s="8" t="n">
        <v>178</v>
      </c>
      <c r="BA1289" s="11" t="n">
        <f>IF(AND(COUNT(AX1289:AZ1289)=3,AX1289&gt;=AY1289,AY1289&gt;=0,AZ1289&gt;0),(AX1289-AY1289)/AZ1289,"")</f>
        <v>0</v>
      </c>
      <c r="BB1289" s="8" t="n">
        <f>IF(COUNT(AS1289,AW1289,BA1289)=3,1,0)</f>
        <v>1</v>
      </c>
      <c r="BC1289" s="11" t="n">
        <f>IF(SUMIF($AO$11:$AO$1309,AO1289,$BB$11:$BB$1309)=COUNTIF($AO$11:$AO$1309,AO1289),SUMIF($AO$11:$AO$1309,AO1289,$AS$11:$AS$1309),"")</f>
        <v>0</v>
      </c>
      <c r="BD1289" s="11" t="n">
        <f>IF(SUMIF($AO$11:$AO$1309,AO1289,$BB$11:$BB$1309)=COUNTIF($AO$11:$AO$1309,AO1289),SUMIF($AO$11:$AO$1309,AO1289,$AW$11:$AW$1309),"")</f>
        <v>0</v>
      </c>
      <c r="BE1289" s="11" t="n">
        <f>IF(SUMIF($AO$11:$AO$1309,AO1289,$BB$11:$BB$1309)=COUNTIF($AO$11:$AO$1309,AO1289),SUMIF($AO$11:$AO$1309,AO1289,$BA$11:$BA$1309),"")</f>
        <v>0.017142857142857144</v>
      </c>
      <c r="BF1289" s="12" t="n">
        <f>IF(COUNT(BD1289:BE1289)&lt;&gt;2,"",IF(AND(BD1289&gt;0,BE1289&gt;0),0.7*AW1289/BD1289+0.3*BA1289/BE1289,IF(BD1289&gt;0,AW1289/BD1289,IF(BE1289&gt;0,BA1289/BE1289,IF(AND(ISNUMBER(BH1289),BH1289=0),0,"")))))</f>
        <v>0</v>
      </c>
      <c r="BG1289" s="11" t="n">
        <f>IF(AND(COUNT(BN1289:BU1289)=8,MIN(BN1289:BU1289)&gt;=0),SUMPRODUCT(BN1289:BQ1289,BR1289:BU1289),"")</f>
        <v>96.68059267618935</v>
      </c>
      <c r="BH1289" s="11" t="n">
        <f>IF(COUNT(BC1289,BG1289)=2,BC1289*BG1289,"")</f>
        <v>0</v>
      </c>
      <c r="BI1289" s="11" t="n">
        <f>IF(ISNUMBER(CI1289),CI1289,"")</f>
        <v>0</v>
      </c>
      <c r="BJ1289" s="8" t="str">
        <v>近180天本色销量5双（＜90），无有效新采购，请运营判断</v>
      </c>
      <c r="BK1289" s="8" t="str">
        <v>90天：2026-07-20 至 2026-10-17；180天：2026-04-21 至 2026-10-17</v>
      </c>
      <c r="BL1289" s="8" t="str">
        <v>90天：2026-10-06、2026-10-07；180天：2026-10-06、2026-10-07</v>
      </c>
      <c r="BM1289" s="8" t="str">
        <v>2026-10：12天 × 1.1743420411079069；2026-11：30天 × 1.281694931279211；2026-12：31天 × 0.9007634642750235；2027-01：17天 × 0.9537631089407297</v>
      </c>
      <c r="BN1289" s="11" t="n">
        <v>1.1743420411079069</v>
      </c>
      <c r="BO1289" s="11" t="n">
        <v>1.281694931279211</v>
      </c>
      <c r="BP1289" s="11" t="n">
        <v>0.9007634642750235</v>
      </c>
      <c r="BQ1289" s="11" t="n">
        <v>0.9537631089407297</v>
      </c>
      <c r="BR1289" s="8" t="n">
        <v>12</v>
      </c>
      <c r="BS1289" s="8" t="n">
        <v>30</v>
      </c>
      <c r="BT1289" s="8" t="n">
        <v>31</v>
      </c>
      <c r="BU1289" s="8" t="n">
        <v>17</v>
      </c>
      <c r="BV1289" s="11" t="n">
        <f>IF(COUNT(BC1289,BF1289)=2,BC1289*BF1289,"")</f>
        <v>0</v>
      </c>
      <c r="BW1289" s="11" t="n">
        <f>IF(ISNUMBER(BN1289),BN1289,"")</f>
        <v>1.1743420411079069</v>
      </c>
      <c r="BX1289" s="14" t="n">
        <f>IF(ISNUMBER(BR1289),BR1289,"")</f>
        <v>12</v>
      </c>
      <c r="BY1289" s="13" t="n">
        <f>IF(AND(COUNT(BV1289,BW1289,BX1289)=3,MIN(BV1289,BW1289,BX1289)&gt;=0),BV1289*BW1289*BX1289,"")</f>
        <v>0</v>
      </c>
      <c r="BZ1289" s="11" t="n">
        <f>IF(ISNUMBER(BO1289),BO1289,"")</f>
        <v>1.281694931279211</v>
      </c>
      <c r="CA1289" s="14" t="n">
        <f>IF(ISNUMBER(BS1289),BS1289,"")</f>
        <v>30</v>
      </c>
      <c r="CB1289" s="13" t="n">
        <f>IF(AND(COUNT(BV1289,BZ1289,CA1289)=3,MIN(BV1289,BZ1289,CA1289)&gt;=0),BV1289*BZ1289*CA1289,"")</f>
        <v>0</v>
      </c>
      <c r="CC1289" s="11" t="n">
        <f>IF(ISNUMBER(BP1289),BP1289,"")</f>
        <v>0.9007634642750235</v>
      </c>
      <c r="CD1289" s="14" t="n">
        <f>IF(ISNUMBER(BT1289),BT1289,"")</f>
        <v>31</v>
      </c>
      <c r="CE1289" s="13" t="n">
        <f>IF(AND(COUNT(BV1289,CC1289,CD1289)=3,MIN(BV1289,CC1289,CD1289)&gt;=0),BV1289*CC1289*CD1289,"")</f>
        <v>0</v>
      </c>
      <c r="CF1289" s="11" t="n">
        <f>IF(ISNUMBER(BQ1289),BQ1289,"")</f>
        <v>0.9537631089407297</v>
      </c>
      <c r="CG1289" s="14" t="n">
        <f>IF(ISNUMBER(BU1289),BU1289,"")</f>
        <v>17</v>
      </c>
      <c r="CH1289" s="13" t="n">
        <f>IF(AND(COUNT(BV1289,CF1289,CG1289)=3,MIN(BV1289,CF1289,CG1289)&gt;=0),BV1289*CF1289*CG1289,"")</f>
        <v>0</v>
      </c>
      <c r="CI1289" s="13" t="n">
        <f>IF(COUNT(BY1289,CB1289,CE1289,CH1289)=4,SUM(BY1289,CB1289,CE1289,CH1289),"")</f>
        <v>0</v>
      </c>
    </row>
    <row r="1290" ht="72" customHeight="1">
      <c r="A1290" s="16" t="str">
        <v>8392-GY-S-K-41.5</v>
      </c>
      <c r="B1290" s="16" t="str">
        <v>3店-SANDIEX-US</v>
      </c>
      <c r="C1290" s="16" t="str">
        <v>徐新怡</v>
      </c>
      <c r="D1290" s="26" t="str">
        <f>IF(NOT(ISNUMBER(E1290)),"",IF(OR(E1290&lt;=0,L1290=0),0,IF(OR(NOT(ISNUMBER(F1290)),F1290&lt;0),"",MIN(E1290,INT(F1290)))))</f>
      </c>
      <c r="E1290" s="27" t="str">
        <f>IF(OR(NOT(ISNUMBER(L1290)),COUNT(M1290:O1290)&lt;&gt;3,MIN(M1290:O1290)&lt;0),"",ROUNDUP(ROUND(BI1290-SUM(M1290:O1290),10),0))</f>
      </c>
      <c r="F1290" s="28"/>
      <c r="G1290" s="28" t="str">
        <f>IF(AND(ISNUMBER(D1290),ISNUMBER(E1290)),IF(OR(E1290&lt;=0,L1290=0),0,E1290-D1290),"")</f>
      </c>
      <c r="H1290" s="16" t="str">
        <f>IF(NOT(ISNUMBER(E1290)),"销量或海外库存待补",IF(OR(E1290&lt;=0,L1290=0),IF(L1290=0,"零日销，本批不发","本批无需补货"),IF(NOT(ISNUMBER(D1290)),"国内库存待补",IF(D1290=0,"国内无可用库存",IF(G1290&gt;0,"先发国内现货","按建议量发货")))))</f>
        <v>销量或海外库存待补</v>
      </c>
      <c r="I1290" s="28" t="n">
        <f>IF(AND(COUNT(Z1290,AA1290,AB1290)=3,Z1290&gt;=AA1290,AA1290&gt;=0,AB1290=7),Z1290-AA1290,"")</f>
        <v>0</v>
      </c>
      <c r="J1290" s="28" t="n">
        <f>IF(AND(COUNT(AF1290,AG1290,AH1290)=3,AF1290&gt;=AG1290,AG1290&gt;=0,AH1290=14),AF1290-AG1290,"")</f>
        <v>0</v>
      </c>
      <c r="K1290" s="28" t="n">
        <f>IF(AND(COUNT(AL1290,AM1290,AN1290)=3,AL1290&gt;=AM1290,AM1290&gt;=0,AN1290=30),AL1290-AM1290,"")</f>
        <v>0</v>
      </c>
      <c r="L1290" s="29" t="n">
        <f>IF(ISNUMBER(BI1290),BI1290/90,"")</f>
        <v>0</v>
      </c>
      <c r="M1290" s="28"/>
      <c r="N1290" s="28"/>
      <c r="O1290" s="28"/>
      <c r="P1290" s="30" t="str">
        <f>IF(AND(ISNUMBER(L1290),L1290&gt;0,COUNT(M1290:O1290)=3,MIN(M1290:O1290)&gt;=0),SUM(M1290:O1290)/L1290,"")</f>
      </c>
      <c r="Q1290" s="16" t="str">
        <v>新增SPU唯一在售店铺</v>
      </c>
      <c r="R1290" s="16" t="str">
        <v>未匹配</v>
      </c>
      <c r="S1290" s="16" t="str">
        <v>未匹配Listing</v>
      </c>
      <c r="T1290" s="16" t="str">
        <v>8392</v>
      </c>
      <c r="U1290" s="16" t="str">
        <v>灰色</v>
      </c>
      <c r="V1290" s="16" t="n">
        <v>10.5</v>
      </c>
      <c r="W1290" s="8" t="str">
        <v>2026-10-11 至 2026-10-17</v>
      </c>
      <c r="X1290" s="8" t="str">
        <v>2026-10-11、2026-10-12、2026-10-13、2026-10-14、2026-10-15、2026-10-16、2026-10-17</v>
      </c>
      <c r="Y1290" s="8" t="str">
        <v>无</v>
      </c>
      <c r="Z1290" s="8" t="n">
        <v>0</v>
      </c>
      <c r="AA1290" s="8" t="n">
        <v>0</v>
      </c>
      <c r="AB1290" s="8" t="n">
        <v>7</v>
      </c>
      <c r="AC1290" s="8" t="str">
        <v>2026-10-02 至 2026-10-17</v>
      </c>
      <c r="AD1290" s="8" t="str">
        <v>2026-10-02、2026-10-03、2026-10-04、2026-10-05、2026-10-08、2026-10-09、2026-10-10、2026-10-11、2026-10-12、2026-10-13、2026-10-14、2026-10-15、2026-10-16、2026-10-17</v>
      </c>
      <c r="AE1290" s="8" t="str">
        <v>2026-10-06 大促；2026-10-07 大促</v>
      </c>
      <c r="AF1290" s="8" t="n">
        <v>0</v>
      </c>
      <c r="AG1290" s="8" t="n">
        <v>0</v>
      </c>
      <c r="AH1290" s="8" t="n">
        <v>14</v>
      </c>
      <c r="AI1290" s="8" t="str">
        <v>2026-09-16 至 2026-10-17</v>
      </c>
      <c r="AJ129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0" s="8" t="str">
        <v>2026-10-06 大促；2026-10-07 大促</v>
      </c>
      <c r="AL1290" s="8" t="n">
        <v>0</v>
      </c>
      <c r="AM1290" s="8" t="n">
        <v>0</v>
      </c>
      <c r="AN1290" s="8" t="n">
        <v>30</v>
      </c>
      <c r="AO1290" s="8" t="str">
        <v>8392 / 灰色羊京绒 / 6574</v>
      </c>
      <c r="AP1290" s="11" t="n">
        <v>1.1743420411079069</v>
      </c>
      <c r="AQ1290" s="11" t="n">
        <v>1.1743420411079069</v>
      </c>
      <c r="AR1290" s="11" t="n">
        <v>1.144331424468921</v>
      </c>
      <c r="AS1290" s="11" t="n">
        <f>IF(AND(COUNT(I1290:K1290,AP1290:AR1290)=6,MIN(AP1290:AR1290)&gt;0),I1290/7/AP1290*0.5+J1290/14/AQ1290*0.3+K1290/30/AR1290*0.2,"")</f>
        <v>0</v>
      </c>
      <c r="AT1290" s="8" t="n">
        <v>0</v>
      </c>
      <c r="AU1290" s="8" t="n">
        <v>0</v>
      </c>
      <c r="AV1290" s="8" t="n">
        <v>88</v>
      </c>
      <c r="AW1290" s="11" t="n">
        <f>IF(AND(COUNT(AT1290:AV1290)=3,AT1290&gt;=AU1290,AU1290&gt;=0,AV1290&gt;0),(AT1290-AU1290)/AV1290,"")</f>
        <v>0</v>
      </c>
      <c r="AX1290" s="8" t="n">
        <v>0</v>
      </c>
      <c r="AY1290" s="8" t="n">
        <v>0</v>
      </c>
      <c r="AZ1290" s="8" t="n">
        <v>178</v>
      </c>
      <c r="BA1290" s="11" t="n">
        <f>IF(AND(COUNT(AX1290:AZ1290)=3,AX1290&gt;=AY1290,AY1290&gt;=0,AZ1290&gt;0),(AX1290-AY1290)/AZ1290,"")</f>
        <v>0</v>
      </c>
      <c r="BB1290" s="8" t="n">
        <f>IF(COUNT(AS1290,AW1290,BA1290)=3,1,0)</f>
        <v>1</v>
      </c>
      <c r="BC1290" s="11" t="n">
        <f>IF(SUMIF($AO$11:$AO$1309,AO1290,$BB$11:$BB$1309)=COUNTIF($AO$11:$AO$1309,AO1290),SUMIF($AO$11:$AO$1309,AO1290,$AS$11:$AS$1309),"")</f>
        <v>0</v>
      </c>
      <c r="BD1290" s="11" t="n">
        <f>IF(SUMIF($AO$11:$AO$1309,AO1290,$BB$11:$BB$1309)=COUNTIF($AO$11:$AO$1309,AO1290),SUMIF($AO$11:$AO$1309,AO1290,$AW$11:$AW$1309),"")</f>
        <v>0</v>
      </c>
      <c r="BE1290" s="11" t="n">
        <f>IF(SUMIF($AO$11:$AO$1309,AO1290,$BB$11:$BB$1309)=COUNTIF($AO$11:$AO$1309,AO1290),SUMIF($AO$11:$AO$1309,AO1290,$BA$11:$BA$1309),"")</f>
        <v>0.017142857142857144</v>
      </c>
      <c r="BF1290" s="12" t="n">
        <f>IF(COUNT(BD1290:BE1290)&lt;&gt;2,"",IF(AND(BD1290&gt;0,BE1290&gt;0),0.7*AW1290/BD1290+0.3*BA1290/BE1290,IF(BD1290&gt;0,AW1290/BD1290,IF(BE1290&gt;0,BA1290/BE1290,IF(AND(ISNUMBER(BH1290),BH1290=0),0,"")))))</f>
        <v>0</v>
      </c>
      <c r="BG1290" s="11" t="n">
        <f>IF(AND(COUNT(BN1290:BU1290)=8,MIN(BN1290:BU1290)&gt;=0),SUMPRODUCT(BN1290:BQ1290,BR1290:BU1290),"")</f>
        <v>96.68059267618935</v>
      </c>
      <c r="BH1290" s="11" t="n">
        <f>IF(COUNT(BC1290,BG1290)=2,BC1290*BG1290,"")</f>
        <v>0</v>
      </c>
      <c r="BI1290" s="11" t="n">
        <f>IF(ISNUMBER(CI1290),CI1290,"")</f>
        <v>0</v>
      </c>
      <c r="BJ1290" s="8" t="str">
        <v>近180天本色销量5双（＜90），无有效新采购，请运营判断</v>
      </c>
      <c r="BK1290" s="8" t="str">
        <v>90天：2026-07-20 至 2026-10-17；180天：2026-04-21 至 2026-10-17</v>
      </c>
      <c r="BL1290" s="8" t="str">
        <v>90天：2026-10-06、2026-10-07；180天：2026-10-06、2026-10-07</v>
      </c>
      <c r="BM1290" s="8" t="str">
        <v>2026-10：12天 × 1.1743420411079069；2026-11：30天 × 1.281694931279211；2026-12：31天 × 0.9007634642750235；2027-01：17天 × 0.9537631089407297</v>
      </c>
      <c r="BN1290" s="11" t="n">
        <v>1.1743420411079069</v>
      </c>
      <c r="BO1290" s="11" t="n">
        <v>1.281694931279211</v>
      </c>
      <c r="BP1290" s="11" t="n">
        <v>0.9007634642750235</v>
      </c>
      <c r="BQ1290" s="11" t="n">
        <v>0.9537631089407297</v>
      </c>
      <c r="BR1290" s="8" t="n">
        <v>12</v>
      </c>
      <c r="BS1290" s="8" t="n">
        <v>30</v>
      </c>
      <c r="BT1290" s="8" t="n">
        <v>31</v>
      </c>
      <c r="BU1290" s="8" t="n">
        <v>17</v>
      </c>
      <c r="BV1290" s="11" t="n">
        <f>IF(COUNT(BC1290,BF1290)=2,BC1290*BF1290,"")</f>
        <v>0</v>
      </c>
      <c r="BW1290" s="11" t="n">
        <f>IF(ISNUMBER(BN1290),BN1290,"")</f>
        <v>1.1743420411079069</v>
      </c>
      <c r="BX1290" s="14" t="n">
        <f>IF(ISNUMBER(BR1290),BR1290,"")</f>
        <v>12</v>
      </c>
      <c r="BY1290" s="13" t="n">
        <f>IF(AND(COUNT(BV1290,BW1290,BX1290)=3,MIN(BV1290,BW1290,BX1290)&gt;=0),BV1290*BW1290*BX1290,"")</f>
        <v>0</v>
      </c>
      <c r="BZ1290" s="11" t="n">
        <f>IF(ISNUMBER(BO1290),BO1290,"")</f>
        <v>1.281694931279211</v>
      </c>
      <c r="CA1290" s="14" t="n">
        <f>IF(ISNUMBER(BS1290),BS1290,"")</f>
        <v>30</v>
      </c>
      <c r="CB1290" s="13" t="n">
        <f>IF(AND(COUNT(BV1290,BZ1290,CA1290)=3,MIN(BV1290,BZ1290,CA1290)&gt;=0),BV1290*BZ1290*CA1290,"")</f>
        <v>0</v>
      </c>
      <c r="CC1290" s="11" t="n">
        <f>IF(ISNUMBER(BP1290),BP1290,"")</f>
        <v>0.9007634642750235</v>
      </c>
      <c r="CD1290" s="14" t="n">
        <f>IF(ISNUMBER(BT1290),BT1290,"")</f>
        <v>31</v>
      </c>
      <c r="CE1290" s="13" t="n">
        <f>IF(AND(COUNT(BV1290,CC1290,CD1290)=3,MIN(BV1290,CC1290,CD1290)&gt;=0),BV1290*CC1290*CD1290,"")</f>
        <v>0</v>
      </c>
      <c r="CF1290" s="11" t="n">
        <f>IF(ISNUMBER(BQ1290),BQ1290,"")</f>
        <v>0.9537631089407297</v>
      </c>
      <c r="CG1290" s="14" t="n">
        <f>IF(ISNUMBER(BU1290),BU1290,"")</f>
        <v>17</v>
      </c>
      <c r="CH1290" s="13" t="n">
        <f>IF(AND(COUNT(BV1290,CF1290,CG1290)=3,MIN(BV1290,CF1290,CG1290)&gt;=0),BV1290*CF1290*CG1290,"")</f>
        <v>0</v>
      </c>
      <c r="CI1290" s="13" t="n">
        <f>IF(COUNT(BY1290,CB1290,CE1290,CH1290)=4,SUM(BY1290,CB1290,CE1290,CH1290),"")</f>
        <v>0</v>
      </c>
    </row>
    <row r="1291" ht="72" customHeight="1">
      <c r="A1291" s="16" t="str">
        <v>8392-GY-S-K-42</v>
      </c>
      <c r="B1291" s="16" t="str">
        <v>3店-SANDIEX-US</v>
      </c>
      <c r="C1291" s="16" t="str">
        <v>徐新怡</v>
      </c>
      <c r="D1291" s="26" t="str">
        <f>IF(NOT(ISNUMBER(E1291)),"",IF(OR(E1291&lt;=0,L1291=0),0,IF(OR(NOT(ISNUMBER(F1291)),F1291&lt;0),"",MIN(E1291,INT(F1291)))))</f>
      </c>
      <c r="E1291" s="27" t="str">
        <f>IF(OR(NOT(ISNUMBER(L1291)),COUNT(M1291:O1291)&lt;&gt;3,MIN(M1291:O1291)&lt;0),"",ROUNDUP(ROUND(BI1291-SUM(M1291:O1291),10),0))</f>
      </c>
      <c r="F1291" s="28"/>
      <c r="G1291" s="28" t="str">
        <f>IF(AND(ISNUMBER(D1291),ISNUMBER(E1291)),IF(OR(E1291&lt;=0,L1291=0),0,E1291-D1291),"")</f>
      </c>
      <c r="H1291" s="16" t="str">
        <f>IF(NOT(ISNUMBER(E1291)),"销量或海外库存待补",IF(OR(E1291&lt;=0,L1291=0),IF(L1291=0,"零日销，本批不发","本批无需补货"),IF(NOT(ISNUMBER(D1291)),"国内库存待补",IF(D1291=0,"国内无可用库存",IF(G1291&gt;0,"先发国内现货","按建议量发货")))))</f>
        <v>销量或海外库存待补</v>
      </c>
      <c r="I1291" s="28" t="n">
        <f>IF(AND(COUNT(Z1291,AA1291,AB1291)=3,Z1291&gt;=AA1291,AA1291&gt;=0,AB1291=7),Z1291-AA1291,"")</f>
        <v>0</v>
      </c>
      <c r="J1291" s="28" t="n">
        <f>IF(AND(COUNT(AF1291,AG1291,AH1291)=3,AF1291&gt;=AG1291,AG1291&gt;=0,AH1291=14),AF1291-AG1291,"")</f>
        <v>0</v>
      </c>
      <c r="K1291" s="28" t="n">
        <f>IF(AND(COUNT(AL1291,AM1291,AN1291)=3,AL1291&gt;=AM1291,AM1291&gt;=0,AN1291=30),AL1291-AM1291,"")</f>
        <v>0</v>
      </c>
      <c r="L1291" s="29" t="n">
        <f>IF(ISNUMBER(BI1291),BI1291/90,"")</f>
        <v>0</v>
      </c>
      <c r="M1291" s="28"/>
      <c r="N1291" s="28"/>
      <c r="O1291" s="28"/>
      <c r="P1291" s="30" t="str">
        <f>IF(AND(ISNUMBER(L1291),L1291&gt;0,COUNT(M1291:O1291)=3,MIN(M1291:O1291)&gt;=0),SUM(M1291:O1291)/L1291,"")</f>
      </c>
      <c r="Q1291" s="16" t="str">
        <v>新增SPU唯一在售店铺</v>
      </c>
      <c r="R1291" s="16" t="str">
        <v>未匹配</v>
      </c>
      <c r="S1291" s="16" t="str">
        <v>未匹配Listing</v>
      </c>
      <c r="T1291" s="16" t="str">
        <v>8392</v>
      </c>
      <c r="U1291" s="16" t="str">
        <v>灰色</v>
      </c>
      <c r="V1291" s="16" t="n">
        <v>11</v>
      </c>
      <c r="W1291" s="8" t="str">
        <v>2026-10-11 至 2026-10-17</v>
      </c>
      <c r="X1291" s="8" t="str">
        <v>2026-10-11、2026-10-12、2026-10-13、2026-10-14、2026-10-15、2026-10-16、2026-10-17</v>
      </c>
      <c r="Y1291" s="8" t="str">
        <v>无</v>
      </c>
      <c r="Z1291" s="8" t="n">
        <v>0</v>
      </c>
      <c r="AA1291" s="8" t="n">
        <v>0</v>
      </c>
      <c r="AB1291" s="8" t="n">
        <v>7</v>
      </c>
      <c r="AC1291" s="8" t="str">
        <v>2026-10-02 至 2026-10-17</v>
      </c>
      <c r="AD1291" s="8" t="str">
        <v>2026-10-02、2026-10-03、2026-10-04、2026-10-05、2026-10-08、2026-10-09、2026-10-10、2026-10-11、2026-10-12、2026-10-13、2026-10-14、2026-10-15、2026-10-16、2026-10-17</v>
      </c>
      <c r="AE1291" s="8" t="str">
        <v>2026-10-06 大促；2026-10-07 大促</v>
      </c>
      <c r="AF1291" s="8" t="n">
        <v>0</v>
      </c>
      <c r="AG1291" s="8" t="n">
        <v>0</v>
      </c>
      <c r="AH1291" s="8" t="n">
        <v>14</v>
      </c>
      <c r="AI1291" s="8" t="str">
        <v>2026-09-16 至 2026-10-17</v>
      </c>
      <c r="AJ129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1" s="8" t="str">
        <v>2026-10-06 大促；2026-10-07 大促</v>
      </c>
      <c r="AL1291" s="8" t="n">
        <v>0</v>
      </c>
      <c r="AM1291" s="8" t="n">
        <v>0</v>
      </c>
      <c r="AN1291" s="8" t="n">
        <v>30</v>
      </c>
      <c r="AO1291" s="8" t="str">
        <v>8392 / 灰色羊京绒 / 6574</v>
      </c>
      <c r="AP1291" s="11" t="n">
        <v>1.1743420411079069</v>
      </c>
      <c r="AQ1291" s="11" t="n">
        <v>1.1743420411079069</v>
      </c>
      <c r="AR1291" s="11" t="n">
        <v>1.144331424468921</v>
      </c>
      <c r="AS1291" s="11" t="n">
        <f>IF(AND(COUNT(I1291:K1291,AP1291:AR1291)=6,MIN(AP1291:AR1291)&gt;0),I1291/7/AP1291*0.5+J1291/14/AQ1291*0.3+K1291/30/AR1291*0.2,"")</f>
        <v>0</v>
      </c>
      <c r="AT1291" s="8" t="n">
        <v>0</v>
      </c>
      <c r="AU1291" s="8" t="n">
        <v>0</v>
      </c>
      <c r="AV1291" s="8" t="n">
        <v>88</v>
      </c>
      <c r="AW1291" s="11" t="n">
        <f>IF(AND(COUNT(AT1291:AV1291)=3,AT1291&gt;=AU1291,AU1291&gt;=0,AV1291&gt;0),(AT1291-AU1291)/AV1291,"")</f>
        <v>0</v>
      </c>
      <c r="AX1291" s="8" t="n">
        <v>0</v>
      </c>
      <c r="AY1291" s="8" t="n">
        <v>0</v>
      </c>
      <c r="AZ1291" s="8" t="n">
        <v>178</v>
      </c>
      <c r="BA1291" s="11" t="n">
        <f>IF(AND(COUNT(AX1291:AZ1291)=3,AX1291&gt;=AY1291,AY1291&gt;=0,AZ1291&gt;0),(AX1291-AY1291)/AZ1291,"")</f>
        <v>0</v>
      </c>
      <c r="BB1291" s="8" t="n">
        <f>IF(COUNT(AS1291,AW1291,BA1291)=3,1,0)</f>
        <v>1</v>
      </c>
      <c r="BC1291" s="11" t="n">
        <f>IF(SUMIF($AO$11:$AO$1309,AO1291,$BB$11:$BB$1309)=COUNTIF($AO$11:$AO$1309,AO1291),SUMIF($AO$11:$AO$1309,AO1291,$AS$11:$AS$1309),"")</f>
        <v>0</v>
      </c>
      <c r="BD1291" s="11" t="n">
        <f>IF(SUMIF($AO$11:$AO$1309,AO1291,$BB$11:$BB$1309)=COUNTIF($AO$11:$AO$1309,AO1291),SUMIF($AO$11:$AO$1309,AO1291,$AW$11:$AW$1309),"")</f>
        <v>0</v>
      </c>
      <c r="BE1291" s="11" t="n">
        <f>IF(SUMIF($AO$11:$AO$1309,AO1291,$BB$11:$BB$1309)=COUNTIF($AO$11:$AO$1309,AO1291),SUMIF($AO$11:$AO$1309,AO1291,$BA$11:$BA$1309),"")</f>
        <v>0.017142857142857144</v>
      </c>
      <c r="BF1291" s="12" t="n">
        <f>IF(COUNT(BD1291:BE1291)&lt;&gt;2,"",IF(AND(BD1291&gt;0,BE1291&gt;0),0.7*AW1291/BD1291+0.3*BA1291/BE1291,IF(BD1291&gt;0,AW1291/BD1291,IF(BE1291&gt;0,BA1291/BE1291,IF(AND(ISNUMBER(BH1291),BH1291=0),0,"")))))</f>
        <v>0</v>
      </c>
      <c r="BG1291" s="11" t="n">
        <f>IF(AND(COUNT(BN1291:BU1291)=8,MIN(BN1291:BU1291)&gt;=0),SUMPRODUCT(BN1291:BQ1291,BR1291:BU1291),"")</f>
        <v>96.68059267618935</v>
      </c>
      <c r="BH1291" s="11" t="n">
        <f>IF(COUNT(BC1291,BG1291)=2,BC1291*BG1291,"")</f>
        <v>0</v>
      </c>
      <c r="BI1291" s="11" t="n">
        <f>IF(ISNUMBER(CI1291),CI1291,"")</f>
        <v>0</v>
      </c>
      <c r="BJ1291" s="8" t="str">
        <v>近180天本色销量5双（＜90），无有效新采购，请运营判断</v>
      </c>
      <c r="BK1291" s="8" t="str">
        <v>90天：2026-07-20 至 2026-10-17；180天：2026-04-21 至 2026-10-17</v>
      </c>
      <c r="BL1291" s="8" t="str">
        <v>90天：2026-10-06、2026-10-07；180天：2026-10-06、2026-10-07</v>
      </c>
      <c r="BM1291" s="8" t="str">
        <v>2026-10：12天 × 1.1743420411079069；2026-11：30天 × 1.281694931279211；2026-12：31天 × 0.9007634642750235；2027-01：17天 × 0.9537631089407297</v>
      </c>
      <c r="BN1291" s="11" t="n">
        <v>1.1743420411079069</v>
      </c>
      <c r="BO1291" s="11" t="n">
        <v>1.281694931279211</v>
      </c>
      <c r="BP1291" s="11" t="n">
        <v>0.9007634642750235</v>
      </c>
      <c r="BQ1291" s="11" t="n">
        <v>0.9537631089407297</v>
      </c>
      <c r="BR1291" s="8" t="n">
        <v>12</v>
      </c>
      <c r="BS1291" s="8" t="n">
        <v>30</v>
      </c>
      <c r="BT1291" s="8" t="n">
        <v>31</v>
      </c>
      <c r="BU1291" s="8" t="n">
        <v>17</v>
      </c>
      <c r="BV1291" s="11" t="n">
        <f>IF(COUNT(BC1291,BF1291)=2,BC1291*BF1291,"")</f>
        <v>0</v>
      </c>
      <c r="BW1291" s="11" t="n">
        <f>IF(ISNUMBER(BN1291),BN1291,"")</f>
        <v>1.1743420411079069</v>
      </c>
      <c r="BX1291" s="14" t="n">
        <f>IF(ISNUMBER(BR1291),BR1291,"")</f>
        <v>12</v>
      </c>
      <c r="BY1291" s="13" t="n">
        <f>IF(AND(COUNT(BV1291,BW1291,BX1291)=3,MIN(BV1291,BW1291,BX1291)&gt;=0),BV1291*BW1291*BX1291,"")</f>
        <v>0</v>
      </c>
      <c r="BZ1291" s="11" t="n">
        <f>IF(ISNUMBER(BO1291),BO1291,"")</f>
        <v>1.281694931279211</v>
      </c>
      <c r="CA1291" s="14" t="n">
        <f>IF(ISNUMBER(BS1291),BS1291,"")</f>
        <v>30</v>
      </c>
      <c r="CB1291" s="13" t="n">
        <f>IF(AND(COUNT(BV1291,BZ1291,CA1291)=3,MIN(BV1291,BZ1291,CA1291)&gt;=0),BV1291*BZ1291*CA1291,"")</f>
        <v>0</v>
      </c>
      <c r="CC1291" s="11" t="n">
        <f>IF(ISNUMBER(BP1291),BP1291,"")</f>
        <v>0.9007634642750235</v>
      </c>
      <c r="CD1291" s="14" t="n">
        <f>IF(ISNUMBER(BT1291),BT1291,"")</f>
        <v>31</v>
      </c>
      <c r="CE1291" s="13" t="n">
        <f>IF(AND(COUNT(BV1291,CC1291,CD1291)=3,MIN(BV1291,CC1291,CD1291)&gt;=0),BV1291*CC1291*CD1291,"")</f>
        <v>0</v>
      </c>
      <c r="CF1291" s="11" t="n">
        <f>IF(ISNUMBER(BQ1291),BQ1291,"")</f>
        <v>0.9537631089407297</v>
      </c>
      <c r="CG1291" s="14" t="n">
        <f>IF(ISNUMBER(BU1291),BU1291,"")</f>
        <v>17</v>
      </c>
      <c r="CH1291" s="13" t="n">
        <f>IF(AND(COUNT(BV1291,CF1291,CG1291)=3,MIN(BV1291,CF1291,CG1291)&gt;=0),BV1291*CF1291*CG1291,"")</f>
        <v>0</v>
      </c>
      <c r="CI1291" s="13" t="n">
        <f>IF(COUNT(BY1291,CB1291,CE1291,CH1291)=4,SUM(BY1291,CB1291,CE1291,CH1291),"")</f>
        <v>0</v>
      </c>
    </row>
    <row r="1292" ht="72" customHeight="1">
      <c r="A1292" s="16" t="str">
        <v>8392-LP-37.5</v>
      </c>
      <c r="B1292" s="16" t="str">
        <v>3店-SANDIEX-US</v>
      </c>
      <c r="C1292" s="16" t="str">
        <v>徐新怡</v>
      </c>
      <c r="D1292" s="26" t="str">
        <f>IF(NOT(ISNUMBER(E1292)),"",IF(OR(E1292&lt;=0,L1292=0),0,IF(OR(NOT(ISNUMBER(F1292)),F1292&lt;0),"",MIN(E1292,INT(F1292)))))</f>
      </c>
      <c r="E1292" s="27" t="str">
        <f>IF(OR(NOT(ISNUMBER(L1292)),COUNT(M1292:O1292)&lt;&gt;3,MIN(M1292:O1292)&lt;0),"",ROUNDUP(ROUND(BI1292-SUM(M1292:O1292),10),0))</f>
      </c>
      <c r="F1292" s="28" t="n">
        <v>0</v>
      </c>
      <c r="G1292" s="28" t="str">
        <f>IF(AND(ISNUMBER(D1292),ISNUMBER(E1292)),IF(OR(E1292&lt;=0,L1292=0),0,E1292-D1292),"")</f>
      </c>
      <c r="H1292" s="16" t="str">
        <f>IF(NOT(ISNUMBER(E1292)),"销量或海外库存待补",IF(OR(E1292&lt;=0,L1292=0),IF(L1292=0,"零日销，本批不发","本批无需补货"),IF(NOT(ISNUMBER(D1292)),"国内库存待补",IF(D1292=0,"国内无可用库存",IF(G1292&gt;0,"先发国内现货","按建议量发货")))))</f>
        <v>销量或海外库存待补</v>
      </c>
      <c r="I1292" s="28" t="n">
        <f>IF(AND(COUNT(Z1292,AA1292,AB1292)=3,Z1292&gt;=AA1292,AA1292&gt;=0,AB1292=7),Z1292-AA1292,"")</f>
        <v>0</v>
      </c>
      <c r="J1292" s="28" t="n">
        <f>IF(AND(COUNT(AF1292,AG1292,AH1292)=3,AF1292&gt;=AG1292,AG1292&gt;=0,AH1292=14),AF1292-AG1292,"")</f>
        <v>0</v>
      </c>
      <c r="K1292" s="28" t="n">
        <f>IF(AND(COUNT(AL1292,AM1292,AN1292)=3,AL1292&gt;=AM1292,AM1292&gt;=0,AN1292=30),AL1292-AM1292,"")</f>
        <v>0</v>
      </c>
      <c r="L1292" s="29" t="n">
        <f>IF(ISNUMBER(BI1292),BI1292/90,"")</f>
        <v>0</v>
      </c>
      <c r="M1292" s="28"/>
      <c r="N1292" s="28"/>
      <c r="O1292" s="28"/>
      <c r="P1292" s="30" t="str">
        <f>IF(AND(ISNUMBER(L1292),L1292&gt;0,COUNT(M1292:O1292)=3,MIN(M1292:O1292)&gt;=0),SUM(M1292:O1292)/L1292,"")</f>
      </c>
      <c r="Q1292" s="16" t="str">
        <v>新增SPU唯一在售店铺</v>
      </c>
      <c r="R1292" s="16" t="str">
        <v>已匹配</v>
      </c>
      <c r="S1292" s="16" t="str">
        <v>未匹配Listing</v>
      </c>
      <c r="T1292" s="16" t="str">
        <v>8392</v>
      </c>
      <c r="U1292" s="16" t="str">
        <v>豹纹</v>
      </c>
      <c r="V1292" s="16" t="n">
        <v>6.5</v>
      </c>
      <c r="W1292" s="8" t="str">
        <v>2026-10-11 至 2026-10-17</v>
      </c>
      <c r="X1292" s="8" t="str">
        <v>2026-10-11、2026-10-12、2026-10-13、2026-10-14、2026-10-15、2026-10-16、2026-10-17</v>
      </c>
      <c r="Y1292" s="8" t="str">
        <v>无</v>
      </c>
      <c r="Z1292" s="8" t="n">
        <v>0</v>
      </c>
      <c r="AA1292" s="8" t="n">
        <v>0</v>
      </c>
      <c r="AB1292" s="8" t="n">
        <v>7</v>
      </c>
      <c r="AC1292" s="8" t="str">
        <v>2026-10-02 至 2026-10-17</v>
      </c>
      <c r="AD1292" s="8" t="str">
        <v>2026-10-02、2026-10-03、2026-10-04、2026-10-05、2026-10-08、2026-10-09、2026-10-10、2026-10-11、2026-10-12、2026-10-13、2026-10-14、2026-10-15、2026-10-16、2026-10-17</v>
      </c>
      <c r="AE1292" s="8" t="str">
        <v>2026-10-06 大促；2026-10-07 大促</v>
      </c>
      <c r="AF1292" s="8" t="n">
        <v>0</v>
      </c>
      <c r="AG1292" s="8" t="n">
        <v>0</v>
      </c>
      <c r="AH1292" s="8" t="n">
        <v>14</v>
      </c>
      <c r="AI1292" s="8" t="str">
        <v>2026-09-16 至 2026-10-17</v>
      </c>
      <c r="AJ129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2" s="8" t="str">
        <v>2026-10-06 大促；2026-10-07 大促</v>
      </c>
      <c r="AL1292" s="8" t="n">
        <v>0</v>
      </c>
      <c r="AM1292" s="8" t="n">
        <v>0</v>
      </c>
      <c r="AN1292" s="8" t="n">
        <v>30</v>
      </c>
      <c r="AO1292" s="8" t="str">
        <v>8392 / 豹纹羊京绒 / 6574</v>
      </c>
      <c r="AP1292" s="11" t="n">
        <v>1.1743420411079069</v>
      </c>
      <c r="AQ1292" s="11" t="n">
        <v>1.1743420411079069</v>
      </c>
      <c r="AR1292" s="11" t="n">
        <v>1.144331424468921</v>
      </c>
      <c r="AS1292" s="11" t="n">
        <f>IF(AND(COUNT(I1292:K1292,AP1292:AR1292)=6,MIN(AP1292:AR1292)&gt;0),I1292/7/AP1292*0.5+J1292/14/AQ1292*0.3+K1292/30/AR1292*0.2,"")</f>
        <v>0</v>
      </c>
      <c r="AT1292" s="8" t="n">
        <v>0</v>
      </c>
      <c r="AU1292" s="8" t="n">
        <v>0</v>
      </c>
      <c r="AV1292" s="8" t="n">
        <v>88</v>
      </c>
      <c r="AW1292" s="11" t="n">
        <f>IF(AND(COUNT(AT1292:AV1292)=3,AT1292&gt;=AU1292,AU1292&gt;=0,AV1292&gt;0),(AT1292-AU1292)/AV1292,"")</f>
        <v>0</v>
      </c>
      <c r="AX1292" s="8" t="n">
        <v>0</v>
      </c>
      <c r="AY1292" s="8" t="n">
        <v>0</v>
      </c>
      <c r="AZ1292" s="8" t="n">
        <v>178</v>
      </c>
      <c r="BA1292" s="11" t="n">
        <f>IF(AND(COUNT(AX1292:AZ1292)=3,AX1292&gt;=AY1292,AY1292&gt;=0,AZ1292&gt;0),(AX1292-AY1292)/AZ1292,"")</f>
        <v>0</v>
      </c>
      <c r="BB1292" s="8" t="n">
        <f>IF(COUNT(AS1292,AW1292,BA1292)=3,1,0)</f>
        <v>1</v>
      </c>
      <c r="BC1292" s="11" t="n">
        <f>IF(SUMIF($AO$11:$AO$1309,AO1292,$BB$11:$BB$1309)=COUNTIF($AO$11:$AO$1309,AO1292),SUMIF($AO$11:$AO$1309,AO1292,$AS$11:$AS$1309),"")</f>
        <v>1.7348603654072816</v>
      </c>
      <c r="BD1292" s="11" t="n">
        <f>IF(SUMIF($AO$11:$AO$1309,AO1292,$BB$11:$BB$1309)=COUNTIF($AO$11:$AO$1309,AO1292),SUMIF($AO$11:$AO$1309,AO1292,$AW$11:$AW$1309),"")</f>
        <v>0.7184184645645092</v>
      </c>
      <c r="BE1292" s="11" t="n">
        <f>IF(SUMIF($AO$11:$AO$1309,AO1292,$BB$11:$BB$1309)=COUNTIF($AO$11:$AO$1309,AO1292),SUMIF($AO$11:$AO$1309,AO1292,$BA$11:$BA$1309),"")</f>
        <v>0.7208292298065674</v>
      </c>
      <c r="BF1292" s="12" t="n">
        <f>IF(COUNT(BD1292:BE1292)&lt;&gt;2,"",IF(AND(BD1292&gt;0,BE1292&gt;0),0.7*AW1292/BD1292+0.3*BA1292/BE1292,IF(BD1292&gt;0,AW1292/BD1292,IF(BE1292&gt;0,BA1292/BE1292,IF(AND(ISNUMBER(BH1292),BH1292=0),0,"")))))</f>
        <v>0</v>
      </c>
      <c r="BG1292" s="11" t="n">
        <f>IF(AND(COUNT(BN1292:BU1292)=8,MIN(BN1292:BU1292)&gt;=0),SUMPRODUCT(BN1292:BQ1292,BR1292:BU1292),"")</f>
        <v>96.68059267618935</v>
      </c>
      <c r="BH1292" s="11" t="n">
        <f>IF(COUNT(BC1292,BG1292)=2,BC1292*BG1292,"")</f>
        <v>167.7273283380064</v>
      </c>
      <c r="BI1292" s="11" t="n">
        <f>IF(ISNUMBER(CI1292),CI1292,"")</f>
        <v>0</v>
      </c>
      <c r="BJ1292" s="8" t="str"/>
      <c r="BK1292" s="8" t="str">
        <v>90天：2026-07-20 至 2026-10-17；180天：2026-04-21 至 2026-10-17</v>
      </c>
      <c r="BL1292" s="8" t="str">
        <v>90天：2026-10-06、2026-10-07；180天：2026-10-06、2026-10-07</v>
      </c>
      <c r="BM1292" s="8" t="str">
        <v>2026-10：12天 × 1.1743420411079069；2026-11：30天 × 1.281694931279211；2026-12：31天 × 0.9007634642750235；2027-01：17天 × 0.9537631089407297</v>
      </c>
      <c r="BN1292" s="11" t="n">
        <v>1.1743420411079069</v>
      </c>
      <c r="BO1292" s="11" t="n">
        <v>1.281694931279211</v>
      </c>
      <c r="BP1292" s="11" t="n">
        <v>0.9007634642750235</v>
      </c>
      <c r="BQ1292" s="11" t="n">
        <v>0.9537631089407297</v>
      </c>
      <c r="BR1292" s="8" t="n">
        <v>12</v>
      </c>
      <c r="BS1292" s="8" t="n">
        <v>30</v>
      </c>
      <c r="BT1292" s="8" t="n">
        <v>31</v>
      </c>
      <c r="BU1292" s="8" t="n">
        <v>17</v>
      </c>
      <c r="BV1292" s="11" t="n">
        <f>IF(COUNT(BC1292,BF1292)=2,BC1292*BF1292,"")</f>
        <v>0</v>
      </c>
      <c r="BW1292" s="11" t="n">
        <f>IF(ISNUMBER(BN1292),BN1292,"")</f>
        <v>1.1743420411079069</v>
      </c>
      <c r="BX1292" s="14" t="n">
        <f>IF(ISNUMBER(BR1292),BR1292,"")</f>
        <v>12</v>
      </c>
      <c r="BY1292" s="13" t="n">
        <f>IF(AND(COUNT(BV1292,BW1292,BX1292)=3,MIN(BV1292,BW1292,BX1292)&gt;=0),BV1292*BW1292*BX1292,"")</f>
        <v>0</v>
      </c>
      <c r="BZ1292" s="11" t="n">
        <f>IF(ISNUMBER(BO1292),BO1292,"")</f>
        <v>1.281694931279211</v>
      </c>
      <c r="CA1292" s="14" t="n">
        <f>IF(ISNUMBER(BS1292),BS1292,"")</f>
        <v>30</v>
      </c>
      <c r="CB1292" s="13" t="n">
        <f>IF(AND(COUNT(BV1292,BZ1292,CA1292)=3,MIN(BV1292,BZ1292,CA1292)&gt;=0),BV1292*BZ1292*CA1292,"")</f>
        <v>0</v>
      </c>
      <c r="CC1292" s="11" t="n">
        <f>IF(ISNUMBER(BP1292),BP1292,"")</f>
        <v>0.9007634642750235</v>
      </c>
      <c r="CD1292" s="14" t="n">
        <f>IF(ISNUMBER(BT1292),BT1292,"")</f>
        <v>31</v>
      </c>
      <c r="CE1292" s="13" t="n">
        <f>IF(AND(COUNT(BV1292,CC1292,CD1292)=3,MIN(BV1292,CC1292,CD1292)&gt;=0),BV1292*CC1292*CD1292,"")</f>
        <v>0</v>
      </c>
      <c r="CF1292" s="11" t="n">
        <f>IF(ISNUMBER(BQ1292),BQ1292,"")</f>
        <v>0.9537631089407297</v>
      </c>
      <c r="CG1292" s="14" t="n">
        <f>IF(ISNUMBER(BU1292),BU1292,"")</f>
        <v>17</v>
      </c>
      <c r="CH1292" s="13" t="n">
        <f>IF(AND(COUNT(BV1292,CF1292,CG1292)=3,MIN(BV1292,CF1292,CG1292)&gt;=0),BV1292*CF1292*CG1292,"")</f>
        <v>0</v>
      </c>
      <c r="CI1292" s="13" t="n">
        <f>IF(COUNT(BY1292,CB1292,CE1292,CH1292)=4,SUM(BY1292,CB1292,CE1292,CH1292),"")</f>
        <v>0</v>
      </c>
    </row>
    <row r="1293" ht="72" customHeight="1">
      <c r="A1293" s="16" t="str">
        <v>8392-LP-40.5</v>
      </c>
      <c r="B1293" s="16" t="str">
        <v>3店-SANDIEX-US</v>
      </c>
      <c r="C1293" s="16" t="str">
        <v>徐新怡</v>
      </c>
      <c r="D1293" s="26" t="str">
        <f>IF(NOT(ISNUMBER(E1293)),"",IF(OR(E1293&lt;=0,L1293=0),0,IF(OR(NOT(ISNUMBER(F1293)),F1293&lt;0),"",MIN(E1293,INT(F1293)))))</f>
      </c>
      <c r="E1293" s="27" t="str">
        <f>IF(OR(NOT(ISNUMBER(L1293)),COUNT(M1293:O1293)&lt;&gt;3,MIN(M1293:O1293)&lt;0),"",ROUNDUP(ROUND(BI1293-SUM(M1293:O1293),10),0))</f>
      </c>
      <c r="F1293" s="28" t="n">
        <v>0</v>
      </c>
      <c r="G1293" s="28" t="str">
        <f>IF(AND(ISNUMBER(D1293),ISNUMBER(E1293)),IF(OR(E1293&lt;=0,L1293=0),0,E1293-D1293),"")</f>
      </c>
      <c r="H1293" s="16" t="str">
        <f>IF(NOT(ISNUMBER(E1293)),"销量或海外库存待补",IF(OR(E1293&lt;=0,L1293=0),IF(L1293=0,"零日销，本批不发","本批无需补货"),IF(NOT(ISNUMBER(D1293)),"国内库存待补",IF(D1293=0,"国内无可用库存",IF(G1293&gt;0,"先发国内现货","按建议量发货")))))</f>
        <v>销量或海外库存待补</v>
      </c>
      <c r="I1293" s="28" t="n">
        <f>IF(AND(COUNT(Z1293,AA1293,AB1293)=3,Z1293&gt;=AA1293,AA1293&gt;=0,AB1293=7),Z1293-AA1293,"")</f>
        <v>0</v>
      </c>
      <c r="J1293" s="28" t="n">
        <f>IF(AND(COUNT(AF1293,AG1293,AH1293)=3,AF1293&gt;=AG1293,AG1293&gt;=0,AH1293=14),AF1293-AG1293,"")</f>
        <v>0</v>
      </c>
      <c r="K1293" s="28" t="n">
        <f>IF(AND(COUNT(AL1293,AM1293,AN1293)=3,AL1293&gt;=AM1293,AM1293&gt;=0,AN1293=30),AL1293-AM1293,"")</f>
        <v>0</v>
      </c>
      <c r="L1293" s="29" t="n">
        <f>IF(ISNUMBER(BI1293),BI1293/90,"")</f>
        <v>0</v>
      </c>
      <c r="M1293" s="28"/>
      <c r="N1293" s="28"/>
      <c r="O1293" s="28"/>
      <c r="P1293" s="30" t="str">
        <f>IF(AND(ISNUMBER(L1293),L1293&gt;0,COUNT(M1293:O1293)=3,MIN(M1293:O1293)&gt;=0),SUM(M1293:O1293)/L1293,"")</f>
      </c>
      <c r="Q1293" s="16" t="str">
        <v>新增SPU唯一在售店铺</v>
      </c>
      <c r="R1293" s="16" t="str">
        <v>已匹配</v>
      </c>
      <c r="S1293" s="16" t="str">
        <v>未匹配Listing</v>
      </c>
      <c r="T1293" s="16" t="str">
        <v>8392</v>
      </c>
      <c r="U1293" s="16" t="str">
        <v>豹纹</v>
      </c>
      <c r="V1293" s="16" t="n">
        <v>9.5</v>
      </c>
      <c r="W1293" s="8" t="str">
        <v>2026-10-11 至 2026-10-17</v>
      </c>
      <c r="X1293" s="8" t="str">
        <v>2026-10-11、2026-10-12、2026-10-13、2026-10-14、2026-10-15、2026-10-16、2026-10-17</v>
      </c>
      <c r="Y1293" s="8" t="str">
        <v>无</v>
      </c>
      <c r="Z1293" s="8" t="n">
        <v>0</v>
      </c>
      <c r="AA1293" s="8" t="n">
        <v>0</v>
      </c>
      <c r="AB1293" s="8" t="n">
        <v>7</v>
      </c>
      <c r="AC1293" s="8" t="str">
        <v>2026-10-02 至 2026-10-17</v>
      </c>
      <c r="AD1293" s="8" t="str">
        <v>2026-10-02、2026-10-03、2026-10-04、2026-10-05、2026-10-08、2026-10-09、2026-10-10、2026-10-11、2026-10-12、2026-10-13、2026-10-14、2026-10-15、2026-10-16、2026-10-17</v>
      </c>
      <c r="AE1293" s="8" t="str">
        <v>2026-10-06 大促；2026-10-07 大促</v>
      </c>
      <c r="AF1293" s="8" t="n">
        <v>0</v>
      </c>
      <c r="AG1293" s="8" t="n">
        <v>0</v>
      </c>
      <c r="AH1293" s="8" t="n">
        <v>14</v>
      </c>
      <c r="AI1293" s="8" t="str">
        <v>2026-09-16 至 2026-10-17</v>
      </c>
      <c r="AJ129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3" s="8" t="str">
        <v>2026-10-06 大促；2026-10-07 大促</v>
      </c>
      <c r="AL1293" s="8" t="n">
        <v>0</v>
      </c>
      <c r="AM1293" s="8" t="n">
        <v>0</v>
      </c>
      <c r="AN1293" s="8" t="n">
        <v>30</v>
      </c>
      <c r="AO1293" s="8" t="str">
        <v>8392 / 豹纹羊京绒 / 6574</v>
      </c>
      <c r="AP1293" s="11" t="n">
        <v>1.1743420411079069</v>
      </c>
      <c r="AQ1293" s="11" t="n">
        <v>1.1743420411079069</v>
      </c>
      <c r="AR1293" s="11" t="n">
        <v>1.144331424468921</v>
      </c>
      <c r="AS1293" s="11" t="n">
        <f>IF(AND(COUNT(I1293:K1293,AP1293:AR1293)=6,MIN(AP1293:AR1293)&gt;0),I1293/7/AP1293*0.5+J1293/14/AQ1293*0.3+K1293/30/AR1293*0.2,"")</f>
        <v>0</v>
      </c>
      <c r="AT1293" s="8" t="n">
        <v>0</v>
      </c>
      <c r="AU1293" s="8" t="n">
        <v>0</v>
      </c>
      <c r="AV1293" s="8" t="n">
        <v>88</v>
      </c>
      <c r="AW1293" s="11" t="n">
        <f>IF(AND(COUNT(AT1293:AV1293)=3,AT1293&gt;=AU1293,AU1293&gt;=0,AV1293&gt;0),(AT1293-AU1293)/AV1293,"")</f>
        <v>0</v>
      </c>
      <c r="AX1293" s="8" t="n">
        <v>0</v>
      </c>
      <c r="AY1293" s="8" t="n">
        <v>0</v>
      </c>
      <c r="AZ1293" s="8" t="n">
        <v>178</v>
      </c>
      <c r="BA1293" s="11" t="n">
        <f>IF(AND(COUNT(AX1293:AZ1293)=3,AX1293&gt;=AY1293,AY1293&gt;=0,AZ1293&gt;0),(AX1293-AY1293)/AZ1293,"")</f>
        <v>0</v>
      </c>
      <c r="BB1293" s="8" t="n">
        <f>IF(COUNT(AS1293,AW1293,BA1293)=3,1,0)</f>
        <v>1</v>
      </c>
      <c r="BC1293" s="11" t="n">
        <f>IF(SUMIF($AO$11:$AO$1309,AO1293,$BB$11:$BB$1309)=COUNTIF($AO$11:$AO$1309,AO1293),SUMIF($AO$11:$AO$1309,AO1293,$AS$11:$AS$1309),"")</f>
        <v>1.7348603654072816</v>
      </c>
      <c r="BD1293" s="11" t="n">
        <f>IF(SUMIF($AO$11:$AO$1309,AO1293,$BB$11:$BB$1309)=COUNTIF($AO$11:$AO$1309,AO1293),SUMIF($AO$11:$AO$1309,AO1293,$AW$11:$AW$1309),"")</f>
        <v>0.7184184645645092</v>
      </c>
      <c r="BE1293" s="11" t="n">
        <f>IF(SUMIF($AO$11:$AO$1309,AO1293,$BB$11:$BB$1309)=COUNTIF($AO$11:$AO$1309,AO1293),SUMIF($AO$11:$AO$1309,AO1293,$BA$11:$BA$1309),"")</f>
        <v>0.7208292298065674</v>
      </c>
      <c r="BF1293" s="12" t="n">
        <f>IF(COUNT(BD1293:BE1293)&lt;&gt;2,"",IF(AND(BD1293&gt;0,BE1293&gt;0),0.7*AW1293/BD1293+0.3*BA1293/BE1293,IF(BD1293&gt;0,AW1293/BD1293,IF(BE1293&gt;0,BA1293/BE1293,IF(AND(ISNUMBER(BH1293),BH1293=0),0,"")))))</f>
        <v>0</v>
      </c>
      <c r="BG1293" s="11" t="n">
        <f>IF(AND(COUNT(BN1293:BU1293)=8,MIN(BN1293:BU1293)&gt;=0),SUMPRODUCT(BN1293:BQ1293,BR1293:BU1293),"")</f>
        <v>96.68059267618935</v>
      </c>
      <c r="BH1293" s="11" t="n">
        <f>IF(COUNT(BC1293,BG1293)=2,BC1293*BG1293,"")</f>
        <v>167.7273283380064</v>
      </c>
      <c r="BI1293" s="11" t="n">
        <f>IF(ISNUMBER(CI1293),CI1293,"")</f>
        <v>0</v>
      </c>
      <c r="BJ1293" s="8" t="str"/>
      <c r="BK1293" s="8" t="str">
        <v>90天：2026-07-20 至 2026-10-17；180天：2026-04-21 至 2026-10-17</v>
      </c>
      <c r="BL1293" s="8" t="str">
        <v>90天：2026-10-06、2026-10-07；180天：2026-10-06、2026-10-07</v>
      </c>
      <c r="BM1293" s="8" t="str">
        <v>2026-10：12天 × 1.1743420411079069；2026-11：30天 × 1.281694931279211；2026-12：31天 × 0.9007634642750235；2027-01：17天 × 0.9537631089407297</v>
      </c>
      <c r="BN1293" s="11" t="n">
        <v>1.1743420411079069</v>
      </c>
      <c r="BO1293" s="11" t="n">
        <v>1.281694931279211</v>
      </c>
      <c r="BP1293" s="11" t="n">
        <v>0.9007634642750235</v>
      </c>
      <c r="BQ1293" s="11" t="n">
        <v>0.9537631089407297</v>
      </c>
      <c r="BR1293" s="8" t="n">
        <v>12</v>
      </c>
      <c r="BS1293" s="8" t="n">
        <v>30</v>
      </c>
      <c r="BT1293" s="8" t="n">
        <v>31</v>
      </c>
      <c r="BU1293" s="8" t="n">
        <v>17</v>
      </c>
      <c r="BV1293" s="11" t="n">
        <f>IF(COUNT(BC1293,BF1293)=2,BC1293*BF1293,"")</f>
        <v>0</v>
      </c>
      <c r="BW1293" s="11" t="n">
        <f>IF(ISNUMBER(BN1293),BN1293,"")</f>
        <v>1.1743420411079069</v>
      </c>
      <c r="BX1293" s="14" t="n">
        <f>IF(ISNUMBER(BR1293),BR1293,"")</f>
        <v>12</v>
      </c>
      <c r="BY1293" s="13" t="n">
        <f>IF(AND(COUNT(BV1293,BW1293,BX1293)=3,MIN(BV1293,BW1293,BX1293)&gt;=0),BV1293*BW1293*BX1293,"")</f>
        <v>0</v>
      </c>
      <c r="BZ1293" s="11" t="n">
        <f>IF(ISNUMBER(BO1293),BO1293,"")</f>
        <v>1.281694931279211</v>
      </c>
      <c r="CA1293" s="14" t="n">
        <f>IF(ISNUMBER(BS1293),BS1293,"")</f>
        <v>30</v>
      </c>
      <c r="CB1293" s="13" t="n">
        <f>IF(AND(COUNT(BV1293,BZ1293,CA1293)=3,MIN(BV1293,BZ1293,CA1293)&gt;=0),BV1293*BZ1293*CA1293,"")</f>
        <v>0</v>
      </c>
      <c r="CC1293" s="11" t="n">
        <f>IF(ISNUMBER(BP1293),BP1293,"")</f>
        <v>0.9007634642750235</v>
      </c>
      <c r="CD1293" s="14" t="n">
        <f>IF(ISNUMBER(BT1293),BT1293,"")</f>
        <v>31</v>
      </c>
      <c r="CE1293" s="13" t="n">
        <f>IF(AND(COUNT(BV1293,CC1293,CD1293)=3,MIN(BV1293,CC1293,CD1293)&gt;=0),BV1293*CC1293*CD1293,"")</f>
        <v>0</v>
      </c>
      <c r="CF1293" s="11" t="n">
        <f>IF(ISNUMBER(BQ1293),BQ1293,"")</f>
        <v>0.9537631089407297</v>
      </c>
      <c r="CG1293" s="14" t="n">
        <f>IF(ISNUMBER(BU1293),BU1293,"")</f>
        <v>17</v>
      </c>
      <c r="CH1293" s="13" t="n">
        <f>IF(AND(COUNT(BV1293,CF1293,CG1293)=3,MIN(BV1293,CF1293,CG1293)&gt;=0),BV1293*CF1293*CG1293,"")</f>
        <v>0</v>
      </c>
      <c r="CI1293" s="13" t="n">
        <f>IF(COUNT(BY1293,CB1293,CE1293,CH1293)=4,SUM(BY1293,CB1293,CE1293,CH1293),"")</f>
        <v>0</v>
      </c>
    </row>
    <row r="1294" ht="72" customHeight="1">
      <c r="A1294" s="16" t="str">
        <v>8392-LP-41.5</v>
      </c>
      <c r="B1294" s="16" t="str">
        <v>3店-SANDIEX-US</v>
      </c>
      <c r="C1294" s="16" t="str">
        <v>徐新怡</v>
      </c>
      <c r="D1294" s="26" t="str">
        <f>IF(NOT(ISNUMBER(E1294)),"",IF(OR(E1294&lt;=0,L1294=0),0,IF(OR(NOT(ISNUMBER(F1294)),F1294&lt;0),"",MIN(E1294,INT(F1294)))))</f>
      </c>
      <c r="E1294" s="27" t="str">
        <f>IF(OR(NOT(ISNUMBER(L1294)),COUNT(M1294:O1294)&lt;&gt;3,MIN(M1294:O1294)&lt;0),"",ROUNDUP(ROUND(BI1294-SUM(M1294:O1294),10),0))</f>
      </c>
      <c r="F1294" s="28" t="n">
        <v>0</v>
      </c>
      <c r="G1294" s="28" t="str">
        <f>IF(AND(ISNUMBER(D1294),ISNUMBER(E1294)),IF(OR(E1294&lt;=0,L1294=0),0,E1294-D1294),"")</f>
      </c>
      <c r="H1294" s="16" t="str">
        <f>IF(NOT(ISNUMBER(E1294)),"销量或海外库存待补",IF(OR(E1294&lt;=0,L1294=0),IF(L1294=0,"零日销，本批不发","本批无需补货"),IF(NOT(ISNUMBER(D1294)),"国内库存待补",IF(D1294=0,"国内无可用库存",IF(G1294&gt;0,"先发国内现货","按建议量发货")))))</f>
        <v>销量或海外库存待补</v>
      </c>
      <c r="I1294" s="28" t="n">
        <f>IF(AND(COUNT(Z1294,AA1294,AB1294)=3,Z1294&gt;=AA1294,AA1294&gt;=0,AB1294=7),Z1294-AA1294,"")</f>
        <v>0</v>
      </c>
      <c r="J1294" s="28" t="n">
        <f>IF(AND(COUNT(AF1294,AG1294,AH1294)=3,AF1294&gt;=AG1294,AG1294&gt;=0,AH1294=14),AF1294-AG1294,"")</f>
        <v>0</v>
      </c>
      <c r="K1294" s="28" t="n">
        <f>IF(AND(COUNT(AL1294,AM1294,AN1294)=3,AL1294&gt;=AM1294,AM1294&gt;=0,AN1294=30),AL1294-AM1294,"")</f>
        <v>0</v>
      </c>
      <c r="L1294" s="29" t="n">
        <f>IF(ISNUMBER(BI1294),BI1294/90,"")</f>
        <v>0</v>
      </c>
      <c r="M1294" s="28"/>
      <c r="N1294" s="28"/>
      <c r="O1294" s="28"/>
      <c r="P1294" s="30" t="str">
        <f>IF(AND(ISNUMBER(L1294),L1294&gt;0,COUNT(M1294:O1294)=3,MIN(M1294:O1294)&gt;=0),SUM(M1294:O1294)/L1294,"")</f>
      </c>
      <c r="Q1294" s="16" t="str">
        <v>新增SPU唯一在售店铺</v>
      </c>
      <c r="R1294" s="16" t="str">
        <v>已匹配</v>
      </c>
      <c r="S1294" s="16" t="str">
        <v>未匹配Listing</v>
      </c>
      <c r="T1294" s="16" t="str">
        <v>8392</v>
      </c>
      <c r="U1294" s="16" t="str">
        <v>豹纹</v>
      </c>
      <c r="V1294" s="16" t="n">
        <v>10.5</v>
      </c>
      <c r="W1294" s="8" t="str">
        <v>2026-10-11 至 2026-10-17</v>
      </c>
      <c r="X1294" s="8" t="str">
        <v>2026-10-11、2026-10-12、2026-10-13、2026-10-14、2026-10-15、2026-10-16、2026-10-17</v>
      </c>
      <c r="Y1294" s="8" t="str">
        <v>无</v>
      </c>
      <c r="Z1294" s="8" t="n">
        <v>0</v>
      </c>
      <c r="AA1294" s="8" t="n">
        <v>0</v>
      </c>
      <c r="AB1294" s="8" t="n">
        <v>7</v>
      </c>
      <c r="AC1294" s="8" t="str">
        <v>2026-10-02 至 2026-10-17</v>
      </c>
      <c r="AD1294" s="8" t="str">
        <v>2026-10-02、2026-10-03、2026-10-04、2026-10-05、2026-10-08、2026-10-09、2026-10-10、2026-10-11、2026-10-12、2026-10-13、2026-10-14、2026-10-15、2026-10-16、2026-10-17</v>
      </c>
      <c r="AE1294" s="8" t="str">
        <v>2026-10-06 大促；2026-10-07 大促</v>
      </c>
      <c r="AF1294" s="8" t="n">
        <v>0</v>
      </c>
      <c r="AG1294" s="8" t="n">
        <v>0</v>
      </c>
      <c r="AH1294" s="8" t="n">
        <v>14</v>
      </c>
      <c r="AI1294" s="8" t="str">
        <v>2026-09-16 至 2026-10-17</v>
      </c>
      <c r="AJ129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4" s="8" t="str">
        <v>2026-10-06 大促；2026-10-07 大促</v>
      </c>
      <c r="AL1294" s="8" t="n">
        <v>0</v>
      </c>
      <c r="AM1294" s="8" t="n">
        <v>0</v>
      </c>
      <c r="AN1294" s="8" t="n">
        <v>30</v>
      </c>
      <c r="AO1294" s="8" t="str">
        <v>8392 / 豹纹羊京绒 / 6574</v>
      </c>
      <c r="AP1294" s="11" t="n">
        <v>1.1743420411079069</v>
      </c>
      <c r="AQ1294" s="11" t="n">
        <v>1.1743420411079069</v>
      </c>
      <c r="AR1294" s="11" t="n">
        <v>1.144331424468921</v>
      </c>
      <c r="AS1294" s="11" t="n">
        <f>IF(AND(COUNT(I1294:K1294,AP1294:AR1294)=6,MIN(AP1294:AR1294)&gt;0),I1294/7/AP1294*0.5+J1294/14/AQ1294*0.3+K1294/30/AR1294*0.2,"")</f>
        <v>0</v>
      </c>
      <c r="AT1294" s="8" t="n">
        <v>0</v>
      </c>
      <c r="AU1294" s="8" t="n">
        <v>0</v>
      </c>
      <c r="AV1294" s="8" t="n">
        <v>88</v>
      </c>
      <c r="AW1294" s="11" t="n">
        <f>IF(AND(COUNT(AT1294:AV1294)=3,AT1294&gt;=AU1294,AU1294&gt;=0,AV1294&gt;0),(AT1294-AU1294)/AV1294,"")</f>
        <v>0</v>
      </c>
      <c r="AX1294" s="8" t="n">
        <v>0</v>
      </c>
      <c r="AY1294" s="8" t="n">
        <v>0</v>
      </c>
      <c r="AZ1294" s="8" t="n">
        <v>178</v>
      </c>
      <c r="BA1294" s="11" t="n">
        <f>IF(AND(COUNT(AX1294:AZ1294)=3,AX1294&gt;=AY1294,AY1294&gt;=0,AZ1294&gt;0),(AX1294-AY1294)/AZ1294,"")</f>
        <v>0</v>
      </c>
      <c r="BB1294" s="8" t="n">
        <f>IF(COUNT(AS1294,AW1294,BA1294)=3,1,0)</f>
        <v>1</v>
      </c>
      <c r="BC1294" s="11" t="n">
        <f>IF(SUMIF($AO$11:$AO$1309,AO1294,$BB$11:$BB$1309)=COUNTIF($AO$11:$AO$1309,AO1294),SUMIF($AO$11:$AO$1309,AO1294,$AS$11:$AS$1309),"")</f>
        <v>1.7348603654072816</v>
      </c>
      <c r="BD1294" s="11" t="n">
        <f>IF(SUMIF($AO$11:$AO$1309,AO1294,$BB$11:$BB$1309)=COUNTIF($AO$11:$AO$1309,AO1294),SUMIF($AO$11:$AO$1309,AO1294,$AW$11:$AW$1309),"")</f>
        <v>0.7184184645645092</v>
      </c>
      <c r="BE1294" s="11" t="n">
        <f>IF(SUMIF($AO$11:$AO$1309,AO1294,$BB$11:$BB$1309)=COUNTIF($AO$11:$AO$1309,AO1294),SUMIF($AO$11:$AO$1309,AO1294,$BA$11:$BA$1309),"")</f>
        <v>0.7208292298065674</v>
      </c>
      <c r="BF1294" s="12" t="n">
        <f>IF(COUNT(BD1294:BE1294)&lt;&gt;2,"",IF(AND(BD1294&gt;0,BE1294&gt;0),0.7*AW1294/BD1294+0.3*BA1294/BE1294,IF(BD1294&gt;0,AW1294/BD1294,IF(BE1294&gt;0,BA1294/BE1294,IF(AND(ISNUMBER(BH1294),BH1294=0),0,"")))))</f>
        <v>0</v>
      </c>
      <c r="BG1294" s="11" t="n">
        <f>IF(AND(COUNT(BN1294:BU1294)=8,MIN(BN1294:BU1294)&gt;=0),SUMPRODUCT(BN1294:BQ1294,BR1294:BU1294),"")</f>
        <v>96.68059267618935</v>
      </c>
      <c r="BH1294" s="11" t="n">
        <f>IF(COUNT(BC1294,BG1294)=2,BC1294*BG1294,"")</f>
        <v>167.7273283380064</v>
      </c>
      <c r="BI1294" s="11" t="n">
        <f>IF(ISNUMBER(CI1294),CI1294,"")</f>
        <v>0</v>
      </c>
      <c r="BJ1294" s="8" t="str"/>
      <c r="BK1294" s="8" t="str">
        <v>90天：2026-07-20 至 2026-10-17；180天：2026-04-21 至 2026-10-17</v>
      </c>
      <c r="BL1294" s="8" t="str">
        <v>90天：2026-10-06、2026-10-07；180天：2026-10-06、2026-10-07</v>
      </c>
      <c r="BM1294" s="8" t="str">
        <v>2026-10：12天 × 1.1743420411079069；2026-11：30天 × 1.281694931279211；2026-12：31天 × 0.9007634642750235；2027-01：17天 × 0.9537631089407297</v>
      </c>
      <c r="BN1294" s="11" t="n">
        <v>1.1743420411079069</v>
      </c>
      <c r="BO1294" s="11" t="n">
        <v>1.281694931279211</v>
      </c>
      <c r="BP1294" s="11" t="n">
        <v>0.9007634642750235</v>
      </c>
      <c r="BQ1294" s="11" t="n">
        <v>0.9537631089407297</v>
      </c>
      <c r="BR1294" s="8" t="n">
        <v>12</v>
      </c>
      <c r="BS1294" s="8" t="n">
        <v>30</v>
      </c>
      <c r="BT1294" s="8" t="n">
        <v>31</v>
      </c>
      <c r="BU1294" s="8" t="n">
        <v>17</v>
      </c>
      <c r="BV1294" s="11" t="n">
        <f>IF(COUNT(BC1294,BF1294)=2,BC1294*BF1294,"")</f>
        <v>0</v>
      </c>
      <c r="BW1294" s="11" t="n">
        <f>IF(ISNUMBER(BN1294),BN1294,"")</f>
        <v>1.1743420411079069</v>
      </c>
      <c r="BX1294" s="14" t="n">
        <f>IF(ISNUMBER(BR1294),BR1294,"")</f>
        <v>12</v>
      </c>
      <c r="BY1294" s="13" t="n">
        <f>IF(AND(COUNT(BV1294,BW1294,BX1294)=3,MIN(BV1294,BW1294,BX1294)&gt;=0),BV1294*BW1294*BX1294,"")</f>
        <v>0</v>
      </c>
      <c r="BZ1294" s="11" t="n">
        <f>IF(ISNUMBER(BO1294),BO1294,"")</f>
        <v>1.281694931279211</v>
      </c>
      <c r="CA1294" s="14" t="n">
        <f>IF(ISNUMBER(BS1294),BS1294,"")</f>
        <v>30</v>
      </c>
      <c r="CB1294" s="13" t="n">
        <f>IF(AND(COUNT(BV1294,BZ1294,CA1294)=3,MIN(BV1294,BZ1294,CA1294)&gt;=0),BV1294*BZ1294*CA1294,"")</f>
        <v>0</v>
      </c>
      <c r="CC1294" s="11" t="n">
        <f>IF(ISNUMBER(BP1294),BP1294,"")</f>
        <v>0.9007634642750235</v>
      </c>
      <c r="CD1294" s="14" t="n">
        <f>IF(ISNUMBER(BT1294),BT1294,"")</f>
        <v>31</v>
      </c>
      <c r="CE1294" s="13" t="n">
        <f>IF(AND(COUNT(BV1294,CC1294,CD1294)=3,MIN(BV1294,CC1294,CD1294)&gt;=0),BV1294*CC1294*CD1294,"")</f>
        <v>0</v>
      </c>
      <c r="CF1294" s="11" t="n">
        <f>IF(ISNUMBER(BQ1294),BQ1294,"")</f>
        <v>0.9537631089407297</v>
      </c>
      <c r="CG1294" s="14" t="n">
        <f>IF(ISNUMBER(BU1294),BU1294,"")</f>
        <v>17</v>
      </c>
      <c r="CH1294" s="13" t="n">
        <f>IF(AND(COUNT(BV1294,CF1294,CG1294)=3,MIN(BV1294,CF1294,CG1294)&gt;=0),BV1294*CF1294*CG1294,"")</f>
        <v>0</v>
      </c>
      <c r="CI1294" s="13" t="n">
        <f>IF(COUNT(BY1294,CB1294,CE1294,CH1294)=4,SUM(BY1294,CB1294,CE1294,CH1294),"")</f>
        <v>0</v>
      </c>
    </row>
    <row r="1295" ht="72" customHeight="1">
      <c r="A1295" s="16" t="str">
        <v>8392-ND-37.5</v>
      </c>
      <c r="B1295" s="16" t="str">
        <v>3店-SANDIEX-US</v>
      </c>
      <c r="C1295" s="16" t="str">
        <v>徐新怡</v>
      </c>
      <c r="D1295" s="26" t="str">
        <f>IF(NOT(ISNUMBER(E1295)),"",IF(OR(E1295&lt;=0,L1295=0),0,IF(OR(NOT(ISNUMBER(F1295)),F1295&lt;0),"",MIN(E1295,INT(F1295)))))</f>
      </c>
      <c r="E1295" s="27" t="str">
        <f>IF(OR(NOT(ISNUMBER(L1295)),COUNT(M1295:O1295)&lt;&gt;3,MIN(M1295:O1295)&lt;0),"",ROUNDUP(ROUND(BI1295-SUM(M1295:O1295),10),0))</f>
      </c>
      <c r="F1295" s="28" t="n">
        <v>0</v>
      </c>
      <c r="G1295" s="28" t="str">
        <f>IF(AND(ISNUMBER(D1295),ISNUMBER(E1295)),IF(OR(E1295&lt;=0,L1295=0),0,E1295-D1295),"")</f>
      </c>
      <c r="H1295" s="16" t="str">
        <f>IF(NOT(ISNUMBER(E1295)),"销量或海外库存待补",IF(OR(E1295&lt;=0,L1295=0),IF(L1295=0,"零日销，本批不发","本批无需补货"),IF(NOT(ISNUMBER(D1295)),"国内库存待补",IF(D1295=0,"国内无可用库存",IF(G1295&gt;0,"先发国内现货","按建议量发货")))))</f>
        <v>销量或海外库存待补</v>
      </c>
      <c r="I1295" s="28" t="n">
        <f>IF(AND(COUNT(Z1295,AA1295,AB1295)=3,Z1295&gt;=AA1295,AA1295&gt;=0,AB1295=7),Z1295-AA1295,"")</f>
        <v>0</v>
      </c>
      <c r="J1295" s="28" t="n">
        <f>IF(AND(COUNT(AF1295,AG1295,AH1295)=3,AF1295&gt;=AG1295,AG1295&gt;=0,AH1295=14),AF1295-AG1295,"")</f>
        <v>0</v>
      </c>
      <c r="K1295" s="28" t="n">
        <f>IF(AND(COUNT(AL1295,AM1295,AN1295)=3,AL1295&gt;=AM1295,AM1295&gt;=0,AN1295=30),AL1295-AM1295,"")</f>
        <v>0</v>
      </c>
      <c r="L1295" s="29" t="n">
        <f>IF(ISNUMBER(BI1295),BI1295/90,"")</f>
        <v>0</v>
      </c>
      <c r="M1295" s="28"/>
      <c r="N1295" s="28"/>
      <c r="O1295" s="28"/>
      <c r="P1295" s="30" t="str">
        <f>IF(AND(ISNUMBER(L1295),L1295&gt;0,COUNT(M1295:O1295)=3,MIN(M1295:O1295)&gt;=0),SUM(M1295:O1295)/L1295,"")</f>
      </c>
      <c r="Q1295" s="16" t="str">
        <v>新增SPU唯一在售店铺</v>
      </c>
      <c r="R1295" s="16" t="str">
        <v>已匹配</v>
      </c>
      <c r="S1295" s="16" t="str">
        <v>未匹配Listing</v>
      </c>
      <c r="T1295" s="16" t="str">
        <v>8392</v>
      </c>
      <c r="U1295" s="16" t="str">
        <v>裸色</v>
      </c>
      <c r="V1295" s="16" t="n">
        <v>6.5</v>
      </c>
      <c r="W1295" s="8" t="str">
        <v>2026-10-11 至 2026-10-17</v>
      </c>
      <c r="X1295" s="8" t="str">
        <v>2026-10-11、2026-10-12、2026-10-13、2026-10-14、2026-10-15、2026-10-16、2026-10-17</v>
      </c>
      <c r="Y1295" s="8" t="str">
        <v>无</v>
      </c>
      <c r="Z1295" s="8" t="n">
        <v>0</v>
      </c>
      <c r="AA1295" s="8" t="n">
        <v>0</v>
      </c>
      <c r="AB1295" s="8" t="n">
        <v>7</v>
      </c>
      <c r="AC1295" s="8" t="str">
        <v>2026-10-02 至 2026-10-17</v>
      </c>
      <c r="AD1295" s="8" t="str">
        <v>2026-10-02、2026-10-03、2026-10-04、2026-10-05、2026-10-08、2026-10-09、2026-10-10、2026-10-11、2026-10-12、2026-10-13、2026-10-14、2026-10-15、2026-10-16、2026-10-17</v>
      </c>
      <c r="AE1295" s="8" t="str">
        <v>2026-10-06 大促；2026-10-07 大促</v>
      </c>
      <c r="AF1295" s="8" t="n">
        <v>0</v>
      </c>
      <c r="AG1295" s="8" t="n">
        <v>0</v>
      </c>
      <c r="AH1295" s="8" t="n">
        <v>14</v>
      </c>
      <c r="AI1295" s="8" t="str">
        <v>2026-09-16 至 2026-10-17</v>
      </c>
      <c r="AJ129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5" s="8" t="str">
        <v>2026-10-06 大促；2026-10-07 大促</v>
      </c>
      <c r="AL1295" s="8" t="n">
        <v>0</v>
      </c>
      <c r="AM1295" s="8" t="n">
        <v>0</v>
      </c>
      <c r="AN1295" s="8" t="n">
        <v>30</v>
      </c>
      <c r="AO1295" s="8" t="str">
        <v>8392 / 裸色羊京绒 / 6574</v>
      </c>
      <c r="AP1295" s="11" t="n">
        <v>1.1743420411079069</v>
      </c>
      <c r="AQ1295" s="11" t="n">
        <v>1.1743420411079069</v>
      </c>
      <c r="AR1295" s="11" t="n">
        <v>1.144331424468921</v>
      </c>
      <c r="AS1295" s="11" t="n">
        <f>IF(AND(COUNT(I1295:K1295,AP1295:AR1295)=6,MIN(AP1295:AR1295)&gt;0),I1295/7/AP1295*0.5+J1295/14/AQ1295*0.3+K1295/30/AR1295*0.2,"")</f>
        <v>0</v>
      </c>
      <c r="AT1295" s="8" t="n">
        <v>0</v>
      </c>
      <c r="AU1295" s="8" t="n">
        <v>0</v>
      </c>
      <c r="AV1295" s="8" t="n">
        <v>88</v>
      </c>
      <c r="AW1295" s="11" t="n">
        <f>IF(AND(COUNT(AT1295:AV1295)=3,AT1295&gt;=AU1295,AU1295&gt;=0,AV1295&gt;0),(AT1295-AU1295)/AV1295,"")</f>
        <v>0</v>
      </c>
      <c r="AX1295" s="8" t="n">
        <v>0</v>
      </c>
      <c r="AY1295" s="8" t="n">
        <v>0</v>
      </c>
      <c r="AZ1295" s="8" t="n">
        <v>178</v>
      </c>
      <c r="BA1295" s="11" t="n">
        <f>IF(AND(COUNT(AX1295:AZ1295)=3,AX1295&gt;=AY1295,AY1295&gt;=0,AZ1295&gt;0),(AX1295-AY1295)/AZ1295,"")</f>
        <v>0</v>
      </c>
      <c r="BB1295" s="8" t="n">
        <f>IF(COUNT(AS1295,AW1295,BA1295)=3,1,0)</f>
        <v>1</v>
      </c>
      <c r="BC1295" s="11" t="n">
        <f>IF(SUMIF($AO$11:$AO$1309,AO1295,$BB$11:$BB$1309)=COUNTIF($AO$11:$AO$1309,AO1295),SUMIF($AO$11:$AO$1309,AO1295,$AS$11:$AS$1309),"")</f>
        <v>2.532116178578144</v>
      </c>
      <c r="BD1295" s="11" t="n">
        <f>IF(SUMIF($AO$11:$AO$1309,AO1295,$BB$11:$BB$1309)=COUNTIF($AO$11:$AO$1309,AO1295),SUMIF($AO$11:$AO$1309,AO1295,$AW$11:$AW$1309),"")</f>
        <v>1.3068181818181819</v>
      </c>
      <c r="BE1295" s="11" t="n">
        <f>IF(SUMIF($AO$11:$AO$1309,AO1295,$BB$11:$BB$1309)=COUNTIF($AO$11:$AO$1309,AO1295),SUMIF($AO$11:$AO$1309,AO1295,$BA$11:$BA$1309),"")</f>
        <v>1.3707865168539328</v>
      </c>
      <c r="BF1295" s="12" t="n">
        <f>IF(COUNT(BD1295:BE1295)&lt;&gt;2,"",IF(AND(BD1295&gt;0,BE1295&gt;0),0.7*AW1295/BD1295+0.3*BA1295/BE1295,IF(BD1295&gt;0,AW1295/BD1295,IF(BE1295&gt;0,BA1295/BE1295,IF(AND(ISNUMBER(BH1295),BH1295=0),0,"")))))</f>
        <v>0</v>
      </c>
      <c r="BG1295" s="11" t="n">
        <f>IF(AND(COUNT(BN1295:BU1295)=8,MIN(BN1295:BU1295)&gt;=0),SUMPRODUCT(BN1295:BQ1295,BR1295:BU1295),"")</f>
        <v>96.68059267618935</v>
      </c>
      <c r="BH1295" s="11" t="n">
        <f>IF(COUNT(BC1295,BG1295)=2,BC1295*BG1295,"")</f>
        <v>244.80649286990268</v>
      </c>
      <c r="BI1295" s="11" t="n">
        <f>IF(ISNUMBER(CI1295),CI1295,"")</f>
        <v>0</v>
      </c>
      <c r="BJ1295" s="8" t="str"/>
      <c r="BK1295" s="8" t="str">
        <v>90天：2026-07-20 至 2026-10-17；180天：2026-04-21 至 2026-10-17</v>
      </c>
      <c r="BL1295" s="8" t="str">
        <v>90天：2026-10-06、2026-10-07；180天：2026-10-06、2026-10-07</v>
      </c>
      <c r="BM1295" s="8" t="str">
        <v>2026-10：12天 × 1.1743420411079069；2026-11：30天 × 1.281694931279211；2026-12：31天 × 0.9007634642750235；2027-01：17天 × 0.9537631089407297</v>
      </c>
      <c r="BN1295" s="11" t="n">
        <v>1.1743420411079069</v>
      </c>
      <c r="BO1295" s="11" t="n">
        <v>1.281694931279211</v>
      </c>
      <c r="BP1295" s="11" t="n">
        <v>0.9007634642750235</v>
      </c>
      <c r="BQ1295" s="11" t="n">
        <v>0.9537631089407297</v>
      </c>
      <c r="BR1295" s="8" t="n">
        <v>12</v>
      </c>
      <c r="BS1295" s="8" t="n">
        <v>30</v>
      </c>
      <c r="BT1295" s="8" t="n">
        <v>31</v>
      </c>
      <c r="BU1295" s="8" t="n">
        <v>17</v>
      </c>
      <c r="BV1295" s="11" t="n">
        <f>IF(COUNT(BC1295,BF1295)=2,BC1295*BF1295,"")</f>
        <v>0</v>
      </c>
      <c r="BW1295" s="11" t="n">
        <f>IF(ISNUMBER(BN1295),BN1295,"")</f>
        <v>1.1743420411079069</v>
      </c>
      <c r="BX1295" s="14" t="n">
        <f>IF(ISNUMBER(BR1295),BR1295,"")</f>
        <v>12</v>
      </c>
      <c r="BY1295" s="13" t="n">
        <f>IF(AND(COUNT(BV1295,BW1295,BX1295)=3,MIN(BV1295,BW1295,BX1295)&gt;=0),BV1295*BW1295*BX1295,"")</f>
        <v>0</v>
      </c>
      <c r="BZ1295" s="11" t="n">
        <f>IF(ISNUMBER(BO1295),BO1295,"")</f>
        <v>1.281694931279211</v>
      </c>
      <c r="CA1295" s="14" t="n">
        <f>IF(ISNUMBER(BS1295),BS1295,"")</f>
        <v>30</v>
      </c>
      <c r="CB1295" s="13" t="n">
        <f>IF(AND(COUNT(BV1295,BZ1295,CA1295)=3,MIN(BV1295,BZ1295,CA1295)&gt;=0),BV1295*BZ1295*CA1295,"")</f>
        <v>0</v>
      </c>
      <c r="CC1295" s="11" t="n">
        <f>IF(ISNUMBER(BP1295),BP1295,"")</f>
        <v>0.9007634642750235</v>
      </c>
      <c r="CD1295" s="14" t="n">
        <f>IF(ISNUMBER(BT1295),BT1295,"")</f>
        <v>31</v>
      </c>
      <c r="CE1295" s="13" t="n">
        <f>IF(AND(COUNT(BV1295,CC1295,CD1295)=3,MIN(BV1295,CC1295,CD1295)&gt;=0),BV1295*CC1295*CD1295,"")</f>
        <v>0</v>
      </c>
      <c r="CF1295" s="11" t="n">
        <f>IF(ISNUMBER(BQ1295),BQ1295,"")</f>
        <v>0.9537631089407297</v>
      </c>
      <c r="CG1295" s="14" t="n">
        <f>IF(ISNUMBER(BU1295),BU1295,"")</f>
        <v>17</v>
      </c>
      <c r="CH1295" s="13" t="n">
        <f>IF(AND(COUNT(BV1295,CF1295,CG1295)=3,MIN(BV1295,CF1295,CG1295)&gt;=0),BV1295*CF1295*CG1295,"")</f>
        <v>0</v>
      </c>
      <c r="CI1295" s="13" t="n">
        <f>IF(COUNT(BY1295,CB1295,CE1295,CH1295)=4,SUM(BY1295,CB1295,CE1295,CH1295),"")</f>
        <v>0</v>
      </c>
    </row>
    <row r="1296" ht="72" customHeight="1">
      <c r="A1296" s="16" t="str">
        <v>8392-ND-39.5</v>
      </c>
      <c r="B1296" s="16" t="str">
        <v>3店-SANDIEX-US</v>
      </c>
      <c r="C1296" s="16" t="str">
        <v>徐新怡</v>
      </c>
      <c r="D1296" s="26" t="str">
        <f>IF(NOT(ISNUMBER(E1296)),"",IF(OR(E1296&lt;=0,L1296=0),0,IF(OR(NOT(ISNUMBER(F1296)),F1296&lt;0),"",MIN(E1296,INT(F1296)))))</f>
      </c>
      <c r="E1296" s="27" t="str">
        <f>IF(OR(NOT(ISNUMBER(L1296)),COUNT(M1296:O1296)&lt;&gt;3,MIN(M1296:O1296)&lt;0),"",ROUNDUP(ROUND(BI1296-SUM(M1296:O1296),10),0))</f>
      </c>
      <c r="F1296" s="28" t="n">
        <v>0</v>
      </c>
      <c r="G1296" s="28" t="str">
        <f>IF(AND(ISNUMBER(D1296),ISNUMBER(E1296)),IF(OR(E1296&lt;=0,L1296=0),0,E1296-D1296),"")</f>
      </c>
      <c r="H1296" s="16" t="str">
        <f>IF(NOT(ISNUMBER(E1296)),"销量或海外库存待补",IF(OR(E1296&lt;=0,L1296=0),IF(L1296=0,"零日销，本批不发","本批无需补货"),IF(NOT(ISNUMBER(D1296)),"国内库存待补",IF(D1296=0,"国内无可用库存",IF(G1296&gt;0,"先发国内现货","按建议量发货")))))</f>
        <v>销量或海外库存待补</v>
      </c>
      <c r="I1296" s="28" t="n">
        <f>IF(AND(COUNT(Z1296,AA1296,AB1296)=3,Z1296&gt;=AA1296,AA1296&gt;=0,AB1296=7),Z1296-AA1296,"")</f>
        <v>0</v>
      </c>
      <c r="J1296" s="28" t="n">
        <f>IF(AND(COUNT(AF1296,AG1296,AH1296)=3,AF1296&gt;=AG1296,AG1296&gt;=0,AH1296=14),AF1296-AG1296,"")</f>
        <v>0</v>
      </c>
      <c r="K1296" s="28" t="n">
        <f>IF(AND(COUNT(AL1296,AM1296,AN1296)=3,AL1296&gt;=AM1296,AM1296&gt;=0,AN1296=30),AL1296-AM1296,"")</f>
        <v>0</v>
      </c>
      <c r="L1296" s="29" t="n">
        <f>IF(ISNUMBER(BI1296),BI1296/90,"")</f>
        <v>0</v>
      </c>
      <c r="M1296" s="28"/>
      <c r="N1296" s="28"/>
      <c r="O1296" s="28"/>
      <c r="P1296" s="30" t="str">
        <f>IF(AND(ISNUMBER(L1296),L1296&gt;0,COUNT(M1296:O1296)=3,MIN(M1296:O1296)&gt;=0),SUM(M1296:O1296)/L1296,"")</f>
      </c>
      <c r="Q1296" s="16" t="str">
        <v>新增SPU唯一在售店铺</v>
      </c>
      <c r="R1296" s="16" t="str">
        <v>已匹配</v>
      </c>
      <c r="S1296" s="16" t="str">
        <v>未匹配Listing</v>
      </c>
      <c r="T1296" s="16" t="str">
        <v>8392</v>
      </c>
      <c r="U1296" s="16" t="str">
        <v>裸色</v>
      </c>
      <c r="V1296" s="16" t="n">
        <v>8.5</v>
      </c>
      <c r="W1296" s="8" t="str">
        <v>2026-10-11 至 2026-10-17</v>
      </c>
      <c r="X1296" s="8" t="str">
        <v>2026-10-11、2026-10-12、2026-10-13、2026-10-14、2026-10-15、2026-10-16、2026-10-17</v>
      </c>
      <c r="Y1296" s="8" t="str">
        <v>无</v>
      </c>
      <c r="Z1296" s="8" t="n">
        <v>0</v>
      </c>
      <c r="AA1296" s="8" t="n">
        <v>0</v>
      </c>
      <c r="AB1296" s="8" t="n">
        <v>7</v>
      </c>
      <c r="AC1296" s="8" t="str">
        <v>2026-10-02 至 2026-10-17</v>
      </c>
      <c r="AD1296" s="8" t="str">
        <v>2026-10-02、2026-10-03、2026-10-04、2026-10-05、2026-10-08、2026-10-09、2026-10-10、2026-10-11、2026-10-12、2026-10-13、2026-10-14、2026-10-15、2026-10-16、2026-10-17</v>
      </c>
      <c r="AE1296" s="8" t="str">
        <v>2026-10-06 大促；2026-10-07 大促</v>
      </c>
      <c r="AF1296" s="8" t="n">
        <v>0</v>
      </c>
      <c r="AG1296" s="8" t="n">
        <v>0</v>
      </c>
      <c r="AH1296" s="8" t="n">
        <v>14</v>
      </c>
      <c r="AI1296" s="8" t="str">
        <v>2026-09-16 至 2026-10-17</v>
      </c>
      <c r="AJ129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6" s="8" t="str">
        <v>2026-10-06 大促；2026-10-07 大促</v>
      </c>
      <c r="AL1296" s="8" t="n">
        <v>0</v>
      </c>
      <c r="AM1296" s="8" t="n">
        <v>0</v>
      </c>
      <c r="AN1296" s="8" t="n">
        <v>30</v>
      </c>
      <c r="AO1296" s="8" t="str">
        <v>8392 / 裸色羊京绒 / 6574</v>
      </c>
      <c r="AP1296" s="11" t="n">
        <v>1.1743420411079069</v>
      </c>
      <c r="AQ1296" s="11" t="n">
        <v>1.1743420411079069</v>
      </c>
      <c r="AR1296" s="11" t="n">
        <v>1.144331424468921</v>
      </c>
      <c r="AS1296" s="11" t="n">
        <f>IF(AND(COUNT(I1296:K1296,AP1296:AR1296)=6,MIN(AP1296:AR1296)&gt;0),I1296/7/AP1296*0.5+J1296/14/AQ1296*0.3+K1296/30/AR1296*0.2,"")</f>
        <v>0</v>
      </c>
      <c r="AT1296" s="8" t="n">
        <v>0</v>
      </c>
      <c r="AU1296" s="8" t="n">
        <v>0</v>
      </c>
      <c r="AV1296" s="8" t="n">
        <v>88</v>
      </c>
      <c r="AW1296" s="11" t="n">
        <f>IF(AND(COUNT(AT1296:AV1296)=3,AT1296&gt;=AU1296,AU1296&gt;=0,AV1296&gt;0),(AT1296-AU1296)/AV1296,"")</f>
        <v>0</v>
      </c>
      <c r="AX1296" s="8" t="n">
        <v>0</v>
      </c>
      <c r="AY1296" s="8" t="n">
        <v>0</v>
      </c>
      <c r="AZ1296" s="8" t="n">
        <v>178</v>
      </c>
      <c r="BA1296" s="11" t="n">
        <f>IF(AND(COUNT(AX1296:AZ1296)=3,AX1296&gt;=AY1296,AY1296&gt;=0,AZ1296&gt;0),(AX1296-AY1296)/AZ1296,"")</f>
        <v>0</v>
      </c>
      <c r="BB1296" s="8" t="n">
        <f>IF(COUNT(AS1296,AW1296,BA1296)=3,1,0)</f>
        <v>1</v>
      </c>
      <c r="BC1296" s="11" t="n">
        <f>IF(SUMIF($AO$11:$AO$1309,AO1296,$BB$11:$BB$1309)=COUNTIF($AO$11:$AO$1309,AO1296),SUMIF($AO$11:$AO$1309,AO1296,$AS$11:$AS$1309),"")</f>
        <v>2.532116178578144</v>
      </c>
      <c r="BD1296" s="11" t="n">
        <f>IF(SUMIF($AO$11:$AO$1309,AO1296,$BB$11:$BB$1309)=COUNTIF($AO$11:$AO$1309,AO1296),SUMIF($AO$11:$AO$1309,AO1296,$AW$11:$AW$1309),"")</f>
        <v>1.3068181818181819</v>
      </c>
      <c r="BE1296" s="11" t="n">
        <f>IF(SUMIF($AO$11:$AO$1309,AO1296,$BB$11:$BB$1309)=COUNTIF($AO$11:$AO$1309,AO1296),SUMIF($AO$11:$AO$1309,AO1296,$BA$11:$BA$1309),"")</f>
        <v>1.3707865168539328</v>
      </c>
      <c r="BF1296" s="12" t="n">
        <f>IF(COUNT(BD1296:BE1296)&lt;&gt;2,"",IF(AND(BD1296&gt;0,BE1296&gt;0),0.7*AW1296/BD1296+0.3*BA1296/BE1296,IF(BD1296&gt;0,AW1296/BD1296,IF(BE1296&gt;0,BA1296/BE1296,IF(AND(ISNUMBER(BH1296),BH1296=0),0,"")))))</f>
        <v>0</v>
      </c>
      <c r="BG1296" s="11" t="n">
        <f>IF(AND(COUNT(BN1296:BU1296)=8,MIN(BN1296:BU1296)&gt;=0),SUMPRODUCT(BN1296:BQ1296,BR1296:BU1296),"")</f>
        <v>96.68059267618935</v>
      </c>
      <c r="BH1296" s="11" t="n">
        <f>IF(COUNT(BC1296,BG1296)=2,BC1296*BG1296,"")</f>
        <v>244.80649286990268</v>
      </c>
      <c r="BI1296" s="11" t="n">
        <f>IF(ISNUMBER(CI1296),CI1296,"")</f>
        <v>0</v>
      </c>
      <c r="BJ1296" s="8" t="str"/>
      <c r="BK1296" s="8" t="str">
        <v>90天：2026-07-20 至 2026-10-17；180天：2026-04-21 至 2026-10-17</v>
      </c>
      <c r="BL1296" s="8" t="str">
        <v>90天：2026-10-06、2026-10-07；180天：2026-10-06、2026-10-07</v>
      </c>
      <c r="BM1296" s="8" t="str">
        <v>2026-10：12天 × 1.1743420411079069；2026-11：30天 × 1.281694931279211；2026-12：31天 × 0.9007634642750235；2027-01：17天 × 0.9537631089407297</v>
      </c>
      <c r="BN1296" s="11" t="n">
        <v>1.1743420411079069</v>
      </c>
      <c r="BO1296" s="11" t="n">
        <v>1.281694931279211</v>
      </c>
      <c r="BP1296" s="11" t="n">
        <v>0.9007634642750235</v>
      </c>
      <c r="BQ1296" s="11" t="n">
        <v>0.9537631089407297</v>
      </c>
      <c r="BR1296" s="8" t="n">
        <v>12</v>
      </c>
      <c r="BS1296" s="8" t="n">
        <v>30</v>
      </c>
      <c r="BT1296" s="8" t="n">
        <v>31</v>
      </c>
      <c r="BU1296" s="8" t="n">
        <v>17</v>
      </c>
      <c r="BV1296" s="11" t="n">
        <f>IF(COUNT(BC1296,BF1296)=2,BC1296*BF1296,"")</f>
        <v>0</v>
      </c>
      <c r="BW1296" s="11" t="n">
        <f>IF(ISNUMBER(BN1296),BN1296,"")</f>
        <v>1.1743420411079069</v>
      </c>
      <c r="BX1296" s="14" t="n">
        <f>IF(ISNUMBER(BR1296),BR1296,"")</f>
        <v>12</v>
      </c>
      <c r="BY1296" s="13" t="n">
        <f>IF(AND(COUNT(BV1296,BW1296,BX1296)=3,MIN(BV1296,BW1296,BX1296)&gt;=0),BV1296*BW1296*BX1296,"")</f>
        <v>0</v>
      </c>
      <c r="BZ1296" s="11" t="n">
        <f>IF(ISNUMBER(BO1296),BO1296,"")</f>
        <v>1.281694931279211</v>
      </c>
      <c r="CA1296" s="14" t="n">
        <f>IF(ISNUMBER(BS1296),BS1296,"")</f>
        <v>30</v>
      </c>
      <c r="CB1296" s="13" t="n">
        <f>IF(AND(COUNT(BV1296,BZ1296,CA1296)=3,MIN(BV1296,BZ1296,CA1296)&gt;=0),BV1296*BZ1296*CA1296,"")</f>
        <v>0</v>
      </c>
      <c r="CC1296" s="11" t="n">
        <f>IF(ISNUMBER(BP1296),BP1296,"")</f>
        <v>0.9007634642750235</v>
      </c>
      <c r="CD1296" s="14" t="n">
        <f>IF(ISNUMBER(BT1296),BT1296,"")</f>
        <v>31</v>
      </c>
      <c r="CE1296" s="13" t="n">
        <f>IF(AND(COUNT(BV1296,CC1296,CD1296)=3,MIN(BV1296,CC1296,CD1296)&gt;=0),BV1296*CC1296*CD1296,"")</f>
        <v>0</v>
      </c>
      <c r="CF1296" s="11" t="n">
        <f>IF(ISNUMBER(BQ1296),BQ1296,"")</f>
        <v>0.9537631089407297</v>
      </c>
      <c r="CG1296" s="14" t="n">
        <f>IF(ISNUMBER(BU1296),BU1296,"")</f>
        <v>17</v>
      </c>
      <c r="CH1296" s="13" t="n">
        <f>IF(AND(COUNT(BV1296,CF1296,CG1296)=3,MIN(BV1296,CF1296,CG1296)&gt;=0),BV1296*CF1296*CG1296,"")</f>
        <v>0</v>
      </c>
      <c r="CI1296" s="13" t="n">
        <f>IF(COUNT(BY1296,CB1296,CE1296,CH1296)=4,SUM(BY1296,CB1296,CE1296,CH1296),"")</f>
        <v>0</v>
      </c>
    </row>
    <row r="1297" ht="72" customHeight="1">
      <c r="A1297" s="16" t="str">
        <v>8392-ND-40.5</v>
      </c>
      <c r="B1297" s="16" t="str">
        <v>3店-SANDIEX-US</v>
      </c>
      <c r="C1297" s="16" t="str">
        <v>徐新怡</v>
      </c>
      <c r="D1297" s="26" t="str">
        <f>IF(NOT(ISNUMBER(E1297)),"",IF(OR(E1297&lt;=0,L1297=0),0,IF(OR(NOT(ISNUMBER(F1297)),F1297&lt;0),"",MIN(E1297,INT(F1297)))))</f>
      </c>
      <c r="E1297" s="27" t="str">
        <f>IF(OR(NOT(ISNUMBER(L1297)),COUNT(M1297:O1297)&lt;&gt;3,MIN(M1297:O1297)&lt;0),"",ROUNDUP(ROUND(BI1297-SUM(M1297:O1297),10),0))</f>
      </c>
      <c r="F1297" s="28" t="n">
        <v>0</v>
      </c>
      <c r="G1297" s="28" t="str">
        <f>IF(AND(ISNUMBER(D1297),ISNUMBER(E1297)),IF(OR(E1297&lt;=0,L1297=0),0,E1297-D1297),"")</f>
      </c>
      <c r="H1297" s="16" t="str">
        <f>IF(NOT(ISNUMBER(E1297)),"销量或海外库存待补",IF(OR(E1297&lt;=0,L1297=0),IF(L1297=0,"零日销，本批不发","本批无需补货"),IF(NOT(ISNUMBER(D1297)),"国内库存待补",IF(D1297=0,"国内无可用库存",IF(G1297&gt;0,"先发国内现货","按建议量发货")))))</f>
        <v>销量或海外库存待补</v>
      </c>
      <c r="I1297" s="28" t="n">
        <f>IF(AND(COUNT(Z1297,AA1297,AB1297)=3,Z1297&gt;=AA1297,AA1297&gt;=0,AB1297=7),Z1297-AA1297,"")</f>
        <v>0</v>
      </c>
      <c r="J1297" s="28" t="n">
        <f>IF(AND(COUNT(AF1297,AG1297,AH1297)=3,AF1297&gt;=AG1297,AG1297&gt;=0,AH1297=14),AF1297-AG1297,"")</f>
        <v>0</v>
      </c>
      <c r="K1297" s="28" t="n">
        <f>IF(AND(COUNT(AL1297,AM1297,AN1297)=3,AL1297&gt;=AM1297,AM1297&gt;=0,AN1297=30),AL1297-AM1297,"")</f>
        <v>0</v>
      </c>
      <c r="L1297" s="29" t="n">
        <f>IF(ISNUMBER(BI1297),BI1297/90,"")</f>
        <v>0</v>
      </c>
      <c r="M1297" s="28"/>
      <c r="N1297" s="28"/>
      <c r="O1297" s="28"/>
      <c r="P1297" s="30" t="str">
        <f>IF(AND(ISNUMBER(L1297),L1297&gt;0,COUNT(M1297:O1297)=3,MIN(M1297:O1297)&gt;=0),SUM(M1297:O1297)/L1297,"")</f>
      </c>
      <c r="Q1297" s="16" t="str">
        <v>新增SPU唯一在售店铺</v>
      </c>
      <c r="R1297" s="16" t="str">
        <v>已匹配</v>
      </c>
      <c r="S1297" s="16" t="str">
        <v>未匹配Listing</v>
      </c>
      <c r="T1297" s="16" t="str">
        <v>8392</v>
      </c>
      <c r="U1297" s="16" t="str">
        <v>裸色</v>
      </c>
      <c r="V1297" s="16" t="n">
        <v>9.5</v>
      </c>
      <c r="W1297" s="8" t="str">
        <v>2026-10-11 至 2026-10-17</v>
      </c>
      <c r="X1297" s="8" t="str">
        <v>2026-10-11、2026-10-12、2026-10-13、2026-10-14、2026-10-15、2026-10-16、2026-10-17</v>
      </c>
      <c r="Y1297" s="8" t="str">
        <v>无</v>
      </c>
      <c r="Z1297" s="8" t="n">
        <v>0</v>
      </c>
      <c r="AA1297" s="8" t="n">
        <v>0</v>
      </c>
      <c r="AB1297" s="8" t="n">
        <v>7</v>
      </c>
      <c r="AC1297" s="8" t="str">
        <v>2026-10-02 至 2026-10-17</v>
      </c>
      <c r="AD1297" s="8" t="str">
        <v>2026-10-02、2026-10-03、2026-10-04、2026-10-05、2026-10-08、2026-10-09、2026-10-10、2026-10-11、2026-10-12、2026-10-13、2026-10-14、2026-10-15、2026-10-16、2026-10-17</v>
      </c>
      <c r="AE1297" s="8" t="str">
        <v>2026-10-06 大促；2026-10-07 大促</v>
      </c>
      <c r="AF1297" s="8" t="n">
        <v>0</v>
      </c>
      <c r="AG1297" s="8" t="n">
        <v>0</v>
      </c>
      <c r="AH1297" s="8" t="n">
        <v>14</v>
      </c>
      <c r="AI1297" s="8" t="str">
        <v>2026-09-16 至 2026-10-17</v>
      </c>
      <c r="AJ129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7" s="8" t="str">
        <v>2026-10-06 大促；2026-10-07 大促</v>
      </c>
      <c r="AL1297" s="8" t="n">
        <v>0</v>
      </c>
      <c r="AM1297" s="8" t="n">
        <v>0</v>
      </c>
      <c r="AN1297" s="8" t="n">
        <v>30</v>
      </c>
      <c r="AO1297" s="8" t="str">
        <v>8392 / 裸色羊京绒 / 6574</v>
      </c>
      <c r="AP1297" s="11" t="n">
        <v>1.1743420411079069</v>
      </c>
      <c r="AQ1297" s="11" t="n">
        <v>1.1743420411079069</v>
      </c>
      <c r="AR1297" s="11" t="n">
        <v>1.144331424468921</v>
      </c>
      <c r="AS1297" s="11" t="n">
        <f>IF(AND(COUNT(I1297:K1297,AP1297:AR1297)=6,MIN(AP1297:AR1297)&gt;0),I1297/7/AP1297*0.5+J1297/14/AQ1297*0.3+K1297/30/AR1297*0.2,"")</f>
        <v>0</v>
      </c>
      <c r="AT1297" s="8" t="n">
        <v>0</v>
      </c>
      <c r="AU1297" s="8" t="n">
        <v>0</v>
      </c>
      <c r="AV1297" s="8" t="n">
        <v>88</v>
      </c>
      <c r="AW1297" s="11" t="n">
        <f>IF(AND(COUNT(AT1297:AV1297)=3,AT1297&gt;=AU1297,AU1297&gt;=0,AV1297&gt;0),(AT1297-AU1297)/AV1297,"")</f>
        <v>0</v>
      </c>
      <c r="AX1297" s="8" t="n">
        <v>0</v>
      </c>
      <c r="AY1297" s="8" t="n">
        <v>0</v>
      </c>
      <c r="AZ1297" s="8" t="n">
        <v>178</v>
      </c>
      <c r="BA1297" s="11" t="n">
        <f>IF(AND(COUNT(AX1297:AZ1297)=3,AX1297&gt;=AY1297,AY1297&gt;=0,AZ1297&gt;0),(AX1297-AY1297)/AZ1297,"")</f>
        <v>0</v>
      </c>
      <c r="BB1297" s="8" t="n">
        <f>IF(COUNT(AS1297,AW1297,BA1297)=3,1,0)</f>
        <v>1</v>
      </c>
      <c r="BC1297" s="11" t="n">
        <f>IF(SUMIF($AO$11:$AO$1309,AO1297,$BB$11:$BB$1309)=COUNTIF($AO$11:$AO$1309,AO1297),SUMIF($AO$11:$AO$1309,AO1297,$AS$11:$AS$1309),"")</f>
        <v>2.532116178578144</v>
      </c>
      <c r="BD1297" s="11" t="n">
        <f>IF(SUMIF($AO$11:$AO$1309,AO1297,$BB$11:$BB$1309)=COUNTIF($AO$11:$AO$1309,AO1297),SUMIF($AO$11:$AO$1309,AO1297,$AW$11:$AW$1309),"")</f>
        <v>1.3068181818181819</v>
      </c>
      <c r="BE1297" s="11" t="n">
        <f>IF(SUMIF($AO$11:$AO$1309,AO1297,$BB$11:$BB$1309)=COUNTIF($AO$11:$AO$1309,AO1297),SUMIF($AO$11:$AO$1309,AO1297,$BA$11:$BA$1309),"")</f>
        <v>1.3707865168539328</v>
      </c>
      <c r="BF1297" s="12" t="n">
        <f>IF(COUNT(BD1297:BE1297)&lt;&gt;2,"",IF(AND(BD1297&gt;0,BE1297&gt;0),0.7*AW1297/BD1297+0.3*BA1297/BE1297,IF(BD1297&gt;0,AW1297/BD1297,IF(BE1297&gt;0,BA1297/BE1297,IF(AND(ISNUMBER(BH1297),BH1297=0),0,"")))))</f>
        <v>0</v>
      </c>
      <c r="BG1297" s="11" t="n">
        <f>IF(AND(COUNT(BN1297:BU1297)=8,MIN(BN1297:BU1297)&gt;=0),SUMPRODUCT(BN1297:BQ1297,BR1297:BU1297),"")</f>
        <v>96.68059267618935</v>
      </c>
      <c r="BH1297" s="11" t="n">
        <f>IF(COUNT(BC1297,BG1297)=2,BC1297*BG1297,"")</f>
        <v>244.80649286990268</v>
      </c>
      <c r="BI1297" s="11" t="n">
        <f>IF(ISNUMBER(CI1297),CI1297,"")</f>
        <v>0</v>
      </c>
      <c r="BJ1297" s="8" t="str"/>
      <c r="BK1297" s="8" t="str">
        <v>90天：2026-07-20 至 2026-10-17；180天：2026-04-21 至 2026-10-17</v>
      </c>
      <c r="BL1297" s="8" t="str">
        <v>90天：2026-10-06、2026-10-07；180天：2026-10-06、2026-10-07</v>
      </c>
      <c r="BM1297" s="8" t="str">
        <v>2026-10：12天 × 1.1743420411079069；2026-11：30天 × 1.281694931279211；2026-12：31天 × 0.9007634642750235；2027-01：17天 × 0.9537631089407297</v>
      </c>
      <c r="BN1297" s="11" t="n">
        <v>1.1743420411079069</v>
      </c>
      <c r="BO1297" s="11" t="n">
        <v>1.281694931279211</v>
      </c>
      <c r="BP1297" s="11" t="n">
        <v>0.9007634642750235</v>
      </c>
      <c r="BQ1297" s="11" t="n">
        <v>0.9537631089407297</v>
      </c>
      <c r="BR1297" s="8" t="n">
        <v>12</v>
      </c>
      <c r="BS1297" s="8" t="n">
        <v>30</v>
      </c>
      <c r="BT1297" s="8" t="n">
        <v>31</v>
      </c>
      <c r="BU1297" s="8" t="n">
        <v>17</v>
      </c>
      <c r="BV1297" s="11" t="n">
        <f>IF(COUNT(BC1297,BF1297)=2,BC1297*BF1297,"")</f>
        <v>0</v>
      </c>
      <c r="BW1297" s="11" t="n">
        <f>IF(ISNUMBER(BN1297),BN1297,"")</f>
        <v>1.1743420411079069</v>
      </c>
      <c r="BX1297" s="14" t="n">
        <f>IF(ISNUMBER(BR1297),BR1297,"")</f>
        <v>12</v>
      </c>
      <c r="BY1297" s="13" t="n">
        <f>IF(AND(COUNT(BV1297,BW1297,BX1297)=3,MIN(BV1297,BW1297,BX1297)&gt;=0),BV1297*BW1297*BX1297,"")</f>
        <v>0</v>
      </c>
      <c r="BZ1297" s="11" t="n">
        <f>IF(ISNUMBER(BO1297),BO1297,"")</f>
        <v>1.281694931279211</v>
      </c>
      <c r="CA1297" s="14" t="n">
        <f>IF(ISNUMBER(BS1297),BS1297,"")</f>
        <v>30</v>
      </c>
      <c r="CB1297" s="13" t="n">
        <f>IF(AND(COUNT(BV1297,BZ1297,CA1297)=3,MIN(BV1297,BZ1297,CA1297)&gt;=0),BV1297*BZ1297*CA1297,"")</f>
        <v>0</v>
      </c>
      <c r="CC1297" s="11" t="n">
        <f>IF(ISNUMBER(BP1297),BP1297,"")</f>
        <v>0.9007634642750235</v>
      </c>
      <c r="CD1297" s="14" t="n">
        <f>IF(ISNUMBER(BT1297),BT1297,"")</f>
        <v>31</v>
      </c>
      <c r="CE1297" s="13" t="n">
        <f>IF(AND(COUNT(BV1297,CC1297,CD1297)=3,MIN(BV1297,CC1297,CD1297)&gt;=0),BV1297*CC1297*CD1297,"")</f>
        <v>0</v>
      </c>
      <c r="CF1297" s="11" t="n">
        <f>IF(ISNUMBER(BQ1297),BQ1297,"")</f>
        <v>0.9537631089407297</v>
      </c>
      <c r="CG1297" s="14" t="n">
        <f>IF(ISNUMBER(BU1297),BU1297,"")</f>
        <v>17</v>
      </c>
      <c r="CH1297" s="13" t="n">
        <f>IF(AND(COUNT(BV1297,CF1297,CG1297)=3,MIN(BV1297,CF1297,CG1297)&gt;=0),BV1297*CF1297*CG1297,"")</f>
        <v>0</v>
      </c>
      <c r="CI1297" s="13" t="n">
        <f>IF(COUNT(BY1297,CB1297,CE1297,CH1297)=4,SUM(BY1297,CB1297,CE1297,CH1297),"")</f>
        <v>0</v>
      </c>
    </row>
    <row r="1298" ht="72" customHeight="1">
      <c r="A1298" s="16" t="str">
        <v>8392-ND-41.5</v>
      </c>
      <c r="B1298" s="16" t="str">
        <v>3店-SANDIEX-US</v>
      </c>
      <c r="C1298" s="16" t="str">
        <v>徐新怡</v>
      </c>
      <c r="D1298" s="26" t="str">
        <f>IF(NOT(ISNUMBER(E1298)),"",IF(OR(E1298&lt;=0,L1298=0),0,IF(OR(NOT(ISNUMBER(F1298)),F1298&lt;0),"",MIN(E1298,INT(F1298)))))</f>
      </c>
      <c r="E1298" s="27" t="str">
        <f>IF(OR(NOT(ISNUMBER(L1298)),COUNT(M1298:O1298)&lt;&gt;3,MIN(M1298:O1298)&lt;0),"",ROUNDUP(ROUND(BI1298-SUM(M1298:O1298),10),0))</f>
      </c>
      <c r="F1298" s="28" t="n">
        <v>0</v>
      </c>
      <c r="G1298" s="28" t="str">
        <f>IF(AND(ISNUMBER(D1298),ISNUMBER(E1298)),IF(OR(E1298&lt;=0,L1298=0),0,E1298-D1298),"")</f>
      </c>
      <c r="H1298" s="16" t="str">
        <f>IF(NOT(ISNUMBER(E1298)),"销量或海外库存待补",IF(OR(E1298&lt;=0,L1298=0),IF(L1298=0,"零日销，本批不发","本批无需补货"),IF(NOT(ISNUMBER(D1298)),"国内库存待补",IF(D1298=0,"国内无可用库存",IF(G1298&gt;0,"先发国内现货","按建议量发货")))))</f>
        <v>销量或海外库存待补</v>
      </c>
      <c r="I1298" s="28" t="n">
        <f>IF(AND(COUNT(Z1298,AA1298,AB1298)=3,Z1298&gt;=AA1298,AA1298&gt;=0,AB1298=7),Z1298-AA1298,"")</f>
        <v>0</v>
      </c>
      <c r="J1298" s="28" t="n">
        <f>IF(AND(COUNT(AF1298,AG1298,AH1298)=3,AF1298&gt;=AG1298,AG1298&gt;=0,AH1298=14),AF1298-AG1298,"")</f>
        <v>0</v>
      </c>
      <c r="K1298" s="28" t="n">
        <f>IF(AND(COUNT(AL1298,AM1298,AN1298)=3,AL1298&gt;=AM1298,AM1298&gt;=0,AN1298=30),AL1298-AM1298,"")</f>
        <v>0</v>
      </c>
      <c r="L1298" s="29" t="n">
        <f>IF(ISNUMBER(BI1298),BI1298/90,"")</f>
        <v>0</v>
      </c>
      <c r="M1298" s="28"/>
      <c r="N1298" s="28"/>
      <c r="O1298" s="28"/>
      <c r="P1298" s="30" t="str">
        <f>IF(AND(ISNUMBER(L1298),L1298&gt;0,COUNT(M1298:O1298)=3,MIN(M1298:O1298)&gt;=0),SUM(M1298:O1298)/L1298,"")</f>
      </c>
      <c r="Q1298" s="16" t="str">
        <v>新增SPU唯一在售店铺</v>
      </c>
      <c r="R1298" s="16" t="str">
        <v>已匹配</v>
      </c>
      <c r="S1298" s="16" t="str">
        <v>未匹配Listing</v>
      </c>
      <c r="T1298" s="16" t="str">
        <v>8392</v>
      </c>
      <c r="U1298" s="16" t="str">
        <v>裸色</v>
      </c>
      <c r="V1298" s="16" t="n">
        <v>10.5</v>
      </c>
      <c r="W1298" s="8" t="str">
        <v>2026-10-11 至 2026-10-17</v>
      </c>
      <c r="X1298" s="8" t="str">
        <v>2026-10-11、2026-10-12、2026-10-13、2026-10-14、2026-10-15、2026-10-16、2026-10-17</v>
      </c>
      <c r="Y1298" s="8" t="str">
        <v>无</v>
      </c>
      <c r="Z1298" s="8" t="n">
        <v>0</v>
      </c>
      <c r="AA1298" s="8" t="n">
        <v>0</v>
      </c>
      <c r="AB1298" s="8" t="n">
        <v>7</v>
      </c>
      <c r="AC1298" s="8" t="str">
        <v>2026-10-02 至 2026-10-17</v>
      </c>
      <c r="AD1298" s="8" t="str">
        <v>2026-10-02、2026-10-03、2026-10-04、2026-10-05、2026-10-08、2026-10-09、2026-10-10、2026-10-11、2026-10-12、2026-10-13、2026-10-14、2026-10-15、2026-10-16、2026-10-17</v>
      </c>
      <c r="AE1298" s="8" t="str">
        <v>2026-10-06 大促；2026-10-07 大促</v>
      </c>
      <c r="AF1298" s="8" t="n">
        <v>0</v>
      </c>
      <c r="AG1298" s="8" t="n">
        <v>0</v>
      </c>
      <c r="AH1298" s="8" t="n">
        <v>14</v>
      </c>
      <c r="AI1298" s="8" t="str">
        <v>2026-09-16 至 2026-10-17</v>
      </c>
      <c r="AJ129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8" s="8" t="str">
        <v>2026-10-06 大促；2026-10-07 大促</v>
      </c>
      <c r="AL1298" s="8" t="n">
        <v>0</v>
      </c>
      <c r="AM1298" s="8" t="n">
        <v>0</v>
      </c>
      <c r="AN1298" s="8" t="n">
        <v>30</v>
      </c>
      <c r="AO1298" s="8" t="str">
        <v>8392 / 裸色羊京绒 / 6574</v>
      </c>
      <c r="AP1298" s="11" t="n">
        <v>1.1743420411079069</v>
      </c>
      <c r="AQ1298" s="11" t="n">
        <v>1.1743420411079069</v>
      </c>
      <c r="AR1298" s="11" t="n">
        <v>1.144331424468921</v>
      </c>
      <c r="AS1298" s="11" t="n">
        <f>IF(AND(COUNT(I1298:K1298,AP1298:AR1298)=6,MIN(AP1298:AR1298)&gt;0),I1298/7/AP1298*0.5+J1298/14/AQ1298*0.3+K1298/30/AR1298*0.2,"")</f>
        <v>0</v>
      </c>
      <c r="AT1298" s="8" t="n">
        <v>0</v>
      </c>
      <c r="AU1298" s="8" t="n">
        <v>0</v>
      </c>
      <c r="AV1298" s="8" t="n">
        <v>88</v>
      </c>
      <c r="AW1298" s="11" t="n">
        <f>IF(AND(COUNT(AT1298:AV1298)=3,AT1298&gt;=AU1298,AU1298&gt;=0,AV1298&gt;0),(AT1298-AU1298)/AV1298,"")</f>
        <v>0</v>
      </c>
      <c r="AX1298" s="8" t="n">
        <v>0</v>
      </c>
      <c r="AY1298" s="8" t="n">
        <v>0</v>
      </c>
      <c r="AZ1298" s="8" t="n">
        <v>178</v>
      </c>
      <c r="BA1298" s="11" t="n">
        <f>IF(AND(COUNT(AX1298:AZ1298)=3,AX1298&gt;=AY1298,AY1298&gt;=0,AZ1298&gt;0),(AX1298-AY1298)/AZ1298,"")</f>
        <v>0</v>
      </c>
      <c r="BB1298" s="8" t="n">
        <f>IF(COUNT(AS1298,AW1298,BA1298)=3,1,0)</f>
        <v>1</v>
      </c>
      <c r="BC1298" s="11" t="n">
        <f>IF(SUMIF($AO$11:$AO$1309,AO1298,$BB$11:$BB$1309)=COUNTIF($AO$11:$AO$1309,AO1298),SUMIF($AO$11:$AO$1309,AO1298,$AS$11:$AS$1309),"")</f>
        <v>2.532116178578144</v>
      </c>
      <c r="BD1298" s="11" t="n">
        <f>IF(SUMIF($AO$11:$AO$1309,AO1298,$BB$11:$BB$1309)=COUNTIF($AO$11:$AO$1309,AO1298),SUMIF($AO$11:$AO$1309,AO1298,$AW$11:$AW$1309),"")</f>
        <v>1.3068181818181819</v>
      </c>
      <c r="BE1298" s="11" t="n">
        <f>IF(SUMIF($AO$11:$AO$1309,AO1298,$BB$11:$BB$1309)=COUNTIF($AO$11:$AO$1309,AO1298),SUMIF($AO$11:$AO$1309,AO1298,$BA$11:$BA$1309),"")</f>
        <v>1.3707865168539328</v>
      </c>
      <c r="BF1298" s="12" t="n">
        <f>IF(COUNT(BD1298:BE1298)&lt;&gt;2,"",IF(AND(BD1298&gt;0,BE1298&gt;0),0.7*AW1298/BD1298+0.3*BA1298/BE1298,IF(BD1298&gt;0,AW1298/BD1298,IF(BE1298&gt;0,BA1298/BE1298,IF(AND(ISNUMBER(BH1298),BH1298=0),0,"")))))</f>
        <v>0</v>
      </c>
      <c r="BG1298" s="11" t="n">
        <f>IF(AND(COUNT(BN1298:BU1298)=8,MIN(BN1298:BU1298)&gt;=0),SUMPRODUCT(BN1298:BQ1298,BR1298:BU1298),"")</f>
        <v>96.68059267618935</v>
      </c>
      <c r="BH1298" s="11" t="n">
        <f>IF(COUNT(BC1298,BG1298)=2,BC1298*BG1298,"")</f>
        <v>244.80649286990268</v>
      </c>
      <c r="BI1298" s="11" t="n">
        <f>IF(ISNUMBER(CI1298),CI1298,"")</f>
        <v>0</v>
      </c>
      <c r="BJ1298" s="8" t="str"/>
      <c r="BK1298" s="8" t="str">
        <v>90天：2026-07-20 至 2026-10-17；180天：2026-04-21 至 2026-10-17</v>
      </c>
      <c r="BL1298" s="8" t="str">
        <v>90天：2026-10-06、2026-10-07；180天：2026-10-06、2026-10-07</v>
      </c>
      <c r="BM1298" s="8" t="str">
        <v>2026-10：12天 × 1.1743420411079069；2026-11：30天 × 1.281694931279211；2026-12：31天 × 0.9007634642750235；2027-01：17天 × 0.9537631089407297</v>
      </c>
      <c r="BN1298" s="11" t="n">
        <v>1.1743420411079069</v>
      </c>
      <c r="BO1298" s="11" t="n">
        <v>1.281694931279211</v>
      </c>
      <c r="BP1298" s="11" t="n">
        <v>0.9007634642750235</v>
      </c>
      <c r="BQ1298" s="11" t="n">
        <v>0.9537631089407297</v>
      </c>
      <c r="BR1298" s="8" t="n">
        <v>12</v>
      </c>
      <c r="BS1298" s="8" t="n">
        <v>30</v>
      </c>
      <c r="BT1298" s="8" t="n">
        <v>31</v>
      </c>
      <c r="BU1298" s="8" t="n">
        <v>17</v>
      </c>
      <c r="BV1298" s="11" t="n">
        <f>IF(COUNT(BC1298,BF1298)=2,BC1298*BF1298,"")</f>
        <v>0</v>
      </c>
      <c r="BW1298" s="11" t="n">
        <f>IF(ISNUMBER(BN1298),BN1298,"")</f>
        <v>1.1743420411079069</v>
      </c>
      <c r="BX1298" s="14" t="n">
        <f>IF(ISNUMBER(BR1298),BR1298,"")</f>
        <v>12</v>
      </c>
      <c r="BY1298" s="13" t="n">
        <f>IF(AND(COUNT(BV1298,BW1298,BX1298)=3,MIN(BV1298,BW1298,BX1298)&gt;=0),BV1298*BW1298*BX1298,"")</f>
        <v>0</v>
      </c>
      <c r="BZ1298" s="11" t="n">
        <f>IF(ISNUMBER(BO1298),BO1298,"")</f>
        <v>1.281694931279211</v>
      </c>
      <c r="CA1298" s="14" t="n">
        <f>IF(ISNUMBER(BS1298),BS1298,"")</f>
        <v>30</v>
      </c>
      <c r="CB1298" s="13" t="n">
        <f>IF(AND(COUNT(BV1298,BZ1298,CA1298)=3,MIN(BV1298,BZ1298,CA1298)&gt;=0),BV1298*BZ1298*CA1298,"")</f>
        <v>0</v>
      </c>
      <c r="CC1298" s="11" t="n">
        <f>IF(ISNUMBER(BP1298),BP1298,"")</f>
        <v>0.9007634642750235</v>
      </c>
      <c r="CD1298" s="14" t="n">
        <f>IF(ISNUMBER(BT1298),BT1298,"")</f>
        <v>31</v>
      </c>
      <c r="CE1298" s="13" t="n">
        <f>IF(AND(COUNT(BV1298,CC1298,CD1298)=3,MIN(BV1298,CC1298,CD1298)&gt;=0),BV1298*CC1298*CD1298,"")</f>
        <v>0</v>
      </c>
      <c r="CF1298" s="11" t="n">
        <f>IF(ISNUMBER(BQ1298),BQ1298,"")</f>
        <v>0.9537631089407297</v>
      </c>
      <c r="CG1298" s="14" t="n">
        <f>IF(ISNUMBER(BU1298),BU1298,"")</f>
        <v>17</v>
      </c>
      <c r="CH1298" s="13" t="n">
        <f>IF(AND(COUNT(BV1298,CF1298,CG1298)=3,MIN(BV1298,CF1298,CG1298)&gt;=0),BV1298*CF1298*CG1298,"")</f>
        <v>0</v>
      </c>
      <c r="CI1298" s="13" t="n">
        <f>IF(COUNT(BY1298,CB1298,CE1298,CH1298)=4,SUM(BY1298,CB1298,CE1298,CH1298),"")</f>
        <v>0</v>
      </c>
    </row>
    <row r="1299" ht="72" customHeight="1">
      <c r="A1299" s="16" t="str">
        <v>8392-NY-S-K-37.5</v>
      </c>
      <c r="B1299" s="16" t="str">
        <v>3店-SANDIEX-US</v>
      </c>
      <c r="C1299" s="16" t="str">
        <v>徐新怡</v>
      </c>
      <c r="D1299" s="26" t="str">
        <f>IF(NOT(ISNUMBER(E1299)),"",IF(OR(E1299&lt;=0,L1299=0),0,IF(OR(NOT(ISNUMBER(F1299)),F1299&lt;0),"",MIN(E1299,INT(F1299)))))</f>
      </c>
      <c r="E1299" s="27" t="str">
        <f>IF(OR(NOT(ISNUMBER(L1299)),COUNT(M1299:O1299)&lt;&gt;3,MIN(M1299:O1299)&lt;0),"",ROUNDUP(ROUND(BI1299-SUM(M1299:O1299),10),0))</f>
      </c>
      <c r="F1299" s="28"/>
      <c r="G1299" s="28" t="str">
        <f>IF(AND(ISNUMBER(D1299),ISNUMBER(E1299)),IF(OR(E1299&lt;=0,L1299=0),0,E1299-D1299),"")</f>
      </c>
      <c r="H1299" s="16" t="str">
        <f>IF(NOT(ISNUMBER(E1299)),"销量或海外库存待补",IF(OR(E1299&lt;=0,L1299=0),IF(L1299=0,"零日销，本批不发","本批无需补货"),IF(NOT(ISNUMBER(D1299)),"国内库存待补",IF(D1299=0,"国内无可用库存",IF(G1299&gt;0,"先发国内现货","按建议量发货")))))</f>
        <v>销量或海外库存待补</v>
      </c>
      <c r="I1299" s="28" t="n">
        <f>IF(AND(COUNT(Z1299,AA1299,AB1299)=3,Z1299&gt;=AA1299,AA1299&gt;=0,AB1299=7),Z1299-AA1299,"")</f>
        <v>0</v>
      </c>
      <c r="J1299" s="28" t="n">
        <f>IF(AND(COUNT(AF1299,AG1299,AH1299)=3,AF1299&gt;=AG1299,AG1299&gt;=0,AH1299=14),AF1299-AG1299,"")</f>
        <v>0</v>
      </c>
      <c r="K1299" s="28" t="n">
        <f>IF(AND(COUNT(AL1299,AM1299,AN1299)=3,AL1299&gt;=AM1299,AM1299&gt;=0,AN1299=30),AL1299-AM1299,"")</f>
        <v>0</v>
      </c>
      <c r="L1299" s="29" t="n">
        <f>IF(ISNUMBER(BI1299),BI1299/90,"")</f>
        <v>0</v>
      </c>
      <c r="M1299" s="28"/>
      <c r="N1299" s="28"/>
      <c r="O1299" s="28"/>
      <c r="P1299" s="30" t="str">
        <f>IF(AND(ISNUMBER(L1299),L1299&gt;0,COUNT(M1299:O1299)=3,MIN(M1299:O1299)&gt;=0),SUM(M1299:O1299)/L1299,"")</f>
      </c>
      <c r="Q1299" s="16" t="str">
        <v>新增SPU唯一在售店铺</v>
      </c>
      <c r="R1299" s="16" t="str">
        <v>未匹配</v>
      </c>
      <c r="S1299" s="16" t="str">
        <v>未匹配Listing</v>
      </c>
      <c r="T1299" s="16" t="str">
        <v>8392</v>
      </c>
      <c r="U1299" s="16" t="str">
        <v>藏青色</v>
      </c>
      <c r="V1299" s="16" t="n">
        <v>6.5</v>
      </c>
      <c r="W1299" s="8" t="str">
        <v>2026-10-11 至 2026-10-17</v>
      </c>
      <c r="X1299" s="8" t="str">
        <v>2026-10-11、2026-10-12、2026-10-13、2026-10-14、2026-10-15、2026-10-16、2026-10-17</v>
      </c>
      <c r="Y1299" s="8" t="str">
        <v>无</v>
      </c>
      <c r="Z1299" s="8" t="n">
        <v>0</v>
      </c>
      <c r="AA1299" s="8" t="n">
        <v>0</v>
      </c>
      <c r="AB1299" s="8" t="n">
        <v>7</v>
      </c>
      <c r="AC1299" s="8" t="str">
        <v>2026-10-02 至 2026-10-17</v>
      </c>
      <c r="AD1299" s="8" t="str">
        <v>2026-10-02、2026-10-03、2026-10-04、2026-10-05、2026-10-08、2026-10-09、2026-10-10、2026-10-11、2026-10-12、2026-10-13、2026-10-14、2026-10-15、2026-10-16、2026-10-17</v>
      </c>
      <c r="AE1299" s="8" t="str">
        <v>2026-10-06 大促；2026-10-07 大促</v>
      </c>
      <c r="AF1299" s="8" t="n">
        <v>0</v>
      </c>
      <c r="AG1299" s="8" t="n">
        <v>0</v>
      </c>
      <c r="AH1299" s="8" t="n">
        <v>14</v>
      </c>
      <c r="AI1299" s="8" t="str">
        <v>2026-09-16 至 2026-10-17</v>
      </c>
      <c r="AJ129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299" s="8" t="str">
        <v>2026-10-06 大促；2026-10-07 大促</v>
      </c>
      <c r="AL1299" s="8" t="n">
        <v>0</v>
      </c>
      <c r="AM1299" s="8" t="n">
        <v>0</v>
      </c>
      <c r="AN1299" s="8" t="n">
        <v>30</v>
      </c>
      <c r="AO1299" s="8" t="str">
        <v>8392 / 藏青色羊京绒 / 6574</v>
      </c>
      <c r="AP1299" s="11" t="n">
        <v>1.1743420411079069</v>
      </c>
      <c r="AQ1299" s="11" t="n">
        <v>1.1743420411079069</v>
      </c>
      <c r="AR1299" s="11" t="n">
        <v>1.144331424468921</v>
      </c>
      <c r="AS1299" s="11" t="n">
        <f>IF(AND(COUNT(I1299:K1299,AP1299:AR1299)=6,MIN(AP1299:AR1299)&gt;0),I1299/7/AP1299*0.5+J1299/14/AQ1299*0.3+K1299/30/AR1299*0.2,"")</f>
        <v>0</v>
      </c>
      <c r="AT1299" s="8" t="n">
        <v>0</v>
      </c>
      <c r="AU1299" s="8" t="n">
        <v>0</v>
      </c>
      <c r="AV1299" s="8" t="n">
        <v>88</v>
      </c>
      <c r="AW1299" s="11" t="n">
        <f>IF(AND(COUNT(AT1299:AV1299)=3,AT1299&gt;=AU1299,AU1299&gt;=0,AV1299&gt;0),(AT1299-AU1299)/AV1299,"")</f>
        <v>0</v>
      </c>
      <c r="AX1299" s="8" t="n">
        <v>0</v>
      </c>
      <c r="AY1299" s="8" t="n">
        <v>0</v>
      </c>
      <c r="AZ1299" s="8" t="n">
        <v>178</v>
      </c>
      <c r="BA1299" s="11" t="n">
        <f>IF(AND(COUNT(AX1299:AZ1299)=3,AX1299&gt;=AY1299,AY1299&gt;=0,AZ1299&gt;0),(AX1299-AY1299)/AZ1299,"")</f>
        <v>0</v>
      </c>
      <c r="BB1299" s="8" t="n">
        <f>IF(COUNT(AS1299,AW1299,BA1299)=3,1,0)</f>
        <v>1</v>
      </c>
      <c r="BC1299" s="11" t="n">
        <f>IF(SUMIF($AO$11:$AO$1309,AO1299,$BB$11:$BB$1309)=COUNTIF($AO$11:$AO$1309,AO1299),SUMIF($AO$11:$AO$1309,AO1299,$AS$11:$AS$1309),"")</f>
        <v>0.6185202058446071</v>
      </c>
      <c r="BD1299" s="11" t="n">
        <f>IF(SUMIF($AO$11:$AO$1309,AO1299,$BB$11:$BB$1309)=COUNTIF($AO$11:$AO$1309,AO1299),SUMIF($AO$11:$AO$1309,AO1299,$AW$11:$AW$1309),"")</f>
        <v>0.20655080213903745</v>
      </c>
      <c r="BE1299" s="11" t="n">
        <f>IF(SUMIF($AO$11:$AO$1309,AO1299,$BB$11:$BB$1309)=COUNTIF($AO$11:$AO$1309,AO1299),SUMIF($AO$11:$AO$1309,AO1299,$BA$11:$BA$1309),"")</f>
        <v>0.6192937399678973</v>
      </c>
      <c r="BF1299" s="12" t="n">
        <f>IF(COUNT(BD1299:BE1299)&lt;&gt;2,"",IF(AND(BD1299&gt;0,BE1299&gt;0),0.7*AW1299/BD1299+0.3*BA1299/BE1299,IF(BD1299&gt;0,AW1299/BD1299,IF(BE1299&gt;0,BA1299/BE1299,IF(AND(ISNUMBER(BH1299),BH1299=0),0,"")))))</f>
        <v>0</v>
      </c>
      <c r="BG1299" s="11" t="n">
        <f>IF(AND(COUNT(BN1299:BU1299)=8,MIN(BN1299:BU1299)&gt;=0),SUMPRODUCT(BN1299:BQ1299,BR1299:BU1299),"")</f>
        <v>96.68059267618935</v>
      </c>
      <c r="BH1299" s="11" t="n">
        <f>IF(COUNT(BC1299,BG1299)=2,BC1299*BG1299,"")</f>
        <v>59.79890008325525</v>
      </c>
      <c r="BI1299" s="11" t="n">
        <f>IF(ISNUMBER(CI1299),CI1299,"")</f>
        <v>0</v>
      </c>
      <c r="BJ1299" s="8" t="str"/>
      <c r="BK1299" s="8" t="str">
        <v>90天：2026-07-20 至 2026-10-17；180天：2026-04-21 至 2026-10-17</v>
      </c>
      <c r="BL1299" s="8" t="str">
        <v>90天：2026-10-06、2026-10-07；180天：2026-10-06、2026-10-07</v>
      </c>
      <c r="BM1299" s="8" t="str">
        <v>2026-10：12天 × 1.1743420411079069；2026-11：30天 × 1.281694931279211；2026-12：31天 × 0.9007634642750235；2027-01：17天 × 0.9537631089407297</v>
      </c>
      <c r="BN1299" s="11" t="n">
        <v>1.1743420411079069</v>
      </c>
      <c r="BO1299" s="11" t="n">
        <v>1.281694931279211</v>
      </c>
      <c r="BP1299" s="11" t="n">
        <v>0.9007634642750235</v>
      </c>
      <c r="BQ1299" s="11" t="n">
        <v>0.9537631089407297</v>
      </c>
      <c r="BR1299" s="8" t="n">
        <v>12</v>
      </c>
      <c r="BS1299" s="8" t="n">
        <v>30</v>
      </c>
      <c r="BT1299" s="8" t="n">
        <v>31</v>
      </c>
      <c r="BU1299" s="8" t="n">
        <v>17</v>
      </c>
      <c r="BV1299" s="11" t="n">
        <f>IF(COUNT(BC1299,BF1299)=2,BC1299*BF1299,"")</f>
        <v>0</v>
      </c>
      <c r="BW1299" s="11" t="n">
        <f>IF(ISNUMBER(BN1299),BN1299,"")</f>
        <v>1.1743420411079069</v>
      </c>
      <c r="BX1299" s="14" t="n">
        <f>IF(ISNUMBER(BR1299),BR1299,"")</f>
        <v>12</v>
      </c>
      <c r="BY1299" s="13" t="n">
        <f>IF(AND(COUNT(BV1299,BW1299,BX1299)=3,MIN(BV1299,BW1299,BX1299)&gt;=0),BV1299*BW1299*BX1299,"")</f>
        <v>0</v>
      </c>
      <c r="BZ1299" s="11" t="n">
        <f>IF(ISNUMBER(BO1299),BO1299,"")</f>
        <v>1.281694931279211</v>
      </c>
      <c r="CA1299" s="14" t="n">
        <f>IF(ISNUMBER(BS1299),BS1299,"")</f>
        <v>30</v>
      </c>
      <c r="CB1299" s="13" t="n">
        <f>IF(AND(COUNT(BV1299,BZ1299,CA1299)=3,MIN(BV1299,BZ1299,CA1299)&gt;=0),BV1299*BZ1299*CA1299,"")</f>
        <v>0</v>
      </c>
      <c r="CC1299" s="11" t="n">
        <f>IF(ISNUMBER(BP1299),BP1299,"")</f>
        <v>0.9007634642750235</v>
      </c>
      <c r="CD1299" s="14" t="n">
        <f>IF(ISNUMBER(BT1299),BT1299,"")</f>
        <v>31</v>
      </c>
      <c r="CE1299" s="13" t="n">
        <f>IF(AND(COUNT(BV1299,CC1299,CD1299)=3,MIN(BV1299,CC1299,CD1299)&gt;=0),BV1299*CC1299*CD1299,"")</f>
        <v>0</v>
      </c>
      <c r="CF1299" s="11" t="n">
        <f>IF(ISNUMBER(BQ1299),BQ1299,"")</f>
        <v>0.9537631089407297</v>
      </c>
      <c r="CG1299" s="14" t="n">
        <f>IF(ISNUMBER(BU1299),BU1299,"")</f>
        <v>17</v>
      </c>
      <c r="CH1299" s="13" t="n">
        <f>IF(AND(COUNT(BV1299,CF1299,CG1299)=3,MIN(BV1299,CF1299,CG1299)&gt;=0),BV1299*CF1299*CG1299,"")</f>
        <v>0</v>
      </c>
      <c r="CI1299" s="13" t="n">
        <f>IF(COUNT(BY1299,CB1299,CE1299,CH1299)=4,SUM(BY1299,CB1299,CE1299,CH1299),"")</f>
        <v>0</v>
      </c>
    </row>
    <row r="1300" ht="72" customHeight="1">
      <c r="A1300" s="16" t="str">
        <v>8392-NY-S-K-38.5</v>
      </c>
      <c r="B1300" s="16" t="str">
        <v>3店-SANDIEX-US</v>
      </c>
      <c r="C1300" s="16" t="str">
        <v>徐新怡</v>
      </c>
      <c r="D1300" s="26" t="str">
        <f>IF(NOT(ISNUMBER(E1300)),"",IF(OR(E1300&lt;=0,L1300=0),0,IF(OR(NOT(ISNUMBER(F1300)),F1300&lt;0),"",MIN(E1300,INT(F1300)))))</f>
      </c>
      <c r="E1300" s="27" t="str">
        <f>IF(OR(NOT(ISNUMBER(L1300)),COUNT(M1300:O1300)&lt;&gt;3,MIN(M1300:O1300)&lt;0),"",ROUNDUP(ROUND(BI1300-SUM(M1300:O1300),10),0))</f>
      </c>
      <c r="F1300" s="28" t="n">
        <v>0</v>
      </c>
      <c r="G1300" s="28" t="str">
        <f>IF(AND(ISNUMBER(D1300),ISNUMBER(E1300)),IF(OR(E1300&lt;=0,L1300=0),0,E1300-D1300),"")</f>
      </c>
      <c r="H1300" s="16" t="str">
        <f>IF(NOT(ISNUMBER(E1300)),"销量或海外库存待补",IF(OR(E1300&lt;=0,L1300=0),IF(L1300=0,"零日销，本批不发","本批无需补货"),IF(NOT(ISNUMBER(D1300)),"国内库存待补",IF(D1300=0,"国内无可用库存",IF(G1300&gt;0,"先发国内现货","按建议量发货")))))</f>
        <v>销量或海外库存待补</v>
      </c>
      <c r="I1300" s="28" t="n">
        <f>IF(AND(COUNT(Z1300,AA1300,AB1300)=3,Z1300&gt;=AA1300,AA1300&gt;=0,AB1300=7),Z1300-AA1300,"")</f>
        <v>0</v>
      </c>
      <c r="J1300" s="28" t="n">
        <f>IF(AND(COUNT(AF1300,AG1300,AH1300)=3,AF1300&gt;=AG1300,AG1300&gt;=0,AH1300=14),AF1300-AG1300,"")</f>
        <v>0</v>
      </c>
      <c r="K1300" s="28" t="n">
        <f>IF(AND(COUNT(AL1300,AM1300,AN1300)=3,AL1300&gt;=AM1300,AM1300&gt;=0,AN1300=30),AL1300-AM1300,"")</f>
        <v>0</v>
      </c>
      <c r="L1300" s="29" t="n">
        <f>IF(ISNUMBER(BI1300),BI1300/90,"")</f>
        <v>0</v>
      </c>
      <c r="M1300" s="28"/>
      <c r="N1300" s="28"/>
      <c r="O1300" s="28"/>
      <c r="P1300" s="30" t="str">
        <f>IF(AND(ISNUMBER(L1300),L1300&gt;0,COUNT(M1300:O1300)=3,MIN(M1300:O1300)&gt;=0),SUM(M1300:O1300)/L1300,"")</f>
      </c>
      <c r="Q1300" s="16" t="str">
        <v>新增SPU唯一在售店铺</v>
      </c>
      <c r="R1300" s="16" t="str">
        <v>已匹配</v>
      </c>
      <c r="S1300" s="16" t="str">
        <v>未匹配Listing</v>
      </c>
      <c r="T1300" s="16" t="str">
        <v>8392</v>
      </c>
      <c r="U1300" s="16" t="str">
        <v>藏青色</v>
      </c>
      <c r="V1300" s="16" t="n">
        <v>7.5</v>
      </c>
      <c r="W1300" s="8" t="str">
        <v>2026-10-11 至 2026-10-17</v>
      </c>
      <c r="X1300" s="8" t="str">
        <v>2026-10-11、2026-10-12、2026-10-13、2026-10-14、2026-10-15、2026-10-16、2026-10-17</v>
      </c>
      <c r="Y1300" s="8" t="str">
        <v>无</v>
      </c>
      <c r="Z1300" s="8" t="n">
        <v>0</v>
      </c>
      <c r="AA1300" s="8" t="n">
        <v>0</v>
      </c>
      <c r="AB1300" s="8" t="n">
        <v>7</v>
      </c>
      <c r="AC1300" s="8" t="str">
        <v>2026-10-02 至 2026-10-17</v>
      </c>
      <c r="AD1300" s="8" t="str">
        <v>2026-10-02、2026-10-03、2026-10-04、2026-10-05、2026-10-08、2026-10-09、2026-10-10、2026-10-11、2026-10-12、2026-10-13、2026-10-14、2026-10-15、2026-10-16、2026-10-17</v>
      </c>
      <c r="AE1300" s="8" t="str">
        <v>2026-10-06 大促；2026-10-07 大促</v>
      </c>
      <c r="AF1300" s="8" t="n">
        <v>0</v>
      </c>
      <c r="AG1300" s="8" t="n">
        <v>0</v>
      </c>
      <c r="AH1300" s="8" t="n">
        <v>14</v>
      </c>
      <c r="AI1300" s="8" t="str">
        <v>2026-09-16 至 2026-10-17</v>
      </c>
      <c r="AJ1300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0" s="8" t="str">
        <v>2026-10-06 大促；2026-10-07 大促</v>
      </c>
      <c r="AL1300" s="8" t="n">
        <v>0</v>
      </c>
      <c r="AM1300" s="8" t="n">
        <v>0</v>
      </c>
      <c r="AN1300" s="8" t="n">
        <v>30</v>
      </c>
      <c r="AO1300" s="8" t="str">
        <v>8392 / 藏青色羊京绒 / 6574</v>
      </c>
      <c r="AP1300" s="11" t="n">
        <v>1.1743420411079069</v>
      </c>
      <c r="AQ1300" s="11" t="n">
        <v>1.1743420411079069</v>
      </c>
      <c r="AR1300" s="11" t="n">
        <v>1.144331424468921</v>
      </c>
      <c r="AS1300" s="11" t="n">
        <f>IF(AND(COUNT(I1300:K1300,AP1300:AR1300)=6,MIN(AP1300:AR1300)&gt;0),I1300/7/AP1300*0.5+J1300/14/AQ1300*0.3+K1300/30/AR1300*0.2,"")</f>
        <v>0</v>
      </c>
      <c r="AT1300" s="8" t="n">
        <v>0</v>
      </c>
      <c r="AU1300" s="8" t="n">
        <v>0</v>
      </c>
      <c r="AV1300" s="8" t="n">
        <v>88</v>
      </c>
      <c r="AW1300" s="11" t="n">
        <f>IF(AND(COUNT(AT1300:AV1300)=3,AT1300&gt;=AU1300,AU1300&gt;=0,AV1300&gt;0),(AT1300-AU1300)/AV1300,"")</f>
        <v>0</v>
      </c>
      <c r="AX1300" s="8" t="n">
        <v>0</v>
      </c>
      <c r="AY1300" s="8" t="n">
        <v>0</v>
      </c>
      <c r="AZ1300" s="8" t="n">
        <v>178</v>
      </c>
      <c r="BA1300" s="11" t="n">
        <f>IF(AND(COUNT(AX1300:AZ1300)=3,AX1300&gt;=AY1300,AY1300&gt;=0,AZ1300&gt;0),(AX1300-AY1300)/AZ1300,"")</f>
        <v>0</v>
      </c>
      <c r="BB1300" s="8" t="n">
        <f>IF(COUNT(AS1300,AW1300,BA1300)=3,1,0)</f>
        <v>1</v>
      </c>
      <c r="BC1300" s="11" t="n">
        <f>IF(SUMIF($AO$11:$AO$1309,AO1300,$BB$11:$BB$1309)=COUNTIF($AO$11:$AO$1309,AO1300),SUMIF($AO$11:$AO$1309,AO1300,$AS$11:$AS$1309),"")</f>
        <v>0.6185202058446071</v>
      </c>
      <c r="BD1300" s="11" t="n">
        <f>IF(SUMIF($AO$11:$AO$1309,AO1300,$BB$11:$BB$1309)=COUNTIF($AO$11:$AO$1309,AO1300),SUMIF($AO$11:$AO$1309,AO1300,$AW$11:$AW$1309),"")</f>
        <v>0.20655080213903745</v>
      </c>
      <c r="BE1300" s="11" t="n">
        <f>IF(SUMIF($AO$11:$AO$1309,AO1300,$BB$11:$BB$1309)=COUNTIF($AO$11:$AO$1309,AO1300),SUMIF($AO$11:$AO$1309,AO1300,$BA$11:$BA$1309),"")</f>
        <v>0.6192937399678973</v>
      </c>
      <c r="BF1300" s="12" t="n">
        <f>IF(COUNT(BD1300:BE1300)&lt;&gt;2,"",IF(AND(BD1300&gt;0,BE1300&gt;0),0.7*AW1300/BD1300+0.3*BA1300/BE1300,IF(BD1300&gt;0,AW1300/BD1300,IF(BE1300&gt;0,BA1300/BE1300,IF(AND(ISNUMBER(BH1300),BH1300=0),0,"")))))</f>
        <v>0</v>
      </c>
      <c r="BG1300" s="11" t="n">
        <f>IF(AND(COUNT(BN1300:BU1300)=8,MIN(BN1300:BU1300)&gt;=0),SUMPRODUCT(BN1300:BQ1300,BR1300:BU1300),"")</f>
        <v>96.68059267618935</v>
      </c>
      <c r="BH1300" s="11" t="n">
        <f>IF(COUNT(BC1300,BG1300)=2,BC1300*BG1300,"")</f>
        <v>59.79890008325525</v>
      </c>
      <c r="BI1300" s="11" t="n">
        <f>IF(ISNUMBER(CI1300),CI1300,"")</f>
        <v>0</v>
      </c>
      <c r="BJ1300" s="8" t="str"/>
      <c r="BK1300" s="8" t="str">
        <v>90天：2026-07-20 至 2026-10-17；180天：2026-04-21 至 2026-10-17</v>
      </c>
      <c r="BL1300" s="8" t="str">
        <v>90天：2026-10-06、2026-10-07；180天：2026-10-06、2026-10-07</v>
      </c>
      <c r="BM1300" s="8" t="str">
        <v>2026-10：12天 × 1.1743420411079069；2026-11：30天 × 1.281694931279211；2026-12：31天 × 0.9007634642750235；2027-01：17天 × 0.9537631089407297</v>
      </c>
      <c r="BN1300" s="11" t="n">
        <v>1.1743420411079069</v>
      </c>
      <c r="BO1300" s="11" t="n">
        <v>1.281694931279211</v>
      </c>
      <c r="BP1300" s="11" t="n">
        <v>0.9007634642750235</v>
      </c>
      <c r="BQ1300" s="11" t="n">
        <v>0.9537631089407297</v>
      </c>
      <c r="BR1300" s="8" t="n">
        <v>12</v>
      </c>
      <c r="BS1300" s="8" t="n">
        <v>30</v>
      </c>
      <c r="BT1300" s="8" t="n">
        <v>31</v>
      </c>
      <c r="BU1300" s="8" t="n">
        <v>17</v>
      </c>
      <c r="BV1300" s="11" t="n">
        <f>IF(COUNT(BC1300,BF1300)=2,BC1300*BF1300,"")</f>
        <v>0</v>
      </c>
      <c r="BW1300" s="11" t="n">
        <f>IF(ISNUMBER(BN1300),BN1300,"")</f>
        <v>1.1743420411079069</v>
      </c>
      <c r="BX1300" s="14" t="n">
        <f>IF(ISNUMBER(BR1300),BR1300,"")</f>
        <v>12</v>
      </c>
      <c r="BY1300" s="13" t="n">
        <f>IF(AND(COUNT(BV1300,BW1300,BX1300)=3,MIN(BV1300,BW1300,BX1300)&gt;=0),BV1300*BW1300*BX1300,"")</f>
        <v>0</v>
      </c>
      <c r="BZ1300" s="11" t="n">
        <f>IF(ISNUMBER(BO1300),BO1300,"")</f>
        <v>1.281694931279211</v>
      </c>
      <c r="CA1300" s="14" t="n">
        <f>IF(ISNUMBER(BS1300),BS1300,"")</f>
        <v>30</v>
      </c>
      <c r="CB1300" s="13" t="n">
        <f>IF(AND(COUNT(BV1300,BZ1300,CA1300)=3,MIN(BV1300,BZ1300,CA1300)&gt;=0),BV1300*BZ1300*CA1300,"")</f>
        <v>0</v>
      </c>
      <c r="CC1300" s="11" t="n">
        <f>IF(ISNUMBER(BP1300),BP1300,"")</f>
        <v>0.9007634642750235</v>
      </c>
      <c r="CD1300" s="14" t="n">
        <f>IF(ISNUMBER(BT1300),BT1300,"")</f>
        <v>31</v>
      </c>
      <c r="CE1300" s="13" t="n">
        <f>IF(AND(COUNT(BV1300,CC1300,CD1300)=3,MIN(BV1300,CC1300,CD1300)&gt;=0),BV1300*CC1300*CD1300,"")</f>
        <v>0</v>
      </c>
      <c r="CF1300" s="11" t="n">
        <f>IF(ISNUMBER(BQ1300),BQ1300,"")</f>
        <v>0.9537631089407297</v>
      </c>
      <c r="CG1300" s="14" t="n">
        <f>IF(ISNUMBER(BU1300),BU1300,"")</f>
        <v>17</v>
      </c>
      <c r="CH1300" s="13" t="n">
        <f>IF(AND(COUNT(BV1300,CF1300,CG1300)=3,MIN(BV1300,CF1300,CG1300)&gt;=0),BV1300*CF1300*CG1300,"")</f>
        <v>0</v>
      </c>
      <c r="CI1300" s="13" t="n">
        <f>IF(COUNT(BY1300,CB1300,CE1300,CH1300)=4,SUM(BY1300,CB1300,CE1300,CH1300),"")</f>
        <v>0</v>
      </c>
    </row>
    <row r="1301" ht="72" customHeight="1">
      <c r="A1301" s="16" t="str">
        <v>8392-NY-S-K-39.5</v>
      </c>
      <c r="B1301" s="16" t="str">
        <v>3店-SANDIEX-US</v>
      </c>
      <c r="C1301" s="16" t="str">
        <v>徐新怡</v>
      </c>
      <c r="D1301" s="26" t="str">
        <f>IF(NOT(ISNUMBER(E1301)),"",IF(OR(E1301&lt;=0,L1301=0),0,IF(OR(NOT(ISNUMBER(F1301)),F1301&lt;0),"",MIN(E1301,INT(F1301)))))</f>
      </c>
      <c r="E1301" s="27" t="str">
        <f>IF(OR(NOT(ISNUMBER(L1301)),COUNT(M1301:O1301)&lt;&gt;3,MIN(M1301:O1301)&lt;0),"",ROUNDUP(ROUND(BI1301-SUM(M1301:O1301),10),0))</f>
      </c>
      <c r="F1301" s="28"/>
      <c r="G1301" s="28" t="str">
        <f>IF(AND(ISNUMBER(D1301),ISNUMBER(E1301)),IF(OR(E1301&lt;=0,L1301=0),0,E1301-D1301),"")</f>
      </c>
      <c r="H1301" s="16" t="str">
        <f>IF(NOT(ISNUMBER(E1301)),"销量或海外库存待补",IF(OR(E1301&lt;=0,L1301=0),IF(L1301=0,"零日销，本批不发","本批无需补货"),IF(NOT(ISNUMBER(D1301)),"国内库存待补",IF(D1301=0,"国内无可用库存",IF(G1301&gt;0,"先发国内现货","按建议量发货")))))</f>
        <v>销量或海外库存待补</v>
      </c>
      <c r="I1301" s="28" t="n">
        <f>IF(AND(COUNT(Z1301,AA1301,AB1301)=3,Z1301&gt;=AA1301,AA1301&gt;=0,AB1301=7),Z1301-AA1301,"")</f>
        <v>0</v>
      </c>
      <c r="J1301" s="28" t="n">
        <f>IF(AND(COUNT(AF1301,AG1301,AH1301)=3,AF1301&gt;=AG1301,AG1301&gt;=0,AH1301=14),AF1301-AG1301,"")</f>
        <v>0</v>
      </c>
      <c r="K1301" s="28" t="n">
        <f>IF(AND(COUNT(AL1301,AM1301,AN1301)=3,AL1301&gt;=AM1301,AM1301&gt;=0,AN1301=30),AL1301-AM1301,"")</f>
        <v>0</v>
      </c>
      <c r="L1301" s="29" t="n">
        <f>IF(ISNUMBER(BI1301),BI1301/90,"")</f>
        <v>0</v>
      </c>
      <c r="M1301" s="28"/>
      <c r="N1301" s="28"/>
      <c r="O1301" s="28"/>
      <c r="P1301" s="30" t="str">
        <f>IF(AND(ISNUMBER(L1301),L1301&gt;0,COUNT(M1301:O1301)=3,MIN(M1301:O1301)&gt;=0),SUM(M1301:O1301)/L1301,"")</f>
      </c>
      <c r="Q1301" s="16" t="str">
        <v>新增SPU唯一在售店铺</v>
      </c>
      <c r="R1301" s="16" t="str">
        <v>未匹配</v>
      </c>
      <c r="S1301" s="16" t="str">
        <v>未匹配Listing</v>
      </c>
      <c r="T1301" s="16" t="str">
        <v>8392</v>
      </c>
      <c r="U1301" s="16" t="str">
        <v>藏青色</v>
      </c>
      <c r="V1301" s="16" t="n">
        <v>8.5</v>
      </c>
      <c r="W1301" s="8" t="str">
        <v>2026-10-11 至 2026-10-17</v>
      </c>
      <c r="X1301" s="8" t="str">
        <v>2026-10-11、2026-10-12、2026-10-13、2026-10-14、2026-10-15、2026-10-16、2026-10-17</v>
      </c>
      <c r="Y1301" s="8" t="str">
        <v>无</v>
      </c>
      <c r="Z1301" s="8" t="n">
        <v>0</v>
      </c>
      <c r="AA1301" s="8" t="n">
        <v>0</v>
      </c>
      <c r="AB1301" s="8" t="n">
        <v>7</v>
      </c>
      <c r="AC1301" s="8" t="str">
        <v>2026-10-02 至 2026-10-17</v>
      </c>
      <c r="AD1301" s="8" t="str">
        <v>2026-10-02、2026-10-03、2026-10-04、2026-10-05、2026-10-08、2026-10-09、2026-10-10、2026-10-11、2026-10-12、2026-10-13、2026-10-14、2026-10-15、2026-10-16、2026-10-17</v>
      </c>
      <c r="AE1301" s="8" t="str">
        <v>2026-10-06 大促；2026-10-07 大促</v>
      </c>
      <c r="AF1301" s="8" t="n">
        <v>0</v>
      </c>
      <c r="AG1301" s="8" t="n">
        <v>0</v>
      </c>
      <c r="AH1301" s="8" t="n">
        <v>14</v>
      </c>
      <c r="AI1301" s="8" t="str">
        <v>2026-09-16 至 2026-10-17</v>
      </c>
      <c r="AJ1301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1" s="8" t="str">
        <v>2026-10-06 大促；2026-10-07 大促</v>
      </c>
      <c r="AL1301" s="8" t="n">
        <v>0</v>
      </c>
      <c r="AM1301" s="8" t="n">
        <v>0</v>
      </c>
      <c r="AN1301" s="8" t="n">
        <v>30</v>
      </c>
      <c r="AO1301" s="8" t="str">
        <v>8392 / 藏青色羊京绒 / 6574</v>
      </c>
      <c r="AP1301" s="11" t="n">
        <v>1.1743420411079069</v>
      </c>
      <c r="AQ1301" s="11" t="n">
        <v>1.1743420411079069</v>
      </c>
      <c r="AR1301" s="11" t="n">
        <v>1.144331424468921</v>
      </c>
      <c r="AS1301" s="11" t="n">
        <f>IF(AND(COUNT(I1301:K1301,AP1301:AR1301)=6,MIN(AP1301:AR1301)&gt;0),I1301/7/AP1301*0.5+J1301/14/AQ1301*0.3+K1301/30/AR1301*0.2,"")</f>
        <v>0</v>
      </c>
      <c r="AT1301" s="8" t="n">
        <v>0</v>
      </c>
      <c r="AU1301" s="8" t="n">
        <v>0</v>
      </c>
      <c r="AV1301" s="8" t="n">
        <v>88</v>
      </c>
      <c r="AW1301" s="11" t="n">
        <f>IF(AND(COUNT(AT1301:AV1301)=3,AT1301&gt;=AU1301,AU1301&gt;=0,AV1301&gt;0),(AT1301-AU1301)/AV1301,"")</f>
        <v>0</v>
      </c>
      <c r="AX1301" s="8" t="n">
        <v>0</v>
      </c>
      <c r="AY1301" s="8" t="n">
        <v>0</v>
      </c>
      <c r="AZ1301" s="8" t="n">
        <v>178</v>
      </c>
      <c r="BA1301" s="11" t="n">
        <f>IF(AND(COUNT(AX1301:AZ1301)=3,AX1301&gt;=AY1301,AY1301&gt;=0,AZ1301&gt;0),(AX1301-AY1301)/AZ1301,"")</f>
        <v>0</v>
      </c>
      <c r="BB1301" s="8" t="n">
        <f>IF(COUNT(AS1301,AW1301,BA1301)=3,1,0)</f>
        <v>1</v>
      </c>
      <c r="BC1301" s="11" t="n">
        <f>IF(SUMIF($AO$11:$AO$1309,AO1301,$BB$11:$BB$1309)=COUNTIF($AO$11:$AO$1309,AO1301),SUMIF($AO$11:$AO$1309,AO1301,$AS$11:$AS$1309),"")</f>
        <v>0.6185202058446071</v>
      </c>
      <c r="BD1301" s="11" t="n">
        <f>IF(SUMIF($AO$11:$AO$1309,AO1301,$BB$11:$BB$1309)=COUNTIF($AO$11:$AO$1309,AO1301),SUMIF($AO$11:$AO$1309,AO1301,$AW$11:$AW$1309),"")</f>
        <v>0.20655080213903745</v>
      </c>
      <c r="BE1301" s="11" t="n">
        <f>IF(SUMIF($AO$11:$AO$1309,AO1301,$BB$11:$BB$1309)=COUNTIF($AO$11:$AO$1309,AO1301),SUMIF($AO$11:$AO$1309,AO1301,$BA$11:$BA$1309),"")</f>
        <v>0.6192937399678973</v>
      </c>
      <c r="BF1301" s="12" t="n">
        <f>IF(COUNT(BD1301:BE1301)&lt;&gt;2,"",IF(AND(BD1301&gt;0,BE1301&gt;0),0.7*AW1301/BD1301+0.3*BA1301/BE1301,IF(BD1301&gt;0,AW1301/BD1301,IF(BE1301&gt;0,BA1301/BE1301,IF(AND(ISNUMBER(BH1301),BH1301=0),0,"")))))</f>
        <v>0</v>
      </c>
      <c r="BG1301" s="11" t="n">
        <f>IF(AND(COUNT(BN1301:BU1301)=8,MIN(BN1301:BU1301)&gt;=0),SUMPRODUCT(BN1301:BQ1301,BR1301:BU1301),"")</f>
        <v>96.68059267618935</v>
      </c>
      <c r="BH1301" s="11" t="n">
        <f>IF(COUNT(BC1301,BG1301)=2,BC1301*BG1301,"")</f>
        <v>59.79890008325525</v>
      </c>
      <c r="BI1301" s="11" t="n">
        <f>IF(ISNUMBER(CI1301),CI1301,"")</f>
        <v>0</v>
      </c>
      <c r="BJ1301" s="8" t="str"/>
      <c r="BK1301" s="8" t="str">
        <v>90天：2026-07-20 至 2026-10-17；180天：2026-04-21 至 2026-10-17</v>
      </c>
      <c r="BL1301" s="8" t="str">
        <v>90天：2026-10-06、2026-10-07；180天：2026-10-06、2026-10-07</v>
      </c>
      <c r="BM1301" s="8" t="str">
        <v>2026-10：12天 × 1.1743420411079069；2026-11：30天 × 1.281694931279211；2026-12：31天 × 0.9007634642750235；2027-01：17天 × 0.9537631089407297</v>
      </c>
      <c r="BN1301" s="11" t="n">
        <v>1.1743420411079069</v>
      </c>
      <c r="BO1301" s="11" t="n">
        <v>1.281694931279211</v>
      </c>
      <c r="BP1301" s="11" t="n">
        <v>0.9007634642750235</v>
      </c>
      <c r="BQ1301" s="11" t="n">
        <v>0.9537631089407297</v>
      </c>
      <c r="BR1301" s="8" t="n">
        <v>12</v>
      </c>
      <c r="BS1301" s="8" t="n">
        <v>30</v>
      </c>
      <c r="BT1301" s="8" t="n">
        <v>31</v>
      </c>
      <c r="BU1301" s="8" t="n">
        <v>17</v>
      </c>
      <c r="BV1301" s="11" t="n">
        <f>IF(COUNT(BC1301,BF1301)=2,BC1301*BF1301,"")</f>
        <v>0</v>
      </c>
      <c r="BW1301" s="11" t="n">
        <f>IF(ISNUMBER(BN1301),BN1301,"")</f>
        <v>1.1743420411079069</v>
      </c>
      <c r="BX1301" s="14" t="n">
        <f>IF(ISNUMBER(BR1301),BR1301,"")</f>
        <v>12</v>
      </c>
      <c r="BY1301" s="13" t="n">
        <f>IF(AND(COUNT(BV1301,BW1301,BX1301)=3,MIN(BV1301,BW1301,BX1301)&gt;=0),BV1301*BW1301*BX1301,"")</f>
        <v>0</v>
      </c>
      <c r="BZ1301" s="11" t="n">
        <f>IF(ISNUMBER(BO1301),BO1301,"")</f>
        <v>1.281694931279211</v>
      </c>
      <c r="CA1301" s="14" t="n">
        <f>IF(ISNUMBER(BS1301),BS1301,"")</f>
        <v>30</v>
      </c>
      <c r="CB1301" s="13" t="n">
        <f>IF(AND(COUNT(BV1301,BZ1301,CA1301)=3,MIN(BV1301,BZ1301,CA1301)&gt;=0),BV1301*BZ1301*CA1301,"")</f>
        <v>0</v>
      </c>
      <c r="CC1301" s="11" t="n">
        <f>IF(ISNUMBER(BP1301),BP1301,"")</f>
        <v>0.9007634642750235</v>
      </c>
      <c r="CD1301" s="14" t="n">
        <f>IF(ISNUMBER(BT1301),BT1301,"")</f>
        <v>31</v>
      </c>
      <c r="CE1301" s="13" t="n">
        <f>IF(AND(COUNT(BV1301,CC1301,CD1301)=3,MIN(BV1301,CC1301,CD1301)&gt;=0),BV1301*CC1301*CD1301,"")</f>
        <v>0</v>
      </c>
      <c r="CF1301" s="11" t="n">
        <f>IF(ISNUMBER(BQ1301),BQ1301,"")</f>
        <v>0.9537631089407297</v>
      </c>
      <c r="CG1301" s="14" t="n">
        <f>IF(ISNUMBER(BU1301),BU1301,"")</f>
        <v>17</v>
      </c>
      <c r="CH1301" s="13" t="n">
        <f>IF(AND(COUNT(BV1301,CF1301,CG1301)=3,MIN(BV1301,CF1301,CG1301)&gt;=0),BV1301*CF1301*CG1301,"")</f>
        <v>0</v>
      </c>
      <c r="CI1301" s="13" t="n">
        <f>IF(COUNT(BY1301,CB1301,CE1301,CH1301)=4,SUM(BY1301,CB1301,CE1301,CH1301),"")</f>
        <v>0</v>
      </c>
    </row>
    <row r="1302" ht="72" customHeight="1">
      <c r="A1302" s="16" t="str">
        <v>8392-RD-S-K-37.5</v>
      </c>
      <c r="B1302" s="16" t="str">
        <v>3店-SANDIEX-US</v>
      </c>
      <c r="C1302" s="16" t="str">
        <v>徐新怡</v>
      </c>
      <c r="D1302" s="26" t="str">
        <f>IF(NOT(ISNUMBER(E1302)),"",IF(OR(E1302&lt;=0,L1302=0),0,IF(OR(NOT(ISNUMBER(F1302)),F1302&lt;0),"",MIN(E1302,INT(F1302)))))</f>
      </c>
      <c r="E1302" s="27" t="str">
        <f>IF(OR(NOT(ISNUMBER(L1302)),COUNT(M1302:O1302)&lt;&gt;3,MIN(M1302:O1302)&lt;0),"",ROUNDUP(ROUND(BI1302-SUM(M1302:O1302),10),0))</f>
      </c>
      <c r="F1302" s="28"/>
      <c r="G1302" s="28" t="str">
        <f>IF(AND(ISNUMBER(D1302),ISNUMBER(E1302)),IF(OR(E1302&lt;=0,L1302=0),0,E1302-D1302),"")</f>
      </c>
      <c r="H1302" s="16" t="str">
        <f>IF(NOT(ISNUMBER(E1302)),"销量或海外库存待补",IF(OR(E1302&lt;=0,L1302=0),IF(L1302=0,"零日销，本批不发","本批无需补货"),IF(NOT(ISNUMBER(D1302)),"国内库存待补",IF(D1302=0,"国内无可用库存",IF(G1302&gt;0,"先发国内现货","按建议量发货")))))</f>
        <v>销量或海外库存待补</v>
      </c>
      <c r="I1302" s="28" t="n">
        <f>IF(AND(COUNT(Z1302,AA1302,AB1302)=3,Z1302&gt;=AA1302,AA1302&gt;=0,AB1302=7),Z1302-AA1302,"")</f>
        <v>0</v>
      </c>
      <c r="J1302" s="28" t="n">
        <f>IF(AND(COUNT(AF1302,AG1302,AH1302)=3,AF1302&gt;=AG1302,AG1302&gt;=0,AH1302=14),AF1302-AG1302,"")</f>
        <v>0</v>
      </c>
      <c r="K1302" s="28" t="n">
        <f>IF(AND(COUNT(AL1302,AM1302,AN1302)=3,AL1302&gt;=AM1302,AM1302&gt;=0,AN1302=30),AL1302-AM1302,"")</f>
        <v>0</v>
      </c>
      <c r="L1302" s="29" t="n">
        <f>IF(ISNUMBER(BI1302),BI1302/90,"")</f>
        <v>0</v>
      </c>
      <c r="M1302" s="28"/>
      <c r="N1302" s="28"/>
      <c r="O1302" s="28"/>
      <c r="P1302" s="30" t="str">
        <f>IF(AND(ISNUMBER(L1302),L1302&gt;0,COUNT(M1302:O1302)=3,MIN(M1302:O1302)&gt;=0),SUM(M1302:O1302)/L1302,"")</f>
      </c>
      <c r="Q1302" s="16" t="str">
        <v>新增SPU唯一在售店铺</v>
      </c>
      <c r="R1302" s="16" t="str">
        <v>未匹配</v>
      </c>
      <c r="S1302" s="16" t="str">
        <v>未匹配Listing</v>
      </c>
      <c r="T1302" s="16" t="str">
        <v>8392</v>
      </c>
      <c r="U1302" s="16" t="str">
        <v>红色</v>
      </c>
      <c r="V1302" s="16" t="n">
        <v>6.5</v>
      </c>
      <c r="W1302" s="8" t="str">
        <v>2026-10-11 至 2026-10-17</v>
      </c>
      <c r="X1302" s="8" t="str">
        <v>2026-10-11、2026-10-12、2026-10-13、2026-10-14、2026-10-15、2026-10-16、2026-10-17</v>
      </c>
      <c r="Y1302" s="8" t="str">
        <v>无</v>
      </c>
      <c r="Z1302" s="8" t="n">
        <v>0</v>
      </c>
      <c r="AA1302" s="8" t="n">
        <v>0</v>
      </c>
      <c r="AB1302" s="8" t="n">
        <v>7</v>
      </c>
      <c r="AC1302" s="8" t="str">
        <v>2026-10-02 至 2026-10-17</v>
      </c>
      <c r="AD1302" s="8" t="str">
        <v>2026-10-02、2026-10-03、2026-10-04、2026-10-05、2026-10-08、2026-10-09、2026-10-10、2026-10-11、2026-10-12、2026-10-13、2026-10-14、2026-10-15、2026-10-16、2026-10-17</v>
      </c>
      <c r="AE1302" s="8" t="str">
        <v>2026-10-06 大促；2026-10-07 大促</v>
      </c>
      <c r="AF1302" s="8" t="n">
        <v>0</v>
      </c>
      <c r="AG1302" s="8" t="n">
        <v>0</v>
      </c>
      <c r="AH1302" s="8" t="n">
        <v>14</v>
      </c>
      <c r="AI1302" s="8" t="str">
        <v>2026-09-16 至 2026-10-17</v>
      </c>
      <c r="AJ1302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2" s="8" t="str">
        <v>2026-10-06 大促；2026-10-07 大促</v>
      </c>
      <c r="AL1302" s="8" t="n">
        <v>0</v>
      </c>
      <c r="AM1302" s="8" t="n">
        <v>0</v>
      </c>
      <c r="AN1302" s="8" t="n">
        <v>30</v>
      </c>
      <c r="AO1302" s="8" t="str">
        <v>8392 / 红色羊京绒 / 6574</v>
      </c>
      <c r="AP1302" s="11" t="n">
        <v>1.1743420411079069</v>
      </c>
      <c r="AQ1302" s="11" t="n">
        <v>1.1743420411079069</v>
      </c>
      <c r="AR1302" s="11" t="n">
        <v>1.144331424468921</v>
      </c>
      <c r="AS1302" s="11" t="n">
        <f>IF(AND(COUNT(I1302:K1302,AP1302:AR1302)=6,MIN(AP1302:AR1302)&gt;0),I1302/7/AP1302*0.5+J1302/14/AQ1302*0.3+K1302/30/AR1302*0.2,"")</f>
        <v>0</v>
      </c>
      <c r="AT1302" s="8" t="n">
        <v>0</v>
      </c>
      <c r="AU1302" s="8" t="n">
        <v>0</v>
      </c>
      <c r="AV1302" s="8" t="n">
        <v>88</v>
      </c>
      <c r="AW1302" s="11" t="n">
        <f>IF(AND(COUNT(AT1302:AV1302)=3,AT1302&gt;=AU1302,AU1302&gt;=0,AV1302&gt;0),(AT1302-AU1302)/AV1302,"")</f>
        <v>0</v>
      </c>
      <c r="AX1302" s="8" t="n">
        <v>0</v>
      </c>
      <c r="AY1302" s="8" t="n">
        <v>0</v>
      </c>
      <c r="AZ1302" s="8" t="n">
        <v>178</v>
      </c>
      <c r="BA1302" s="11" t="n">
        <f>IF(AND(COUNT(AX1302:AZ1302)=3,AX1302&gt;=AY1302,AY1302&gt;=0,AZ1302&gt;0),(AX1302-AY1302)/AZ1302,"")</f>
        <v>0</v>
      </c>
      <c r="BB1302" s="8" t="n">
        <f>IF(COUNT(AS1302,AW1302,BA1302)=3,1,0)</f>
        <v>1</v>
      </c>
      <c r="BC1302" s="11" t="n">
        <f>IF(SUMIF($AO$11:$AO$1309,AO1302,$BB$11:$BB$1309)=COUNTIF($AO$11:$AO$1309,AO1302),SUMIF($AO$11:$AO$1309,AO1302,$AS$11:$AS$1309),"")</f>
        <v>0</v>
      </c>
      <c r="BD1302" s="11" t="n">
        <f>IF(SUMIF($AO$11:$AO$1309,AO1302,$BB$11:$BB$1309)=COUNTIF($AO$11:$AO$1309,AO1302),SUMIF($AO$11:$AO$1309,AO1302,$AW$11:$AW$1309),"")</f>
        <v>0</v>
      </c>
      <c r="BE1302" s="11" t="n">
        <f>IF(SUMIF($AO$11:$AO$1309,AO1302,$BB$11:$BB$1309)=COUNTIF($AO$11:$AO$1309,AO1302),SUMIF($AO$11:$AO$1309,AO1302,$BA$11:$BA$1309),"")</f>
        <v>0.04513643659711075</v>
      </c>
      <c r="BF1302" s="12" t="n">
        <f>IF(COUNT(BD1302:BE1302)&lt;&gt;2,"",IF(AND(BD1302&gt;0,BE1302&gt;0),0.7*AW1302/BD1302+0.3*BA1302/BE1302,IF(BD1302&gt;0,AW1302/BD1302,IF(BE1302&gt;0,BA1302/BE1302,IF(AND(ISNUMBER(BH1302),BH1302=0),0,"")))))</f>
        <v>0</v>
      </c>
      <c r="BG1302" s="11" t="n">
        <f>IF(AND(COUNT(BN1302:BU1302)=8,MIN(BN1302:BU1302)&gt;=0),SUMPRODUCT(BN1302:BQ1302,BR1302:BU1302),"")</f>
        <v>96.68059267618935</v>
      </c>
      <c r="BH1302" s="11" t="n">
        <f>IF(COUNT(BC1302,BG1302)=2,BC1302*BG1302,"")</f>
        <v>0</v>
      </c>
      <c r="BI1302" s="11" t="n">
        <f>IF(ISNUMBER(CI1302),CI1302,"")</f>
        <v>0</v>
      </c>
      <c r="BJ1302" s="8" t="str">
        <v>近180天本色销量9双（＜90），无有效新采购，请运营判断</v>
      </c>
      <c r="BK1302" s="8" t="str">
        <v>90天：2026-07-20 至 2026-10-17；180天：2026-04-21 至 2026-10-17</v>
      </c>
      <c r="BL1302" s="8" t="str">
        <v>90天：2026-10-06、2026-10-07；180天：2026-10-06、2026-10-07</v>
      </c>
      <c r="BM1302" s="8" t="str">
        <v>2026-10：12天 × 1.1743420411079069；2026-11：30天 × 1.281694931279211；2026-12：31天 × 0.9007634642750235；2027-01：17天 × 0.9537631089407297</v>
      </c>
      <c r="BN1302" s="11" t="n">
        <v>1.1743420411079069</v>
      </c>
      <c r="BO1302" s="11" t="n">
        <v>1.281694931279211</v>
      </c>
      <c r="BP1302" s="11" t="n">
        <v>0.9007634642750235</v>
      </c>
      <c r="BQ1302" s="11" t="n">
        <v>0.9537631089407297</v>
      </c>
      <c r="BR1302" s="8" t="n">
        <v>12</v>
      </c>
      <c r="BS1302" s="8" t="n">
        <v>30</v>
      </c>
      <c r="BT1302" s="8" t="n">
        <v>31</v>
      </c>
      <c r="BU1302" s="8" t="n">
        <v>17</v>
      </c>
      <c r="BV1302" s="11" t="n">
        <f>IF(COUNT(BC1302,BF1302)=2,BC1302*BF1302,"")</f>
        <v>0</v>
      </c>
      <c r="BW1302" s="11" t="n">
        <f>IF(ISNUMBER(BN1302),BN1302,"")</f>
        <v>1.1743420411079069</v>
      </c>
      <c r="BX1302" s="14" t="n">
        <f>IF(ISNUMBER(BR1302),BR1302,"")</f>
        <v>12</v>
      </c>
      <c r="BY1302" s="13" t="n">
        <f>IF(AND(COUNT(BV1302,BW1302,BX1302)=3,MIN(BV1302,BW1302,BX1302)&gt;=0),BV1302*BW1302*BX1302,"")</f>
        <v>0</v>
      </c>
      <c r="BZ1302" s="11" t="n">
        <f>IF(ISNUMBER(BO1302),BO1302,"")</f>
        <v>1.281694931279211</v>
      </c>
      <c r="CA1302" s="14" t="n">
        <f>IF(ISNUMBER(BS1302),BS1302,"")</f>
        <v>30</v>
      </c>
      <c r="CB1302" s="13" t="n">
        <f>IF(AND(COUNT(BV1302,BZ1302,CA1302)=3,MIN(BV1302,BZ1302,CA1302)&gt;=0),BV1302*BZ1302*CA1302,"")</f>
        <v>0</v>
      </c>
      <c r="CC1302" s="11" t="n">
        <f>IF(ISNUMBER(BP1302),BP1302,"")</f>
        <v>0.9007634642750235</v>
      </c>
      <c r="CD1302" s="14" t="n">
        <f>IF(ISNUMBER(BT1302),BT1302,"")</f>
        <v>31</v>
      </c>
      <c r="CE1302" s="13" t="n">
        <f>IF(AND(COUNT(BV1302,CC1302,CD1302)=3,MIN(BV1302,CC1302,CD1302)&gt;=0),BV1302*CC1302*CD1302,"")</f>
        <v>0</v>
      </c>
      <c r="CF1302" s="11" t="n">
        <f>IF(ISNUMBER(BQ1302),BQ1302,"")</f>
        <v>0.9537631089407297</v>
      </c>
      <c r="CG1302" s="14" t="n">
        <f>IF(ISNUMBER(BU1302),BU1302,"")</f>
        <v>17</v>
      </c>
      <c r="CH1302" s="13" t="n">
        <f>IF(AND(COUNT(BV1302,CF1302,CG1302)=3,MIN(BV1302,CF1302,CG1302)&gt;=0),BV1302*CF1302*CG1302,"")</f>
        <v>0</v>
      </c>
      <c r="CI1302" s="13" t="n">
        <f>IF(COUNT(BY1302,CB1302,CE1302,CH1302)=4,SUM(BY1302,CB1302,CE1302,CH1302),"")</f>
        <v>0</v>
      </c>
    </row>
    <row r="1303" ht="72" customHeight="1">
      <c r="A1303" s="16" t="str">
        <v>8392-RD-S-K-38.5</v>
      </c>
      <c r="B1303" s="16" t="str">
        <v>3店-SANDIEX-US</v>
      </c>
      <c r="C1303" s="16" t="str">
        <v>徐新怡</v>
      </c>
      <c r="D1303" s="26" t="str">
        <f>IF(NOT(ISNUMBER(E1303)),"",IF(OR(E1303&lt;=0,L1303=0),0,IF(OR(NOT(ISNUMBER(F1303)),F1303&lt;0),"",MIN(E1303,INT(F1303)))))</f>
      </c>
      <c r="E1303" s="27" t="str">
        <f>IF(OR(NOT(ISNUMBER(L1303)),COUNT(M1303:O1303)&lt;&gt;3,MIN(M1303:O1303)&lt;0),"",ROUNDUP(ROUND(BI1303-SUM(M1303:O1303),10),0))</f>
      </c>
      <c r="F1303" s="28" t="n">
        <v>0</v>
      </c>
      <c r="G1303" s="28" t="str">
        <f>IF(AND(ISNUMBER(D1303),ISNUMBER(E1303)),IF(OR(E1303&lt;=0,L1303=0),0,E1303-D1303),"")</f>
      </c>
      <c r="H1303" s="16" t="str">
        <f>IF(NOT(ISNUMBER(E1303)),"销量或海外库存待补",IF(OR(E1303&lt;=0,L1303=0),IF(L1303=0,"零日销，本批不发","本批无需补货"),IF(NOT(ISNUMBER(D1303)),"国内库存待补",IF(D1303=0,"国内无可用库存",IF(G1303&gt;0,"先发国内现货","按建议量发货")))))</f>
        <v>销量或海外库存待补</v>
      </c>
      <c r="I1303" s="28" t="n">
        <f>IF(AND(COUNT(Z1303,AA1303,AB1303)=3,Z1303&gt;=AA1303,AA1303&gt;=0,AB1303=7),Z1303-AA1303,"")</f>
        <v>0</v>
      </c>
      <c r="J1303" s="28" t="n">
        <f>IF(AND(COUNT(AF1303,AG1303,AH1303)=3,AF1303&gt;=AG1303,AG1303&gt;=0,AH1303=14),AF1303-AG1303,"")</f>
        <v>0</v>
      </c>
      <c r="K1303" s="28" t="n">
        <f>IF(AND(COUNT(AL1303,AM1303,AN1303)=3,AL1303&gt;=AM1303,AM1303&gt;=0,AN1303=30),AL1303-AM1303,"")</f>
        <v>0</v>
      </c>
      <c r="L1303" s="29" t="n">
        <f>IF(ISNUMBER(BI1303),BI1303/90,"")</f>
        <v>0</v>
      </c>
      <c r="M1303" s="28"/>
      <c r="N1303" s="28"/>
      <c r="O1303" s="28"/>
      <c r="P1303" s="30" t="str">
        <f>IF(AND(ISNUMBER(L1303),L1303&gt;0,COUNT(M1303:O1303)=3,MIN(M1303:O1303)&gt;=0),SUM(M1303:O1303)/L1303,"")</f>
      </c>
      <c r="Q1303" s="16" t="str">
        <v>新增SPU唯一在售店铺</v>
      </c>
      <c r="R1303" s="16" t="str">
        <v>已匹配</v>
      </c>
      <c r="S1303" s="16" t="str">
        <v>未匹配Listing</v>
      </c>
      <c r="T1303" s="16" t="str">
        <v>8392</v>
      </c>
      <c r="U1303" s="16" t="str">
        <v>红色</v>
      </c>
      <c r="V1303" s="16" t="n">
        <v>7.5</v>
      </c>
      <c r="W1303" s="8" t="str">
        <v>2026-10-11 至 2026-10-17</v>
      </c>
      <c r="X1303" s="8" t="str">
        <v>2026-10-11、2026-10-12、2026-10-13、2026-10-14、2026-10-15、2026-10-16、2026-10-17</v>
      </c>
      <c r="Y1303" s="8" t="str">
        <v>无</v>
      </c>
      <c r="Z1303" s="8" t="n">
        <v>0</v>
      </c>
      <c r="AA1303" s="8" t="n">
        <v>0</v>
      </c>
      <c r="AB1303" s="8" t="n">
        <v>7</v>
      </c>
      <c r="AC1303" s="8" t="str">
        <v>2026-10-02 至 2026-10-17</v>
      </c>
      <c r="AD1303" s="8" t="str">
        <v>2026-10-02、2026-10-03、2026-10-04、2026-10-05、2026-10-08、2026-10-09、2026-10-10、2026-10-11、2026-10-12、2026-10-13、2026-10-14、2026-10-15、2026-10-16、2026-10-17</v>
      </c>
      <c r="AE1303" s="8" t="str">
        <v>2026-10-06 大促；2026-10-07 大促</v>
      </c>
      <c r="AF1303" s="8" t="n">
        <v>0</v>
      </c>
      <c r="AG1303" s="8" t="n">
        <v>0</v>
      </c>
      <c r="AH1303" s="8" t="n">
        <v>14</v>
      </c>
      <c r="AI1303" s="8" t="str">
        <v>2026-09-16 至 2026-10-17</v>
      </c>
      <c r="AJ1303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3" s="8" t="str">
        <v>2026-10-06 大促；2026-10-07 大促</v>
      </c>
      <c r="AL1303" s="8" t="n">
        <v>0</v>
      </c>
      <c r="AM1303" s="8" t="n">
        <v>0</v>
      </c>
      <c r="AN1303" s="8" t="n">
        <v>30</v>
      </c>
      <c r="AO1303" s="8" t="str">
        <v>8392 / 红色羊京绒 / 6574</v>
      </c>
      <c r="AP1303" s="11" t="n">
        <v>1.1743420411079069</v>
      </c>
      <c r="AQ1303" s="11" t="n">
        <v>1.1743420411079069</v>
      </c>
      <c r="AR1303" s="11" t="n">
        <v>1.144331424468921</v>
      </c>
      <c r="AS1303" s="11" t="n">
        <f>IF(AND(COUNT(I1303:K1303,AP1303:AR1303)=6,MIN(AP1303:AR1303)&gt;0),I1303/7/AP1303*0.5+J1303/14/AQ1303*0.3+K1303/30/AR1303*0.2,"")</f>
        <v>0</v>
      </c>
      <c r="AT1303" s="8" t="n">
        <v>0</v>
      </c>
      <c r="AU1303" s="8" t="n">
        <v>0</v>
      </c>
      <c r="AV1303" s="8" t="n">
        <v>88</v>
      </c>
      <c r="AW1303" s="11" t="n">
        <f>IF(AND(COUNT(AT1303:AV1303)=3,AT1303&gt;=AU1303,AU1303&gt;=0,AV1303&gt;0),(AT1303-AU1303)/AV1303,"")</f>
        <v>0</v>
      </c>
      <c r="AX1303" s="8" t="n">
        <v>0</v>
      </c>
      <c r="AY1303" s="8" t="n">
        <v>0</v>
      </c>
      <c r="AZ1303" s="8" t="n">
        <v>178</v>
      </c>
      <c r="BA1303" s="11" t="n">
        <f>IF(AND(COUNT(AX1303:AZ1303)=3,AX1303&gt;=AY1303,AY1303&gt;=0,AZ1303&gt;0),(AX1303-AY1303)/AZ1303,"")</f>
        <v>0</v>
      </c>
      <c r="BB1303" s="8" t="n">
        <f>IF(COUNT(AS1303,AW1303,BA1303)=3,1,0)</f>
        <v>1</v>
      </c>
      <c r="BC1303" s="11" t="n">
        <f>IF(SUMIF($AO$11:$AO$1309,AO1303,$BB$11:$BB$1309)=COUNTIF($AO$11:$AO$1309,AO1303),SUMIF($AO$11:$AO$1309,AO1303,$AS$11:$AS$1309),"")</f>
        <v>0</v>
      </c>
      <c r="BD1303" s="11" t="n">
        <f>IF(SUMIF($AO$11:$AO$1309,AO1303,$BB$11:$BB$1309)=COUNTIF($AO$11:$AO$1309,AO1303),SUMIF($AO$11:$AO$1309,AO1303,$AW$11:$AW$1309),"")</f>
        <v>0</v>
      </c>
      <c r="BE1303" s="11" t="n">
        <f>IF(SUMIF($AO$11:$AO$1309,AO1303,$BB$11:$BB$1309)=COUNTIF($AO$11:$AO$1309,AO1303),SUMIF($AO$11:$AO$1309,AO1303,$BA$11:$BA$1309),"")</f>
        <v>0.04513643659711075</v>
      </c>
      <c r="BF1303" s="12" t="n">
        <f>IF(COUNT(BD1303:BE1303)&lt;&gt;2,"",IF(AND(BD1303&gt;0,BE1303&gt;0),0.7*AW1303/BD1303+0.3*BA1303/BE1303,IF(BD1303&gt;0,AW1303/BD1303,IF(BE1303&gt;0,BA1303/BE1303,IF(AND(ISNUMBER(BH1303),BH1303=0),0,"")))))</f>
        <v>0</v>
      </c>
      <c r="BG1303" s="11" t="n">
        <f>IF(AND(COUNT(BN1303:BU1303)=8,MIN(BN1303:BU1303)&gt;=0),SUMPRODUCT(BN1303:BQ1303,BR1303:BU1303),"")</f>
        <v>96.68059267618935</v>
      </c>
      <c r="BH1303" s="11" t="n">
        <f>IF(COUNT(BC1303,BG1303)=2,BC1303*BG1303,"")</f>
        <v>0</v>
      </c>
      <c r="BI1303" s="11" t="n">
        <f>IF(ISNUMBER(CI1303),CI1303,"")</f>
        <v>0</v>
      </c>
      <c r="BJ1303" s="8" t="str">
        <v>近180天本色销量9双（＜90），无有效新采购，请运营判断</v>
      </c>
      <c r="BK1303" s="8" t="str">
        <v>90天：2026-07-20 至 2026-10-17；180天：2026-04-21 至 2026-10-17</v>
      </c>
      <c r="BL1303" s="8" t="str">
        <v>90天：2026-10-06、2026-10-07；180天：2026-10-06、2026-10-07</v>
      </c>
      <c r="BM1303" s="8" t="str">
        <v>2026-10：12天 × 1.1743420411079069；2026-11：30天 × 1.281694931279211；2026-12：31天 × 0.9007634642750235；2027-01：17天 × 0.9537631089407297</v>
      </c>
      <c r="BN1303" s="11" t="n">
        <v>1.1743420411079069</v>
      </c>
      <c r="BO1303" s="11" t="n">
        <v>1.281694931279211</v>
      </c>
      <c r="BP1303" s="11" t="n">
        <v>0.9007634642750235</v>
      </c>
      <c r="BQ1303" s="11" t="n">
        <v>0.9537631089407297</v>
      </c>
      <c r="BR1303" s="8" t="n">
        <v>12</v>
      </c>
      <c r="BS1303" s="8" t="n">
        <v>30</v>
      </c>
      <c r="BT1303" s="8" t="n">
        <v>31</v>
      </c>
      <c r="BU1303" s="8" t="n">
        <v>17</v>
      </c>
      <c r="BV1303" s="11" t="n">
        <f>IF(COUNT(BC1303,BF1303)=2,BC1303*BF1303,"")</f>
        <v>0</v>
      </c>
      <c r="BW1303" s="11" t="n">
        <f>IF(ISNUMBER(BN1303),BN1303,"")</f>
        <v>1.1743420411079069</v>
      </c>
      <c r="BX1303" s="14" t="n">
        <f>IF(ISNUMBER(BR1303),BR1303,"")</f>
        <v>12</v>
      </c>
      <c r="BY1303" s="13" t="n">
        <f>IF(AND(COUNT(BV1303,BW1303,BX1303)=3,MIN(BV1303,BW1303,BX1303)&gt;=0),BV1303*BW1303*BX1303,"")</f>
        <v>0</v>
      </c>
      <c r="BZ1303" s="11" t="n">
        <f>IF(ISNUMBER(BO1303),BO1303,"")</f>
        <v>1.281694931279211</v>
      </c>
      <c r="CA1303" s="14" t="n">
        <f>IF(ISNUMBER(BS1303),BS1303,"")</f>
        <v>30</v>
      </c>
      <c r="CB1303" s="13" t="n">
        <f>IF(AND(COUNT(BV1303,BZ1303,CA1303)=3,MIN(BV1303,BZ1303,CA1303)&gt;=0),BV1303*BZ1303*CA1303,"")</f>
        <v>0</v>
      </c>
      <c r="CC1303" s="11" t="n">
        <f>IF(ISNUMBER(BP1303),BP1303,"")</f>
        <v>0.9007634642750235</v>
      </c>
      <c r="CD1303" s="14" t="n">
        <f>IF(ISNUMBER(BT1303),BT1303,"")</f>
        <v>31</v>
      </c>
      <c r="CE1303" s="13" t="n">
        <f>IF(AND(COUNT(BV1303,CC1303,CD1303)=3,MIN(BV1303,CC1303,CD1303)&gt;=0),BV1303*CC1303*CD1303,"")</f>
        <v>0</v>
      </c>
      <c r="CF1303" s="11" t="n">
        <f>IF(ISNUMBER(BQ1303),BQ1303,"")</f>
        <v>0.9537631089407297</v>
      </c>
      <c r="CG1303" s="14" t="n">
        <f>IF(ISNUMBER(BU1303),BU1303,"")</f>
        <v>17</v>
      </c>
      <c r="CH1303" s="13" t="n">
        <f>IF(AND(COUNT(BV1303,CF1303,CG1303)=3,MIN(BV1303,CF1303,CG1303)&gt;=0),BV1303*CF1303*CG1303,"")</f>
        <v>0</v>
      </c>
      <c r="CI1303" s="13" t="n">
        <f>IF(COUNT(BY1303,CB1303,CE1303,CH1303)=4,SUM(BY1303,CB1303,CE1303,CH1303),"")</f>
        <v>0</v>
      </c>
    </row>
    <row r="1304" ht="72" customHeight="1">
      <c r="A1304" s="16" t="str">
        <v>8392-RD-S-K-39.5</v>
      </c>
      <c r="B1304" s="16" t="str">
        <v>3店-SANDIEX-US</v>
      </c>
      <c r="C1304" s="16" t="str">
        <v>徐新怡</v>
      </c>
      <c r="D1304" s="26" t="str">
        <f>IF(NOT(ISNUMBER(E1304)),"",IF(OR(E1304&lt;=0,L1304=0),0,IF(OR(NOT(ISNUMBER(F1304)),F1304&lt;0),"",MIN(E1304,INT(F1304)))))</f>
      </c>
      <c r="E1304" s="27" t="str">
        <f>IF(OR(NOT(ISNUMBER(L1304)),COUNT(M1304:O1304)&lt;&gt;3,MIN(M1304:O1304)&lt;0),"",ROUNDUP(ROUND(BI1304-SUM(M1304:O1304),10),0))</f>
      </c>
      <c r="F1304" s="28"/>
      <c r="G1304" s="28" t="str">
        <f>IF(AND(ISNUMBER(D1304),ISNUMBER(E1304)),IF(OR(E1304&lt;=0,L1304=0),0,E1304-D1304),"")</f>
      </c>
      <c r="H1304" s="16" t="str">
        <f>IF(NOT(ISNUMBER(E1304)),"销量或海外库存待补",IF(OR(E1304&lt;=0,L1304=0),IF(L1304=0,"零日销，本批不发","本批无需补货"),IF(NOT(ISNUMBER(D1304)),"国内库存待补",IF(D1304=0,"国内无可用库存",IF(G1304&gt;0,"先发国内现货","按建议量发货")))))</f>
        <v>销量或海外库存待补</v>
      </c>
      <c r="I1304" s="28" t="n">
        <f>IF(AND(COUNT(Z1304,AA1304,AB1304)=3,Z1304&gt;=AA1304,AA1304&gt;=0,AB1304=7),Z1304-AA1304,"")</f>
        <v>0</v>
      </c>
      <c r="J1304" s="28" t="n">
        <f>IF(AND(COUNT(AF1304,AG1304,AH1304)=3,AF1304&gt;=AG1304,AG1304&gt;=0,AH1304=14),AF1304-AG1304,"")</f>
        <v>0</v>
      </c>
      <c r="K1304" s="28" t="n">
        <f>IF(AND(COUNT(AL1304,AM1304,AN1304)=3,AL1304&gt;=AM1304,AM1304&gt;=0,AN1304=30),AL1304-AM1304,"")</f>
        <v>0</v>
      </c>
      <c r="L1304" s="29" t="n">
        <f>IF(ISNUMBER(BI1304),BI1304/90,"")</f>
        <v>0</v>
      </c>
      <c r="M1304" s="28"/>
      <c r="N1304" s="28"/>
      <c r="O1304" s="28"/>
      <c r="P1304" s="30" t="str">
        <f>IF(AND(ISNUMBER(L1304),L1304&gt;0,COUNT(M1304:O1304)=3,MIN(M1304:O1304)&gt;=0),SUM(M1304:O1304)/L1304,"")</f>
      </c>
      <c r="Q1304" s="16" t="str">
        <v>新增SPU唯一在售店铺</v>
      </c>
      <c r="R1304" s="16" t="str">
        <v>未匹配</v>
      </c>
      <c r="S1304" s="16" t="str">
        <v>未匹配Listing</v>
      </c>
      <c r="T1304" s="16" t="str">
        <v>8392</v>
      </c>
      <c r="U1304" s="16" t="str">
        <v>红色</v>
      </c>
      <c r="V1304" s="16" t="n">
        <v>8.5</v>
      </c>
      <c r="W1304" s="8" t="str">
        <v>2026-10-11 至 2026-10-17</v>
      </c>
      <c r="X1304" s="8" t="str">
        <v>2026-10-11、2026-10-12、2026-10-13、2026-10-14、2026-10-15、2026-10-16、2026-10-17</v>
      </c>
      <c r="Y1304" s="8" t="str">
        <v>无</v>
      </c>
      <c r="Z1304" s="8" t="n">
        <v>0</v>
      </c>
      <c r="AA1304" s="8" t="n">
        <v>0</v>
      </c>
      <c r="AB1304" s="8" t="n">
        <v>7</v>
      </c>
      <c r="AC1304" s="8" t="str">
        <v>2026-10-02 至 2026-10-17</v>
      </c>
      <c r="AD1304" s="8" t="str">
        <v>2026-10-02、2026-10-03、2026-10-04、2026-10-05、2026-10-08、2026-10-09、2026-10-10、2026-10-11、2026-10-12、2026-10-13、2026-10-14、2026-10-15、2026-10-16、2026-10-17</v>
      </c>
      <c r="AE1304" s="8" t="str">
        <v>2026-10-06 大促；2026-10-07 大促</v>
      </c>
      <c r="AF1304" s="8" t="n">
        <v>0</v>
      </c>
      <c r="AG1304" s="8" t="n">
        <v>0</v>
      </c>
      <c r="AH1304" s="8" t="n">
        <v>14</v>
      </c>
      <c r="AI1304" s="8" t="str">
        <v>2026-09-16 至 2026-10-17</v>
      </c>
      <c r="AJ1304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4" s="8" t="str">
        <v>2026-10-06 大促；2026-10-07 大促</v>
      </c>
      <c r="AL1304" s="8" t="n">
        <v>0</v>
      </c>
      <c r="AM1304" s="8" t="n">
        <v>0</v>
      </c>
      <c r="AN1304" s="8" t="n">
        <v>30</v>
      </c>
      <c r="AO1304" s="8" t="str">
        <v>8392 / 红色羊京绒 / 6574</v>
      </c>
      <c r="AP1304" s="11" t="n">
        <v>1.1743420411079069</v>
      </c>
      <c r="AQ1304" s="11" t="n">
        <v>1.1743420411079069</v>
      </c>
      <c r="AR1304" s="11" t="n">
        <v>1.144331424468921</v>
      </c>
      <c r="AS1304" s="11" t="n">
        <f>IF(AND(COUNT(I1304:K1304,AP1304:AR1304)=6,MIN(AP1304:AR1304)&gt;0),I1304/7/AP1304*0.5+J1304/14/AQ1304*0.3+K1304/30/AR1304*0.2,"")</f>
        <v>0</v>
      </c>
      <c r="AT1304" s="8" t="n">
        <v>0</v>
      </c>
      <c r="AU1304" s="8" t="n">
        <v>0</v>
      </c>
      <c r="AV1304" s="8" t="n">
        <v>88</v>
      </c>
      <c r="AW1304" s="11" t="n">
        <f>IF(AND(COUNT(AT1304:AV1304)=3,AT1304&gt;=AU1304,AU1304&gt;=0,AV1304&gt;0),(AT1304-AU1304)/AV1304,"")</f>
        <v>0</v>
      </c>
      <c r="AX1304" s="8" t="n">
        <v>0</v>
      </c>
      <c r="AY1304" s="8" t="n">
        <v>0</v>
      </c>
      <c r="AZ1304" s="8" t="n">
        <v>178</v>
      </c>
      <c r="BA1304" s="11" t="n">
        <f>IF(AND(COUNT(AX1304:AZ1304)=3,AX1304&gt;=AY1304,AY1304&gt;=0,AZ1304&gt;0),(AX1304-AY1304)/AZ1304,"")</f>
        <v>0</v>
      </c>
      <c r="BB1304" s="8" t="n">
        <f>IF(COUNT(AS1304,AW1304,BA1304)=3,1,0)</f>
        <v>1</v>
      </c>
      <c r="BC1304" s="11" t="n">
        <f>IF(SUMIF($AO$11:$AO$1309,AO1304,$BB$11:$BB$1309)=COUNTIF($AO$11:$AO$1309,AO1304),SUMIF($AO$11:$AO$1309,AO1304,$AS$11:$AS$1309),"")</f>
        <v>0</v>
      </c>
      <c r="BD1304" s="11" t="n">
        <f>IF(SUMIF($AO$11:$AO$1309,AO1304,$BB$11:$BB$1309)=COUNTIF($AO$11:$AO$1309,AO1304),SUMIF($AO$11:$AO$1309,AO1304,$AW$11:$AW$1309),"")</f>
        <v>0</v>
      </c>
      <c r="BE1304" s="11" t="n">
        <f>IF(SUMIF($AO$11:$AO$1309,AO1304,$BB$11:$BB$1309)=COUNTIF($AO$11:$AO$1309,AO1304),SUMIF($AO$11:$AO$1309,AO1304,$BA$11:$BA$1309),"")</f>
        <v>0.04513643659711075</v>
      </c>
      <c r="BF1304" s="12" t="n">
        <f>IF(COUNT(BD1304:BE1304)&lt;&gt;2,"",IF(AND(BD1304&gt;0,BE1304&gt;0),0.7*AW1304/BD1304+0.3*BA1304/BE1304,IF(BD1304&gt;0,AW1304/BD1304,IF(BE1304&gt;0,BA1304/BE1304,IF(AND(ISNUMBER(BH1304),BH1304=0),0,"")))))</f>
        <v>0</v>
      </c>
      <c r="BG1304" s="11" t="n">
        <f>IF(AND(COUNT(BN1304:BU1304)=8,MIN(BN1304:BU1304)&gt;=0),SUMPRODUCT(BN1304:BQ1304,BR1304:BU1304),"")</f>
        <v>96.68059267618935</v>
      </c>
      <c r="BH1304" s="11" t="n">
        <f>IF(COUNT(BC1304,BG1304)=2,BC1304*BG1304,"")</f>
        <v>0</v>
      </c>
      <c r="BI1304" s="11" t="n">
        <f>IF(ISNUMBER(CI1304),CI1304,"")</f>
        <v>0</v>
      </c>
      <c r="BJ1304" s="8" t="str">
        <v>近180天本色销量9双（＜90），无有效新采购，请运营判断</v>
      </c>
      <c r="BK1304" s="8" t="str">
        <v>90天：2026-07-20 至 2026-10-17；180天：2026-04-21 至 2026-10-17</v>
      </c>
      <c r="BL1304" s="8" t="str">
        <v>90天：2026-10-06、2026-10-07；180天：2026-10-06、2026-10-07</v>
      </c>
      <c r="BM1304" s="8" t="str">
        <v>2026-10：12天 × 1.1743420411079069；2026-11：30天 × 1.281694931279211；2026-12：31天 × 0.9007634642750235；2027-01：17天 × 0.9537631089407297</v>
      </c>
      <c r="BN1304" s="11" t="n">
        <v>1.1743420411079069</v>
      </c>
      <c r="BO1304" s="11" t="n">
        <v>1.281694931279211</v>
      </c>
      <c r="BP1304" s="11" t="n">
        <v>0.9007634642750235</v>
      </c>
      <c r="BQ1304" s="11" t="n">
        <v>0.9537631089407297</v>
      </c>
      <c r="BR1304" s="8" t="n">
        <v>12</v>
      </c>
      <c r="BS1304" s="8" t="n">
        <v>30</v>
      </c>
      <c r="BT1304" s="8" t="n">
        <v>31</v>
      </c>
      <c r="BU1304" s="8" t="n">
        <v>17</v>
      </c>
      <c r="BV1304" s="11" t="n">
        <f>IF(COUNT(BC1304,BF1304)=2,BC1304*BF1304,"")</f>
        <v>0</v>
      </c>
      <c r="BW1304" s="11" t="n">
        <f>IF(ISNUMBER(BN1304),BN1304,"")</f>
        <v>1.1743420411079069</v>
      </c>
      <c r="BX1304" s="14" t="n">
        <f>IF(ISNUMBER(BR1304),BR1304,"")</f>
        <v>12</v>
      </c>
      <c r="BY1304" s="13" t="n">
        <f>IF(AND(COUNT(BV1304,BW1304,BX1304)=3,MIN(BV1304,BW1304,BX1304)&gt;=0),BV1304*BW1304*BX1304,"")</f>
        <v>0</v>
      </c>
      <c r="BZ1304" s="11" t="n">
        <f>IF(ISNUMBER(BO1304),BO1304,"")</f>
        <v>1.281694931279211</v>
      </c>
      <c r="CA1304" s="14" t="n">
        <f>IF(ISNUMBER(BS1304),BS1304,"")</f>
        <v>30</v>
      </c>
      <c r="CB1304" s="13" t="n">
        <f>IF(AND(COUNT(BV1304,BZ1304,CA1304)=3,MIN(BV1304,BZ1304,CA1304)&gt;=0),BV1304*BZ1304*CA1304,"")</f>
        <v>0</v>
      </c>
      <c r="CC1304" s="11" t="n">
        <f>IF(ISNUMBER(BP1304),BP1304,"")</f>
        <v>0.9007634642750235</v>
      </c>
      <c r="CD1304" s="14" t="n">
        <f>IF(ISNUMBER(BT1304),BT1304,"")</f>
        <v>31</v>
      </c>
      <c r="CE1304" s="13" t="n">
        <f>IF(AND(COUNT(BV1304,CC1304,CD1304)=3,MIN(BV1304,CC1304,CD1304)&gt;=0),BV1304*CC1304*CD1304,"")</f>
        <v>0</v>
      </c>
      <c r="CF1304" s="11" t="n">
        <f>IF(ISNUMBER(BQ1304),BQ1304,"")</f>
        <v>0.9537631089407297</v>
      </c>
      <c r="CG1304" s="14" t="n">
        <f>IF(ISNUMBER(BU1304),BU1304,"")</f>
        <v>17</v>
      </c>
      <c r="CH1304" s="13" t="n">
        <f>IF(AND(COUNT(BV1304,CF1304,CG1304)=3,MIN(BV1304,CF1304,CG1304)&gt;=0),BV1304*CF1304*CG1304,"")</f>
        <v>0</v>
      </c>
      <c r="CI1304" s="13" t="n">
        <f>IF(COUNT(BY1304,CB1304,CE1304,CH1304)=4,SUM(BY1304,CB1304,CE1304,CH1304),"")</f>
        <v>0</v>
      </c>
    </row>
    <row r="1305" ht="72" customHeight="1">
      <c r="A1305" s="16" t="str">
        <v>8392-RD-S-K-40</v>
      </c>
      <c r="B1305" s="16" t="str">
        <v>3店-SANDIEX-US</v>
      </c>
      <c r="C1305" s="16" t="str">
        <v>徐新怡</v>
      </c>
      <c r="D1305" s="26" t="str">
        <f>IF(NOT(ISNUMBER(E1305)),"",IF(OR(E1305&lt;=0,L1305=0),0,IF(OR(NOT(ISNUMBER(F1305)),F1305&lt;0),"",MIN(E1305,INT(F1305)))))</f>
      </c>
      <c r="E1305" s="27" t="str">
        <f>IF(OR(NOT(ISNUMBER(L1305)),COUNT(M1305:O1305)&lt;&gt;3,MIN(M1305:O1305)&lt;0),"",ROUNDUP(ROUND(BI1305-SUM(M1305:O1305),10),0))</f>
      </c>
      <c r="F1305" s="28" t="n">
        <v>0</v>
      </c>
      <c r="G1305" s="28" t="str">
        <f>IF(AND(ISNUMBER(D1305),ISNUMBER(E1305)),IF(OR(E1305&lt;=0,L1305=0),0,E1305-D1305),"")</f>
      </c>
      <c r="H1305" s="16" t="str">
        <f>IF(NOT(ISNUMBER(E1305)),"销量或海外库存待补",IF(OR(E1305&lt;=0,L1305=0),IF(L1305=0,"零日销，本批不发","本批无需补货"),IF(NOT(ISNUMBER(D1305)),"国内库存待补",IF(D1305=0,"国内无可用库存",IF(G1305&gt;0,"先发国内现货","按建议量发货")))))</f>
        <v>销量或海外库存待补</v>
      </c>
      <c r="I1305" s="28" t="n">
        <f>IF(AND(COUNT(Z1305,AA1305,AB1305)=3,Z1305&gt;=AA1305,AA1305&gt;=0,AB1305=7),Z1305-AA1305,"")</f>
        <v>0</v>
      </c>
      <c r="J1305" s="28" t="n">
        <f>IF(AND(COUNT(AF1305,AG1305,AH1305)=3,AF1305&gt;=AG1305,AG1305&gt;=0,AH1305=14),AF1305-AG1305,"")</f>
        <v>0</v>
      </c>
      <c r="K1305" s="28" t="n">
        <f>IF(AND(COUNT(AL1305,AM1305,AN1305)=3,AL1305&gt;=AM1305,AM1305&gt;=0,AN1305=30),AL1305-AM1305,"")</f>
        <v>0</v>
      </c>
      <c r="L1305" s="29" t="n">
        <f>IF(ISNUMBER(BI1305),BI1305/90,"")</f>
        <v>0</v>
      </c>
      <c r="M1305" s="28"/>
      <c r="N1305" s="28"/>
      <c r="O1305" s="28"/>
      <c r="P1305" s="30" t="str">
        <f>IF(AND(ISNUMBER(L1305),L1305&gt;0,COUNT(M1305:O1305)=3,MIN(M1305:O1305)&gt;=0),SUM(M1305:O1305)/L1305,"")</f>
      </c>
      <c r="Q1305" s="16" t="str">
        <v>新增SPU唯一在售店铺</v>
      </c>
      <c r="R1305" s="16" t="str">
        <v>已匹配</v>
      </c>
      <c r="S1305" s="16" t="str">
        <v>未匹配Listing</v>
      </c>
      <c r="T1305" s="16" t="str">
        <v>8392</v>
      </c>
      <c r="U1305" s="16" t="str">
        <v>红色</v>
      </c>
      <c r="V1305" s="16" t="n">
        <v>9</v>
      </c>
      <c r="W1305" s="8" t="str">
        <v>2026-10-11 至 2026-10-17</v>
      </c>
      <c r="X1305" s="8" t="str">
        <v>2026-10-11、2026-10-12、2026-10-13、2026-10-14、2026-10-15、2026-10-16、2026-10-17</v>
      </c>
      <c r="Y1305" s="8" t="str">
        <v>无</v>
      </c>
      <c r="Z1305" s="8" t="n">
        <v>0</v>
      </c>
      <c r="AA1305" s="8" t="n">
        <v>0</v>
      </c>
      <c r="AB1305" s="8" t="n">
        <v>7</v>
      </c>
      <c r="AC1305" s="8" t="str">
        <v>2026-10-02 至 2026-10-17</v>
      </c>
      <c r="AD1305" s="8" t="str">
        <v>2026-10-02、2026-10-03、2026-10-04、2026-10-05、2026-10-08、2026-10-09、2026-10-10、2026-10-11、2026-10-12、2026-10-13、2026-10-14、2026-10-15、2026-10-16、2026-10-17</v>
      </c>
      <c r="AE1305" s="8" t="str">
        <v>2026-10-06 大促；2026-10-07 大促</v>
      </c>
      <c r="AF1305" s="8" t="n">
        <v>0</v>
      </c>
      <c r="AG1305" s="8" t="n">
        <v>0</v>
      </c>
      <c r="AH1305" s="8" t="n">
        <v>14</v>
      </c>
      <c r="AI1305" s="8" t="str">
        <v>2026-09-16 至 2026-10-17</v>
      </c>
      <c r="AJ1305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5" s="8" t="str">
        <v>2026-10-06 大促；2026-10-07 大促</v>
      </c>
      <c r="AL1305" s="8" t="n">
        <v>0</v>
      </c>
      <c r="AM1305" s="8" t="n">
        <v>0</v>
      </c>
      <c r="AN1305" s="8" t="n">
        <v>30</v>
      </c>
      <c r="AO1305" s="8" t="str">
        <v>8392 / 红色羊京绒 / 6574</v>
      </c>
      <c r="AP1305" s="11" t="n">
        <v>1.1743420411079069</v>
      </c>
      <c r="AQ1305" s="11" t="n">
        <v>1.1743420411079069</v>
      </c>
      <c r="AR1305" s="11" t="n">
        <v>1.144331424468921</v>
      </c>
      <c r="AS1305" s="11" t="n">
        <f>IF(AND(COUNT(I1305:K1305,AP1305:AR1305)=6,MIN(AP1305:AR1305)&gt;0),I1305/7/AP1305*0.5+J1305/14/AQ1305*0.3+K1305/30/AR1305*0.2,"")</f>
        <v>0</v>
      </c>
      <c r="AT1305" s="8" t="n">
        <v>0</v>
      </c>
      <c r="AU1305" s="8" t="n">
        <v>0</v>
      </c>
      <c r="AV1305" s="8" t="n">
        <v>88</v>
      </c>
      <c r="AW1305" s="11" t="n">
        <f>IF(AND(COUNT(AT1305:AV1305)=3,AT1305&gt;=AU1305,AU1305&gt;=0,AV1305&gt;0),(AT1305-AU1305)/AV1305,"")</f>
        <v>0</v>
      </c>
      <c r="AX1305" s="8" t="n">
        <v>4</v>
      </c>
      <c r="AY1305" s="8" t="n">
        <v>0</v>
      </c>
      <c r="AZ1305" s="8" t="n">
        <v>178</v>
      </c>
      <c r="BA1305" s="11" t="n">
        <f>IF(AND(COUNT(AX1305:AZ1305)=3,AX1305&gt;=AY1305,AY1305&gt;=0,AZ1305&gt;0),(AX1305-AY1305)/AZ1305,"")</f>
        <v>0.02247191011235955</v>
      </c>
      <c r="BB1305" s="8" t="n">
        <f>IF(COUNT(AS1305,AW1305,BA1305)=3,1,0)</f>
        <v>1</v>
      </c>
      <c r="BC1305" s="11" t="n">
        <f>IF(SUMIF($AO$11:$AO$1309,AO1305,$BB$11:$BB$1309)=COUNTIF($AO$11:$AO$1309,AO1305),SUMIF($AO$11:$AO$1309,AO1305,$AS$11:$AS$1309),"")</f>
        <v>0</v>
      </c>
      <c r="BD1305" s="11" t="n">
        <f>IF(SUMIF($AO$11:$AO$1309,AO1305,$BB$11:$BB$1309)=COUNTIF($AO$11:$AO$1309,AO1305),SUMIF($AO$11:$AO$1309,AO1305,$AW$11:$AW$1309),"")</f>
        <v>0</v>
      </c>
      <c r="BE1305" s="11" t="n">
        <f>IF(SUMIF($AO$11:$AO$1309,AO1305,$BB$11:$BB$1309)=COUNTIF($AO$11:$AO$1309,AO1305),SUMIF($AO$11:$AO$1309,AO1305,$BA$11:$BA$1309),"")</f>
        <v>0.04513643659711075</v>
      </c>
      <c r="BF1305" s="12" t="n">
        <f>IF(COUNT(BD1305:BE1305)&lt;&gt;2,"",IF(AND(BD1305&gt;0,BE1305&gt;0),0.7*AW1305/BD1305+0.3*BA1305/BE1305,IF(BD1305&gt;0,AW1305/BD1305,IF(BE1305&gt;0,BA1305/BE1305,IF(AND(ISNUMBER(BH1305),BH1305=0),0,"")))))</f>
        <v>0.49786628733997157</v>
      </c>
      <c r="BG1305" s="11" t="n">
        <f>IF(AND(COUNT(BN1305:BU1305)=8,MIN(BN1305:BU1305)&gt;=0),SUMPRODUCT(BN1305:BQ1305,BR1305:BU1305),"")</f>
        <v>96.68059267618935</v>
      </c>
      <c r="BH1305" s="11" t="n">
        <f>IF(COUNT(BC1305,BG1305)=2,BC1305*BG1305,"")</f>
        <v>0</v>
      </c>
      <c r="BI1305" s="11" t="n">
        <f>IF(ISNUMBER(CI1305),CI1305,"")</f>
        <v>0</v>
      </c>
      <c r="BJ1305" s="8" t="str">
        <v>近180天本色销量9双（＜90），无有效新采购，请运营判断</v>
      </c>
      <c r="BK1305" s="8" t="str">
        <v>90天：2026-07-20 至 2026-10-17；180天：2026-04-21 至 2026-10-17</v>
      </c>
      <c r="BL1305" s="8" t="str">
        <v>90天：2026-10-06、2026-10-07；180天：2026-10-06、2026-10-07</v>
      </c>
      <c r="BM1305" s="8" t="str">
        <v>2026-10：12天 × 1.1743420411079069；2026-11：30天 × 1.281694931279211；2026-12：31天 × 0.9007634642750235；2027-01：17天 × 0.9537631089407297</v>
      </c>
      <c r="BN1305" s="11" t="n">
        <v>1.1743420411079069</v>
      </c>
      <c r="BO1305" s="11" t="n">
        <v>1.281694931279211</v>
      </c>
      <c r="BP1305" s="11" t="n">
        <v>0.9007634642750235</v>
      </c>
      <c r="BQ1305" s="11" t="n">
        <v>0.9537631089407297</v>
      </c>
      <c r="BR1305" s="8" t="n">
        <v>12</v>
      </c>
      <c r="BS1305" s="8" t="n">
        <v>30</v>
      </c>
      <c r="BT1305" s="8" t="n">
        <v>31</v>
      </c>
      <c r="BU1305" s="8" t="n">
        <v>17</v>
      </c>
      <c r="BV1305" s="11" t="n">
        <f>IF(COUNT(BC1305,BF1305)=2,BC1305*BF1305,"")</f>
        <v>0</v>
      </c>
      <c r="BW1305" s="11" t="n">
        <f>IF(ISNUMBER(BN1305),BN1305,"")</f>
        <v>1.1743420411079069</v>
      </c>
      <c r="BX1305" s="14" t="n">
        <f>IF(ISNUMBER(BR1305),BR1305,"")</f>
        <v>12</v>
      </c>
      <c r="BY1305" s="13" t="n">
        <f>IF(AND(COUNT(BV1305,BW1305,BX1305)=3,MIN(BV1305,BW1305,BX1305)&gt;=0),BV1305*BW1305*BX1305,"")</f>
        <v>0</v>
      </c>
      <c r="BZ1305" s="11" t="n">
        <f>IF(ISNUMBER(BO1305),BO1305,"")</f>
        <v>1.281694931279211</v>
      </c>
      <c r="CA1305" s="14" t="n">
        <f>IF(ISNUMBER(BS1305),BS1305,"")</f>
        <v>30</v>
      </c>
      <c r="CB1305" s="13" t="n">
        <f>IF(AND(COUNT(BV1305,BZ1305,CA1305)=3,MIN(BV1305,BZ1305,CA1305)&gt;=0),BV1305*BZ1305*CA1305,"")</f>
        <v>0</v>
      </c>
      <c r="CC1305" s="11" t="n">
        <f>IF(ISNUMBER(BP1305),BP1305,"")</f>
        <v>0.9007634642750235</v>
      </c>
      <c r="CD1305" s="14" t="n">
        <f>IF(ISNUMBER(BT1305),BT1305,"")</f>
        <v>31</v>
      </c>
      <c r="CE1305" s="13" t="n">
        <f>IF(AND(COUNT(BV1305,CC1305,CD1305)=3,MIN(BV1305,CC1305,CD1305)&gt;=0),BV1305*CC1305*CD1305,"")</f>
        <v>0</v>
      </c>
      <c r="CF1305" s="11" t="n">
        <f>IF(ISNUMBER(BQ1305),BQ1305,"")</f>
        <v>0.9537631089407297</v>
      </c>
      <c r="CG1305" s="14" t="n">
        <f>IF(ISNUMBER(BU1305),BU1305,"")</f>
        <v>17</v>
      </c>
      <c r="CH1305" s="13" t="n">
        <f>IF(AND(COUNT(BV1305,CF1305,CG1305)=3,MIN(BV1305,CF1305,CG1305)&gt;=0),BV1305*CF1305*CG1305,"")</f>
        <v>0</v>
      </c>
      <c r="CI1305" s="13" t="n">
        <f>IF(COUNT(BY1305,CB1305,CE1305,CH1305)=4,SUM(BY1305,CB1305,CE1305,CH1305),"")</f>
        <v>0</v>
      </c>
    </row>
    <row r="1306" ht="72" customHeight="1">
      <c r="A1306" s="16" t="str">
        <v>8392-RD-S-K-40.5</v>
      </c>
      <c r="B1306" s="16" t="str">
        <v>3店-SANDIEX-US</v>
      </c>
      <c r="C1306" s="16" t="str">
        <v>徐新怡</v>
      </c>
      <c r="D1306" s="26" t="str">
        <f>IF(NOT(ISNUMBER(E1306)),"",IF(OR(E1306&lt;=0,L1306=0),0,IF(OR(NOT(ISNUMBER(F1306)),F1306&lt;0),"",MIN(E1306,INT(F1306)))))</f>
      </c>
      <c r="E1306" s="27" t="str">
        <f>IF(OR(NOT(ISNUMBER(L1306)),COUNT(M1306:O1306)&lt;&gt;3,MIN(M1306:O1306)&lt;0),"",ROUNDUP(ROUND(BI1306-SUM(M1306:O1306),10),0))</f>
      </c>
      <c r="F1306" s="28"/>
      <c r="G1306" s="28" t="str">
        <f>IF(AND(ISNUMBER(D1306),ISNUMBER(E1306)),IF(OR(E1306&lt;=0,L1306=0),0,E1306-D1306),"")</f>
      </c>
      <c r="H1306" s="16" t="str">
        <f>IF(NOT(ISNUMBER(E1306)),"销量或海外库存待补",IF(OR(E1306&lt;=0,L1306=0),IF(L1306=0,"零日销，本批不发","本批无需补货"),IF(NOT(ISNUMBER(D1306)),"国内库存待补",IF(D1306=0,"国内无可用库存",IF(G1306&gt;0,"先发国内现货","按建议量发货")))))</f>
        <v>销量或海外库存待补</v>
      </c>
      <c r="I1306" s="28" t="n">
        <f>IF(AND(COUNT(Z1306,AA1306,AB1306)=3,Z1306&gt;=AA1306,AA1306&gt;=0,AB1306=7),Z1306-AA1306,"")</f>
        <v>0</v>
      </c>
      <c r="J1306" s="28" t="n">
        <f>IF(AND(COUNT(AF1306,AG1306,AH1306)=3,AF1306&gt;=AG1306,AG1306&gt;=0,AH1306=14),AF1306-AG1306,"")</f>
        <v>0</v>
      </c>
      <c r="K1306" s="28" t="n">
        <f>IF(AND(COUNT(AL1306,AM1306,AN1306)=3,AL1306&gt;=AM1306,AM1306&gt;=0,AN1306=30),AL1306-AM1306,"")</f>
        <v>0</v>
      </c>
      <c r="L1306" s="29" t="n">
        <f>IF(ISNUMBER(BI1306),BI1306/90,"")</f>
        <v>0</v>
      </c>
      <c r="M1306" s="28"/>
      <c r="N1306" s="28"/>
      <c r="O1306" s="28"/>
      <c r="P1306" s="30" t="str">
        <f>IF(AND(ISNUMBER(L1306),L1306&gt;0,COUNT(M1306:O1306)=3,MIN(M1306:O1306)&gt;=0),SUM(M1306:O1306)/L1306,"")</f>
      </c>
      <c r="Q1306" s="16" t="str">
        <v>新增SPU唯一在售店铺</v>
      </c>
      <c r="R1306" s="16" t="str">
        <v>未匹配</v>
      </c>
      <c r="S1306" s="16" t="str">
        <v>未匹配Listing</v>
      </c>
      <c r="T1306" s="16" t="str">
        <v>8392</v>
      </c>
      <c r="U1306" s="16" t="str">
        <v>红色</v>
      </c>
      <c r="V1306" s="16" t="n">
        <v>9.5</v>
      </c>
      <c r="W1306" s="8" t="str">
        <v>2026-10-11 至 2026-10-17</v>
      </c>
      <c r="X1306" s="8" t="str">
        <v>2026-10-11、2026-10-12、2026-10-13、2026-10-14、2026-10-15、2026-10-16、2026-10-17</v>
      </c>
      <c r="Y1306" s="8" t="str">
        <v>无</v>
      </c>
      <c r="Z1306" s="8" t="n">
        <v>0</v>
      </c>
      <c r="AA1306" s="8" t="n">
        <v>0</v>
      </c>
      <c r="AB1306" s="8" t="n">
        <v>7</v>
      </c>
      <c r="AC1306" s="8" t="str">
        <v>2026-10-02 至 2026-10-17</v>
      </c>
      <c r="AD1306" s="8" t="str">
        <v>2026-10-02、2026-10-03、2026-10-04、2026-10-05、2026-10-08、2026-10-09、2026-10-10、2026-10-11、2026-10-12、2026-10-13、2026-10-14、2026-10-15、2026-10-16、2026-10-17</v>
      </c>
      <c r="AE1306" s="8" t="str">
        <v>2026-10-06 大促；2026-10-07 大促</v>
      </c>
      <c r="AF1306" s="8" t="n">
        <v>0</v>
      </c>
      <c r="AG1306" s="8" t="n">
        <v>0</v>
      </c>
      <c r="AH1306" s="8" t="n">
        <v>14</v>
      </c>
      <c r="AI1306" s="8" t="str">
        <v>2026-09-16 至 2026-10-17</v>
      </c>
      <c r="AJ1306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6" s="8" t="str">
        <v>2026-10-06 大促；2026-10-07 大促</v>
      </c>
      <c r="AL1306" s="8" t="n">
        <v>0</v>
      </c>
      <c r="AM1306" s="8" t="n">
        <v>0</v>
      </c>
      <c r="AN1306" s="8" t="n">
        <v>30</v>
      </c>
      <c r="AO1306" s="8" t="str">
        <v>8392 / 红色羊京绒 / 6574</v>
      </c>
      <c r="AP1306" s="11" t="n">
        <v>1.1743420411079069</v>
      </c>
      <c r="AQ1306" s="11" t="n">
        <v>1.1743420411079069</v>
      </c>
      <c r="AR1306" s="11" t="n">
        <v>1.144331424468921</v>
      </c>
      <c r="AS1306" s="11" t="n">
        <f>IF(AND(COUNT(I1306:K1306,AP1306:AR1306)=6,MIN(AP1306:AR1306)&gt;0),I1306/7/AP1306*0.5+J1306/14/AQ1306*0.3+K1306/30/AR1306*0.2,"")</f>
        <v>0</v>
      </c>
      <c r="AT1306" s="8" t="n">
        <v>0</v>
      </c>
      <c r="AU1306" s="8" t="n">
        <v>0</v>
      </c>
      <c r="AV1306" s="8" t="n">
        <v>88</v>
      </c>
      <c r="AW1306" s="11" t="n">
        <f>IF(AND(COUNT(AT1306:AV1306)=3,AT1306&gt;=AU1306,AU1306&gt;=0,AV1306&gt;0),(AT1306-AU1306)/AV1306,"")</f>
        <v>0</v>
      </c>
      <c r="AX1306" s="8" t="n">
        <v>1</v>
      </c>
      <c r="AY1306" s="8" t="n">
        <v>0</v>
      </c>
      <c r="AZ1306" s="8" t="n">
        <v>178</v>
      </c>
      <c r="BA1306" s="11" t="n">
        <f>IF(AND(COUNT(AX1306:AZ1306)=3,AX1306&gt;=AY1306,AY1306&gt;=0,AZ1306&gt;0),(AX1306-AY1306)/AZ1306,"")</f>
        <v>0.0056179775280898875</v>
      </c>
      <c r="BB1306" s="8" t="n">
        <f>IF(COUNT(AS1306,AW1306,BA1306)=3,1,0)</f>
        <v>1</v>
      </c>
      <c r="BC1306" s="11" t="n">
        <f>IF(SUMIF($AO$11:$AO$1309,AO1306,$BB$11:$BB$1309)=COUNTIF($AO$11:$AO$1309,AO1306),SUMIF($AO$11:$AO$1309,AO1306,$AS$11:$AS$1309),"")</f>
        <v>0</v>
      </c>
      <c r="BD1306" s="11" t="n">
        <f>IF(SUMIF($AO$11:$AO$1309,AO1306,$BB$11:$BB$1309)=COUNTIF($AO$11:$AO$1309,AO1306),SUMIF($AO$11:$AO$1309,AO1306,$AW$11:$AW$1309),"")</f>
        <v>0</v>
      </c>
      <c r="BE1306" s="11" t="n">
        <f>IF(SUMIF($AO$11:$AO$1309,AO1306,$BB$11:$BB$1309)=COUNTIF($AO$11:$AO$1309,AO1306),SUMIF($AO$11:$AO$1309,AO1306,$BA$11:$BA$1309),"")</f>
        <v>0.04513643659711075</v>
      </c>
      <c r="BF1306" s="12" t="n">
        <f>IF(COUNT(BD1306:BE1306)&lt;&gt;2,"",IF(AND(BD1306&gt;0,BE1306&gt;0),0.7*AW1306/BD1306+0.3*BA1306/BE1306,IF(BD1306&gt;0,AW1306/BD1306,IF(BE1306&gt;0,BA1306/BE1306,IF(AND(ISNUMBER(BH1306),BH1306=0),0,"")))))</f>
        <v>0.12446657183499289</v>
      </c>
      <c r="BG1306" s="11" t="n">
        <f>IF(AND(COUNT(BN1306:BU1306)=8,MIN(BN1306:BU1306)&gt;=0),SUMPRODUCT(BN1306:BQ1306,BR1306:BU1306),"")</f>
        <v>96.68059267618935</v>
      </c>
      <c r="BH1306" s="11" t="n">
        <f>IF(COUNT(BC1306,BG1306)=2,BC1306*BG1306,"")</f>
        <v>0</v>
      </c>
      <c r="BI1306" s="11" t="n">
        <f>IF(ISNUMBER(CI1306),CI1306,"")</f>
        <v>0</v>
      </c>
      <c r="BJ1306" s="8" t="str">
        <v>近180天本色销量9双（＜90），无有效新采购，请运营判断</v>
      </c>
      <c r="BK1306" s="8" t="str">
        <v>90天：2026-07-20 至 2026-10-17；180天：2026-04-21 至 2026-10-17</v>
      </c>
      <c r="BL1306" s="8" t="str">
        <v>90天：2026-10-06、2026-10-07；180天：2026-10-06、2026-10-07</v>
      </c>
      <c r="BM1306" s="8" t="str">
        <v>2026-10：12天 × 1.1743420411079069；2026-11：30天 × 1.281694931279211；2026-12：31天 × 0.9007634642750235；2027-01：17天 × 0.9537631089407297</v>
      </c>
      <c r="BN1306" s="11" t="n">
        <v>1.1743420411079069</v>
      </c>
      <c r="BO1306" s="11" t="n">
        <v>1.281694931279211</v>
      </c>
      <c r="BP1306" s="11" t="n">
        <v>0.9007634642750235</v>
      </c>
      <c r="BQ1306" s="11" t="n">
        <v>0.9537631089407297</v>
      </c>
      <c r="BR1306" s="8" t="n">
        <v>12</v>
      </c>
      <c r="BS1306" s="8" t="n">
        <v>30</v>
      </c>
      <c r="BT1306" s="8" t="n">
        <v>31</v>
      </c>
      <c r="BU1306" s="8" t="n">
        <v>17</v>
      </c>
      <c r="BV1306" s="11" t="n">
        <f>IF(COUNT(BC1306,BF1306)=2,BC1306*BF1306,"")</f>
        <v>0</v>
      </c>
      <c r="BW1306" s="11" t="n">
        <f>IF(ISNUMBER(BN1306),BN1306,"")</f>
        <v>1.1743420411079069</v>
      </c>
      <c r="BX1306" s="14" t="n">
        <f>IF(ISNUMBER(BR1306),BR1306,"")</f>
        <v>12</v>
      </c>
      <c r="BY1306" s="13" t="n">
        <f>IF(AND(COUNT(BV1306,BW1306,BX1306)=3,MIN(BV1306,BW1306,BX1306)&gt;=0),BV1306*BW1306*BX1306,"")</f>
        <v>0</v>
      </c>
      <c r="BZ1306" s="11" t="n">
        <f>IF(ISNUMBER(BO1306),BO1306,"")</f>
        <v>1.281694931279211</v>
      </c>
      <c r="CA1306" s="14" t="n">
        <f>IF(ISNUMBER(BS1306),BS1306,"")</f>
        <v>30</v>
      </c>
      <c r="CB1306" s="13" t="n">
        <f>IF(AND(COUNT(BV1306,BZ1306,CA1306)=3,MIN(BV1306,BZ1306,CA1306)&gt;=0),BV1306*BZ1306*CA1306,"")</f>
        <v>0</v>
      </c>
      <c r="CC1306" s="11" t="n">
        <f>IF(ISNUMBER(BP1306),BP1306,"")</f>
        <v>0.9007634642750235</v>
      </c>
      <c r="CD1306" s="14" t="n">
        <f>IF(ISNUMBER(BT1306),BT1306,"")</f>
        <v>31</v>
      </c>
      <c r="CE1306" s="13" t="n">
        <f>IF(AND(COUNT(BV1306,CC1306,CD1306)=3,MIN(BV1306,CC1306,CD1306)&gt;=0),BV1306*CC1306*CD1306,"")</f>
        <v>0</v>
      </c>
      <c r="CF1306" s="11" t="n">
        <f>IF(ISNUMBER(BQ1306),BQ1306,"")</f>
        <v>0.9537631089407297</v>
      </c>
      <c r="CG1306" s="14" t="n">
        <f>IF(ISNUMBER(BU1306),BU1306,"")</f>
        <v>17</v>
      </c>
      <c r="CH1306" s="13" t="n">
        <f>IF(AND(COUNT(BV1306,CF1306,CG1306)=3,MIN(BV1306,CF1306,CG1306)&gt;=0),BV1306*CF1306*CG1306,"")</f>
        <v>0</v>
      </c>
      <c r="CI1306" s="13" t="n">
        <f>IF(COUNT(BY1306,CB1306,CE1306,CH1306)=4,SUM(BY1306,CB1306,CE1306,CH1306),"")</f>
        <v>0</v>
      </c>
    </row>
    <row r="1307" ht="72" customHeight="1">
      <c r="A1307" s="16" t="str">
        <v>8392-RD-S-K-41.5</v>
      </c>
      <c r="B1307" s="16" t="str">
        <v>3店-SANDIEX-US</v>
      </c>
      <c r="C1307" s="16" t="str">
        <v>徐新怡</v>
      </c>
      <c r="D1307" s="26" t="str">
        <f>IF(NOT(ISNUMBER(E1307)),"",IF(OR(E1307&lt;=0,L1307=0),0,IF(OR(NOT(ISNUMBER(F1307)),F1307&lt;0),"",MIN(E1307,INT(F1307)))))</f>
      </c>
      <c r="E1307" s="27" t="str">
        <f>IF(OR(NOT(ISNUMBER(L1307)),COUNT(M1307:O1307)&lt;&gt;3,MIN(M1307:O1307)&lt;0),"",ROUNDUP(ROUND(BI1307-SUM(M1307:O1307),10),0))</f>
      </c>
      <c r="F1307" s="28"/>
      <c r="G1307" s="28" t="str">
        <f>IF(AND(ISNUMBER(D1307),ISNUMBER(E1307)),IF(OR(E1307&lt;=0,L1307=0),0,E1307-D1307),"")</f>
      </c>
      <c r="H1307" s="16" t="str">
        <f>IF(NOT(ISNUMBER(E1307)),"销量或海外库存待补",IF(OR(E1307&lt;=0,L1307=0),IF(L1307=0,"零日销，本批不发","本批无需补货"),IF(NOT(ISNUMBER(D1307)),"国内库存待补",IF(D1307=0,"国内无可用库存",IF(G1307&gt;0,"先发国内现货","按建议量发货")))))</f>
        <v>销量或海外库存待补</v>
      </c>
      <c r="I1307" s="28" t="n">
        <f>IF(AND(COUNT(Z1307,AA1307,AB1307)=3,Z1307&gt;=AA1307,AA1307&gt;=0,AB1307=7),Z1307-AA1307,"")</f>
        <v>0</v>
      </c>
      <c r="J1307" s="28" t="n">
        <f>IF(AND(COUNT(AF1307,AG1307,AH1307)=3,AF1307&gt;=AG1307,AG1307&gt;=0,AH1307=14),AF1307-AG1307,"")</f>
        <v>0</v>
      </c>
      <c r="K1307" s="28" t="n">
        <f>IF(AND(COUNT(AL1307,AM1307,AN1307)=3,AL1307&gt;=AM1307,AM1307&gt;=0,AN1307=30),AL1307-AM1307,"")</f>
        <v>0</v>
      </c>
      <c r="L1307" s="29" t="n">
        <f>IF(ISNUMBER(BI1307),BI1307/90,"")</f>
        <v>0</v>
      </c>
      <c r="M1307" s="28"/>
      <c r="N1307" s="28"/>
      <c r="O1307" s="28"/>
      <c r="P1307" s="30" t="str">
        <f>IF(AND(ISNUMBER(L1307),L1307&gt;0,COUNT(M1307:O1307)=3,MIN(M1307:O1307)&gt;=0),SUM(M1307:O1307)/L1307,"")</f>
      </c>
      <c r="Q1307" s="16" t="str">
        <v>新增SPU唯一在售店铺</v>
      </c>
      <c r="R1307" s="16" t="str">
        <v>未匹配</v>
      </c>
      <c r="S1307" s="16" t="str">
        <v>未匹配Listing</v>
      </c>
      <c r="T1307" s="16" t="str">
        <v>8392</v>
      </c>
      <c r="U1307" s="16" t="str">
        <v>红色</v>
      </c>
      <c r="V1307" s="16" t="n">
        <v>10.5</v>
      </c>
      <c r="W1307" s="8" t="str">
        <v>2026-10-11 至 2026-10-17</v>
      </c>
      <c r="X1307" s="8" t="str">
        <v>2026-10-11、2026-10-12、2026-10-13、2026-10-14、2026-10-15、2026-10-16、2026-10-17</v>
      </c>
      <c r="Y1307" s="8" t="str">
        <v>无</v>
      </c>
      <c r="Z1307" s="8" t="n">
        <v>0</v>
      </c>
      <c r="AA1307" s="8" t="n">
        <v>0</v>
      </c>
      <c r="AB1307" s="8" t="n">
        <v>7</v>
      </c>
      <c r="AC1307" s="8" t="str">
        <v>2026-10-02 至 2026-10-17</v>
      </c>
      <c r="AD1307" s="8" t="str">
        <v>2026-10-02、2026-10-03、2026-10-04、2026-10-05、2026-10-08、2026-10-09、2026-10-10、2026-10-11、2026-10-12、2026-10-13、2026-10-14、2026-10-15、2026-10-16、2026-10-17</v>
      </c>
      <c r="AE1307" s="8" t="str">
        <v>2026-10-06 大促；2026-10-07 大促</v>
      </c>
      <c r="AF1307" s="8" t="n">
        <v>0</v>
      </c>
      <c r="AG1307" s="8" t="n">
        <v>0</v>
      </c>
      <c r="AH1307" s="8" t="n">
        <v>14</v>
      </c>
      <c r="AI1307" s="8" t="str">
        <v>2026-09-16 至 2026-10-17</v>
      </c>
      <c r="AJ1307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7" s="8" t="str">
        <v>2026-10-06 大促；2026-10-07 大促</v>
      </c>
      <c r="AL1307" s="8" t="n">
        <v>0</v>
      </c>
      <c r="AM1307" s="8" t="n">
        <v>0</v>
      </c>
      <c r="AN1307" s="8" t="n">
        <v>30</v>
      </c>
      <c r="AO1307" s="8" t="str">
        <v>8392 / 红色羊京绒 / 6574</v>
      </c>
      <c r="AP1307" s="11" t="n">
        <v>1.1743420411079069</v>
      </c>
      <c r="AQ1307" s="11" t="n">
        <v>1.1743420411079069</v>
      </c>
      <c r="AR1307" s="11" t="n">
        <v>1.144331424468921</v>
      </c>
      <c r="AS1307" s="11" t="n">
        <f>IF(AND(COUNT(I1307:K1307,AP1307:AR1307)=6,MIN(AP1307:AR1307)&gt;0),I1307/7/AP1307*0.5+J1307/14/AQ1307*0.3+K1307/30/AR1307*0.2,"")</f>
        <v>0</v>
      </c>
      <c r="AT1307" s="8" t="n">
        <v>0</v>
      </c>
      <c r="AU1307" s="8" t="n">
        <v>0</v>
      </c>
      <c r="AV1307" s="8" t="n">
        <v>88</v>
      </c>
      <c r="AW1307" s="11" t="n">
        <f>IF(AND(COUNT(AT1307:AV1307)=3,AT1307&gt;=AU1307,AU1307&gt;=0,AV1307&gt;0),(AT1307-AU1307)/AV1307,"")</f>
        <v>0</v>
      </c>
      <c r="AX1307" s="8" t="n">
        <v>0</v>
      </c>
      <c r="AY1307" s="8" t="n">
        <v>0</v>
      </c>
      <c r="AZ1307" s="8" t="n">
        <v>178</v>
      </c>
      <c r="BA1307" s="11" t="n">
        <f>IF(AND(COUNT(AX1307:AZ1307)=3,AX1307&gt;=AY1307,AY1307&gt;=0,AZ1307&gt;0),(AX1307-AY1307)/AZ1307,"")</f>
        <v>0</v>
      </c>
      <c r="BB1307" s="8" t="n">
        <f>IF(COUNT(AS1307,AW1307,BA1307)=3,1,0)</f>
        <v>1</v>
      </c>
      <c r="BC1307" s="11" t="n">
        <f>IF(SUMIF($AO$11:$AO$1309,AO1307,$BB$11:$BB$1309)=COUNTIF($AO$11:$AO$1309,AO1307),SUMIF($AO$11:$AO$1309,AO1307,$AS$11:$AS$1309),"")</f>
        <v>0</v>
      </c>
      <c r="BD1307" s="11" t="n">
        <f>IF(SUMIF($AO$11:$AO$1309,AO1307,$BB$11:$BB$1309)=COUNTIF($AO$11:$AO$1309,AO1307),SUMIF($AO$11:$AO$1309,AO1307,$AW$11:$AW$1309),"")</f>
        <v>0</v>
      </c>
      <c r="BE1307" s="11" t="n">
        <f>IF(SUMIF($AO$11:$AO$1309,AO1307,$BB$11:$BB$1309)=COUNTIF($AO$11:$AO$1309,AO1307),SUMIF($AO$11:$AO$1309,AO1307,$BA$11:$BA$1309),"")</f>
        <v>0.04513643659711075</v>
      </c>
      <c r="BF1307" s="12" t="n">
        <f>IF(COUNT(BD1307:BE1307)&lt;&gt;2,"",IF(AND(BD1307&gt;0,BE1307&gt;0),0.7*AW1307/BD1307+0.3*BA1307/BE1307,IF(BD1307&gt;0,AW1307/BD1307,IF(BE1307&gt;0,BA1307/BE1307,IF(AND(ISNUMBER(BH1307),BH1307=0),0,"")))))</f>
        <v>0</v>
      </c>
      <c r="BG1307" s="11" t="n">
        <f>IF(AND(COUNT(BN1307:BU1307)=8,MIN(BN1307:BU1307)&gt;=0),SUMPRODUCT(BN1307:BQ1307,BR1307:BU1307),"")</f>
        <v>96.68059267618935</v>
      </c>
      <c r="BH1307" s="11" t="n">
        <f>IF(COUNT(BC1307,BG1307)=2,BC1307*BG1307,"")</f>
        <v>0</v>
      </c>
      <c r="BI1307" s="11" t="n">
        <f>IF(ISNUMBER(CI1307),CI1307,"")</f>
        <v>0</v>
      </c>
      <c r="BJ1307" s="8" t="str">
        <v>近180天本色销量9双（＜90），无有效新采购，请运营判断</v>
      </c>
      <c r="BK1307" s="8" t="str">
        <v>90天：2026-07-20 至 2026-10-17；180天：2026-04-21 至 2026-10-17</v>
      </c>
      <c r="BL1307" s="8" t="str">
        <v>90天：2026-10-06、2026-10-07；180天：2026-10-06、2026-10-07</v>
      </c>
      <c r="BM1307" s="8" t="str">
        <v>2026-10：12天 × 1.1743420411079069；2026-11：30天 × 1.281694931279211；2026-12：31天 × 0.9007634642750235；2027-01：17天 × 0.9537631089407297</v>
      </c>
      <c r="BN1307" s="11" t="n">
        <v>1.1743420411079069</v>
      </c>
      <c r="BO1307" s="11" t="n">
        <v>1.281694931279211</v>
      </c>
      <c r="BP1307" s="11" t="n">
        <v>0.9007634642750235</v>
      </c>
      <c r="BQ1307" s="11" t="n">
        <v>0.9537631089407297</v>
      </c>
      <c r="BR1307" s="8" t="n">
        <v>12</v>
      </c>
      <c r="BS1307" s="8" t="n">
        <v>30</v>
      </c>
      <c r="BT1307" s="8" t="n">
        <v>31</v>
      </c>
      <c r="BU1307" s="8" t="n">
        <v>17</v>
      </c>
      <c r="BV1307" s="11" t="n">
        <f>IF(COUNT(BC1307,BF1307)=2,BC1307*BF1307,"")</f>
        <v>0</v>
      </c>
      <c r="BW1307" s="11" t="n">
        <f>IF(ISNUMBER(BN1307),BN1307,"")</f>
        <v>1.1743420411079069</v>
      </c>
      <c r="BX1307" s="14" t="n">
        <f>IF(ISNUMBER(BR1307),BR1307,"")</f>
        <v>12</v>
      </c>
      <c r="BY1307" s="13" t="n">
        <f>IF(AND(COUNT(BV1307,BW1307,BX1307)=3,MIN(BV1307,BW1307,BX1307)&gt;=0),BV1307*BW1307*BX1307,"")</f>
        <v>0</v>
      </c>
      <c r="BZ1307" s="11" t="n">
        <f>IF(ISNUMBER(BO1307),BO1307,"")</f>
        <v>1.281694931279211</v>
      </c>
      <c r="CA1307" s="14" t="n">
        <f>IF(ISNUMBER(BS1307),BS1307,"")</f>
        <v>30</v>
      </c>
      <c r="CB1307" s="13" t="n">
        <f>IF(AND(COUNT(BV1307,BZ1307,CA1307)=3,MIN(BV1307,BZ1307,CA1307)&gt;=0),BV1307*BZ1307*CA1307,"")</f>
        <v>0</v>
      </c>
      <c r="CC1307" s="11" t="n">
        <f>IF(ISNUMBER(BP1307),BP1307,"")</f>
        <v>0.9007634642750235</v>
      </c>
      <c r="CD1307" s="14" t="n">
        <f>IF(ISNUMBER(BT1307),BT1307,"")</f>
        <v>31</v>
      </c>
      <c r="CE1307" s="13" t="n">
        <f>IF(AND(COUNT(BV1307,CC1307,CD1307)=3,MIN(BV1307,CC1307,CD1307)&gt;=0),BV1307*CC1307*CD1307,"")</f>
        <v>0</v>
      </c>
      <c r="CF1307" s="11" t="n">
        <f>IF(ISNUMBER(BQ1307),BQ1307,"")</f>
        <v>0.9537631089407297</v>
      </c>
      <c r="CG1307" s="14" t="n">
        <f>IF(ISNUMBER(BU1307),BU1307,"")</f>
        <v>17</v>
      </c>
      <c r="CH1307" s="13" t="n">
        <f>IF(AND(COUNT(BV1307,CF1307,CG1307)=3,MIN(BV1307,CF1307,CG1307)&gt;=0),BV1307*CF1307*CG1307,"")</f>
        <v>0</v>
      </c>
      <c r="CI1307" s="13" t="n">
        <f>IF(COUNT(BY1307,CB1307,CE1307,CH1307)=4,SUM(BY1307,CB1307,CE1307,CH1307),"")</f>
        <v>0</v>
      </c>
    </row>
    <row r="1308" ht="72" customHeight="1">
      <c r="A1308" s="16" t="str">
        <v>8392-RD-S-K-42</v>
      </c>
      <c r="B1308" s="16" t="str">
        <v>3店-SANDIEX-US</v>
      </c>
      <c r="C1308" s="16" t="str">
        <v>徐新怡</v>
      </c>
      <c r="D1308" s="26" t="str">
        <f>IF(NOT(ISNUMBER(E1308)),"",IF(OR(E1308&lt;=0,L1308=0),0,IF(OR(NOT(ISNUMBER(F1308)),F1308&lt;0),"",MIN(E1308,INT(F1308)))))</f>
      </c>
      <c r="E1308" s="27" t="str">
        <f>IF(OR(NOT(ISNUMBER(L1308)),COUNT(M1308:O1308)&lt;&gt;3,MIN(M1308:O1308)&lt;0),"",ROUNDUP(ROUND(BI1308-SUM(M1308:O1308),10),0))</f>
      </c>
      <c r="F1308" s="28" t="n">
        <v>0</v>
      </c>
      <c r="G1308" s="28" t="str">
        <f>IF(AND(ISNUMBER(D1308),ISNUMBER(E1308)),IF(OR(E1308&lt;=0,L1308=0),0,E1308-D1308),"")</f>
      </c>
      <c r="H1308" s="16" t="str">
        <f>IF(NOT(ISNUMBER(E1308)),"销量或海外库存待补",IF(OR(E1308&lt;=0,L1308=0),IF(L1308=0,"零日销，本批不发","本批无需补货"),IF(NOT(ISNUMBER(D1308)),"国内库存待补",IF(D1308=0,"国内无可用库存",IF(G1308&gt;0,"先发国内现货","按建议量发货")))))</f>
        <v>销量或海外库存待补</v>
      </c>
      <c r="I1308" s="28" t="n">
        <f>IF(AND(COUNT(Z1308,AA1308,AB1308)=3,Z1308&gt;=AA1308,AA1308&gt;=0,AB1308=7),Z1308-AA1308,"")</f>
        <v>0</v>
      </c>
      <c r="J1308" s="28" t="n">
        <f>IF(AND(COUNT(AF1308,AG1308,AH1308)=3,AF1308&gt;=AG1308,AG1308&gt;=0,AH1308=14),AF1308-AG1308,"")</f>
        <v>0</v>
      </c>
      <c r="K1308" s="28" t="n">
        <f>IF(AND(COUNT(AL1308,AM1308,AN1308)=3,AL1308&gt;=AM1308,AM1308&gt;=0,AN1308=30),AL1308-AM1308,"")</f>
        <v>0</v>
      </c>
      <c r="L1308" s="29" t="n">
        <f>IF(ISNUMBER(BI1308),BI1308/90,"")</f>
        <v>0</v>
      </c>
      <c r="M1308" s="28"/>
      <c r="N1308" s="28"/>
      <c r="O1308" s="28"/>
      <c r="P1308" s="30" t="str">
        <f>IF(AND(ISNUMBER(L1308),L1308&gt;0,COUNT(M1308:O1308)=3,MIN(M1308:O1308)&gt;=0),SUM(M1308:O1308)/L1308,"")</f>
      </c>
      <c r="Q1308" s="16" t="str">
        <v>新增SPU唯一在售店铺</v>
      </c>
      <c r="R1308" s="16" t="str">
        <v>已匹配</v>
      </c>
      <c r="S1308" s="16" t="str">
        <v>未匹配Listing</v>
      </c>
      <c r="T1308" s="16" t="str">
        <v>8392</v>
      </c>
      <c r="U1308" s="16" t="str">
        <v>红色</v>
      </c>
      <c r="V1308" s="16" t="n">
        <v>11</v>
      </c>
      <c r="W1308" s="8" t="str">
        <v>2026-10-11 至 2026-10-17</v>
      </c>
      <c r="X1308" s="8" t="str">
        <v>2026-10-11、2026-10-12、2026-10-13、2026-10-14、2026-10-15、2026-10-16、2026-10-17</v>
      </c>
      <c r="Y1308" s="8" t="str">
        <v>无</v>
      </c>
      <c r="Z1308" s="8" t="n">
        <v>0</v>
      </c>
      <c r="AA1308" s="8" t="n">
        <v>0</v>
      </c>
      <c r="AB1308" s="8" t="n">
        <v>7</v>
      </c>
      <c r="AC1308" s="8" t="str">
        <v>2026-10-02 至 2026-10-17</v>
      </c>
      <c r="AD1308" s="8" t="str">
        <v>2026-10-02、2026-10-03、2026-10-04、2026-10-05、2026-10-08、2026-10-09、2026-10-10、2026-10-11、2026-10-12、2026-10-13、2026-10-14、2026-10-15、2026-10-16、2026-10-17</v>
      </c>
      <c r="AE1308" s="8" t="str">
        <v>2026-10-06 大促；2026-10-07 大促</v>
      </c>
      <c r="AF1308" s="8" t="n">
        <v>0</v>
      </c>
      <c r="AG1308" s="8" t="n">
        <v>0</v>
      </c>
      <c r="AH1308" s="8" t="n">
        <v>14</v>
      </c>
      <c r="AI1308" s="8" t="str">
        <v>2026-09-16 至 2026-10-17</v>
      </c>
      <c r="AJ1308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8" s="8" t="str">
        <v>2026-10-06 大促；2026-10-07 大促</v>
      </c>
      <c r="AL1308" s="8" t="n">
        <v>0</v>
      </c>
      <c r="AM1308" s="8" t="n">
        <v>0</v>
      </c>
      <c r="AN1308" s="8" t="n">
        <v>30</v>
      </c>
      <c r="AO1308" s="8" t="str">
        <v>8392 / 红色羊京绒 / 6574</v>
      </c>
      <c r="AP1308" s="11" t="n">
        <v>1.1743420411079069</v>
      </c>
      <c r="AQ1308" s="11" t="n">
        <v>1.1743420411079069</v>
      </c>
      <c r="AR1308" s="11" t="n">
        <v>1.144331424468921</v>
      </c>
      <c r="AS1308" s="11" t="n">
        <f>IF(AND(COUNT(I1308:K1308,AP1308:AR1308)=6,MIN(AP1308:AR1308)&gt;0),I1308/7/AP1308*0.5+J1308/14/AQ1308*0.3+K1308/30/AR1308*0.2,"")</f>
        <v>0</v>
      </c>
      <c r="AT1308" s="8" t="n">
        <v>0</v>
      </c>
      <c r="AU1308" s="8" t="n">
        <v>0</v>
      </c>
      <c r="AV1308" s="8" t="n">
        <v>88</v>
      </c>
      <c r="AW1308" s="11" t="n">
        <f>IF(AND(COUNT(AT1308:AV1308)=3,AT1308&gt;=AU1308,AU1308&gt;=0,AV1308&gt;0),(AT1308-AU1308)/AV1308,"")</f>
        <v>0</v>
      </c>
      <c r="AX1308" s="8" t="n">
        <v>1</v>
      </c>
      <c r="AY1308" s="8" t="n">
        <v>0</v>
      </c>
      <c r="AZ1308" s="8" t="n">
        <v>178</v>
      </c>
      <c r="BA1308" s="11" t="n">
        <f>IF(AND(COUNT(AX1308:AZ1308)=3,AX1308&gt;=AY1308,AY1308&gt;=0,AZ1308&gt;0),(AX1308-AY1308)/AZ1308,"")</f>
        <v>0.0056179775280898875</v>
      </c>
      <c r="BB1308" s="8" t="n">
        <f>IF(COUNT(AS1308,AW1308,BA1308)=3,1,0)</f>
        <v>1</v>
      </c>
      <c r="BC1308" s="11" t="n">
        <f>IF(SUMIF($AO$11:$AO$1309,AO1308,$BB$11:$BB$1309)=COUNTIF($AO$11:$AO$1309,AO1308),SUMIF($AO$11:$AO$1309,AO1308,$AS$11:$AS$1309),"")</f>
        <v>0</v>
      </c>
      <c r="BD1308" s="11" t="n">
        <f>IF(SUMIF($AO$11:$AO$1309,AO1308,$BB$11:$BB$1309)=COUNTIF($AO$11:$AO$1309,AO1308),SUMIF($AO$11:$AO$1309,AO1308,$AW$11:$AW$1309),"")</f>
        <v>0</v>
      </c>
      <c r="BE1308" s="11" t="n">
        <f>IF(SUMIF($AO$11:$AO$1309,AO1308,$BB$11:$BB$1309)=COUNTIF($AO$11:$AO$1309,AO1308),SUMIF($AO$11:$AO$1309,AO1308,$BA$11:$BA$1309),"")</f>
        <v>0.04513643659711075</v>
      </c>
      <c r="BF1308" s="12" t="n">
        <f>IF(COUNT(BD1308:BE1308)&lt;&gt;2,"",IF(AND(BD1308&gt;0,BE1308&gt;0),0.7*AW1308/BD1308+0.3*BA1308/BE1308,IF(BD1308&gt;0,AW1308/BD1308,IF(BE1308&gt;0,BA1308/BE1308,IF(AND(ISNUMBER(BH1308),BH1308=0),0,"")))))</f>
        <v>0.12446657183499289</v>
      </c>
      <c r="BG1308" s="11" t="n">
        <f>IF(AND(COUNT(BN1308:BU1308)=8,MIN(BN1308:BU1308)&gt;=0),SUMPRODUCT(BN1308:BQ1308,BR1308:BU1308),"")</f>
        <v>96.68059267618935</v>
      </c>
      <c r="BH1308" s="11" t="n">
        <f>IF(COUNT(BC1308,BG1308)=2,BC1308*BG1308,"")</f>
        <v>0</v>
      </c>
      <c r="BI1308" s="11" t="n">
        <f>IF(ISNUMBER(CI1308),CI1308,"")</f>
        <v>0</v>
      </c>
      <c r="BJ1308" s="8" t="str">
        <v>近180天本色销量9双（＜90），无有效新采购，请运营判断</v>
      </c>
      <c r="BK1308" s="8" t="str">
        <v>90天：2026-07-20 至 2026-10-17；180天：2026-04-21 至 2026-10-17</v>
      </c>
      <c r="BL1308" s="8" t="str">
        <v>90天：2026-10-06、2026-10-07；180天：2026-10-06、2026-10-07</v>
      </c>
      <c r="BM1308" s="8" t="str">
        <v>2026-10：12天 × 1.1743420411079069；2026-11：30天 × 1.281694931279211；2026-12：31天 × 0.9007634642750235；2027-01：17天 × 0.9537631089407297</v>
      </c>
      <c r="BN1308" s="11" t="n">
        <v>1.1743420411079069</v>
      </c>
      <c r="BO1308" s="11" t="n">
        <v>1.281694931279211</v>
      </c>
      <c r="BP1308" s="11" t="n">
        <v>0.9007634642750235</v>
      </c>
      <c r="BQ1308" s="11" t="n">
        <v>0.9537631089407297</v>
      </c>
      <c r="BR1308" s="8" t="n">
        <v>12</v>
      </c>
      <c r="BS1308" s="8" t="n">
        <v>30</v>
      </c>
      <c r="BT1308" s="8" t="n">
        <v>31</v>
      </c>
      <c r="BU1308" s="8" t="n">
        <v>17</v>
      </c>
      <c r="BV1308" s="11" t="n">
        <f>IF(COUNT(BC1308,BF1308)=2,BC1308*BF1308,"")</f>
        <v>0</v>
      </c>
      <c r="BW1308" s="11" t="n">
        <f>IF(ISNUMBER(BN1308),BN1308,"")</f>
        <v>1.1743420411079069</v>
      </c>
      <c r="BX1308" s="14" t="n">
        <f>IF(ISNUMBER(BR1308),BR1308,"")</f>
        <v>12</v>
      </c>
      <c r="BY1308" s="13" t="n">
        <f>IF(AND(COUNT(BV1308,BW1308,BX1308)=3,MIN(BV1308,BW1308,BX1308)&gt;=0),BV1308*BW1308*BX1308,"")</f>
        <v>0</v>
      </c>
      <c r="BZ1308" s="11" t="n">
        <f>IF(ISNUMBER(BO1308),BO1308,"")</f>
        <v>1.281694931279211</v>
      </c>
      <c r="CA1308" s="14" t="n">
        <f>IF(ISNUMBER(BS1308),BS1308,"")</f>
        <v>30</v>
      </c>
      <c r="CB1308" s="13" t="n">
        <f>IF(AND(COUNT(BV1308,BZ1308,CA1308)=3,MIN(BV1308,BZ1308,CA1308)&gt;=0),BV1308*BZ1308*CA1308,"")</f>
        <v>0</v>
      </c>
      <c r="CC1308" s="11" t="n">
        <f>IF(ISNUMBER(BP1308),BP1308,"")</f>
        <v>0.9007634642750235</v>
      </c>
      <c r="CD1308" s="14" t="n">
        <f>IF(ISNUMBER(BT1308),BT1308,"")</f>
        <v>31</v>
      </c>
      <c r="CE1308" s="13" t="n">
        <f>IF(AND(COUNT(BV1308,CC1308,CD1308)=3,MIN(BV1308,CC1308,CD1308)&gt;=0),BV1308*CC1308*CD1308,"")</f>
        <v>0</v>
      </c>
      <c r="CF1308" s="11" t="n">
        <f>IF(ISNUMBER(BQ1308),BQ1308,"")</f>
        <v>0.9537631089407297</v>
      </c>
      <c r="CG1308" s="14" t="n">
        <f>IF(ISNUMBER(BU1308),BU1308,"")</f>
        <v>17</v>
      </c>
      <c r="CH1308" s="13" t="n">
        <f>IF(AND(COUNT(BV1308,CF1308,CG1308)=3,MIN(BV1308,CF1308,CG1308)&gt;=0),BV1308*CF1308*CG1308,"")</f>
        <v>0</v>
      </c>
      <c r="CI1308" s="13" t="n">
        <f>IF(COUNT(BY1308,CB1308,CE1308,CH1308)=4,SUM(BY1308,CB1308,CE1308,CH1308),"")</f>
        <v>0</v>
      </c>
    </row>
    <row r="1309" ht="72" customHeight="1">
      <c r="A1309" s="16" t="str">
        <v>8392-TN-42</v>
      </c>
      <c r="B1309" s="16" t="str">
        <v>3店-SANDIEX-US</v>
      </c>
      <c r="C1309" s="16" t="str">
        <v>徐新怡</v>
      </c>
      <c r="D1309" s="26" t="str">
        <f>IF(NOT(ISNUMBER(E1309)),"",IF(OR(E1309&lt;=0,L1309=0),0,IF(OR(NOT(ISNUMBER(F1309)),F1309&lt;0),"",MIN(E1309,INT(F1309)))))</f>
      </c>
      <c r="E1309" s="27" t="str">
        <f>IF(OR(NOT(ISNUMBER(L1309)),COUNT(M1309:O1309)&lt;&gt;3,MIN(M1309:O1309)&lt;0),"",ROUNDUP(ROUND(BI1309-SUM(M1309:O1309),10),0))</f>
      </c>
      <c r="F1309" s="28" t="n">
        <v>0</v>
      </c>
      <c r="G1309" s="28" t="str">
        <f>IF(AND(ISNUMBER(D1309),ISNUMBER(E1309)),IF(OR(E1309&lt;=0,L1309=0),0,E1309-D1309),"")</f>
      </c>
      <c r="H1309" s="16" t="str">
        <f>IF(NOT(ISNUMBER(E1309)),"销量或海外库存待补",IF(OR(E1309&lt;=0,L1309=0),IF(L1309=0,"零日销，本批不发","本批无需补货"),IF(NOT(ISNUMBER(D1309)),"国内库存待补",IF(D1309=0,"国内无可用库存",IF(G1309&gt;0,"先发国内现货","按建议量发货")))))</f>
        <v>销量或海外库存待补</v>
      </c>
      <c r="I1309" s="28" t="n">
        <f>IF(AND(COUNT(Z1309,AA1309,AB1309)=3,Z1309&gt;=AA1309,AA1309&gt;=0,AB1309=7),Z1309-AA1309,"")</f>
        <v>0</v>
      </c>
      <c r="J1309" s="28" t="n">
        <f>IF(AND(COUNT(AF1309,AG1309,AH1309)=3,AF1309&gt;=AG1309,AG1309&gt;=0,AH1309=14),AF1309-AG1309,"")</f>
        <v>0</v>
      </c>
      <c r="K1309" s="28" t="n">
        <f>IF(AND(COUNT(AL1309,AM1309,AN1309)=3,AL1309&gt;=AM1309,AM1309&gt;=0,AN1309=30),AL1309-AM1309,"")</f>
        <v>0</v>
      </c>
      <c r="L1309" s="29" t="n">
        <f>IF(ISNUMBER(BI1309),BI1309/90,"")</f>
        <v>0</v>
      </c>
      <c r="M1309" s="28"/>
      <c r="N1309" s="28"/>
      <c r="O1309" s="28"/>
      <c r="P1309" s="30" t="str">
        <f>IF(AND(ISNUMBER(L1309),L1309&gt;0,COUNT(M1309:O1309)=3,MIN(M1309:O1309)&gt;=0),SUM(M1309:O1309)/L1309,"")</f>
      </c>
      <c r="Q1309" s="16" t="str">
        <v>新增SPU唯一在售店铺</v>
      </c>
      <c r="R1309" s="16" t="str">
        <v>已匹配</v>
      </c>
      <c r="S1309" s="16" t="str">
        <v>未匹配Listing</v>
      </c>
      <c r="T1309" s="16" t="str">
        <v>8392</v>
      </c>
      <c r="U1309" s="16" t="str">
        <v>驼色</v>
      </c>
      <c r="V1309" s="16" t="n">
        <v>11</v>
      </c>
      <c r="W1309" s="8" t="str">
        <v>2026-10-11 至 2026-10-17</v>
      </c>
      <c r="X1309" s="8" t="str">
        <v>2026-10-11、2026-10-12、2026-10-13、2026-10-14、2026-10-15、2026-10-16、2026-10-17</v>
      </c>
      <c r="Y1309" s="8" t="str">
        <v>无</v>
      </c>
      <c r="Z1309" s="8" t="n">
        <v>0</v>
      </c>
      <c r="AA1309" s="8" t="n">
        <v>0</v>
      </c>
      <c r="AB1309" s="8" t="n">
        <v>7</v>
      </c>
      <c r="AC1309" s="8" t="str">
        <v>2026-10-02 至 2026-10-17</v>
      </c>
      <c r="AD1309" s="8" t="str">
        <v>2026-10-02、2026-10-03、2026-10-04、2026-10-05、2026-10-08、2026-10-09、2026-10-10、2026-10-11、2026-10-12、2026-10-13、2026-10-14、2026-10-15、2026-10-16、2026-10-17</v>
      </c>
      <c r="AE1309" s="8" t="str">
        <v>2026-10-06 大促；2026-10-07 大促</v>
      </c>
      <c r="AF1309" s="8" t="n">
        <v>0</v>
      </c>
      <c r="AG1309" s="8" t="n">
        <v>0</v>
      </c>
      <c r="AH1309" s="8" t="n">
        <v>14</v>
      </c>
      <c r="AI1309" s="8" t="str">
        <v>2026-09-16 至 2026-10-17</v>
      </c>
      <c r="AJ1309" s="8" t="str">
        <v>2026-09-16、2026-09-17、2026-09-18、2026-09-19、2026-09-20、2026-09-21、2026-09-22、2026-09-23、2026-09-24、2026-09-25、2026-09-26、2026-09-27、2026-09-28、2026-09-29、2026-09-30、2026-10-01、2026-10-02、2026-10-03、2026-10-04、2026-10-05、2026-10-08、2026-10-09、2026-10-10、2026-10-11、2026-10-12、2026-10-13、2026-10-14、2026-10-15、2026-10-16、2026-10-17</v>
      </c>
      <c r="AK1309" s="8" t="str">
        <v>2026-10-06 大促；2026-10-07 大促</v>
      </c>
      <c r="AL1309" s="8" t="n">
        <v>0</v>
      </c>
      <c r="AM1309" s="8" t="n">
        <v>0</v>
      </c>
      <c r="AN1309" s="8" t="n">
        <v>30</v>
      </c>
      <c r="AO1309" s="8" t="str">
        <v>8392 / 驼色羊京绒 / 6574</v>
      </c>
      <c r="AP1309" s="11" t="n">
        <v>1.1743420411079069</v>
      </c>
      <c r="AQ1309" s="11" t="n">
        <v>1.1743420411079069</v>
      </c>
      <c r="AR1309" s="11" t="n">
        <v>1.144331424468921</v>
      </c>
      <c r="AS1309" s="11" t="n">
        <f>IF(AND(COUNT(I1309:K1309,AP1309:AR1309)=6,MIN(AP1309:AR1309)&gt;0),I1309/7/AP1309*0.5+J1309/14/AQ1309*0.3+K1309/30/AR1309*0.2,"")</f>
        <v>0</v>
      </c>
      <c r="AT1309" s="8" t="n">
        <v>0</v>
      </c>
      <c r="AU1309" s="8" t="n">
        <v>0</v>
      </c>
      <c r="AV1309" s="8" t="n">
        <v>88</v>
      </c>
      <c r="AW1309" s="11" t="n">
        <f>IF(AND(COUNT(AT1309:AV1309)=3,AT1309&gt;=AU1309,AU1309&gt;=0,AV1309&gt;0),(AT1309-AU1309)/AV1309,"")</f>
        <v>0</v>
      </c>
      <c r="AX1309" s="8" t="n">
        <v>0</v>
      </c>
      <c r="AY1309" s="8" t="n">
        <v>0</v>
      </c>
      <c r="AZ1309" s="8" t="n">
        <v>178</v>
      </c>
      <c r="BA1309" s="11" t="n">
        <f>IF(AND(COUNT(AX1309:AZ1309)=3,AX1309&gt;=AY1309,AY1309&gt;=0,AZ1309&gt;0),(AX1309-AY1309)/AZ1309,"")</f>
        <v>0</v>
      </c>
      <c r="BB1309" s="8" t="n">
        <f>IF(COUNT(AS1309,AW1309,BA1309)=3,1,0)</f>
        <v>1</v>
      </c>
      <c r="BC1309" s="11" t="n">
        <f>IF(SUMIF($AO$11:$AO$1309,AO1309,$BB$11:$BB$1309)=COUNTIF($AO$11:$AO$1309,AO1309),SUMIF($AO$11:$AO$1309,AO1309,$AS$11:$AS$1309),"")</f>
        <v>0.7013954528820118</v>
      </c>
      <c r="BD1309" s="11" t="n">
        <f>IF(SUMIF($AO$11:$AO$1309,AO1309,$BB$11:$BB$1309)=COUNTIF($AO$11:$AO$1309,AO1309),SUMIF($AO$11:$AO$1309,AO1309,$AW$11:$AW$1309),"")</f>
        <v>0.33235294117647063</v>
      </c>
      <c r="BE1309" s="11" t="n">
        <f>IF(SUMIF($AO$11:$AO$1309,AO1309,$BB$11:$BB$1309)=COUNTIF($AO$11:$AO$1309,AO1309),SUMIF($AO$11:$AO$1309,AO1309,$BA$11:$BA$1309),"")</f>
        <v>0.4921348314606742</v>
      </c>
      <c r="BF1309" s="12" t="n">
        <f>IF(COUNT(BD1309:BE1309)&lt;&gt;2,"",IF(AND(BD1309&gt;0,BE1309&gt;0),0.7*AW1309/BD1309+0.3*BA1309/BE1309,IF(BD1309&gt;0,AW1309/BD1309,IF(BE1309&gt;0,BA1309/BE1309,IF(AND(ISNUMBER(BH1309),BH1309=0),0,"")))))</f>
        <v>0</v>
      </c>
      <c r="BG1309" s="11" t="n">
        <f>IF(AND(COUNT(BN1309:BU1309)=8,MIN(BN1309:BU1309)&gt;=0),SUMPRODUCT(BN1309:BQ1309,BR1309:BU1309),"")</f>
        <v>96.68059267618935</v>
      </c>
      <c r="BH1309" s="11" t="n">
        <f>IF(COUNT(BC1309,BG1309)=2,BC1309*BG1309,"")</f>
        <v>67.81132808501714</v>
      </c>
      <c r="BI1309" s="11" t="n">
        <f>IF(ISNUMBER(CI1309),CI1309,"")</f>
        <v>0</v>
      </c>
      <c r="BJ1309" s="8" t="str"/>
      <c r="BK1309" s="8" t="str">
        <v>90天：2026-07-20 至 2026-10-17；180天：2026-04-21 至 2026-10-17</v>
      </c>
      <c r="BL1309" s="8" t="str">
        <v>90天：2026-10-06、2026-10-07；180天：2026-10-06、2026-10-07</v>
      </c>
      <c r="BM1309" s="8" t="str">
        <v>2026-10：12天 × 1.1743420411079069；2026-11：30天 × 1.281694931279211；2026-12：31天 × 0.9007634642750235；2027-01：17天 × 0.9537631089407297</v>
      </c>
      <c r="BN1309" s="11" t="n">
        <v>1.1743420411079069</v>
      </c>
      <c r="BO1309" s="11" t="n">
        <v>1.281694931279211</v>
      </c>
      <c r="BP1309" s="11" t="n">
        <v>0.9007634642750235</v>
      </c>
      <c r="BQ1309" s="11" t="n">
        <v>0.9537631089407297</v>
      </c>
      <c r="BR1309" s="8" t="n">
        <v>12</v>
      </c>
      <c r="BS1309" s="8" t="n">
        <v>30</v>
      </c>
      <c r="BT1309" s="8" t="n">
        <v>31</v>
      </c>
      <c r="BU1309" s="8" t="n">
        <v>17</v>
      </c>
      <c r="BV1309" s="11" t="n">
        <f>IF(COUNT(BC1309,BF1309)=2,BC1309*BF1309,"")</f>
        <v>0</v>
      </c>
      <c r="BW1309" s="11" t="n">
        <f>IF(ISNUMBER(BN1309),BN1309,"")</f>
        <v>1.1743420411079069</v>
      </c>
      <c r="BX1309" s="14" t="n">
        <f>IF(ISNUMBER(BR1309),BR1309,"")</f>
        <v>12</v>
      </c>
      <c r="BY1309" s="13" t="n">
        <f>IF(AND(COUNT(BV1309,BW1309,BX1309)=3,MIN(BV1309,BW1309,BX1309)&gt;=0),BV1309*BW1309*BX1309,"")</f>
        <v>0</v>
      </c>
      <c r="BZ1309" s="11" t="n">
        <f>IF(ISNUMBER(BO1309),BO1309,"")</f>
        <v>1.281694931279211</v>
      </c>
      <c r="CA1309" s="14" t="n">
        <f>IF(ISNUMBER(BS1309),BS1309,"")</f>
        <v>30</v>
      </c>
      <c r="CB1309" s="13" t="n">
        <f>IF(AND(COUNT(BV1309,BZ1309,CA1309)=3,MIN(BV1309,BZ1309,CA1309)&gt;=0),BV1309*BZ1309*CA1309,"")</f>
        <v>0</v>
      </c>
      <c r="CC1309" s="11" t="n">
        <f>IF(ISNUMBER(BP1309),BP1309,"")</f>
        <v>0.9007634642750235</v>
      </c>
      <c r="CD1309" s="14" t="n">
        <f>IF(ISNUMBER(BT1309),BT1309,"")</f>
        <v>31</v>
      </c>
      <c r="CE1309" s="13" t="n">
        <f>IF(AND(COUNT(BV1309,CC1309,CD1309)=3,MIN(BV1309,CC1309,CD1309)&gt;=0),BV1309*CC1309*CD1309,"")</f>
        <v>0</v>
      </c>
      <c r="CF1309" s="11" t="n">
        <f>IF(ISNUMBER(BQ1309),BQ1309,"")</f>
        <v>0.9537631089407297</v>
      </c>
      <c r="CG1309" s="14" t="n">
        <f>IF(ISNUMBER(BU1309),BU1309,"")</f>
        <v>17</v>
      </c>
      <c r="CH1309" s="13" t="n">
        <f>IF(AND(COUNT(BV1309,CF1309,CG1309)=3,MIN(BV1309,CF1309,CG1309)&gt;=0),BV1309*CF1309*CG1309,"")</f>
        <v>0</v>
      </c>
      <c r="CI1309" s="13" t="n">
        <f>IF(COUNT(BY1309,CB1309,CE1309,CH1309)=4,SUM(BY1309,CB1309,CE1309,CH1309),"")</f>
        <v>0</v>
      </c>
    </row>
  </sheetData>
  <pageMargins left="0.7" right="0.7" top="0.75" bottom="0.75" header="0.3" footer="0.3"/>
  <tableParts count="1">
    <tablePart ns1:id="R5e8eff6b149942a9"/>
  </tableParts>
</worksheet>
</file>

<file path=xl/worksheets/sheet3.xml><?xml version="1.0" encoding="utf-8"?>
<x:worksheet xmlns:x="http://schemas.openxmlformats.org/spreadsheetml/2006/main">
  <x:sheetPr>
    <x:tabColor rgb="FF667B9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43" hidden="0" customWidth="1"/>
    <x:col min="3" max="3" width="88" hidden="0" customWidth="1"/>
  </x:cols>
  <x:sheetData>
    <x:row r="1" ht="32" customHeight="1">
      <x:c r="A1" s="43" t="str">
        <x:v>统计与数据口径说明</x:v>
      </x:c>
      <x:c r="B1" s="43"/>
      <x:c r="C1" s="43"/>
    </x:row>
    <x:row r="2" ht="28" customHeight="1">
      <x:c r="A2" s="41" t="str">
        <x:v>先看全量统计，再核对来源日期；筛选合计与待核数量按下述定义使用。</x:v>
      </x:c>
      <x:c r="B2" s="41"/>
      <x:c r="C2" s="41"/>
    </x:row>
    <x:row r="3" ht="10" customHeight="1">
      <x:c r="A3" s="41"/>
      <x:c r="B3" s="41"/>
      <x:c r="C3" s="41"/>
    </x:row>
    <x:row r="4" ht="28" customHeight="1">
      <x:c r="A4" s="45" t="str">
        <x:v>项目</x:v>
      </x:c>
      <x:c r="B4" s="45" t="str">
        <x:v>数值 / 规则</x:v>
      </x:c>
      <x:c r="C4" s="45" t="str">
        <x:v>统计说明与数据口径</x:v>
      </x:c>
    </x:row>
    <x:row r="5" ht="30" customHeight="1">
      <x:c r="A5" s="53" t="str">
        <x:v>一、本批统计（全量，不受筛选影响）</x:v>
      </x:c>
      <x:c r="B5" s="54"/>
      <x:c r="C5" s="53"/>
    </x:row>
    <x:row r="6" ht="50" customHeight="1">
      <x:c r="A6" s="48" t="str">
        <x:v>SKU总数</x:v>
      </x:c>
      <x:c r="B6" s="49" t="n">
        <x:f>ROWS('SKU明细'!D11:D1309)</x:f>
        <x:v>1299</x:v>
      </x:c>
      <x:c r="C6" s="48" t="str">
        <x:v>钉钉当前完整SKU清单，每个SKU保留一行；包括零建议和待核。</x:v>
      </x:c>
    </x:row>
    <x:row r="7" ht="50" customHeight="1">
      <x:c r="A7" s="41" t="str">
        <x:v>SPU数</x:v>
      </x:c>
      <x:c r="B7" s="42" t="n">
        <x:v>14</x:v>
      </x:c>
      <x:c r="C7" s="41" t="str">
        <x:v>本文件导出范围内的不同SPU数。</x:v>
      </x:c>
    </x:row>
    <x:row r="8" ht="50" customHeight="1">
      <x:c r="A8" s="48" t="str">
        <x:v>款色行数</x:v>
      </x:c>
      <x:c r="B8" s="50" t="n">
        <x:v>183</x:v>
      </x:c>
      <x:c r="C8" s="48" t="str">
        <x:v>按SPU、款色/材质及原SKU映射分组后的主表行数。</x:v>
      </x:c>
    </x:row>
    <x:row r="9" ht="50" customHeight="1">
      <x:c r="A9" s="41" t="str">
        <x:v>建议发货 / 双</x:v>
      </x:c>
      <x:c r="B9" s="47" t="n">
        <x:f>SUM('SKU明细'!D11:D1309)</x:f>
        <x:v>5707</x:v>
      </x:c>
      <x:c r="C9" s="41" t="str">
        <x:v>仅合计已知建议量；待核部分不计入，不能理解为待核等于0。</x:v>
      </x:c>
    </x:row>
    <x:row r="10" ht="50" customHeight="1">
      <x:c r="A10" s="48" t="str">
        <x:v>正建议 / SKU</x:v>
      </x:c>
      <x:c r="B10" s="49" t="n">
        <x:f>COUNTIF('SKU明细'!D11:D1309,"&gt;0")</x:f>
        <x:v>210</x:v>
      </x:c>
      <x:c r="C10" s="48" t="str">
        <x:v>本批建议量大于0的SKU。</x:v>
      </x:c>
    </x:row>
    <x:row r="11" ht="50" customHeight="1">
      <x:c r="A11" s="41" t="str">
        <x:v>零建议 / SKU</x:v>
      </x:c>
      <x:c r="B11" s="47" t="n">
        <x:f>COUNT('SKU明细'!D11:D1309)-COUNTIF('SKU明细'!D11:D1309,"&gt;0")</x:f>
        <x:v>952</x:v>
      </x:c>
      <x:c r="C11" s="41" t="str">
        <x:v>已知建议量等于0，包括无缺口、零日销及国内可用为0。</x:v>
      </x:c>
    </x:row>
    <x:row r="12" ht="50" customHeight="1">
      <x:c r="A12" s="48" t="str">
        <x:v>数量待核 / SKU</x:v>
      </x:c>
      <x:c r="B12" s="49" t="n">
        <x:f>ROWS('SKU明细'!D11:D1309)-COUNT('SKU明细'!D11:D1309)</x:f>
        <x:v>137</x:v>
      </x:c>
      <x:c r="C12" s="48" t="str">
        <x:v>数量未知，不计入已知双数；正建议+零建议+数量待核=SKU总数。</x:v>
      </x:c>
    </x:row>
    <x:row r="13" ht="50" customHeight="1">
      <x:c r="A13" s="41" t="str">
        <x:v>销量或海外库存待补</x:v>
      </x:c>
      <x:c r="B13" s="47" t="n">
        <x:f>COUNTIF('SKU明细'!H11:H1309,"销量或海外库存待补")</x:f>
        <x:v>113</x:v>
      </x:c>
      <x:c r="C13" s="41" t="str">
        <x:v>数量待核原因之一；未取得有效销量/海外库存，无法确认90天缺口。</x:v>
      </x:c>
    </x:row>
    <x:row r="14" ht="50" customHeight="1">
      <x:c r="A14" s="48" t="str">
        <x:v>国内库存待补</x:v>
      </x:c>
      <x:c r="B14" s="49" t="n">
        <x:f>COUNTIF('SKU明细'!H11:H1309,"国内库存待补")</x:f>
        <x:v>24</x:v>
      </x:c>
      <x:c r="C14" s="48" t="str">
        <x:v>已有正补货需求，但国内可用缺失或净额为负，不能确认发货量。</x:v>
      </x:c>
    </x:row>
    <x:row r="15" ht="50" customHeight="1">
      <x:c r="A15" s="41" t="str">
        <x:v>未匹配Listing / SKU</x:v>
      </x:c>
      <x:c r="B15" s="47" t="n">
        <x:f>COUNTIF('SKU明细'!S11:S1309,"未匹配Listing")</x:f>
        <x:v>45</x:v>
      </x:c>
      <x:c r="C15" s="41" t="str">
        <x:v>关联状态可能与数量待核重叠，不能作为额外待核数量再次相加。</x:v>
      </x:c>
    </x:row>
    <x:row r="16" ht="30" customHeight="1">
      <x:c r="A16" s="53" t="str">
        <x:v>二、筛选、汇总与符号</x:v>
      </x:c>
      <x:c r="B16" s="54"/>
      <x:c r="C16" s="53"/>
    </x:row>
    <x:row r="17" ht="50" customHeight="1">
      <x:c r="A17" s="41" t="str">
        <x:v>全量范围</x:v>
      </x:c>
      <x:c r="B17" s="42" t="str">
        <x:v>全部SKU</x:v>
      </x:c>
      <x:c r="C17" s="41" t="str">
        <x:v>网页筛选、搜索、分页、隐藏列不影响导出；主表与明细的Excel筛选互相独立。</x:v>
      </x:c>
    </x:row>
    <x:row r="18" ht="50" customHeight="1">
      <x:c r="A18" s="48" t="str">
        <x:v>筛选后已知量</x:v>
      </x:c>
      <x:c r="B18" s="50" t="str">
        <x:v>主表顶部 SUBTOTAL</x:v>
      </x:c>
      <x:c r="C18" s="48" t="str">
        <x:v>仅合计主表筛选后可见款色行的已知量；筛选明细不删除主表中的对应SKU。</x:v>
      </x:c>
    </x:row>
    <x:row r="19" ht="50" customHeight="1">
      <x:c r="A19" s="41" t="str">
        <x:v>SPU已知合计</x:v>
      </x:c>
      <x:c r="B19" s="42" t="str">
        <x:v>全量SPU合计，逐行重复</x:v>
      </x:c>
      <x:c r="C19" s="41" t="str">
        <x:v>便于每个款色行识别完整款式规模；不随颜色筛选改变，不能将此列重复累加。</x:v>
      </x:c>
    </x:row>
    <x:row r="20" ht="50" customHeight="1">
      <x:c r="A20" s="48" t="str">
        <x:v>款色 / 尺码格</x:v>
      </x:c>
      <x:c r="B20" s="50" t="str">
        <x:v>多个原SKU的已知量之和</x:v>
      </x:c>
      <x:c r="C20" s="48" t="str">
        <x:v>同格多SKU全部保留在明细；部分未知标“另有待核”或“+ 待核”，全部未知显示待核。</x:v>
      </x:c>
    </x:row>
    <x:row r="21" ht="50" customHeight="1">
      <x:c r="A21" s="41" t="str">
        <x:v>— / 0 / 待核</x:v>
      </x:c>
      <x:c r="B21" s="42" t="str">
        <x:v>无SKU / 已知零 / 未知</x:v>
      </x:c>
      <x:c r="C21" s="41" t="str">
        <x:v>明细中的计算结果空白也表示待核；销量、库存空白不能补0。</x:v>
      </x:c>
    </x:row>
    <x:row r="22" ht="50" customHeight="1">
      <x:c r="A22" s="48" t="str">
        <x:v>图片、颜色与材质</x:v>
      </x:c>
      <x:c r="B22" s="50" t="str">
        <x:v>图片为SPU代表图</x:v>
      </x:c>
      <x:c r="C22" s="48" t="str">
        <x:v>实际出货颜色以SKU及颜色资料为准；材质未填写保持空白，不从颜色或图片猜填。</x:v>
      </x:c>
    </x:row>
    <x:row r="23" ht="50" customHeight="1">
      <x:c r="A23" s="41" t="str">
        <x:v>运营与Listing状态</x:v>
      </x:c>
      <x:c r="B23" s="42" t="str">
        <x:v>完整列出同组不同值</x:v>
      </x:c>
      <x:c r="C23" s="41" t="str">
        <x:v>未匹配Listing不是停售；状态用于展示/筛选，不另设本批发货门槛。</x:v>
      </x:c>
    </x:row>
    <x:row r="24" ht="30" customHeight="1">
      <x:c r="A24" s="53" t="str">
        <x:v>三、数据日期与来源（北京时间另有注明）</x:v>
      </x:c>
      <x:c r="B24" s="54"/>
      <x:c r="C24" s="53"/>
    </x:row>
    <x:row r="25" ht="50" customHeight="1">
      <x:c r="A25" s="41" t="str">
        <x:v>SKU主数据采集</x:v>
      </x:c>
      <x:c r="B25" s="42" t="str">
        <x:v>北京时间 2026-10-19 11:16:22</x:v>
      </x:c>
      <x:c r="C25" s="41" t="str">
        <x:v>钉钉商品SKU运营汇总；SPU、运营、颜色、尺码沿用已核对数据。</x:v>
      </x:c>
    </x:row>
    <x:row r="26" ht="50" customHeight="1">
      <x:c r="A26" s="48" t="str">
        <x:v>钉钉源表</x:v>
      </x:c>
      <x:c r="B26" s="50" t="str">
        <x:v>JLd9ROt</x:v>
      </x:c>
      <x:c r="C26" s="48" t="str">
        <x:v>https://alidocs.dingtalk.com/i/nodes/14lgGw3P8vLoXyKghnynewypV5daZ90D</x:v>
      </x:c>
    </x:row>
    <x:row r="27" ht="50" customHeight="1">
      <x:c r="A27" s="41" t="str">
        <x:v>有效7天销量</x:v>
      </x:c>
      <x:c r="B27" s="42" t="str">
        <x:v>截至 2026-10-17；补足7个有效日</x:v>
      </x:c>
      <x:c r="C27" s="41" t="str">
        <x:v>美国站点日；按店铺+完整SKU排除大促和已记录停售日。各SKU起点2026-10-08至2026-10-11，实际日期见明细W–AN列（展开计算依据）。</x:v>
      </x:c>
    </x:row>
    <x:row r="28" ht="50" customHeight="1">
      <x:c r="A28" s="48" t="str">
        <x:v>有效14天销量</x:v>
      </x:c>
      <x:c r="B28" s="50" t="str">
        <x:v>截至 2026-10-17；补足14个有效日</x:v>
      </x:c>
      <x:c r="C28" s="48" t="str">
        <x:v>美国站点日；按店铺+完整SKU排除大促和已记录停售日。各SKU起点2026-09-29至2026-10-02，实际日期见明细W–AN列（展开计算依据）。</x:v>
      </x:c>
    </x:row>
    <x:row r="29" ht="50" customHeight="1">
      <x:c r="A29" s="41" t="str">
        <x:v>有效30天销量</x:v>
      </x:c>
      <x:c r="B29" s="42" t="str">
        <x:v>截至 2026-10-17；补足30个有效日</x:v>
      </x:c>
      <x:c r="C29" s="41" t="str">
        <x:v>美国站点日；按店铺+完整SKU排除大促和已记录停售日。各SKU起点2026-09-13至2026-09-16，实际日期见明细W–AN列（展开计算依据）。</x:v>
      </x:c>
    </x:row>
    <x:row r="30" ht="50" customHeight="1">
      <x:c r="A30" s="48" t="str">
        <x:v>逐日销量采集</x:v>
      </x:c>
      <x:c r="B30" s="50" t="str">
        <x:v>北京时间 2026-10-19 11:21:25</x:v>
      </x:c>
      <x:c r="C30" s="48" t="str">
        <x:v>原始逐日范围 2026-04-21 至 2026-10-17；已核对 1296/1299 个SKU，未覆盖不按0处理。</x:v>
      </x:c>
    </x:row>
    <x:row r="31" ht="50" customHeight="1">
      <x:c r="A31" s="41" t="str">
        <x:v>大促排除日</x:v>
      </x:c>
      <x:c r="B31" s="42" t="str">
        <x:v>2026-10-06、2026-10-07</x:v>
      </x:c>
      <x:c r="C31" s="41" t="str">
        <x:v>同时剔除销量与天数，再向前补足有效日；不因其他某天销量高就自动剔除。</x:v>
      </x:c>
    </x:row>
    <x:row r="32" ht="50" customHeight="1">
      <x:c r="A32" s="48" t="str">
        <x:v>停售记录覆盖</x:v>
      </x:c>
      <x:c r="B32" s="50" t="str">
        <x:v>2026-10-12、2026-10-13、2026-10-16</x:v>
      </x:c>
      <x:c r="C32" s="48" t="str">
        <x:v>历史快照仅覆盖这些日期；按店铺+完整SKU，同次快照全部未删除Listing停售才认定停售，当天任一次认定则排除。</x:v>
      </x:c>
    </x:row>
    <x:row r="33" ht="50" customHeight="1">
      <x:c r="A33" s="41" t="str">
        <x:v>停售日期边界</x:v>
      </x:c>
      <x:c r="B33" s="42" t="str">
        <x:v>北京时间快照，与销量同名日期匹配</x:v>
      </x:c>
      <x:c r="C33" s="41" t="str">
        <x:v>未留快照的日期不推断停售，不把当前状态向历史回填；不是小时级停售校正。真实零销量正常保留。</x:v>
      </x:c>
    </x:row>
    <x:row r="34" ht="50" customHeight="1">
      <x:c r="A34" s="48" t="str">
        <x:v>海外库存采集</x:v>
      </x:c>
      <x:c r="B34" s="50" t="str">
        <x:v>北京时间 2026-10-19 11:04:15</x:v>
      </x:c>
      <x:c r="C34" s="48" t="str">
        <x:v>领星FBA可用、入库中、实际在途快照；不是销量截止日库存。</x:v>
      </x:c>
    </x:row>
    <x:row r="35" ht="50" customHeight="1">
      <x:c r="A35" s="41" t="str">
        <x:v>国内库存采集</x:v>
      </x:c>
      <x:c r="B35" s="42" t="str">
        <x:v>北京时间 2026-10-19 11:02:39</x:v>
      </x:c>
      <x:c r="C35" s="41" t="str">
        <x:v>领星两仓：环新路17915、默认9039；完整SKU汇总全部店铺/FNSKU一次。</x:v>
      </x:c>
    </x:row>
    <x:row r="36" ht="50" customHeight="1">
      <x:c r="A36" s="48" t="str">
        <x:v>Listing状态采集</x:v>
      </x:c>
      <x:c r="B36" s="50" t="str">
        <x:v>北京时间 2026-10-19 11:03:02</x:v>
      </x:c>
      <x:c r="C36" s="48" t="str">
        <x:v>全部授权店铺未删除Listing；完整SKU匹配，任一在售则在售，全部停售才显示停售。</x:v>
      </x:c>
    </x:row>
    <x:row r="37" ht="50" customHeight="1">
      <x:c r="A37" s="41" t="str">
        <x:v>计划数据生成</x:v>
      </x:c>
      <x:c r="B37" s="42" t="str">
        <x:v>北京时间 2026-10-19 11:16:23</x:v>
      </x:c>
      <x:c r="C37" s="41" t="str">
        <x:v>该时间表示快照导入/计划数据生成；不替代各来源实际采集时间。</x:v>
      </x:c>
    </x:row>
    <x:row r="38" ht="50" customHeight="1">
      <x:c r="A38" s="48" t="str">
        <x:v>本文件生成</x:v>
      </x:c>
      <x:c r="B38" s="50" t="str">
        <x:v>北京时间 2026-10-19 15:22:40</x:v>
      </x:c>
      <x:c r="C38" s="48" t="str">
        <x:v>仅重建文件不意味着销售或库存已重新获取。</x:v>
      </x:c>
    </x:row>
    <x:row r="39" ht="50" customHeight="1">
      <x:c r="A39" s="41" t="str">
        <x:v>销量来源</x:v>
      </x:c>
      <x:c r="B39" s="42" t="str">
        <x:v>领星官方逐日ASIN/MSKU销量</x:v>
      </x:c>
      <x:c r="C39" s="41" t="str">
        <x:v>逐日asinDailyLists按唯一Listing映射聚合完整SKU；180天×6店=1080份数据，已与productPerformance控制窗口核对。</x:v>
      </x:c>
    </x:row>
    <x:row r="40" ht="50" customHeight="1">
      <x:c r="A40" s="48" t="str">
        <x:v>国内库存来源</x:v>
      </x:c>
      <x:c r="B40" s="50" t="str">
        <x:v>领星可用量 product_valid_num</x:v>
      </x:c>
      <x:c r="C40" s="48" t="str">
        <x:v>https://apidoc.lingxing.com/new/api-docs/Warehouse/InventoryDetails/</x:v>
      </x:c>
    </x:row>
    <x:row r="41" ht="50" customHeight="1">
      <x:c r="A41" s="41" t="str">
        <x:v>海外库存来源</x:v>
      </x:c>
      <x:c r="B41" s="42" t="str">
        <x:v>领星FBA仓库库存明细</x:v>
      </x:c>
      <x:c r="C41" s="41" t="str">
        <x:v>领星OpenAPI /basicOpen/openapi/storage/fbaWarehouseDetail；按已核定店铺与完整SKU汇总原始库存组成。</x:v>
      </x:c>
    </x:row>
    <x:row r="42" ht="50" customHeight="1">
      <x:c r="A42" s="48" t="str">
        <x:v>Listing状态来源</x:v>
      </x:c>
      <x:c r="B42" s="50" t="str">
        <x:v>领星Listing快照</x:v>
      </x:c>
      <x:c r="C42" s="48" t="str">
        <x:v>https://apidoc.lingxing.com/new/api-docs/Sale/Listing/</x:v>
      </x:c>
    </x:row>
    <x:row r="43" ht="30" customHeight="1">
      <x:c r="A43" s="53" t="str">
        <x:v>四、计算与取整口径</x:v>
      </x:c>
      <x:c r="B43" s="54"/>
      <x:c r="C43" s="53"/>
    </x:row>
    <x:row r="44" ht="50" customHeight="1">
      <x:c r="A44" s="48" t="str">
        <x:v>先看月度预测</x:v>
      </x:c>
      <x:c r="B44" s="50" t="str">
        <x:v>基础日销 × 月度系数 × 覆盖天数</x:v>
      </x:c>
      <x:c r="C44" s="48" t="str">
        <x:v>主表右侧按款色行显示各月预测；SKU明细默认展示结果与月度预测，I–BU列中间计算折叠，点击列上方“+”展开。</x:v>
      </x:c>
    </x:row>
    <x:row r="45" ht="50" customHeight="1">
      <x:c r="A45" s="41" t="str">
        <x:v>基础日销含义</x:v>
      </x:c>
      <x:c r="B45" s="42" t="str">
        <x:v>款色基础日销按尺码占比分配至SKU</x:v>
      </x:c>
      <x:c r="C45" s="41" t="str">
        <x:v>本SKU基础日销＝款色基础日销×尺码占比；主表本行基础日销汇总该行SKU。与先预测款色后分配尺码完全等价，数量不变。</x:v>
      </x:c>
    </x:row>
    <x:row r="46" ht="50" customHeight="1">
      <x:c r="A46" s="48" t="str">
        <x:v>月度系数与部分月份</x:v>
      </x:c>
      <x:c r="B46" s="50" t="str">
        <x:v>每个SPU按月份一个系数</x:v>
      </x:c>
      <x:c r="C46" s="48" t="str">
        <x:v>7/14/30有效日平均系数仅供还原历史基础，不是季度系数。10月和次年1月只计算本期覆盖的12天和17天，不是整月销量。</x:v>
      </x:c>
    </x:row>
    <x:row r="47" ht="50" customHeight="1">
      <x:c r="A47" s="41" t="str">
        <x:v>月度合计与精度</x:v>
      </x:c>
      <x:c r="B47" s="42" t="str">
        <x:v>各月预测合计＝本期总需求</x:v>
      </x:c>
      <x:c r="C47" s="41" t="str">
        <x:v>月预测显示2位小数，基础日销和系数显示4位；计算保留完整精度，实际出货最后取整。不要先逐月取整后相加。</x:v>
      </x:c>
    </x:row>
    <x:row r="48" ht="50" customHeight="1">
      <x:c r="A48" s="48" t="str">
        <x:v>未来预测区间</x:v>
      </x:c>
      <x:c r="B48" s="50" t="str">
        <x:v>2026-10-20 至 2027-01-17</x:v>
      </x:c>
      <x:c r="C48" s="48" t="str">
        <x:v>测算日次日起90个自然日，逐月按实际覆盖天数计算；不是参考采购表的2027年3月31日目标。</x:v>
      </x:c>
    </x:row>
    <x:row r="49" ht="50" customHeight="1">
      <x:c r="A49" s="41" t="str">
        <x:v>季节系数来源</x:v>
      </x:c>
      <x:c r="B49" s="42" t="str">
        <x:v>2024/2025年SPU月销量</x:v>
      </x:c>
      <x:c r="C49" s="41" t="str">
        <x:v>年内月日均÷年日均；仅年度有销量且1月有销量的年份参与。两年有效时2024权重40%、2025权重60%；仅一年有效用该年，无有效年份用1。</x:v>
      </x:c>
    </x:row>
    <x:row r="50" ht="50" customHeight="1">
      <x:c r="A50" s="48" t="str">
        <x:v>款色需求分组</x:v>
      </x:c>
      <x:c r="B50" s="50" t="str">
        <x:v>店铺 + SPU + 规范化颜色/材质</x:v>
      </x:c>
      <x:c r="C50" s="48" t="str">
        <x:v>仅汇总本站1299个SKU，同款色不同店铺、不同材质分别预测；原始SKU不丢失。</x:v>
      </x:c>
    </x:row>
    <x:row r="51" ht="50" customHeight="1">
      <x:c r="A51" s="41" t="str">
        <x:v>款色未来需求</x:v>
      </x:c>
      <x:c r="B51" s="42" t="str">
        <x:v>款色基准日销 × Σ(未来月季节系数×月覆盖天数)</x:v>
      </x:c>
      <x:c r="C51" s="41" t="str">
        <x:v>基准日销为组内SKU季节还原日销之和；未来月份及系数、天数、预测销量见明细BV–CI列。</x:v>
      </x:c>
    </x:row>
    <x:row r="52" ht="50" customHeight="1">
      <x:c r="A52" s="48" t="str">
        <x:v>尺码占比</x:v>
      </x:c>
      <x:c r="B52" s="50" t="str">
        <x:v>90天有效日均占比×70% + 180天有效日均占比×30%</x:v>
      </x:c>
      <x:c r="C52" s="48" t="str">
        <x:v>长窗口为固定自然90/180天，剔除大促和已记录停售日后按剩余天数计算日均，不向前补日。</x:v>
      </x:c>
    </x:row>
    <x:row r="53" ht="50" customHeight="1">
      <x:c r="A53" s="41" t="str">
        <x:v>零窗口与缺失</x:v>
      </x:c>
      <x:c r="B53" s="42" t="str">
        <x:v>一个长窗口全组为0，用另一个</x:v>
      </x:c>
      <x:c r="C53" s="41" t="str">
        <x:v>两长窗口全组均0且款色预测也为0时分配0；数据缺失不视作0，同组依赖结果待核。</x:v>
      </x:c>
    </x:row>
    <x:row r="54" ht="50" customHeight="1">
      <x:c r="A54" s="48" t="str">
        <x:v>SKU未来需求</x:v>
      </x:c>
      <x:c r="B54" s="50" t="str">
        <x:v>款色未来需求 × 本SKU尺码占比</x:v>
      </x:c>
      <x:c r="C54" s="48" t="str">
        <x:v>同组SKU需求合计必须等于款色需求；库存逐SKU扣除，不以其他尺码盈余抵扣缺口。</x:v>
      </x:c>
    </x:row>
    <x:row r="55" ht="50" customHeight="1">
      <x:c r="A55" s="41" t="str">
        <x:v>低销提醒</x:v>
      </x:c>
      <x:c r="B55" s="42" t="str">
        <x:v>近180天款色销量＜90且无有效新采购</x:v>
      </x:c>
      <x:c r="C55" s="41" t="str">
        <x:v>沿用参考模型跨店款色事实销量与有效采购记录，数据不足注明；仅提示运营判断，不自动将建议量清零。</x:v>
      </x:c>
    </x:row>
    <x:row r="56" ht="50" customHeight="1">
      <x:c r="A56" s="48" t="str">
        <x:v>季节还原日销 / 双·天</x:v>
      </x:c>
      <x:c r="B56" s="50" t="str">
        <x:v>Σ(有效销量÷有效天数÷窗口平均季节系数×权重)</x:v>
      </x:c>
      <x:c r="C56" s="48" t="str">
        <x:v>7/14/30个有效日权重为0.5/0.3/0.2；窗口季节系数按实际有效日期加权平均。保留完整精度。</x:v>
      </x:c>
    </x:row>
    <x:row r="57" ht="50" customHeight="1">
      <x:c r="A57" s="41" t="str">
        <x:v>原始区间与剔除量</x:v>
      </x:c>
      <x:c r="B57" s="42" t="str">
        <x:v>有效销量 = 扩展区间原始销量 − 排除日销量</x:v>
      </x:c>
      <x:c r="C57" s="41" t="str">
        <x:v>明细W–AN列原始销量覆盖实际起点至截止日，含向前补入日期，并非原来的自然7/14/30天累计。</x:v>
      </x:c>
    </x:row>
    <x:row r="58" ht="50" customHeight="1">
      <x:c r="A58" s="48" t="str">
        <x:v>有效日不足或未覆盖</x:v>
      </x:c>
      <x:c r="B58" s="50" t="str">
        <x:v>数量保持待核</x:v>
      </x:c>
      <x:c r="C58" s="48" t="str">
        <x:v>只跳过已确认排除日，不跳过未知销量日来凑天数；必须有7/14/30个有效日且销量全部有效。</x:v>
      </x:c>
    </x:row>
    <x:row r="59" ht="50" customHeight="1">
      <x:c r="A59" s="41" t="str">
        <x:v>出货用海外库存</x:v>
      </x:c>
      <x:c r="B59" s="42" t="str">
        <x:v>FBA可用 + 入库中 + 实际在途</x:v>
      </x:c>
      <x:c r="C59" s="41" t="str">
        <x:v>FBA可用沿用含待发货的出货口径；不套用促销口径，不把已计入在途的货再扣一次。</x:v>
      </x:c>
    </x:row>
    <x:row r="60" ht="50" customHeight="1">
      <x:c r="A60" s="48" t="str">
        <x:v>FBA可用组成</x:v>
      </x:c>
      <x:c r="B60" s="50" t="str">
        <x:v>可售 + 调拨预留 + 处理中预留 + 买家订单预留</x:v>
      </x:c>
      <x:c r="C60" s="48" t="str">
        <x:v>原始字段：afn_fulfillable_quantity + reserved_fc_transfers + reserved_fc_processing + reserved_customerorders。</x:v>
      </x:c>
    </x:row>
    <x:row r="61" ht="50" customHeight="1">
      <x:c r="A61" s="41" t="str">
        <x:v>入库中 / 实际在途</x:v>
      </x:c>
      <x:c r="B61" s="42" t="str">
        <x:v>已入库接收中 / 发往FBA的实际在途</x:v>
      </x:c>
      <x:c r="C61" s="41" t="str">
        <x:v>分别使用 afn_inbound_receiving_quantity 和 stock_up_num；不加入未实际发出的计划量。</x:v>
      </x:c>
    </x:row>
    <x:row r="62" ht="50" customHeight="1">
      <x:c r="A62" s="48" t="str">
        <x:v>实际需补 / 双</x:v>
      </x:c>
      <x:c r="B62" s="50" t="str">
        <x:v>SKU未来90天预测需求 − 海外库存</x:v>
      </x:c>
      <x:c r="C62" s="48" t="str">
        <x:v>先按10位小数消除浮点误差，再远离0取整到整双。负值表示超过90天目标，不是负数发货。</x:v>
      </x:c>
    </x:row>
    <x:row r="63" ht="50" customHeight="1">
      <x:c r="A63" s="41" t="str">
        <x:v>本批建议发货 / 双</x:v>
      </x:c>
      <x:c r="B63" s="42" t="str">
        <x:v>min(max(实际需补,0), 向下取整(国内可用))</x:v>
      </x:c>
      <x:c r="C63" s="41" t="str">
        <x:v>无缺口或零日销本批不发；包含覆盖60–90天的正缺口，不额外设60天触发门槛，不按20双整箱进位。</x:v>
      </x:c>
    </x:row>
    <x:row r="64" ht="50" customHeight="1">
      <x:c r="A64" s="48" t="str">
        <x:v>未满足 / 双</x:v>
      </x:c>
      <x:c r="B64" s="50" t="str">
        <x:v>max(实际需补,0) − 建议发货</x:v>
      </x:c>
      <x:c r="C64" s="48" t="str">
        <x:v>仅在缺口与发货量已知时计算；这是未满足的出货需求，不直接等于新采购量。</x:v>
      </x:c>
    </x:row>
    <x:row r="65" ht="50" customHeight="1">
      <x:c r="A65" s="41" t="str">
        <x:v>海外覆盖 / 天</x:v>
      </x:c>
      <x:c r="B65" s="42" t="str">
        <x:v>海外库存 ÷ (SKU未来90天需求/90)</x:v>
      </x:c>
      <x:c r="C65" s="41" t="str">
        <x:v>仅日销&gt;0且海外数据有效时计算；含未来供应，不等于可售天数或实际库龄，显示1位小数。</x:v>
      </x:c>
    </x:row>
    <x:row r="66" ht="50" customHeight="1">
      <x:c r="A66" s="48" t="str">
        <x:v>国内可用 / 双</x:v>
      </x:c>
      <x:c r="B66" s="50" t="str">
        <x:v>指定两仓可用量按SKU汇总净额</x:v>
      </x:c>
      <x:c r="C66" s="48" t="str">
        <x:v>保留正负记录；锁定、次品、待检待上架、待到货和调拨在途不加入，也不再扣一次锁定量。</x:v>
      </x:c>
    </x:row>
    <x:row r="67" ht="50" customHeight="1">
      <x:c r="A67" s="41" t="str">
        <x:v>国内负数或缺失</x:v>
      </x:c>
      <x:c r="B67" s="42" t="str">
        <x:v>有需求时待核</x:v>
      </x:c>
      <x:c r="C67" s="41" t="str">
        <x:v>汇总净额为负或未匹配才阻断依赖它的数量；净额为0可确认发0，正净额含负数明细仍可用。</x:v>
      </x:c>
    </x:row>
    <x:row r="68" ht="50" customHeight="1">
      <x:c r="A68" s="48" t="str">
        <x:v>销量与海外异常</x:v>
      </x:c>
      <x:c r="B68" s="50" t="str">
        <x:v>依赖结果留空、待核</x:v>
      </x:c>
      <x:c r="C68" s="48" t="str">
        <x:v>预测输入缺失/负数/季节除数为0、同组分配依据缺失，或海外库存缺失/负数/已知冲突，均不能生成正常建议。</x:v>
      </x:c>
    </x:row>
    <x:row r="69" ht="50" customHeight="1">
      <x:c r="A69" s="41" t="str">
        <x:v>零日销</x:v>
      </x:c>
      <x:c r="B69" s="42" t="str">
        <x:v>本批不发，业务仍需复核</x:v>
      </x:c>
      <x:c r="C69" s="41" t="str">
        <x:v>不把覆盖天数设成无穷大；新品或零销量原因由业务核实。</x:v>
      </x:c>
    </x:row>
    <x:row r="70" ht="50" customHeight="1">
      <x:c r="A70" s="48" t="str">
        <x:v>领星外已安排出货</x:v>
      </x:c>
      <x:c r="B70" s="50" t="str">
        <x:v>本批无额外扣除</x:v>
      </x:c>
      <x:c r="C70" s="48" t="str">
        <x:v>用户2026-10-19确认没有已安排但未登记领星的出货量；后续有新增须按已确认数量重新核算。</x:v>
      </x:c>
    </x:row>
    <x:row r="71" ht="30" customHeight="1">
      <x:c r="A71" s="53" t="str">
        <x:v>五、更新与执行边界</x:v>
      </x:c>
      <x:c r="B71" s="54"/>
      <x:c r="C71" s="53"/>
    </x:row>
    <x:row r="72" ht="50" customHeight="1">
      <x:c r="A72" s="48" t="str">
        <x:v>刷新方式</x:v>
      </x:c>
      <x:c r="B72" s="50" t="str">
        <x:v>已发布快照</x:v>
      </x:c>
      <x:c r="C72" s="48" t="str">
        <x:v>打开/下载Excel不自动刷新领星。网站每日销量趋势更新，也不代表该文件销量与库存同步更新。</x:v>
      </x:c>
    </x:row>
    <x:row r="73" ht="50" customHeight="1">
      <x:c r="A73" s="41" t="str">
        <x:v>本地调整</x:v>
      </x:c>
      <x:c r="B73" s="42" t="str">
        <x:v>修改明细输入后联动重算</x:v>
      </x:c>
      <x:c r="C73" s="41" t="str">
        <x:v>可修改原始销量、剔除量、有效天数、季节系数或库存；同组需求、尺码分配与主表联动。主表按完整SKU关联；编辑不回写线上。</x:v>
      </x:c>
    </x:row>
    <x:row r="74" ht="50" customHeight="1">
      <x:c r="A74" s="48" t="str">
        <x:v>计划与执行</x:v>
      </x:c>
      <x:c r="B74" s="50" t="str">
        <x:v>建议量不是已出货量</x:v>
      </x:c>
      <x:c r="C74" s="48" t="str">
        <x:v>本表不创建ERP单据；实际船期、箱规、批次到货/可售时间在执行环节核实。</x:v>
      </x:c>
    </x:row>
    <x:row r="75" ht="50" customHeight="1">
      <x:c r="A75" s="41" t="str">
        <x:v>其他模块</x:v>
      </x:c>
      <x:c r="B75" s="42" t="str">
        <x:v>本次季节预测用于出货建议</x:v>
      </x:c>
      <x:c r="C75" s="41" t="str">
        <x:v>每日趋势和原始SKU表保留真实自然日销量；其他业务规则未切换。旧单/工厂待交不参与本出货公式。</x:v>
      </x:c>
    </x:row>
    <x:row r="76" ht="30" customHeight="1">
      <x:c r="A76" s="53" t="str">
        <x:v>六、本批SPU月季节系数（1月至12月）</x:v>
      </x:c>
      <x:c r="B76" s="54"/>
      <x:c r="C76" s="53"/>
    </x:row>
    <x:row r="77" ht="50" customHeight="1">
      <x:c r="A77" s="41" t="str">
        <x:v>1S01</x:v>
      </x:c>
      <x:c r="B77" s="42" t="str">
        <x:v>2024年40%+2025年60%</x:v>
      </x:c>
      <x:c r="C77" s="41" t="str">
        <x:v>1月 0.751730；2月 1.036278；3月 1.727422；4月 1.398152；5月 1.117879；6月 0.819609；7月 0.805051；8月 0.837089；9月 1.311323；10月 0.872950；11月 0.805738；12月 0.532550</x:v>
      </x:c>
    </x:row>
    <x:row r="78" ht="50" customHeight="1">
      <x:c r="A78" s="48" t="str">
        <x:v>2302153</x:v>
      </x:c>
      <x:c r="B78" s="50" t="str">
        <x:v>2024年40%+2025年60%</x:v>
      </x:c>
      <x:c r="C78" s="48" t="str">
        <x:v>1月 0.771937；2月 0.832546；3月 0.838259；4月 0.833897；5月 0.764921；6月 0.493960；7月 0.751646；8月 1.078334；9月 1.407251；10月 1.739128；11月 1.400208；12月 1.079340</x:v>
      </x:c>
    </x:row>
    <x:row r="79" ht="50" customHeight="1">
      <x:c r="A79" s="41" t="str">
        <x:v>230918</x:v>
      </x:c>
      <x:c r="B79" s="42" t="str">
        <x:v>仅2025年</x:v>
      </x:c>
      <x:c r="C79" s="41" t="str">
        <x:v>1月 0.642689；2月 0.638817；3月 0.637940；4月 0.407300；5月 0.733711；6月 0.563514；7月 0.884885；8月 1.332076；9月 1.802590；10月 1.674791；11月 1.506521；12月 1.149242</x:v>
      </x:c>
    </x:row>
    <x:row r="80" ht="50" customHeight="1">
      <x:c r="A80" s="48" t="str">
        <x:v>2311062</x:v>
      </x:c>
      <x:c r="B80" s="50" t="str">
        <x:v>仅2025年</x:v>
      </x:c>
      <x:c r="C80" s="48" t="str">
        <x:v>1月 1.159588；2月 0.863222；3月 1.116430；4月 1.299170；5月 1.171514；6月 0.609096；7月 0.526414；8月 0.896097；9月 1.349048；10月 1.475891；11月 0.906603；12月 0.618977</x:v>
      </x:c>
    </x:row>
    <x:row r="81" ht="50" customHeight="1">
      <x:c r="A81" s="41" t="str">
        <x:v>32582</x:v>
      </x:c>
      <x:c r="B81" s="42" t="str">
        <x:v>2024年40%+2025年60%</x:v>
      </x:c>
      <x:c r="C81" s="41" t="str">
        <x:v>1月 1.290892；2月 1.236012；3月 1.289138；4月 1.269030；5月 0.943240；6月 0.708318；7月 0.697467；8月 0.681123；9月 1.101961；10月 1.039507；11月 0.989037；12月 0.780080</x:v>
      </x:c>
    </x:row>
    <x:row r="82" ht="50" customHeight="1">
      <x:c r="A82" s="48" t="str">
        <x:v>60516</x:v>
      </x:c>
      <x:c r="B82" s="50" t="str">
        <x:v>2024年40%+2025年60%</x:v>
      </x:c>
      <x:c r="C82" s="48" t="str">
        <x:v>1月 0.867302；2月 0.746591；3月 1.028908；4月 0.949287；5月 0.807623；6月 0.462767；7月 0.598886；8月 0.626652；9月 1.658771；10月 1.860924；11月 1.438376；12月 0.951974</x:v>
      </x:c>
    </x:row>
    <x:row r="83" ht="50" customHeight="1">
      <x:c r="A83" s="41" t="str">
        <x:v>8392</x:v>
      </x:c>
      <x:c r="B83" s="42" t="str">
        <x:v>2024年40%+2025年60%</x:v>
      </x:c>
      <x:c r="C83" s="41" t="str">
        <x:v>1月 0.953763；2月 1.069483；3月 1.323302；4月 1.222016；5月 0.840784；6月 0.723174；7月 0.551262；8月 0.865977；9月 1.114321；10月 1.174342；11月 1.281695；12月 0.900763</x:v>
      </x:c>
    </x:row>
    <x:row r="84" ht="50" customHeight="1">
      <x:c r="A84" s="48" t="str">
        <x:v>9967</x:v>
      </x:c>
      <x:c r="B84" s="50" t="str">
        <x:v>2024年40%+2025年60%</x:v>
      </x:c>
      <x:c r="C84" s="48" t="str">
        <x:v>1月 3.392334；2月 1.161896；3月 0.308606；4月 0.136186；5月 0.074392；6月 0.026515；7月 0.021883；8月 0.017549；9月 0.101364；10月 0.624562；11月 2.028101；12月 4.058792</x:v>
      </x:c>
    </x:row>
    <x:row r="85" ht="50" customHeight="1">
      <x:c r="A85" s="41" t="str">
        <x:v>B06</x:v>
      </x:c>
      <x:c r="B85" s="42" t="str">
        <x:v>2024年40%+2025年60%</x:v>
      </x:c>
      <x:c r="C85" s="41" t="str">
        <x:v>1月 1.001722；2月 1.491967；3月 1.420336；4月 1.141040；5月 0.954473；6月 0.814863；7月 0.783146；8月 0.817035；9月 1.002685；10月 1.224703；11月 0.833268；12月 0.551102</x:v>
      </x:c>
    </x:row>
    <x:row r="86" ht="50" customHeight="1">
      <x:c r="A86" s="48" t="str">
        <x:v>B06b</x:v>
      </x:c>
      <x:c r="B86" s="50" t="str">
        <x:v>2024年40%+2025年60%</x:v>
      </x:c>
      <x:c r="C86" s="48" t="str">
        <x:v>1月 1.157195；2月 1.203305；3月 1.333377；4月 1.415128；5月 1.110256；6月 0.706623；7月 0.607210；8月 0.567520；9月 0.791970；10月 1.109068；11月 1.037274；12月 0.979949</x:v>
      </x:c>
    </x:row>
    <x:row r="87" ht="50" customHeight="1">
      <x:c r="A87" s="41" t="str">
        <x:v>B07</x:v>
      </x:c>
      <x:c r="B87" s="42" t="str">
        <x:v>2024年40%+2025年60%</x:v>
      </x:c>
      <x:c r="C87" s="41" t="str">
        <x:v>1月 1.326417；2月 1.425439；3月 1.421447；4月 1.501842；5月 1.066596；6月 0.777437；7月 0.706427；8月 0.772062；9月 0.759187；10月 0.730775；11月 0.952302；12月 0.595855</x:v>
      </x:c>
    </x:row>
    <x:row r="88" ht="50" customHeight="1">
      <x:c r="A88" s="48" t="str">
        <x:v>S02</x:v>
      </x:c>
      <x:c r="B88" s="50" t="str">
        <x:v>2024年40%+2025年60%</x:v>
      </x:c>
      <x:c r="C88" s="48" t="str">
        <x:v>1月 1.003017；2月 1.266621；3月 1.578537；4月 1.235001；5月 1.110304；6月 0.742465；7月 0.794957；8月 0.834087；9月 0.841038；10月 0.963450；11月 0.858503；12月 0.789661</x:v>
      </x:c>
    </x:row>
    <x:row r="89" ht="50" customHeight="1">
      <x:c r="A89" s="41" t="str">
        <x:v>S02a</x:v>
      </x:c>
      <x:c r="B89" s="42" t="str">
        <x:v>2024年40%+2025年60%</x:v>
      </x:c>
      <x:c r="C89" s="41" t="str">
        <x:v>1月 1.282577；2月 1.753869；3月 1.862236；4月 0.908499；5月 0.512023；6月 0.450252；7月 0.474032；8月 0.442503；9月 0.848444；10月 0.764766；11月 1.524829；12月 1.228825</x:v>
      </x:c>
    </x:row>
    <x:row r="90" ht="50" customHeight="1">
      <x:c r="A90" s="48" t="str">
        <x:v>S02b</x:v>
      </x:c>
      <x:c r="B90" s="50" t="str">
        <x:v>2024年40%+2025年60%</x:v>
      </x:c>
      <x:c r="C90" s="48" t="str">
        <x:v>1月 1.220440；2月 1.385691；3月 1.738931；4月 1.200041；5月 0.845242；6月 0.585913；7月 0.622556；8月 0.548830；9月 0.867394；10月 0.965860；11月 1.172717；12月 0.876334</x:v>
      </x:c>
    </x:row>
  </x:sheetData>
  <x:mergeCells>
    <x:mergeCell ref="A1:C1"/>
    <x:mergeCell ref="A2:C2"/>
    <x:mergeCell ref="A5:C5"/>
    <x:mergeCell ref="A16:C16"/>
    <x:mergeCell ref="A24:C24"/>
    <x:mergeCell ref="A43:C43"/>
    <x:mergeCell ref="A71:C71"/>
    <x:mergeCell ref="A76:C76"/>
  </x:mergeCells>
  <x:pageMargins left="0.7" right="0.7" top="0.75" bottom="0.75" header="0.3" footer="0.3"/>
</x:worksheet>
</file>